
<file path=[Content_Types].xml><?xml version="1.0" encoding="utf-8"?>
<Types xmlns="http://schemas.openxmlformats.org/package/2006/content-types">
  <Default Extension="bin" ContentType="application/vnd.openxmlformats-officedocument.spreadsheetml.printerSettings"/>
  <Default Extension="jpeg" ContentType="image/jpe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11.xml" ContentType="application/vnd.openxmlformats-officedocument.spreadsheetml.comments+xml"/>
  <Override PartName="/xl/drawings/drawing29.xml" ContentType="application/vnd.openxmlformats-officedocument.drawing+xml"/>
  <Override PartName="/xl/comments12.xml" ContentType="application/vnd.openxmlformats-officedocument.spreadsheetml.comments+xml"/>
  <Override PartName="/xl/drawings/drawing30.xml" ContentType="application/vnd.openxmlformats-officedocument.drawing+xml"/>
  <Override PartName="/xl/comments13.xml" ContentType="application/vnd.openxmlformats-officedocument.spreadsheetml.comments+xml"/>
  <Override PartName="/xl/drawings/drawing31.xml" ContentType="application/vnd.openxmlformats-officedocument.drawing+xml"/>
  <Override PartName="/xl/comments14.xml" ContentType="application/vnd.openxmlformats-officedocument.spreadsheetml.comments+xml"/>
  <Override PartName="/xl/drawings/drawing32.xml" ContentType="application/vnd.openxmlformats-officedocument.drawing+xml"/>
  <Override PartName="/xl/comments15.xml" ContentType="application/vnd.openxmlformats-officedocument.spreadsheetml.comments+xml"/>
  <Override PartName="/xl/drawings/drawing33.xml" ContentType="application/vnd.openxmlformats-officedocument.drawing+xml"/>
  <Override PartName="/xl/comments16.xml" ContentType="application/vnd.openxmlformats-officedocument.spreadsheetml.comments+xml"/>
  <Override PartName="/xl/drawings/drawing34.xml" ContentType="application/vnd.openxmlformats-officedocument.drawing+xml"/>
  <Override PartName="/xl/comments17.xml" ContentType="application/vnd.openxmlformats-officedocument.spreadsheetml.comments+xml"/>
  <Override PartName="/xl/drawings/drawing35.xml" ContentType="application/vnd.openxmlformats-officedocument.drawing+xml"/>
  <Override PartName="/xl/comments18.xml" ContentType="application/vnd.openxmlformats-officedocument.spreadsheetml.comments+xml"/>
  <Override PartName="/xl/drawings/drawing36.xml" ContentType="application/vnd.openxmlformats-officedocument.drawing+xml"/>
  <Override PartName="/xl/comments19.xml" ContentType="application/vnd.openxmlformats-officedocument.spreadsheetml.comments+xml"/>
  <Override PartName="/xl/drawings/drawing37.xml" ContentType="application/vnd.openxmlformats-officedocument.drawing+xml"/>
  <Override PartName="/xl/comments20.xml" ContentType="application/vnd.openxmlformats-officedocument.spreadsheetml.comments+xml"/>
  <Override PartName="/xl/drawings/drawing38.xml" ContentType="application/vnd.openxmlformats-officedocument.drawing+xml"/>
  <Override PartName="/xl/comments21.xml" ContentType="application/vnd.openxmlformats-officedocument.spreadsheetml.comments+xml"/>
  <Override PartName="/xl/drawings/drawing39.xml" ContentType="application/vnd.openxmlformats-officedocument.drawing+xml"/>
  <Override PartName="/xl/comments22.xml" ContentType="application/vnd.openxmlformats-officedocument.spreadsheetml.comments+xml"/>
  <Override PartName="/xl/drawings/drawing40.xml" ContentType="application/vnd.openxmlformats-officedocument.drawing+xml"/>
  <Override PartName="/xl/comments23.xml" ContentType="application/vnd.openxmlformats-officedocument.spreadsheetml.comments+xml"/>
  <Override PartName="/xl/drawings/drawing41.xml" ContentType="application/vnd.openxmlformats-officedocument.drawing+xml"/>
  <Override PartName="/xl/comments24.xml" ContentType="application/vnd.openxmlformats-officedocument.spreadsheetml.comments+xml"/>
  <Override PartName="/xl/drawings/drawing42.xml" ContentType="application/vnd.openxmlformats-officedocument.drawing+xml"/>
  <Override PartName="/xl/comments25.xml" ContentType="application/vnd.openxmlformats-officedocument.spreadsheetml.comments+xml"/>
  <Override PartName="/xl/drawings/drawing43.xml" ContentType="application/vnd.openxmlformats-officedocument.drawing+xml"/>
  <Override PartName="/xl/comments26.xml" ContentType="application/vnd.openxmlformats-officedocument.spreadsheetml.comments+xml"/>
  <Override PartName="/xl/drawings/drawing44.xml" ContentType="application/vnd.openxmlformats-officedocument.drawing+xml"/>
  <Override PartName="/xl/comments27.xml" ContentType="application/vnd.openxmlformats-officedocument.spreadsheetml.comments+xml"/>
  <Override PartName="/xl/drawings/drawing45.xml" ContentType="application/vnd.openxmlformats-officedocument.drawing+xml"/>
  <Override PartName="/xl/comments28.xml" ContentType="application/vnd.openxmlformats-officedocument.spreadsheetml.comments+xml"/>
  <Override PartName="/xl/drawings/drawing46.xml" ContentType="application/vnd.openxmlformats-officedocument.drawing+xml"/>
  <Override PartName="/xl/comments29.xml" ContentType="application/vnd.openxmlformats-officedocument.spreadsheetml.comments+xml"/>
  <Override PartName="/xl/drawings/drawing47.xml" ContentType="application/vnd.openxmlformats-officedocument.drawing+xml"/>
  <Override PartName="/xl/comments30.xml" ContentType="application/vnd.openxmlformats-officedocument.spreadsheetml.comments+xml"/>
  <Override PartName="/xl/drawings/drawing48.xml" ContentType="application/vnd.openxmlformats-officedocument.drawing+xml"/>
  <Override PartName="/xl/comments31.xml" ContentType="application/vnd.openxmlformats-officedocument.spreadsheetml.comments+xml"/>
  <Override PartName="/xl/drawings/drawing49.xml" ContentType="application/vnd.openxmlformats-officedocument.drawing+xml"/>
  <Override PartName="/xl/comments32.xml" ContentType="application/vnd.openxmlformats-officedocument.spreadsheetml.comments+xml"/>
  <Override PartName="/xl/drawings/drawing50.xml" ContentType="application/vnd.openxmlformats-officedocument.drawing+xml"/>
  <Override PartName="/xl/comments33.xml" ContentType="application/vnd.openxmlformats-officedocument.spreadsheetml.comments+xml"/>
  <Override PartName="/xl/drawings/drawing51.xml" ContentType="application/vnd.openxmlformats-officedocument.drawing+xml"/>
  <Override PartName="/xl/comments34.xml" ContentType="application/vnd.openxmlformats-officedocument.spreadsheetml.comments+xml"/>
  <Override PartName="/xl/drawings/drawing52.xml" ContentType="application/vnd.openxmlformats-officedocument.drawing+xml"/>
  <Override PartName="/xl/comments35.xml" ContentType="application/vnd.openxmlformats-officedocument.spreadsheetml.comments+xml"/>
  <Override PartName="/xl/drawings/drawing53.xml" ContentType="application/vnd.openxmlformats-officedocument.drawing+xml"/>
  <Override PartName="/xl/comments36.xml" ContentType="application/vnd.openxmlformats-officedocument.spreadsheetml.comments+xml"/>
  <Override PartName="/xl/drawings/drawing54.xml" ContentType="application/vnd.openxmlformats-officedocument.drawing+xml"/>
  <Override PartName="/xl/comments37.xml" ContentType="application/vnd.openxmlformats-officedocument.spreadsheetml.comments+xml"/>
  <Override PartName="/xl/drawings/drawing55.xml" ContentType="application/vnd.openxmlformats-officedocument.drawing+xml"/>
  <Override PartName="/xl/comments38.xml" ContentType="application/vnd.openxmlformats-officedocument.spreadsheetml.comments+xml"/>
  <Override PartName="/xl/drawings/drawing56.xml" ContentType="application/vnd.openxmlformats-officedocument.drawing+xml"/>
  <Override PartName="/xl/comments39.xml" ContentType="application/vnd.openxmlformats-officedocument.spreadsheetml.comments+xml"/>
  <Override PartName="/xl/drawings/drawing57.xml" ContentType="application/vnd.openxmlformats-officedocument.drawing+xml"/>
  <Override PartName="/xl/comments40.xml" ContentType="application/vnd.openxmlformats-officedocument.spreadsheetml.comments+xml"/>
  <Override PartName="/xl/drawings/drawing58.xml" ContentType="application/vnd.openxmlformats-officedocument.drawing+xml"/>
  <Override PartName="/xl/comments41.xml" ContentType="application/vnd.openxmlformats-officedocument.spreadsheetml.comments+xml"/>
  <Override PartName="/xl/drawings/drawing59.xml" ContentType="application/vnd.openxmlformats-officedocument.drawing+xml"/>
  <Override PartName="/xl/comments42.xml" ContentType="application/vnd.openxmlformats-officedocument.spreadsheetml.comments+xml"/>
  <Override PartName="/xl/drawings/drawing60.xml" ContentType="application/vnd.openxmlformats-officedocument.drawing+xml"/>
  <Override PartName="/xl/comments43.xml" ContentType="application/vnd.openxmlformats-officedocument.spreadsheetml.comments+xml"/>
  <Override PartName="/xl/drawings/drawing61.xml" ContentType="application/vnd.openxmlformats-officedocument.drawing+xml"/>
  <Override PartName="/xl/comments4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ThisWorkbook"/>
  <mc:AlternateContent xmlns:mc="http://schemas.openxmlformats.org/markup-compatibility/2006">
    <mc:Choice Requires="x15">
      <x15ac:absPath xmlns:x15ac="http://schemas.microsoft.com/office/spreadsheetml/2010/11/ac" url="C:\Users\darien.shannon\Desktop\"/>
    </mc:Choice>
  </mc:AlternateContent>
  <x:workbookProtection lockStructure="1"/>
  <x:bookViews>
    <x:workbookView xWindow="0" yWindow="0" windowWidth="15345" windowHeight="7005" tabRatio="665" firstSheet="45" activeTab="49"/>
  </x:bookViews>
  <x:sheets>
    <x:sheet name="TblJoistSize" sheetId="115" state="hidden" r:id="rId1"/>
    <x:sheet name="tblGirderData" sheetId="167" state="hidden" r:id="rId2"/>
    <x:sheet name="tblJoistData" sheetId="168" state="hidden" r:id="rId3"/>
    <x:sheet name="P_A" sheetId="164" state="hidden" r:id="rId4"/>
    <x:sheet name="C_A" sheetId="2" state="hidden" r:id="rId5"/>
    <x:sheet name="L_A" sheetId="114" state="hidden" r:id="rId6"/>
    <x:sheet name="N_A" sheetId="80" state="hidden" r:id="rId7"/>
    <x:sheet name="K_A" sheetId="117" state="hidden" r:id="rId8"/>
    <x:sheet name="S_A" sheetId="145" state="hidden" r:id="rId9"/>
    <x:sheet name="G_A" sheetId="84" state="hidden" r:id="rId10"/>
    <x:sheet name="G_B" sheetId="160" state="hidden" r:id="rId11"/>
    <x:sheet name="J_A" sheetId="147" state="hidden" r:id="rId12"/>
    <x:sheet name="J_B" sheetId="165" state="hidden" r:id="rId13"/>
    <x:sheet name="B_A" sheetId="162" state="hidden" r:id="rId14"/>
    <x:sheet name="B_B" sheetId="163" state="hidden" r:id="rId15"/>
    <x:sheet name="Discrepancy Check" sheetId="116" r:id="rId16"/>
    <x:sheet name="SectInfo" sheetId="146" state="hidden" r:id="rId17"/>
    <x:sheet name="Job Info." sheetId="13" r:id="rId18"/>
    <x:sheet name="P (1)" sheetId="213" r:id="rId19"/>
    <x:sheet name="C (1)" sheetId="194" r:id="rId20"/>
    <x:sheet name="C (2)" sheetId="195" r:id="rId21"/>
    <x:sheet name="C (3)" sheetId="209" r:id="rId22"/>
    <x:sheet name="C (4)" sheetId="210" r:id="rId23"/>
    <x:sheet name="C (5)" sheetId="211" r:id="rId24"/>
    <x:sheet name="C (6)" sheetId="212" r:id="rId25"/>
    <x:sheet name="N (1)" sheetId="186" r:id="rId26"/>
    <x:sheet name="N (2)" sheetId="187" r:id="rId27"/>
    <x:sheet name="N (3)" sheetId="188" r:id="rId28"/>
    <x:sheet name="N (4)" sheetId="189" r:id="rId29"/>
    <x:sheet name="N (5)" sheetId="190" r:id="rId30"/>
    <x:sheet name="L (1)" sheetId="181" r:id="rId31"/>
    <x:sheet name="L (2)" sheetId="182" r:id="rId32"/>
    <x:sheet name="L (3)" sheetId="183" r:id="rId33"/>
    <x:sheet name="L (4)" sheetId="184" r:id="rId34"/>
    <x:sheet name="L (5)" sheetId="185" r:id="rId35"/>
    <x:sheet name="K (1)" sheetId="169" r:id="rId36"/>
    <x:sheet name="S (1)" sheetId="170" r:id="rId37"/>
    <x:sheet name="S (2)" sheetId="171" r:id="rId38"/>
    <x:sheet name="S (3)" sheetId="172" r:id="rId39"/>
    <x:sheet name="S (4)" sheetId="173" r:id="rId40"/>
    <x:sheet name="S (5)" sheetId="174" r:id="rId41"/>
    <x:sheet name="S (6)" sheetId="175" r:id="rId42"/>
    <x:sheet name="S (7)" sheetId="176" r:id="rId43"/>
    <x:sheet name="S (8)" sheetId="177" r:id="rId44"/>
    <x:sheet name="S (9)" sheetId="178" r:id="rId45"/>
    <x:sheet name="S (10)" sheetId="179" r:id="rId46"/>
    <x:sheet name="S (11)" sheetId="180" r:id="rId47"/>
    <x:sheet name="G (1)" sheetId="191" r:id="rId48"/>
    <x:sheet name="G (2)" sheetId="192" r:id="rId49"/>
    <x:sheet name="G (3)" sheetId="193" r:id="rId50"/>
    <x:sheet name="J (1)" sheetId="196" r:id="rId51"/>
    <x:sheet name="J (2)" sheetId="197" r:id="rId52"/>
    <x:sheet name="J (3)" sheetId="198" r:id="rId53"/>
    <x:sheet name="J (4)" sheetId="199" r:id="rId54"/>
    <x:sheet name="J (5)" sheetId="200" r:id="rId55"/>
    <x:sheet name="J (6)" sheetId="201" r:id="rId56"/>
    <x:sheet name="J (7)" sheetId="202" r:id="rId57"/>
    <x:sheet name="J (8)" sheetId="203" r:id="rId58"/>
    <x:sheet name="J (9)" sheetId="204" r:id="rId59"/>
    <x:sheet name="J (10)" sheetId="205" r:id="rId60"/>
    <x:sheet name="J (11)" sheetId="206" r:id="rId61"/>
    <x:sheet name="J (12)" sheetId="207" r:id="rId62"/>
    <x:sheet name="J (13)" sheetId="208" r:id="rId63"/>
    <x:sheet name="B (1)" sheetId="215" r:id="rId64"/>
  </x:sheets>
  <x:externalReferences>
    <x:externalReference r:id="rId65"/>
  </x:externalReferences>
  <x:definedNames>
    <x:definedName name="Pos" localSheetId="30">'L (1)'!$S$14:$AD$14</x:definedName>
    <x:definedName name="Pos" localSheetId="31">'L (2)'!$S$14:$AD$14</x:definedName>
    <x:definedName name="Pos" localSheetId="32">'L (3)'!$S$14:$AD$14</x:definedName>
    <x:definedName name="Pos" localSheetId="33">'L (4)'!$S$14:$AD$14</x:definedName>
    <x:definedName name="Pos" localSheetId="34">'L (5)'!$S$14:$AD$14</x:definedName>
    <x:definedName name="Pos">L_A!$S$14:$AD$14</x:definedName>
    <x:definedName name="_xlnm.Print_Area" localSheetId="63">'B (1)'!$A$1:$P$42</x:definedName>
    <x:definedName name="_xlnm.Print_Area" localSheetId="13">B_A!$A$1:$P$42</x:definedName>
    <x:definedName name="_xlnm.Print_Area" localSheetId="14">B_B!$A$1:$P$42</x:definedName>
    <x:definedName name="_xlnm.Print_Area" localSheetId="19">'C (1)'!$A$1:$H$47</x:definedName>
    <x:definedName name="_xlnm.Print_Area" localSheetId="20">'C (2)'!$A$1:$H$47</x:definedName>
    <x:definedName name="_xlnm.Print_Area" localSheetId="21">'C (3)'!$A$1:$H$47</x:definedName>
    <x:definedName name="_xlnm.Print_Area" localSheetId="22">'C (4)'!$A$1:$H$47</x:definedName>
    <x:definedName name="_xlnm.Print_Area" localSheetId="23">'C (5)'!$A$1:$H$47</x:definedName>
    <x:definedName name="_xlnm.Print_Area" localSheetId="24">'C (6)'!$A$1:$H$47</x:definedName>
    <x:definedName name="_xlnm.Print_Area" localSheetId="4">C_A!$A$1:$H$47</x:definedName>
    <x:definedName name="_xlnm.Print_Area" localSheetId="15">'Discrepancy Check'!$A$1:$AB$54</x:definedName>
    <x:definedName name="_xlnm.Print_Area" localSheetId="47">'G (1)'!$A$1:$BG$45</x:definedName>
    <x:definedName name="_xlnm.Print_Area" localSheetId="48">'G (2)'!$A$1:$BG$45</x:definedName>
    <x:definedName name="_xlnm.Print_Area" localSheetId="49">'G (3)'!$A$1:$BG$45</x:definedName>
    <x:definedName name="_xlnm.Print_Area" localSheetId="9">G_A!$A$1:$BG$45</x:definedName>
    <x:definedName name="_xlnm.Print_Area" localSheetId="10">G_B!$A$1:$BG$45</x:definedName>
    <x:definedName name="_xlnm.Print_Area" localSheetId="50">'J (1)'!$A$1:$AA$40</x:definedName>
    <x:definedName name="_xlnm.Print_Area" localSheetId="59">'J (10)'!$A$1:$AA$45</x:definedName>
    <x:definedName name="_xlnm.Print_Area" localSheetId="60">'J (11)'!$A$1:$AA$45</x:definedName>
    <x:definedName name="_xlnm.Print_Area" localSheetId="61">'J (12)'!$A$1:$AA$45</x:definedName>
    <x:definedName name="_xlnm.Print_Area" localSheetId="62">'J (13)'!$A$1:$AA$45</x:definedName>
    <x:definedName name="_xlnm.Print_Area" localSheetId="51">'J (2)'!$A$1:$AA$45</x:definedName>
    <x:definedName name="_xlnm.Print_Area" localSheetId="52">'J (3)'!$A$1:$AA$45</x:definedName>
    <x:definedName name="_xlnm.Print_Area" localSheetId="53">'J (4)'!$A$1:$AA$45</x:definedName>
    <x:definedName name="_xlnm.Print_Area" localSheetId="54">'J (5)'!$A$1:$AA$45</x:definedName>
    <x:definedName name="_xlnm.Print_Area" localSheetId="55">'J (6)'!$A$1:$AA$45</x:definedName>
    <x:definedName name="_xlnm.Print_Area" localSheetId="56">'J (7)'!$A$1:$AA$45</x:definedName>
    <x:definedName name="_xlnm.Print_Area" localSheetId="57">'J (8)'!$A$1:$AA$45</x:definedName>
    <x:definedName name="_xlnm.Print_Area" localSheetId="58">'J (9)'!$A$1:$AA$45</x:definedName>
    <x:definedName name="_xlnm.Print_Area" localSheetId="11">J_A!$A$1:$AA$40</x:definedName>
    <x:definedName name="_xlnm.Print_Area" localSheetId="12">J_B!$A$1:$AA$45</x:definedName>
    <x:definedName name="_xlnm.Print_Area" localSheetId="17">'Job Info.'!$A$1:$F$50</x:definedName>
    <x:definedName name="_xlnm.Print_Area" localSheetId="35">'K (1)'!$A$1:$N$49</x:definedName>
    <x:definedName name="_xlnm.Print_Area" localSheetId="7">K_A!$A$1:$N$49</x:definedName>
    <x:definedName name="_xlnm.Print_Area" localSheetId="30">'L (1)'!$A$1:$N$55</x:definedName>
    <x:definedName name="_xlnm.Print_Area" localSheetId="31">'L (2)'!$A$1:$N$55</x:definedName>
    <x:definedName name="_xlnm.Print_Area" localSheetId="32">'L (3)'!$A$1:$N$55</x:definedName>
    <x:definedName name="_xlnm.Print_Area" localSheetId="33">'L (4)'!$A$1:$N$55</x:definedName>
    <x:definedName name="_xlnm.Print_Area" localSheetId="34">'L (5)'!$A$1:$N$55</x:definedName>
    <x:definedName name="_xlnm.Print_Area" localSheetId="5">L_A!$A$1:$N$55</x:definedName>
    <x:definedName name="_xlnm.Print_Area" localSheetId="25">'N (1)'!$A$1:$J$51</x:definedName>
    <x:definedName name="_xlnm.Print_Area" localSheetId="26">'N (2)'!$A$1:$J$51</x:definedName>
    <x:definedName name="_xlnm.Print_Area" localSheetId="27">'N (3)'!$A$1:$J$51</x:definedName>
    <x:definedName name="_xlnm.Print_Area" localSheetId="28">'N (4)'!$A$1:$J$51</x:definedName>
    <x:definedName name="_xlnm.Print_Area" localSheetId="29">'N (5)'!$A$1:$J$51</x:definedName>
    <x:definedName name="_xlnm.Print_Area" localSheetId="6">N_A!$A$1:$J$51</x:definedName>
    <x:definedName name="_xlnm.Print_Area" localSheetId="18">'P (1)'!$A$1:$H$47</x:definedName>
    <x:definedName name="_xlnm.Print_Area" localSheetId="3">P_A!$A$1:$H$47</x:definedName>
    <x:definedName name="_xlnm.Print_Area" localSheetId="36">'S (1)'!$A$1:$P$50</x:definedName>
    <x:definedName name="_xlnm.Print_Area" localSheetId="45">'S (10)'!$A$1:$P$50</x:definedName>
    <x:definedName name="_xlnm.Print_Area" localSheetId="46">'S (11)'!$A$1:$P$50</x:definedName>
    <x:definedName name="_xlnm.Print_Area" localSheetId="37">'S (2)'!$A$1:$P$50</x:definedName>
    <x:definedName name="_xlnm.Print_Area" localSheetId="38">'S (3)'!$A$1:$P$50</x:definedName>
    <x:definedName name="_xlnm.Print_Area" localSheetId="39">'S (4)'!$A$1:$P$50</x:definedName>
    <x:definedName name="_xlnm.Print_Area" localSheetId="40">'S (5)'!$A$1:$P$50</x:definedName>
    <x:definedName name="_xlnm.Print_Area" localSheetId="41">'S (6)'!$A$1:$P$50</x:definedName>
    <x:definedName name="_xlnm.Print_Area" localSheetId="42">'S (7)'!$A$1:$P$50</x:definedName>
    <x:definedName name="_xlnm.Print_Area" localSheetId="43">'S (8)'!$A$1:$P$50</x:definedName>
    <x:definedName name="_xlnm.Print_Area" localSheetId="44">'S (9)'!$A$1:$P$50</x:definedName>
    <x:definedName name="_xlnm.Print_Area" localSheetId="8">S_A!$A$1:$P$50</x:definedName>
    <x:definedName name="_xlnm.Print_Area" localSheetId="16">SectInfo!$A$1:$T$64</x:definedName>
    <x:definedName name="_xlnm.Print_Titles" localSheetId="16">SectInfo!$1:$2</x:definedName>
    <x:definedName name="Type" localSheetId="30">'L (1)'!$S$15:$AD$15</x:definedName>
    <x:definedName name="Type" localSheetId="31">'L (2)'!$S$15:$AD$15</x:definedName>
    <x:definedName name="Type" localSheetId="32">'L (3)'!$S$15:$AD$15</x:definedName>
    <x:definedName name="Type" localSheetId="33">'L (4)'!$S$15:$AD$15</x:definedName>
    <x:definedName name="Type" localSheetId="34">'L (5)'!$S$15:$AD$15</x:definedName>
    <x:definedName name="Type" localSheetId="1">[1]L_A!$S$15:$AD$15</x:definedName>
    <x:definedName name="Type" localSheetId="2">[1]L_A!$S$15:$AD$15</x:definedName>
    <x:definedName name="Type">L_A!$S$15:$AD$15</x:definedName>
  </x:definedNames>
  <x:calcPr calcId="162913"/>
</x:workbook>
</file>

<file path=xl/calcChain.xml><?xml version="1.0" encoding="utf-8"?>
<calcChain xmlns="http://schemas.openxmlformats.org/spreadsheetml/2006/main">
  <c r="Q28" i="203" l="1"/>
  <c r="AK33" i="193" l="1"/>
  <c r="AL33" i="193"/>
  <c r="AT33" i="193"/>
  <c r="AX33" i="193"/>
  <c r="AY33" i="193"/>
  <c r="AK34" i="193"/>
  <c r="AL34" i="193"/>
  <c r="AT34" i="193"/>
  <c r="AX34" i="193"/>
  <c r="AY34" i="193"/>
  <c r="AK35" i="193"/>
  <c r="AL35" i="193"/>
  <c r="AT35" i="193"/>
  <c r="AX35" i="193"/>
  <c r="AK36" i="193"/>
  <c r="AL36" i="193"/>
  <c r="AT36" i="193"/>
  <c r="AX36" i="193"/>
  <c r="AK37" i="193"/>
  <c r="AL37" i="193"/>
  <c r="AT37" i="193"/>
  <c r="AX37" i="193"/>
  <c r="AK38" i="193"/>
  <c r="AL38" i="193"/>
  <c r="AT38" i="193"/>
  <c r="AX38" i="193"/>
  <c r="AY38" i="193"/>
  <c r="AK32" i="193"/>
  <c r="AX32" i="193"/>
  <c r="AY32" i="193"/>
  <c r="AK26" i="192"/>
  <c r="AL26" i="192"/>
  <c r="AT26" i="192"/>
  <c r="AX26" i="192"/>
  <c r="AY26" i="192"/>
  <c r="BB26" i="192"/>
  <c r="BC26" i="192"/>
  <c r="BF26" i="192"/>
  <c r="BG26" i="192"/>
  <c r="AK27" i="192"/>
  <c r="AL27" i="192"/>
  <c r="AT27" i="192"/>
  <c r="AX27" i="192"/>
  <c r="BB27" i="192"/>
  <c r="BF27" i="192"/>
  <c r="BG27" i="192"/>
  <c r="AK28" i="192"/>
  <c r="AL28" i="192"/>
  <c r="AT28" i="192"/>
  <c r="AX28" i="192"/>
  <c r="AY28" i="192"/>
  <c r="BB28" i="192"/>
  <c r="BC28" i="192"/>
  <c r="BF28" i="192"/>
  <c r="BG28" i="192"/>
  <c r="AK29" i="192"/>
  <c r="AL29" i="192"/>
  <c r="AT29" i="192"/>
  <c r="AX29" i="192"/>
  <c r="BB29" i="192"/>
  <c r="BC29" i="192"/>
  <c r="BF29" i="192"/>
  <c r="BG29" i="192"/>
  <c r="AK30" i="192"/>
  <c r="AL30" i="192"/>
  <c r="AT30" i="192"/>
  <c r="AX30" i="192"/>
  <c r="BB30" i="192"/>
  <c r="BC30" i="192"/>
  <c r="BF30" i="192"/>
  <c r="BG30" i="192"/>
  <c r="AK31" i="192"/>
  <c r="AL31" i="192"/>
  <c r="AT31" i="192"/>
  <c r="AX31" i="192"/>
  <c r="BB31" i="192"/>
  <c r="BC31" i="192"/>
  <c r="BF31" i="192"/>
  <c r="BG31" i="192"/>
  <c r="AK32" i="192"/>
  <c r="AL32" i="192"/>
  <c r="AT32" i="192"/>
  <c r="AX32" i="192"/>
  <c r="AY32" i="192"/>
  <c r="BB32" i="192"/>
  <c r="BC32" i="192"/>
  <c r="BF32" i="192"/>
  <c r="BG32" i="192"/>
  <c r="AK33" i="192"/>
  <c r="AL33" i="192"/>
  <c r="AT33" i="192"/>
  <c r="AX33" i="192"/>
  <c r="BB33" i="192"/>
  <c r="BC33" i="192"/>
  <c r="BF33" i="192"/>
  <c r="BG33" i="192"/>
  <c r="AK34" i="192"/>
  <c r="AL34" i="192"/>
  <c r="AT34" i="192"/>
  <c r="AX34" i="192"/>
  <c r="BB34" i="192"/>
  <c r="BC34" i="192"/>
  <c r="BF34" i="192"/>
  <c r="BG34" i="192"/>
  <c r="AK35" i="192"/>
  <c r="AL35" i="192"/>
  <c r="AT35" i="192"/>
  <c r="AX35" i="192"/>
  <c r="BB35" i="192"/>
  <c r="BC35" i="192"/>
  <c r="BF35" i="192"/>
  <c r="BG35" i="192"/>
  <c r="AB36" i="192"/>
  <c r="AK36" i="192"/>
  <c r="AL36" i="192"/>
  <c r="AM36" i="192"/>
  <c r="AN36" i="192"/>
  <c r="AO36" i="192"/>
  <c r="AT36" i="192"/>
  <c r="AU36" i="192"/>
  <c r="AX36" i="192"/>
  <c r="AY36" i="192"/>
  <c r="BB36" i="192"/>
  <c r="BC36" i="192"/>
  <c r="BF36" i="192"/>
  <c r="BG36" i="192"/>
  <c r="AK37" i="192"/>
  <c r="AT37" i="192"/>
  <c r="AX37" i="192"/>
  <c r="AY37" i="192"/>
  <c r="BB37" i="192"/>
  <c r="BC37" i="192"/>
  <c r="BF37" i="192"/>
  <c r="BG37" i="192"/>
  <c r="AK38" i="192"/>
  <c r="AL38" i="192"/>
  <c r="AT38" i="192"/>
  <c r="BB38" i="192"/>
  <c r="BC38" i="192"/>
  <c r="BF38" i="192"/>
  <c r="BG38" i="192"/>
  <c r="AK39" i="192"/>
  <c r="AL39" i="192"/>
  <c r="AT39" i="192"/>
  <c r="BB39" i="192"/>
  <c r="BC39" i="192"/>
  <c r="BF39" i="192"/>
  <c r="BG39" i="192"/>
  <c r="AK40" i="192"/>
  <c r="AL40" i="192"/>
  <c r="AT40" i="192"/>
  <c r="AX40" i="192"/>
  <c r="AY40" i="192"/>
  <c r="BB40" i="192"/>
  <c r="BC40" i="192"/>
  <c r="BF40" i="192"/>
  <c r="BG40" i="192"/>
  <c r="AK41" i="192"/>
  <c r="AL41" i="192"/>
  <c r="AT41" i="192"/>
  <c r="AU41" i="192"/>
  <c r="AX41" i="192"/>
  <c r="AY41" i="192"/>
  <c r="BB41" i="192"/>
  <c r="BC41" i="192"/>
  <c r="BF41" i="192"/>
  <c r="BG41" i="192"/>
  <c r="E47" i="215" l="1"/>
  <c r="C47" i="215"/>
  <c r="T42" i="215"/>
  <c r="T41" i="215"/>
  <c r="T40" i="215"/>
  <c r="T39" i="215"/>
  <c r="T38" i="215"/>
  <c r="T37" i="215"/>
  <c r="T36" i="215"/>
  <c r="T35" i="215"/>
  <c r="T34" i="215"/>
  <c r="T33" i="215"/>
  <c r="T32" i="215"/>
  <c r="T31" i="215"/>
  <c r="T30" i="215"/>
  <c r="T29" i="215"/>
  <c r="T28" i="215"/>
  <c r="T27" i="215"/>
  <c r="AE25" i="215"/>
  <c r="W25" i="215"/>
  <c r="U25" i="215"/>
  <c r="HC22" i="215"/>
  <c r="HD22" i="215" s="1"/>
  <c r="HE22" i="215" s="1"/>
  <c r="HF22" i="215" s="1"/>
  <c r="HG22" i="215" s="1"/>
  <c r="HH22" i="215" s="1"/>
  <c r="HI22" i="215" s="1"/>
  <c r="HJ22" i="215" s="1"/>
  <c r="HK22" i="215" s="1"/>
  <c r="HL22" i="215" s="1"/>
  <c r="HM22" i="215" s="1"/>
  <c r="HN22" i="215" s="1"/>
  <c r="HO22" i="215" s="1"/>
  <c r="HP22" i="215" s="1"/>
  <c r="HB22" i="215"/>
  <c r="O10" i="215"/>
  <c r="J10" i="215"/>
  <c r="C10" i="215"/>
  <c r="J9" i="215"/>
  <c r="C9" i="215"/>
  <c r="I8" i="215"/>
  <c r="O7" i="215"/>
  <c r="O6" i="215"/>
  <c r="J4" i="215"/>
  <c r="J2" i="215"/>
  <c r="S1" i="215"/>
  <c r="S39" i="215" s="1"/>
  <c r="R1" i="215"/>
  <c r="J1" i="215"/>
  <c r="S28" i="215" l="1"/>
  <c r="S32" i="215"/>
  <c r="S36" i="215"/>
  <c r="S40" i="215"/>
  <c r="S37" i="215"/>
  <c r="S29" i="215"/>
  <c r="S33" i="215"/>
  <c r="S41" i="215"/>
  <c r="S30" i="215"/>
  <c r="S34" i="215"/>
  <c r="S38" i="215"/>
  <c r="S42" i="215"/>
  <c r="S27" i="215"/>
  <c r="S31" i="215"/>
  <c r="S35" i="215"/>
  <c r="Y7" i="208"/>
  <c r="Y7" i="207"/>
  <c r="Y7" i="206"/>
  <c r="Y7" i="205"/>
  <c r="Y7" i="204"/>
  <c r="Y7" i="203"/>
  <c r="Y7" i="202"/>
  <c r="Y7" i="201"/>
  <c r="Y7" i="200"/>
  <c r="Y7" i="199"/>
  <c r="Y7" i="198"/>
  <c r="Y7" i="197"/>
  <c r="Y7" i="196"/>
  <c r="X7" i="193"/>
  <c r="X7" i="192"/>
  <c r="X7" i="191"/>
  <c r="L7" i="180"/>
  <c r="L7" i="179"/>
  <c r="L7" i="178"/>
  <c r="L7" i="177"/>
  <c r="L7" i="176"/>
  <c r="L7" i="175"/>
  <c r="L7" i="174"/>
  <c r="L7" i="173"/>
  <c r="L7" i="172"/>
  <c r="L7" i="171"/>
  <c r="L7" i="170"/>
  <c r="L7" i="169"/>
  <c r="N7" i="185"/>
  <c r="N7" i="184"/>
  <c r="N7" i="183"/>
  <c r="N7" i="182"/>
  <c r="N7" i="181"/>
  <c r="H7" i="190"/>
  <c r="H7" i="189"/>
  <c r="H7" i="188"/>
  <c r="H7" i="187"/>
  <c r="H7" i="186"/>
  <c r="H5" i="213"/>
  <c r="E5" i="213"/>
  <c r="B5" i="213"/>
  <c r="E4" i="213"/>
  <c r="B4" i="213"/>
  <c r="F1" i="213"/>
  <c r="H5" i="212"/>
  <c r="E5" i="212"/>
  <c r="B5" i="212"/>
  <c r="E4" i="212"/>
  <c r="B4" i="212"/>
  <c r="F1" i="212"/>
  <c r="H5" i="211"/>
  <c r="E5" i="211"/>
  <c r="B5" i="211"/>
  <c r="E4" i="211"/>
  <c r="B4" i="211"/>
  <c r="F1" i="211"/>
  <c r="H5" i="210"/>
  <c r="E5" i="210"/>
  <c r="B5" i="210"/>
  <c r="E4" i="210"/>
  <c r="B4" i="210"/>
  <c r="F1" i="210"/>
  <c r="H5" i="209"/>
  <c r="E5" i="209"/>
  <c r="B5" i="209"/>
  <c r="E4" i="209"/>
  <c r="B4" i="209"/>
  <c r="F1" i="209"/>
  <c r="EO104" i="208"/>
  <c r="EN104" i="208"/>
  <c r="EM104" i="208"/>
  <c r="EO103" i="208"/>
  <c r="EN103" i="208"/>
  <c r="EM103" i="208"/>
  <c r="EO102" i="208"/>
  <c r="EN102" i="208"/>
  <c r="EM102" i="208"/>
  <c r="EO101" i="208"/>
  <c r="EN101" i="208"/>
  <c r="EM101" i="208"/>
  <c r="EO100" i="208"/>
  <c r="EN100" i="208"/>
  <c r="EM100" i="208"/>
  <c r="EO99" i="208"/>
  <c r="EN99" i="208"/>
  <c r="EM99" i="208"/>
  <c r="EO98" i="208"/>
  <c r="EN98" i="208"/>
  <c r="EM98" i="208"/>
  <c r="EO97" i="208"/>
  <c r="EN97" i="208"/>
  <c r="EM97" i="208"/>
  <c r="EO96" i="208"/>
  <c r="EN96" i="208"/>
  <c r="EM96" i="208"/>
  <c r="EO95" i="208"/>
  <c r="EN95" i="208"/>
  <c r="EM95" i="208"/>
  <c r="EO94" i="208"/>
  <c r="EN94" i="208"/>
  <c r="EM94" i="208"/>
  <c r="EO93" i="208"/>
  <c r="EN93" i="208"/>
  <c r="EM93" i="208"/>
  <c r="EO92" i="208"/>
  <c r="EN92" i="208"/>
  <c r="EM92" i="208"/>
  <c r="EO91" i="208"/>
  <c r="EN91" i="208"/>
  <c r="EM91" i="208"/>
  <c r="EO90" i="208"/>
  <c r="EN90" i="208"/>
  <c r="EM90" i="208"/>
  <c r="EO89" i="208"/>
  <c r="EN89" i="208"/>
  <c r="EM89" i="208"/>
  <c r="EO88" i="208"/>
  <c r="EN88" i="208"/>
  <c r="EM88" i="208"/>
  <c r="EO87" i="208"/>
  <c r="EN87" i="208"/>
  <c r="EM87" i="208"/>
  <c r="EO86" i="208"/>
  <c r="EN86" i="208"/>
  <c r="EM86" i="208"/>
  <c r="EO85" i="208"/>
  <c r="EN85" i="208"/>
  <c r="EM85" i="208"/>
  <c r="EO84" i="208"/>
  <c r="EN84" i="208"/>
  <c r="EM84" i="208"/>
  <c r="EO83" i="208"/>
  <c r="EN83" i="208"/>
  <c r="EM83" i="208"/>
  <c r="EO82" i="208"/>
  <c r="EN82" i="208"/>
  <c r="EM82" i="208"/>
  <c r="EO81" i="208"/>
  <c r="EN81" i="208"/>
  <c r="EM81" i="208"/>
  <c r="EO80" i="208"/>
  <c r="EN80" i="208"/>
  <c r="EM80" i="208"/>
  <c r="EO79" i="208"/>
  <c r="EN79" i="208"/>
  <c r="EM79" i="208"/>
  <c r="EO78" i="208"/>
  <c r="EN78" i="208"/>
  <c r="EM78" i="208"/>
  <c r="EO77" i="208"/>
  <c r="EN77" i="208"/>
  <c r="EM77" i="208"/>
  <c r="EO76" i="208"/>
  <c r="EN76" i="208"/>
  <c r="EM76" i="208"/>
  <c r="EO75" i="208"/>
  <c r="EN75" i="208"/>
  <c r="EM75" i="208"/>
  <c r="AW57" i="208"/>
  <c r="AA57" i="208"/>
  <c r="Z57" i="208"/>
  <c r="Y57" i="208"/>
  <c r="X57" i="208"/>
  <c r="W57" i="208"/>
  <c r="V57" i="208"/>
  <c r="U57" i="208"/>
  <c r="T57" i="208"/>
  <c r="AR57" i="208" s="1"/>
  <c r="S57" i="208"/>
  <c r="R57" i="208"/>
  <c r="Q57" i="208"/>
  <c r="P57" i="208"/>
  <c r="O57" i="208"/>
  <c r="N57" i="208"/>
  <c r="M57" i="208"/>
  <c r="L57" i="208"/>
  <c r="K57" i="208"/>
  <c r="J57" i="208"/>
  <c r="I57" i="208"/>
  <c r="H57" i="208"/>
  <c r="G57" i="208"/>
  <c r="F57" i="208"/>
  <c r="E57" i="208"/>
  <c r="D57" i="208"/>
  <c r="C57" i="208"/>
  <c r="AV57" i="208" s="1"/>
  <c r="AK57" i="208" s="1"/>
  <c r="B57" i="208"/>
  <c r="A57" i="208"/>
  <c r="GF45" i="208"/>
  <c r="FU45" i="208"/>
  <c r="FI45" i="208"/>
  <c r="FH45" i="208"/>
  <c r="FC45" i="208"/>
  <c r="FA45" i="208"/>
  <c r="EZ45" i="208"/>
  <c r="EX45" i="208"/>
  <c r="ER45" i="208"/>
  <c r="EB45" i="208"/>
  <c r="EA45" i="208"/>
  <c r="DY45" i="208"/>
  <c r="DW45" i="208"/>
  <c r="DS45" i="208"/>
  <c r="DO45" i="208"/>
  <c r="DN45" i="208"/>
  <c r="DM45" i="208"/>
  <c r="DL45" i="208"/>
  <c r="DK45" i="208"/>
  <c r="EL45" i="208" s="1"/>
  <c r="EN45" i="208" s="1"/>
  <c r="DJ45" i="208"/>
  <c r="DI45" i="208"/>
  <c r="DH45" i="208"/>
  <c r="DG45" i="208"/>
  <c r="DF45" i="208"/>
  <c r="ED45" i="208" s="1"/>
  <c r="DE45" i="208"/>
  <c r="FR45" i="208" s="1"/>
  <c r="DD45" i="208"/>
  <c r="FD45" i="208" s="1"/>
  <c r="FE45" i="208" s="1"/>
  <c r="FF45" i="208" s="1"/>
  <c r="FG45" i="208" s="1"/>
  <c r="Y45" i="208" s="1"/>
  <c r="DC45" i="208"/>
  <c r="DB45" i="208"/>
  <c r="DA45" i="208"/>
  <c r="EE45" i="208" s="1"/>
  <c r="CZ45" i="208"/>
  <c r="CY45" i="208"/>
  <c r="CX45" i="208"/>
  <c r="CW45" i="208"/>
  <c r="CV45" i="208"/>
  <c r="CU45" i="208"/>
  <c r="EY45" i="208" s="1"/>
  <c r="CQ45" i="208"/>
  <c r="CP45" i="208"/>
  <c r="CO45" i="208"/>
  <c r="CN45" i="208"/>
  <c r="CM45" i="208"/>
  <c r="CL45" i="208"/>
  <c r="AV45" i="208"/>
  <c r="AH45" i="208"/>
  <c r="AF45" i="208"/>
  <c r="AD45" i="208"/>
  <c r="K45" i="208"/>
  <c r="C45" i="208"/>
  <c r="AG45" i="208" s="1"/>
  <c r="A45" i="208"/>
  <c r="AX45" i="208" s="1"/>
  <c r="GE44" i="208"/>
  <c r="GD44" i="208"/>
  <c r="FV44" i="208"/>
  <c r="FT44" i="208"/>
  <c r="FJ44" i="208"/>
  <c r="FK44" i="208" s="1"/>
  <c r="FL44" i="208" s="1"/>
  <c r="Z44" i="208" s="1"/>
  <c r="FF44" i="208"/>
  <c r="FG44" i="208" s="1"/>
  <c r="Y44" i="208" s="1"/>
  <c r="FD44" i="208"/>
  <c r="FC44" i="208"/>
  <c r="EZ44" i="208"/>
  <c r="EY44" i="208"/>
  <c r="EX44" i="208"/>
  <c r="EM44" i="208"/>
  <c r="EQ44" i="208" s="1"/>
  <c r="CI44" i="208" s="1"/>
  <c r="EL44" i="208"/>
  <c r="EN44" i="208" s="1"/>
  <c r="ER44" i="208" s="1"/>
  <c r="EK44" i="208"/>
  <c r="EG44" i="208"/>
  <c r="EE44" i="208"/>
  <c r="EF44" i="208" s="1"/>
  <c r="EJ44" i="208" s="1"/>
  <c r="EC44" i="208"/>
  <c r="DY44" i="208"/>
  <c r="DW44" i="208"/>
  <c r="FO44" i="208" s="1"/>
  <c r="DV44" i="208"/>
  <c r="DU44" i="208"/>
  <c r="DS44" i="208"/>
  <c r="DO44" i="208"/>
  <c r="FE44" i="208" s="1"/>
  <c r="DN44" i="208"/>
  <c r="FI44" i="208" s="1"/>
  <c r="DM44" i="208"/>
  <c r="DL44" i="208"/>
  <c r="DK44" i="208"/>
  <c r="DJ44" i="208"/>
  <c r="DI44" i="208"/>
  <c r="DH44" i="208"/>
  <c r="FM44" i="208" s="1"/>
  <c r="DG44" i="208"/>
  <c r="DF44" i="208"/>
  <c r="DE44" i="208"/>
  <c r="FB44" i="208" s="1"/>
  <c r="DD44" i="208"/>
  <c r="DC44" i="208"/>
  <c r="DB44" i="208"/>
  <c r="DA44" i="208"/>
  <c r="CZ44" i="208"/>
  <c r="CY44" i="208"/>
  <c r="CX44" i="208"/>
  <c r="CW44" i="208"/>
  <c r="CV44" i="208"/>
  <c r="DX44" i="208" s="1"/>
  <c r="CU44" i="208"/>
  <c r="FQ44" i="208" s="1"/>
  <c r="CQ44" i="208"/>
  <c r="CP44" i="208"/>
  <c r="CK44" i="208" s="1"/>
  <c r="CO44" i="208"/>
  <c r="CN44" i="208"/>
  <c r="CM44" i="208"/>
  <c r="CL44" i="208"/>
  <c r="CE44" i="208"/>
  <c r="AX44" i="208"/>
  <c r="AW44" i="208"/>
  <c r="AG44" i="208"/>
  <c r="F44" i="208"/>
  <c r="C44" i="208"/>
  <c r="AD44" i="208" s="1"/>
  <c r="A44" i="208"/>
  <c r="GF44" i="208" s="1"/>
  <c r="FU43" i="208"/>
  <c r="FT43" i="208"/>
  <c r="FR43" i="208"/>
  <c r="FI43" i="208"/>
  <c r="FH43" i="208"/>
  <c r="FE43" i="208"/>
  <c r="FF43" i="208" s="1"/>
  <c r="FG43" i="208" s="1"/>
  <c r="Y43" i="208" s="1"/>
  <c r="FD43" i="208"/>
  <c r="FC43" i="208"/>
  <c r="FB43" i="208"/>
  <c r="FA43" i="208"/>
  <c r="EZ43" i="208"/>
  <c r="EE43" i="208" s="1"/>
  <c r="EN43" i="208"/>
  <c r="EM43" i="208"/>
  <c r="EC43" i="208"/>
  <c r="FP43" i="208" s="1"/>
  <c r="EB43" i="208"/>
  <c r="EA43" i="208"/>
  <c r="DY43" i="208"/>
  <c r="DX43" i="208"/>
  <c r="F43" i="208" s="1"/>
  <c r="DU43" i="208"/>
  <c r="DS43" i="208"/>
  <c r="DP43" i="208"/>
  <c r="DO43" i="208"/>
  <c r="FJ43" i="208" s="1"/>
  <c r="FK43" i="208" s="1"/>
  <c r="FL43" i="208" s="1"/>
  <c r="Z43" i="208" s="1"/>
  <c r="DN43" i="208"/>
  <c r="DM43" i="208"/>
  <c r="DL43" i="208"/>
  <c r="DK43" i="208"/>
  <c r="EL43" i="208" s="1"/>
  <c r="DJ43" i="208"/>
  <c r="DI43" i="208"/>
  <c r="DH43" i="208"/>
  <c r="DG43" i="208"/>
  <c r="DF43" i="208"/>
  <c r="ED43" i="208" s="1"/>
  <c r="DE43" i="208"/>
  <c r="DD43" i="208"/>
  <c r="DC43" i="208"/>
  <c r="DB43" i="208"/>
  <c r="DA43" i="208"/>
  <c r="CZ43" i="208"/>
  <c r="CY43" i="208"/>
  <c r="CX43" i="208"/>
  <c r="CW43" i="208"/>
  <c r="CV43" i="208"/>
  <c r="CU43" i="208"/>
  <c r="CQ43" i="208"/>
  <c r="CP43" i="208"/>
  <c r="CO43" i="208"/>
  <c r="CN43" i="208"/>
  <c r="CM43" i="208"/>
  <c r="CL43" i="208"/>
  <c r="AV43" i="208"/>
  <c r="AH43" i="208"/>
  <c r="K43" i="208"/>
  <c r="H43" i="208"/>
  <c r="G43" i="208"/>
  <c r="C43" i="208"/>
  <c r="AD43" i="208" s="1"/>
  <c r="A43" i="208"/>
  <c r="FV42" i="208"/>
  <c r="FS42" i="208"/>
  <c r="FR42" i="208"/>
  <c r="FO42" i="208"/>
  <c r="FD42" i="208"/>
  <c r="FC42" i="208"/>
  <c r="EL42" i="208" s="1"/>
  <c r="FB42" i="208"/>
  <c r="EZ42" i="208"/>
  <c r="EE42" i="208" s="1"/>
  <c r="EF42" i="208" s="1"/>
  <c r="EG42" i="208"/>
  <c r="ED42" i="208"/>
  <c r="EC42" i="208"/>
  <c r="FP42" i="208" s="1"/>
  <c r="EA42" i="208"/>
  <c r="DY42" i="208"/>
  <c r="DW42" i="208"/>
  <c r="DV42" i="208"/>
  <c r="DU42" i="208"/>
  <c r="DS42" i="208"/>
  <c r="DO42" i="208"/>
  <c r="DN42" i="208"/>
  <c r="FI42" i="208" s="1"/>
  <c r="DM42" i="208"/>
  <c r="DL42" i="208"/>
  <c r="DK42" i="208"/>
  <c r="DJ42" i="208"/>
  <c r="DI42" i="208"/>
  <c r="FT42" i="208" s="1"/>
  <c r="DH42" i="208"/>
  <c r="FM42" i="208" s="1"/>
  <c r="DG42" i="208"/>
  <c r="DF42" i="208"/>
  <c r="EB42" i="208" s="1"/>
  <c r="DE42" i="208"/>
  <c r="FA42" i="208" s="1"/>
  <c r="DD42" i="208"/>
  <c r="DC42" i="208"/>
  <c r="DB42" i="208"/>
  <c r="DA42" i="208"/>
  <c r="CZ42" i="208"/>
  <c r="CY42" i="208"/>
  <c r="CD42" i="208" s="1"/>
  <c r="CX42" i="208"/>
  <c r="FU42" i="208" s="1"/>
  <c r="CW42" i="208"/>
  <c r="CV42" i="208"/>
  <c r="DX42" i="208" s="1"/>
  <c r="CU42" i="208"/>
  <c r="CQ42" i="208"/>
  <c r="CP42" i="208"/>
  <c r="CK42" i="208" s="1"/>
  <c r="CO42" i="208"/>
  <c r="CN42" i="208"/>
  <c r="CM42" i="208"/>
  <c r="CL42" i="208"/>
  <c r="CE42" i="208"/>
  <c r="AH42" i="208"/>
  <c r="K42" i="208"/>
  <c r="J42" i="208"/>
  <c r="I42" i="208"/>
  <c r="G42" i="208"/>
  <c r="C42" i="208"/>
  <c r="A42" i="208"/>
  <c r="FV41" i="208"/>
  <c r="FU41" i="208"/>
  <c r="FR41" i="208"/>
  <c r="FI41" i="208"/>
  <c r="FJ41" i="208" s="1"/>
  <c r="FK41" i="208" s="1"/>
  <c r="FL41" i="208" s="1"/>
  <c r="Z41" i="208" s="1"/>
  <c r="FH41" i="208"/>
  <c r="FF41" i="208"/>
  <c r="FG41" i="208" s="1"/>
  <c r="FC41" i="208"/>
  <c r="FB41" i="208"/>
  <c r="FA41" i="208"/>
  <c r="EZ41" i="208"/>
  <c r="EN41" i="208"/>
  <c r="EF41" i="208"/>
  <c r="EC41" i="208"/>
  <c r="EB41" i="208"/>
  <c r="EA41" i="208"/>
  <c r="DY41" i="208"/>
  <c r="DW41" i="208"/>
  <c r="DS41" i="208"/>
  <c r="DP41" i="208"/>
  <c r="DO41" i="208"/>
  <c r="FE41" i="208" s="1"/>
  <c r="DN41" i="208"/>
  <c r="DM41" i="208"/>
  <c r="DL41" i="208"/>
  <c r="DK41" i="208"/>
  <c r="EL41" i="208" s="1"/>
  <c r="EM41" i="208" s="1"/>
  <c r="EQ41" i="208" s="1"/>
  <c r="DJ41" i="208"/>
  <c r="DI41" i="208"/>
  <c r="DH41" i="208"/>
  <c r="FM41" i="208" s="1"/>
  <c r="DG41" i="208"/>
  <c r="DF41" i="208"/>
  <c r="ED41" i="208" s="1"/>
  <c r="DE41" i="208"/>
  <c r="DD41" i="208"/>
  <c r="FD41" i="208" s="1"/>
  <c r="DC41" i="208"/>
  <c r="DB41" i="208"/>
  <c r="DA41" i="208"/>
  <c r="EE41" i="208" s="1"/>
  <c r="EG41" i="208" s="1"/>
  <c r="CZ41" i="208"/>
  <c r="CY41" i="208"/>
  <c r="FS41" i="208" s="1"/>
  <c r="CX41" i="208"/>
  <c r="CW41" i="208"/>
  <c r="CV41" i="208"/>
  <c r="CU41" i="208"/>
  <c r="CQ41" i="208"/>
  <c r="CP41" i="208"/>
  <c r="CK41" i="208" s="1"/>
  <c r="CO41" i="208"/>
  <c r="CN41" i="208"/>
  <c r="CM41" i="208"/>
  <c r="CL41" i="208"/>
  <c r="CD41" i="208"/>
  <c r="AW41" i="208"/>
  <c r="AV41" i="208"/>
  <c r="AM41" i="208"/>
  <c r="AK41" i="208"/>
  <c r="AH41" i="208"/>
  <c r="AG41" i="208"/>
  <c r="AF41" i="208"/>
  <c r="Y41" i="208"/>
  <c r="K41" i="208"/>
  <c r="J41" i="208"/>
  <c r="I41" i="208"/>
  <c r="C41" i="208"/>
  <c r="AE41" i="208" s="1"/>
  <c r="A41" i="208"/>
  <c r="AX41" i="208" s="1"/>
  <c r="GF40" i="208"/>
  <c r="GB40" i="208" s="1"/>
  <c r="FT40" i="208"/>
  <c r="FS40" i="208"/>
  <c r="FD40" i="208"/>
  <c r="FE40" i="208" s="1"/>
  <c r="FF40" i="208" s="1"/>
  <c r="FG40" i="208" s="1"/>
  <c r="Y40" i="208" s="1"/>
  <c r="FC40" i="208"/>
  <c r="EZ40" i="208"/>
  <c r="EX40" i="208"/>
  <c r="EM40" i="208"/>
  <c r="EL40" i="208"/>
  <c r="EN40" i="208" s="1"/>
  <c r="DY40" i="208"/>
  <c r="DX40" i="208"/>
  <c r="DW40" i="208"/>
  <c r="FO40" i="208" s="1"/>
  <c r="DV40" i="208"/>
  <c r="DU40" i="208"/>
  <c r="DS40" i="208"/>
  <c r="DO40" i="208"/>
  <c r="DN40" i="208"/>
  <c r="FI40" i="208" s="1"/>
  <c r="DM40" i="208"/>
  <c r="DL40" i="208"/>
  <c r="DK40" i="208"/>
  <c r="DJ40" i="208"/>
  <c r="DI40" i="208"/>
  <c r="DH40" i="208"/>
  <c r="DG40" i="208"/>
  <c r="DF40" i="208"/>
  <c r="DE40" i="208"/>
  <c r="DD40" i="208"/>
  <c r="DC40" i="208"/>
  <c r="DB40" i="208"/>
  <c r="DA40" i="208"/>
  <c r="EE40" i="208" s="1"/>
  <c r="EF40" i="208" s="1"/>
  <c r="CZ40" i="208"/>
  <c r="CY40" i="208"/>
  <c r="CX40" i="208"/>
  <c r="FU40" i="208" s="1"/>
  <c r="CW40" i="208"/>
  <c r="CV40" i="208"/>
  <c r="CU40" i="208"/>
  <c r="FQ40" i="208" s="1"/>
  <c r="CQ40" i="208"/>
  <c r="CP40" i="208"/>
  <c r="CO40" i="208"/>
  <c r="CN40" i="208"/>
  <c r="CM40" i="208"/>
  <c r="CL40" i="208"/>
  <c r="CE40" i="208"/>
  <c r="AH40" i="208"/>
  <c r="AG40" i="208"/>
  <c r="AF40" i="208"/>
  <c r="C40" i="208"/>
  <c r="AV40" i="208" s="1"/>
  <c r="A40" i="208"/>
  <c r="AX40" i="208" s="1"/>
  <c r="FV39" i="208"/>
  <c r="FU39" i="208"/>
  <c r="FP39" i="208"/>
  <c r="FH39" i="208"/>
  <c r="FC39" i="208"/>
  <c r="EZ39" i="208"/>
  <c r="EN39" i="208"/>
  <c r="EL39" i="208"/>
  <c r="EM39" i="208" s="1"/>
  <c r="ED39" i="208"/>
  <c r="EC39" i="208"/>
  <c r="EB39" i="208"/>
  <c r="EA39" i="208"/>
  <c r="DY39" i="208"/>
  <c r="DU39" i="208"/>
  <c r="DS39" i="208"/>
  <c r="DO39" i="208"/>
  <c r="DN39" i="208"/>
  <c r="FI39" i="208" s="1"/>
  <c r="DM39" i="208"/>
  <c r="DL39" i="208"/>
  <c r="DK39" i="208"/>
  <c r="DJ39" i="208"/>
  <c r="DI39" i="208"/>
  <c r="FT39" i="208" s="1"/>
  <c r="DH39" i="208"/>
  <c r="FM39" i="208" s="1"/>
  <c r="DG39" i="208"/>
  <c r="DF39" i="208"/>
  <c r="DE39" i="208"/>
  <c r="DD39" i="208"/>
  <c r="FD39" i="208" s="1"/>
  <c r="FE39" i="208" s="1"/>
  <c r="FF39" i="208" s="1"/>
  <c r="FG39" i="208" s="1"/>
  <c r="Y39" i="208" s="1"/>
  <c r="DC39" i="208"/>
  <c r="DB39" i="208"/>
  <c r="DA39" i="208"/>
  <c r="EE39" i="208" s="1"/>
  <c r="CZ39" i="208"/>
  <c r="CY39" i="208"/>
  <c r="FS39" i="208" s="1"/>
  <c r="CX39" i="208"/>
  <c r="CW39" i="208"/>
  <c r="CV39" i="208"/>
  <c r="CU39" i="208"/>
  <c r="EY39" i="208" s="1"/>
  <c r="CQ39" i="208"/>
  <c r="CP39" i="208"/>
  <c r="CO39" i="208"/>
  <c r="CN39" i="208"/>
  <c r="CM39" i="208"/>
  <c r="CL39" i="208"/>
  <c r="CE39" i="208"/>
  <c r="CD39" i="208"/>
  <c r="AW39" i="208"/>
  <c r="AV39" i="208"/>
  <c r="AK39" i="208" s="1"/>
  <c r="AH39" i="208"/>
  <c r="AE39" i="208"/>
  <c r="AD39" i="208"/>
  <c r="I39" i="208"/>
  <c r="C39" i="208"/>
  <c r="AG39" i="208" s="1"/>
  <c r="A39" i="208"/>
  <c r="GF38" i="208"/>
  <c r="FU38" i="208"/>
  <c r="FQ38" i="208"/>
  <c r="FO38" i="208"/>
  <c r="FI38" i="208"/>
  <c r="FH38" i="208"/>
  <c r="FD38" i="208"/>
  <c r="FC38" i="208"/>
  <c r="FA38" i="208"/>
  <c r="EZ38" i="208"/>
  <c r="ER38" i="208"/>
  <c r="EE38" i="208"/>
  <c r="EB38" i="208"/>
  <c r="EA38" i="208"/>
  <c r="DY38" i="208"/>
  <c r="DX38" i="208"/>
  <c r="DW38" i="208"/>
  <c r="DS38" i="208"/>
  <c r="DP38" i="208"/>
  <c r="DO38" i="208"/>
  <c r="DN38" i="208"/>
  <c r="DM38" i="208"/>
  <c r="DL38" i="208"/>
  <c r="DK38" i="208"/>
  <c r="EL38" i="208" s="1"/>
  <c r="EN38" i="208" s="1"/>
  <c r="DJ38" i="208"/>
  <c r="DI38" i="208"/>
  <c r="DH38" i="208"/>
  <c r="DG38" i="208"/>
  <c r="DF38" i="208"/>
  <c r="ED38" i="208" s="1"/>
  <c r="DE38" i="208"/>
  <c r="FR38" i="208" s="1"/>
  <c r="DD38" i="208"/>
  <c r="DC38" i="208"/>
  <c r="DB38" i="208"/>
  <c r="DA38" i="208"/>
  <c r="CZ38" i="208"/>
  <c r="CY38" i="208"/>
  <c r="CX38" i="208"/>
  <c r="CW38" i="208"/>
  <c r="CV38" i="208"/>
  <c r="CU38" i="208"/>
  <c r="EY38" i="208" s="1"/>
  <c r="CQ38" i="208"/>
  <c r="CP38" i="208"/>
  <c r="CK38" i="208" s="1"/>
  <c r="CO38" i="208"/>
  <c r="CN38" i="208"/>
  <c r="CM38" i="208"/>
  <c r="CL38" i="208"/>
  <c r="AX38" i="208"/>
  <c r="AH38" i="208"/>
  <c r="AE38" i="208"/>
  <c r="AD38" i="208"/>
  <c r="K38" i="208"/>
  <c r="H38" i="208"/>
  <c r="G38" i="208"/>
  <c r="F38" i="208"/>
  <c r="C38" i="208"/>
  <c r="AF38" i="208" s="1"/>
  <c r="A38" i="208"/>
  <c r="FV37" i="208"/>
  <c r="FU37" i="208"/>
  <c r="FS37" i="208"/>
  <c r="FR37" i="208"/>
  <c r="FM37" i="208"/>
  <c r="FD37" i="208"/>
  <c r="FC37" i="208"/>
  <c r="FB37" i="208"/>
  <c r="EZ37" i="208"/>
  <c r="EY37" i="208"/>
  <c r="EX37" i="208"/>
  <c r="EN37" i="208"/>
  <c r="EM37" i="208"/>
  <c r="EQ37" i="208" s="1"/>
  <c r="EL37" i="208"/>
  <c r="EE37" i="208"/>
  <c r="ED37" i="208"/>
  <c r="EC37" i="208"/>
  <c r="DY37" i="208"/>
  <c r="DX37" i="208"/>
  <c r="DW37" i="208"/>
  <c r="FO37" i="208" s="1"/>
  <c r="DV37" i="208"/>
  <c r="DU37" i="208"/>
  <c r="DS37" i="208"/>
  <c r="DO37" i="208"/>
  <c r="FJ37" i="208" s="1"/>
  <c r="FK37" i="208" s="1"/>
  <c r="FL37" i="208" s="1"/>
  <c r="DN37" i="208"/>
  <c r="FI37" i="208" s="1"/>
  <c r="DM37" i="208"/>
  <c r="DL37" i="208"/>
  <c r="DK37" i="208"/>
  <c r="DJ37" i="208"/>
  <c r="DI37" i="208"/>
  <c r="DH37" i="208"/>
  <c r="DG37" i="208"/>
  <c r="DF37" i="208"/>
  <c r="DE37" i="208"/>
  <c r="FA37" i="208" s="1"/>
  <c r="DD37" i="208"/>
  <c r="DC37" i="208"/>
  <c r="DB37" i="208"/>
  <c r="DA37" i="208"/>
  <c r="CZ37" i="208"/>
  <c r="CY37" i="208"/>
  <c r="CX37" i="208"/>
  <c r="FH37" i="208" s="1"/>
  <c r="CW37" i="208"/>
  <c r="CV37" i="208"/>
  <c r="CU37" i="208"/>
  <c r="FQ37" i="208" s="1"/>
  <c r="CQ37" i="208"/>
  <c r="CP37" i="208"/>
  <c r="CO37" i="208"/>
  <c r="CN37" i="208"/>
  <c r="CM37" i="208"/>
  <c r="CL37" i="208"/>
  <c r="CK37" i="208"/>
  <c r="CD37" i="208"/>
  <c r="AV37" i="208"/>
  <c r="AF37" i="208"/>
  <c r="AD37" i="208"/>
  <c r="Z37" i="208"/>
  <c r="C37" i="208"/>
  <c r="A37" i="208"/>
  <c r="FU36" i="208"/>
  <c r="FM36" i="208"/>
  <c r="FK36" i="208"/>
  <c r="FL36" i="208" s="1"/>
  <c r="Z36" i="208" s="1"/>
  <c r="FJ36" i="208"/>
  <c r="FH36" i="208"/>
  <c r="FC36" i="208"/>
  <c r="FB36" i="208"/>
  <c r="FA36" i="208"/>
  <c r="EZ36" i="208"/>
  <c r="ED36" i="208"/>
  <c r="EC36" i="208"/>
  <c r="FP36" i="208" s="1"/>
  <c r="EB36" i="208"/>
  <c r="EA36" i="208"/>
  <c r="DY36" i="208"/>
  <c r="DV36" i="208"/>
  <c r="DU36" i="208"/>
  <c r="DS36" i="208"/>
  <c r="DO36" i="208"/>
  <c r="DN36" i="208"/>
  <c r="FI36" i="208" s="1"/>
  <c r="DM36" i="208"/>
  <c r="DL36" i="208"/>
  <c r="DK36" i="208"/>
  <c r="DJ36" i="208"/>
  <c r="DI36" i="208"/>
  <c r="DH36" i="208"/>
  <c r="FV36" i="208" s="1"/>
  <c r="DG36" i="208"/>
  <c r="DF36" i="208"/>
  <c r="DE36" i="208"/>
  <c r="FR36" i="208" s="1"/>
  <c r="DD36" i="208"/>
  <c r="FD36" i="208" s="1"/>
  <c r="DC36" i="208"/>
  <c r="DB36" i="208"/>
  <c r="DA36" i="208"/>
  <c r="EE36" i="208" s="1"/>
  <c r="CZ36" i="208"/>
  <c r="CY36" i="208"/>
  <c r="FS36" i="208" s="1"/>
  <c r="CX36" i="208"/>
  <c r="CW36" i="208"/>
  <c r="CV36" i="208"/>
  <c r="CU36" i="208"/>
  <c r="CQ36" i="208"/>
  <c r="CP36" i="208"/>
  <c r="CK36" i="208" s="1"/>
  <c r="CO36" i="208"/>
  <c r="CN36" i="208"/>
  <c r="CM36" i="208"/>
  <c r="CL36" i="208"/>
  <c r="CE36" i="208"/>
  <c r="CD36" i="208"/>
  <c r="AW36" i="208"/>
  <c r="AH36" i="208"/>
  <c r="AF36" i="208"/>
  <c r="AD36" i="208"/>
  <c r="K36" i="208"/>
  <c r="J36" i="208"/>
  <c r="I36" i="208"/>
  <c r="C36" i="208"/>
  <c r="A36" i="208"/>
  <c r="GL35" i="208"/>
  <c r="GM35" i="208" s="1"/>
  <c r="GK35" i="208"/>
  <c r="GF35" i="208"/>
  <c r="FT35" i="208"/>
  <c r="FS35" i="208"/>
  <c r="FR35" i="208"/>
  <c r="FQ35" i="208"/>
  <c r="FM35" i="208"/>
  <c r="FI35" i="208"/>
  <c r="FD35" i="208"/>
  <c r="FE35" i="208" s="1"/>
  <c r="FF35" i="208" s="1"/>
  <c r="FG35" i="208" s="1"/>
  <c r="FC35" i="208"/>
  <c r="FB35" i="208"/>
  <c r="FA35" i="208"/>
  <c r="EZ35" i="208"/>
  <c r="EY35" i="208"/>
  <c r="EX35" i="208"/>
  <c r="EL35" i="208"/>
  <c r="EK35" i="208"/>
  <c r="EJ35" i="208"/>
  <c r="EF35" i="208"/>
  <c r="EE35" i="208"/>
  <c r="EG35" i="208" s="1"/>
  <c r="ED35" i="208"/>
  <c r="EC35" i="208"/>
  <c r="EB35" i="208"/>
  <c r="DZ35" i="208"/>
  <c r="DY35" i="208"/>
  <c r="DS35" i="208"/>
  <c r="DP35" i="208"/>
  <c r="DO35" i="208"/>
  <c r="FJ35" i="208" s="1"/>
  <c r="FK35" i="208" s="1"/>
  <c r="FL35" i="208" s="1"/>
  <c r="DN35" i="208"/>
  <c r="DM35" i="208"/>
  <c r="DL35" i="208"/>
  <c r="DK35" i="208"/>
  <c r="DJ35" i="208"/>
  <c r="DI35" i="208"/>
  <c r="DH35" i="208"/>
  <c r="FV35" i="208" s="1"/>
  <c r="DG35" i="208"/>
  <c r="DF35" i="208"/>
  <c r="EA35" i="208" s="1"/>
  <c r="DE35" i="208"/>
  <c r="DD35" i="208"/>
  <c r="DC35" i="208"/>
  <c r="DB35" i="208"/>
  <c r="DA35" i="208"/>
  <c r="CZ35" i="208"/>
  <c r="CY35" i="208"/>
  <c r="CX35" i="208"/>
  <c r="FH35" i="208" s="1"/>
  <c r="CW35" i="208"/>
  <c r="CV35" i="208"/>
  <c r="CU35" i="208"/>
  <c r="CQ35" i="208"/>
  <c r="CP35" i="208"/>
  <c r="CK35" i="208" s="1"/>
  <c r="CO35" i="208"/>
  <c r="CN35" i="208"/>
  <c r="CM35" i="208"/>
  <c r="CL35" i="208"/>
  <c r="CE35" i="208"/>
  <c r="CD35" i="208"/>
  <c r="AX35" i="208"/>
  <c r="AW35" i="208"/>
  <c r="AV35" i="208"/>
  <c r="AL35" i="208"/>
  <c r="AK35" i="208"/>
  <c r="AJ35" i="208"/>
  <c r="AH35" i="208"/>
  <c r="AG35" i="208"/>
  <c r="AF35" i="208"/>
  <c r="AE35" i="208"/>
  <c r="Z35" i="208"/>
  <c r="Y35" i="208"/>
  <c r="GM34" i="208"/>
  <c r="GL34" i="208"/>
  <c r="GK34" i="208"/>
  <c r="GF34" i="208"/>
  <c r="FQ34" i="208"/>
  <c r="FI34" i="208"/>
  <c r="FJ34" i="208" s="1"/>
  <c r="FK34" i="208" s="1"/>
  <c r="FL34" i="208" s="1"/>
  <c r="FD34" i="208"/>
  <c r="FC34" i="208"/>
  <c r="EL34" i="208" s="1"/>
  <c r="FB34" i="208"/>
  <c r="FA34" i="208"/>
  <c r="EZ34" i="208"/>
  <c r="EX34" i="208"/>
  <c r="EA34" i="208"/>
  <c r="DY34" i="208"/>
  <c r="DX34" i="208"/>
  <c r="DW34" i="208"/>
  <c r="DV34" i="208"/>
  <c r="DS34" i="208"/>
  <c r="DO34" i="208"/>
  <c r="FE34" i="208" s="1"/>
  <c r="FF34" i="208" s="1"/>
  <c r="FG34" i="208" s="1"/>
  <c r="Y34" i="208" s="1"/>
  <c r="DN34" i="208"/>
  <c r="DM34" i="208"/>
  <c r="DL34" i="208"/>
  <c r="DK34" i="208"/>
  <c r="DJ34" i="208"/>
  <c r="DI34" i="208"/>
  <c r="DH34" i="208"/>
  <c r="FM34" i="208" s="1"/>
  <c r="DG34" i="208"/>
  <c r="DF34" i="208"/>
  <c r="DE34" i="208"/>
  <c r="DD34" i="208"/>
  <c r="DC34" i="208"/>
  <c r="DB34" i="208"/>
  <c r="DA34" i="208"/>
  <c r="CZ34" i="208"/>
  <c r="CY34" i="208"/>
  <c r="CX34" i="208"/>
  <c r="CW34" i="208"/>
  <c r="CV34" i="208"/>
  <c r="DU34" i="208" s="1"/>
  <c r="CU34" i="208"/>
  <c r="EY34" i="208" s="1"/>
  <c r="CQ34" i="208"/>
  <c r="CP34" i="208"/>
  <c r="CO34" i="208"/>
  <c r="CN34" i="208"/>
  <c r="CM34" i="208"/>
  <c r="CL34" i="208"/>
  <c r="CE34" i="208"/>
  <c r="AX34" i="208"/>
  <c r="AW34" i="208"/>
  <c r="AV34" i="208"/>
  <c r="AH34" i="208"/>
  <c r="AG34" i="208"/>
  <c r="AF34" i="208"/>
  <c r="AE34" i="208"/>
  <c r="Z34" i="208"/>
  <c r="H34" i="208"/>
  <c r="G34" i="208"/>
  <c r="F34" i="208"/>
  <c r="GM33" i="208"/>
  <c r="GL33" i="208"/>
  <c r="GK33" i="208"/>
  <c r="GF33" i="208"/>
  <c r="FT33" i="208"/>
  <c r="FM33" i="208"/>
  <c r="FK33" i="208"/>
  <c r="FL33" i="208" s="1"/>
  <c r="Z33" i="208" s="1"/>
  <c r="FJ33" i="208"/>
  <c r="FD33" i="208"/>
  <c r="FC33" i="208"/>
  <c r="FB33" i="208"/>
  <c r="EZ33" i="208"/>
  <c r="EY33" i="208"/>
  <c r="EX33" i="208"/>
  <c r="EN33" i="208"/>
  <c r="EM33" i="208"/>
  <c r="EL33" i="208"/>
  <c r="EK33" i="208"/>
  <c r="EF33" i="208"/>
  <c r="EE33" i="208"/>
  <c r="EG33" i="208" s="1"/>
  <c r="DY33" i="208"/>
  <c r="DX33" i="208"/>
  <c r="DW33" i="208"/>
  <c r="DV33" i="208"/>
  <c r="DU33" i="208"/>
  <c r="DS33" i="208"/>
  <c r="DO33" i="208"/>
  <c r="FE33" i="208" s="1"/>
  <c r="FF33" i="208" s="1"/>
  <c r="FG33" i="208" s="1"/>
  <c r="Y33" i="208" s="1"/>
  <c r="DN33" i="208"/>
  <c r="FI33" i="208" s="1"/>
  <c r="DM33" i="208"/>
  <c r="DL33" i="208"/>
  <c r="DK33" i="208"/>
  <c r="DJ33" i="208"/>
  <c r="DI33" i="208"/>
  <c r="DH33" i="208"/>
  <c r="FV33" i="208" s="1"/>
  <c r="DG33" i="208"/>
  <c r="DF33" i="208"/>
  <c r="DE33" i="208"/>
  <c r="FA33" i="208" s="1"/>
  <c r="DD33" i="208"/>
  <c r="DC33" i="208"/>
  <c r="DB33" i="208"/>
  <c r="DA33" i="208"/>
  <c r="CZ33" i="208"/>
  <c r="CY33" i="208"/>
  <c r="CD33" i="208" s="1"/>
  <c r="CX33" i="208"/>
  <c r="CW33" i="208"/>
  <c r="CV33" i="208"/>
  <c r="FQ33" i="208" s="1"/>
  <c r="CU33" i="208"/>
  <c r="CQ33" i="208"/>
  <c r="CP33" i="208"/>
  <c r="CO33" i="208"/>
  <c r="CN33" i="208"/>
  <c r="CM33" i="208"/>
  <c r="CL33" i="208"/>
  <c r="CE33" i="208"/>
  <c r="AX33" i="208"/>
  <c r="AW33" i="208"/>
  <c r="AV33" i="208"/>
  <c r="AK33" i="208" s="1"/>
  <c r="AN33" i="208"/>
  <c r="AH33" i="208"/>
  <c r="AG33" i="208"/>
  <c r="AF33" i="208"/>
  <c r="AE33" i="208"/>
  <c r="GL32" i="208"/>
  <c r="GM32" i="208" s="1"/>
  <c r="GK32" i="208"/>
  <c r="GF32" i="208"/>
  <c r="FT32" i="208"/>
  <c r="FS32" i="208"/>
  <c r="FR32" i="208"/>
  <c r="FC32" i="208"/>
  <c r="FB32" i="208"/>
  <c r="EZ32" i="208"/>
  <c r="EL32" i="208"/>
  <c r="EE32" i="208"/>
  <c r="EB32" i="208"/>
  <c r="DY32" i="208"/>
  <c r="DW32" i="208"/>
  <c r="DS32" i="208"/>
  <c r="DO32" i="208"/>
  <c r="DN32" i="208"/>
  <c r="FI32" i="208" s="1"/>
  <c r="DM32" i="208"/>
  <c r="DL32" i="208"/>
  <c r="DK32" i="208"/>
  <c r="DJ32" i="208"/>
  <c r="DI32" i="208"/>
  <c r="DH32" i="208"/>
  <c r="FV32" i="208" s="1"/>
  <c r="DG32" i="208"/>
  <c r="DF32" i="208"/>
  <c r="EC32" i="208" s="1"/>
  <c r="DE32" i="208"/>
  <c r="FA32" i="208" s="1"/>
  <c r="DD32" i="208"/>
  <c r="FD32" i="208" s="1"/>
  <c r="DC32" i="208"/>
  <c r="DB32" i="208"/>
  <c r="DA32" i="208"/>
  <c r="CZ32" i="208"/>
  <c r="CY32" i="208"/>
  <c r="CD32" i="208" s="1"/>
  <c r="CX32" i="208"/>
  <c r="CW32" i="208"/>
  <c r="CV32" i="208"/>
  <c r="CU32" i="208"/>
  <c r="EY32" i="208" s="1"/>
  <c r="CQ32" i="208"/>
  <c r="CP32" i="208"/>
  <c r="CK32" i="208" s="1"/>
  <c r="CO32" i="208"/>
  <c r="CN32" i="208"/>
  <c r="CM32" i="208"/>
  <c r="CL32" i="208"/>
  <c r="CE32" i="208"/>
  <c r="AX32" i="208"/>
  <c r="AW32" i="208"/>
  <c r="AV32" i="208"/>
  <c r="AK32" i="208"/>
  <c r="AH32" i="208"/>
  <c r="AG32" i="208"/>
  <c r="AF32" i="208"/>
  <c r="AE32" i="208"/>
  <c r="GM31" i="208"/>
  <c r="GL31" i="208"/>
  <c r="GK31" i="208"/>
  <c r="GF31" i="208"/>
  <c r="FV31" i="208"/>
  <c r="FO31" i="208"/>
  <c r="FN31" i="208"/>
  <c r="FD31" i="208"/>
  <c r="FC31" i="208"/>
  <c r="EZ31" i="208"/>
  <c r="EY31" i="208"/>
  <c r="EX31" i="208"/>
  <c r="EN31" i="208"/>
  <c r="ER31" i="208" s="1"/>
  <c r="EM31" i="208"/>
  <c r="EQ31" i="208" s="1"/>
  <c r="CI31" i="208" s="1"/>
  <c r="EL31" i="208"/>
  <c r="ED31" i="208"/>
  <c r="DY31" i="208"/>
  <c r="DX31" i="208"/>
  <c r="DW31" i="208"/>
  <c r="DV31" i="208"/>
  <c r="DU31" i="208"/>
  <c r="DS31" i="208"/>
  <c r="DP31" i="208"/>
  <c r="DO31" i="208"/>
  <c r="DN31" i="208"/>
  <c r="FI31" i="208" s="1"/>
  <c r="DM31" i="208"/>
  <c r="DL31" i="208"/>
  <c r="DK31" i="208"/>
  <c r="DJ31" i="208"/>
  <c r="DI31" i="208"/>
  <c r="DH31" i="208"/>
  <c r="FM31" i="208" s="1"/>
  <c r="DG31" i="208"/>
  <c r="DF31" i="208"/>
  <c r="DE31" i="208"/>
  <c r="FR31" i="208" s="1"/>
  <c r="DD31" i="208"/>
  <c r="DC31" i="208"/>
  <c r="DB31" i="208"/>
  <c r="DA31" i="208"/>
  <c r="EE31" i="208" s="1"/>
  <c r="CZ31" i="208"/>
  <c r="CY31" i="208"/>
  <c r="CX31" i="208"/>
  <c r="FH31" i="208" s="1"/>
  <c r="CW31" i="208"/>
  <c r="CV31" i="208"/>
  <c r="CU31" i="208"/>
  <c r="FQ31" i="208" s="1"/>
  <c r="CQ31" i="208"/>
  <c r="CP31" i="208"/>
  <c r="CK31" i="208" s="1"/>
  <c r="CO31" i="208"/>
  <c r="CN31" i="208"/>
  <c r="CM31" i="208"/>
  <c r="CL31" i="208"/>
  <c r="AX31" i="208"/>
  <c r="AW31" i="208"/>
  <c r="AV31" i="208"/>
  <c r="AK31" i="208" s="1"/>
  <c r="AH31" i="208"/>
  <c r="AG31" i="208"/>
  <c r="AF31" i="208"/>
  <c r="AE31" i="208"/>
  <c r="GM30" i="208"/>
  <c r="GL30" i="208"/>
  <c r="GK30" i="208"/>
  <c r="GF30" i="208"/>
  <c r="FV30" i="208"/>
  <c r="FQ30" i="208"/>
  <c r="FD30" i="208"/>
  <c r="FC30" i="208"/>
  <c r="FB30" i="208"/>
  <c r="EZ30" i="208"/>
  <c r="EY30" i="208"/>
  <c r="EX30" i="208"/>
  <c r="EM30" i="208"/>
  <c r="EL30" i="208"/>
  <c r="EN30" i="208" s="1"/>
  <c r="EG30" i="208"/>
  <c r="DY30" i="208"/>
  <c r="DX30" i="208"/>
  <c r="G30" i="208" s="1"/>
  <c r="DW30" i="208"/>
  <c r="DS30" i="208"/>
  <c r="DO30" i="208"/>
  <c r="DN30" i="208"/>
  <c r="FI30" i="208" s="1"/>
  <c r="DM30" i="208"/>
  <c r="DL30" i="208"/>
  <c r="DK30" i="208"/>
  <c r="DJ30" i="208"/>
  <c r="DI30" i="208"/>
  <c r="FT30" i="208" s="1"/>
  <c r="DH30" i="208"/>
  <c r="FM30" i="208" s="1"/>
  <c r="DG30" i="208"/>
  <c r="DF30" i="208"/>
  <c r="DE30" i="208"/>
  <c r="FA30" i="208" s="1"/>
  <c r="DD30" i="208"/>
  <c r="DC30" i="208"/>
  <c r="DB30" i="208"/>
  <c r="DA30" i="208"/>
  <c r="EE30" i="208" s="1"/>
  <c r="EF30" i="208" s="1"/>
  <c r="CZ30" i="208"/>
  <c r="CY30" i="208"/>
  <c r="CX30" i="208"/>
  <c r="CW30" i="208"/>
  <c r="CV30" i="208"/>
  <c r="CU30" i="208"/>
  <c r="CQ30" i="208"/>
  <c r="CP30" i="208"/>
  <c r="CK30" i="208" s="1"/>
  <c r="CO30" i="208"/>
  <c r="CN30" i="208"/>
  <c r="CM30" i="208"/>
  <c r="CL30" i="208"/>
  <c r="CE30" i="208"/>
  <c r="AX30" i="208"/>
  <c r="AW30" i="208"/>
  <c r="AV30" i="208"/>
  <c r="AO30" i="208"/>
  <c r="AK30" i="208"/>
  <c r="AH30" i="208"/>
  <c r="AG30" i="208"/>
  <c r="AF30" i="208"/>
  <c r="AE30" i="208"/>
  <c r="H30" i="208"/>
  <c r="F30" i="208"/>
  <c r="GL29" i="208"/>
  <c r="GK29" i="208"/>
  <c r="GM29" i="208" s="1"/>
  <c r="GF29" i="208"/>
  <c r="FU29" i="208"/>
  <c r="FT29" i="208"/>
  <c r="FS29" i="208"/>
  <c r="FR29" i="208"/>
  <c r="FJ29" i="208"/>
  <c r="FK29" i="208" s="1"/>
  <c r="FL29" i="208" s="1"/>
  <c r="Z29" i="208" s="1"/>
  <c r="FI29" i="208"/>
  <c r="FH29" i="208"/>
  <c r="FC29" i="208"/>
  <c r="FB29" i="208"/>
  <c r="FA29" i="208"/>
  <c r="EZ29" i="208"/>
  <c r="EE29" i="208" s="1"/>
  <c r="EL29" i="208"/>
  <c r="ED29" i="208"/>
  <c r="EC29" i="208"/>
  <c r="EB29" i="208"/>
  <c r="EA29" i="208"/>
  <c r="DY29" i="208"/>
  <c r="DT29" i="208"/>
  <c r="DS29" i="208"/>
  <c r="DO29" i="208"/>
  <c r="DN29" i="208"/>
  <c r="DM29" i="208"/>
  <c r="DL29" i="208"/>
  <c r="DK29" i="208"/>
  <c r="DJ29" i="208"/>
  <c r="DI29" i="208"/>
  <c r="DH29" i="208"/>
  <c r="DG29" i="208"/>
  <c r="DF29" i="208"/>
  <c r="FP29" i="208" s="1"/>
  <c r="DE29" i="208"/>
  <c r="DD29" i="208"/>
  <c r="FD29" i="208" s="1"/>
  <c r="DC29" i="208"/>
  <c r="DB29" i="208"/>
  <c r="DA29" i="208"/>
  <c r="CZ29" i="208"/>
  <c r="CY29" i="208"/>
  <c r="CX29" i="208"/>
  <c r="CW29" i="208"/>
  <c r="CV29" i="208"/>
  <c r="CU29" i="208"/>
  <c r="CQ29" i="208"/>
  <c r="CP29" i="208"/>
  <c r="CO29" i="208"/>
  <c r="CN29" i="208"/>
  <c r="CM29" i="208"/>
  <c r="CL29" i="208"/>
  <c r="CE29" i="208"/>
  <c r="CD29" i="208"/>
  <c r="AX29" i="208"/>
  <c r="AW29" i="208"/>
  <c r="AV29" i="208"/>
  <c r="AK29" i="208"/>
  <c r="AH29" i="208"/>
  <c r="AG29" i="208"/>
  <c r="AF29" i="208"/>
  <c r="AE29" i="208"/>
  <c r="GM28" i="208"/>
  <c r="GL28" i="208"/>
  <c r="GK28" i="208"/>
  <c r="GF28" i="208"/>
  <c r="FU28" i="208"/>
  <c r="FS28" i="208"/>
  <c r="FH28" i="208"/>
  <c r="FD28" i="208"/>
  <c r="FC28" i="208"/>
  <c r="EL28" i="208" s="1"/>
  <c r="EM28" i="208" s="1"/>
  <c r="EQ28" i="208" s="1"/>
  <c r="EZ28" i="208"/>
  <c r="EE28" i="208" s="1"/>
  <c r="EG28" i="208" s="1"/>
  <c r="EY28" i="208"/>
  <c r="EX28" i="208"/>
  <c r="EN28" i="208"/>
  <c r="ER28" i="208" s="1"/>
  <c r="EF28" i="208"/>
  <c r="DY28" i="208"/>
  <c r="DX28" i="208"/>
  <c r="G28" i="208" s="1"/>
  <c r="DW28" i="208"/>
  <c r="DV28" i="208"/>
  <c r="DS28" i="208"/>
  <c r="DO28" i="208"/>
  <c r="DN28" i="208"/>
  <c r="FI28" i="208" s="1"/>
  <c r="DM28" i="208"/>
  <c r="DL28" i="208"/>
  <c r="DK28" i="208"/>
  <c r="DJ28" i="208"/>
  <c r="DI28" i="208"/>
  <c r="DH28" i="208"/>
  <c r="DG28" i="208"/>
  <c r="DF28" i="208"/>
  <c r="DE28" i="208"/>
  <c r="FA28" i="208" s="1"/>
  <c r="DD28" i="208"/>
  <c r="DC28" i="208"/>
  <c r="DB28" i="208"/>
  <c r="DA28" i="208"/>
  <c r="CZ28" i="208"/>
  <c r="CY28" i="208"/>
  <c r="CX28" i="208"/>
  <c r="CW28" i="208"/>
  <c r="CV28" i="208"/>
  <c r="DU28" i="208" s="1"/>
  <c r="CU28" i="208"/>
  <c r="FQ28" i="208" s="1"/>
  <c r="CQ28" i="208"/>
  <c r="CP28" i="208"/>
  <c r="CO28" i="208"/>
  <c r="CN28" i="208"/>
  <c r="CM28" i="208"/>
  <c r="CL28" i="208"/>
  <c r="CI28" i="208"/>
  <c r="AX28" i="208"/>
  <c r="AW28" i="208"/>
  <c r="AK28" i="208" s="1"/>
  <c r="AV28" i="208"/>
  <c r="AH28" i="208"/>
  <c r="AG28" i="208"/>
  <c r="AF28" i="208"/>
  <c r="AE28" i="208"/>
  <c r="H28" i="208"/>
  <c r="F28" i="208"/>
  <c r="GL27" i="208"/>
  <c r="GM27" i="208" s="1"/>
  <c r="GK27" i="208"/>
  <c r="GF27" i="208"/>
  <c r="FT27" i="208"/>
  <c r="FM27" i="208"/>
  <c r="FI27" i="208"/>
  <c r="FD27" i="208"/>
  <c r="FC27" i="208"/>
  <c r="FB27" i="208"/>
  <c r="FA27" i="208"/>
  <c r="EZ27" i="208"/>
  <c r="EY27" i="208"/>
  <c r="EX27" i="208"/>
  <c r="ER27" i="208"/>
  <c r="EN27" i="208"/>
  <c r="EL27" i="208"/>
  <c r="EM27" i="208" s="1"/>
  <c r="EE27" i="208"/>
  <c r="ED27" i="208"/>
  <c r="EC27" i="208"/>
  <c r="DY27" i="208"/>
  <c r="DW27" i="208"/>
  <c r="DU27" i="208"/>
  <c r="DS27" i="208"/>
  <c r="DO27" i="208"/>
  <c r="DN27" i="208"/>
  <c r="DM27" i="208"/>
  <c r="DL27" i="208"/>
  <c r="DK27" i="208"/>
  <c r="DJ27" i="208"/>
  <c r="DI27" i="208"/>
  <c r="DH27" i="208"/>
  <c r="FV27" i="208" s="1"/>
  <c r="DG27" i="208"/>
  <c r="DF27" i="208"/>
  <c r="EA27" i="208" s="1"/>
  <c r="DE27" i="208"/>
  <c r="FR27" i="208" s="1"/>
  <c r="DD27" i="208"/>
  <c r="DC27" i="208"/>
  <c r="DB27" i="208"/>
  <c r="DA27" i="208"/>
  <c r="CZ27" i="208"/>
  <c r="CY27" i="208"/>
  <c r="FS27" i="208" s="1"/>
  <c r="CX27" i="208"/>
  <c r="FH27" i="208" s="1"/>
  <c r="CW27" i="208"/>
  <c r="CV27" i="208"/>
  <c r="CU27" i="208"/>
  <c r="CQ27" i="208"/>
  <c r="CP27" i="208"/>
  <c r="CO27" i="208"/>
  <c r="CN27" i="208"/>
  <c r="CM27" i="208"/>
  <c r="CL27" i="208"/>
  <c r="CE27" i="208"/>
  <c r="CD27" i="208"/>
  <c r="AX27" i="208"/>
  <c r="AW27" i="208"/>
  <c r="AV27" i="208"/>
  <c r="AM27" i="208"/>
  <c r="AK27" i="208"/>
  <c r="AJ27" i="208" s="1"/>
  <c r="AH27" i="208"/>
  <c r="AG27" i="208"/>
  <c r="AF27" i="208"/>
  <c r="AE27" i="208"/>
  <c r="GL26" i="208"/>
  <c r="GK26" i="208"/>
  <c r="GM26" i="208" s="1"/>
  <c r="GF26" i="208"/>
  <c r="FV26" i="208"/>
  <c r="FT26" i="208"/>
  <c r="FD26" i="208"/>
  <c r="FC26" i="208"/>
  <c r="FA26" i="208"/>
  <c r="EZ26" i="208"/>
  <c r="EE26" i="208" s="1"/>
  <c r="EM26" i="208"/>
  <c r="DY26" i="208"/>
  <c r="DV26" i="208"/>
  <c r="DU26" i="208"/>
  <c r="DS26" i="208"/>
  <c r="DO26" i="208"/>
  <c r="DN26" i="208"/>
  <c r="FI26" i="208" s="1"/>
  <c r="DM26" i="208"/>
  <c r="DL26" i="208"/>
  <c r="DK26" i="208"/>
  <c r="EL26" i="208" s="1"/>
  <c r="EN26" i="208" s="1"/>
  <c r="DJ26" i="208"/>
  <c r="DI26" i="208"/>
  <c r="DH26" i="208"/>
  <c r="FM26" i="208" s="1"/>
  <c r="DG26" i="208"/>
  <c r="DF26" i="208"/>
  <c r="DE26" i="208"/>
  <c r="DD26" i="208"/>
  <c r="DC26" i="208"/>
  <c r="DB26" i="208"/>
  <c r="DA26" i="208"/>
  <c r="CZ26" i="208"/>
  <c r="CY26" i="208"/>
  <c r="CX26" i="208"/>
  <c r="CW26" i="208"/>
  <c r="CV26" i="208"/>
  <c r="CU26" i="208"/>
  <c r="CQ26" i="208"/>
  <c r="CP26" i="208"/>
  <c r="CK26" i="208" s="1"/>
  <c r="CO26" i="208"/>
  <c r="CN26" i="208"/>
  <c r="CM26" i="208"/>
  <c r="CL26" i="208"/>
  <c r="CE26" i="208"/>
  <c r="AX26" i="208"/>
  <c r="AW26" i="208"/>
  <c r="AV26" i="208"/>
  <c r="AL26" i="208"/>
  <c r="AK26" i="208"/>
  <c r="AH26" i="208"/>
  <c r="AG26" i="208"/>
  <c r="AF26" i="208"/>
  <c r="AE26" i="208"/>
  <c r="GL25" i="208"/>
  <c r="GK25" i="208"/>
  <c r="GF25" i="208"/>
  <c r="FT25" i="208"/>
  <c r="FS25" i="208"/>
  <c r="FR25" i="208"/>
  <c r="FQ25" i="208"/>
  <c r="FJ25" i="208"/>
  <c r="FK25" i="208" s="1"/>
  <c r="FL25" i="208" s="1"/>
  <c r="FI25" i="208"/>
  <c r="FH25" i="208"/>
  <c r="FG25" i="208"/>
  <c r="Y25" i="208" s="1"/>
  <c r="FC25" i="208"/>
  <c r="FA25" i="208"/>
  <c r="EZ25" i="208"/>
  <c r="EE25" i="208" s="1"/>
  <c r="ED25" i="208"/>
  <c r="EC25" i="208"/>
  <c r="EA25" i="208"/>
  <c r="DY25" i="208"/>
  <c r="DU25" i="208"/>
  <c r="DS25" i="208"/>
  <c r="DO25" i="208"/>
  <c r="DN25" i="208"/>
  <c r="DM25" i="208"/>
  <c r="FP25" i="208" s="1"/>
  <c r="DL25" i="208"/>
  <c r="DK25" i="208"/>
  <c r="DJ25" i="208"/>
  <c r="DI25" i="208"/>
  <c r="DH25" i="208"/>
  <c r="FV25" i="208" s="1"/>
  <c r="DG25" i="208"/>
  <c r="DF25" i="208"/>
  <c r="EB25" i="208" s="1"/>
  <c r="DE25" i="208"/>
  <c r="FB25" i="208" s="1"/>
  <c r="DD25" i="208"/>
  <c r="FD25" i="208" s="1"/>
  <c r="FE25" i="208" s="1"/>
  <c r="FF25" i="208" s="1"/>
  <c r="DC25" i="208"/>
  <c r="DB25" i="208"/>
  <c r="DA25" i="208"/>
  <c r="CZ25" i="208"/>
  <c r="CY25" i="208"/>
  <c r="CX25" i="208"/>
  <c r="FU25" i="208" s="1"/>
  <c r="CW25" i="208"/>
  <c r="CV25" i="208"/>
  <c r="CU25" i="208"/>
  <c r="CQ25" i="208"/>
  <c r="CP25" i="208"/>
  <c r="CO25" i="208"/>
  <c r="CN25" i="208"/>
  <c r="CM25" i="208"/>
  <c r="CL25" i="208"/>
  <c r="CK25" i="208"/>
  <c r="CE25" i="208"/>
  <c r="CD25" i="208"/>
  <c r="AX25" i="208"/>
  <c r="AW25" i="208"/>
  <c r="AV25" i="208"/>
  <c r="AK25" i="208"/>
  <c r="AJ25" i="208" s="1"/>
  <c r="AH25" i="208"/>
  <c r="AG25" i="208"/>
  <c r="AF25" i="208"/>
  <c r="AE25" i="208"/>
  <c r="Z25" i="208"/>
  <c r="GL24" i="208"/>
  <c r="GK24" i="208"/>
  <c r="GM24" i="208" s="1"/>
  <c r="GF24" i="208"/>
  <c r="FV24" i="208"/>
  <c r="FQ24" i="208"/>
  <c r="FI24" i="208"/>
  <c r="FJ24" i="208" s="1"/>
  <c r="FK24" i="208" s="1"/>
  <c r="FL24" i="208" s="1"/>
  <c r="Z24" i="208" s="1"/>
  <c r="FH24" i="208"/>
  <c r="FC24" i="208"/>
  <c r="EZ24" i="208"/>
  <c r="EE24" i="208" s="1"/>
  <c r="EY24" i="208"/>
  <c r="EX24" i="208"/>
  <c r="EC24" i="208"/>
  <c r="EB24" i="208"/>
  <c r="EA24" i="208"/>
  <c r="DY24" i="208"/>
  <c r="DU24" i="208"/>
  <c r="DS24" i="208"/>
  <c r="DO24" i="208"/>
  <c r="DN24" i="208"/>
  <c r="DM24" i="208"/>
  <c r="DL24" i="208"/>
  <c r="DK24" i="208"/>
  <c r="EL24" i="208" s="1"/>
  <c r="DJ24" i="208"/>
  <c r="DI24" i="208"/>
  <c r="DH24" i="208"/>
  <c r="FM24" i="208" s="1"/>
  <c r="DG24" i="208"/>
  <c r="DF24" i="208"/>
  <c r="ED24" i="208" s="1"/>
  <c r="DE24" i="208"/>
  <c r="DD24" i="208"/>
  <c r="FD24" i="208" s="1"/>
  <c r="DC24" i="208"/>
  <c r="DB24" i="208"/>
  <c r="DA24" i="208"/>
  <c r="CZ24" i="208"/>
  <c r="CY24" i="208"/>
  <c r="FS24" i="208" s="1"/>
  <c r="CX24" i="208"/>
  <c r="FU24" i="208" s="1"/>
  <c r="CW24" i="208"/>
  <c r="CV24" i="208"/>
  <c r="CU24" i="208"/>
  <c r="CQ24" i="208"/>
  <c r="CP24" i="208"/>
  <c r="CO24" i="208"/>
  <c r="CN24" i="208"/>
  <c r="CM24" i="208"/>
  <c r="CL24" i="208"/>
  <c r="CK24" i="208"/>
  <c r="CD24" i="208"/>
  <c r="AY24" i="208"/>
  <c r="AX24" i="208"/>
  <c r="AW24" i="208"/>
  <c r="AK24" i="208" s="1"/>
  <c r="AV24" i="208"/>
  <c r="AO24" i="208"/>
  <c r="AH24" i="208"/>
  <c r="AG24" i="208"/>
  <c r="AF24" i="208"/>
  <c r="AE24" i="208"/>
  <c r="GM23" i="208"/>
  <c r="GL23" i="208"/>
  <c r="GK23" i="208"/>
  <c r="GF23" i="208"/>
  <c r="FV23" i="208"/>
  <c r="FT23" i="208"/>
  <c r="FD23" i="208"/>
  <c r="FC23" i="208"/>
  <c r="FA23" i="208"/>
  <c r="EZ23" i="208"/>
  <c r="EE23" i="208" s="1"/>
  <c r="DY23" i="208"/>
  <c r="DW23" i="208"/>
  <c r="DU23" i="208"/>
  <c r="DS23" i="208"/>
  <c r="DO23" i="208"/>
  <c r="DN23" i="208"/>
  <c r="FI23" i="208" s="1"/>
  <c r="DM23" i="208"/>
  <c r="DL23" i="208"/>
  <c r="DK23" i="208"/>
  <c r="DJ23" i="208"/>
  <c r="DI23" i="208"/>
  <c r="DH23" i="208"/>
  <c r="FM23" i="208" s="1"/>
  <c r="DG23" i="208"/>
  <c r="DF23" i="208"/>
  <c r="DE23" i="208"/>
  <c r="DD23" i="208"/>
  <c r="DC23" i="208"/>
  <c r="FO23" i="208" s="1"/>
  <c r="DB23" i="208"/>
  <c r="DA23" i="208"/>
  <c r="CZ23" i="208"/>
  <c r="CY23" i="208"/>
  <c r="CX23" i="208"/>
  <c r="CW23" i="208"/>
  <c r="CV23" i="208"/>
  <c r="CU23" i="208"/>
  <c r="CQ23" i="208"/>
  <c r="CP23" i="208"/>
  <c r="CO23" i="208"/>
  <c r="CN23" i="208"/>
  <c r="CM23" i="208"/>
  <c r="CL23" i="208"/>
  <c r="CK23" i="208"/>
  <c r="CE23" i="208"/>
  <c r="AY23" i="208"/>
  <c r="AX23" i="208"/>
  <c r="AW23" i="208"/>
  <c r="AV23" i="208"/>
  <c r="AL23" i="208"/>
  <c r="AK23" i="208"/>
  <c r="AJ23" i="208"/>
  <c r="AU23" i="208" s="1"/>
  <c r="AH23" i="208"/>
  <c r="AG23" i="208"/>
  <c r="AF23" i="208"/>
  <c r="AE23" i="208"/>
  <c r="GM22" i="208"/>
  <c r="GL22" i="208"/>
  <c r="GK22" i="208"/>
  <c r="GF22" i="208"/>
  <c r="FV22" i="208"/>
  <c r="FS22" i="208"/>
  <c r="FP22" i="208"/>
  <c r="FN22" i="208"/>
  <c r="FC22" i="208"/>
  <c r="EL22" i="208" s="1"/>
  <c r="EZ22" i="208"/>
  <c r="EE22" i="208" s="1"/>
  <c r="EF22" i="208" s="1"/>
  <c r="EJ22" i="208" s="1"/>
  <c r="EY22" i="208"/>
  <c r="EX22" i="208"/>
  <c r="EG22" i="208"/>
  <c r="EC22" i="208"/>
  <c r="DY22" i="208"/>
  <c r="DS22" i="208"/>
  <c r="DO22" i="208"/>
  <c r="DN22" i="208"/>
  <c r="FI22" i="208" s="1"/>
  <c r="FJ22" i="208" s="1"/>
  <c r="FK22" i="208" s="1"/>
  <c r="FL22" i="208" s="1"/>
  <c r="DM22" i="208"/>
  <c r="DL22" i="208"/>
  <c r="DK22" i="208"/>
  <c r="DJ22" i="208"/>
  <c r="DI22" i="208"/>
  <c r="FT22" i="208" s="1"/>
  <c r="DH22" i="208"/>
  <c r="FM22" i="208" s="1"/>
  <c r="DG22" i="208"/>
  <c r="DF22" i="208"/>
  <c r="DE22" i="208"/>
  <c r="DD22" i="208"/>
  <c r="FD22" i="208" s="1"/>
  <c r="FE22" i="208" s="1"/>
  <c r="FF22" i="208" s="1"/>
  <c r="FG22" i="208" s="1"/>
  <c r="Y22" i="208" s="1"/>
  <c r="DC22" i="208"/>
  <c r="DT22" i="208" s="1"/>
  <c r="DB22" i="208"/>
  <c r="DA22" i="208"/>
  <c r="CZ22" i="208"/>
  <c r="CY22" i="208"/>
  <c r="CX22" i="208"/>
  <c r="CW22" i="208"/>
  <c r="CV22" i="208"/>
  <c r="CU22" i="208"/>
  <c r="CQ22" i="208"/>
  <c r="CP22" i="208"/>
  <c r="CO22" i="208"/>
  <c r="CN22" i="208"/>
  <c r="CM22" i="208"/>
  <c r="CL22" i="208"/>
  <c r="CK22" i="208"/>
  <c r="CE22" i="208"/>
  <c r="CD22" i="208"/>
  <c r="AX22" i="208"/>
  <c r="AW22" i="208"/>
  <c r="AV22" i="208"/>
  <c r="AK22" i="208"/>
  <c r="AH22" i="208"/>
  <c r="AG22" i="208"/>
  <c r="AF22" i="208"/>
  <c r="AE22" i="208"/>
  <c r="Z22" i="208"/>
  <c r="GL21" i="208"/>
  <c r="GK21" i="208"/>
  <c r="GM21" i="208" s="1"/>
  <c r="GF21" i="208"/>
  <c r="FV21" i="208"/>
  <c r="FU21" i="208"/>
  <c r="FR21" i="208"/>
  <c r="FM21" i="208"/>
  <c r="FI21" i="208"/>
  <c r="FH21" i="208"/>
  <c r="FD21" i="208"/>
  <c r="FC21" i="208"/>
  <c r="FB21" i="208"/>
  <c r="EZ21" i="208"/>
  <c r="EC21" i="208"/>
  <c r="EB21" i="208"/>
  <c r="EA21" i="208"/>
  <c r="DY21" i="208"/>
  <c r="DX21" i="208"/>
  <c r="DU21" i="208"/>
  <c r="DS21" i="208"/>
  <c r="DO21" i="208"/>
  <c r="DN21" i="208"/>
  <c r="DM21" i="208"/>
  <c r="FP21" i="208" s="1"/>
  <c r="DL21" i="208"/>
  <c r="DK21" i="208"/>
  <c r="EL21" i="208" s="1"/>
  <c r="DJ21" i="208"/>
  <c r="DI21" i="208"/>
  <c r="DH21" i="208"/>
  <c r="DG21" i="208"/>
  <c r="DF21" i="208"/>
  <c r="ED21" i="208" s="1"/>
  <c r="DE21" i="208"/>
  <c r="FA21" i="208" s="1"/>
  <c r="DD21" i="208"/>
  <c r="DC21" i="208"/>
  <c r="DB21" i="208"/>
  <c r="DA21" i="208"/>
  <c r="CZ21" i="208"/>
  <c r="CY21" i="208"/>
  <c r="CX21" i="208"/>
  <c r="CW21" i="208"/>
  <c r="CV21" i="208"/>
  <c r="DV21" i="208" s="1"/>
  <c r="CU21" i="208"/>
  <c r="CQ21" i="208"/>
  <c r="CP21" i="208"/>
  <c r="CK21" i="208" s="1"/>
  <c r="CO21" i="208"/>
  <c r="CN21" i="208"/>
  <c r="CM21" i="208"/>
  <c r="CL21" i="208"/>
  <c r="AX21" i="208"/>
  <c r="AW21" i="208"/>
  <c r="AV21" i="208"/>
  <c r="AH21" i="208"/>
  <c r="AG21" i="208"/>
  <c r="AF21" i="208"/>
  <c r="AE21" i="208"/>
  <c r="GL20" i="208"/>
  <c r="GK20" i="208"/>
  <c r="GM20" i="208" s="1"/>
  <c r="GF20" i="208"/>
  <c r="FU20" i="208"/>
  <c r="FP20" i="208"/>
  <c r="FN20" i="208"/>
  <c r="FI20" i="208"/>
  <c r="FC20" i="208"/>
  <c r="FA20" i="208"/>
  <c r="EZ20" i="208"/>
  <c r="EL20" i="208"/>
  <c r="ED20" i="208"/>
  <c r="EB20" i="208"/>
  <c r="DY20" i="208"/>
  <c r="DV20" i="208"/>
  <c r="DS20" i="208"/>
  <c r="DO20" i="208"/>
  <c r="FJ20" i="208" s="1"/>
  <c r="FK20" i="208" s="1"/>
  <c r="FL20" i="208" s="1"/>
  <c r="Z20" i="208" s="1"/>
  <c r="DN20" i="208"/>
  <c r="DM20" i="208"/>
  <c r="DL20" i="208"/>
  <c r="DK20" i="208"/>
  <c r="DJ20" i="208"/>
  <c r="DI20" i="208"/>
  <c r="DH20" i="208"/>
  <c r="FV20" i="208" s="1"/>
  <c r="DG20" i="208"/>
  <c r="DF20" i="208"/>
  <c r="EC20" i="208" s="1"/>
  <c r="DE20" i="208"/>
  <c r="FR20" i="208" s="1"/>
  <c r="DD20" i="208"/>
  <c r="FD20" i="208" s="1"/>
  <c r="FE20" i="208" s="1"/>
  <c r="FF20" i="208" s="1"/>
  <c r="FG20" i="208" s="1"/>
  <c r="Y20" i="208" s="1"/>
  <c r="DC20" i="208"/>
  <c r="DB20" i="208"/>
  <c r="DA20" i="208"/>
  <c r="EE20" i="208" s="1"/>
  <c r="CZ20" i="208"/>
  <c r="CY20" i="208"/>
  <c r="CX20" i="208"/>
  <c r="FH20" i="208" s="1"/>
  <c r="CW20" i="208"/>
  <c r="CV20" i="208"/>
  <c r="CU20" i="208"/>
  <c r="CQ20" i="208"/>
  <c r="CP20" i="208"/>
  <c r="CK20" i="208" s="1"/>
  <c r="CO20" i="208"/>
  <c r="CN20" i="208"/>
  <c r="CM20" i="208"/>
  <c r="CL20" i="208"/>
  <c r="AY20" i="208"/>
  <c r="AX20" i="208"/>
  <c r="AW20" i="208"/>
  <c r="AV20" i="208"/>
  <c r="AK20" i="208" s="1"/>
  <c r="AM20" i="208" s="1"/>
  <c r="AH20" i="208"/>
  <c r="AG20" i="208"/>
  <c r="AF20" i="208"/>
  <c r="AE20" i="208"/>
  <c r="GM19" i="208"/>
  <c r="GL19" i="208"/>
  <c r="GK19" i="208"/>
  <c r="GF19" i="208"/>
  <c r="FV19" i="208"/>
  <c r="FT19" i="208"/>
  <c r="FM19" i="208"/>
  <c r="FJ19" i="208"/>
  <c r="FK19" i="208" s="1"/>
  <c r="FL19" i="208" s="1"/>
  <c r="Z19" i="208" s="1"/>
  <c r="FH19" i="208"/>
  <c r="FC19" i="208"/>
  <c r="FA19" i="208"/>
  <c r="EZ19" i="208"/>
  <c r="EX19" i="208"/>
  <c r="EC19" i="208"/>
  <c r="EB19" i="208"/>
  <c r="EA19" i="208"/>
  <c r="DY19" i="208"/>
  <c r="DU19" i="208"/>
  <c r="DT19" i="208"/>
  <c r="DS19" i="208"/>
  <c r="DO19" i="208"/>
  <c r="FE19" i="208" s="1"/>
  <c r="FF19" i="208" s="1"/>
  <c r="FG19" i="208" s="1"/>
  <c r="DN19" i="208"/>
  <c r="FI19" i="208" s="1"/>
  <c r="DM19" i="208"/>
  <c r="DL19" i="208"/>
  <c r="DK19" i="208"/>
  <c r="EL19" i="208" s="1"/>
  <c r="DJ19" i="208"/>
  <c r="DI19" i="208"/>
  <c r="DH19" i="208"/>
  <c r="DG19" i="208"/>
  <c r="DF19" i="208"/>
  <c r="ED19" i="208" s="1"/>
  <c r="DE19" i="208"/>
  <c r="DD19" i="208"/>
  <c r="FD19" i="208" s="1"/>
  <c r="DC19" i="208"/>
  <c r="DB19" i="208"/>
  <c r="DA19" i="208"/>
  <c r="CZ19" i="208"/>
  <c r="CY19" i="208"/>
  <c r="CX19" i="208"/>
  <c r="FU19" i="208" s="1"/>
  <c r="CW19" i="208"/>
  <c r="CV19" i="208"/>
  <c r="CU19" i="208"/>
  <c r="CQ19" i="208"/>
  <c r="CP19" i="208"/>
  <c r="CK19" i="208" s="1"/>
  <c r="CO19" i="208"/>
  <c r="CN19" i="208"/>
  <c r="CM19" i="208"/>
  <c r="CL19" i="208"/>
  <c r="AY19" i="208"/>
  <c r="AX19" i="208"/>
  <c r="AW19" i="208"/>
  <c r="AV19" i="208"/>
  <c r="AM19" i="208"/>
  <c r="AK19" i="208"/>
  <c r="AH19" i="208"/>
  <c r="AG19" i="208"/>
  <c r="AF19" i="208"/>
  <c r="AE19" i="208"/>
  <c r="Y19" i="208"/>
  <c r="GL18" i="208"/>
  <c r="GK18" i="208"/>
  <c r="GM18" i="208" s="1"/>
  <c r="GF18" i="208"/>
  <c r="FT18" i="208"/>
  <c r="FS18" i="208"/>
  <c r="FM18" i="208"/>
  <c r="FK18" i="208"/>
  <c r="FL18" i="208" s="1"/>
  <c r="Z18" i="208" s="1"/>
  <c r="FH18" i="208"/>
  <c r="FE18" i="208"/>
  <c r="FF18" i="208" s="1"/>
  <c r="FG18" i="208" s="1"/>
  <c r="Y18" i="208" s="1"/>
  <c r="FC18" i="208"/>
  <c r="FA18" i="208"/>
  <c r="EZ18" i="208"/>
  <c r="EE18" i="208" s="1"/>
  <c r="EG18" i="208" s="1"/>
  <c r="EK18" i="208" s="1"/>
  <c r="EF18" i="208"/>
  <c r="EJ18" i="208" s="1"/>
  <c r="CH18" i="208" s="1"/>
  <c r="EB18" i="208"/>
  <c r="DY18" i="208"/>
  <c r="DV18" i="208"/>
  <c r="DS18" i="208"/>
  <c r="DO18" i="208"/>
  <c r="DN18" i="208"/>
  <c r="FI18" i="208" s="1"/>
  <c r="FJ18" i="208" s="1"/>
  <c r="DM18" i="208"/>
  <c r="DL18" i="208"/>
  <c r="DK18" i="208"/>
  <c r="DJ18" i="208"/>
  <c r="DI18" i="208"/>
  <c r="DH18" i="208"/>
  <c r="FV18" i="208" s="1"/>
  <c r="DG18" i="208"/>
  <c r="DF18" i="208"/>
  <c r="DE18" i="208"/>
  <c r="DD18" i="208"/>
  <c r="FD18" i="208" s="1"/>
  <c r="DC18" i="208"/>
  <c r="DB18" i="208"/>
  <c r="DA18" i="208"/>
  <c r="CZ18" i="208"/>
  <c r="CY18" i="208"/>
  <c r="CX18" i="208"/>
  <c r="FU18" i="208" s="1"/>
  <c r="CW18" i="208"/>
  <c r="CV18" i="208"/>
  <c r="CU18" i="208"/>
  <c r="CQ18" i="208"/>
  <c r="CP18" i="208"/>
  <c r="CO18" i="208"/>
  <c r="CN18" i="208"/>
  <c r="CM18" i="208"/>
  <c r="CL18" i="208"/>
  <c r="CK18" i="208"/>
  <c r="CE18" i="208"/>
  <c r="CD18" i="208"/>
  <c r="AY18" i="208"/>
  <c r="AX18" i="208"/>
  <c r="AW18" i="208"/>
  <c r="AV18" i="208"/>
  <c r="AK18" i="208" s="1"/>
  <c r="AJ18" i="208"/>
  <c r="AH18" i="208"/>
  <c r="AG18" i="208"/>
  <c r="AF18" i="208"/>
  <c r="AE18" i="208"/>
  <c r="GL17" i="208"/>
  <c r="GM17" i="208" s="1"/>
  <c r="GK17" i="208"/>
  <c r="GF17" i="208"/>
  <c r="FU17" i="208"/>
  <c r="FT17" i="208"/>
  <c r="FS17" i="208"/>
  <c r="FR17" i="208"/>
  <c r="FI17" i="208"/>
  <c r="FJ17" i="208" s="1"/>
  <c r="FK17" i="208" s="1"/>
  <c r="FL17" i="208" s="1"/>
  <c r="Z17" i="208" s="1"/>
  <c r="FG17" i="208"/>
  <c r="Y17" i="208" s="1"/>
  <c r="FE17" i="208"/>
  <c r="FF17" i="208" s="1"/>
  <c r="FC17" i="208"/>
  <c r="FB17" i="208"/>
  <c r="FA17" i="208"/>
  <c r="EZ17" i="208"/>
  <c r="EY17" i="208"/>
  <c r="EX17" i="208"/>
  <c r="EL17" i="208"/>
  <c r="EK17" i="208"/>
  <c r="EJ17" i="208"/>
  <c r="EF17" i="208"/>
  <c r="EE17" i="208"/>
  <c r="EG17" i="208" s="1"/>
  <c r="ED17" i="208"/>
  <c r="EB17" i="208"/>
  <c r="DY17" i="208"/>
  <c r="DX17" i="208"/>
  <c r="DS17" i="208"/>
  <c r="DP17" i="208"/>
  <c r="DO17" i="208"/>
  <c r="DN17" i="208"/>
  <c r="DM17" i="208"/>
  <c r="DL17" i="208"/>
  <c r="DK17" i="208"/>
  <c r="DJ17" i="208"/>
  <c r="DI17" i="208"/>
  <c r="DH17" i="208"/>
  <c r="DG17" i="208"/>
  <c r="DF17" i="208"/>
  <c r="DE17" i="208"/>
  <c r="DD17" i="208"/>
  <c r="FD17" i="208" s="1"/>
  <c r="DC17" i="208"/>
  <c r="DB17" i="208"/>
  <c r="DA17" i="208"/>
  <c r="CZ17" i="208"/>
  <c r="CY17" i="208"/>
  <c r="CX17" i="208"/>
  <c r="FH17" i="208" s="1"/>
  <c r="CW17" i="208"/>
  <c r="CV17" i="208"/>
  <c r="CU17" i="208"/>
  <c r="CQ17" i="208"/>
  <c r="CP17" i="208"/>
  <c r="CO17" i="208"/>
  <c r="CN17" i="208"/>
  <c r="CM17" i="208"/>
  <c r="CL17" i="208"/>
  <c r="CK17" i="208"/>
  <c r="CE17" i="208"/>
  <c r="CD17" i="208"/>
  <c r="AX17" i="208"/>
  <c r="AW17" i="208"/>
  <c r="AV17" i="208"/>
  <c r="AK17" i="208" s="1"/>
  <c r="AN17" i="208"/>
  <c r="AL17" i="208"/>
  <c r="AH17" i="208"/>
  <c r="AG17" i="208"/>
  <c r="AF17" i="208"/>
  <c r="AE17" i="208"/>
  <c r="GL16" i="208"/>
  <c r="GK16" i="208"/>
  <c r="GF16" i="208"/>
  <c r="FV16" i="208"/>
  <c r="FQ16" i="208"/>
  <c r="FI16" i="208"/>
  <c r="FH16" i="208"/>
  <c r="FD16" i="208"/>
  <c r="FC16" i="208"/>
  <c r="FB16" i="208"/>
  <c r="FA16" i="208"/>
  <c r="EZ16" i="208"/>
  <c r="EX16" i="208"/>
  <c r="ER16" i="208"/>
  <c r="EM16" i="208"/>
  <c r="EQ16" i="208" s="1"/>
  <c r="CI16" i="208" s="1"/>
  <c r="EC16" i="208"/>
  <c r="EB16" i="208"/>
  <c r="EA16" i="208"/>
  <c r="DY16" i="208"/>
  <c r="DW16" i="208"/>
  <c r="DS16" i="208"/>
  <c r="DO16" i="208"/>
  <c r="DN16" i="208"/>
  <c r="DM16" i="208"/>
  <c r="DL16" i="208"/>
  <c r="DK16" i="208"/>
  <c r="EL16" i="208" s="1"/>
  <c r="EN16" i="208" s="1"/>
  <c r="DJ16" i="208"/>
  <c r="DI16" i="208"/>
  <c r="DH16" i="208"/>
  <c r="FM16" i="208" s="1"/>
  <c r="DG16" i="208"/>
  <c r="DF16" i="208"/>
  <c r="ED16" i="208" s="1"/>
  <c r="DE16" i="208"/>
  <c r="FR16" i="208" s="1"/>
  <c r="DD16" i="208"/>
  <c r="DC16" i="208"/>
  <c r="DB16" i="208"/>
  <c r="DA16" i="208"/>
  <c r="EE16" i="208" s="1"/>
  <c r="CZ16" i="208"/>
  <c r="CY16" i="208"/>
  <c r="CX16" i="208"/>
  <c r="FU16" i="208" s="1"/>
  <c r="CW16" i="208"/>
  <c r="CV16" i="208"/>
  <c r="CU16" i="208"/>
  <c r="EY16" i="208" s="1"/>
  <c r="CQ16" i="208"/>
  <c r="CP16" i="208"/>
  <c r="CK16" i="208" s="1"/>
  <c r="CO16" i="208"/>
  <c r="CN16" i="208"/>
  <c r="CM16" i="208"/>
  <c r="CL16" i="208"/>
  <c r="AY16" i="208"/>
  <c r="AX16" i="208"/>
  <c r="AW16" i="208"/>
  <c r="AK16" i="208" s="1"/>
  <c r="AV16" i="208"/>
  <c r="AH16" i="208"/>
  <c r="AG16" i="208"/>
  <c r="AF16" i="208"/>
  <c r="AE16" i="208"/>
  <c r="IF14" i="208"/>
  <c r="IE14" i="208"/>
  <c r="IA14" i="208"/>
  <c r="HY14" i="208"/>
  <c r="HX14" i="208"/>
  <c r="HW14" i="208"/>
  <c r="HV14" i="208"/>
  <c r="HR14" i="208"/>
  <c r="HP14" i="208"/>
  <c r="HO14" i="208"/>
  <c r="HN14" i="208"/>
  <c r="HM14" i="208"/>
  <c r="HI14" i="208"/>
  <c r="HG14" i="208"/>
  <c r="HF14" i="208"/>
  <c r="HD14" i="208"/>
  <c r="AA12" i="208"/>
  <c r="AB12" i="208" s="1"/>
  <c r="HC11" i="208"/>
  <c r="HD11" i="208" s="1"/>
  <c r="HE11" i="208" s="1"/>
  <c r="HF11" i="208" s="1"/>
  <c r="HG11" i="208" s="1"/>
  <c r="HH11" i="208" s="1"/>
  <c r="HI11" i="208" s="1"/>
  <c r="HJ11" i="208" s="1"/>
  <c r="HK11" i="208" s="1"/>
  <c r="HL11" i="208" s="1"/>
  <c r="HM11" i="208" s="1"/>
  <c r="HN11" i="208" s="1"/>
  <c r="HO11" i="208" s="1"/>
  <c r="HP11" i="208" s="1"/>
  <c r="HQ11" i="208" s="1"/>
  <c r="HR11" i="208" s="1"/>
  <c r="HS11" i="208" s="1"/>
  <c r="HT11" i="208" s="1"/>
  <c r="HU11" i="208" s="1"/>
  <c r="HV11" i="208" s="1"/>
  <c r="HW11" i="208" s="1"/>
  <c r="HX11" i="208" s="1"/>
  <c r="HY11" i="208" s="1"/>
  <c r="HZ11" i="208" s="1"/>
  <c r="IA11" i="208" s="1"/>
  <c r="IB11" i="208" s="1"/>
  <c r="IC11" i="208" s="1"/>
  <c r="ID11" i="208" s="1"/>
  <c r="IE11" i="208" s="1"/>
  <c r="IF11" i="208" s="1"/>
  <c r="HB11" i="208"/>
  <c r="Z10" i="208"/>
  <c r="S10" i="208"/>
  <c r="C10" i="208"/>
  <c r="DN9" i="208"/>
  <c r="DM9" i="208"/>
  <c r="DL9" i="208"/>
  <c r="DK9" i="208"/>
  <c r="DJ9" i="208"/>
  <c r="DI9" i="208"/>
  <c r="DH9" i="208"/>
  <c r="DG9" i="208"/>
  <c r="S9" i="208"/>
  <c r="C9" i="208"/>
  <c r="DN8" i="208"/>
  <c r="DM8" i="208"/>
  <c r="DL8" i="208"/>
  <c r="DK8" i="208"/>
  <c r="DJ8" i="208"/>
  <c r="DI8" i="208"/>
  <c r="DH8" i="208"/>
  <c r="DG8" i="208"/>
  <c r="DN7" i="208"/>
  <c r="DM7" i="208"/>
  <c r="DL7" i="208"/>
  <c r="DK7" i="208"/>
  <c r="DJ7" i="208"/>
  <c r="DI7" i="208"/>
  <c r="DH7" i="208"/>
  <c r="DG7" i="208"/>
  <c r="DN6" i="208"/>
  <c r="DM6" i="208"/>
  <c r="DL6" i="208"/>
  <c r="DK6" i="208"/>
  <c r="DJ6" i="208"/>
  <c r="DI6" i="208"/>
  <c r="DH6" i="208"/>
  <c r="DG6" i="208"/>
  <c r="DC6" i="208"/>
  <c r="DB6" i="208"/>
  <c r="DA6" i="208"/>
  <c r="CZ6" i="208"/>
  <c r="CY6" i="208"/>
  <c r="CX6" i="208"/>
  <c r="CW6" i="208"/>
  <c r="CV6" i="208"/>
  <c r="Y6" i="208"/>
  <c r="M6" i="208"/>
  <c r="DN5" i="208"/>
  <c r="DM5" i="208"/>
  <c r="DL5" i="208"/>
  <c r="DK5" i="208"/>
  <c r="DJ5" i="208"/>
  <c r="DI5" i="208"/>
  <c r="DH5" i="208"/>
  <c r="DG5" i="208"/>
  <c r="DC5" i="208"/>
  <c r="DB5" i="208"/>
  <c r="DA5" i="208"/>
  <c r="CZ5" i="208"/>
  <c r="CY5" i="208"/>
  <c r="CX5" i="208"/>
  <c r="CW5" i="208"/>
  <c r="CV5" i="208"/>
  <c r="DN4" i="208"/>
  <c r="DM4" i="208"/>
  <c r="DL4" i="208"/>
  <c r="DK4" i="208"/>
  <c r="DJ4" i="208"/>
  <c r="DI4" i="208"/>
  <c r="DH4" i="208"/>
  <c r="DG4" i="208"/>
  <c r="DC4" i="208"/>
  <c r="DB4" i="208"/>
  <c r="DA4" i="208"/>
  <c r="CZ4" i="208"/>
  <c r="CY4" i="208"/>
  <c r="CX4" i="208"/>
  <c r="CW4" i="208"/>
  <c r="CV4" i="208"/>
  <c r="P4" i="208"/>
  <c r="DN3" i="208"/>
  <c r="DM3" i="208"/>
  <c r="DL3" i="208"/>
  <c r="DK3" i="208"/>
  <c r="DJ3" i="208"/>
  <c r="DI3" i="208"/>
  <c r="DH3" i="208"/>
  <c r="DG3" i="208"/>
  <c r="DN2" i="208"/>
  <c r="DM2" i="208"/>
  <c r="DL2" i="208"/>
  <c r="DK2" i="208"/>
  <c r="DJ2" i="208"/>
  <c r="DI2" i="208"/>
  <c r="DH2" i="208"/>
  <c r="DG2" i="208"/>
  <c r="DD2" i="208"/>
  <c r="DB2" i="208"/>
  <c r="CZ2" i="208"/>
  <c r="CX2" i="208"/>
  <c r="P2" i="208"/>
  <c r="HA1" i="208"/>
  <c r="DQ1" i="208"/>
  <c r="DD1" i="208"/>
  <c r="CY1" i="208"/>
  <c r="CX1" i="208"/>
  <c r="AE1" i="208"/>
  <c r="AY25" i="208" s="1"/>
  <c r="AD1" i="208"/>
  <c r="P1" i="208"/>
  <c r="EO104" i="207"/>
  <c r="EN104" i="207"/>
  <c r="EM104" i="207"/>
  <c r="EO103" i="207"/>
  <c r="EN103" i="207"/>
  <c r="EM103" i="207"/>
  <c r="EO102" i="207"/>
  <c r="EN102" i="207"/>
  <c r="EM102" i="207"/>
  <c r="EO101" i="207"/>
  <c r="EN101" i="207"/>
  <c r="EM101" i="207"/>
  <c r="EO100" i="207"/>
  <c r="EN100" i="207"/>
  <c r="EM100" i="207"/>
  <c r="EO99" i="207"/>
  <c r="EN99" i="207"/>
  <c r="EM99" i="207"/>
  <c r="EO98" i="207"/>
  <c r="EN98" i="207"/>
  <c r="EM98" i="207"/>
  <c r="EO97" i="207"/>
  <c r="EN97" i="207"/>
  <c r="EM97" i="207"/>
  <c r="EO96" i="207"/>
  <c r="EN96" i="207"/>
  <c r="EM96" i="207"/>
  <c r="EO95" i="207"/>
  <c r="EN95" i="207"/>
  <c r="EM95" i="207"/>
  <c r="EO94" i="207"/>
  <c r="EN94" i="207"/>
  <c r="EM94" i="207"/>
  <c r="EO93" i="207"/>
  <c r="EN93" i="207"/>
  <c r="EM93" i="207"/>
  <c r="EO92" i="207"/>
  <c r="EN92" i="207"/>
  <c r="EM92" i="207"/>
  <c r="EO91" i="207"/>
  <c r="EN91" i="207"/>
  <c r="EM91" i="207"/>
  <c r="EO90" i="207"/>
  <c r="EN90" i="207"/>
  <c r="EM90" i="207"/>
  <c r="EO89" i="207"/>
  <c r="EN89" i="207"/>
  <c r="EM89" i="207"/>
  <c r="EO88" i="207"/>
  <c r="EN88" i="207"/>
  <c r="EM88" i="207"/>
  <c r="EO87" i="207"/>
  <c r="EN87" i="207"/>
  <c r="EM87" i="207"/>
  <c r="EO86" i="207"/>
  <c r="EN86" i="207"/>
  <c r="EM86" i="207"/>
  <c r="EO85" i="207"/>
  <c r="EN85" i="207"/>
  <c r="EM85" i="207"/>
  <c r="EO84" i="207"/>
  <c r="EN84" i="207"/>
  <c r="EM84" i="207"/>
  <c r="EO83" i="207"/>
  <c r="EN83" i="207"/>
  <c r="EM83" i="207"/>
  <c r="EO82" i="207"/>
  <c r="EN82" i="207"/>
  <c r="EM82" i="207"/>
  <c r="EO81" i="207"/>
  <c r="EN81" i="207"/>
  <c r="EM81" i="207"/>
  <c r="EO80" i="207"/>
  <c r="EN80" i="207"/>
  <c r="EM80" i="207"/>
  <c r="EO79" i="207"/>
  <c r="EN79" i="207"/>
  <c r="EM79" i="207"/>
  <c r="EO78" i="207"/>
  <c r="EN78" i="207"/>
  <c r="EM78" i="207"/>
  <c r="EO77" i="207"/>
  <c r="EN77" i="207"/>
  <c r="EM77" i="207"/>
  <c r="EO76" i="207"/>
  <c r="EN76" i="207"/>
  <c r="EM76" i="207"/>
  <c r="EO75" i="207"/>
  <c r="EN75" i="207"/>
  <c r="EM75" i="207"/>
  <c r="AT57" i="207"/>
  <c r="AR57" i="207"/>
  <c r="AA57" i="207"/>
  <c r="Z57" i="207"/>
  <c r="Y57" i="207"/>
  <c r="X57" i="207"/>
  <c r="W57" i="207"/>
  <c r="V57" i="207"/>
  <c r="U57" i="207"/>
  <c r="T57" i="207"/>
  <c r="S57" i="207"/>
  <c r="R57" i="207"/>
  <c r="Q57" i="207"/>
  <c r="P57" i="207"/>
  <c r="O57" i="207"/>
  <c r="N57" i="207"/>
  <c r="M57" i="207"/>
  <c r="L57" i="207"/>
  <c r="K57" i="207"/>
  <c r="J57" i="207"/>
  <c r="I57" i="207"/>
  <c r="H57" i="207"/>
  <c r="G57" i="207"/>
  <c r="F57" i="207"/>
  <c r="E57" i="207"/>
  <c r="D57" i="207"/>
  <c r="C57" i="207"/>
  <c r="B57" i="207"/>
  <c r="A57" i="207"/>
  <c r="GF57" i="207" s="1"/>
  <c r="GA57" i="207" s="1"/>
  <c r="AN52" i="207"/>
  <c r="FS45" i="207"/>
  <c r="FR45" i="207"/>
  <c r="FM45" i="207"/>
  <c r="FH45" i="207"/>
  <c r="FE45" i="207"/>
  <c r="FF45" i="207" s="1"/>
  <c r="FG45" i="207" s="1"/>
  <c r="Y45" i="207" s="1"/>
  <c r="FC45" i="207"/>
  <c r="FA45" i="207"/>
  <c r="EZ45" i="207"/>
  <c r="EE45" i="207" s="1"/>
  <c r="EG45" i="207" s="1"/>
  <c r="EL45" i="207"/>
  <c r="EK45" i="207"/>
  <c r="EF45" i="207"/>
  <c r="ED45" i="207"/>
  <c r="EC45" i="207"/>
  <c r="EA45" i="207"/>
  <c r="DY45" i="207"/>
  <c r="DU45" i="207"/>
  <c r="DT45" i="207"/>
  <c r="DS45" i="207"/>
  <c r="DO45" i="207"/>
  <c r="DN45" i="207"/>
  <c r="FI45" i="207" s="1"/>
  <c r="FJ45" i="207" s="1"/>
  <c r="FK45" i="207" s="1"/>
  <c r="FL45" i="207" s="1"/>
  <c r="DM45" i="207"/>
  <c r="DL45" i="207"/>
  <c r="DK45" i="207"/>
  <c r="DJ45" i="207"/>
  <c r="DI45" i="207"/>
  <c r="FT45" i="207" s="1"/>
  <c r="DH45" i="207"/>
  <c r="FV45" i="207" s="1"/>
  <c r="DG45" i="207"/>
  <c r="DF45" i="207"/>
  <c r="EB45" i="207" s="1"/>
  <c r="DE45" i="207"/>
  <c r="FB45" i="207" s="1"/>
  <c r="DD45" i="207"/>
  <c r="FD45" i="207" s="1"/>
  <c r="DC45" i="207"/>
  <c r="DB45" i="207"/>
  <c r="DA45" i="207"/>
  <c r="CZ45" i="207"/>
  <c r="CY45" i="207"/>
  <c r="CX45" i="207"/>
  <c r="FU45" i="207" s="1"/>
  <c r="CW45" i="207"/>
  <c r="CV45" i="207"/>
  <c r="CU45" i="207"/>
  <c r="FQ45" i="207" s="1"/>
  <c r="CQ45" i="207"/>
  <c r="CP45" i="207"/>
  <c r="CK45" i="207" s="1"/>
  <c r="CO45" i="207"/>
  <c r="CN45" i="207"/>
  <c r="CM45" i="207"/>
  <c r="CL45" i="207"/>
  <c r="CE45" i="207"/>
  <c r="CD45" i="207"/>
  <c r="AW45" i="207"/>
  <c r="AV45" i="207"/>
  <c r="AN45" i="207"/>
  <c r="AK45" i="207"/>
  <c r="AH45" i="207"/>
  <c r="AF45" i="207"/>
  <c r="AE45" i="207"/>
  <c r="Z45" i="207"/>
  <c r="I45" i="207"/>
  <c r="C45" i="207"/>
  <c r="AG45" i="207" s="1"/>
  <c r="A45" i="207"/>
  <c r="GF44" i="207"/>
  <c r="GD44" i="207" s="1"/>
  <c r="GE44" i="207"/>
  <c r="GC44" i="207"/>
  <c r="GB44" i="207"/>
  <c r="GA44" i="207"/>
  <c r="GL44" i="207" s="1"/>
  <c r="FV44" i="207"/>
  <c r="FS44" i="207"/>
  <c r="FI44" i="207"/>
  <c r="FH44" i="207"/>
  <c r="FC44" i="207"/>
  <c r="EL44" i="207" s="1"/>
  <c r="FA44" i="207"/>
  <c r="EZ44" i="207"/>
  <c r="EX44" i="207"/>
  <c r="ED44" i="207"/>
  <c r="EB44" i="207"/>
  <c r="DY44" i="207"/>
  <c r="FP44" i="207" s="1"/>
  <c r="DS44" i="207"/>
  <c r="DO44" i="207"/>
  <c r="DN44" i="207"/>
  <c r="DM44" i="207"/>
  <c r="DL44" i="207"/>
  <c r="DK44" i="207"/>
  <c r="DJ44" i="207"/>
  <c r="DI44" i="207"/>
  <c r="DH44" i="207"/>
  <c r="FM44" i="207" s="1"/>
  <c r="DG44" i="207"/>
  <c r="DF44" i="207"/>
  <c r="EC44" i="207" s="1"/>
  <c r="DE44" i="207"/>
  <c r="FR44" i="207" s="1"/>
  <c r="DD44" i="207"/>
  <c r="FD44" i="207" s="1"/>
  <c r="DC44" i="207"/>
  <c r="DB44" i="207"/>
  <c r="DA44" i="207"/>
  <c r="CZ44" i="207"/>
  <c r="CY44" i="207"/>
  <c r="CX44" i="207"/>
  <c r="FU44" i="207" s="1"/>
  <c r="CW44" i="207"/>
  <c r="CV44" i="207"/>
  <c r="DV44" i="207" s="1"/>
  <c r="CU44" i="207"/>
  <c r="CQ44" i="207"/>
  <c r="CP44" i="207"/>
  <c r="CO44" i="207"/>
  <c r="CN44" i="207"/>
  <c r="CM44" i="207"/>
  <c r="CL44" i="207"/>
  <c r="CK44" i="207"/>
  <c r="AX44" i="207"/>
  <c r="AW44" i="207"/>
  <c r="AH44" i="207"/>
  <c r="AG44" i="207"/>
  <c r="AF44" i="207"/>
  <c r="C44" i="207"/>
  <c r="AV44" i="207" s="1"/>
  <c r="A44" i="207"/>
  <c r="GF43" i="207"/>
  <c r="GC43" i="207"/>
  <c r="FV43" i="207"/>
  <c r="FU43" i="207"/>
  <c r="FM43" i="207"/>
  <c r="FI43" i="207"/>
  <c r="FC43" i="207"/>
  <c r="FA43" i="207"/>
  <c r="EZ43" i="207"/>
  <c r="EY43" i="207"/>
  <c r="EX43" i="207"/>
  <c r="ER43" i="207"/>
  <c r="EM43" i="207"/>
  <c r="EF43" i="207"/>
  <c r="EE43" i="207"/>
  <c r="EG43" i="207" s="1"/>
  <c r="EC43" i="207"/>
  <c r="EB43" i="207"/>
  <c r="EA43" i="207"/>
  <c r="DY43" i="207"/>
  <c r="DS43" i="207"/>
  <c r="DO43" i="207"/>
  <c r="DN43" i="207"/>
  <c r="DM43" i="207"/>
  <c r="FP43" i="207" s="1"/>
  <c r="DL43" i="207"/>
  <c r="DK43" i="207"/>
  <c r="EL43" i="207" s="1"/>
  <c r="EN43" i="207" s="1"/>
  <c r="DJ43" i="207"/>
  <c r="DI43" i="207"/>
  <c r="DH43" i="207"/>
  <c r="DG43" i="207"/>
  <c r="DF43" i="207"/>
  <c r="ED43" i="207" s="1"/>
  <c r="DE43" i="207"/>
  <c r="FR43" i="207" s="1"/>
  <c r="DD43" i="207"/>
  <c r="FD43" i="207" s="1"/>
  <c r="FE43" i="207" s="1"/>
  <c r="FF43" i="207" s="1"/>
  <c r="FG43" i="207" s="1"/>
  <c r="Y43" i="207" s="1"/>
  <c r="DC43" i="207"/>
  <c r="DB43" i="207"/>
  <c r="DA43" i="207"/>
  <c r="CZ43" i="207"/>
  <c r="CY43" i="207"/>
  <c r="CX43" i="207"/>
  <c r="FH43" i="207" s="1"/>
  <c r="CW43" i="207"/>
  <c r="CV43" i="207"/>
  <c r="DW43" i="207" s="1"/>
  <c r="CU43" i="207"/>
  <c r="CQ43" i="207"/>
  <c r="CP43" i="207"/>
  <c r="CK43" i="207" s="1"/>
  <c r="CO43" i="207"/>
  <c r="CN43" i="207"/>
  <c r="CM43" i="207"/>
  <c r="CL43" i="207"/>
  <c r="AX43" i="207"/>
  <c r="K43" i="207"/>
  <c r="C43" i="207"/>
  <c r="A43" i="207"/>
  <c r="GF42" i="207"/>
  <c r="FT42" i="207"/>
  <c r="FR42" i="207"/>
  <c r="FO42" i="207"/>
  <c r="FM42" i="207"/>
  <c r="FD42" i="207"/>
  <c r="FC42" i="207"/>
  <c r="FB42" i="207"/>
  <c r="EZ42" i="207"/>
  <c r="EY42" i="207"/>
  <c r="EL42" i="207"/>
  <c r="EE42" i="207"/>
  <c r="ED42" i="207"/>
  <c r="EC42" i="207"/>
  <c r="DY42" i="207"/>
  <c r="DX42" i="207"/>
  <c r="F42" i="207" s="1"/>
  <c r="DW42" i="207"/>
  <c r="DV42" i="207"/>
  <c r="DU42" i="207"/>
  <c r="DS42" i="207"/>
  <c r="DO42" i="207"/>
  <c r="DN42" i="207"/>
  <c r="FI42" i="207" s="1"/>
  <c r="DM42" i="207"/>
  <c r="DL42" i="207"/>
  <c r="DK42" i="207"/>
  <c r="DJ42" i="207"/>
  <c r="DI42" i="207"/>
  <c r="DH42" i="207"/>
  <c r="FV42" i="207" s="1"/>
  <c r="DG42" i="207"/>
  <c r="DF42" i="207"/>
  <c r="DE42" i="207"/>
  <c r="FA42" i="207" s="1"/>
  <c r="DD42" i="207"/>
  <c r="DC42" i="207"/>
  <c r="DB42" i="207"/>
  <c r="DA42" i="207"/>
  <c r="CZ42" i="207"/>
  <c r="CY42" i="207"/>
  <c r="FS42" i="207" s="1"/>
  <c r="CX42" i="207"/>
  <c r="FH42" i="207" s="1"/>
  <c r="CW42" i="207"/>
  <c r="CV42" i="207"/>
  <c r="CU42" i="207"/>
  <c r="FQ42" i="207" s="1"/>
  <c r="CQ42" i="207"/>
  <c r="CK42" i="207" s="1"/>
  <c r="CP42" i="207"/>
  <c r="CO42" i="207"/>
  <c r="CN42" i="207"/>
  <c r="CM42" i="207"/>
  <c r="CL42" i="207"/>
  <c r="CE42" i="207"/>
  <c r="CD42" i="207"/>
  <c r="AE42" i="207"/>
  <c r="C42" i="207"/>
  <c r="A42" i="207"/>
  <c r="AX42" i="207" s="1"/>
  <c r="FU41" i="207"/>
  <c r="FS41" i="207"/>
  <c r="FR41" i="207"/>
  <c r="FI41" i="207"/>
  <c r="FJ41" i="207" s="1"/>
  <c r="FK41" i="207" s="1"/>
  <c r="FL41" i="207" s="1"/>
  <c r="Z41" i="207" s="1"/>
  <c r="FH41" i="207"/>
  <c r="FC41" i="207"/>
  <c r="FB41" i="207"/>
  <c r="FA41" i="207"/>
  <c r="EZ41" i="207"/>
  <c r="EE41" i="207" s="1"/>
  <c r="EG41" i="207" s="1"/>
  <c r="ER41" i="207"/>
  <c r="EV41" i="207" s="1"/>
  <c r="EN41" i="207"/>
  <c r="EK41" i="207"/>
  <c r="EF41" i="207"/>
  <c r="ED41" i="207"/>
  <c r="EB41" i="207"/>
  <c r="EA41" i="207"/>
  <c r="DY41" i="207"/>
  <c r="DT41" i="207"/>
  <c r="DS41" i="207"/>
  <c r="DP41" i="207"/>
  <c r="DO41" i="207"/>
  <c r="DN41" i="207"/>
  <c r="DM41" i="207"/>
  <c r="DL41" i="207"/>
  <c r="DK41" i="207"/>
  <c r="EL41" i="207" s="1"/>
  <c r="EM41" i="207" s="1"/>
  <c r="DJ41" i="207"/>
  <c r="DI41" i="207"/>
  <c r="FT41" i="207" s="1"/>
  <c r="DH41" i="207"/>
  <c r="DG41" i="207"/>
  <c r="DF41" i="207"/>
  <c r="EC41" i="207" s="1"/>
  <c r="FP41" i="207" s="1"/>
  <c r="DE41" i="207"/>
  <c r="DD41" i="207"/>
  <c r="FD41" i="207" s="1"/>
  <c r="FE41" i="207" s="1"/>
  <c r="FF41" i="207" s="1"/>
  <c r="FG41" i="207" s="1"/>
  <c r="Y41" i="207" s="1"/>
  <c r="DC41" i="207"/>
  <c r="DB41" i="207"/>
  <c r="DA41" i="207"/>
  <c r="CZ41" i="207"/>
  <c r="CY41" i="207"/>
  <c r="CX41" i="207"/>
  <c r="CW41" i="207"/>
  <c r="CV41" i="207"/>
  <c r="DU41" i="207" s="1"/>
  <c r="CU41" i="207"/>
  <c r="CQ41" i="207"/>
  <c r="CP41" i="207"/>
  <c r="CO41" i="207"/>
  <c r="CN41" i="207"/>
  <c r="CM41" i="207"/>
  <c r="CL41" i="207"/>
  <c r="CE41" i="207"/>
  <c r="CD41" i="207"/>
  <c r="AY41" i="207"/>
  <c r="AW41" i="207"/>
  <c r="AV41" i="207"/>
  <c r="AN41" i="207"/>
  <c r="AL41" i="207"/>
  <c r="AK41" i="207"/>
  <c r="AM41" i="207" s="1"/>
  <c r="AJ41" i="207"/>
  <c r="AH41" i="207"/>
  <c r="AF41" i="207"/>
  <c r="AE41" i="207"/>
  <c r="C41" i="207"/>
  <c r="AG41" i="207" s="1"/>
  <c r="A41" i="207"/>
  <c r="GM40" i="207"/>
  <c r="GL40" i="207"/>
  <c r="GK40" i="207"/>
  <c r="GF40" i="207"/>
  <c r="FV40" i="207"/>
  <c r="FT40" i="207"/>
  <c r="FQ40" i="207"/>
  <c r="FD40" i="207"/>
  <c r="FC40" i="207"/>
  <c r="FA40" i="207"/>
  <c r="EZ40" i="207"/>
  <c r="EJ40" i="207"/>
  <c r="EG40" i="207"/>
  <c r="EE40" i="207"/>
  <c r="EF40" i="207" s="1"/>
  <c r="EC40" i="207"/>
  <c r="EB40" i="207"/>
  <c r="EA40" i="207"/>
  <c r="DY40" i="207"/>
  <c r="DS40" i="207"/>
  <c r="DO40" i="207"/>
  <c r="DN40" i="207"/>
  <c r="FI40" i="207" s="1"/>
  <c r="DM40" i="207"/>
  <c r="FP40" i="207" s="1"/>
  <c r="DL40" i="207"/>
  <c r="DK40" i="207"/>
  <c r="DJ40" i="207"/>
  <c r="DI40" i="207"/>
  <c r="DH40" i="207"/>
  <c r="FM40" i="207" s="1"/>
  <c r="DG40" i="207"/>
  <c r="DF40" i="207"/>
  <c r="ED40" i="207" s="1"/>
  <c r="DE40" i="207"/>
  <c r="FB40" i="207" s="1"/>
  <c r="DD40" i="207"/>
  <c r="DC40" i="207"/>
  <c r="DB40" i="207"/>
  <c r="DA40" i="207"/>
  <c r="CZ40" i="207"/>
  <c r="CY40" i="207"/>
  <c r="FS40" i="207" s="1"/>
  <c r="CX40" i="207"/>
  <c r="CW40" i="207"/>
  <c r="CV40" i="207"/>
  <c r="CU40" i="207"/>
  <c r="CQ40" i="207"/>
  <c r="CK40" i="207" s="1"/>
  <c r="CP40" i="207"/>
  <c r="CO40" i="207"/>
  <c r="CN40" i="207"/>
  <c r="CM40" i="207"/>
  <c r="CL40" i="207"/>
  <c r="CE40" i="207"/>
  <c r="AY40" i="207"/>
  <c r="AX40" i="207"/>
  <c r="AW40" i="207"/>
  <c r="AV40" i="207"/>
  <c r="AK40" i="207" s="1"/>
  <c r="AQ40" i="207"/>
  <c r="AJ40" i="207"/>
  <c r="AH40" i="207"/>
  <c r="AG40" i="207"/>
  <c r="AF40" i="207"/>
  <c r="AE40" i="207"/>
  <c r="J40" i="207"/>
  <c r="GL39" i="207"/>
  <c r="GK39" i="207"/>
  <c r="GM39" i="207" s="1"/>
  <c r="GF39" i="207"/>
  <c r="FV39" i="207"/>
  <c r="FH39" i="207"/>
  <c r="FD39" i="207"/>
  <c r="FC39" i="207"/>
  <c r="FA39" i="207"/>
  <c r="EZ39" i="207"/>
  <c r="EE39" i="207" s="1"/>
  <c r="EA39" i="207"/>
  <c r="DY39" i="207"/>
  <c r="DW39" i="207"/>
  <c r="DV39" i="207"/>
  <c r="DS39" i="207"/>
  <c r="DO39" i="207"/>
  <c r="DN39" i="207"/>
  <c r="FI39" i="207" s="1"/>
  <c r="DM39" i="207"/>
  <c r="DL39" i="207"/>
  <c r="DK39" i="207"/>
  <c r="EL39" i="207" s="1"/>
  <c r="DJ39" i="207"/>
  <c r="DI39" i="207"/>
  <c r="DH39" i="207"/>
  <c r="FM39" i="207" s="1"/>
  <c r="DG39" i="207"/>
  <c r="DF39" i="207"/>
  <c r="ED39" i="207" s="1"/>
  <c r="J39" i="207" s="1"/>
  <c r="DE39" i="207"/>
  <c r="FR39" i="207" s="1"/>
  <c r="DD39" i="207"/>
  <c r="DC39" i="207"/>
  <c r="DB39" i="207"/>
  <c r="DA39" i="207"/>
  <c r="CZ39" i="207"/>
  <c r="CY39" i="207"/>
  <c r="CX39" i="207"/>
  <c r="FU39" i="207" s="1"/>
  <c r="CW39" i="207"/>
  <c r="CV39" i="207"/>
  <c r="DX39" i="207" s="1"/>
  <c r="CU39" i="207"/>
  <c r="CQ39" i="207"/>
  <c r="CP39" i="207"/>
  <c r="CO39" i="207"/>
  <c r="CN39" i="207"/>
  <c r="CM39" i="207"/>
  <c r="CL39" i="207"/>
  <c r="CK39" i="207"/>
  <c r="AY39" i="207"/>
  <c r="AX39" i="207"/>
  <c r="AW39" i="207"/>
  <c r="AK39" i="207" s="1"/>
  <c r="AV39" i="207"/>
  <c r="AQ39" i="207"/>
  <c r="AM39" i="207"/>
  <c r="AH39" i="207"/>
  <c r="AG39" i="207"/>
  <c r="AF39" i="207"/>
  <c r="AE39" i="207"/>
  <c r="K39" i="207"/>
  <c r="I39" i="207"/>
  <c r="GM38" i="207"/>
  <c r="GL38" i="207"/>
  <c r="GK38" i="207"/>
  <c r="GF38" i="207"/>
  <c r="FS38" i="207"/>
  <c r="FK38" i="207"/>
  <c r="FL38" i="207" s="1"/>
  <c r="Z38" i="207" s="1"/>
  <c r="FC38" i="207"/>
  <c r="EZ38" i="207"/>
  <c r="EE38" i="207" s="1"/>
  <c r="EG38" i="207" s="1"/>
  <c r="EY38" i="207"/>
  <c r="EX38" i="207"/>
  <c r="EL38" i="207"/>
  <c r="EM38" i="207" s="1"/>
  <c r="DY38" i="207"/>
  <c r="DX38" i="207"/>
  <c r="DV38" i="207"/>
  <c r="DU38" i="207"/>
  <c r="DS38" i="207"/>
  <c r="DO38" i="207"/>
  <c r="DN38" i="207"/>
  <c r="FI38" i="207" s="1"/>
  <c r="FJ38" i="207" s="1"/>
  <c r="DM38" i="207"/>
  <c r="DL38" i="207"/>
  <c r="DK38" i="207"/>
  <c r="DJ38" i="207"/>
  <c r="DI38" i="207"/>
  <c r="FT38" i="207" s="1"/>
  <c r="DH38" i="207"/>
  <c r="FM38" i="207" s="1"/>
  <c r="DG38" i="207"/>
  <c r="DF38" i="207"/>
  <c r="DE38" i="207"/>
  <c r="FR38" i="207" s="1"/>
  <c r="DD38" i="207"/>
  <c r="FD38" i="207" s="1"/>
  <c r="FE38" i="207" s="1"/>
  <c r="FF38" i="207" s="1"/>
  <c r="FG38" i="207" s="1"/>
  <c r="Y38" i="207" s="1"/>
  <c r="DC38" i="207"/>
  <c r="DB38" i="207"/>
  <c r="DA38" i="207"/>
  <c r="CZ38" i="207"/>
  <c r="CY38" i="207"/>
  <c r="CX38" i="207"/>
  <c r="CW38" i="207"/>
  <c r="CV38" i="207"/>
  <c r="DW38" i="207" s="1"/>
  <c r="FO38" i="207" s="1"/>
  <c r="CU38" i="207"/>
  <c r="FQ38" i="207" s="1"/>
  <c r="CQ38" i="207"/>
  <c r="CP38" i="207"/>
  <c r="CO38" i="207"/>
  <c r="CN38" i="207"/>
  <c r="CM38" i="207"/>
  <c r="CL38" i="207"/>
  <c r="CK38" i="207"/>
  <c r="CD38" i="207"/>
  <c r="AX38" i="207"/>
  <c r="AW38" i="207"/>
  <c r="AV38" i="207"/>
  <c r="AH38" i="207"/>
  <c r="AG38" i="207"/>
  <c r="AF38" i="207"/>
  <c r="AE38" i="207"/>
  <c r="GM37" i="207"/>
  <c r="GL37" i="207"/>
  <c r="GK37" i="207"/>
  <c r="GF37" i="207"/>
  <c r="FU37" i="207"/>
  <c r="FR37" i="207"/>
  <c r="FJ37" i="207"/>
  <c r="FK37" i="207" s="1"/>
  <c r="FL37" i="207" s="1"/>
  <c r="Z37" i="207" s="1"/>
  <c r="FI37" i="207"/>
  <c r="FD37" i="207"/>
  <c r="FC37" i="207"/>
  <c r="FB37" i="207"/>
  <c r="EZ37" i="207"/>
  <c r="EY37" i="207"/>
  <c r="EX37" i="207"/>
  <c r="EF37" i="207"/>
  <c r="EC37" i="207"/>
  <c r="EB37" i="207"/>
  <c r="DY37" i="207"/>
  <c r="DX37" i="207"/>
  <c r="DW37" i="207"/>
  <c r="DU37" i="207"/>
  <c r="DS37" i="207"/>
  <c r="DP37" i="207"/>
  <c r="DO37" i="207"/>
  <c r="FE37" i="207" s="1"/>
  <c r="FF37" i="207" s="1"/>
  <c r="FG37" i="207" s="1"/>
  <c r="Y37" i="207" s="1"/>
  <c r="DN37" i="207"/>
  <c r="DM37" i="207"/>
  <c r="DL37" i="207"/>
  <c r="DK37" i="207"/>
  <c r="EL37" i="207" s="1"/>
  <c r="DJ37" i="207"/>
  <c r="DI37" i="207"/>
  <c r="DH37" i="207"/>
  <c r="FM37" i="207" s="1"/>
  <c r="DG37" i="207"/>
  <c r="DF37" i="207"/>
  <c r="ED37" i="207" s="1"/>
  <c r="J37" i="207" s="1"/>
  <c r="DE37" i="207"/>
  <c r="FA37" i="207" s="1"/>
  <c r="DD37" i="207"/>
  <c r="DC37" i="207"/>
  <c r="DB37" i="207"/>
  <c r="DA37" i="207"/>
  <c r="EE37" i="207" s="1"/>
  <c r="EG37" i="207" s="1"/>
  <c r="CZ37" i="207"/>
  <c r="CY37" i="207"/>
  <c r="FS37" i="207" s="1"/>
  <c r="CX37" i="207"/>
  <c r="FH37" i="207" s="1"/>
  <c r="CW37" i="207"/>
  <c r="CV37" i="207"/>
  <c r="DV37" i="207" s="1"/>
  <c r="CU37" i="207"/>
  <c r="CQ37" i="207"/>
  <c r="CP37" i="207"/>
  <c r="CK37" i="207" s="1"/>
  <c r="CO37" i="207"/>
  <c r="CN37" i="207"/>
  <c r="CM37" i="207"/>
  <c r="CL37" i="207"/>
  <c r="CD37" i="207"/>
  <c r="AX37" i="207"/>
  <c r="AW37" i="207"/>
  <c r="AV37" i="207"/>
  <c r="AO37" i="207"/>
  <c r="AM37" i="207"/>
  <c r="AK37" i="207"/>
  <c r="AH37" i="207"/>
  <c r="AG37" i="207"/>
  <c r="AF37" i="207"/>
  <c r="AE37" i="207"/>
  <c r="GK36" i="207"/>
  <c r="GM36" i="207" s="1"/>
  <c r="GF36" i="207"/>
  <c r="GE36" i="207"/>
  <c r="GL36" i="207" s="1"/>
  <c r="FU36" i="207"/>
  <c r="FT36" i="207"/>
  <c r="FP36" i="207"/>
  <c r="FM36" i="207"/>
  <c r="FI36" i="207"/>
  <c r="FH36" i="207"/>
  <c r="FE36" i="207"/>
  <c r="FF36" i="207" s="1"/>
  <c r="FG36" i="207" s="1"/>
  <c r="Y36" i="207" s="1"/>
  <c r="FC36" i="207"/>
  <c r="FA36" i="207"/>
  <c r="EZ36" i="207"/>
  <c r="EE36" i="207" s="1"/>
  <c r="EG36" i="207" s="1"/>
  <c r="EK36" i="207" s="1"/>
  <c r="EF36" i="207"/>
  <c r="EJ36" i="207" s="1"/>
  <c r="CH36" i="207" s="1"/>
  <c r="EC36" i="207"/>
  <c r="EB36" i="207"/>
  <c r="EA36" i="207"/>
  <c r="DY36" i="207"/>
  <c r="DT36" i="207"/>
  <c r="DS36" i="207"/>
  <c r="DO36" i="207"/>
  <c r="DN36" i="207"/>
  <c r="DM36" i="207"/>
  <c r="DL36" i="207"/>
  <c r="DK36" i="207"/>
  <c r="EL36" i="207" s="1"/>
  <c r="DJ36" i="207"/>
  <c r="DI36" i="207"/>
  <c r="DH36" i="207"/>
  <c r="FV36" i="207" s="1"/>
  <c r="DG36" i="207"/>
  <c r="DF36" i="207"/>
  <c r="ED36" i="207" s="1"/>
  <c r="DE36" i="207"/>
  <c r="FR36" i="207" s="1"/>
  <c r="DD36" i="207"/>
  <c r="FD36" i="207" s="1"/>
  <c r="DC36" i="207"/>
  <c r="DB36" i="207"/>
  <c r="DA36" i="207"/>
  <c r="CZ36" i="207"/>
  <c r="CY36" i="207"/>
  <c r="FS36" i="207" s="1"/>
  <c r="CX36" i="207"/>
  <c r="CW36" i="207"/>
  <c r="CV36" i="207"/>
  <c r="CU36" i="207"/>
  <c r="CQ36" i="207"/>
  <c r="CK36" i="207" s="1"/>
  <c r="CP36" i="207"/>
  <c r="CO36" i="207"/>
  <c r="CN36" i="207"/>
  <c r="CM36" i="207"/>
  <c r="CL36" i="207"/>
  <c r="CE36" i="207"/>
  <c r="AY36" i="207"/>
  <c r="AX36" i="207"/>
  <c r="AW36" i="207"/>
  <c r="AV36" i="207"/>
  <c r="AK36" i="207" s="1"/>
  <c r="AJ36" i="207"/>
  <c r="AH36" i="207"/>
  <c r="AG36" i="207"/>
  <c r="AF36" i="207"/>
  <c r="AE36" i="207"/>
  <c r="GL35" i="207"/>
  <c r="GK35" i="207"/>
  <c r="GM35" i="207" s="1"/>
  <c r="GF35" i="207"/>
  <c r="FV35" i="207"/>
  <c r="FT35" i="207"/>
  <c r="FH35" i="207"/>
  <c r="FD35" i="207"/>
  <c r="FC35" i="207"/>
  <c r="FA35" i="207"/>
  <c r="EZ35" i="207"/>
  <c r="EE35" i="207" s="1"/>
  <c r="EA35" i="207"/>
  <c r="DY35" i="207"/>
  <c r="DW35" i="207"/>
  <c r="DV35" i="207"/>
  <c r="DS35" i="207"/>
  <c r="DO35" i="207"/>
  <c r="DN35" i="207"/>
  <c r="FI35" i="207" s="1"/>
  <c r="DM35" i="207"/>
  <c r="DL35" i="207"/>
  <c r="DK35" i="207"/>
  <c r="EL35" i="207" s="1"/>
  <c r="DJ35" i="207"/>
  <c r="DI35" i="207"/>
  <c r="DH35" i="207"/>
  <c r="FM35" i="207" s="1"/>
  <c r="DG35" i="207"/>
  <c r="DF35" i="207"/>
  <c r="ED35" i="207" s="1"/>
  <c r="DE35" i="207"/>
  <c r="FR35" i="207" s="1"/>
  <c r="DD35" i="207"/>
  <c r="DC35" i="207"/>
  <c r="DB35" i="207"/>
  <c r="DA35" i="207"/>
  <c r="CZ35" i="207"/>
  <c r="CY35" i="207"/>
  <c r="CX35" i="207"/>
  <c r="FU35" i="207" s="1"/>
  <c r="CW35" i="207"/>
  <c r="CV35" i="207"/>
  <c r="DX35" i="207" s="1"/>
  <c r="G35" i="207" s="1"/>
  <c r="CU35" i="207"/>
  <c r="CQ35" i="207"/>
  <c r="CP35" i="207"/>
  <c r="CK35" i="207" s="1"/>
  <c r="CO35" i="207"/>
  <c r="CN35" i="207"/>
  <c r="CM35" i="207"/>
  <c r="CL35" i="207"/>
  <c r="AY35" i="207"/>
  <c r="AX35" i="207"/>
  <c r="AW35" i="207"/>
  <c r="AV35" i="207"/>
  <c r="AH35" i="207"/>
  <c r="AG35" i="207"/>
  <c r="AF35" i="207"/>
  <c r="AE35" i="207"/>
  <c r="H35" i="207"/>
  <c r="F35" i="207"/>
  <c r="GM34" i="207"/>
  <c r="GL34" i="207"/>
  <c r="GK34" i="207"/>
  <c r="GF34" i="207"/>
  <c r="FS34" i="207"/>
  <c r="FO34" i="207"/>
  <c r="FK34" i="207"/>
  <c r="FL34" i="207" s="1"/>
  <c r="Z34" i="207" s="1"/>
  <c r="FF34" i="207"/>
  <c r="FG34" i="207" s="1"/>
  <c r="Y34" i="207" s="1"/>
  <c r="FC34" i="207"/>
  <c r="EL34" i="207" s="1"/>
  <c r="EZ34" i="207"/>
  <c r="EY34" i="207"/>
  <c r="EX34" i="207"/>
  <c r="DY34" i="207"/>
  <c r="DX34" i="207"/>
  <c r="DV34" i="207"/>
  <c r="DU34" i="207"/>
  <c r="DS34" i="207"/>
  <c r="DO34" i="207"/>
  <c r="DN34" i="207"/>
  <c r="FI34" i="207" s="1"/>
  <c r="FJ34" i="207" s="1"/>
  <c r="DM34" i="207"/>
  <c r="DL34" i="207"/>
  <c r="DK34" i="207"/>
  <c r="DJ34" i="207"/>
  <c r="DI34" i="207"/>
  <c r="DH34" i="207"/>
  <c r="FM34" i="207" s="1"/>
  <c r="DG34" i="207"/>
  <c r="DF34" i="207"/>
  <c r="DE34" i="207"/>
  <c r="DD34" i="207"/>
  <c r="FD34" i="207" s="1"/>
  <c r="FE34" i="207" s="1"/>
  <c r="DC34" i="207"/>
  <c r="DB34" i="207"/>
  <c r="DA34" i="207"/>
  <c r="CZ34" i="207"/>
  <c r="CY34" i="207"/>
  <c r="CX34" i="207"/>
  <c r="CW34" i="207"/>
  <c r="CV34" i="207"/>
  <c r="DW34" i="207" s="1"/>
  <c r="CU34" i="207"/>
  <c r="FQ34" i="207" s="1"/>
  <c r="CQ34" i="207"/>
  <c r="CP34" i="207"/>
  <c r="CO34" i="207"/>
  <c r="CN34" i="207"/>
  <c r="CM34" i="207"/>
  <c r="CL34" i="207"/>
  <c r="CK34" i="207"/>
  <c r="CD34" i="207"/>
  <c r="AX34" i="207"/>
  <c r="AW34" i="207"/>
  <c r="AV34" i="207"/>
  <c r="AH34" i="207"/>
  <c r="AG34" i="207"/>
  <c r="AF34" i="207"/>
  <c r="AE34" i="207"/>
  <c r="GM33" i="207"/>
  <c r="GL33" i="207"/>
  <c r="GK33" i="207"/>
  <c r="GF33" i="207"/>
  <c r="FU33" i="207"/>
  <c r="FT33" i="207"/>
  <c r="FR33" i="207"/>
  <c r="FM33" i="207"/>
  <c r="FJ33" i="207"/>
  <c r="FK33" i="207" s="1"/>
  <c r="FL33" i="207" s="1"/>
  <c r="Z33" i="207" s="1"/>
  <c r="FI33" i="207"/>
  <c r="FC33" i="207"/>
  <c r="FB33" i="207"/>
  <c r="EZ33" i="207"/>
  <c r="EY33" i="207"/>
  <c r="EX33" i="207"/>
  <c r="EN33" i="207"/>
  <c r="EG33" i="207"/>
  <c r="EE33" i="207"/>
  <c r="EF33" i="207" s="1"/>
  <c r="EC33" i="207"/>
  <c r="EB33" i="207"/>
  <c r="DY33" i="207"/>
  <c r="DS33" i="207"/>
  <c r="DO33" i="207"/>
  <c r="DN33" i="207"/>
  <c r="DM33" i="207"/>
  <c r="DL33" i="207"/>
  <c r="DK33" i="207"/>
  <c r="EL33" i="207" s="1"/>
  <c r="EM33" i="207" s="1"/>
  <c r="DJ33" i="207"/>
  <c r="DI33" i="207"/>
  <c r="DH33" i="207"/>
  <c r="FV33" i="207" s="1"/>
  <c r="DG33" i="207"/>
  <c r="DF33" i="207"/>
  <c r="ED33" i="207" s="1"/>
  <c r="DE33" i="207"/>
  <c r="FA33" i="207" s="1"/>
  <c r="DD33" i="207"/>
  <c r="FD33" i="207" s="1"/>
  <c r="DC33" i="207"/>
  <c r="DB33" i="207"/>
  <c r="DA33" i="207"/>
  <c r="CZ33" i="207"/>
  <c r="CY33" i="207"/>
  <c r="FS33" i="207" s="1"/>
  <c r="CX33" i="207"/>
  <c r="FH33" i="207" s="1"/>
  <c r="CW33" i="207"/>
  <c r="CV33" i="207"/>
  <c r="CU33" i="207"/>
  <c r="CQ33" i="207"/>
  <c r="CP33" i="207"/>
  <c r="CK33" i="207" s="1"/>
  <c r="CO33" i="207"/>
  <c r="CN33" i="207"/>
  <c r="CM33" i="207"/>
  <c r="CL33" i="207"/>
  <c r="CD33" i="207"/>
  <c r="AX33" i="207"/>
  <c r="AW33" i="207"/>
  <c r="AV33" i="207"/>
  <c r="AK33" i="207" s="1"/>
  <c r="AS33" i="207"/>
  <c r="AJ33" i="207"/>
  <c r="AH33" i="207"/>
  <c r="AG33" i="207"/>
  <c r="AF33" i="207"/>
  <c r="AE33" i="207"/>
  <c r="GL32" i="207"/>
  <c r="GK32" i="207"/>
  <c r="GM32" i="207" s="1"/>
  <c r="GF32" i="207"/>
  <c r="FU32" i="207"/>
  <c r="FT32" i="207"/>
  <c r="FQ32" i="207"/>
  <c r="FI32" i="207"/>
  <c r="FH32" i="207"/>
  <c r="FD32" i="207"/>
  <c r="FC32" i="207"/>
  <c r="FA32" i="207"/>
  <c r="EZ32" i="207"/>
  <c r="EX32" i="207"/>
  <c r="EL32" i="207"/>
  <c r="EG32" i="207"/>
  <c r="ED32" i="207"/>
  <c r="EB32" i="207"/>
  <c r="EA32" i="207"/>
  <c r="DY32" i="207"/>
  <c r="FP32" i="207" s="1"/>
  <c r="DW32" i="207"/>
  <c r="DS32" i="207"/>
  <c r="DP32" i="207"/>
  <c r="DO32" i="207"/>
  <c r="DN32" i="207"/>
  <c r="DM32" i="207"/>
  <c r="DL32" i="207"/>
  <c r="DK32" i="207"/>
  <c r="DJ32" i="207"/>
  <c r="DI32" i="207"/>
  <c r="DH32" i="207"/>
  <c r="DG32" i="207"/>
  <c r="DF32" i="207"/>
  <c r="EC32" i="207" s="1"/>
  <c r="DE32" i="207"/>
  <c r="FR32" i="207" s="1"/>
  <c r="DD32" i="207"/>
  <c r="DC32" i="207"/>
  <c r="DB32" i="207"/>
  <c r="DA32" i="207"/>
  <c r="EE32" i="207" s="1"/>
  <c r="EF32" i="207" s="1"/>
  <c r="CZ32" i="207"/>
  <c r="CY32" i="207"/>
  <c r="CX32" i="207"/>
  <c r="CW32" i="207"/>
  <c r="CV32" i="207"/>
  <c r="DU32" i="207" s="1"/>
  <c r="CU32" i="207"/>
  <c r="EY32" i="207" s="1"/>
  <c r="CQ32" i="207"/>
  <c r="CP32" i="207"/>
  <c r="CK32" i="207" s="1"/>
  <c r="CO32" i="207"/>
  <c r="CN32" i="207"/>
  <c r="CM32" i="207"/>
  <c r="CL32" i="207"/>
  <c r="AX32" i="207"/>
  <c r="AW32" i="207"/>
  <c r="AV32" i="207"/>
  <c r="AK32" i="207" s="1"/>
  <c r="AO32" i="207"/>
  <c r="AH32" i="207"/>
  <c r="AG32" i="207"/>
  <c r="AF32" i="207"/>
  <c r="AE32" i="207"/>
  <c r="GL31" i="207"/>
  <c r="GK31" i="207"/>
  <c r="GM31" i="207" s="1"/>
  <c r="GF31" i="207"/>
  <c r="FU31" i="207"/>
  <c r="FT31" i="207"/>
  <c r="FM31" i="207"/>
  <c r="FI31" i="207"/>
  <c r="FD31" i="207"/>
  <c r="FC31" i="207"/>
  <c r="FA31" i="207"/>
  <c r="EZ31" i="207"/>
  <c r="ER31" i="207"/>
  <c r="EN31" i="207"/>
  <c r="EL31" i="207"/>
  <c r="EM31" i="207" s="1"/>
  <c r="EE31" i="207"/>
  <c r="EG31" i="207" s="1"/>
  <c r="ED31" i="207"/>
  <c r="EB31" i="207"/>
  <c r="DY31" i="207"/>
  <c r="DV31" i="207"/>
  <c r="DS31" i="207"/>
  <c r="DO31" i="207"/>
  <c r="FJ31" i="207" s="1"/>
  <c r="FK31" i="207" s="1"/>
  <c r="FL31" i="207" s="1"/>
  <c r="Z31" i="207" s="1"/>
  <c r="DN31" i="207"/>
  <c r="DM31" i="207"/>
  <c r="DL31" i="207"/>
  <c r="DK31" i="207"/>
  <c r="DJ31" i="207"/>
  <c r="DI31" i="207"/>
  <c r="DH31" i="207"/>
  <c r="FV31" i="207" s="1"/>
  <c r="DG31" i="207"/>
  <c r="DF31" i="207"/>
  <c r="DE31" i="207"/>
  <c r="DD31" i="207"/>
  <c r="DC31" i="207"/>
  <c r="DB31" i="207"/>
  <c r="DA31" i="207"/>
  <c r="CZ31" i="207"/>
  <c r="CY31" i="207"/>
  <c r="CX31" i="207"/>
  <c r="FH31" i="207" s="1"/>
  <c r="CW31" i="207"/>
  <c r="CV31" i="207"/>
  <c r="CU31" i="207"/>
  <c r="EY31" i="207" s="1"/>
  <c r="CQ31" i="207"/>
  <c r="CP31" i="207"/>
  <c r="CK31" i="207" s="1"/>
  <c r="CO31" i="207"/>
  <c r="CN31" i="207"/>
  <c r="CM31" i="207"/>
  <c r="CL31" i="207"/>
  <c r="CE31" i="207"/>
  <c r="AX31" i="207"/>
  <c r="AW31" i="207"/>
  <c r="AV31" i="207"/>
  <c r="AK31" i="207" s="1"/>
  <c r="AL31" i="207"/>
  <c r="AJ31" i="207"/>
  <c r="AH31" i="207"/>
  <c r="AG31" i="207"/>
  <c r="AF31" i="207"/>
  <c r="AE31" i="207"/>
  <c r="GL30" i="207"/>
  <c r="GK30" i="207"/>
  <c r="GM30" i="207" s="1"/>
  <c r="GF30" i="207"/>
  <c r="FV30" i="207"/>
  <c r="FT30" i="207"/>
  <c r="FS30" i="207"/>
  <c r="FD30" i="207"/>
  <c r="FC30" i="207"/>
  <c r="EL30" i="207" s="1"/>
  <c r="FB30" i="207"/>
  <c r="EZ30" i="207"/>
  <c r="EE30" i="207"/>
  <c r="ED30" i="207"/>
  <c r="DY30" i="207"/>
  <c r="DX30" i="207"/>
  <c r="DW30" i="207"/>
  <c r="DV30" i="207"/>
  <c r="DU30" i="207"/>
  <c r="DS30" i="207"/>
  <c r="DO30" i="207"/>
  <c r="DN30" i="207"/>
  <c r="FI30" i="207" s="1"/>
  <c r="DM30" i="207"/>
  <c r="DL30" i="207"/>
  <c r="DK30" i="207"/>
  <c r="DJ30" i="207"/>
  <c r="DI30" i="207"/>
  <c r="DH30" i="207"/>
  <c r="FM30" i="207" s="1"/>
  <c r="DG30" i="207"/>
  <c r="DF30" i="207"/>
  <c r="DE30" i="207"/>
  <c r="DD30" i="207"/>
  <c r="DC30" i="207"/>
  <c r="DB30" i="207"/>
  <c r="DA30" i="207"/>
  <c r="CZ30" i="207"/>
  <c r="CY30" i="207"/>
  <c r="CD30" i="207" s="1"/>
  <c r="CX30" i="207"/>
  <c r="FU30" i="207" s="1"/>
  <c r="CW30" i="207"/>
  <c r="CV30" i="207"/>
  <c r="CU30" i="207"/>
  <c r="CQ30" i="207"/>
  <c r="CP30" i="207"/>
  <c r="CK30" i="207" s="1"/>
  <c r="CO30" i="207"/>
  <c r="CN30" i="207"/>
  <c r="CM30" i="207"/>
  <c r="CL30" i="207"/>
  <c r="CE30" i="207"/>
  <c r="AY30" i="207"/>
  <c r="AX30" i="207"/>
  <c r="AW30" i="207"/>
  <c r="AV30" i="207"/>
  <c r="AS30" i="207"/>
  <c r="AM30" i="207"/>
  <c r="AL30" i="207"/>
  <c r="AK30" i="207"/>
  <c r="AH30" i="207"/>
  <c r="AG30" i="207"/>
  <c r="AF30" i="207"/>
  <c r="AE30" i="207"/>
  <c r="H30" i="207"/>
  <c r="G30" i="207"/>
  <c r="F30" i="207"/>
  <c r="GL29" i="207"/>
  <c r="GM29" i="207" s="1"/>
  <c r="GK29" i="207"/>
  <c r="GF29" i="207"/>
  <c r="FV29" i="207"/>
  <c r="FS29" i="207"/>
  <c r="FQ29" i="207"/>
  <c r="FI29" i="207"/>
  <c r="FJ29" i="207" s="1"/>
  <c r="FK29" i="207" s="1"/>
  <c r="FL29" i="207" s="1"/>
  <c r="Z29" i="207" s="1"/>
  <c r="FG29" i="207"/>
  <c r="Y29" i="207" s="1"/>
  <c r="FC29" i="207"/>
  <c r="EZ29" i="207"/>
  <c r="EY29" i="207"/>
  <c r="EX29" i="207"/>
  <c r="EL29" i="207"/>
  <c r="ED29" i="207"/>
  <c r="EC29" i="207"/>
  <c r="DY29" i="207"/>
  <c r="DU29" i="207"/>
  <c r="DT29" i="207"/>
  <c r="DS29" i="207"/>
  <c r="DO29" i="207"/>
  <c r="DN29" i="207"/>
  <c r="DM29" i="207"/>
  <c r="DL29" i="207"/>
  <c r="DK29" i="207"/>
  <c r="DJ29" i="207"/>
  <c r="DI29" i="207"/>
  <c r="FT29" i="207" s="1"/>
  <c r="DH29" i="207"/>
  <c r="FM29" i="207" s="1"/>
  <c r="DG29" i="207"/>
  <c r="DF29" i="207"/>
  <c r="EA29" i="207" s="1"/>
  <c r="DE29" i="207"/>
  <c r="DD29" i="207"/>
  <c r="FD29" i="207" s="1"/>
  <c r="FE29" i="207" s="1"/>
  <c r="FF29" i="207" s="1"/>
  <c r="DC29" i="207"/>
  <c r="DB29" i="207"/>
  <c r="DA29" i="207"/>
  <c r="EE29" i="207" s="1"/>
  <c r="CZ29" i="207"/>
  <c r="CY29" i="207"/>
  <c r="CX29" i="207"/>
  <c r="CW29" i="207"/>
  <c r="CV29" i="207"/>
  <c r="CU29" i="207"/>
  <c r="CQ29" i="207"/>
  <c r="CP29" i="207"/>
  <c r="CO29" i="207"/>
  <c r="CN29" i="207"/>
  <c r="CM29" i="207"/>
  <c r="CL29" i="207"/>
  <c r="CK29" i="207"/>
  <c r="CE29" i="207"/>
  <c r="CD29" i="207"/>
  <c r="AX29" i="207"/>
  <c r="AW29" i="207"/>
  <c r="AV29" i="207"/>
  <c r="AS29" i="207"/>
  <c r="AL29" i="207"/>
  <c r="AK29" i="207"/>
  <c r="AJ29" i="207"/>
  <c r="AH29" i="207"/>
  <c r="AG29" i="207"/>
  <c r="AF29" i="207"/>
  <c r="AE29" i="207"/>
  <c r="GL28" i="207"/>
  <c r="GM28" i="207" s="1"/>
  <c r="GK28" i="207"/>
  <c r="GF28" i="207"/>
  <c r="FV28" i="207"/>
  <c r="FU28" i="207"/>
  <c r="FR28" i="207"/>
  <c r="FP28" i="207"/>
  <c r="FI28" i="207"/>
  <c r="FJ28" i="207" s="1"/>
  <c r="FK28" i="207" s="1"/>
  <c r="FL28" i="207" s="1"/>
  <c r="Z28" i="207" s="1"/>
  <c r="FH28" i="207"/>
  <c r="FC28" i="207"/>
  <c r="FB28" i="207"/>
  <c r="FA28" i="207"/>
  <c r="EZ28" i="207"/>
  <c r="EC28" i="207"/>
  <c r="EB28" i="207"/>
  <c r="EA28" i="207"/>
  <c r="DY28" i="207"/>
  <c r="DU28" i="207"/>
  <c r="DS28" i="207"/>
  <c r="DO28" i="207"/>
  <c r="DN28" i="207"/>
  <c r="DM28" i="207"/>
  <c r="DL28" i="207"/>
  <c r="DK28" i="207"/>
  <c r="EL28" i="207" s="1"/>
  <c r="DJ28" i="207"/>
  <c r="DI28" i="207"/>
  <c r="DH28" i="207"/>
  <c r="FM28" i="207" s="1"/>
  <c r="DG28" i="207"/>
  <c r="DF28" i="207"/>
  <c r="ED28" i="207" s="1"/>
  <c r="DE28" i="207"/>
  <c r="DD28" i="207"/>
  <c r="FD28" i="207" s="1"/>
  <c r="FE28" i="207" s="1"/>
  <c r="FF28" i="207" s="1"/>
  <c r="FG28" i="207" s="1"/>
  <c r="DC28" i="207"/>
  <c r="DB28" i="207"/>
  <c r="DA28" i="207"/>
  <c r="CZ28" i="207"/>
  <c r="CY28" i="207"/>
  <c r="FS28" i="207" s="1"/>
  <c r="CX28" i="207"/>
  <c r="CW28" i="207"/>
  <c r="CV28" i="207"/>
  <c r="CU28" i="207"/>
  <c r="CQ28" i="207"/>
  <c r="CP28" i="207"/>
  <c r="CK28" i="207" s="1"/>
  <c r="CO28" i="207"/>
  <c r="CN28" i="207"/>
  <c r="CM28" i="207"/>
  <c r="CL28" i="207"/>
  <c r="CD28" i="207"/>
  <c r="AY28" i="207"/>
  <c r="AX28" i="207"/>
  <c r="AW28" i="207"/>
  <c r="AK28" i="207" s="1"/>
  <c r="AV28" i="207"/>
  <c r="AH28" i="207"/>
  <c r="AG28" i="207"/>
  <c r="AF28" i="207"/>
  <c r="AE28" i="207"/>
  <c r="Y28" i="207"/>
  <c r="GL27" i="207"/>
  <c r="GK27" i="207"/>
  <c r="GF27" i="207"/>
  <c r="FU27" i="207"/>
  <c r="FT27" i="207"/>
  <c r="FM27" i="207"/>
  <c r="FI27" i="207"/>
  <c r="FH27" i="207"/>
  <c r="FE27" i="207"/>
  <c r="FF27" i="207" s="1"/>
  <c r="FG27" i="207" s="1"/>
  <c r="Y27" i="207" s="1"/>
  <c r="FC27" i="207"/>
  <c r="FA27" i="207"/>
  <c r="EZ27" i="207"/>
  <c r="EE27" i="207" s="1"/>
  <c r="EG27" i="207" s="1"/>
  <c r="EY27" i="207"/>
  <c r="EF27" i="207"/>
  <c r="EB27" i="207"/>
  <c r="EA27" i="207"/>
  <c r="DZ27" i="207"/>
  <c r="DY27" i="207"/>
  <c r="DS27" i="207"/>
  <c r="DO27" i="207"/>
  <c r="DN27" i="207"/>
  <c r="DM27" i="207"/>
  <c r="DL27" i="207"/>
  <c r="DK27" i="207"/>
  <c r="EL27" i="207" s="1"/>
  <c r="DJ27" i="207"/>
  <c r="DI27" i="207"/>
  <c r="DH27" i="207"/>
  <c r="FV27" i="207" s="1"/>
  <c r="DG27" i="207"/>
  <c r="DF27" i="207"/>
  <c r="ED27" i="207" s="1"/>
  <c r="DE27" i="207"/>
  <c r="FR27" i="207" s="1"/>
  <c r="DD27" i="207"/>
  <c r="FD27" i="207" s="1"/>
  <c r="DC27" i="207"/>
  <c r="DT27" i="207" s="1"/>
  <c r="DB27" i="207"/>
  <c r="DA27" i="207"/>
  <c r="CZ27" i="207"/>
  <c r="CY27" i="207"/>
  <c r="FS27" i="207" s="1"/>
  <c r="CX27" i="207"/>
  <c r="CW27" i="207"/>
  <c r="CV27" i="207"/>
  <c r="CU27" i="207"/>
  <c r="CQ27" i="207"/>
  <c r="CK27" i="207" s="1"/>
  <c r="CP27" i="207"/>
  <c r="CO27" i="207"/>
  <c r="CN27" i="207"/>
  <c r="CM27" i="207"/>
  <c r="CL27" i="207"/>
  <c r="CE27" i="207"/>
  <c r="AY27" i="207"/>
  <c r="AX27" i="207"/>
  <c r="AW27" i="207"/>
  <c r="AV27" i="207"/>
  <c r="AK27" i="207" s="1"/>
  <c r="AH27" i="207"/>
  <c r="AG27" i="207"/>
  <c r="AF27" i="207"/>
  <c r="AE27" i="207"/>
  <c r="GL26" i="207"/>
  <c r="GK26" i="207"/>
  <c r="GM26" i="207" s="1"/>
  <c r="GF26" i="207"/>
  <c r="FV26" i="207"/>
  <c r="FT26" i="207"/>
  <c r="FH26" i="207"/>
  <c r="FD26" i="207"/>
  <c r="FC26" i="207"/>
  <c r="EZ26" i="207"/>
  <c r="EX26" i="207"/>
  <c r="EM26" i="207"/>
  <c r="EQ26" i="207" s="1"/>
  <c r="CI26" i="207" s="1"/>
  <c r="EA26" i="207"/>
  <c r="DY26" i="207"/>
  <c r="DW26" i="207"/>
  <c r="DV26" i="207"/>
  <c r="DU26" i="207"/>
  <c r="DS26" i="207"/>
  <c r="DO26" i="207"/>
  <c r="DN26" i="207"/>
  <c r="FI26" i="207" s="1"/>
  <c r="DM26" i="207"/>
  <c r="DL26" i="207"/>
  <c r="DK26" i="207"/>
  <c r="EL26" i="207" s="1"/>
  <c r="EN26" i="207" s="1"/>
  <c r="ER26" i="207" s="1"/>
  <c r="DJ26" i="207"/>
  <c r="DI26" i="207"/>
  <c r="DH26" i="207"/>
  <c r="FM26" i="207" s="1"/>
  <c r="DG26" i="207"/>
  <c r="DF26" i="207"/>
  <c r="ED26" i="207" s="1"/>
  <c r="DE26" i="207"/>
  <c r="FR26" i="207" s="1"/>
  <c r="DD26" i="207"/>
  <c r="DC26" i="207"/>
  <c r="DB26" i="207"/>
  <c r="DA26" i="207"/>
  <c r="EE26" i="207" s="1"/>
  <c r="CZ26" i="207"/>
  <c r="CY26" i="207"/>
  <c r="CX26" i="207"/>
  <c r="FU26" i="207" s="1"/>
  <c r="CW26" i="207"/>
  <c r="CV26" i="207"/>
  <c r="DX26" i="207" s="1"/>
  <c r="G26" i="207" s="1"/>
  <c r="CU26" i="207"/>
  <c r="FQ26" i="207" s="1"/>
  <c r="CQ26" i="207"/>
  <c r="CP26" i="207"/>
  <c r="CK26" i="207" s="1"/>
  <c r="CO26" i="207"/>
  <c r="CN26" i="207"/>
  <c r="CM26" i="207"/>
  <c r="CL26" i="207"/>
  <c r="AY26" i="207"/>
  <c r="AX26" i="207"/>
  <c r="AW26" i="207"/>
  <c r="AK26" i="207" s="1"/>
  <c r="AV26" i="207"/>
  <c r="AH26" i="207"/>
  <c r="AG26" i="207"/>
  <c r="AF26" i="207"/>
  <c r="AE26" i="207"/>
  <c r="H26" i="207"/>
  <c r="F26" i="207"/>
  <c r="GM25" i="207"/>
  <c r="GL25" i="207"/>
  <c r="GK25" i="207"/>
  <c r="GF25" i="207"/>
  <c r="FS25" i="207"/>
  <c r="FO25" i="207"/>
  <c r="FK25" i="207"/>
  <c r="FL25" i="207" s="1"/>
  <c r="Z25" i="207" s="1"/>
  <c r="FG25" i="207"/>
  <c r="Y25" i="207" s="1"/>
  <c r="FC25" i="207"/>
  <c r="EZ25" i="207"/>
  <c r="EY25" i="207"/>
  <c r="EX25" i="207"/>
  <c r="EL25" i="207"/>
  <c r="ED25" i="207"/>
  <c r="DY25" i="207"/>
  <c r="DX25" i="207"/>
  <c r="DV25" i="207"/>
  <c r="DU25" i="207"/>
  <c r="DS25" i="207"/>
  <c r="DP25" i="207"/>
  <c r="DO25" i="207"/>
  <c r="DN25" i="207"/>
  <c r="FI25" i="207" s="1"/>
  <c r="FJ25" i="207" s="1"/>
  <c r="DM25" i="207"/>
  <c r="DL25" i="207"/>
  <c r="DK25" i="207"/>
  <c r="DJ25" i="207"/>
  <c r="DI25" i="207"/>
  <c r="DH25" i="207"/>
  <c r="FM25" i="207" s="1"/>
  <c r="DG25" i="207"/>
  <c r="DF25" i="207"/>
  <c r="DE25" i="207"/>
  <c r="FR25" i="207" s="1"/>
  <c r="DD25" i="207"/>
  <c r="FD25" i="207" s="1"/>
  <c r="FE25" i="207" s="1"/>
  <c r="FF25" i="207" s="1"/>
  <c r="DC25" i="207"/>
  <c r="DB25" i="207"/>
  <c r="DA25" i="207"/>
  <c r="CZ25" i="207"/>
  <c r="CY25" i="207"/>
  <c r="CX25" i="207"/>
  <c r="FH25" i="207" s="1"/>
  <c r="CW25" i="207"/>
  <c r="CV25" i="207"/>
  <c r="DW25" i="207" s="1"/>
  <c r="CU25" i="207"/>
  <c r="CQ25" i="207"/>
  <c r="CP25" i="207"/>
  <c r="CO25" i="207"/>
  <c r="CN25" i="207"/>
  <c r="CM25" i="207"/>
  <c r="CL25" i="207"/>
  <c r="CK25" i="207"/>
  <c r="CD25" i="207"/>
  <c r="AX25" i="207"/>
  <c r="AW25" i="207"/>
  <c r="AV25" i="207"/>
  <c r="AK25" i="207" s="1"/>
  <c r="AO25" i="207"/>
  <c r="AH25" i="207"/>
  <c r="AG25" i="207"/>
  <c r="AF25" i="207"/>
  <c r="AE25" i="207"/>
  <c r="H25" i="207"/>
  <c r="GL24" i="207"/>
  <c r="GK24" i="207"/>
  <c r="GM24" i="207" s="1"/>
  <c r="GF24" i="207"/>
  <c r="FU24" i="207"/>
  <c r="FT24" i="207"/>
  <c r="FI24" i="207"/>
  <c r="FH24" i="207"/>
  <c r="FG24" i="207"/>
  <c r="Y24" i="207" s="1"/>
  <c r="FE24" i="207"/>
  <c r="FF24" i="207" s="1"/>
  <c r="FC24" i="207"/>
  <c r="FA24" i="207"/>
  <c r="EZ24" i="207"/>
  <c r="EE24" i="207" s="1"/>
  <c r="EB24" i="207"/>
  <c r="EA24" i="207"/>
  <c r="DY24" i="207"/>
  <c r="DT24" i="207"/>
  <c r="DS24" i="207"/>
  <c r="DP24" i="207"/>
  <c r="DO24" i="207"/>
  <c r="FJ24" i="207" s="1"/>
  <c r="FK24" i="207" s="1"/>
  <c r="FL24" i="207" s="1"/>
  <c r="Z24" i="207" s="1"/>
  <c r="DN24" i="207"/>
  <c r="DM24" i="207"/>
  <c r="DL24" i="207"/>
  <c r="DK24" i="207"/>
  <c r="EL24" i="207" s="1"/>
  <c r="DJ24" i="207"/>
  <c r="DI24" i="207"/>
  <c r="DH24" i="207"/>
  <c r="DG24" i="207"/>
  <c r="DF24" i="207"/>
  <c r="ED24" i="207" s="1"/>
  <c r="DE24" i="207"/>
  <c r="FR24" i="207" s="1"/>
  <c r="DD24" i="207"/>
  <c r="FD24" i="207" s="1"/>
  <c r="DC24" i="207"/>
  <c r="DB24" i="207"/>
  <c r="DA24" i="207"/>
  <c r="CZ24" i="207"/>
  <c r="CY24" i="207"/>
  <c r="FS24" i="207" s="1"/>
  <c r="CX24" i="207"/>
  <c r="CW24" i="207"/>
  <c r="CV24" i="207"/>
  <c r="CU24" i="207"/>
  <c r="CQ24" i="207"/>
  <c r="CP24" i="207"/>
  <c r="CO24" i="207"/>
  <c r="CN24" i="207"/>
  <c r="CM24" i="207"/>
  <c r="CL24" i="207"/>
  <c r="CK24" i="207"/>
  <c r="CE24" i="207"/>
  <c r="AY24" i="207"/>
  <c r="AX24" i="207"/>
  <c r="AW24" i="207"/>
  <c r="AV24" i="207"/>
  <c r="AK24" i="207" s="1"/>
  <c r="AN24" i="207"/>
  <c r="AJ24" i="207"/>
  <c r="AH24" i="207"/>
  <c r="AG24" i="207"/>
  <c r="AF24" i="207"/>
  <c r="AE24" i="207"/>
  <c r="GL23" i="207"/>
  <c r="GK23" i="207"/>
  <c r="GM23" i="207" s="1"/>
  <c r="GF23" i="207"/>
  <c r="FV23" i="207"/>
  <c r="FT23" i="207"/>
  <c r="FH23" i="207"/>
  <c r="FD23" i="207"/>
  <c r="FC23" i="207"/>
  <c r="EZ23" i="207"/>
  <c r="EE23" i="207" s="1"/>
  <c r="EF23" i="207" s="1"/>
  <c r="EJ23" i="207" s="1"/>
  <c r="EY23" i="207"/>
  <c r="EG23" i="207"/>
  <c r="EA23" i="207"/>
  <c r="DZ23" i="207"/>
  <c r="DY23" i="207"/>
  <c r="DW23" i="207"/>
  <c r="DV23" i="207"/>
  <c r="DU23" i="207"/>
  <c r="DS23" i="207"/>
  <c r="FO23" i="207" s="1"/>
  <c r="DO23" i="207"/>
  <c r="DN23" i="207"/>
  <c r="FI23" i="207" s="1"/>
  <c r="DM23" i="207"/>
  <c r="DL23" i="207"/>
  <c r="DK23" i="207"/>
  <c r="EL23" i="207" s="1"/>
  <c r="DJ23" i="207"/>
  <c r="DI23" i="207"/>
  <c r="DH23" i="207"/>
  <c r="FM23" i="207" s="1"/>
  <c r="DG23" i="207"/>
  <c r="DF23" i="207"/>
  <c r="ED23" i="207" s="1"/>
  <c r="DE23" i="207"/>
  <c r="FR23" i="207" s="1"/>
  <c r="DD23" i="207"/>
  <c r="DC23" i="207"/>
  <c r="DB23" i="207"/>
  <c r="DA23" i="207"/>
  <c r="CZ23" i="207"/>
  <c r="CY23" i="207"/>
  <c r="CX23" i="207"/>
  <c r="FU23" i="207" s="1"/>
  <c r="CW23" i="207"/>
  <c r="CV23" i="207"/>
  <c r="DX23" i="207" s="1"/>
  <c r="G23" i="207" s="1"/>
  <c r="CU23" i="207"/>
  <c r="FQ23" i="207" s="1"/>
  <c r="CQ23" i="207"/>
  <c r="CP23" i="207"/>
  <c r="CK23" i="207" s="1"/>
  <c r="CO23" i="207"/>
  <c r="CN23" i="207"/>
  <c r="CM23" i="207"/>
  <c r="CL23" i="207"/>
  <c r="AY23" i="207"/>
  <c r="AX23" i="207"/>
  <c r="AW23" i="207"/>
  <c r="AK23" i="207" s="1"/>
  <c r="AV23" i="207"/>
  <c r="AQ23" i="207"/>
  <c r="AM23" i="207"/>
  <c r="AH23" i="207"/>
  <c r="AG23" i="207"/>
  <c r="AF23" i="207"/>
  <c r="AE23" i="207"/>
  <c r="H23" i="207"/>
  <c r="GM22" i="207"/>
  <c r="GL22" i="207"/>
  <c r="GK22" i="207"/>
  <c r="GF22" i="207"/>
  <c r="FU22" i="207"/>
  <c r="FS22" i="207"/>
  <c r="FO22" i="207"/>
  <c r="FE22" i="207"/>
  <c r="FF22" i="207" s="1"/>
  <c r="FG22" i="207" s="1"/>
  <c r="Y22" i="207" s="1"/>
  <c r="FC22" i="207"/>
  <c r="EZ22" i="207"/>
  <c r="EE22" i="207" s="1"/>
  <c r="EY22" i="207"/>
  <c r="EX22" i="207"/>
  <c r="EL22" i="207"/>
  <c r="EM22" i="207" s="1"/>
  <c r="EQ22" i="207" s="1"/>
  <c r="DY22" i="207"/>
  <c r="DX22" i="207"/>
  <c r="DV22" i="207"/>
  <c r="DU22" i="207"/>
  <c r="DS22" i="207"/>
  <c r="DO22" i="207"/>
  <c r="DN22" i="207"/>
  <c r="FI22" i="207" s="1"/>
  <c r="FJ22" i="207" s="1"/>
  <c r="FK22" i="207" s="1"/>
  <c r="FL22" i="207" s="1"/>
  <c r="Z22" i="207" s="1"/>
  <c r="DM22" i="207"/>
  <c r="DL22" i="207"/>
  <c r="DK22" i="207"/>
  <c r="DJ22" i="207"/>
  <c r="DI22" i="207"/>
  <c r="FT22" i="207" s="1"/>
  <c r="DH22" i="207"/>
  <c r="FM22" i="207" s="1"/>
  <c r="DG22" i="207"/>
  <c r="DF22" i="207"/>
  <c r="DE22" i="207"/>
  <c r="FR22" i="207" s="1"/>
  <c r="DD22" i="207"/>
  <c r="FD22" i="207" s="1"/>
  <c r="DC22" i="207"/>
  <c r="DB22" i="207"/>
  <c r="DA22" i="207"/>
  <c r="CZ22" i="207"/>
  <c r="CY22" i="207"/>
  <c r="CX22" i="207"/>
  <c r="FH22" i="207" s="1"/>
  <c r="CW22" i="207"/>
  <c r="CV22" i="207"/>
  <c r="DW22" i="207" s="1"/>
  <c r="CU22" i="207"/>
  <c r="CQ22" i="207"/>
  <c r="CP22" i="207"/>
  <c r="CO22" i="207"/>
  <c r="CN22" i="207"/>
  <c r="CM22" i="207"/>
  <c r="CL22" i="207"/>
  <c r="CK22" i="207"/>
  <c r="CE22" i="207"/>
  <c r="CD22" i="207"/>
  <c r="AX22" i="207"/>
  <c r="AW22" i="207"/>
  <c r="AV22" i="207"/>
  <c r="AK22" i="207" s="1"/>
  <c r="AO22" i="207"/>
  <c r="AN22" i="207"/>
  <c r="AL22" i="207"/>
  <c r="AH22" i="207"/>
  <c r="AG22" i="207"/>
  <c r="AF22" i="207"/>
  <c r="AE22" i="207"/>
  <c r="GM21" i="207"/>
  <c r="GL21" i="207"/>
  <c r="GK21" i="207"/>
  <c r="GF21" i="207"/>
  <c r="FV21" i="207"/>
  <c r="FU21" i="207"/>
  <c r="FR21" i="207"/>
  <c r="FM21" i="207"/>
  <c r="FL21" i="207"/>
  <c r="Z21" i="207" s="1"/>
  <c r="FJ21" i="207"/>
  <c r="FK21" i="207" s="1"/>
  <c r="FI21" i="207"/>
  <c r="FH21" i="207"/>
  <c r="FE21" i="207"/>
  <c r="FF21" i="207" s="1"/>
  <c r="FG21" i="207" s="1"/>
  <c r="Y21" i="207" s="1"/>
  <c r="FD21" i="207"/>
  <c r="FC21" i="207"/>
  <c r="FB21" i="207"/>
  <c r="EZ21" i="207"/>
  <c r="EX21" i="207"/>
  <c r="EN21" i="207"/>
  <c r="EM21" i="207"/>
  <c r="EC21" i="207"/>
  <c r="EB21" i="207"/>
  <c r="EA21" i="207"/>
  <c r="DY21" i="207"/>
  <c r="DX21" i="207"/>
  <c r="DW21" i="207"/>
  <c r="DU21" i="207"/>
  <c r="DS21" i="207"/>
  <c r="DP21" i="207"/>
  <c r="DO21" i="207"/>
  <c r="DN21" i="207"/>
  <c r="DM21" i="207"/>
  <c r="DL21" i="207"/>
  <c r="DK21" i="207"/>
  <c r="EL21" i="207" s="1"/>
  <c r="DJ21" i="207"/>
  <c r="DI21" i="207"/>
  <c r="DH21" i="207"/>
  <c r="DG21" i="207"/>
  <c r="DF21" i="207"/>
  <c r="ED21" i="207" s="1"/>
  <c r="DE21" i="207"/>
  <c r="FA21" i="207" s="1"/>
  <c r="DD21" i="207"/>
  <c r="DC21" i="207"/>
  <c r="DB21" i="207"/>
  <c r="DA21" i="207"/>
  <c r="EE21" i="207" s="1"/>
  <c r="EF21" i="207" s="1"/>
  <c r="CZ21" i="207"/>
  <c r="CY21" i="207"/>
  <c r="FS21" i="207" s="1"/>
  <c r="CX21" i="207"/>
  <c r="CW21" i="207"/>
  <c r="CV21" i="207"/>
  <c r="DV21" i="207" s="1"/>
  <c r="CU21" i="207"/>
  <c r="EY21" i="207" s="1"/>
  <c r="CQ21" i="207"/>
  <c r="CP21" i="207"/>
  <c r="CO21" i="207"/>
  <c r="CN21" i="207"/>
  <c r="CM21" i="207"/>
  <c r="CL21" i="207"/>
  <c r="AX21" i="207"/>
  <c r="AW21" i="207"/>
  <c r="AV21" i="207"/>
  <c r="AK21" i="207" s="1"/>
  <c r="AH21" i="207"/>
  <c r="AG21" i="207"/>
  <c r="AF21" i="207"/>
  <c r="AE21" i="207"/>
  <c r="G21" i="207"/>
  <c r="GL20" i="207"/>
  <c r="GK20" i="207"/>
  <c r="GM20" i="207" s="1"/>
  <c r="GF20" i="207"/>
  <c r="FV20" i="207"/>
  <c r="FT20" i="207"/>
  <c r="FN20" i="207"/>
  <c r="FH20" i="207"/>
  <c r="FD20" i="207"/>
  <c r="FC20" i="207"/>
  <c r="EZ20" i="207"/>
  <c r="EE20" i="207" s="1"/>
  <c r="EA20" i="207"/>
  <c r="DZ20" i="207"/>
  <c r="DY20" i="207"/>
  <c r="DW20" i="207"/>
  <c r="DV20" i="207"/>
  <c r="DU20" i="207"/>
  <c r="DS20" i="207"/>
  <c r="DO20" i="207"/>
  <c r="DN20" i="207"/>
  <c r="FI20" i="207" s="1"/>
  <c r="DM20" i="207"/>
  <c r="DL20" i="207"/>
  <c r="DK20" i="207"/>
  <c r="EL20" i="207" s="1"/>
  <c r="DJ20" i="207"/>
  <c r="DI20" i="207"/>
  <c r="DH20" i="207"/>
  <c r="FM20" i="207" s="1"/>
  <c r="DG20" i="207"/>
  <c r="DF20" i="207"/>
  <c r="ED20" i="207" s="1"/>
  <c r="DE20" i="207"/>
  <c r="FR20" i="207" s="1"/>
  <c r="DD20" i="207"/>
  <c r="DC20" i="207"/>
  <c r="DB20" i="207"/>
  <c r="DA20" i="207"/>
  <c r="CZ20" i="207"/>
  <c r="CY20" i="207"/>
  <c r="CX20" i="207"/>
  <c r="FU20" i="207" s="1"/>
  <c r="CW20" i="207"/>
  <c r="CV20" i="207"/>
  <c r="DX20" i="207" s="1"/>
  <c r="CU20" i="207"/>
  <c r="CQ20" i="207"/>
  <c r="CP20" i="207"/>
  <c r="CO20" i="207"/>
  <c r="CN20" i="207"/>
  <c r="CM20" i="207"/>
  <c r="CL20" i="207"/>
  <c r="CK20" i="207"/>
  <c r="AY20" i="207"/>
  <c r="AX20" i="207"/>
  <c r="AW20" i="207"/>
  <c r="AK20" i="207" s="1"/>
  <c r="AV20" i="207"/>
  <c r="AM20" i="207"/>
  <c r="AH20" i="207"/>
  <c r="AG20" i="207"/>
  <c r="AF20" i="207"/>
  <c r="AE20" i="207"/>
  <c r="GL19" i="207"/>
  <c r="GK19" i="207"/>
  <c r="GF19" i="207"/>
  <c r="FV19" i="207"/>
  <c r="FU19" i="207"/>
  <c r="FR19" i="207"/>
  <c r="FI19" i="207"/>
  <c r="FJ19" i="207" s="1"/>
  <c r="FK19" i="207" s="1"/>
  <c r="FL19" i="207" s="1"/>
  <c r="Z19" i="207" s="1"/>
  <c r="FH19" i="207"/>
  <c r="FC19" i="207"/>
  <c r="FA19" i="207"/>
  <c r="EZ19" i="207"/>
  <c r="EX19" i="207"/>
  <c r="EC19" i="207"/>
  <c r="EB19" i="207"/>
  <c r="EA19" i="207"/>
  <c r="DY19" i="207"/>
  <c r="DS19" i="207"/>
  <c r="DO19" i="207"/>
  <c r="DN19" i="207"/>
  <c r="DM19" i="207"/>
  <c r="DL19" i="207"/>
  <c r="DK19" i="207"/>
  <c r="EL19" i="207" s="1"/>
  <c r="DJ19" i="207"/>
  <c r="DI19" i="207"/>
  <c r="DH19" i="207"/>
  <c r="FM19" i="207" s="1"/>
  <c r="DG19" i="207"/>
  <c r="DF19" i="207"/>
  <c r="ED19" i="207" s="1"/>
  <c r="DE19" i="207"/>
  <c r="FB19" i="207" s="1"/>
  <c r="DD19" i="207"/>
  <c r="FD19" i="207" s="1"/>
  <c r="FE19" i="207" s="1"/>
  <c r="FF19" i="207" s="1"/>
  <c r="FG19" i="207" s="1"/>
  <c r="DC19" i="207"/>
  <c r="DB19" i="207"/>
  <c r="DA19" i="207"/>
  <c r="CZ19" i="207"/>
  <c r="CY19" i="207"/>
  <c r="FS19" i="207" s="1"/>
  <c r="CX19" i="207"/>
  <c r="CW19" i="207"/>
  <c r="CV19" i="207"/>
  <c r="FN19" i="207" s="1"/>
  <c r="CU19" i="207"/>
  <c r="EY19" i="207" s="1"/>
  <c r="CQ19" i="207"/>
  <c r="CP19" i="207"/>
  <c r="CK19" i="207" s="1"/>
  <c r="CO19" i="207"/>
  <c r="CN19" i="207"/>
  <c r="CM19" i="207"/>
  <c r="CL19" i="207"/>
  <c r="CD19" i="207"/>
  <c r="AY19" i="207"/>
  <c r="AX19" i="207"/>
  <c r="AW19" i="207"/>
  <c r="AV19" i="207"/>
  <c r="AS19" i="207"/>
  <c r="AO19" i="207"/>
  <c r="AN19" i="207"/>
  <c r="AK19" i="207"/>
  <c r="AH19" i="207"/>
  <c r="AG19" i="207"/>
  <c r="AF19" i="207"/>
  <c r="AE19" i="207"/>
  <c r="Y19" i="207"/>
  <c r="GL18" i="207"/>
  <c r="GK18" i="207"/>
  <c r="GF18" i="207"/>
  <c r="FU18" i="207"/>
  <c r="FT18" i="207"/>
  <c r="FI18" i="207"/>
  <c r="FH18" i="207"/>
  <c r="FD18" i="207"/>
  <c r="FE18" i="207" s="1"/>
  <c r="FF18" i="207" s="1"/>
  <c r="FG18" i="207" s="1"/>
  <c r="Y18" i="207" s="1"/>
  <c r="FC18" i="207"/>
  <c r="FA18" i="207"/>
  <c r="EZ18" i="207"/>
  <c r="EN18" i="207"/>
  <c r="ER18" i="207" s="1"/>
  <c r="EE18" i="207"/>
  <c r="EB18" i="207"/>
  <c r="EA18" i="207"/>
  <c r="DY18" i="207"/>
  <c r="DX18" i="207"/>
  <c r="DS18" i="207"/>
  <c r="DP18" i="207"/>
  <c r="DO18" i="207"/>
  <c r="DN18" i="207"/>
  <c r="DM18" i="207"/>
  <c r="DL18" i="207"/>
  <c r="DK18" i="207"/>
  <c r="EL18" i="207" s="1"/>
  <c r="EM18" i="207" s="1"/>
  <c r="DJ18" i="207"/>
  <c r="DI18" i="207"/>
  <c r="DH18" i="207"/>
  <c r="DG18" i="207"/>
  <c r="DF18" i="207"/>
  <c r="ED18" i="207" s="1"/>
  <c r="DE18" i="207"/>
  <c r="FR18" i="207" s="1"/>
  <c r="DD18" i="207"/>
  <c r="DC18" i="207"/>
  <c r="DB18" i="207"/>
  <c r="DA18" i="207"/>
  <c r="CZ18" i="207"/>
  <c r="CY18" i="207"/>
  <c r="CX18" i="207"/>
  <c r="CW18" i="207"/>
  <c r="CV18" i="207"/>
  <c r="CU18" i="207"/>
  <c r="EX18" i="207" s="1"/>
  <c r="CQ18" i="207"/>
  <c r="CP18" i="207"/>
  <c r="CK18" i="207" s="1"/>
  <c r="CO18" i="207"/>
  <c r="CN18" i="207"/>
  <c r="CM18" i="207"/>
  <c r="CL18" i="207"/>
  <c r="CE18" i="207"/>
  <c r="AY18" i="207"/>
  <c r="AX18" i="207"/>
  <c r="AW18" i="207"/>
  <c r="AV18" i="207"/>
  <c r="AK18" i="207" s="1"/>
  <c r="AM18" i="207"/>
  <c r="AH18" i="207"/>
  <c r="AG18" i="207"/>
  <c r="AF18" i="207"/>
  <c r="AE18" i="207"/>
  <c r="F18" i="207"/>
  <c r="GL17" i="207"/>
  <c r="GK17" i="207"/>
  <c r="GM17" i="207" s="1"/>
  <c r="GF17" i="207"/>
  <c r="FV17" i="207"/>
  <c r="FO17" i="207"/>
  <c r="FD17" i="207"/>
  <c r="FC17" i="207"/>
  <c r="EZ17" i="207"/>
  <c r="EY17" i="207"/>
  <c r="EX17" i="207"/>
  <c r="EL17" i="207"/>
  <c r="EA17" i="207"/>
  <c r="DY17" i="207"/>
  <c r="DX17" i="207"/>
  <c r="DW17" i="207"/>
  <c r="DV17" i="207"/>
  <c r="DU17" i="207"/>
  <c r="DS17" i="207"/>
  <c r="DO17" i="207"/>
  <c r="DN17" i="207"/>
  <c r="FI17" i="207" s="1"/>
  <c r="DM17" i="207"/>
  <c r="DL17" i="207"/>
  <c r="DK17" i="207"/>
  <c r="DJ17" i="207"/>
  <c r="DI17" i="207"/>
  <c r="DH17" i="207"/>
  <c r="FM17" i="207" s="1"/>
  <c r="DG17" i="207"/>
  <c r="DF17" i="207"/>
  <c r="DE17" i="207"/>
  <c r="DD17" i="207"/>
  <c r="DC17" i="207"/>
  <c r="DB17" i="207"/>
  <c r="DA17" i="207"/>
  <c r="CZ17" i="207"/>
  <c r="CY17" i="207"/>
  <c r="CX17" i="207"/>
  <c r="CW17" i="207"/>
  <c r="CV17" i="207"/>
  <c r="CU17" i="207"/>
  <c r="FQ17" i="207" s="1"/>
  <c r="CQ17" i="207"/>
  <c r="CP17" i="207"/>
  <c r="CK17" i="207" s="1"/>
  <c r="CO17" i="207"/>
  <c r="CN17" i="207"/>
  <c r="CM17" i="207"/>
  <c r="CL17" i="207"/>
  <c r="AY17" i="207"/>
  <c r="AX17" i="207"/>
  <c r="AW17" i="207"/>
  <c r="AK17" i="207" s="1"/>
  <c r="AV17" i="207"/>
  <c r="AH17" i="207"/>
  <c r="AG17" i="207"/>
  <c r="AF17" i="207"/>
  <c r="AE17" i="207"/>
  <c r="H17" i="207"/>
  <c r="G17" i="207"/>
  <c r="F17" i="207"/>
  <c r="GM16" i="207"/>
  <c r="GL16" i="207"/>
  <c r="GK16" i="207"/>
  <c r="GF16" i="207"/>
  <c r="FV16" i="207"/>
  <c r="FU16" i="207"/>
  <c r="FS16" i="207"/>
  <c r="FC16" i="207"/>
  <c r="EZ16" i="207"/>
  <c r="EY16" i="207"/>
  <c r="EX16" i="207"/>
  <c r="EN16" i="207"/>
  <c r="EL16" i="207"/>
  <c r="EM16" i="207" s="1"/>
  <c r="EQ16" i="207" s="1"/>
  <c r="EG16" i="207"/>
  <c r="EF16" i="207"/>
  <c r="EJ16" i="207" s="1"/>
  <c r="DY16" i="207"/>
  <c r="DX16" i="207"/>
  <c r="DV16" i="207"/>
  <c r="DU16" i="207"/>
  <c r="DS16" i="207"/>
  <c r="DO16" i="207"/>
  <c r="DN16" i="207"/>
  <c r="FI16" i="207" s="1"/>
  <c r="FJ16" i="207" s="1"/>
  <c r="FK16" i="207" s="1"/>
  <c r="FL16" i="207" s="1"/>
  <c r="Z16" i="207" s="1"/>
  <c r="DM16" i="207"/>
  <c r="DL16" i="207"/>
  <c r="DK16" i="207"/>
  <c r="DJ16" i="207"/>
  <c r="DI16" i="207"/>
  <c r="FT16" i="207" s="1"/>
  <c r="DH16" i="207"/>
  <c r="FM16" i="207" s="1"/>
  <c r="DG16" i="207"/>
  <c r="DF16" i="207"/>
  <c r="DE16" i="207"/>
  <c r="DD16" i="207"/>
  <c r="FD16" i="207" s="1"/>
  <c r="FE16" i="207" s="1"/>
  <c r="FF16" i="207" s="1"/>
  <c r="FG16" i="207" s="1"/>
  <c r="Y16" i="207" s="1"/>
  <c r="DC16" i="207"/>
  <c r="DB16" i="207"/>
  <c r="DA16" i="207"/>
  <c r="EE16" i="207" s="1"/>
  <c r="CZ16" i="207"/>
  <c r="CY16" i="207"/>
  <c r="CX16" i="207"/>
  <c r="FH16" i="207" s="1"/>
  <c r="CW16" i="207"/>
  <c r="CV16" i="207"/>
  <c r="DW16" i="207" s="1"/>
  <c r="FO16" i="207" s="1"/>
  <c r="CU16" i="207"/>
  <c r="CQ16" i="207"/>
  <c r="CK16" i="207" s="1"/>
  <c r="CP16" i="207"/>
  <c r="CO16" i="207"/>
  <c r="CN16" i="207"/>
  <c r="CM16" i="207"/>
  <c r="CL16" i="207"/>
  <c r="CD16" i="207"/>
  <c r="AX16" i="207"/>
  <c r="AW16" i="207"/>
  <c r="AV16" i="207"/>
  <c r="AK16" i="207"/>
  <c r="AH16" i="207"/>
  <c r="AG16" i="207"/>
  <c r="AF16" i="207"/>
  <c r="AE16" i="207"/>
  <c r="IF14" i="207"/>
  <c r="IE14" i="207"/>
  <c r="IB14" i="207"/>
  <c r="HZ14" i="207"/>
  <c r="HX14" i="207"/>
  <c r="HT14" i="207"/>
  <c r="HS14" i="207"/>
  <c r="HR14" i="207"/>
  <c r="HP14" i="207"/>
  <c r="HL14" i="207"/>
  <c r="HK14" i="207"/>
  <c r="HH14" i="207"/>
  <c r="HG14" i="207"/>
  <c r="AA12" i="207"/>
  <c r="AB12" i="207" s="1"/>
  <c r="HB11" i="207"/>
  <c r="HC11" i="207" s="1"/>
  <c r="HD11" i="207" s="1"/>
  <c r="HE11" i="207" s="1"/>
  <c r="HF11" i="207" s="1"/>
  <c r="HG11" i="207" s="1"/>
  <c r="HH11" i="207" s="1"/>
  <c r="HI11" i="207" s="1"/>
  <c r="HJ11" i="207" s="1"/>
  <c r="HK11" i="207" s="1"/>
  <c r="HL11" i="207" s="1"/>
  <c r="HM11" i="207" s="1"/>
  <c r="HN11" i="207" s="1"/>
  <c r="HO11" i="207" s="1"/>
  <c r="HP11" i="207" s="1"/>
  <c r="HQ11" i="207" s="1"/>
  <c r="HR11" i="207" s="1"/>
  <c r="HS11" i="207" s="1"/>
  <c r="HT11" i="207" s="1"/>
  <c r="HU11" i="207" s="1"/>
  <c r="HV11" i="207" s="1"/>
  <c r="HW11" i="207" s="1"/>
  <c r="HX11" i="207" s="1"/>
  <c r="HY11" i="207" s="1"/>
  <c r="HZ11" i="207" s="1"/>
  <c r="IA11" i="207" s="1"/>
  <c r="IB11" i="207" s="1"/>
  <c r="IC11" i="207" s="1"/>
  <c r="ID11" i="207" s="1"/>
  <c r="IE11" i="207" s="1"/>
  <c r="IF11" i="207" s="1"/>
  <c r="Z10" i="207"/>
  <c r="S10" i="207"/>
  <c r="C10" i="207"/>
  <c r="DN9" i="207"/>
  <c r="DM9" i="207"/>
  <c r="DL9" i="207"/>
  <c r="DK9" i="207"/>
  <c r="DJ9" i="207"/>
  <c r="DI9" i="207"/>
  <c r="DH9" i="207"/>
  <c r="DG9" i="207"/>
  <c r="S9" i="207"/>
  <c r="C9" i="207"/>
  <c r="DN8" i="207"/>
  <c r="DM8" i="207"/>
  <c r="DL8" i="207"/>
  <c r="DK8" i="207"/>
  <c r="DJ8" i="207"/>
  <c r="DI8" i="207"/>
  <c r="DH8" i="207"/>
  <c r="DG8" i="207"/>
  <c r="DN7" i="207"/>
  <c r="DM7" i="207"/>
  <c r="DL7" i="207"/>
  <c r="DK7" i="207"/>
  <c r="DJ7" i="207"/>
  <c r="DI7" i="207"/>
  <c r="DH7" i="207"/>
  <c r="DG7" i="207"/>
  <c r="DN6" i="207"/>
  <c r="DM6" i="207"/>
  <c r="DL6" i="207"/>
  <c r="DK6" i="207"/>
  <c r="DJ6" i="207"/>
  <c r="DI6" i="207"/>
  <c r="DH6" i="207"/>
  <c r="DG6" i="207"/>
  <c r="DC6" i="207"/>
  <c r="DB6" i="207"/>
  <c r="DA6" i="207"/>
  <c r="CZ6" i="207"/>
  <c r="CY6" i="207"/>
  <c r="CX6" i="207"/>
  <c r="CW6" i="207"/>
  <c r="CV6" i="207"/>
  <c r="Y6" i="207"/>
  <c r="M6" i="207"/>
  <c r="DN5" i="207"/>
  <c r="DM5" i="207"/>
  <c r="DL5" i="207"/>
  <c r="DK5" i="207"/>
  <c r="DJ5" i="207"/>
  <c r="DI5" i="207"/>
  <c r="DH5" i="207"/>
  <c r="DG5" i="207"/>
  <c r="DC5" i="207"/>
  <c r="DB5" i="207"/>
  <c r="AL54" i="207" s="1"/>
  <c r="DA5" i="207"/>
  <c r="CZ5" i="207"/>
  <c r="CY5" i="207"/>
  <c r="CX5" i="207"/>
  <c r="CW5" i="207"/>
  <c r="AN54" i="207" s="1"/>
  <c r="CV5" i="207"/>
  <c r="DN4" i="207"/>
  <c r="DM4" i="207"/>
  <c r="DL4" i="207"/>
  <c r="DK4" i="207"/>
  <c r="DJ4" i="207"/>
  <c r="DI4" i="207"/>
  <c r="DH4" i="207"/>
  <c r="DG4" i="207"/>
  <c r="DC4" i="207"/>
  <c r="DB4" i="207"/>
  <c r="DA4" i="207"/>
  <c r="CZ4" i="207"/>
  <c r="CY4" i="207"/>
  <c r="CX4" i="207"/>
  <c r="AM53" i="207" s="1"/>
  <c r="CW4" i="207"/>
  <c r="CV4" i="207"/>
  <c r="P4" i="207"/>
  <c r="DN3" i="207"/>
  <c r="DM3" i="207"/>
  <c r="DL3" i="207"/>
  <c r="DK3" i="207"/>
  <c r="DJ3" i="207"/>
  <c r="DI3" i="207"/>
  <c r="DH3" i="207"/>
  <c r="DG3" i="207"/>
  <c r="DN2" i="207"/>
  <c r="DM2" i="207"/>
  <c r="DL2" i="207"/>
  <c r="DK2" i="207"/>
  <c r="DJ2" i="207"/>
  <c r="DI2" i="207"/>
  <c r="DH2" i="207"/>
  <c r="DG2" i="207"/>
  <c r="DD2" i="207"/>
  <c r="DB2" i="207"/>
  <c r="CZ2" i="207"/>
  <c r="CX2" i="207"/>
  <c r="P2" i="207"/>
  <c r="HA1" i="207"/>
  <c r="DQ1" i="207"/>
  <c r="DD1" i="207"/>
  <c r="CY1" i="207"/>
  <c r="CX1" i="207"/>
  <c r="AE1" i="207"/>
  <c r="AD1" i="207"/>
  <c r="P1" i="207" s="1"/>
  <c r="EO104" i="206"/>
  <c r="EN104" i="206"/>
  <c r="EM104" i="206"/>
  <c r="EO103" i="206"/>
  <c r="EN103" i="206"/>
  <c r="EM103" i="206"/>
  <c r="EO102" i="206"/>
  <c r="EN102" i="206"/>
  <c r="EM102" i="206"/>
  <c r="EO101" i="206"/>
  <c r="EN101" i="206"/>
  <c r="EM101" i="206"/>
  <c r="EO100" i="206"/>
  <c r="EN100" i="206"/>
  <c r="EM100" i="206"/>
  <c r="EO99" i="206"/>
  <c r="EN99" i="206"/>
  <c r="EM99" i="206"/>
  <c r="EO98" i="206"/>
  <c r="EN98" i="206"/>
  <c r="EM98" i="206"/>
  <c r="EO97" i="206"/>
  <c r="EN97" i="206"/>
  <c r="EM97" i="206"/>
  <c r="EO96" i="206"/>
  <c r="EN96" i="206"/>
  <c r="EM96" i="206"/>
  <c r="EO95" i="206"/>
  <c r="EN95" i="206"/>
  <c r="EM95" i="206"/>
  <c r="EO94" i="206"/>
  <c r="EN94" i="206"/>
  <c r="EM94" i="206"/>
  <c r="EO93" i="206"/>
  <c r="EN93" i="206"/>
  <c r="EM93" i="206"/>
  <c r="EO92" i="206"/>
  <c r="EN92" i="206"/>
  <c r="EM92" i="206"/>
  <c r="EO91" i="206"/>
  <c r="EN91" i="206"/>
  <c r="EM91" i="206"/>
  <c r="EO90" i="206"/>
  <c r="EN90" i="206"/>
  <c r="EM90" i="206"/>
  <c r="EO89" i="206"/>
  <c r="EN89" i="206"/>
  <c r="EM89" i="206"/>
  <c r="EO88" i="206"/>
  <c r="EN88" i="206"/>
  <c r="EM88" i="206"/>
  <c r="EO87" i="206"/>
  <c r="EN87" i="206"/>
  <c r="EM87" i="206"/>
  <c r="EO86" i="206"/>
  <c r="EN86" i="206"/>
  <c r="EM86" i="206"/>
  <c r="EO85" i="206"/>
  <c r="EN85" i="206"/>
  <c r="EM85" i="206"/>
  <c r="EO84" i="206"/>
  <c r="EN84" i="206"/>
  <c r="EM84" i="206"/>
  <c r="EO83" i="206"/>
  <c r="EN83" i="206"/>
  <c r="EM83" i="206"/>
  <c r="EO82" i="206"/>
  <c r="EN82" i="206"/>
  <c r="EM82" i="206"/>
  <c r="EO81" i="206"/>
  <c r="EN81" i="206"/>
  <c r="EM81" i="206"/>
  <c r="EO80" i="206"/>
  <c r="EN80" i="206"/>
  <c r="EM80" i="206"/>
  <c r="EO79" i="206"/>
  <c r="EN79" i="206"/>
  <c r="EM79" i="206"/>
  <c r="EO78" i="206"/>
  <c r="EN78" i="206"/>
  <c r="EM78" i="206"/>
  <c r="EJ78" i="206"/>
  <c r="EO77" i="206"/>
  <c r="EN77" i="206"/>
  <c r="EM77" i="206"/>
  <c r="EO76" i="206"/>
  <c r="EN76" i="206"/>
  <c r="EM76" i="206"/>
  <c r="EO75" i="206"/>
  <c r="EN75" i="206"/>
  <c r="EM75" i="206"/>
  <c r="AA57" i="206"/>
  <c r="Z57" i="206"/>
  <c r="Y57" i="206"/>
  <c r="X57" i="206"/>
  <c r="W57" i="206"/>
  <c r="V57" i="206"/>
  <c r="AT57" i="206" s="1"/>
  <c r="U57" i="206"/>
  <c r="T57" i="206"/>
  <c r="AR57" i="206" s="1"/>
  <c r="S57" i="206"/>
  <c r="R57" i="206"/>
  <c r="Q57" i="206"/>
  <c r="P57" i="206"/>
  <c r="O57" i="206"/>
  <c r="N57" i="206"/>
  <c r="M57" i="206"/>
  <c r="L57" i="206"/>
  <c r="K57" i="206"/>
  <c r="J57" i="206"/>
  <c r="I57" i="206"/>
  <c r="H57" i="206"/>
  <c r="G57" i="206"/>
  <c r="F57" i="206"/>
  <c r="E57" i="206"/>
  <c r="D57" i="206"/>
  <c r="C57" i="206"/>
  <c r="B57" i="206"/>
  <c r="A57" i="206"/>
  <c r="AL54" i="206"/>
  <c r="GF45" i="206"/>
  <c r="GB45" i="206"/>
  <c r="FV45" i="206"/>
  <c r="FT45" i="206"/>
  <c r="FH45" i="206"/>
  <c r="FD45" i="206"/>
  <c r="FC45" i="206"/>
  <c r="EZ45" i="206"/>
  <c r="EE45" i="206" s="1"/>
  <c r="EF45" i="206" s="1"/>
  <c r="EJ45" i="206" s="1"/>
  <c r="ED45" i="206"/>
  <c r="I45" i="206" s="1"/>
  <c r="EA45" i="206"/>
  <c r="DY45" i="206"/>
  <c r="DW45" i="206"/>
  <c r="DV45" i="206"/>
  <c r="DS45" i="206"/>
  <c r="DO45" i="206"/>
  <c r="DN45" i="206"/>
  <c r="FI45" i="206" s="1"/>
  <c r="DM45" i="206"/>
  <c r="DL45" i="206"/>
  <c r="DK45" i="206"/>
  <c r="EL45" i="206" s="1"/>
  <c r="DJ45" i="206"/>
  <c r="DI45" i="206"/>
  <c r="DH45" i="206"/>
  <c r="FM45" i="206" s="1"/>
  <c r="DG45" i="206"/>
  <c r="DF45" i="206"/>
  <c r="DE45" i="206"/>
  <c r="FR45" i="206" s="1"/>
  <c r="DD45" i="206"/>
  <c r="DC45" i="206"/>
  <c r="DB45" i="206"/>
  <c r="DA45" i="206"/>
  <c r="CZ45" i="206"/>
  <c r="CY45" i="206"/>
  <c r="CX45" i="206"/>
  <c r="FU45" i="206" s="1"/>
  <c r="CW45" i="206"/>
  <c r="CV45" i="206"/>
  <c r="DX45" i="206" s="1"/>
  <c r="CU45" i="206"/>
  <c r="CQ45" i="206"/>
  <c r="CP45" i="206"/>
  <c r="CO45" i="206"/>
  <c r="CN45" i="206"/>
  <c r="CM45" i="206"/>
  <c r="CL45" i="206"/>
  <c r="CK45" i="206"/>
  <c r="CE45" i="206"/>
  <c r="AX45" i="206"/>
  <c r="AH45" i="206"/>
  <c r="AG45" i="206"/>
  <c r="K45" i="206"/>
  <c r="G45" i="206"/>
  <c r="C45" i="206"/>
  <c r="A45" i="206"/>
  <c r="FU44" i="206"/>
  <c r="FR44" i="206"/>
  <c r="FI44" i="206"/>
  <c r="FC44" i="206"/>
  <c r="FB44" i="206"/>
  <c r="FA44" i="206"/>
  <c r="EZ44" i="206"/>
  <c r="EX44" i="206"/>
  <c r="EN44" i="206"/>
  <c r="EM44" i="206"/>
  <c r="EQ44" i="206" s="1"/>
  <c r="EG44" i="206"/>
  <c r="EE44" i="206"/>
  <c r="EF44" i="206" s="1"/>
  <c r="EC44" i="206"/>
  <c r="EB44" i="206"/>
  <c r="DY44" i="206"/>
  <c r="DS44" i="206"/>
  <c r="DP44" i="206"/>
  <c r="D44" i="206" s="1"/>
  <c r="GK44" i="206" s="1"/>
  <c r="DO44" i="206"/>
  <c r="FE44" i="206" s="1"/>
  <c r="FF44" i="206" s="1"/>
  <c r="FG44" i="206" s="1"/>
  <c r="Y44" i="206" s="1"/>
  <c r="DN44" i="206"/>
  <c r="DM44" i="206"/>
  <c r="DL44" i="206"/>
  <c r="DK44" i="206"/>
  <c r="EL44" i="206" s="1"/>
  <c r="DJ44" i="206"/>
  <c r="DI44" i="206"/>
  <c r="DH44" i="206"/>
  <c r="FV44" i="206" s="1"/>
  <c r="DG44" i="206"/>
  <c r="DF44" i="206"/>
  <c r="ED44" i="206" s="1"/>
  <c r="J44" i="206" s="1"/>
  <c r="DE44" i="206"/>
  <c r="DD44" i="206"/>
  <c r="FD44" i="206" s="1"/>
  <c r="DC44" i="206"/>
  <c r="DB44" i="206"/>
  <c r="DA44" i="206"/>
  <c r="CZ44" i="206"/>
  <c r="CY44" i="206"/>
  <c r="CX44" i="206"/>
  <c r="FH44" i="206" s="1"/>
  <c r="CW44" i="206"/>
  <c r="CV44" i="206"/>
  <c r="DU44" i="206" s="1"/>
  <c r="CU44" i="206"/>
  <c r="EY44" i="206" s="1"/>
  <c r="CQ44" i="206"/>
  <c r="CP44" i="206"/>
  <c r="CK44" i="206" s="1"/>
  <c r="CO44" i="206"/>
  <c r="CN44" i="206"/>
  <c r="CM44" i="206"/>
  <c r="CL44" i="206"/>
  <c r="K44" i="206"/>
  <c r="I44" i="206"/>
  <c r="C44" i="206"/>
  <c r="A44" i="206"/>
  <c r="AX44" i="206" s="1"/>
  <c r="FU43" i="206"/>
  <c r="FT43" i="206"/>
  <c r="FI43" i="206"/>
  <c r="FH43" i="206"/>
  <c r="FC43" i="206"/>
  <c r="FA43" i="206"/>
  <c r="EZ43" i="206"/>
  <c r="EE43" i="206" s="1"/>
  <c r="EY43" i="206"/>
  <c r="EM43" i="206"/>
  <c r="EC43" i="206"/>
  <c r="EB43" i="206"/>
  <c r="EA43" i="206"/>
  <c r="DY43" i="206"/>
  <c r="DW43" i="206"/>
  <c r="DS43" i="206"/>
  <c r="FO43" i="206" s="1"/>
  <c r="DP43" i="206"/>
  <c r="DO43" i="206"/>
  <c r="DN43" i="206"/>
  <c r="DM43" i="206"/>
  <c r="DL43" i="206"/>
  <c r="DK43" i="206"/>
  <c r="EL43" i="206" s="1"/>
  <c r="EN43" i="206" s="1"/>
  <c r="ER43" i="206" s="1"/>
  <c r="DJ43" i="206"/>
  <c r="DI43" i="206"/>
  <c r="DH43" i="206"/>
  <c r="DG43" i="206"/>
  <c r="DF43" i="206"/>
  <c r="ED43" i="206" s="1"/>
  <c r="DE43" i="206"/>
  <c r="DD43" i="206"/>
  <c r="FD43" i="206" s="1"/>
  <c r="DC43" i="206"/>
  <c r="DB43" i="206"/>
  <c r="DA43" i="206"/>
  <c r="CZ43" i="206"/>
  <c r="CY43" i="206"/>
  <c r="CX43" i="206"/>
  <c r="CW43" i="206"/>
  <c r="CV43" i="206"/>
  <c r="CU43" i="206"/>
  <c r="EX43" i="206" s="1"/>
  <c r="CQ43" i="206"/>
  <c r="CP43" i="206"/>
  <c r="CK43" i="206" s="1"/>
  <c r="CO43" i="206"/>
  <c r="CN43" i="206"/>
  <c r="CM43" i="206"/>
  <c r="CL43" i="206"/>
  <c r="CE43" i="206"/>
  <c r="AG43" i="206"/>
  <c r="AE43" i="206"/>
  <c r="AD43" i="206"/>
  <c r="C43" i="206"/>
  <c r="AV43" i="206" s="1"/>
  <c r="A43" i="206"/>
  <c r="AX43" i="206" s="1"/>
  <c r="GE42" i="206"/>
  <c r="GD42" i="206"/>
  <c r="FS42" i="206"/>
  <c r="FO42" i="206"/>
  <c r="FE42" i="206"/>
  <c r="FF42" i="206" s="1"/>
  <c r="FG42" i="206" s="1"/>
  <c r="Y42" i="206" s="1"/>
  <c r="FC42" i="206"/>
  <c r="EZ42" i="206"/>
  <c r="EX42" i="206"/>
  <c r="EL42" i="206"/>
  <c r="EA42" i="206"/>
  <c r="DY42" i="206"/>
  <c r="DX42" i="206"/>
  <c r="H42" i="206" s="1"/>
  <c r="DV42" i="206"/>
  <c r="DU42" i="206"/>
  <c r="DS42" i="206"/>
  <c r="DP42" i="206"/>
  <c r="DO42" i="206"/>
  <c r="DN42" i="206"/>
  <c r="FI42" i="206" s="1"/>
  <c r="FJ42" i="206" s="1"/>
  <c r="FK42" i="206" s="1"/>
  <c r="FL42" i="206" s="1"/>
  <c r="Z42" i="206" s="1"/>
  <c r="DM42" i="206"/>
  <c r="DL42" i="206"/>
  <c r="DK42" i="206"/>
  <c r="DJ42" i="206"/>
  <c r="DI42" i="206"/>
  <c r="FT42" i="206" s="1"/>
  <c r="DH42" i="206"/>
  <c r="DG42" i="206"/>
  <c r="DF42" i="206"/>
  <c r="DE42" i="206"/>
  <c r="FA42" i="206" s="1"/>
  <c r="DD42" i="206"/>
  <c r="FD42" i="206" s="1"/>
  <c r="DC42" i="206"/>
  <c r="DB42" i="206"/>
  <c r="DA42" i="206"/>
  <c r="CZ42" i="206"/>
  <c r="CY42" i="206"/>
  <c r="CX42" i="206"/>
  <c r="CW42" i="206"/>
  <c r="CV42" i="206"/>
  <c r="DW42" i="206" s="1"/>
  <c r="CU42" i="206"/>
  <c r="FQ42" i="206" s="1"/>
  <c r="CQ42" i="206"/>
  <c r="CK42" i="206" s="1"/>
  <c r="CP42" i="206"/>
  <c r="CO42" i="206"/>
  <c r="CN42" i="206"/>
  <c r="CM42" i="206"/>
  <c r="CL42" i="206"/>
  <c r="CD42" i="206"/>
  <c r="AW42" i="206"/>
  <c r="AV42" i="206"/>
  <c r="AK42" i="206"/>
  <c r="AJ42" i="206"/>
  <c r="AH42" i="206"/>
  <c r="AG42" i="206"/>
  <c r="AF42" i="206"/>
  <c r="AE42" i="206"/>
  <c r="G42" i="206"/>
  <c r="F42" i="206"/>
  <c r="C42" i="206"/>
  <c r="AD42" i="206" s="1"/>
  <c r="A42" i="206"/>
  <c r="GF42" i="206" s="1"/>
  <c r="GC42" i="206" s="1"/>
  <c r="GF41" i="206"/>
  <c r="GE41" i="206"/>
  <c r="FU41" i="206"/>
  <c r="FT41" i="206"/>
  <c r="FS41" i="206"/>
  <c r="FQ41" i="206"/>
  <c r="FH41" i="206"/>
  <c r="FD41" i="206"/>
  <c r="FC41" i="206"/>
  <c r="EL41" i="206" s="1"/>
  <c r="FA41" i="206"/>
  <c r="EZ41" i="206"/>
  <c r="EY41" i="206"/>
  <c r="DY41" i="206"/>
  <c r="DX41" i="206"/>
  <c r="DW41" i="206"/>
  <c r="DV41" i="206"/>
  <c r="DS41" i="206"/>
  <c r="DO41" i="206"/>
  <c r="DN41" i="206"/>
  <c r="FI41" i="206" s="1"/>
  <c r="DM41" i="206"/>
  <c r="DL41" i="206"/>
  <c r="DK41" i="206"/>
  <c r="DJ41" i="206"/>
  <c r="DI41" i="206"/>
  <c r="DH41" i="206"/>
  <c r="DG41" i="206"/>
  <c r="DF41" i="206"/>
  <c r="DE41" i="206"/>
  <c r="DD41" i="206"/>
  <c r="DC41" i="206"/>
  <c r="DB41" i="206"/>
  <c r="DA41" i="206"/>
  <c r="CZ41" i="206"/>
  <c r="CY41" i="206"/>
  <c r="CX41" i="206"/>
  <c r="CW41" i="206"/>
  <c r="CV41" i="206"/>
  <c r="DU41" i="206" s="1"/>
  <c r="CU41" i="206"/>
  <c r="EX41" i="206" s="1"/>
  <c r="CQ41" i="206"/>
  <c r="CP41" i="206"/>
  <c r="CK41" i="206" s="1"/>
  <c r="CO41" i="206"/>
  <c r="CN41" i="206"/>
  <c r="CM41" i="206"/>
  <c r="CL41" i="206"/>
  <c r="CE41" i="206"/>
  <c r="AX41" i="206"/>
  <c r="AW41" i="206"/>
  <c r="AV41" i="206"/>
  <c r="AK41" i="206" s="1"/>
  <c r="AH41" i="206"/>
  <c r="AG41" i="206"/>
  <c r="AE41" i="206"/>
  <c r="AD41" i="206"/>
  <c r="H41" i="206"/>
  <c r="C41" i="206"/>
  <c r="AF41" i="206" s="1"/>
  <c r="A41" i="206"/>
  <c r="GL40" i="206"/>
  <c r="GM40" i="206" s="1"/>
  <c r="GK40" i="206"/>
  <c r="GF40" i="206"/>
  <c r="FV40" i="206"/>
  <c r="FT40" i="206"/>
  <c r="FQ40" i="206"/>
  <c r="FP40" i="206"/>
  <c r="FI40" i="206"/>
  <c r="FJ40" i="206" s="1"/>
  <c r="FK40" i="206" s="1"/>
  <c r="FL40" i="206" s="1"/>
  <c r="Z40" i="206" s="1"/>
  <c r="FH40" i="206"/>
  <c r="FC40" i="206"/>
  <c r="EZ40" i="206"/>
  <c r="EE40" i="206" s="1"/>
  <c r="EC40" i="206"/>
  <c r="EB40" i="206"/>
  <c r="EA40" i="206"/>
  <c r="DY40" i="206"/>
  <c r="DU40" i="206"/>
  <c r="DT40" i="206"/>
  <c r="DS40" i="206"/>
  <c r="DO40" i="206"/>
  <c r="DN40" i="206"/>
  <c r="DM40" i="206"/>
  <c r="DL40" i="206"/>
  <c r="DK40" i="206"/>
  <c r="EL40" i="206" s="1"/>
  <c r="DJ40" i="206"/>
  <c r="DI40" i="206"/>
  <c r="DH40" i="206"/>
  <c r="FM40" i="206" s="1"/>
  <c r="DG40" i="206"/>
  <c r="DF40" i="206"/>
  <c r="ED40" i="206" s="1"/>
  <c r="DE40" i="206"/>
  <c r="FB40" i="206" s="1"/>
  <c r="DD40" i="206"/>
  <c r="FD40" i="206" s="1"/>
  <c r="DC40" i="206"/>
  <c r="DB40" i="206"/>
  <c r="DA40" i="206"/>
  <c r="CZ40" i="206"/>
  <c r="CY40" i="206"/>
  <c r="FS40" i="206" s="1"/>
  <c r="CX40" i="206"/>
  <c r="FU40" i="206" s="1"/>
  <c r="CW40" i="206"/>
  <c r="CV40" i="206"/>
  <c r="CU40" i="206"/>
  <c r="CQ40" i="206"/>
  <c r="CP40" i="206"/>
  <c r="CO40" i="206"/>
  <c r="CN40" i="206"/>
  <c r="CM40" i="206"/>
  <c r="CL40" i="206"/>
  <c r="CK40" i="206"/>
  <c r="CE40" i="206"/>
  <c r="CD40" i="206"/>
  <c r="AX40" i="206"/>
  <c r="AW40" i="206"/>
  <c r="AV40" i="206"/>
  <c r="AS40" i="206"/>
  <c r="AT40" i="206" s="1"/>
  <c r="AK40" i="206"/>
  <c r="AJ40" i="206"/>
  <c r="AH40" i="206"/>
  <c r="AG40" i="206"/>
  <c r="AF40" i="206"/>
  <c r="AE40" i="206"/>
  <c r="GL39" i="206"/>
  <c r="GK39" i="206"/>
  <c r="GM39" i="206" s="1"/>
  <c r="GF39" i="206"/>
  <c r="FV39" i="206"/>
  <c r="FS39" i="206"/>
  <c r="FI39" i="206"/>
  <c r="FJ39" i="206" s="1"/>
  <c r="FK39" i="206" s="1"/>
  <c r="FL39" i="206" s="1"/>
  <c r="Z39" i="206" s="1"/>
  <c r="FH39" i="206"/>
  <c r="FC39" i="206"/>
  <c r="FA39" i="206"/>
  <c r="EZ39" i="206"/>
  <c r="EY39" i="206"/>
  <c r="EX39" i="206"/>
  <c r="EB39" i="206"/>
  <c r="EA39" i="206"/>
  <c r="DY39" i="206"/>
  <c r="DS39" i="206"/>
  <c r="DO39" i="206"/>
  <c r="DN39" i="206"/>
  <c r="DM39" i="206"/>
  <c r="DL39" i="206"/>
  <c r="DK39" i="206"/>
  <c r="EL39" i="206" s="1"/>
  <c r="DJ39" i="206"/>
  <c r="DI39" i="206"/>
  <c r="DH39" i="206"/>
  <c r="FM39" i="206" s="1"/>
  <c r="DG39" i="206"/>
  <c r="DF39" i="206"/>
  <c r="ED39" i="206" s="1"/>
  <c r="DE39" i="206"/>
  <c r="FR39" i="206" s="1"/>
  <c r="DD39" i="206"/>
  <c r="FD39" i="206" s="1"/>
  <c r="FE39" i="206" s="1"/>
  <c r="FF39" i="206" s="1"/>
  <c r="FG39" i="206" s="1"/>
  <c r="Y39" i="206" s="1"/>
  <c r="DC39" i="206"/>
  <c r="DB39" i="206"/>
  <c r="DA39" i="206"/>
  <c r="CZ39" i="206"/>
  <c r="CY39" i="206"/>
  <c r="CX39" i="206"/>
  <c r="FU39" i="206" s="1"/>
  <c r="CW39" i="206"/>
  <c r="CV39" i="206"/>
  <c r="CU39" i="206"/>
  <c r="FQ39" i="206" s="1"/>
  <c r="CQ39" i="206"/>
  <c r="CP39" i="206"/>
  <c r="CO39" i="206"/>
  <c r="CN39" i="206"/>
  <c r="CM39" i="206"/>
  <c r="CL39" i="206"/>
  <c r="CK39" i="206"/>
  <c r="CD39" i="206"/>
  <c r="AX39" i="206"/>
  <c r="AW39" i="206"/>
  <c r="AV39" i="206"/>
  <c r="AH39" i="206"/>
  <c r="AG39" i="206"/>
  <c r="AF39" i="206"/>
  <c r="AE39" i="206"/>
  <c r="GL38" i="206"/>
  <c r="GK38" i="206"/>
  <c r="GM38" i="206" s="1"/>
  <c r="GF38" i="206"/>
  <c r="FT38" i="206"/>
  <c r="FS38" i="206"/>
  <c r="FR38" i="206"/>
  <c r="FI38" i="206"/>
  <c r="FJ38" i="206" s="1"/>
  <c r="FK38" i="206" s="1"/>
  <c r="FL38" i="206" s="1"/>
  <c r="Z38" i="206" s="1"/>
  <c r="FC38" i="206"/>
  <c r="EZ38" i="206"/>
  <c r="EE38" i="206" s="1"/>
  <c r="EL38" i="206"/>
  <c r="DY38" i="206"/>
  <c r="DV38" i="206"/>
  <c r="DS38" i="206"/>
  <c r="DO38" i="206"/>
  <c r="DN38" i="206"/>
  <c r="DM38" i="206"/>
  <c r="DL38" i="206"/>
  <c r="DK38" i="206"/>
  <c r="DJ38" i="206"/>
  <c r="DI38" i="206"/>
  <c r="DH38" i="206"/>
  <c r="FV38" i="206" s="1"/>
  <c r="DG38" i="206"/>
  <c r="DF38" i="206"/>
  <c r="DE38" i="206"/>
  <c r="FA38" i="206" s="1"/>
  <c r="DD38" i="206"/>
  <c r="FD38" i="206" s="1"/>
  <c r="FE38" i="206" s="1"/>
  <c r="FF38" i="206" s="1"/>
  <c r="FG38" i="206" s="1"/>
  <c r="Y38" i="206" s="1"/>
  <c r="DC38" i="206"/>
  <c r="DB38" i="206"/>
  <c r="DA38" i="206"/>
  <c r="CZ38" i="206"/>
  <c r="CY38" i="206"/>
  <c r="CX38" i="206"/>
  <c r="CW38" i="206"/>
  <c r="CV38" i="206"/>
  <c r="CU38" i="206"/>
  <c r="CQ38" i="206"/>
  <c r="CK38" i="206" s="1"/>
  <c r="CP38" i="206"/>
  <c r="CO38" i="206"/>
  <c r="CN38" i="206"/>
  <c r="CM38" i="206"/>
  <c r="CL38" i="206"/>
  <c r="CE38" i="206"/>
  <c r="CD38" i="206"/>
  <c r="AX38" i="206"/>
  <c r="AW38" i="206"/>
  <c r="AV38" i="206"/>
  <c r="AS38" i="206"/>
  <c r="AK38" i="206"/>
  <c r="AJ38" i="206"/>
  <c r="AH38" i="206"/>
  <c r="AG38" i="206"/>
  <c r="AF38" i="206"/>
  <c r="AE38" i="206"/>
  <c r="GL37" i="206"/>
  <c r="GK37" i="206"/>
  <c r="GM37" i="206" s="1"/>
  <c r="GF37" i="206"/>
  <c r="FV37" i="206"/>
  <c r="FT37" i="206"/>
  <c r="FI37" i="206"/>
  <c r="FJ37" i="206" s="1"/>
  <c r="FK37" i="206" s="1"/>
  <c r="FL37" i="206" s="1"/>
  <c r="Z37" i="206" s="1"/>
  <c r="FH37" i="206"/>
  <c r="FC37" i="206"/>
  <c r="FB37" i="206"/>
  <c r="EZ37" i="206"/>
  <c r="EE37" i="206" s="1"/>
  <c r="EY37" i="206"/>
  <c r="EC37" i="206"/>
  <c r="EB37" i="206"/>
  <c r="EA37" i="206"/>
  <c r="DZ37" i="206"/>
  <c r="DY37" i="206"/>
  <c r="DS37" i="206"/>
  <c r="DO37" i="206"/>
  <c r="FE37" i="206" s="1"/>
  <c r="FF37" i="206" s="1"/>
  <c r="FG37" i="206" s="1"/>
  <c r="Y37" i="206" s="1"/>
  <c r="DN37" i="206"/>
  <c r="DM37" i="206"/>
  <c r="FP37" i="206" s="1"/>
  <c r="DL37" i="206"/>
  <c r="DK37" i="206"/>
  <c r="EL37" i="206" s="1"/>
  <c r="DJ37" i="206"/>
  <c r="DI37" i="206"/>
  <c r="DH37" i="206"/>
  <c r="FM37" i="206" s="1"/>
  <c r="DG37" i="206"/>
  <c r="DF37" i="206"/>
  <c r="ED37" i="206" s="1"/>
  <c r="DE37" i="206"/>
  <c r="FA37" i="206" s="1"/>
  <c r="DD37" i="206"/>
  <c r="FD37" i="206" s="1"/>
  <c r="DC37" i="206"/>
  <c r="DB37" i="206"/>
  <c r="DA37" i="206"/>
  <c r="CZ37" i="206"/>
  <c r="CY37" i="206"/>
  <c r="FS37" i="206" s="1"/>
  <c r="CX37" i="206"/>
  <c r="FU37" i="206" s="1"/>
  <c r="CW37" i="206"/>
  <c r="CV37" i="206"/>
  <c r="CU37" i="206"/>
  <c r="EX37" i="206" s="1"/>
  <c r="CQ37" i="206"/>
  <c r="CP37" i="206"/>
  <c r="CO37" i="206"/>
  <c r="CN37" i="206"/>
  <c r="CM37" i="206"/>
  <c r="CL37" i="206"/>
  <c r="CK37" i="206"/>
  <c r="CD37" i="206"/>
  <c r="AX37" i="206"/>
  <c r="AW37" i="206"/>
  <c r="AV37" i="206"/>
  <c r="AS37" i="206"/>
  <c r="AT37" i="206" s="1"/>
  <c r="AK37" i="206"/>
  <c r="AJ37" i="206"/>
  <c r="AH37" i="206"/>
  <c r="AG37" i="206"/>
  <c r="AF37" i="206"/>
  <c r="AE37" i="206"/>
  <c r="GL36" i="206"/>
  <c r="GK36" i="206"/>
  <c r="GF36" i="206"/>
  <c r="FV36" i="206"/>
  <c r="FS36" i="206"/>
  <c r="FI36" i="206"/>
  <c r="FJ36" i="206" s="1"/>
  <c r="FK36" i="206" s="1"/>
  <c r="FL36" i="206" s="1"/>
  <c r="Z36" i="206" s="1"/>
  <c r="FH36" i="206"/>
  <c r="FF36" i="206"/>
  <c r="FG36" i="206" s="1"/>
  <c r="Y36" i="206" s="1"/>
  <c r="FC36" i="206"/>
  <c r="FA36" i="206"/>
  <c r="EZ36" i="206"/>
  <c r="EE36" i="206" s="1"/>
  <c r="EF36" i="206" s="1"/>
  <c r="EY36" i="206"/>
  <c r="EX36" i="206"/>
  <c r="EG36" i="206"/>
  <c r="EK36" i="206" s="1"/>
  <c r="EB36" i="206"/>
  <c r="EA36" i="206"/>
  <c r="DY36" i="206"/>
  <c r="DS36" i="206"/>
  <c r="DO36" i="206"/>
  <c r="DN36" i="206"/>
  <c r="DM36" i="206"/>
  <c r="DL36" i="206"/>
  <c r="DK36" i="206"/>
  <c r="EL36" i="206" s="1"/>
  <c r="DJ36" i="206"/>
  <c r="DI36" i="206"/>
  <c r="DH36" i="206"/>
  <c r="FM36" i="206" s="1"/>
  <c r="DG36" i="206"/>
  <c r="DF36" i="206"/>
  <c r="ED36" i="206" s="1"/>
  <c r="DE36" i="206"/>
  <c r="FR36" i="206" s="1"/>
  <c r="DD36" i="206"/>
  <c r="FD36" i="206" s="1"/>
  <c r="FE36" i="206" s="1"/>
  <c r="DC36" i="206"/>
  <c r="DT36" i="206" s="1"/>
  <c r="DB36" i="206"/>
  <c r="DA36" i="206"/>
  <c r="CZ36" i="206"/>
  <c r="CY36" i="206"/>
  <c r="CX36" i="206"/>
  <c r="FU36" i="206" s="1"/>
  <c r="CW36" i="206"/>
  <c r="CV36" i="206"/>
  <c r="CU36" i="206"/>
  <c r="FQ36" i="206" s="1"/>
  <c r="CQ36" i="206"/>
  <c r="CP36" i="206"/>
  <c r="CO36" i="206"/>
  <c r="CN36" i="206"/>
  <c r="CM36" i="206"/>
  <c r="CL36" i="206"/>
  <c r="CK36" i="206"/>
  <c r="CD36" i="206"/>
  <c r="AX36" i="206"/>
  <c r="AW36" i="206"/>
  <c r="AV36" i="206"/>
  <c r="AK36" i="206" s="1"/>
  <c r="AO36" i="206"/>
  <c r="AH36" i="206"/>
  <c r="AG36" i="206"/>
  <c r="AF36" i="206"/>
  <c r="AE36" i="206"/>
  <c r="GL35" i="206"/>
  <c r="GK35" i="206"/>
  <c r="GM35" i="206" s="1"/>
  <c r="GF35" i="206"/>
  <c r="FU35" i="206"/>
  <c r="FO35" i="206"/>
  <c r="FM35" i="206"/>
  <c r="FJ35" i="206"/>
  <c r="FK35" i="206" s="1"/>
  <c r="FL35" i="206" s="1"/>
  <c r="Z35" i="206" s="1"/>
  <c r="FI35" i="206"/>
  <c r="FH35" i="206"/>
  <c r="FE35" i="206"/>
  <c r="FF35" i="206" s="1"/>
  <c r="FG35" i="206" s="1"/>
  <c r="Y35" i="206" s="1"/>
  <c r="FD35" i="206"/>
  <c r="FC35" i="206"/>
  <c r="EZ35" i="206"/>
  <c r="EY35" i="206"/>
  <c r="EN35" i="206"/>
  <c r="EC35" i="206"/>
  <c r="EB35" i="206"/>
  <c r="EA35" i="206"/>
  <c r="DY35" i="206"/>
  <c r="FP35" i="206" s="1"/>
  <c r="DX35" i="206"/>
  <c r="DW35" i="206"/>
  <c r="DU35" i="206"/>
  <c r="DS35" i="206"/>
  <c r="DP35" i="206"/>
  <c r="DO35" i="206"/>
  <c r="DN35" i="206"/>
  <c r="DM35" i="206"/>
  <c r="DL35" i="206"/>
  <c r="DK35" i="206"/>
  <c r="EL35" i="206" s="1"/>
  <c r="EM35" i="206" s="1"/>
  <c r="EQ35" i="206" s="1"/>
  <c r="DJ35" i="206"/>
  <c r="DI35" i="206"/>
  <c r="DH35" i="206"/>
  <c r="FV35" i="206" s="1"/>
  <c r="DG35" i="206"/>
  <c r="DF35" i="206"/>
  <c r="ED35" i="206" s="1"/>
  <c r="DE35" i="206"/>
  <c r="FR35" i="206" s="1"/>
  <c r="DD35" i="206"/>
  <c r="DC35" i="206"/>
  <c r="DB35" i="206"/>
  <c r="DA35" i="206"/>
  <c r="CZ35" i="206"/>
  <c r="CY35" i="206"/>
  <c r="FS35" i="206" s="1"/>
  <c r="CX35" i="206"/>
  <c r="CW35" i="206"/>
  <c r="CV35" i="206"/>
  <c r="DV35" i="206" s="1"/>
  <c r="CU35" i="206"/>
  <c r="FQ35" i="206" s="1"/>
  <c r="CQ35" i="206"/>
  <c r="CK35" i="206" s="1"/>
  <c r="CP35" i="206"/>
  <c r="CO35" i="206"/>
  <c r="CN35" i="206"/>
  <c r="CM35" i="206"/>
  <c r="CL35" i="206"/>
  <c r="CD35" i="206"/>
  <c r="AX35" i="206"/>
  <c r="AW35" i="206"/>
  <c r="AV35" i="206"/>
  <c r="AK35" i="206" s="1"/>
  <c r="AO35" i="206"/>
  <c r="AN35" i="206"/>
  <c r="AH35" i="206"/>
  <c r="AG35" i="206"/>
  <c r="AF35" i="206"/>
  <c r="AE35" i="206"/>
  <c r="GL34" i="206"/>
  <c r="GK34" i="206"/>
  <c r="GM34" i="206" s="1"/>
  <c r="GF34" i="206"/>
  <c r="FV34" i="206"/>
  <c r="FU34" i="206"/>
  <c r="FM34" i="206"/>
  <c r="FL34" i="206"/>
  <c r="Z34" i="206" s="1"/>
  <c r="FI34" i="206"/>
  <c r="FD34" i="206"/>
  <c r="FC34" i="206"/>
  <c r="FA34" i="206"/>
  <c r="EZ34" i="206"/>
  <c r="EY34" i="206"/>
  <c r="EX34" i="206"/>
  <c r="EN34" i="206"/>
  <c r="ER34" i="206" s="1"/>
  <c r="EM34" i="206"/>
  <c r="EL34" i="206"/>
  <c r="EG34" i="206"/>
  <c r="EB34" i="206"/>
  <c r="DY34" i="206"/>
  <c r="DX34" i="206"/>
  <c r="DW34" i="206"/>
  <c r="FO34" i="206" s="1"/>
  <c r="DS34" i="206"/>
  <c r="DP34" i="206"/>
  <c r="DO34" i="206"/>
  <c r="FJ34" i="206" s="1"/>
  <c r="FK34" i="206" s="1"/>
  <c r="DN34" i="206"/>
  <c r="DM34" i="206"/>
  <c r="DL34" i="206"/>
  <c r="DK34" i="206"/>
  <c r="DJ34" i="206"/>
  <c r="DI34" i="206"/>
  <c r="DH34" i="206"/>
  <c r="DG34" i="206"/>
  <c r="DF34" i="206"/>
  <c r="ED34" i="206" s="1"/>
  <c r="DE34" i="206"/>
  <c r="FR34" i="206" s="1"/>
  <c r="DD34" i="206"/>
  <c r="DC34" i="206"/>
  <c r="DB34" i="206"/>
  <c r="DA34" i="206"/>
  <c r="EE34" i="206" s="1"/>
  <c r="EF34" i="206" s="1"/>
  <c r="EJ34" i="206" s="1"/>
  <c r="CZ34" i="206"/>
  <c r="CY34" i="206"/>
  <c r="CX34" i="206"/>
  <c r="FH34" i="206" s="1"/>
  <c r="CW34" i="206"/>
  <c r="CV34" i="206"/>
  <c r="DV34" i="206" s="1"/>
  <c r="CU34" i="206"/>
  <c r="CQ34" i="206"/>
  <c r="CP34" i="206"/>
  <c r="CK34" i="206" s="1"/>
  <c r="CO34" i="206"/>
  <c r="CN34" i="206"/>
  <c r="CM34" i="206"/>
  <c r="CL34" i="206"/>
  <c r="AX34" i="206"/>
  <c r="AW34" i="206"/>
  <c r="AV34" i="206"/>
  <c r="AH34" i="206"/>
  <c r="AG34" i="206"/>
  <c r="AF34" i="206"/>
  <c r="AE34" i="206"/>
  <c r="GL33" i="206"/>
  <c r="GK33" i="206"/>
  <c r="GM33" i="206" s="1"/>
  <c r="GF33" i="206"/>
  <c r="FU33" i="206"/>
  <c r="FT33" i="206"/>
  <c r="FE33" i="206"/>
  <c r="FF33" i="206" s="1"/>
  <c r="FG33" i="206" s="1"/>
  <c r="Y33" i="206" s="1"/>
  <c r="FD33" i="206"/>
  <c r="FC33" i="206"/>
  <c r="EL33" i="206" s="1"/>
  <c r="EN33" i="206" s="1"/>
  <c r="EZ33" i="206"/>
  <c r="EX33" i="206"/>
  <c r="EM33" i="206"/>
  <c r="DY33" i="206"/>
  <c r="DX33" i="206"/>
  <c r="DW33" i="206"/>
  <c r="DV33" i="206"/>
  <c r="DU33" i="206"/>
  <c r="DS33" i="206"/>
  <c r="DO33" i="206"/>
  <c r="DN33" i="206"/>
  <c r="FI33" i="206" s="1"/>
  <c r="DM33" i="206"/>
  <c r="DL33" i="206"/>
  <c r="DK33" i="206"/>
  <c r="DJ33" i="206"/>
  <c r="DI33" i="206"/>
  <c r="DH33" i="206"/>
  <c r="FM33" i="206" s="1"/>
  <c r="DG33" i="206"/>
  <c r="DF33" i="206"/>
  <c r="DE33" i="206"/>
  <c r="DD33" i="206"/>
  <c r="DC33" i="206"/>
  <c r="DB33" i="206"/>
  <c r="DA33" i="206"/>
  <c r="EE33" i="206" s="1"/>
  <c r="CZ33" i="206"/>
  <c r="CY33" i="206"/>
  <c r="CX33" i="206"/>
  <c r="FH33" i="206" s="1"/>
  <c r="CW33" i="206"/>
  <c r="CV33" i="206"/>
  <c r="CU33" i="206"/>
  <c r="FQ33" i="206" s="1"/>
  <c r="CQ33" i="206"/>
  <c r="CP33" i="206"/>
  <c r="CK33" i="206" s="1"/>
  <c r="CO33" i="206"/>
  <c r="CN33" i="206"/>
  <c r="CM33" i="206"/>
  <c r="CL33" i="206"/>
  <c r="CE33" i="206"/>
  <c r="AX33" i="206"/>
  <c r="AW33" i="206"/>
  <c r="AV33" i="206"/>
  <c r="AK33" i="206" s="1"/>
  <c r="AL33" i="206" s="1"/>
  <c r="AM33" i="206"/>
  <c r="AH33" i="206"/>
  <c r="AG33" i="206"/>
  <c r="AF33" i="206"/>
  <c r="AE33" i="206"/>
  <c r="GL32" i="206"/>
  <c r="GK32" i="206"/>
  <c r="GM32" i="206" s="1"/>
  <c r="GF32" i="206"/>
  <c r="FV32" i="206"/>
  <c r="FU32" i="206"/>
  <c r="FP32" i="206"/>
  <c r="FJ32" i="206"/>
  <c r="FK32" i="206" s="1"/>
  <c r="FL32" i="206" s="1"/>
  <c r="Z32" i="206" s="1"/>
  <c r="FI32" i="206"/>
  <c r="FH32" i="206"/>
  <c r="FE32" i="206"/>
  <c r="FF32" i="206" s="1"/>
  <c r="FG32" i="206" s="1"/>
  <c r="Y32" i="206" s="1"/>
  <c r="FD32" i="206"/>
  <c r="FC32" i="206"/>
  <c r="EZ32" i="206"/>
  <c r="EC32" i="206"/>
  <c r="EB32" i="206"/>
  <c r="EA32" i="206"/>
  <c r="DY32" i="206"/>
  <c r="DX32" i="206"/>
  <c r="F32" i="206" s="1"/>
  <c r="DW32" i="206"/>
  <c r="DU32" i="206"/>
  <c r="DS32" i="206"/>
  <c r="DP32" i="206"/>
  <c r="DO32" i="206"/>
  <c r="DN32" i="206"/>
  <c r="DM32" i="206"/>
  <c r="DL32" i="206"/>
  <c r="DK32" i="206"/>
  <c r="EL32" i="206" s="1"/>
  <c r="DJ32" i="206"/>
  <c r="DI32" i="206"/>
  <c r="DH32" i="206"/>
  <c r="FM32" i="206" s="1"/>
  <c r="DG32" i="206"/>
  <c r="DF32" i="206"/>
  <c r="ED32" i="206" s="1"/>
  <c r="DE32" i="206"/>
  <c r="FR32" i="206" s="1"/>
  <c r="DD32" i="206"/>
  <c r="DC32" i="206"/>
  <c r="DB32" i="206"/>
  <c r="DA32" i="206"/>
  <c r="CZ32" i="206"/>
  <c r="CY32" i="206"/>
  <c r="FS32" i="206" s="1"/>
  <c r="CX32" i="206"/>
  <c r="CW32" i="206"/>
  <c r="CV32" i="206"/>
  <c r="DV32" i="206" s="1"/>
  <c r="CU32" i="206"/>
  <c r="CQ32" i="206"/>
  <c r="CP32" i="206"/>
  <c r="CO32" i="206"/>
  <c r="CN32" i="206"/>
  <c r="CM32" i="206"/>
  <c r="CL32" i="206"/>
  <c r="CK32" i="206"/>
  <c r="CD32" i="206"/>
  <c r="AX32" i="206"/>
  <c r="AW32" i="206"/>
  <c r="AV32" i="206"/>
  <c r="AH32" i="206"/>
  <c r="AG32" i="206"/>
  <c r="AF32" i="206"/>
  <c r="AE32" i="206"/>
  <c r="H32" i="206"/>
  <c r="G32" i="206"/>
  <c r="GL31" i="206"/>
  <c r="GK31" i="206"/>
  <c r="GM31" i="206" s="1"/>
  <c r="GF31" i="206"/>
  <c r="FU31" i="206"/>
  <c r="FO31" i="206"/>
  <c r="FI31" i="206"/>
  <c r="FD31" i="206"/>
  <c r="FC31" i="206"/>
  <c r="FA31" i="206"/>
  <c r="EZ31" i="206"/>
  <c r="EY31" i="206"/>
  <c r="EX31" i="206"/>
  <c r="EN31" i="206"/>
  <c r="ER31" i="206" s="1"/>
  <c r="EM31" i="206"/>
  <c r="EL31" i="206"/>
  <c r="EE31" i="206"/>
  <c r="EB31" i="206"/>
  <c r="DY31" i="206"/>
  <c r="DX31" i="206"/>
  <c r="DW31" i="206"/>
  <c r="DS31" i="206"/>
  <c r="DP31" i="206"/>
  <c r="DO31" i="206"/>
  <c r="DN31" i="206"/>
  <c r="DM31" i="206"/>
  <c r="DL31" i="206"/>
  <c r="DK31" i="206"/>
  <c r="DJ31" i="206"/>
  <c r="DI31" i="206"/>
  <c r="DH31" i="206"/>
  <c r="DG31" i="206"/>
  <c r="DF31" i="206"/>
  <c r="ED31" i="206" s="1"/>
  <c r="DE31" i="206"/>
  <c r="FR31" i="206" s="1"/>
  <c r="DD31" i="206"/>
  <c r="DC31" i="206"/>
  <c r="DB31" i="206"/>
  <c r="DA31" i="206"/>
  <c r="CZ31" i="206"/>
  <c r="CY31" i="206"/>
  <c r="CX31" i="206"/>
  <c r="FH31" i="206" s="1"/>
  <c r="CW31" i="206"/>
  <c r="CV31" i="206"/>
  <c r="DV31" i="206" s="1"/>
  <c r="CU31" i="206"/>
  <c r="CQ31" i="206"/>
  <c r="CP31" i="206"/>
  <c r="CK31" i="206" s="1"/>
  <c r="CO31" i="206"/>
  <c r="CN31" i="206"/>
  <c r="CM31" i="206"/>
  <c r="CL31" i="206"/>
  <c r="AX31" i="206"/>
  <c r="AW31" i="206"/>
  <c r="AV31" i="206"/>
  <c r="AK31" i="206" s="1"/>
  <c r="AO31" i="206"/>
  <c r="AN31" i="206"/>
  <c r="AM31" i="206"/>
  <c r="AH31" i="206"/>
  <c r="AG31" i="206"/>
  <c r="AF31" i="206"/>
  <c r="AE31" i="206"/>
  <c r="GL30" i="206"/>
  <c r="GK30" i="206"/>
  <c r="GM30" i="206" s="1"/>
  <c r="GF30" i="206"/>
  <c r="FT30" i="206"/>
  <c r="FS30" i="206"/>
  <c r="FI30" i="206"/>
  <c r="FJ30" i="206" s="1"/>
  <c r="FK30" i="206" s="1"/>
  <c r="FL30" i="206" s="1"/>
  <c r="Z30" i="206" s="1"/>
  <c r="FH30" i="206"/>
  <c r="FC30" i="206"/>
  <c r="EL30" i="206" s="1"/>
  <c r="FB30" i="206"/>
  <c r="EZ30" i="206"/>
  <c r="EE30" i="206" s="1"/>
  <c r="EB30" i="206"/>
  <c r="EA30" i="206"/>
  <c r="DY30" i="206"/>
  <c r="DS30" i="206"/>
  <c r="DO30" i="206"/>
  <c r="DN30" i="206"/>
  <c r="DM30" i="206"/>
  <c r="DL30" i="206"/>
  <c r="DK30" i="206"/>
  <c r="DJ30" i="206"/>
  <c r="DI30" i="206"/>
  <c r="DH30" i="206"/>
  <c r="FV30" i="206" s="1"/>
  <c r="DG30" i="206"/>
  <c r="DF30" i="206"/>
  <c r="DE30" i="206"/>
  <c r="DD30" i="206"/>
  <c r="FD30" i="206" s="1"/>
  <c r="FE30" i="206" s="1"/>
  <c r="FF30" i="206" s="1"/>
  <c r="FG30" i="206" s="1"/>
  <c r="Y30" i="206" s="1"/>
  <c r="DC30" i="206"/>
  <c r="DB30" i="206"/>
  <c r="DA30" i="206"/>
  <c r="CZ30" i="206"/>
  <c r="CY30" i="206"/>
  <c r="CX30" i="206"/>
  <c r="FU30" i="206" s="1"/>
  <c r="CW30" i="206"/>
  <c r="CV30" i="206"/>
  <c r="CU30" i="206"/>
  <c r="CQ30" i="206"/>
  <c r="CK30" i="206" s="1"/>
  <c r="CP30" i="206"/>
  <c r="CO30" i="206"/>
  <c r="CN30" i="206"/>
  <c r="CM30" i="206"/>
  <c r="CL30" i="206"/>
  <c r="CE30" i="206"/>
  <c r="CD30" i="206"/>
  <c r="AX30" i="206"/>
  <c r="AW30" i="206"/>
  <c r="AV30" i="206"/>
  <c r="AS30" i="206"/>
  <c r="AL30" i="206"/>
  <c r="AK30" i="206"/>
  <c r="AJ30" i="206"/>
  <c r="AH30" i="206"/>
  <c r="AG30" i="206"/>
  <c r="AF30" i="206"/>
  <c r="AE30" i="206"/>
  <c r="GL29" i="206"/>
  <c r="GK29" i="206"/>
  <c r="GM29" i="206" s="1"/>
  <c r="GF29" i="206"/>
  <c r="FU29" i="206"/>
  <c r="FT29" i="206"/>
  <c r="FO29" i="206"/>
  <c r="FL29" i="206"/>
  <c r="Z29" i="206" s="1"/>
  <c r="FI29" i="206"/>
  <c r="FE29" i="206"/>
  <c r="FF29" i="206" s="1"/>
  <c r="FG29" i="206" s="1"/>
  <c r="Y29" i="206" s="1"/>
  <c r="FD29" i="206"/>
  <c r="FC29" i="206"/>
  <c r="FA29" i="206"/>
  <c r="EZ29" i="206"/>
  <c r="EY29" i="206"/>
  <c r="EX29" i="206"/>
  <c r="EN29" i="206"/>
  <c r="ER29" i="206" s="1"/>
  <c r="EM29" i="206"/>
  <c r="EQ29" i="206" s="1"/>
  <c r="EL29" i="206"/>
  <c r="EE29" i="206"/>
  <c r="EB29" i="206"/>
  <c r="DY29" i="206"/>
  <c r="DX29" i="206"/>
  <c r="DW29" i="206"/>
  <c r="DS29" i="206"/>
  <c r="DP29" i="206"/>
  <c r="DO29" i="206"/>
  <c r="FJ29" i="206" s="1"/>
  <c r="FK29" i="206" s="1"/>
  <c r="DN29" i="206"/>
  <c r="DM29" i="206"/>
  <c r="DL29" i="206"/>
  <c r="DK29" i="206"/>
  <c r="DJ29" i="206"/>
  <c r="DI29" i="206"/>
  <c r="DH29" i="206"/>
  <c r="DG29" i="206"/>
  <c r="DF29" i="206"/>
  <c r="ED29" i="206" s="1"/>
  <c r="DE29" i="206"/>
  <c r="FR29" i="206" s="1"/>
  <c r="DD29" i="206"/>
  <c r="DC29" i="206"/>
  <c r="DB29" i="206"/>
  <c r="DA29" i="206"/>
  <c r="CZ29" i="206"/>
  <c r="CY29" i="206"/>
  <c r="CX29" i="206"/>
  <c r="FH29" i="206" s="1"/>
  <c r="CW29" i="206"/>
  <c r="CV29" i="206"/>
  <c r="DV29" i="206" s="1"/>
  <c r="CU29" i="206"/>
  <c r="CQ29" i="206"/>
  <c r="CK29" i="206" s="1"/>
  <c r="CP29" i="206"/>
  <c r="CO29" i="206"/>
  <c r="CN29" i="206"/>
  <c r="CM29" i="206"/>
  <c r="CL29" i="206"/>
  <c r="CI29" i="206"/>
  <c r="AX29" i="206"/>
  <c r="AW29" i="206"/>
  <c r="AV29" i="206"/>
  <c r="AK29" i="206" s="1"/>
  <c r="AO29" i="206"/>
  <c r="AN29" i="206"/>
  <c r="AH29" i="206"/>
  <c r="AG29" i="206"/>
  <c r="AF29" i="206"/>
  <c r="AE29" i="206"/>
  <c r="GL28" i="206"/>
  <c r="GK28" i="206"/>
  <c r="GM28" i="206" s="1"/>
  <c r="GF28" i="206"/>
  <c r="FS28" i="206"/>
  <c r="FJ28" i="206"/>
  <c r="FK28" i="206" s="1"/>
  <c r="FL28" i="206" s="1"/>
  <c r="Z28" i="206" s="1"/>
  <c r="FI28" i="206"/>
  <c r="FC28" i="206"/>
  <c r="EZ28" i="206"/>
  <c r="EE28" i="206" s="1"/>
  <c r="EL28" i="206"/>
  <c r="EC28" i="206"/>
  <c r="EB28" i="206"/>
  <c r="DY28" i="206"/>
  <c r="DS28" i="206"/>
  <c r="DO28" i="206"/>
  <c r="DN28" i="206"/>
  <c r="DM28" i="206"/>
  <c r="DL28" i="206"/>
  <c r="DK28" i="206"/>
  <c r="DJ28" i="206"/>
  <c r="DI28" i="206"/>
  <c r="FT28" i="206" s="1"/>
  <c r="DH28" i="206"/>
  <c r="FV28" i="206" s="1"/>
  <c r="DG28" i="206"/>
  <c r="DF28" i="206"/>
  <c r="DE28" i="206"/>
  <c r="DD28" i="206"/>
  <c r="FD28" i="206" s="1"/>
  <c r="FE28" i="206" s="1"/>
  <c r="FF28" i="206" s="1"/>
  <c r="FG28" i="206" s="1"/>
  <c r="Y28" i="206" s="1"/>
  <c r="DC28" i="206"/>
  <c r="DB28" i="206"/>
  <c r="DA28" i="206"/>
  <c r="CZ28" i="206"/>
  <c r="CY28" i="206"/>
  <c r="CX28" i="206"/>
  <c r="FU28" i="206" s="1"/>
  <c r="CW28" i="206"/>
  <c r="CV28" i="206"/>
  <c r="CU28" i="206"/>
  <c r="CQ28" i="206"/>
  <c r="CP28" i="206"/>
  <c r="CO28" i="206"/>
  <c r="CN28" i="206"/>
  <c r="CM28" i="206"/>
  <c r="CL28" i="206"/>
  <c r="CK28" i="206"/>
  <c r="CE28" i="206"/>
  <c r="CD28" i="206"/>
  <c r="AX28" i="206"/>
  <c r="AW28" i="206"/>
  <c r="AV28" i="206"/>
  <c r="AL28" i="206"/>
  <c r="AK28" i="206"/>
  <c r="AJ28" i="206"/>
  <c r="AH28" i="206"/>
  <c r="AG28" i="206"/>
  <c r="AF28" i="206"/>
  <c r="AE28" i="206"/>
  <c r="GL27" i="206"/>
  <c r="GM27" i="206" s="1"/>
  <c r="GK27" i="206"/>
  <c r="GF27" i="206"/>
  <c r="FO27" i="206"/>
  <c r="FM27" i="206"/>
  <c r="FD27" i="206"/>
  <c r="FE27" i="206" s="1"/>
  <c r="FF27" i="206" s="1"/>
  <c r="FG27" i="206" s="1"/>
  <c r="Y27" i="206" s="1"/>
  <c r="FC27" i="206"/>
  <c r="EL27" i="206" s="1"/>
  <c r="EM27" i="206" s="1"/>
  <c r="EQ27" i="206" s="1"/>
  <c r="FA27" i="206"/>
  <c r="EZ27" i="206"/>
  <c r="EY27" i="206"/>
  <c r="EX27" i="206"/>
  <c r="EN27" i="206"/>
  <c r="ER27" i="206" s="1"/>
  <c r="ED27" i="206"/>
  <c r="DY27" i="206"/>
  <c r="DX27" i="206"/>
  <c r="DW27" i="206"/>
  <c r="DV27" i="206"/>
  <c r="DS27" i="206"/>
  <c r="DP27" i="206"/>
  <c r="DO27" i="206"/>
  <c r="DN27" i="206"/>
  <c r="FI27" i="206" s="1"/>
  <c r="DM27" i="206"/>
  <c r="DL27" i="206"/>
  <c r="DK27" i="206"/>
  <c r="DJ27" i="206"/>
  <c r="DI27" i="206"/>
  <c r="DH27" i="206"/>
  <c r="FV27" i="206" s="1"/>
  <c r="DG27" i="206"/>
  <c r="DF27" i="206"/>
  <c r="DE27" i="206"/>
  <c r="DD27" i="206"/>
  <c r="DC27" i="206"/>
  <c r="DB27" i="206"/>
  <c r="DA27" i="206"/>
  <c r="EE27" i="206" s="1"/>
  <c r="CZ27" i="206"/>
  <c r="CY27" i="206"/>
  <c r="FS27" i="206" s="1"/>
  <c r="CX27" i="206"/>
  <c r="FH27" i="206" s="1"/>
  <c r="CW27" i="206"/>
  <c r="CV27" i="206"/>
  <c r="DU27" i="206" s="1"/>
  <c r="CU27" i="206"/>
  <c r="CQ27" i="206"/>
  <c r="CK27" i="206" s="1"/>
  <c r="CP27" i="206"/>
  <c r="CO27" i="206"/>
  <c r="CN27" i="206"/>
  <c r="CM27" i="206"/>
  <c r="CL27" i="206"/>
  <c r="CI27" i="206"/>
  <c r="AX27" i="206"/>
  <c r="AW27" i="206"/>
  <c r="AV27" i="206"/>
  <c r="AK27" i="206" s="1"/>
  <c r="AH27" i="206"/>
  <c r="AG27" i="206"/>
  <c r="AF27" i="206"/>
  <c r="AE27" i="206"/>
  <c r="GM26" i="206"/>
  <c r="GL26" i="206"/>
  <c r="GK26" i="206"/>
  <c r="GF26" i="206"/>
  <c r="FS26" i="206"/>
  <c r="FR26" i="206"/>
  <c r="FQ26" i="206"/>
  <c r="FI26" i="206"/>
  <c r="FJ26" i="206" s="1"/>
  <c r="FK26" i="206" s="1"/>
  <c r="FH26" i="206"/>
  <c r="FG26" i="206"/>
  <c r="Y26" i="206" s="1"/>
  <c r="FC26" i="206"/>
  <c r="FB26" i="206"/>
  <c r="FA26" i="206"/>
  <c r="EZ26" i="206"/>
  <c r="EE26" i="206" s="1"/>
  <c r="ED26" i="206"/>
  <c r="EC26" i="206"/>
  <c r="FP26" i="206" s="1"/>
  <c r="EB26" i="206"/>
  <c r="EA26" i="206"/>
  <c r="DY26" i="206"/>
  <c r="DU26" i="206"/>
  <c r="DS26" i="206"/>
  <c r="DO26" i="206"/>
  <c r="DN26" i="206"/>
  <c r="DM26" i="206"/>
  <c r="DL26" i="206"/>
  <c r="DK26" i="206"/>
  <c r="DJ26" i="206"/>
  <c r="DI26" i="206"/>
  <c r="FT26" i="206" s="1"/>
  <c r="DH26" i="206"/>
  <c r="FV26" i="206" s="1"/>
  <c r="DG26" i="206"/>
  <c r="DF26" i="206"/>
  <c r="DE26" i="206"/>
  <c r="DD26" i="206"/>
  <c r="FD26" i="206" s="1"/>
  <c r="FE26" i="206" s="1"/>
  <c r="FF26" i="206" s="1"/>
  <c r="DC26" i="206"/>
  <c r="DB26" i="206"/>
  <c r="DA26" i="206"/>
  <c r="CZ26" i="206"/>
  <c r="CY26" i="206"/>
  <c r="CX26" i="206"/>
  <c r="FU26" i="206" s="1"/>
  <c r="CW26" i="206"/>
  <c r="CV26" i="206"/>
  <c r="CU26" i="206"/>
  <c r="CQ26" i="206"/>
  <c r="CP26" i="206"/>
  <c r="CO26" i="206"/>
  <c r="CN26" i="206"/>
  <c r="CM26" i="206"/>
  <c r="CL26" i="206"/>
  <c r="CK26" i="206"/>
  <c r="CE26" i="206"/>
  <c r="CD26" i="206"/>
  <c r="ES26" i="206" s="1"/>
  <c r="AZ26" i="206"/>
  <c r="AX26" i="206"/>
  <c r="AW26" i="206"/>
  <c r="AV26" i="206"/>
  <c r="AS26" i="206"/>
  <c r="AQ26" i="206"/>
  <c r="AL26" i="206"/>
  <c r="AK26" i="206"/>
  <c r="AJ26" i="206"/>
  <c r="AU26" i="206" s="1"/>
  <c r="AH26" i="206"/>
  <c r="AG26" i="206"/>
  <c r="AF26" i="206"/>
  <c r="AE26" i="206"/>
  <c r="P26" i="206"/>
  <c r="GL25" i="206"/>
  <c r="GM25" i="206" s="1"/>
  <c r="GK25" i="206"/>
  <c r="GF25" i="206"/>
  <c r="FV25" i="206"/>
  <c r="FU25" i="206"/>
  <c r="FT25" i="206"/>
  <c r="FD25" i="206"/>
  <c r="FC25" i="206"/>
  <c r="FA25" i="206"/>
  <c r="EZ25" i="206"/>
  <c r="EY25" i="206"/>
  <c r="EX25" i="206"/>
  <c r="EL25" i="206"/>
  <c r="EN25" i="206" s="1"/>
  <c r="DY25" i="206"/>
  <c r="DX25" i="206"/>
  <c r="DW25" i="206"/>
  <c r="FO25" i="206" s="1"/>
  <c r="DV25" i="206"/>
  <c r="DS25" i="206"/>
  <c r="DP25" i="206"/>
  <c r="DO25" i="206"/>
  <c r="DN25" i="206"/>
  <c r="FI25" i="206" s="1"/>
  <c r="DM25" i="206"/>
  <c r="DL25" i="206"/>
  <c r="DK25" i="206"/>
  <c r="DJ25" i="206"/>
  <c r="DI25" i="206"/>
  <c r="DH25" i="206"/>
  <c r="FM25" i="206" s="1"/>
  <c r="DG25" i="206"/>
  <c r="DF25" i="206"/>
  <c r="DE25" i="206"/>
  <c r="FR25" i="206" s="1"/>
  <c r="DD25" i="206"/>
  <c r="DC25" i="206"/>
  <c r="DB25" i="206"/>
  <c r="DA25" i="206"/>
  <c r="EE25" i="206" s="1"/>
  <c r="CZ25" i="206"/>
  <c r="CY25" i="206"/>
  <c r="CX25" i="206"/>
  <c r="FH25" i="206" s="1"/>
  <c r="CW25" i="206"/>
  <c r="CV25" i="206"/>
  <c r="DU25" i="206" s="1"/>
  <c r="CU25" i="206"/>
  <c r="CQ25" i="206"/>
  <c r="CP25" i="206"/>
  <c r="CO25" i="206"/>
  <c r="CN25" i="206"/>
  <c r="CM25" i="206"/>
  <c r="CL25" i="206"/>
  <c r="CE25" i="206"/>
  <c r="AX25" i="206"/>
  <c r="AW25" i="206"/>
  <c r="AV25" i="206"/>
  <c r="AH25" i="206"/>
  <c r="AG25" i="206"/>
  <c r="AF25" i="206"/>
  <c r="AE25" i="206"/>
  <c r="GL24" i="206"/>
  <c r="GK24" i="206"/>
  <c r="GM24" i="206" s="1"/>
  <c r="GF24" i="206"/>
  <c r="FS24" i="206"/>
  <c r="FC24" i="206"/>
  <c r="EZ24" i="206"/>
  <c r="EE24" i="206" s="1"/>
  <c r="EY24" i="206"/>
  <c r="EL24" i="206"/>
  <c r="DY24" i="206"/>
  <c r="DS24" i="206"/>
  <c r="DO24" i="206"/>
  <c r="DN24" i="206"/>
  <c r="FI24" i="206" s="1"/>
  <c r="FJ24" i="206" s="1"/>
  <c r="FK24" i="206" s="1"/>
  <c r="FL24" i="206" s="1"/>
  <c r="Z24" i="206" s="1"/>
  <c r="DM24" i="206"/>
  <c r="DL24" i="206"/>
  <c r="DK24" i="206"/>
  <c r="DJ24" i="206"/>
  <c r="DI24" i="206"/>
  <c r="FT24" i="206" s="1"/>
  <c r="DH24" i="206"/>
  <c r="FV24" i="206" s="1"/>
  <c r="DG24" i="206"/>
  <c r="DF24" i="206"/>
  <c r="DE24" i="206"/>
  <c r="DD24" i="206"/>
  <c r="FD24" i="206" s="1"/>
  <c r="FE24" i="206" s="1"/>
  <c r="FF24" i="206" s="1"/>
  <c r="FG24" i="206" s="1"/>
  <c r="Y24" i="206" s="1"/>
  <c r="DC24" i="206"/>
  <c r="DB24" i="206"/>
  <c r="DA24" i="206"/>
  <c r="CZ24" i="206"/>
  <c r="CY24" i="206"/>
  <c r="CX24" i="206"/>
  <c r="CW24" i="206"/>
  <c r="CV24" i="206"/>
  <c r="DU24" i="206" s="1"/>
  <c r="CU24" i="206"/>
  <c r="EX24" i="206" s="1"/>
  <c r="CQ24" i="206"/>
  <c r="CP24" i="206"/>
  <c r="CO24" i="206"/>
  <c r="CN24" i="206"/>
  <c r="CM24" i="206"/>
  <c r="CL24" i="206"/>
  <c r="CK24" i="206"/>
  <c r="CE24" i="206"/>
  <c r="CD24" i="206"/>
  <c r="AZ24" i="206"/>
  <c r="AX24" i="206"/>
  <c r="AW24" i="206"/>
  <c r="AV24" i="206"/>
  <c r="AQ24" i="206"/>
  <c r="AN24" i="206"/>
  <c r="AL24" i="206"/>
  <c r="AK24" i="206"/>
  <c r="AJ24" i="206" s="1"/>
  <c r="AH24" i="206"/>
  <c r="AG24" i="206"/>
  <c r="AF24" i="206"/>
  <c r="AE24" i="206"/>
  <c r="GL23" i="206"/>
  <c r="GM23" i="206" s="1"/>
  <c r="GK23" i="206"/>
  <c r="GF23" i="206"/>
  <c r="FV23" i="206"/>
  <c r="FU23" i="206"/>
  <c r="FT23" i="206"/>
  <c r="FS23" i="206"/>
  <c r="FM23" i="206"/>
  <c r="FI23" i="206"/>
  <c r="FG23" i="206"/>
  <c r="FC23" i="206"/>
  <c r="FA23" i="206"/>
  <c r="EZ23" i="206"/>
  <c r="EY23" i="206"/>
  <c r="EX23" i="206"/>
  <c r="EN23" i="206"/>
  <c r="ER23" i="206" s="1"/>
  <c r="EM23" i="206"/>
  <c r="EL23" i="206"/>
  <c r="EE23" i="206"/>
  <c r="ED23" i="206"/>
  <c r="EB23" i="206"/>
  <c r="DY23" i="206"/>
  <c r="DV23" i="206"/>
  <c r="DT23" i="206"/>
  <c r="DS23" i="206"/>
  <c r="DO23" i="206"/>
  <c r="DN23" i="206"/>
  <c r="DM23" i="206"/>
  <c r="DL23" i="206"/>
  <c r="DK23" i="206"/>
  <c r="DJ23" i="206"/>
  <c r="DI23" i="206"/>
  <c r="DH23" i="206"/>
  <c r="DG23" i="206"/>
  <c r="DF23" i="206"/>
  <c r="DE23" i="206"/>
  <c r="FR23" i="206" s="1"/>
  <c r="DD23" i="206"/>
  <c r="FD23" i="206" s="1"/>
  <c r="FE23" i="206" s="1"/>
  <c r="FF23" i="206" s="1"/>
  <c r="DC23" i="206"/>
  <c r="DB23" i="206"/>
  <c r="DA23" i="206"/>
  <c r="CZ23" i="206"/>
  <c r="CY23" i="206"/>
  <c r="CX23" i="206"/>
  <c r="FH23" i="206" s="1"/>
  <c r="CW23" i="206"/>
  <c r="CV23" i="206"/>
  <c r="CU23" i="206"/>
  <c r="CQ23" i="206"/>
  <c r="CP23" i="206"/>
  <c r="CO23" i="206"/>
  <c r="CN23" i="206"/>
  <c r="CM23" i="206"/>
  <c r="CL23" i="206"/>
  <c r="CK23" i="206"/>
  <c r="AX23" i="206"/>
  <c r="AW23" i="206"/>
  <c r="AV23" i="206"/>
  <c r="AK23" i="206" s="1"/>
  <c r="AH23" i="206"/>
  <c r="AG23" i="206"/>
  <c r="AF23" i="206"/>
  <c r="AE23" i="206"/>
  <c r="GL22" i="206"/>
  <c r="GK22" i="206"/>
  <c r="GM22" i="206" s="1"/>
  <c r="GF22" i="206"/>
  <c r="FS22" i="206"/>
  <c r="FQ22" i="206"/>
  <c r="FN22" i="206"/>
  <c r="FF22" i="206"/>
  <c r="FG22" i="206" s="1"/>
  <c r="FE22" i="206"/>
  <c r="FC22" i="206"/>
  <c r="EL22" i="206" s="1"/>
  <c r="FA22" i="206"/>
  <c r="EZ22" i="206"/>
  <c r="EX22" i="206"/>
  <c r="DY22" i="206"/>
  <c r="DX22" i="206"/>
  <c r="DV22" i="206"/>
  <c r="DS22" i="206"/>
  <c r="DP22" i="206"/>
  <c r="DO22" i="206"/>
  <c r="DN22" i="206"/>
  <c r="FI22" i="206" s="1"/>
  <c r="DM22" i="206"/>
  <c r="DL22" i="206"/>
  <c r="DK22" i="206"/>
  <c r="DJ22" i="206"/>
  <c r="DI22" i="206"/>
  <c r="FT22" i="206" s="1"/>
  <c r="DH22" i="206"/>
  <c r="DG22" i="206"/>
  <c r="DF22" i="206"/>
  <c r="DE22" i="206"/>
  <c r="FR22" i="206" s="1"/>
  <c r="DD22" i="206"/>
  <c r="FD22" i="206" s="1"/>
  <c r="DC22" i="206"/>
  <c r="DB22" i="206"/>
  <c r="DA22" i="206"/>
  <c r="CZ22" i="206"/>
  <c r="CY22" i="206"/>
  <c r="ES22" i="206" s="1"/>
  <c r="CX22" i="206"/>
  <c r="CW22" i="206"/>
  <c r="CV22" i="206"/>
  <c r="CU22" i="206"/>
  <c r="EY22" i="206" s="1"/>
  <c r="CQ22" i="206"/>
  <c r="CK22" i="206" s="1"/>
  <c r="CP22" i="206"/>
  <c r="CO22" i="206"/>
  <c r="CN22" i="206"/>
  <c r="CM22" i="206"/>
  <c r="CL22" i="206"/>
  <c r="CE22" i="206"/>
  <c r="ET22" i="206" s="1"/>
  <c r="Q22" i="206" s="1"/>
  <c r="CD22" i="206"/>
  <c r="AZ22" i="206"/>
  <c r="AX22" i="206"/>
  <c r="AW22" i="206"/>
  <c r="AV22" i="206"/>
  <c r="AK22" i="206" s="1"/>
  <c r="AQ22" i="206"/>
  <c r="AJ22" i="206"/>
  <c r="AU22" i="206" s="1"/>
  <c r="AH22" i="206"/>
  <c r="AG22" i="206"/>
  <c r="AF22" i="206"/>
  <c r="AE22" i="206"/>
  <c r="P22" i="206"/>
  <c r="GL21" i="206"/>
  <c r="GK21" i="206"/>
  <c r="GM21" i="206" s="1"/>
  <c r="GF21" i="206"/>
  <c r="FV21" i="206"/>
  <c r="FU21" i="206"/>
  <c r="FM21" i="206"/>
  <c r="FI21" i="206"/>
  <c r="FH21" i="206"/>
  <c r="FG21" i="206"/>
  <c r="FC21" i="206"/>
  <c r="FA21" i="206"/>
  <c r="EZ21" i="206"/>
  <c r="EE21" i="206" s="1"/>
  <c r="EG21" i="206" s="1"/>
  <c r="EK21" i="206" s="1"/>
  <c r="EX21" i="206"/>
  <c r="EV21" i="206"/>
  <c r="CJ21" i="206" s="1"/>
  <c r="EQ21" i="206"/>
  <c r="EN21" i="206"/>
  <c r="ER21" i="206" s="1"/>
  <c r="CI21" i="206" s="1"/>
  <c r="EF21" i="206"/>
  <c r="EB21" i="206"/>
  <c r="EA21" i="206"/>
  <c r="DY21" i="206"/>
  <c r="DX21" i="206"/>
  <c r="DS21" i="206"/>
  <c r="DP21" i="206"/>
  <c r="DO21" i="206"/>
  <c r="FJ21" i="206" s="1"/>
  <c r="FK21" i="206" s="1"/>
  <c r="FL21" i="206" s="1"/>
  <c r="DN21" i="206"/>
  <c r="DM21" i="206"/>
  <c r="DL21" i="206"/>
  <c r="DK21" i="206"/>
  <c r="EL21" i="206" s="1"/>
  <c r="EM21" i="206" s="1"/>
  <c r="DJ21" i="206"/>
  <c r="DI21" i="206"/>
  <c r="DH21" i="206"/>
  <c r="DG21" i="206"/>
  <c r="DF21" i="206"/>
  <c r="ED21" i="206" s="1"/>
  <c r="DE21" i="206"/>
  <c r="FR21" i="206" s="1"/>
  <c r="DD21" i="206"/>
  <c r="FD21" i="206" s="1"/>
  <c r="FE21" i="206" s="1"/>
  <c r="FF21" i="206" s="1"/>
  <c r="DC21" i="206"/>
  <c r="DB21" i="206"/>
  <c r="DA21" i="206"/>
  <c r="CZ21" i="206"/>
  <c r="CY21" i="206"/>
  <c r="FS21" i="206" s="1"/>
  <c r="CX21" i="206"/>
  <c r="CW21" i="206"/>
  <c r="CV21" i="206"/>
  <c r="DW21" i="206" s="1"/>
  <c r="FO21" i="206" s="1"/>
  <c r="CU21" i="206"/>
  <c r="FQ21" i="206" s="1"/>
  <c r="CQ21" i="206"/>
  <c r="CP21" i="206"/>
  <c r="CO21" i="206"/>
  <c r="CN21" i="206"/>
  <c r="CM21" i="206"/>
  <c r="CL21" i="206"/>
  <c r="CK21" i="206"/>
  <c r="AX21" i="206"/>
  <c r="AW21" i="206"/>
  <c r="AV21" i="206"/>
  <c r="AK21" i="206" s="1"/>
  <c r="AH21" i="206"/>
  <c r="AG21" i="206"/>
  <c r="AF21" i="206"/>
  <c r="AE21" i="206"/>
  <c r="GL20" i="206"/>
  <c r="GK20" i="206"/>
  <c r="GM20" i="206" s="1"/>
  <c r="GF20" i="206"/>
  <c r="FV20" i="206"/>
  <c r="FS20" i="206"/>
  <c r="FQ20" i="206"/>
  <c r="FJ20" i="206"/>
  <c r="FK20" i="206" s="1"/>
  <c r="FL20" i="206" s="1"/>
  <c r="FI20" i="206"/>
  <c r="FH20" i="206"/>
  <c r="FG20" i="206"/>
  <c r="FC20" i="206"/>
  <c r="EZ20" i="206"/>
  <c r="EE20" i="206" s="1"/>
  <c r="EY20" i="206"/>
  <c r="EC20" i="206"/>
  <c r="EB20" i="206"/>
  <c r="EA20" i="206"/>
  <c r="DY20" i="206"/>
  <c r="DS20" i="206"/>
  <c r="DO20" i="206"/>
  <c r="DN20" i="206"/>
  <c r="DM20" i="206"/>
  <c r="DL20" i="206"/>
  <c r="DK20" i="206"/>
  <c r="EL20" i="206" s="1"/>
  <c r="DJ20" i="206"/>
  <c r="DI20" i="206"/>
  <c r="FT20" i="206" s="1"/>
  <c r="DH20" i="206"/>
  <c r="FM20" i="206" s="1"/>
  <c r="DG20" i="206"/>
  <c r="DF20" i="206"/>
  <c r="ED20" i="206" s="1"/>
  <c r="DE20" i="206"/>
  <c r="DD20" i="206"/>
  <c r="FD20" i="206" s="1"/>
  <c r="FE20" i="206" s="1"/>
  <c r="FF20" i="206" s="1"/>
  <c r="DC20" i="206"/>
  <c r="DB20" i="206"/>
  <c r="DA20" i="206"/>
  <c r="CZ20" i="206"/>
  <c r="CY20" i="206"/>
  <c r="CX20" i="206"/>
  <c r="FU20" i="206" s="1"/>
  <c r="CW20" i="206"/>
  <c r="CV20" i="206"/>
  <c r="CU20" i="206"/>
  <c r="EX20" i="206" s="1"/>
  <c r="CQ20" i="206"/>
  <c r="CP20" i="206"/>
  <c r="CO20" i="206"/>
  <c r="CN20" i="206"/>
  <c r="CM20" i="206"/>
  <c r="CL20" i="206"/>
  <c r="CK20" i="206"/>
  <c r="CE20" i="206"/>
  <c r="CD20" i="206"/>
  <c r="AX20" i="206"/>
  <c r="AW20" i="206"/>
  <c r="AV20" i="206"/>
  <c r="AQ20" i="206"/>
  <c r="AK20" i="206"/>
  <c r="AJ20" i="206"/>
  <c r="AH20" i="206"/>
  <c r="AG20" i="206"/>
  <c r="AF20" i="206"/>
  <c r="AE20" i="206"/>
  <c r="GL19" i="206"/>
  <c r="GM19" i="206" s="1"/>
  <c r="GK19" i="206"/>
  <c r="GF19" i="206"/>
  <c r="FT19" i="206"/>
  <c r="FS19" i="206"/>
  <c r="FC19" i="206"/>
  <c r="EL19" i="206" s="1"/>
  <c r="EZ19" i="206"/>
  <c r="EE19" i="206"/>
  <c r="EB19" i="206"/>
  <c r="DY19" i="206"/>
  <c r="DS19" i="206"/>
  <c r="DO19" i="206"/>
  <c r="DN19" i="206"/>
  <c r="FI19" i="206" s="1"/>
  <c r="FJ19" i="206" s="1"/>
  <c r="FK19" i="206" s="1"/>
  <c r="FL19" i="206" s="1"/>
  <c r="DM19" i="206"/>
  <c r="DL19" i="206"/>
  <c r="DK19" i="206"/>
  <c r="DJ19" i="206"/>
  <c r="DI19" i="206"/>
  <c r="DH19" i="206"/>
  <c r="FV19" i="206" s="1"/>
  <c r="DG19" i="206"/>
  <c r="DF19" i="206"/>
  <c r="DE19" i="206"/>
  <c r="DD19" i="206"/>
  <c r="FD19" i="206" s="1"/>
  <c r="DC19" i="206"/>
  <c r="DB19" i="206"/>
  <c r="DA19" i="206"/>
  <c r="CZ19" i="206"/>
  <c r="CY19" i="206"/>
  <c r="CD19" i="206" s="1"/>
  <c r="CX19" i="206"/>
  <c r="CW19" i="206"/>
  <c r="CV19" i="206"/>
  <c r="CU19" i="206"/>
  <c r="EY19" i="206" s="1"/>
  <c r="CQ19" i="206"/>
  <c r="CP19" i="206"/>
  <c r="CK19" i="206" s="1"/>
  <c r="CO19" i="206"/>
  <c r="CN19" i="206"/>
  <c r="CM19" i="206"/>
  <c r="CL19" i="206"/>
  <c r="CE19" i="206"/>
  <c r="AX19" i="206"/>
  <c r="AW19" i="206"/>
  <c r="AV19" i="206"/>
  <c r="AU19" i="206"/>
  <c r="AS19" i="206"/>
  <c r="AM19" i="206"/>
  <c r="AL19" i="206"/>
  <c r="AK19" i="206"/>
  <c r="AJ19" i="206"/>
  <c r="AH19" i="206"/>
  <c r="AG19" i="206"/>
  <c r="AF19" i="206"/>
  <c r="AE19" i="206"/>
  <c r="GM18" i="206"/>
  <c r="GL18" i="206"/>
  <c r="GK18" i="206"/>
  <c r="GF18" i="206"/>
  <c r="FU18" i="206"/>
  <c r="FM18" i="206"/>
  <c r="FE18" i="206"/>
  <c r="FF18" i="206" s="1"/>
  <c r="FG18" i="206" s="1"/>
  <c r="Y18" i="206" s="1"/>
  <c r="FD18" i="206"/>
  <c r="FC18" i="206"/>
  <c r="EZ18" i="206"/>
  <c r="EY18" i="206"/>
  <c r="EX18" i="206"/>
  <c r="EL18" i="206"/>
  <c r="ED18" i="206"/>
  <c r="DY18" i="206"/>
  <c r="DX18" i="206"/>
  <c r="DW18" i="206"/>
  <c r="FO18" i="206" s="1"/>
  <c r="DV18" i="206"/>
  <c r="DU18" i="206"/>
  <c r="DS18" i="206"/>
  <c r="DP18" i="206"/>
  <c r="DO18" i="206"/>
  <c r="DN18" i="206"/>
  <c r="FI18" i="206" s="1"/>
  <c r="DM18" i="206"/>
  <c r="DL18" i="206"/>
  <c r="DK18" i="206"/>
  <c r="DJ18" i="206"/>
  <c r="DI18" i="206"/>
  <c r="FT18" i="206" s="1"/>
  <c r="DH18" i="206"/>
  <c r="FV18" i="206" s="1"/>
  <c r="DG18" i="206"/>
  <c r="DF18" i="206"/>
  <c r="DE18" i="206"/>
  <c r="FR18" i="206" s="1"/>
  <c r="DD18" i="206"/>
  <c r="DC18" i="206"/>
  <c r="DB18" i="206"/>
  <c r="DA18" i="206"/>
  <c r="EE18" i="206" s="1"/>
  <c r="CZ18" i="206"/>
  <c r="CY18" i="206"/>
  <c r="CX18" i="206"/>
  <c r="FH18" i="206" s="1"/>
  <c r="CW18" i="206"/>
  <c r="CV18" i="206"/>
  <c r="FQ18" i="206" s="1"/>
  <c r="CU18" i="206"/>
  <c r="CQ18" i="206"/>
  <c r="CP18" i="206"/>
  <c r="CK18" i="206" s="1"/>
  <c r="CO18" i="206"/>
  <c r="CN18" i="206"/>
  <c r="CM18" i="206"/>
  <c r="CL18" i="206"/>
  <c r="CE18" i="206"/>
  <c r="AX18" i="206"/>
  <c r="AW18" i="206"/>
  <c r="AV18" i="206"/>
  <c r="AK18" i="206" s="1"/>
  <c r="AO18" i="206"/>
  <c r="AN18" i="206"/>
  <c r="AM18" i="206"/>
  <c r="AL18" i="206"/>
  <c r="AH18" i="206"/>
  <c r="AG18" i="206"/>
  <c r="AF18" i="206"/>
  <c r="AE18" i="206"/>
  <c r="GL17" i="206"/>
  <c r="GK17" i="206"/>
  <c r="GM17" i="206" s="1"/>
  <c r="GF17" i="206"/>
  <c r="FU17" i="206"/>
  <c r="FO17" i="206"/>
  <c r="FH17" i="206"/>
  <c r="FD17" i="206"/>
  <c r="FC17" i="206"/>
  <c r="EZ17" i="206"/>
  <c r="EY17" i="206"/>
  <c r="EX17" i="206"/>
  <c r="EA17" i="206"/>
  <c r="DY17" i="206"/>
  <c r="DX17" i="206"/>
  <c r="DW17" i="206"/>
  <c r="DV17" i="206"/>
  <c r="DU17" i="206"/>
  <c r="DS17" i="206"/>
  <c r="DP17" i="206"/>
  <c r="DO17" i="206"/>
  <c r="DN17" i="206"/>
  <c r="FI17" i="206" s="1"/>
  <c r="DM17" i="206"/>
  <c r="DL17" i="206"/>
  <c r="DK17" i="206"/>
  <c r="EL17" i="206" s="1"/>
  <c r="EN17" i="206" s="1"/>
  <c r="DJ17" i="206"/>
  <c r="DI17" i="206"/>
  <c r="DH17" i="206"/>
  <c r="FV17" i="206" s="1"/>
  <c r="DG17" i="206"/>
  <c r="DF17" i="206"/>
  <c r="ED17" i="206" s="1"/>
  <c r="DE17" i="206"/>
  <c r="FR17" i="206" s="1"/>
  <c r="DD17" i="206"/>
  <c r="DC17" i="206"/>
  <c r="DT17" i="206" s="1"/>
  <c r="DB17" i="206"/>
  <c r="DA17" i="206"/>
  <c r="EE17" i="206" s="1"/>
  <c r="CZ17" i="206"/>
  <c r="CY17" i="206"/>
  <c r="CX17" i="206"/>
  <c r="CW17" i="206"/>
  <c r="CV17" i="206"/>
  <c r="CU17" i="206"/>
  <c r="FQ17" i="206" s="1"/>
  <c r="CQ17" i="206"/>
  <c r="CP17" i="206"/>
  <c r="CO17" i="206"/>
  <c r="CN17" i="206"/>
  <c r="CM17" i="206"/>
  <c r="CL17" i="206"/>
  <c r="AX17" i="206"/>
  <c r="AW17" i="206"/>
  <c r="AV17" i="206"/>
  <c r="AK17" i="206" s="1"/>
  <c r="AO17" i="206"/>
  <c r="AN17" i="206"/>
  <c r="AM17" i="206"/>
  <c r="AH17" i="206"/>
  <c r="AG17" i="206"/>
  <c r="AF17" i="206"/>
  <c r="AE17" i="206"/>
  <c r="GL16" i="206"/>
  <c r="GM16" i="206" s="1"/>
  <c r="GK16" i="206"/>
  <c r="GF16" i="206"/>
  <c r="FV16" i="206"/>
  <c r="FT16" i="206"/>
  <c r="FS16" i="206"/>
  <c r="FJ16" i="206"/>
  <c r="FK16" i="206" s="1"/>
  <c r="FL16" i="206" s="1"/>
  <c r="Z16" i="206" s="1"/>
  <c r="FI16" i="206"/>
  <c r="FC16" i="206"/>
  <c r="EZ16" i="206"/>
  <c r="EE16" i="206" s="1"/>
  <c r="EL16" i="206"/>
  <c r="DY16" i="206"/>
  <c r="DT16" i="206"/>
  <c r="DS16" i="206"/>
  <c r="DO16" i="206"/>
  <c r="FE16" i="206" s="1"/>
  <c r="FF16" i="206" s="1"/>
  <c r="FG16" i="206" s="1"/>
  <c r="Y16" i="206" s="1"/>
  <c r="DN16" i="206"/>
  <c r="DM16" i="206"/>
  <c r="DL16" i="206"/>
  <c r="DK16" i="206"/>
  <c r="DJ16" i="206"/>
  <c r="DI16" i="206"/>
  <c r="DH16" i="206"/>
  <c r="FM16" i="206" s="1"/>
  <c r="DG16" i="206"/>
  <c r="DF16" i="206"/>
  <c r="DE16" i="206"/>
  <c r="DD16" i="206"/>
  <c r="FD16" i="206" s="1"/>
  <c r="DC16" i="206"/>
  <c r="DB16" i="206"/>
  <c r="DA16" i="206"/>
  <c r="CZ16" i="206"/>
  <c r="CY16" i="206"/>
  <c r="CX16" i="206"/>
  <c r="CW16" i="206"/>
  <c r="CV16" i="206"/>
  <c r="CU16" i="206"/>
  <c r="CQ16" i="206"/>
  <c r="CP16" i="206"/>
  <c r="CK16" i="206" s="1"/>
  <c r="CO16" i="206"/>
  <c r="CN16" i="206"/>
  <c r="CM16" i="206"/>
  <c r="CL16" i="206"/>
  <c r="CE16" i="206"/>
  <c r="CD16" i="206"/>
  <c r="AX16" i="206"/>
  <c r="AW16" i="206"/>
  <c r="AV16" i="206"/>
  <c r="AT16" i="206"/>
  <c r="AS16" i="206"/>
  <c r="AQ16" i="206"/>
  <c r="AR16" i="206" s="1"/>
  <c r="AL16" i="206"/>
  <c r="AK16" i="206"/>
  <c r="AJ16" i="206"/>
  <c r="AH16" i="206"/>
  <c r="AG16" i="206"/>
  <c r="AF16" i="206"/>
  <c r="AE16" i="206"/>
  <c r="IF14" i="206"/>
  <c r="IE14" i="206"/>
  <c r="ID14" i="206"/>
  <c r="IC14" i="206"/>
  <c r="IB14" i="206"/>
  <c r="IA14" i="206"/>
  <c r="HY14" i="206"/>
  <c r="HX14" i="206"/>
  <c r="HW14" i="206"/>
  <c r="HV14" i="206"/>
  <c r="HU14" i="206"/>
  <c r="HT14" i="206"/>
  <c r="HS14" i="206"/>
  <c r="HQ14" i="206"/>
  <c r="HP14" i="206"/>
  <c r="HO14" i="206"/>
  <c r="HN14" i="206"/>
  <c r="HM14" i="206"/>
  <c r="HL14" i="206"/>
  <c r="HK14" i="206"/>
  <c r="HI14" i="206"/>
  <c r="HH14" i="206"/>
  <c r="HG14" i="206"/>
  <c r="HF14" i="206"/>
  <c r="HD14" i="206"/>
  <c r="AB12" i="206"/>
  <c r="AA12" i="206"/>
  <c r="HT11" i="206"/>
  <c r="HU11" i="206" s="1"/>
  <c r="HV11" i="206" s="1"/>
  <c r="HW11" i="206" s="1"/>
  <c r="HX11" i="206" s="1"/>
  <c r="HY11" i="206" s="1"/>
  <c r="HZ11" i="206" s="1"/>
  <c r="IA11" i="206" s="1"/>
  <c r="IB11" i="206" s="1"/>
  <c r="IC11" i="206" s="1"/>
  <c r="ID11" i="206" s="1"/>
  <c r="IE11" i="206" s="1"/>
  <c r="IF11" i="206" s="1"/>
  <c r="HM11" i="206"/>
  <c r="HN11" i="206" s="1"/>
  <c r="HO11" i="206" s="1"/>
  <c r="HP11" i="206" s="1"/>
  <c r="HQ11" i="206" s="1"/>
  <c r="HR11" i="206" s="1"/>
  <c r="HS11" i="206" s="1"/>
  <c r="HF11" i="206"/>
  <c r="HG11" i="206" s="1"/>
  <c r="HH11" i="206" s="1"/>
  <c r="HI11" i="206" s="1"/>
  <c r="HJ11" i="206" s="1"/>
  <c r="HK11" i="206" s="1"/>
  <c r="HL11" i="206" s="1"/>
  <c r="HD11" i="206"/>
  <c r="HE11" i="206" s="1"/>
  <c r="HC11" i="206"/>
  <c r="HB11" i="206"/>
  <c r="Z10" i="206"/>
  <c r="S10" i="206"/>
  <c r="C10" i="206"/>
  <c r="DN9" i="206"/>
  <c r="DM9" i="206"/>
  <c r="DL9" i="206"/>
  <c r="DK9" i="206"/>
  <c r="DJ9" i="206"/>
  <c r="DI9" i="206"/>
  <c r="DH9" i="206"/>
  <c r="DG9" i="206"/>
  <c r="S9" i="206"/>
  <c r="C9" i="206"/>
  <c r="DN8" i="206"/>
  <c r="DM8" i="206"/>
  <c r="DL8" i="206"/>
  <c r="DK8" i="206"/>
  <c r="DJ8" i="206"/>
  <c r="DI8" i="206"/>
  <c r="DH8" i="206"/>
  <c r="DG8" i="206"/>
  <c r="DN7" i="206"/>
  <c r="DM7" i="206"/>
  <c r="DL7" i="206"/>
  <c r="DK7" i="206"/>
  <c r="DJ7" i="206"/>
  <c r="DI7" i="206"/>
  <c r="DH7" i="206"/>
  <c r="DG7" i="206"/>
  <c r="DN6" i="206"/>
  <c r="DM6" i="206"/>
  <c r="DL6" i="206"/>
  <c r="DK6" i="206"/>
  <c r="DJ6" i="206"/>
  <c r="DI6" i="206"/>
  <c r="DH6" i="206"/>
  <c r="DG6" i="206"/>
  <c r="DC6" i="206"/>
  <c r="DB6" i="206"/>
  <c r="DA6" i="206"/>
  <c r="CZ6" i="206"/>
  <c r="CY6" i="206"/>
  <c r="CX6" i="206"/>
  <c r="CW6" i="206"/>
  <c r="CV6" i="206"/>
  <c r="Y6" i="206"/>
  <c r="M6" i="206"/>
  <c r="DN5" i="206"/>
  <c r="DM5" i="206"/>
  <c r="DL5" i="206"/>
  <c r="DK5" i="206"/>
  <c r="DJ5" i="206"/>
  <c r="DI5" i="206"/>
  <c r="DH5" i="206"/>
  <c r="DG5" i="206"/>
  <c r="DC5" i="206"/>
  <c r="DB5" i="206"/>
  <c r="AL52" i="206" s="1"/>
  <c r="DA5" i="206"/>
  <c r="CZ5" i="206"/>
  <c r="CY5" i="206"/>
  <c r="CX5" i="206"/>
  <c r="CW5" i="206"/>
  <c r="CV5" i="206"/>
  <c r="DN4" i="206"/>
  <c r="DM4" i="206"/>
  <c r="DL4" i="206"/>
  <c r="DK4" i="206"/>
  <c r="DJ4" i="206"/>
  <c r="DI4" i="206"/>
  <c r="DH4" i="206"/>
  <c r="DG4" i="206"/>
  <c r="DC4" i="206"/>
  <c r="DB4" i="206"/>
  <c r="AL49" i="206" s="1"/>
  <c r="DA4" i="206"/>
  <c r="CZ4" i="206"/>
  <c r="CY4" i="206"/>
  <c r="CX4" i="206"/>
  <c r="AM49" i="206" s="1"/>
  <c r="CW4" i="206"/>
  <c r="CV4" i="206"/>
  <c r="DN3" i="206"/>
  <c r="DM3" i="206"/>
  <c r="DL3" i="206"/>
  <c r="DK3" i="206"/>
  <c r="DJ3" i="206"/>
  <c r="DI3" i="206"/>
  <c r="DH3" i="206"/>
  <c r="DG3" i="206"/>
  <c r="DN2" i="206"/>
  <c r="DM2" i="206"/>
  <c r="DL2" i="206"/>
  <c r="DK2" i="206"/>
  <c r="DJ2" i="206"/>
  <c r="DI2" i="206"/>
  <c r="DH2" i="206"/>
  <c r="DG2" i="206"/>
  <c r="DD2" i="206"/>
  <c r="DB2" i="206"/>
  <c r="CZ2" i="206"/>
  <c r="CX2" i="206"/>
  <c r="HA1" i="206"/>
  <c r="HZ14" i="206" s="1"/>
  <c r="DQ1" i="206"/>
  <c r="DD1" i="206"/>
  <c r="DZ22" i="206" s="1"/>
  <c r="CX1" i="206"/>
  <c r="CY1" i="206" s="1"/>
  <c r="AE1" i="206"/>
  <c r="AD1" i="206"/>
  <c r="P2" i="206" s="1"/>
  <c r="EO104" i="205"/>
  <c r="EN104" i="205"/>
  <c r="EM104" i="205"/>
  <c r="EO103" i="205"/>
  <c r="EN103" i="205"/>
  <c r="EM103" i="205"/>
  <c r="EO102" i="205"/>
  <c r="EN102" i="205"/>
  <c r="EM102" i="205"/>
  <c r="EO101" i="205"/>
  <c r="EN101" i="205"/>
  <c r="EM101" i="205"/>
  <c r="EO100" i="205"/>
  <c r="EN100" i="205"/>
  <c r="EM100" i="205"/>
  <c r="EO99" i="205"/>
  <c r="EN99" i="205"/>
  <c r="EM99" i="205"/>
  <c r="EO98" i="205"/>
  <c r="EN98" i="205"/>
  <c r="EM98" i="205"/>
  <c r="EO97" i="205"/>
  <c r="EN97" i="205"/>
  <c r="EM97" i="205"/>
  <c r="EO96" i="205"/>
  <c r="EN96" i="205"/>
  <c r="EM96" i="205"/>
  <c r="EO95" i="205"/>
  <c r="EN95" i="205"/>
  <c r="EM95" i="205"/>
  <c r="EO94" i="205"/>
  <c r="EN94" i="205"/>
  <c r="EM94" i="205"/>
  <c r="EO93" i="205"/>
  <c r="EN93" i="205"/>
  <c r="EM93" i="205"/>
  <c r="EO92" i="205"/>
  <c r="EN92" i="205"/>
  <c r="EM92" i="205"/>
  <c r="EO91" i="205"/>
  <c r="EN91" i="205"/>
  <c r="EM91" i="205"/>
  <c r="EO90" i="205"/>
  <c r="EN90" i="205"/>
  <c r="EM90" i="205"/>
  <c r="EO89" i="205"/>
  <c r="EN89" i="205"/>
  <c r="EM89" i="205"/>
  <c r="EO88" i="205"/>
  <c r="EN88" i="205"/>
  <c r="EM88" i="205"/>
  <c r="EO87" i="205"/>
  <c r="EN87" i="205"/>
  <c r="EM87" i="205"/>
  <c r="EO86" i="205"/>
  <c r="EN86" i="205"/>
  <c r="EM86" i="205"/>
  <c r="EO85" i="205"/>
  <c r="EN85" i="205"/>
  <c r="EM85" i="205"/>
  <c r="EO84" i="205"/>
  <c r="EN84" i="205"/>
  <c r="EM84" i="205"/>
  <c r="EO83" i="205"/>
  <c r="EN83" i="205"/>
  <c r="EM83" i="205"/>
  <c r="EO82" i="205"/>
  <c r="EN82" i="205"/>
  <c r="EM82" i="205"/>
  <c r="EO81" i="205"/>
  <c r="EN81" i="205"/>
  <c r="EM81" i="205"/>
  <c r="EO80" i="205"/>
  <c r="EN80" i="205"/>
  <c r="EM80" i="205"/>
  <c r="EO79" i="205"/>
  <c r="EN79" i="205"/>
  <c r="EM79" i="205"/>
  <c r="EO78" i="205"/>
  <c r="EN78" i="205"/>
  <c r="EM78" i="205"/>
  <c r="EO77" i="205"/>
  <c r="EN77" i="205"/>
  <c r="EM77" i="205"/>
  <c r="EO76" i="205"/>
  <c r="EN76" i="205"/>
  <c r="EM76" i="205"/>
  <c r="EO75" i="205"/>
  <c r="EN75" i="205"/>
  <c r="EM75" i="205"/>
  <c r="GF57" i="205"/>
  <c r="GE57" i="205" s="1"/>
  <c r="GD57" i="205"/>
  <c r="GC57" i="205"/>
  <c r="GB57" i="205"/>
  <c r="GA57" i="205"/>
  <c r="AV57" i="205"/>
  <c r="AT57" i="205"/>
  <c r="AS57" i="205"/>
  <c r="AN57" i="205"/>
  <c r="AA57" i="205"/>
  <c r="AX57" i="205" s="1"/>
  <c r="Z57" i="205"/>
  <c r="Y57" i="205"/>
  <c r="X57" i="205"/>
  <c r="W57" i="205"/>
  <c r="V57" i="205"/>
  <c r="U57" i="205"/>
  <c r="AR57" i="205" s="1"/>
  <c r="T57" i="205"/>
  <c r="S57" i="205"/>
  <c r="R57" i="205"/>
  <c r="Q57" i="205"/>
  <c r="P57" i="205"/>
  <c r="O57" i="205"/>
  <c r="N57" i="205"/>
  <c r="M57" i="205"/>
  <c r="L57" i="205"/>
  <c r="K57" i="205"/>
  <c r="J57" i="205"/>
  <c r="I57" i="205"/>
  <c r="H57" i="205"/>
  <c r="G57" i="205"/>
  <c r="F57" i="205"/>
  <c r="E57" i="205"/>
  <c r="D57" i="205"/>
  <c r="C57" i="205"/>
  <c r="AW57" i="205" s="1"/>
  <c r="AK57" i="205" s="1"/>
  <c r="B57" i="205"/>
  <c r="A57" i="205"/>
  <c r="AN54" i="205"/>
  <c r="AN52" i="205"/>
  <c r="AM52" i="205"/>
  <c r="GF45" i="205"/>
  <c r="GC45" i="205"/>
  <c r="FT45" i="205"/>
  <c r="FS45" i="205"/>
  <c r="FI45" i="205"/>
  <c r="FC45" i="205"/>
  <c r="EZ45" i="205"/>
  <c r="EL45" i="205"/>
  <c r="EE45" i="205"/>
  <c r="EG45" i="205" s="1"/>
  <c r="ED45" i="205"/>
  <c r="EB45" i="205"/>
  <c r="DY45" i="205"/>
  <c r="DV45" i="205"/>
  <c r="DU45" i="205"/>
  <c r="DS45" i="205"/>
  <c r="DO45" i="205"/>
  <c r="DN45" i="205"/>
  <c r="DM45" i="205"/>
  <c r="DL45" i="205"/>
  <c r="DK45" i="205"/>
  <c r="DJ45" i="205"/>
  <c r="DI45" i="205"/>
  <c r="DH45" i="205"/>
  <c r="FV45" i="205" s="1"/>
  <c r="DG45" i="205"/>
  <c r="DF45" i="205"/>
  <c r="EA45" i="205" s="1"/>
  <c r="DE45" i="205"/>
  <c r="DD45" i="205"/>
  <c r="FD45" i="205" s="1"/>
  <c r="FE45" i="205" s="1"/>
  <c r="FF45" i="205" s="1"/>
  <c r="FG45" i="205" s="1"/>
  <c r="Y45" i="205" s="1"/>
  <c r="DC45" i="205"/>
  <c r="DB45" i="205"/>
  <c r="DA45" i="205"/>
  <c r="CZ45" i="205"/>
  <c r="CY45" i="205"/>
  <c r="CD45" i="205" s="1"/>
  <c r="CX45" i="205"/>
  <c r="FH45" i="205" s="1"/>
  <c r="CW45" i="205"/>
  <c r="CV45" i="205"/>
  <c r="DW45" i="205" s="1"/>
  <c r="CU45" i="205"/>
  <c r="EY45" i="205" s="1"/>
  <c r="CQ45" i="205"/>
  <c r="CP45" i="205"/>
  <c r="CO45" i="205"/>
  <c r="CN45" i="205"/>
  <c r="CM45" i="205"/>
  <c r="CL45" i="205"/>
  <c r="CE45" i="205"/>
  <c r="AE45" i="205"/>
  <c r="AD45" i="205"/>
  <c r="K45" i="205"/>
  <c r="C45" i="205"/>
  <c r="A45" i="205"/>
  <c r="AX45" i="205" s="1"/>
  <c r="GD44" i="205"/>
  <c r="GC44" i="205"/>
  <c r="GA44" i="205"/>
  <c r="FV44" i="205"/>
  <c r="FS44" i="205"/>
  <c r="FI44" i="205"/>
  <c r="FJ44" i="205" s="1"/>
  <c r="FK44" i="205" s="1"/>
  <c r="FL44" i="205" s="1"/>
  <c r="Z44" i="205" s="1"/>
  <c r="FH44" i="205"/>
  <c r="FG44" i="205"/>
  <c r="Y44" i="205" s="1"/>
  <c r="FC44" i="205"/>
  <c r="EZ44" i="205"/>
  <c r="EE44" i="205" s="1"/>
  <c r="ED44" i="205"/>
  <c r="K44" i="205" s="1"/>
  <c r="EC44" i="205"/>
  <c r="EB44" i="205"/>
  <c r="EA44" i="205"/>
  <c r="DY44" i="205"/>
  <c r="DV44" i="205"/>
  <c r="DS44" i="205"/>
  <c r="DO44" i="205"/>
  <c r="DN44" i="205"/>
  <c r="DM44" i="205"/>
  <c r="DL44" i="205"/>
  <c r="DK44" i="205"/>
  <c r="EL44" i="205" s="1"/>
  <c r="DJ44" i="205"/>
  <c r="DI44" i="205"/>
  <c r="FT44" i="205" s="1"/>
  <c r="DH44" i="205"/>
  <c r="FM44" i="205" s="1"/>
  <c r="DG44" i="205"/>
  <c r="DF44" i="205"/>
  <c r="DE44" i="205"/>
  <c r="DD44" i="205"/>
  <c r="FD44" i="205" s="1"/>
  <c r="FE44" i="205" s="1"/>
  <c r="FF44" i="205" s="1"/>
  <c r="DC44" i="205"/>
  <c r="DB44" i="205"/>
  <c r="DA44" i="205"/>
  <c r="CZ44" i="205"/>
  <c r="CY44" i="205"/>
  <c r="CX44" i="205"/>
  <c r="FU44" i="205" s="1"/>
  <c r="CW44" i="205"/>
  <c r="CV44" i="205"/>
  <c r="CU44" i="205"/>
  <c r="CQ44" i="205"/>
  <c r="CP44" i="205"/>
  <c r="CO44" i="205"/>
  <c r="CN44" i="205"/>
  <c r="CM44" i="205"/>
  <c r="CL44" i="205"/>
  <c r="CK44" i="205"/>
  <c r="CE44" i="205"/>
  <c r="CD44" i="205"/>
  <c r="AW44" i="205"/>
  <c r="AV44" i="205"/>
  <c r="AS44" i="205"/>
  <c r="AK44" i="205"/>
  <c r="AJ44" i="205"/>
  <c r="AH44" i="205"/>
  <c r="AG44" i="205"/>
  <c r="AF44" i="205"/>
  <c r="AE44" i="205"/>
  <c r="J44" i="205"/>
  <c r="I44" i="205"/>
  <c r="C44" i="205"/>
  <c r="AD44" i="205" s="1"/>
  <c r="A44" i="205"/>
  <c r="GF44" i="205" s="1"/>
  <c r="GE44" i="205" s="1"/>
  <c r="GF43" i="205"/>
  <c r="GE43" i="205" s="1"/>
  <c r="GC43" i="205"/>
  <c r="GB43" i="205"/>
  <c r="GA43" i="205"/>
  <c r="FU43" i="205"/>
  <c r="FL43" i="205"/>
  <c r="Z43" i="205" s="1"/>
  <c r="FI43" i="205"/>
  <c r="FH43" i="205"/>
  <c r="FC43" i="205"/>
  <c r="FA43" i="205"/>
  <c r="EZ43" i="205"/>
  <c r="EY43" i="205"/>
  <c r="EX43" i="205"/>
  <c r="EN43" i="205"/>
  <c r="EM43" i="205"/>
  <c r="EB43" i="205"/>
  <c r="EA43" i="205"/>
  <c r="DY43" i="205"/>
  <c r="DS43" i="205"/>
  <c r="DO43" i="205"/>
  <c r="FJ43" i="205" s="1"/>
  <c r="FK43" i="205" s="1"/>
  <c r="DN43" i="205"/>
  <c r="DM43" i="205"/>
  <c r="DL43" i="205"/>
  <c r="DK43" i="205"/>
  <c r="EL43" i="205" s="1"/>
  <c r="DJ43" i="205"/>
  <c r="DI43" i="205"/>
  <c r="DH43" i="205"/>
  <c r="DG43" i="205"/>
  <c r="DF43" i="205"/>
  <c r="ED43" i="205" s="1"/>
  <c r="DE43" i="205"/>
  <c r="FR43" i="205" s="1"/>
  <c r="DD43" i="205"/>
  <c r="FD43" i="205" s="1"/>
  <c r="FE43" i="205" s="1"/>
  <c r="FF43" i="205" s="1"/>
  <c r="FG43" i="205" s="1"/>
  <c r="Y43" i="205" s="1"/>
  <c r="DC43" i="205"/>
  <c r="DB43" i="205"/>
  <c r="DA43" i="205"/>
  <c r="EE43" i="205" s="1"/>
  <c r="EG43" i="205" s="1"/>
  <c r="EK43" i="205" s="1"/>
  <c r="CZ43" i="205"/>
  <c r="CY43" i="205"/>
  <c r="CX43" i="205"/>
  <c r="CW43" i="205"/>
  <c r="CV43" i="205"/>
  <c r="CU43" i="205"/>
  <c r="CQ43" i="205"/>
  <c r="CP43" i="205"/>
  <c r="CO43" i="205"/>
  <c r="CN43" i="205"/>
  <c r="CM43" i="205"/>
  <c r="CL43" i="205"/>
  <c r="CK43" i="205"/>
  <c r="AX43" i="205"/>
  <c r="AV43" i="205"/>
  <c r="AK43" i="205" s="1"/>
  <c r="AH43" i="205"/>
  <c r="AG43" i="205"/>
  <c r="AF43" i="205"/>
  <c r="AE43" i="205"/>
  <c r="AD43" i="205"/>
  <c r="K43" i="205"/>
  <c r="C43" i="205"/>
  <c r="AW43" i="205" s="1"/>
  <c r="A43" i="205"/>
  <c r="GE42" i="205"/>
  <c r="FT42" i="205"/>
  <c r="FS42" i="205"/>
  <c r="FM42" i="205"/>
  <c r="FE42" i="205"/>
  <c r="FF42" i="205" s="1"/>
  <c r="FG42" i="205" s="1"/>
  <c r="FD42" i="205"/>
  <c r="FC42" i="205"/>
  <c r="EL42" i="205" s="1"/>
  <c r="EZ42" i="205"/>
  <c r="EY42" i="205"/>
  <c r="EX42" i="205"/>
  <c r="EG42" i="205"/>
  <c r="EE42" i="205"/>
  <c r="EF42" i="205" s="1"/>
  <c r="DY42" i="205"/>
  <c r="DX42" i="205"/>
  <c r="DW42" i="205"/>
  <c r="FO42" i="205" s="1"/>
  <c r="DV42" i="205"/>
  <c r="DU42" i="205"/>
  <c r="DS42" i="205"/>
  <c r="DO42" i="205"/>
  <c r="DN42" i="205"/>
  <c r="FI42" i="205" s="1"/>
  <c r="FJ42" i="205" s="1"/>
  <c r="FK42" i="205" s="1"/>
  <c r="FL42" i="205" s="1"/>
  <c r="Z42" i="205" s="1"/>
  <c r="DM42" i="205"/>
  <c r="DL42" i="205"/>
  <c r="DK42" i="205"/>
  <c r="DJ42" i="205"/>
  <c r="DI42" i="205"/>
  <c r="DH42" i="205"/>
  <c r="FV42" i="205" s="1"/>
  <c r="DG42" i="205"/>
  <c r="DF42" i="205"/>
  <c r="DE42" i="205"/>
  <c r="DD42" i="205"/>
  <c r="DC42" i="205"/>
  <c r="DB42" i="205"/>
  <c r="DA42" i="205"/>
  <c r="CZ42" i="205"/>
  <c r="CY42" i="205"/>
  <c r="CX42" i="205"/>
  <c r="FH42" i="205" s="1"/>
  <c r="CW42" i="205"/>
  <c r="CV42" i="205"/>
  <c r="FQ42" i="205" s="1"/>
  <c r="CU42" i="205"/>
  <c r="CQ42" i="205"/>
  <c r="CK42" i="205" s="1"/>
  <c r="CP42" i="205"/>
  <c r="CO42" i="205"/>
  <c r="CN42" i="205"/>
  <c r="CM42" i="205"/>
  <c r="CL42" i="205"/>
  <c r="CE42" i="205"/>
  <c r="CD42" i="205"/>
  <c r="AX42" i="205"/>
  <c r="Y42" i="205"/>
  <c r="F42" i="205"/>
  <c r="C42" i="205"/>
  <c r="A42" i="205"/>
  <c r="GF42" i="205" s="1"/>
  <c r="FT41" i="205"/>
  <c r="FS41" i="205"/>
  <c r="FM41" i="205"/>
  <c r="FI41" i="205"/>
  <c r="FC41" i="205"/>
  <c r="FB41" i="205"/>
  <c r="EZ41" i="205"/>
  <c r="EL41" i="205"/>
  <c r="EE41" i="205"/>
  <c r="EG41" i="205" s="1"/>
  <c r="EK41" i="205" s="1"/>
  <c r="EB41" i="205"/>
  <c r="DY41" i="205"/>
  <c r="DX41" i="205"/>
  <c r="DW41" i="205"/>
  <c r="DV41" i="205"/>
  <c r="DS41" i="205"/>
  <c r="DO41" i="205"/>
  <c r="DN41" i="205"/>
  <c r="DM41" i="205"/>
  <c r="DL41" i="205"/>
  <c r="DK41" i="205"/>
  <c r="DJ41" i="205"/>
  <c r="DI41" i="205"/>
  <c r="DH41" i="205"/>
  <c r="FV41" i="205" s="1"/>
  <c r="DG41" i="205"/>
  <c r="DF41" i="205"/>
  <c r="DE41" i="205"/>
  <c r="DD41" i="205"/>
  <c r="FD41" i="205" s="1"/>
  <c r="FE41" i="205" s="1"/>
  <c r="FF41" i="205" s="1"/>
  <c r="FG41" i="205" s="1"/>
  <c r="Y41" i="205" s="1"/>
  <c r="DC41" i="205"/>
  <c r="DT41" i="205" s="1"/>
  <c r="DB41" i="205"/>
  <c r="DA41" i="205"/>
  <c r="CZ41" i="205"/>
  <c r="CY41" i="205"/>
  <c r="CX41" i="205"/>
  <c r="CW41" i="205"/>
  <c r="CV41" i="205"/>
  <c r="CU41" i="205"/>
  <c r="CQ41" i="205"/>
  <c r="CP41" i="205"/>
  <c r="CK41" i="205" s="1"/>
  <c r="CO41" i="205"/>
  <c r="CN41" i="205"/>
  <c r="CM41" i="205"/>
  <c r="CL41" i="205"/>
  <c r="CE41" i="205"/>
  <c r="CD41" i="205"/>
  <c r="AY41" i="205"/>
  <c r="C41" i="205"/>
  <c r="A41" i="205"/>
  <c r="GM40" i="205"/>
  <c r="GL40" i="205"/>
  <c r="GK40" i="205"/>
  <c r="GF40" i="205"/>
  <c r="FS40" i="205"/>
  <c r="FR40" i="205"/>
  <c r="FM40" i="205"/>
  <c r="FC40" i="205"/>
  <c r="FA40" i="205"/>
  <c r="EZ40" i="205"/>
  <c r="EX40" i="205"/>
  <c r="EL40" i="205"/>
  <c r="ED40" i="205"/>
  <c r="DY40" i="205"/>
  <c r="DU40" i="205"/>
  <c r="DS40" i="205"/>
  <c r="DO40" i="205"/>
  <c r="DN40" i="205"/>
  <c r="FI40" i="205" s="1"/>
  <c r="FJ40" i="205" s="1"/>
  <c r="FK40" i="205" s="1"/>
  <c r="FL40" i="205" s="1"/>
  <c r="Z40" i="205" s="1"/>
  <c r="DM40" i="205"/>
  <c r="DL40" i="205"/>
  <c r="DK40" i="205"/>
  <c r="DJ40" i="205"/>
  <c r="DI40" i="205"/>
  <c r="DH40" i="205"/>
  <c r="FV40" i="205" s="1"/>
  <c r="DG40" i="205"/>
  <c r="DF40" i="205"/>
  <c r="EA40" i="205" s="1"/>
  <c r="DE40" i="205"/>
  <c r="FB40" i="205" s="1"/>
  <c r="DD40" i="205"/>
  <c r="FD40" i="205" s="1"/>
  <c r="FE40" i="205" s="1"/>
  <c r="FF40" i="205" s="1"/>
  <c r="FG40" i="205" s="1"/>
  <c r="Y40" i="205" s="1"/>
  <c r="DC40" i="205"/>
  <c r="DB40" i="205"/>
  <c r="DA40" i="205"/>
  <c r="EE40" i="205" s="1"/>
  <c r="CZ40" i="205"/>
  <c r="CY40" i="205"/>
  <c r="CX40" i="205"/>
  <c r="FH40" i="205" s="1"/>
  <c r="CW40" i="205"/>
  <c r="CV40" i="205"/>
  <c r="CU40" i="205"/>
  <c r="EY40" i="205" s="1"/>
  <c r="CQ40" i="205"/>
  <c r="CP40" i="205"/>
  <c r="CO40" i="205"/>
  <c r="CN40" i="205"/>
  <c r="CM40" i="205"/>
  <c r="CL40" i="205"/>
  <c r="CD40" i="205"/>
  <c r="AX40" i="205"/>
  <c r="AW40" i="205"/>
  <c r="AV40" i="205"/>
  <c r="AK40" i="205" s="1"/>
  <c r="AO40" i="205"/>
  <c r="AM40" i="205"/>
  <c r="AH40" i="205"/>
  <c r="AG40" i="205"/>
  <c r="AF40" i="205"/>
  <c r="AE40" i="205"/>
  <c r="GM39" i="205"/>
  <c r="GL39" i="205"/>
  <c r="GK39" i="205"/>
  <c r="GF39" i="205"/>
  <c r="FU39" i="205"/>
  <c r="FS39" i="205"/>
  <c r="FM39" i="205"/>
  <c r="FJ39" i="205"/>
  <c r="FK39" i="205" s="1"/>
  <c r="FL39" i="205" s="1"/>
  <c r="Z39" i="205" s="1"/>
  <c r="FG39" i="205"/>
  <c r="Y39" i="205" s="1"/>
  <c r="FF39" i="205"/>
  <c r="FE39" i="205"/>
  <c r="FD39" i="205"/>
  <c r="FC39" i="205"/>
  <c r="EZ39" i="205"/>
  <c r="EY39" i="205"/>
  <c r="EX39" i="205"/>
  <c r="EL39" i="205"/>
  <c r="EN39" i="205" s="1"/>
  <c r="ED39" i="205"/>
  <c r="EC39" i="205"/>
  <c r="DY39" i="205"/>
  <c r="DX39" i="205"/>
  <c r="DW39" i="205"/>
  <c r="FO39" i="205" s="1"/>
  <c r="DV39" i="205"/>
  <c r="DU39" i="205"/>
  <c r="DS39" i="205"/>
  <c r="DO39" i="205"/>
  <c r="DN39" i="205"/>
  <c r="FI39" i="205" s="1"/>
  <c r="DM39" i="205"/>
  <c r="DL39" i="205"/>
  <c r="DK39" i="205"/>
  <c r="DJ39" i="205"/>
  <c r="DI39" i="205"/>
  <c r="DH39" i="205"/>
  <c r="FV39" i="205" s="1"/>
  <c r="DG39" i="205"/>
  <c r="DF39" i="205"/>
  <c r="DE39" i="205"/>
  <c r="FA39" i="205" s="1"/>
  <c r="DD39" i="205"/>
  <c r="DC39" i="205"/>
  <c r="DB39" i="205"/>
  <c r="DA39" i="205"/>
  <c r="EE39" i="205" s="1"/>
  <c r="CZ39" i="205"/>
  <c r="CY39" i="205"/>
  <c r="CD39" i="205" s="1"/>
  <c r="CX39" i="205"/>
  <c r="FH39" i="205" s="1"/>
  <c r="CW39" i="205"/>
  <c r="CV39" i="205"/>
  <c r="CU39" i="205"/>
  <c r="FQ39" i="205" s="1"/>
  <c r="CQ39" i="205"/>
  <c r="CP39" i="205"/>
  <c r="CO39" i="205"/>
  <c r="CN39" i="205"/>
  <c r="CM39" i="205"/>
  <c r="CL39" i="205"/>
  <c r="CK39" i="205"/>
  <c r="AX39" i="205"/>
  <c r="AW39" i="205"/>
  <c r="AV39" i="205"/>
  <c r="AK39" i="205" s="1"/>
  <c r="AH39" i="205"/>
  <c r="AG39" i="205"/>
  <c r="AF39" i="205"/>
  <c r="AE39" i="205"/>
  <c r="GL38" i="205"/>
  <c r="GM38" i="205" s="1"/>
  <c r="GK38" i="205"/>
  <c r="GF38" i="205"/>
  <c r="FV38" i="205"/>
  <c r="FT38" i="205"/>
  <c r="FQ38" i="205"/>
  <c r="FD38" i="205"/>
  <c r="FE38" i="205" s="1"/>
  <c r="FF38" i="205" s="1"/>
  <c r="FG38" i="205" s="1"/>
  <c r="Y38" i="205" s="1"/>
  <c r="FC38" i="205"/>
  <c r="EL38" i="205" s="1"/>
  <c r="EZ38" i="205"/>
  <c r="EX38" i="205"/>
  <c r="EG38" i="205"/>
  <c r="EF38" i="205"/>
  <c r="EE38" i="205"/>
  <c r="DY38" i="205"/>
  <c r="DX38" i="205"/>
  <c r="DW38" i="205"/>
  <c r="DV38" i="205"/>
  <c r="DS38" i="205"/>
  <c r="DO38" i="205"/>
  <c r="DN38" i="205"/>
  <c r="FI38" i="205" s="1"/>
  <c r="DM38" i="205"/>
  <c r="DL38" i="205"/>
  <c r="DK38" i="205"/>
  <c r="DJ38" i="205"/>
  <c r="DI38" i="205"/>
  <c r="DH38" i="205"/>
  <c r="FM38" i="205" s="1"/>
  <c r="DG38" i="205"/>
  <c r="DF38" i="205"/>
  <c r="EC38" i="205" s="1"/>
  <c r="DE38" i="205"/>
  <c r="DD38" i="205"/>
  <c r="DC38" i="205"/>
  <c r="DB38" i="205"/>
  <c r="DA38" i="205"/>
  <c r="CZ38" i="205"/>
  <c r="CY38" i="205"/>
  <c r="CX38" i="205"/>
  <c r="CW38" i="205"/>
  <c r="CV38" i="205"/>
  <c r="DU38" i="205" s="1"/>
  <c r="CU38" i="205"/>
  <c r="EY38" i="205" s="1"/>
  <c r="CQ38" i="205"/>
  <c r="CP38" i="205"/>
  <c r="CK38" i="205" s="1"/>
  <c r="CO38" i="205"/>
  <c r="CN38" i="205"/>
  <c r="CM38" i="205"/>
  <c r="CL38" i="205"/>
  <c r="CE38" i="205"/>
  <c r="AY38" i="205"/>
  <c r="AX38" i="205"/>
  <c r="AW38" i="205"/>
  <c r="AV38" i="205"/>
  <c r="AK38" i="205"/>
  <c r="AJ38" i="205"/>
  <c r="AH38" i="205"/>
  <c r="AG38" i="205"/>
  <c r="AF38" i="205"/>
  <c r="AE38" i="205"/>
  <c r="GL37" i="205"/>
  <c r="GK37" i="205"/>
  <c r="GM37" i="205" s="1"/>
  <c r="GF37" i="205"/>
  <c r="FM37" i="205"/>
  <c r="FD37" i="205"/>
  <c r="FC37" i="205"/>
  <c r="EZ37" i="205"/>
  <c r="EE37" i="205" s="1"/>
  <c r="EX37" i="205"/>
  <c r="EN37" i="205"/>
  <c r="EM37" i="205"/>
  <c r="EQ37" i="205" s="1"/>
  <c r="EL37" i="205"/>
  <c r="DY37" i="205"/>
  <c r="DX37" i="205"/>
  <c r="DW37" i="205"/>
  <c r="DV37" i="205"/>
  <c r="DU37" i="205"/>
  <c r="DS37" i="205"/>
  <c r="DO37" i="205"/>
  <c r="DN37" i="205"/>
  <c r="FI37" i="205" s="1"/>
  <c r="DM37" i="205"/>
  <c r="DL37" i="205"/>
  <c r="DK37" i="205"/>
  <c r="DJ37" i="205"/>
  <c r="DI37" i="205"/>
  <c r="DH37" i="205"/>
  <c r="FV37" i="205" s="1"/>
  <c r="DG37" i="205"/>
  <c r="DF37" i="205"/>
  <c r="DE37" i="205"/>
  <c r="DD37" i="205"/>
  <c r="DC37" i="205"/>
  <c r="DB37" i="205"/>
  <c r="DA37" i="205"/>
  <c r="CZ37" i="205"/>
  <c r="CY37" i="205"/>
  <c r="CX37" i="205"/>
  <c r="CW37" i="205"/>
  <c r="CV37" i="205"/>
  <c r="CU37" i="205"/>
  <c r="CQ37" i="205"/>
  <c r="CP37" i="205"/>
  <c r="CK37" i="205" s="1"/>
  <c r="CO37" i="205"/>
  <c r="CN37" i="205"/>
  <c r="CM37" i="205"/>
  <c r="CL37" i="205"/>
  <c r="CE37" i="205"/>
  <c r="AY37" i="205"/>
  <c r="AX37" i="205"/>
  <c r="AW37" i="205"/>
  <c r="AV37" i="205"/>
  <c r="AK37" i="205" s="1"/>
  <c r="AO37" i="205"/>
  <c r="AN37" i="205"/>
  <c r="AM37" i="205"/>
  <c r="AH37" i="205"/>
  <c r="AG37" i="205"/>
  <c r="AF37" i="205"/>
  <c r="AE37" i="205"/>
  <c r="GL36" i="205"/>
  <c r="GM36" i="205" s="1"/>
  <c r="GK36" i="205"/>
  <c r="GF36" i="205"/>
  <c r="FU36" i="205"/>
  <c r="FT36" i="205"/>
  <c r="FI36" i="205"/>
  <c r="FC36" i="205"/>
  <c r="FA36" i="205"/>
  <c r="EZ36" i="205"/>
  <c r="EY36" i="205"/>
  <c r="EX36" i="205"/>
  <c r="ER36" i="205"/>
  <c r="CI36" i="205" s="1"/>
  <c r="W36" i="205" s="1"/>
  <c r="EN36" i="205"/>
  <c r="EM36" i="205"/>
  <c r="EQ36" i="205" s="1"/>
  <c r="EL36" i="205"/>
  <c r="EB36" i="205"/>
  <c r="DY36" i="205"/>
  <c r="DS36" i="205"/>
  <c r="DO36" i="205"/>
  <c r="FJ36" i="205" s="1"/>
  <c r="FK36" i="205" s="1"/>
  <c r="FL36" i="205" s="1"/>
  <c r="Z36" i="205" s="1"/>
  <c r="DN36" i="205"/>
  <c r="DM36" i="205"/>
  <c r="DL36" i="205"/>
  <c r="DK36" i="205"/>
  <c r="DJ36" i="205"/>
  <c r="DI36" i="205"/>
  <c r="DH36" i="205"/>
  <c r="FM36" i="205" s="1"/>
  <c r="DG36" i="205"/>
  <c r="DF36" i="205"/>
  <c r="ED36" i="205" s="1"/>
  <c r="DE36" i="205"/>
  <c r="FR36" i="205" s="1"/>
  <c r="DD36" i="205"/>
  <c r="FD36" i="205" s="1"/>
  <c r="FE36" i="205" s="1"/>
  <c r="FF36" i="205" s="1"/>
  <c r="FG36" i="205" s="1"/>
  <c r="Y36" i="205" s="1"/>
  <c r="DC36" i="205"/>
  <c r="DB36" i="205"/>
  <c r="DA36" i="205"/>
  <c r="EE36" i="205" s="1"/>
  <c r="CZ36" i="205"/>
  <c r="CY36" i="205"/>
  <c r="CX36" i="205"/>
  <c r="FH36" i="205" s="1"/>
  <c r="CW36" i="205"/>
  <c r="CV36" i="205"/>
  <c r="CU36" i="205"/>
  <c r="CQ36" i="205"/>
  <c r="CP36" i="205"/>
  <c r="CK36" i="205" s="1"/>
  <c r="CO36" i="205"/>
  <c r="CN36" i="205"/>
  <c r="CM36" i="205"/>
  <c r="CL36" i="205"/>
  <c r="AX36" i="205"/>
  <c r="AW36" i="205"/>
  <c r="AV36" i="205"/>
  <c r="AK36" i="205" s="1"/>
  <c r="AH36" i="205"/>
  <c r="AG36" i="205"/>
  <c r="AF36" i="205"/>
  <c r="AE36" i="205"/>
  <c r="V36" i="205"/>
  <c r="AT36" i="205" s="1"/>
  <c r="GL35" i="205"/>
  <c r="GK35" i="205"/>
  <c r="GM35" i="205" s="1"/>
  <c r="GF35" i="205"/>
  <c r="FS35" i="205"/>
  <c r="FM35" i="205"/>
  <c r="FC35" i="205"/>
  <c r="EZ35" i="205"/>
  <c r="EE35" i="205" s="1"/>
  <c r="EL35" i="205"/>
  <c r="DY35" i="205"/>
  <c r="DS35" i="205"/>
  <c r="DO35" i="205"/>
  <c r="DN35" i="205"/>
  <c r="FI35" i="205" s="1"/>
  <c r="FJ35" i="205" s="1"/>
  <c r="FK35" i="205" s="1"/>
  <c r="FL35" i="205" s="1"/>
  <c r="Z35" i="205" s="1"/>
  <c r="DM35" i="205"/>
  <c r="DL35" i="205"/>
  <c r="DK35" i="205"/>
  <c r="DJ35" i="205"/>
  <c r="DI35" i="205"/>
  <c r="FT35" i="205" s="1"/>
  <c r="DH35" i="205"/>
  <c r="FV35" i="205" s="1"/>
  <c r="DG35" i="205"/>
  <c r="DF35" i="205"/>
  <c r="DE35" i="205"/>
  <c r="DD35" i="205"/>
  <c r="FD35" i="205" s="1"/>
  <c r="FE35" i="205" s="1"/>
  <c r="FF35" i="205" s="1"/>
  <c r="FG35" i="205" s="1"/>
  <c r="DC35" i="205"/>
  <c r="DB35" i="205"/>
  <c r="DA35" i="205"/>
  <c r="CZ35" i="205"/>
  <c r="CY35" i="205"/>
  <c r="CX35" i="205"/>
  <c r="CW35" i="205"/>
  <c r="CV35" i="205"/>
  <c r="CU35" i="205"/>
  <c r="CQ35" i="205"/>
  <c r="CK35" i="205" s="1"/>
  <c r="CP35" i="205"/>
  <c r="CO35" i="205"/>
  <c r="CN35" i="205"/>
  <c r="CM35" i="205"/>
  <c r="CL35" i="205"/>
  <c r="CE35" i="205"/>
  <c r="CD35" i="205"/>
  <c r="AX35" i="205"/>
  <c r="AW35" i="205"/>
  <c r="AV35" i="205"/>
  <c r="AL35" i="205"/>
  <c r="AK35" i="205"/>
  <c r="AJ35" i="205"/>
  <c r="AH35" i="205"/>
  <c r="AG35" i="205"/>
  <c r="AF35" i="205"/>
  <c r="AE35" i="205"/>
  <c r="Y35" i="205"/>
  <c r="GL34" i="205"/>
  <c r="GM34" i="205" s="1"/>
  <c r="GK34" i="205"/>
  <c r="GF34" i="205"/>
  <c r="FU34" i="205"/>
  <c r="FN34" i="205"/>
  <c r="FM34" i="205"/>
  <c r="FI34" i="205"/>
  <c r="FC34" i="205"/>
  <c r="FA34" i="205"/>
  <c r="EZ34" i="205"/>
  <c r="EY34" i="205"/>
  <c r="EX34" i="205"/>
  <c r="EN34" i="205"/>
  <c r="ER34" i="205" s="1"/>
  <c r="EM34" i="205"/>
  <c r="EQ34" i="205" s="1"/>
  <c r="CI34" i="205" s="1"/>
  <c r="EL34" i="205"/>
  <c r="EE34" i="205"/>
  <c r="EB34" i="205"/>
  <c r="DY34" i="205"/>
  <c r="DS34" i="205"/>
  <c r="DP34" i="205"/>
  <c r="DO34" i="205"/>
  <c r="DN34" i="205"/>
  <c r="DM34" i="205"/>
  <c r="DL34" i="205"/>
  <c r="DK34" i="205"/>
  <c r="DJ34" i="205"/>
  <c r="DI34" i="205"/>
  <c r="DH34" i="205"/>
  <c r="FV34" i="205" s="1"/>
  <c r="DG34" i="205"/>
  <c r="DF34" i="205"/>
  <c r="ED34" i="205" s="1"/>
  <c r="DE34" i="205"/>
  <c r="FR34" i="205" s="1"/>
  <c r="DD34" i="205"/>
  <c r="FD34" i="205" s="1"/>
  <c r="FE34" i="205" s="1"/>
  <c r="FF34" i="205" s="1"/>
  <c r="FG34" i="205" s="1"/>
  <c r="Y34" i="205" s="1"/>
  <c r="DC34" i="205"/>
  <c r="DB34" i="205"/>
  <c r="DA34" i="205"/>
  <c r="CZ34" i="205"/>
  <c r="CY34" i="205"/>
  <c r="CX34" i="205"/>
  <c r="FH34" i="205" s="1"/>
  <c r="CW34" i="205"/>
  <c r="CV34" i="205"/>
  <c r="CU34" i="205"/>
  <c r="CQ34" i="205"/>
  <c r="CP34" i="205"/>
  <c r="CO34" i="205"/>
  <c r="CN34" i="205"/>
  <c r="CM34" i="205"/>
  <c r="CL34" i="205"/>
  <c r="CK34" i="205"/>
  <c r="AX34" i="205"/>
  <c r="AW34" i="205"/>
  <c r="AV34" i="205"/>
  <c r="AK34" i="205" s="1"/>
  <c r="AH34" i="205"/>
  <c r="AG34" i="205"/>
  <c r="AF34" i="205"/>
  <c r="AE34" i="205"/>
  <c r="GL33" i="205"/>
  <c r="GK33" i="205"/>
  <c r="GM33" i="205" s="1"/>
  <c r="GF33" i="205"/>
  <c r="FU33" i="205"/>
  <c r="FN33" i="205"/>
  <c r="FM33" i="205"/>
  <c r="FH33" i="205"/>
  <c r="FD33" i="205"/>
  <c r="FC33" i="205"/>
  <c r="EL33" i="205" s="1"/>
  <c r="EZ33" i="205"/>
  <c r="EE33" i="205" s="1"/>
  <c r="EN33" i="205"/>
  <c r="EM33" i="205"/>
  <c r="ED33" i="205"/>
  <c r="EA33" i="205"/>
  <c r="DY33" i="205"/>
  <c r="DX33" i="205"/>
  <c r="DW33" i="205"/>
  <c r="DV33" i="205"/>
  <c r="DU33" i="205"/>
  <c r="DS33" i="205"/>
  <c r="DP33" i="205"/>
  <c r="DO33" i="205"/>
  <c r="DN33" i="205"/>
  <c r="FI33" i="205" s="1"/>
  <c r="DM33" i="205"/>
  <c r="DL33" i="205"/>
  <c r="DK33" i="205"/>
  <c r="DJ33" i="205"/>
  <c r="DI33" i="205"/>
  <c r="DH33" i="205"/>
  <c r="FV33" i="205" s="1"/>
  <c r="DG33" i="205"/>
  <c r="DF33" i="205"/>
  <c r="DE33" i="205"/>
  <c r="FR33" i="205" s="1"/>
  <c r="DD33" i="205"/>
  <c r="DC33" i="205"/>
  <c r="DB33" i="205"/>
  <c r="DA33" i="205"/>
  <c r="CZ33" i="205"/>
  <c r="CY33" i="205"/>
  <c r="CX33" i="205"/>
  <c r="CW33" i="205"/>
  <c r="CV33" i="205"/>
  <c r="CU33" i="205"/>
  <c r="CQ33" i="205"/>
  <c r="CP33" i="205"/>
  <c r="CO33" i="205"/>
  <c r="CN33" i="205"/>
  <c r="CM33" i="205"/>
  <c r="CL33" i="205"/>
  <c r="CE33" i="205"/>
  <c r="AY33" i="205"/>
  <c r="AX33" i="205"/>
  <c r="AW33" i="205"/>
  <c r="AV33" i="205"/>
  <c r="AK33" i="205" s="1"/>
  <c r="AO33" i="205"/>
  <c r="AN33" i="205"/>
  <c r="AH33" i="205"/>
  <c r="AG33" i="205"/>
  <c r="AF33" i="205"/>
  <c r="AE33" i="205"/>
  <c r="GM32" i="205"/>
  <c r="GL32" i="205"/>
  <c r="GK32" i="205"/>
  <c r="GF32" i="205"/>
  <c r="FT32" i="205"/>
  <c r="FR32" i="205"/>
  <c r="FO32" i="205"/>
  <c r="FD32" i="205"/>
  <c r="FC32" i="205"/>
  <c r="EL32" i="205" s="1"/>
  <c r="FB32" i="205"/>
  <c r="EZ32" i="205"/>
  <c r="EY32" i="205"/>
  <c r="EE32" i="205"/>
  <c r="EG32" i="205" s="1"/>
  <c r="ED32" i="205"/>
  <c r="EC32" i="205"/>
  <c r="DZ32" i="205"/>
  <c r="DY32" i="205"/>
  <c r="DX32" i="205"/>
  <c r="DW32" i="205"/>
  <c r="DV32" i="205"/>
  <c r="DU32" i="205"/>
  <c r="DS32" i="205"/>
  <c r="DP32" i="205"/>
  <c r="DO32" i="205"/>
  <c r="DN32" i="205"/>
  <c r="FI32" i="205" s="1"/>
  <c r="DM32" i="205"/>
  <c r="DL32" i="205"/>
  <c r="DK32" i="205"/>
  <c r="DJ32" i="205"/>
  <c r="DI32" i="205"/>
  <c r="DH32" i="205"/>
  <c r="DG32" i="205"/>
  <c r="DF32" i="205"/>
  <c r="DE32" i="205"/>
  <c r="FA32" i="205" s="1"/>
  <c r="DD32" i="205"/>
  <c r="DC32" i="205"/>
  <c r="DB32" i="205"/>
  <c r="DA32" i="205"/>
  <c r="CZ32" i="205"/>
  <c r="CY32" i="205"/>
  <c r="CX32" i="205"/>
  <c r="FH32" i="205" s="1"/>
  <c r="CW32" i="205"/>
  <c r="CV32" i="205"/>
  <c r="FQ32" i="205" s="1"/>
  <c r="CU32" i="205"/>
  <c r="EX32" i="205" s="1"/>
  <c r="CQ32" i="205"/>
  <c r="CP32" i="205"/>
  <c r="CK32" i="205" s="1"/>
  <c r="CO32" i="205"/>
  <c r="CN32" i="205"/>
  <c r="CM32" i="205"/>
  <c r="CL32" i="205"/>
  <c r="CE32" i="205"/>
  <c r="AX32" i="205"/>
  <c r="AW32" i="205"/>
  <c r="AV32" i="205"/>
  <c r="AS32" i="205"/>
  <c r="AN32" i="205"/>
  <c r="AK32" i="205"/>
  <c r="AH32" i="205"/>
  <c r="AG32" i="205"/>
  <c r="AF32" i="205"/>
  <c r="AE32" i="205"/>
  <c r="GL31" i="205"/>
  <c r="GK31" i="205"/>
  <c r="GM31" i="205" s="1"/>
  <c r="GF31" i="205"/>
  <c r="FV31" i="205"/>
  <c r="FS31" i="205"/>
  <c r="FQ31" i="205"/>
  <c r="FP31" i="205"/>
  <c r="FI31" i="205"/>
  <c r="FJ31" i="205" s="1"/>
  <c r="FK31" i="205" s="1"/>
  <c r="FL31" i="205" s="1"/>
  <c r="FH31" i="205"/>
  <c r="FF31" i="205"/>
  <c r="FG31" i="205" s="1"/>
  <c r="Y31" i="205" s="1"/>
  <c r="FC31" i="205"/>
  <c r="EL31" i="205" s="1"/>
  <c r="FA31" i="205"/>
  <c r="EZ31" i="205"/>
  <c r="ED31" i="205"/>
  <c r="EB31" i="205"/>
  <c r="EA31" i="205"/>
  <c r="DY31" i="205"/>
  <c r="DS31" i="205"/>
  <c r="DO31" i="205"/>
  <c r="DN31" i="205"/>
  <c r="DM31" i="205"/>
  <c r="DL31" i="205"/>
  <c r="DK31" i="205"/>
  <c r="DJ31" i="205"/>
  <c r="DI31" i="205"/>
  <c r="CE31" i="205" s="1"/>
  <c r="DH31" i="205"/>
  <c r="FM31" i="205" s="1"/>
  <c r="DG31" i="205"/>
  <c r="DF31" i="205"/>
  <c r="EC31" i="205" s="1"/>
  <c r="DE31" i="205"/>
  <c r="FR31" i="205" s="1"/>
  <c r="DD31" i="205"/>
  <c r="FD31" i="205" s="1"/>
  <c r="FE31" i="205" s="1"/>
  <c r="DC31" i="205"/>
  <c r="DT31" i="205" s="1"/>
  <c r="DB31" i="205"/>
  <c r="DA31" i="205"/>
  <c r="CZ31" i="205"/>
  <c r="CY31" i="205"/>
  <c r="CX31" i="205"/>
  <c r="FU31" i="205" s="1"/>
  <c r="CW31" i="205"/>
  <c r="CV31" i="205"/>
  <c r="CU31" i="205"/>
  <c r="EY31" i="205" s="1"/>
  <c r="CQ31" i="205"/>
  <c r="CP31" i="205"/>
  <c r="CO31" i="205"/>
  <c r="CN31" i="205"/>
  <c r="CM31" i="205"/>
  <c r="CL31" i="205"/>
  <c r="CK31" i="205"/>
  <c r="CD31" i="205"/>
  <c r="AX31" i="205"/>
  <c r="AW31" i="205"/>
  <c r="AV31" i="205"/>
  <c r="AK31" i="205" s="1"/>
  <c r="AH31" i="205"/>
  <c r="AG31" i="205"/>
  <c r="AF31" i="205"/>
  <c r="AE31" i="205"/>
  <c r="GL30" i="205"/>
  <c r="GM30" i="205" s="1"/>
  <c r="GK30" i="205"/>
  <c r="GF30" i="205"/>
  <c r="FV30" i="205"/>
  <c r="FT30" i="205"/>
  <c r="FS30" i="205"/>
  <c r="FJ30" i="205"/>
  <c r="FK30" i="205" s="1"/>
  <c r="FL30" i="205" s="1"/>
  <c r="Z30" i="205" s="1"/>
  <c r="FI30" i="205"/>
  <c r="FD30" i="205"/>
  <c r="FC30" i="205"/>
  <c r="EZ30" i="205"/>
  <c r="EX30" i="205"/>
  <c r="EL30" i="205"/>
  <c r="EN30" i="205" s="1"/>
  <c r="EJ30" i="205"/>
  <c r="EE30" i="205"/>
  <c r="EF30" i="205" s="1"/>
  <c r="DY30" i="205"/>
  <c r="DU30" i="205"/>
  <c r="DS30" i="205"/>
  <c r="DO30" i="205"/>
  <c r="DN30" i="205"/>
  <c r="DM30" i="205"/>
  <c r="DL30" i="205"/>
  <c r="DK30" i="205"/>
  <c r="DJ30" i="205"/>
  <c r="DI30" i="205"/>
  <c r="DH30" i="205"/>
  <c r="FM30" i="205" s="1"/>
  <c r="DG30" i="205"/>
  <c r="DF30" i="205"/>
  <c r="EA30" i="205" s="1"/>
  <c r="DE30" i="205"/>
  <c r="DD30" i="205"/>
  <c r="DC30" i="205"/>
  <c r="DB30" i="205"/>
  <c r="DA30" i="205"/>
  <c r="CZ30" i="205"/>
  <c r="CY30" i="205"/>
  <c r="CD30" i="205" s="1"/>
  <c r="CX30" i="205"/>
  <c r="CW30" i="205"/>
  <c r="CV30" i="205"/>
  <c r="DV30" i="205" s="1"/>
  <c r="CU30" i="205"/>
  <c r="EY30" i="205" s="1"/>
  <c r="CQ30" i="205"/>
  <c r="CP30" i="205"/>
  <c r="CK30" i="205" s="1"/>
  <c r="CO30" i="205"/>
  <c r="CN30" i="205"/>
  <c r="CM30" i="205"/>
  <c r="CL30" i="205"/>
  <c r="CE30" i="205"/>
  <c r="AX30" i="205"/>
  <c r="AW30" i="205"/>
  <c r="AV30" i="205"/>
  <c r="AK30" i="205"/>
  <c r="AH30" i="205"/>
  <c r="AG30" i="205"/>
  <c r="AF30" i="205"/>
  <c r="AE30" i="205"/>
  <c r="GM29" i="205"/>
  <c r="GL29" i="205"/>
  <c r="GK29" i="205"/>
  <c r="GF29" i="205"/>
  <c r="FU29" i="205"/>
  <c r="FO29" i="205"/>
  <c r="FN29" i="205"/>
  <c r="FM29" i="205"/>
  <c r="FJ29" i="205"/>
  <c r="FK29" i="205" s="1"/>
  <c r="FL29" i="205" s="1"/>
  <c r="Z29" i="205" s="1"/>
  <c r="FI29" i="205"/>
  <c r="FH29" i="205"/>
  <c r="FE29" i="205"/>
  <c r="FF29" i="205" s="1"/>
  <c r="FG29" i="205" s="1"/>
  <c r="Y29" i="205" s="1"/>
  <c r="FD29" i="205"/>
  <c r="FC29" i="205"/>
  <c r="FB29" i="205"/>
  <c r="EZ29" i="205"/>
  <c r="EC29" i="205"/>
  <c r="EB29" i="205"/>
  <c r="EA29" i="205"/>
  <c r="DY29" i="205"/>
  <c r="DX29" i="205"/>
  <c r="DW29" i="205"/>
  <c r="DU29" i="205"/>
  <c r="DS29" i="205"/>
  <c r="DP29" i="205"/>
  <c r="DO29" i="205"/>
  <c r="DN29" i="205"/>
  <c r="DM29" i="205"/>
  <c r="DL29" i="205"/>
  <c r="DK29" i="205"/>
  <c r="EL29" i="205" s="1"/>
  <c r="DJ29" i="205"/>
  <c r="DI29" i="205"/>
  <c r="DH29" i="205"/>
  <c r="FV29" i="205" s="1"/>
  <c r="DG29" i="205"/>
  <c r="DF29" i="205"/>
  <c r="ED29" i="205" s="1"/>
  <c r="DE29" i="205"/>
  <c r="DD29" i="205"/>
  <c r="DC29" i="205"/>
  <c r="DB29" i="205"/>
  <c r="DA29" i="205"/>
  <c r="CZ29" i="205"/>
  <c r="CY29" i="205"/>
  <c r="FS29" i="205" s="1"/>
  <c r="CX29" i="205"/>
  <c r="CW29" i="205"/>
  <c r="CV29" i="205"/>
  <c r="DV29" i="205" s="1"/>
  <c r="CU29" i="205"/>
  <c r="CQ29" i="205"/>
  <c r="CP29" i="205"/>
  <c r="CO29" i="205"/>
  <c r="CN29" i="205"/>
  <c r="CM29" i="205"/>
  <c r="CL29" i="205"/>
  <c r="CK29" i="205"/>
  <c r="CD29" i="205"/>
  <c r="AX29" i="205"/>
  <c r="AW29" i="205"/>
  <c r="AV29" i="205"/>
  <c r="AK29" i="205" s="1"/>
  <c r="AS29" i="205"/>
  <c r="AH29" i="205"/>
  <c r="AG29" i="205"/>
  <c r="AF29" i="205"/>
  <c r="AE29" i="205"/>
  <c r="GL28" i="205"/>
  <c r="GM28" i="205" s="1"/>
  <c r="GK28" i="205"/>
  <c r="GF28" i="205"/>
  <c r="FV28" i="205"/>
  <c r="FT28" i="205"/>
  <c r="FS28" i="205"/>
  <c r="FK28" i="205"/>
  <c r="FL28" i="205" s="1"/>
  <c r="Z28" i="205" s="1"/>
  <c r="FJ28" i="205"/>
  <c r="FI28" i="205"/>
  <c r="FC28" i="205"/>
  <c r="EZ28" i="205"/>
  <c r="EX28" i="205"/>
  <c r="EL28" i="205"/>
  <c r="EG28" i="205"/>
  <c r="DY28" i="205"/>
  <c r="DS28" i="205"/>
  <c r="DO28" i="205"/>
  <c r="DN28" i="205"/>
  <c r="DM28" i="205"/>
  <c r="DL28" i="205"/>
  <c r="DK28" i="205"/>
  <c r="DJ28" i="205"/>
  <c r="DI28" i="205"/>
  <c r="DH28" i="205"/>
  <c r="FM28" i="205" s="1"/>
  <c r="DG28" i="205"/>
  <c r="DF28" i="205"/>
  <c r="DE28" i="205"/>
  <c r="DD28" i="205"/>
  <c r="FD28" i="205" s="1"/>
  <c r="DC28" i="205"/>
  <c r="DB28" i="205"/>
  <c r="DA28" i="205"/>
  <c r="EE28" i="205" s="1"/>
  <c r="EF28" i="205" s="1"/>
  <c r="CZ28" i="205"/>
  <c r="CY28" i="205"/>
  <c r="CX28" i="205"/>
  <c r="CW28" i="205"/>
  <c r="CV28" i="205"/>
  <c r="CU28" i="205"/>
  <c r="CQ28" i="205"/>
  <c r="CP28" i="205"/>
  <c r="CK28" i="205" s="1"/>
  <c r="CO28" i="205"/>
  <c r="CN28" i="205"/>
  <c r="CM28" i="205"/>
  <c r="CL28" i="205"/>
  <c r="CE28" i="205"/>
  <c r="AZ28" i="205"/>
  <c r="AY28" i="205"/>
  <c r="AX28" i="205"/>
  <c r="AW28" i="205"/>
  <c r="AV28" i="205"/>
  <c r="AQ28" i="205"/>
  <c r="AO28" i="205"/>
  <c r="AM28" i="205"/>
  <c r="AL28" i="205"/>
  <c r="AK28" i="205"/>
  <c r="AN28" i="205" s="1"/>
  <c r="AJ28" i="205"/>
  <c r="AH28" i="205"/>
  <c r="AG28" i="205"/>
  <c r="AF28" i="205"/>
  <c r="AE28" i="205"/>
  <c r="GL27" i="205"/>
  <c r="GK27" i="205"/>
  <c r="GM27" i="205" s="1"/>
  <c r="GF27" i="205"/>
  <c r="FV27" i="205"/>
  <c r="FU27" i="205"/>
  <c r="FT27" i="205"/>
  <c r="FM27" i="205"/>
  <c r="FJ27" i="205"/>
  <c r="FK27" i="205" s="1"/>
  <c r="FL27" i="205" s="1"/>
  <c r="Z27" i="205" s="1"/>
  <c r="FI27" i="205"/>
  <c r="FH27" i="205"/>
  <c r="FD27" i="205"/>
  <c r="FC27" i="205"/>
  <c r="EZ27" i="205"/>
  <c r="EG27" i="205"/>
  <c r="EF27" i="205"/>
  <c r="EJ27" i="205" s="1"/>
  <c r="EE27" i="205"/>
  <c r="EC27" i="205"/>
  <c r="EB27" i="205"/>
  <c r="EA27" i="205"/>
  <c r="DY27" i="205"/>
  <c r="DX27" i="205"/>
  <c r="DW27" i="205"/>
  <c r="DU27" i="205"/>
  <c r="DS27" i="205"/>
  <c r="DP27" i="205"/>
  <c r="DO27" i="205"/>
  <c r="DN27" i="205"/>
  <c r="DM27" i="205"/>
  <c r="DL27" i="205"/>
  <c r="DK27" i="205"/>
  <c r="EL27" i="205" s="1"/>
  <c r="EN27" i="205" s="1"/>
  <c r="DJ27" i="205"/>
  <c r="DI27" i="205"/>
  <c r="DH27" i="205"/>
  <c r="DG27" i="205"/>
  <c r="DF27" i="205"/>
  <c r="ED27" i="205" s="1"/>
  <c r="DE27" i="205"/>
  <c r="DD27" i="205"/>
  <c r="DC27" i="205"/>
  <c r="FO27" i="205" s="1"/>
  <c r="DB27" i="205"/>
  <c r="DA27" i="205"/>
  <c r="CZ27" i="205"/>
  <c r="CY27" i="205"/>
  <c r="CX27" i="205"/>
  <c r="CW27" i="205"/>
  <c r="CV27" i="205"/>
  <c r="DV27" i="205" s="1"/>
  <c r="CU27" i="205"/>
  <c r="FQ27" i="205" s="1"/>
  <c r="CQ27" i="205"/>
  <c r="CP27" i="205"/>
  <c r="CK27" i="205" s="1"/>
  <c r="CO27" i="205"/>
  <c r="CN27" i="205"/>
  <c r="CM27" i="205"/>
  <c r="CL27" i="205"/>
  <c r="CD27" i="205"/>
  <c r="AY27" i="205"/>
  <c r="AX27" i="205"/>
  <c r="AW27" i="205"/>
  <c r="AV27" i="205"/>
  <c r="AO27" i="205"/>
  <c r="AN27" i="205"/>
  <c r="AM27" i="205"/>
  <c r="AK27" i="205"/>
  <c r="AH27" i="205"/>
  <c r="AG27" i="205"/>
  <c r="AF27" i="205"/>
  <c r="AE27" i="205"/>
  <c r="GM26" i="205"/>
  <c r="GL26" i="205"/>
  <c r="GK26" i="205"/>
  <c r="GF26" i="205"/>
  <c r="FV26" i="205"/>
  <c r="FR26" i="205"/>
  <c r="FQ26" i="205"/>
  <c r="FI26" i="205"/>
  <c r="FH26" i="205"/>
  <c r="FD26" i="205"/>
  <c r="FC26" i="205"/>
  <c r="FB26" i="205"/>
  <c r="FA26" i="205"/>
  <c r="EZ26" i="205"/>
  <c r="EX26" i="205"/>
  <c r="EM26" i="205"/>
  <c r="EQ26" i="205" s="1"/>
  <c r="EL26" i="205"/>
  <c r="EN26" i="205" s="1"/>
  <c r="ED26" i="205"/>
  <c r="EC26" i="205"/>
  <c r="EB26" i="205"/>
  <c r="EA26" i="205"/>
  <c r="DY26" i="205"/>
  <c r="DW26" i="205"/>
  <c r="DU26" i="205"/>
  <c r="DS26" i="205"/>
  <c r="DO26" i="205"/>
  <c r="DN26" i="205"/>
  <c r="DM26" i="205"/>
  <c r="DL26" i="205"/>
  <c r="DK26" i="205"/>
  <c r="DJ26" i="205"/>
  <c r="DI26" i="205"/>
  <c r="DH26" i="205"/>
  <c r="FM26" i="205" s="1"/>
  <c r="DG26" i="205"/>
  <c r="DF26" i="205"/>
  <c r="DE26" i="205"/>
  <c r="DD26" i="205"/>
  <c r="DC26" i="205"/>
  <c r="DB26" i="205"/>
  <c r="DA26" i="205"/>
  <c r="CZ26" i="205"/>
  <c r="CY26" i="205"/>
  <c r="CX26" i="205"/>
  <c r="FU26" i="205" s="1"/>
  <c r="CW26" i="205"/>
  <c r="CV26" i="205"/>
  <c r="CU26" i="205"/>
  <c r="EY26" i="205" s="1"/>
  <c r="CQ26" i="205"/>
  <c r="CP26" i="205"/>
  <c r="CK26" i="205" s="1"/>
  <c r="CO26" i="205"/>
  <c r="CN26" i="205"/>
  <c r="CM26" i="205"/>
  <c r="CL26" i="205"/>
  <c r="AX26" i="205"/>
  <c r="AW26" i="205"/>
  <c r="AV26" i="205"/>
  <c r="AS26" i="205"/>
  <c r="AK26" i="205"/>
  <c r="AJ26" i="205" s="1"/>
  <c r="AH26" i="205"/>
  <c r="AG26" i="205"/>
  <c r="AF26" i="205"/>
  <c r="AE26" i="205"/>
  <c r="GM25" i="205"/>
  <c r="GL25" i="205"/>
  <c r="GK25" i="205"/>
  <c r="GF25" i="205"/>
  <c r="FU25" i="205"/>
  <c r="FR25" i="205"/>
  <c r="FP25" i="205"/>
  <c r="FO25" i="205"/>
  <c r="FN25" i="205"/>
  <c r="FI25" i="205"/>
  <c r="FH25" i="205"/>
  <c r="FG25" i="205"/>
  <c r="Y25" i="205" s="1"/>
  <c r="FE25" i="205"/>
  <c r="FF25" i="205" s="1"/>
  <c r="FD25" i="205"/>
  <c r="FC25" i="205"/>
  <c r="EZ25" i="205"/>
  <c r="EN25" i="205"/>
  <c r="EM25" i="205"/>
  <c r="EC25" i="205"/>
  <c r="EB25" i="205"/>
  <c r="EA25" i="205"/>
  <c r="DY25" i="205"/>
  <c r="DX25" i="205"/>
  <c r="DW25" i="205"/>
  <c r="DU25" i="205"/>
  <c r="DS25" i="205"/>
  <c r="DP25" i="205"/>
  <c r="DO25" i="205"/>
  <c r="FJ25" i="205" s="1"/>
  <c r="FK25" i="205" s="1"/>
  <c r="FL25" i="205" s="1"/>
  <c r="Z25" i="205" s="1"/>
  <c r="DN25" i="205"/>
  <c r="DM25" i="205"/>
  <c r="DL25" i="205"/>
  <c r="DK25" i="205"/>
  <c r="EL25" i="205" s="1"/>
  <c r="DJ25" i="205"/>
  <c r="DI25" i="205"/>
  <c r="DH25" i="205"/>
  <c r="DG25" i="205"/>
  <c r="DF25" i="205"/>
  <c r="ED25" i="205" s="1"/>
  <c r="DE25" i="205"/>
  <c r="FA25" i="205" s="1"/>
  <c r="DD25" i="205"/>
  <c r="DC25" i="205"/>
  <c r="DB25" i="205"/>
  <c r="DA25" i="205"/>
  <c r="EE25" i="205" s="1"/>
  <c r="CZ25" i="205"/>
  <c r="CY25" i="205"/>
  <c r="FS25" i="205" s="1"/>
  <c r="CX25" i="205"/>
  <c r="CW25" i="205"/>
  <c r="CV25" i="205"/>
  <c r="DV25" i="205" s="1"/>
  <c r="CU25" i="205"/>
  <c r="FQ25" i="205" s="1"/>
  <c r="CQ25" i="205"/>
  <c r="CK25" i="205" s="1"/>
  <c r="CP25" i="205"/>
  <c r="CO25" i="205"/>
  <c r="CN25" i="205"/>
  <c r="CM25" i="205"/>
  <c r="CL25" i="205"/>
  <c r="AX25" i="205"/>
  <c r="AW25" i="205"/>
  <c r="AV25" i="205"/>
  <c r="AK25" i="205"/>
  <c r="AH25" i="205"/>
  <c r="AG25" i="205"/>
  <c r="AF25" i="205"/>
  <c r="AE25" i="205"/>
  <c r="K25" i="205"/>
  <c r="J25" i="205"/>
  <c r="I25" i="205"/>
  <c r="GL24" i="205"/>
  <c r="GK24" i="205"/>
  <c r="GM24" i="205" s="1"/>
  <c r="GF24" i="205"/>
  <c r="FV24" i="205"/>
  <c r="FU24" i="205"/>
  <c r="FT24" i="205"/>
  <c r="FS24" i="205"/>
  <c r="FM24" i="205"/>
  <c r="FI24" i="205"/>
  <c r="FC24" i="205"/>
  <c r="FA24" i="205"/>
  <c r="EZ24" i="205"/>
  <c r="EY24" i="205"/>
  <c r="EX24" i="205"/>
  <c r="EN24" i="205"/>
  <c r="ER24" i="205" s="1"/>
  <c r="EM24" i="205"/>
  <c r="EQ24" i="205" s="1"/>
  <c r="EL24" i="205"/>
  <c r="EF24" i="205"/>
  <c r="EE24" i="205"/>
  <c r="EG24" i="205" s="1"/>
  <c r="ED24" i="205"/>
  <c r="EB24" i="205"/>
  <c r="DY24" i="205"/>
  <c r="DS24" i="205"/>
  <c r="DO24" i="205"/>
  <c r="DN24" i="205"/>
  <c r="DM24" i="205"/>
  <c r="DL24" i="205"/>
  <c r="DK24" i="205"/>
  <c r="DJ24" i="205"/>
  <c r="DI24" i="205"/>
  <c r="DH24" i="205"/>
  <c r="DG24" i="205"/>
  <c r="DF24" i="205"/>
  <c r="DE24" i="205"/>
  <c r="FR24" i="205" s="1"/>
  <c r="DD24" i="205"/>
  <c r="FD24" i="205" s="1"/>
  <c r="DC24" i="205"/>
  <c r="DB24" i="205"/>
  <c r="DA24" i="205"/>
  <c r="CZ24" i="205"/>
  <c r="CY24" i="205"/>
  <c r="CX24" i="205"/>
  <c r="FH24" i="205" s="1"/>
  <c r="CW24" i="205"/>
  <c r="CV24" i="205"/>
  <c r="CU24" i="205"/>
  <c r="CQ24" i="205"/>
  <c r="CP24" i="205"/>
  <c r="CO24" i="205"/>
  <c r="CN24" i="205"/>
  <c r="CM24" i="205"/>
  <c r="CL24" i="205"/>
  <c r="CK24" i="205"/>
  <c r="AX24" i="205"/>
  <c r="AW24" i="205"/>
  <c r="AV24" i="205"/>
  <c r="AH24" i="205"/>
  <c r="AG24" i="205"/>
  <c r="AF24" i="205"/>
  <c r="AE24" i="205"/>
  <c r="K24" i="205"/>
  <c r="GL23" i="205"/>
  <c r="GK23" i="205"/>
  <c r="GM23" i="205" s="1"/>
  <c r="GF23" i="205"/>
  <c r="FV23" i="205"/>
  <c r="FU23" i="205"/>
  <c r="FN23" i="205"/>
  <c r="FM23" i="205"/>
  <c r="FK23" i="205"/>
  <c r="FL23" i="205" s="1"/>
  <c r="FJ23" i="205"/>
  <c r="FD23" i="205"/>
  <c r="FE23" i="205" s="1"/>
  <c r="FF23" i="205" s="1"/>
  <c r="FG23" i="205" s="1"/>
  <c r="Y23" i="205" s="1"/>
  <c r="FC23" i="205"/>
  <c r="EL23" i="205" s="1"/>
  <c r="EM23" i="205" s="1"/>
  <c r="EZ23" i="205"/>
  <c r="EG23" i="205"/>
  <c r="EF23" i="205"/>
  <c r="EE23" i="205"/>
  <c r="ED23" i="205"/>
  <c r="I23" i="205" s="1"/>
  <c r="EC23" i="205"/>
  <c r="DY23" i="205"/>
  <c r="DX23" i="205"/>
  <c r="DW23" i="205"/>
  <c r="DV23" i="205"/>
  <c r="DU23" i="205"/>
  <c r="DS23" i="205"/>
  <c r="DO23" i="205"/>
  <c r="DN23" i="205"/>
  <c r="FI23" i="205" s="1"/>
  <c r="DM23" i="205"/>
  <c r="DL23" i="205"/>
  <c r="DK23" i="205"/>
  <c r="DJ23" i="205"/>
  <c r="DI23" i="205"/>
  <c r="FT23" i="205" s="1"/>
  <c r="DH23" i="205"/>
  <c r="DG23" i="205"/>
  <c r="DF23" i="205"/>
  <c r="EB23" i="205" s="1"/>
  <c r="DE23" i="205"/>
  <c r="DD23" i="205"/>
  <c r="DC23" i="205"/>
  <c r="DB23" i="205"/>
  <c r="DA23" i="205"/>
  <c r="CZ23" i="205"/>
  <c r="CY23" i="205"/>
  <c r="FS23" i="205" s="1"/>
  <c r="CX23" i="205"/>
  <c r="FH23" i="205" s="1"/>
  <c r="CW23" i="205"/>
  <c r="CV23" i="205"/>
  <c r="CU23" i="205"/>
  <c r="CQ23" i="205"/>
  <c r="CP23" i="205"/>
  <c r="CO23" i="205"/>
  <c r="CN23" i="205"/>
  <c r="CM23" i="205"/>
  <c r="CL23" i="205"/>
  <c r="CK23" i="205"/>
  <c r="CD23" i="205"/>
  <c r="AY23" i="205"/>
  <c r="AX23" i="205"/>
  <c r="AW23" i="205"/>
  <c r="AV23" i="205"/>
  <c r="AK23" i="205" s="1"/>
  <c r="AO23" i="205"/>
  <c r="AN23" i="205"/>
  <c r="AM23" i="205"/>
  <c r="AH23" i="205"/>
  <c r="AG23" i="205"/>
  <c r="AF23" i="205"/>
  <c r="AE23" i="205"/>
  <c r="Z23" i="205"/>
  <c r="K23" i="205"/>
  <c r="J23" i="205"/>
  <c r="GM22" i="205"/>
  <c r="GL22" i="205"/>
  <c r="GK22" i="205"/>
  <c r="GF22" i="205"/>
  <c r="FV22" i="205"/>
  <c r="FU22" i="205"/>
  <c r="FR22" i="205"/>
  <c r="FM22" i="205"/>
  <c r="FJ22" i="205"/>
  <c r="FK22" i="205" s="1"/>
  <c r="FL22" i="205" s="1"/>
  <c r="Z22" i="205" s="1"/>
  <c r="FI22" i="205"/>
  <c r="FH22" i="205"/>
  <c r="FD22" i="205"/>
  <c r="FE22" i="205" s="1"/>
  <c r="FF22" i="205" s="1"/>
  <c r="FG22" i="205" s="1"/>
  <c r="Y22" i="205" s="1"/>
  <c r="FC22" i="205"/>
  <c r="FB22" i="205"/>
  <c r="FA22" i="205"/>
  <c r="EZ22" i="205"/>
  <c r="EC22" i="205"/>
  <c r="EB22" i="205"/>
  <c r="EA22" i="205"/>
  <c r="DY22" i="205"/>
  <c r="DS22" i="205"/>
  <c r="DO22" i="205"/>
  <c r="DN22" i="205"/>
  <c r="DM22" i="205"/>
  <c r="FP22" i="205" s="1"/>
  <c r="DL22" i="205"/>
  <c r="DK22" i="205"/>
  <c r="EL22" i="205" s="1"/>
  <c r="DJ22" i="205"/>
  <c r="DI22" i="205"/>
  <c r="DH22" i="205"/>
  <c r="DG22" i="205"/>
  <c r="DF22" i="205"/>
  <c r="ED22" i="205" s="1"/>
  <c r="I22" i="205" s="1"/>
  <c r="DE22" i="205"/>
  <c r="DD22" i="205"/>
  <c r="DC22" i="205"/>
  <c r="DB22" i="205"/>
  <c r="DA22" i="205"/>
  <c r="CZ22" i="205"/>
  <c r="CY22" i="205"/>
  <c r="FS22" i="205" s="1"/>
  <c r="CX22" i="205"/>
  <c r="CW22" i="205"/>
  <c r="CV22" i="205"/>
  <c r="CU22" i="205"/>
  <c r="CQ22" i="205"/>
  <c r="CP22" i="205"/>
  <c r="CO22" i="205"/>
  <c r="CN22" i="205"/>
  <c r="CM22" i="205"/>
  <c r="CL22" i="205"/>
  <c r="CK22" i="205"/>
  <c r="CD22" i="205"/>
  <c r="AY22" i="205"/>
  <c r="AX22" i="205"/>
  <c r="AW22" i="205"/>
  <c r="AV22" i="205"/>
  <c r="AH22" i="205"/>
  <c r="AG22" i="205"/>
  <c r="AF22" i="205"/>
  <c r="AE22" i="205"/>
  <c r="K22" i="205"/>
  <c r="J22" i="205"/>
  <c r="GL21" i="205"/>
  <c r="GK21" i="205"/>
  <c r="GM21" i="205" s="1"/>
  <c r="GF21" i="205"/>
  <c r="FV21" i="205"/>
  <c r="FU21" i="205"/>
  <c r="FP21" i="205"/>
  <c r="FN21" i="205"/>
  <c r="FI21" i="205"/>
  <c r="FH21" i="205"/>
  <c r="FE21" i="205"/>
  <c r="FF21" i="205" s="1"/>
  <c r="FG21" i="205" s="1"/>
  <c r="Y21" i="205" s="1"/>
  <c r="FD21" i="205"/>
  <c r="FC21" i="205"/>
  <c r="FA21" i="205"/>
  <c r="EZ21" i="205"/>
  <c r="EC21" i="205"/>
  <c r="EB21" i="205"/>
  <c r="EA21" i="205"/>
  <c r="DY21" i="205"/>
  <c r="DX21" i="205"/>
  <c r="DW21" i="205"/>
  <c r="DS21" i="205"/>
  <c r="DP21" i="205"/>
  <c r="DO21" i="205"/>
  <c r="FJ21" i="205" s="1"/>
  <c r="FK21" i="205" s="1"/>
  <c r="FL21" i="205" s="1"/>
  <c r="Z21" i="205" s="1"/>
  <c r="DN21" i="205"/>
  <c r="DM21" i="205"/>
  <c r="DL21" i="205"/>
  <c r="DK21" i="205"/>
  <c r="EL21" i="205" s="1"/>
  <c r="DJ21" i="205"/>
  <c r="DI21" i="205"/>
  <c r="DH21" i="205"/>
  <c r="FM21" i="205" s="1"/>
  <c r="DG21" i="205"/>
  <c r="DF21" i="205"/>
  <c r="ED21" i="205" s="1"/>
  <c r="I21" i="205" s="1"/>
  <c r="DE21" i="205"/>
  <c r="FR21" i="205" s="1"/>
  <c r="DD21" i="205"/>
  <c r="DC21" i="205"/>
  <c r="DB21" i="205"/>
  <c r="DA21" i="205"/>
  <c r="CZ21" i="205"/>
  <c r="CY21" i="205"/>
  <c r="FS21" i="205" s="1"/>
  <c r="CX21" i="205"/>
  <c r="CW21" i="205"/>
  <c r="CV21" i="205"/>
  <c r="DV21" i="205" s="1"/>
  <c r="CU21" i="205"/>
  <c r="CQ21" i="205"/>
  <c r="CP21" i="205"/>
  <c r="CO21" i="205"/>
  <c r="CN21" i="205"/>
  <c r="CM21" i="205"/>
  <c r="CL21" i="205"/>
  <c r="CK21" i="205"/>
  <c r="AY21" i="205"/>
  <c r="AX21" i="205"/>
  <c r="AW21" i="205"/>
  <c r="AV21" i="205"/>
  <c r="AK21" i="205" s="1"/>
  <c r="AQ21" i="205"/>
  <c r="AR21" i="205" s="1"/>
  <c r="AH21" i="205"/>
  <c r="AG21" i="205"/>
  <c r="AF21" i="205"/>
  <c r="AE21" i="205"/>
  <c r="K21" i="205"/>
  <c r="J21" i="205"/>
  <c r="GL20" i="205"/>
  <c r="GK20" i="205"/>
  <c r="GM20" i="205" s="1"/>
  <c r="GF20" i="205"/>
  <c r="FU20" i="205"/>
  <c r="FT20" i="205"/>
  <c r="FO20" i="205"/>
  <c r="FD20" i="205"/>
  <c r="FC20" i="205"/>
  <c r="FA20" i="205"/>
  <c r="EZ20" i="205"/>
  <c r="EY20" i="205"/>
  <c r="EX20" i="205"/>
  <c r="EN20" i="205"/>
  <c r="EM20" i="205"/>
  <c r="EQ20" i="205" s="1"/>
  <c r="EL20" i="205"/>
  <c r="DY20" i="205"/>
  <c r="DX20" i="205"/>
  <c r="DW20" i="205"/>
  <c r="DV20" i="205"/>
  <c r="DS20" i="205"/>
  <c r="DP20" i="205"/>
  <c r="DO20" i="205"/>
  <c r="DN20" i="205"/>
  <c r="FI20" i="205" s="1"/>
  <c r="DM20" i="205"/>
  <c r="DL20" i="205"/>
  <c r="DK20" i="205"/>
  <c r="DJ20" i="205"/>
  <c r="DI20" i="205"/>
  <c r="DH20" i="205"/>
  <c r="DG20" i="205"/>
  <c r="DF20" i="205"/>
  <c r="ED20" i="205" s="1"/>
  <c r="K20" i="205" s="1"/>
  <c r="DE20" i="205"/>
  <c r="FR20" i="205" s="1"/>
  <c r="DD20" i="205"/>
  <c r="DC20" i="205"/>
  <c r="DB20" i="205"/>
  <c r="DA20" i="205"/>
  <c r="EE20" i="205" s="1"/>
  <c r="CZ20" i="205"/>
  <c r="CY20" i="205"/>
  <c r="CX20" i="205"/>
  <c r="FH20" i="205" s="1"/>
  <c r="CW20" i="205"/>
  <c r="CV20" i="205"/>
  <c r="DU20" i="205" s="1"/>
  <c r="CU20" i="205"/>
  <c r="FQ20" i="205" s="1"/>
  <c r="CQ20" i="205"/>
  <c r="CP20" i="205"/>
  <c r="CK20" i="205" s="1"/>
  <c r="CO20" i="205"/>
  <c r="CN20" i="205"/>
  <c r="CM20" i="205"/>
  <c r="CL20" i="205"/>
  <c r="AX20" i="205"/>
  <c r="AW20" i="205"/>
  <c r="AV20" i="205"/>
  <c r="AH20" i="205"/>
  <c r="AG20" i="205"/>
  <c r="AF20" i="205"/>
  <c r="AE20" i="205"/>
  <c r="J20" i="205"/>
  <c r="I20" i="205"/>
  <c r="GM19" i="205"/>
  <c r="GL19" i="205"/>
  <c r="GK19" i="205"/>
  <c r="GF19" i="205"/>
  <c r="FV19" i="205"/>
  <c r="FT19" i="205"/>
  <c r="FS19" i="205"/>
  <c r="FN19" i="205"/>
  <c r="FM19" i="205"/>
  <c r="FD19" i="205"/>
  <c r="FC19" i="205"/>
  <c r="EZ19" i="205"/>
  <c r="EY19" i="205"/>
  <c r="EX19" i="205"/>
  <c r="EN19" i="205"/>
  <c r="EL19" i="205"/>
  <c r="EM19" i="205" s="1"/>
  <c r="DY19" i="205"/>
  <c r="DX19" i="205"/>
  <c r="DW19" i="205"/>
  <c r="FO19" i="205" s="1"/>
  <c r="DV19" i="205"/>
  <c r="DU19" i="205"/>
  <c r="DS19" i="205"/>
  <c r="DO19" i="205"/>
  <c r="DN19" i="205"/>
  <c r="FI19" i="205" s="1"/>
  <c r="DM19" i="205"/>
  <c r="DL19" i="205"/>
  <c r="DK19" i="205"/>
  <c r="DJ19" i="205"/>
  <c r="DI19" i="205"/>
  <c r="DH19" i="205"/>
  <c r="DG19" i="205"/>
  <c r="DF19" i="205"/>
  <c r="DE19" i="205"/>
  <c r="FR19" i="205" s="1"/>
  <c r="DD19" i="205"/>
  <c r="DC19" i="205"/>
  <c r="DT19" i="205" s="1"/>
  <c r="DB19" i="205"/>
  <c r="DA19" i="205"/>
  <c r="EE19" i="205" s="1"/>
  <c r="CZ19" i="205"/>
  <c r="CY19" i="205"/>
  <c r="CX19" i="205"/>
  <c r="CW19" i="205"/>
  <c r="CV19" i="205"/>
  <c r="CU19" i="205"/>
  <c r="FQ19" i="205" s="1"/>
  <c r="CQ19" i="205"/>
  <c r="CP19" i="205"/>
  <c r="CO19" i="205"/>
  <c r="CN19" i="205"/>
  <c r="CM19" i="205"/>
  <c r="CL19" i="205"/>
  <c r="AX19" i="205"/>
  <c r="AW19" i="205"/>
  <c r="AV19" i="205"/>
  <c r="AH19" i="205"/>
  <c r="AG19" i="205"/>
  <c r="AF19" i="205"/>
  <c r="AE19" i="205"/>
  <c r="GM18" i="205"/>
  <c r="GL18" i="205"/>
  <c r="GK18" i="205"/>
  <c r="GF18" i="205"/>
  <c r="FT18" i="205"/>
  <c r="FK18" i="205"/>
  <c r="FL18" i="205" s="1"/>
  <c r="FD18" i="205"/>
  <c r="FE18" i="205" s="1"/>
  <c r="FF18" i="205" s="1"/>
  <c r="FG18" i="205" s="1"/>
  <c r="Y18" i="205" s="1"/>
  <c r="FC18" i="205"/>
  <c r="EL18" i="205" s="1"/>
  <c r="EZ18" i="205"/>
  <c r="EX18" i="205"/>
  <c r="EF18" i="205"/>
  <c r="EE18" i="205"/>
  <c r="EG18" i="205" s="1"/>
  <c r="DY18" i="205"/>
  <c r="DX18" i="205"/>
  <c r="DW18" i="205"/>
  <c r="DV18" i="205"/>
  <c r="DU18" i="205"/>
  <c r="DS18" i="205"/>
  <c r="DO18" i="205"/>
  <c r="DN18" i="205"/>
  <c r="FI18" i="205" s="1"/>
  <c r="FJ18" i="205" s="1"/>
  <c r="DM18" i="205"/>
  <c r="DL18" i="205"/>
  <c r="DK18" i="205"/>
  <c r="DJ18" i="205"/>
  <c r="DI18" i="205"/>
  <c r="DH18" i="205"/>
  <c r="DG18" i="205"/>
  <c r="DF18" i="205"/>
  <c r="DE18" i="205"/>
  <c r="FA18" i="205" s="1"/>
  <c r="DD18" i="205"/>
  <c r="DC18" i="205"/>
  <c r="DB18" i="205"/>
  <c r="DA18" i="205"/>
  <c r="CZ18" i="205"/>
  <c r="CY18" i="205"/>
  <c r="FS18" i="205" s="1"/>
  <c r="CX18" i="205"/>
  <c r="CW18" i="205"/>
  <c r="CV18" i="205"/>
  <c r="FQ18" i="205" s="1"/>
  <c r="CU18" i="205"/>
  <c r="EY18" i="205" s="1"/>
  <c r="CQ18" i="205"/>
  <c r="CP18" i="205"/>
  <c r="CO18" i="205"/>
  <c r="CN18" i="205"/>
  <c r="CM18" i="205"/>
  <c r="CL18" i="205"/>
  <c r="CE18" i="205"/>
  <c r="CD18" i="205"/>
  <c r="AX18" i="205"/>
  <c r="AW18" i="205"/>
  <c r="AV18" i="205"/>
  <c r="AM18" i="205"/>
  <c r="AL18" i="205"/>
  <c r="AK18" i="205"/>
  <c r="AH18" i="205"/>
  <c r="AG18" i="205"/>
  <c r="AF18" i="205"/>
  <c r="AE18" i="205"/>
  <c r="Z18" i="205"/>
  <c r="GL17" i="205"/>
  <c r="GM17" i="205" s="1"/>
  <c r="GK17" i="205"/>
  <c r="GF17" i="205"/>
  <c r="FT17" i="205"/>
  <c r="FQ17" i="205"/>
  <c r="FI17" i="205"/>
  <c r="FD17" i="205"/>
  <c r="FC17" i="205"/>
  <c r="EL17" i="205" s="1"/>
  <c r="FA17" i="205"/>
  <c r="EZ17" i="205"/>
  <c r="EE17" i="205"/>
  <c r="ED17" i="205"/>
  <c r="EC17" i="205"/>
  <c r="DY17" i="205"/>
  <c r="DV17" i="205"/>
  <c r="DU17" i="205"/>
  <c r="DS17" i="205"/>
  <c r="DO17" i="205"/>
  <c r="DN17" i="205"/>
  <c r="DM17" i="205"/>
  <c r="DL17" i="205"/>
  <c r="DK17" i="205"/>
  <c r="DJ17" i="205"/>
  <c r="DI17" i="205"/>
  <c r="DH17" i="205"/>
  <c r="FV17" i="205" s="1"/>
  <c r="DG17" i="205"/>
  <c r="DF17" i="205"/>
  <c r="EA17" i="205" s="1"/>
  <c r="DE17" i="205"/>
  <c r="FR17" i="205" s="1"/>
  <c r="DD17" i="205"/>
  <c r="DC17" i="205"/>
  <c r="DB17" i="205"/>
  <c r="DA17" i="205"/>
  <c r="CZ17" i="205"/>
  <c r="CY17" i="205"/>
  <c r="CX17" i="205"/>
  <c r="CW17" i="205"/>
  <c r="CV17" i="205"/>
  <c r="CU17" i="205"/>
  <c r="EY17" i="205" s="1"/>
  <c r="CQ17" i="205"/>
  <c r="CP17" i="205"/>
  <c r="CK17" i="205" s="1"/>
  <c r="CO17" i="205"/>
  <c r="CN17" i="205"/>
  <c r="CM17" i="205"/>
  <c r="CL17" i="205"/>
  <c r="CE17" i="205"/>
  <c r="CD17" i="205"/>
  <c r="AY17" i="205"/>
  <c r="AX17" i="205"/>
  <c r="AW17" i="205"/>
  <c r="AV17" i="205"/>
  <c r="AM17" i="205"/>
  <c r="AL17" i="205"/>
  <c r="AK17" i="205"/>
  <c r="AJ17" i="205" s="1"/>
  <c r="AH17" i="205"/>
  <c r="AG17" i="205"/>
  <c r="AF17" i="205"/>
  <c r="AE17" i="205"/>
  <c r="GM16" i="205"/>
  <c r="GL16" i="205"/>
  <c r="GK16" i="205"/>
  <c r="GF16" i="205"/>
  <c r="FU16" i="205"/>
  <c r="FT16" i="205"/>
  <c r="FN16" i="205"/>
  <c r="FE16" i="205"/>
  <c r="FF16" i="205" s="1"/>
  <c r="FG16" i="205" s="1"/>
  <c r="Y16" i="205" s="1"/>
  <c r="FD16" i="205"/>
  <c r="FC16" i="205"/>
  <c r="EZ16" i="205"/>
  <c r="EY16" i="205"/>
  <c r="EX16" i="205"/>
  <c r="EM16" i="205"/>
  <c r="EL16" i="205"/>
  <c r="EN16" i="205" s="1"/>
  <c r="ED16" i="205"/>
  <c r="DY16" i="205"/>
  <c r="DX16" i="205"/>
  <c r="DW16" i="205"/>
  <c r="FO16" i="205" s="1"/>
  <c r="DV16" i="205"/>
  <c r="DU16" i="205"/>
  <c r="DS16" i="205"/>
  <c r="DP16" i="205"/>
  <c r="DO16" i="205"/>
  <c r="FJ16" i="205" s="1"/>
  <c r="FK16" i="205" s="1"/>
  <c r="FL16" i="205" s="1"/>
  <c r="Z16" i="205" s="1"/>
  <c r="DN16" i="205"/>
  <c r="FI16" i="205" s="1"/>
  <c r="DM16" i="205"/>
  <c r="DL16" i="205"/>
  <c r="DK16" i="205"/>
  <c r="DJ16" i="205"/>
  <c r="DI16" i="205"/>
  <c r="DH16" i="205"/>
  <c r="DG16" i="205"/>
  <c r="DF16" i="205"/>
  <c r="DE16" i="205"/>
  <c r="DD16" i="205"/>
  <c r="DC16" i="205"/>
  <c r="DB16" i="205"/>
  <c r="DA16" i="205"/>
  <c r="EE16" i="205" s="1"/>
  <c r="CZ16" i="205"/>
  <c r="CY16" i="205"/>
  <c r="FS16" i="205" s="1"/>
  <c r="CX16" i="205"/>
  <c r="FH16" i="205" s="1"/>
  <c r="CW16" i="205"/>
  <c r="CV16" i="205"/>
  <c r="CU16" i="205"/>
  <c r="FQ16" i="205" s="1"/>
  <c r="CQ16" i="205"/>
  <c r="CP16" i="205"/>
  <c r="CK16" i="205" s="1"/>
  <c r="CO16" i="205"/>
  <c r="CN16" i="205"/>
  <c r="CM16" i="205"/>
  <c r="CL16" i="205"/>
  <c r="CE16" i="205"/>
  <c r="AX16" i="205"/>
  <c r="AW16" i="205"/>
  <c r="AV16" i="205"/>
  <c r="AK16" i="205" s="1"/>
  <c r="AH16" i="205"/>
  <c r="AG16" i="205"/>
  <c r="AF16" i="205"/>
  <c r="AE16" i="205"/>
  <c r="IF14" i="205"/>
  <c r="HS14" i="205"/>
  <c r="HR14" i="205"/>
  <c r="HQ14" i="205"/>
  <c r="HP14" i="205"/>
  <c r="HK14" i="205"/>
  <c r="AA12" i="205"/>
  <c r="AB12" i="205" s="1"/>
  <c r="HQ11" i="205"/>
  <c r="HR11" i="205" s="1"/>
  <c r="HS11" i="205" s="1"/>
  <c r="HT11" i="205" s="1"/>
  <c r="HU11" i="205" s="1"/>
  <c r="HV11" i="205" s="1"/>
  <c r="HW11" i="205" s="1"/>
  <c r="HX11" i="205" s="1"/>
  <c r="HY11" i="205" s="1"/>
  <c r="HZ11" i="205" s="1"/>
  <c r="IA11" i="205" s="1"/>
  <c r="IB11" i="205" s="1"/>
  <c r="IC11" i="205" s="1"/>
  <c r="ID11" i="205" s="1"/>
  <c r="IE11" i="205" s="1"/>
  <c r="IF11" i="205" s="1"/>
  <c r="HP11" i="205"/>
  <c r="HO11" i="205"/>
  <c r="HN11" i="205"/>
  <c r="HI11" i="205"/>
  <c r="HJ11" i="205" s="1"/>
  <c r="HK11" i="205" s="1"/>
  <c r="HL11" i="205" s="1"/>
  <c r="HM11" i="205" s="1"/>
  <c r="HB11" i="205"/>
  <c r="HC11" i="205" s="1"/>
  <c r="HD11" i="205" s="1"/>
  <c r="HE11" i="205" s="1"/>
  <c r="HF11" i="205" s="1"/>
  <c r="HG11" i="205" s="1"/>
  <c r="HH11" i="205" s="1"/>
  <c r="Z10" i="205"/>
  <c r="S10" i="205"/>
  <c r="C10" i="205"/>
  <c r="DN9" i="205"/>
  <c r="DM9" i="205"/>
  <c r="DL9" i="205"/>
  <c r="DK9" i="205"/>
  <c r="DJ9" i="205"/>
  <c r="DI9" i="205"/>
  <c r="DH9" i="205"/>
  <c r="DG9" i="205"/>
  <c r="S9" i="205"/>
  <c r="C9" i="205"/>
  <c r="DN8" i="205"/>
  <c r="DM8" i="205"/>
  <c r="DL8" i="205"/>
  <c r="DK8" i="205"/>
  <c r="DJ8" i="205"/>
  <c r="DI8" i="205"/>
  <c r="DH8" i="205"/>
  <c r="DG8" i="205"/>
  <c r="DN7" i="205"/>
  <c r="DM7" i="205"/>
  <c r="DL7" i="205"/>
  <c r="DK7" i="205"/>
  <c r="DJ7" i="205"/>
  <c r="DI7" i="205"/>
  <c r="DH7" i="205"/>
  <c r="DG7" i="205"/>
  <c r="DN6" i="205"/>
  <c r="DM6" i="205"/>
  <c r="DL6" i="205"/>
  <c r="DK6" i="205"/>
  <c r="DJ6" i="205"/>
  <c r="DI6" i="205"/>
  <c r="DH6" i="205"/>
  <c r="DG6" i="205"/>
  <c r="DC6" i="205"/>
  <c r="DB6" i="205"/>
  <c r="DA6" i="205"/>
  <c r="CZ6" i="205"/>
  <c r="CY6" i="205"/>
  <c r="CX6" i="205"/>
  <c r="CW6" i="205"/>
  <c r="CV6" i="205"/>
  <c r="Y6" i="205"/>
  <c r="M6" i="205"/>
  <c r="DN5" i="205"/>
  <c r="DM5" i="205"/>
  <c r="DL5" i="205"/>
  <c r="DK5" i="205"/>
  <c r="DJ5" i="205"/>
  <c r="DI5" i="205"/>
  <c r="DH5" i="205"/>
  <c r="DG5" i="205"/>
  <c r="DC5" i="205"/>
  <c r="DB5" i="205"/>
  <c r="DA5" i="205"/>
  <c r="CZ5" i="205"/>
  <c r="CY5" i="205"/>
  <c r="CX5" i="205"/>
  <c r="AM54" i="205" s="1"/>
  <c r="CW5" i="205"/>
  <c r="CV5" i="205"/>
  <c r="DN4" i="205"/>
  <c r="DM4" i="205"/>
  <c r="DL4" i="205"/>
  <c r="DK4" i="205"/>
  <c r="DJ4" i="205"/>
  <c r="DI4" i="205"/>
  <c r="DH4" i="205"/>
  <c r="DG4" i="205"/>
  <c r="DC4" i="205"/>
  <c r="DB4" i="205"/>
  <c r="DA4" i="205"/>
  <c r="CZ4" i="205"/>
  <c r="CY4" i="205"/>
  <c r="CX4" i="205"/>
  <c r="CW4" i="205"/>
  <c r="CV4" i="205"/>
  <c r="P4" i="205"/>
  <c r="DN3" i="205"/>
  <c r="DM3" i="205"/>
  <c r="DL3" i="205"/>
  <c r="DK3" i="205"/>
  <c r="DJ3" i="205"/>
  <c r="DI3" i="205"/>
  <c r="DH3" i="205"/>
  <c r="DG3" i="205"/>
  <c r="DN2" i="205"/>
  <c r="DM2" i="205"/>
  <c r="DL2" i="205"/>
  <c r="DK2" i="205"/>
  <c r="DJ2" i="205"/>
  <c r="DI2" i="205"/>
  <c r="DH2" i="205"/>
  <c r="DG2" i="205"/>
  <c r="DD2" i="205"/>
  <c r="DB2" i="205"/>
  <c r="CZ2" i="205"/>
  <c r="CX2" i="205"/>
  <c r="P2" i="205"/>
  <c r="HA1" i="205"/>
  <c r="DQ1" i="205"/>
  <c r="DD1" i="205"/>
  <c r="CY1" i="205"/>
  <c r="CX1" i="205"/>
  <c r="AE1" i="205"/>
  <c r="AY35" i="205" s="1"/>
  <c r="AD1" i="205"/>
  <c r="P1" i="205"/>
  <c r="EO104" i="204"/>
  <c r="EN104" i="204"/>
  <c r="EM104" i="204"/>
  <c r="EO103" i="204"/>
  <c r="EN103" i="204"/>
  <c r="EM103" i="204"/>
  <c r="EO102" i="204"/>
  <c r="EN102" i="204"/>
  <c r="EM102" i="204"/>
  <c r="EO101" i="204"/>
  <c r="EN101" i="204"/>
  <c r="EM101" i="204"/>
  <c r="EO100" i="204"/>
  <c r="EN100" i="204"/>
  <c r="EM100" i="204"/>
  <c r="EO99" i="204"/>
  <c r="EN99" i="204"/>
  <c r="EM99" i="204"/>
  <c r="EO98" i="204"/>
  <c r="EN98" i="204"/>
  <c r="EM98" i="204"/>
  <c r="EO97" i="204"/>
  <c r="EN97" i="204"/>
  <c r="EM97" i="204"/>
  <c r="EO96" i="204"/>
  <c r="EN96" i="204"/>
  <c r="EM96" i="204"/>
  <c r="EO95" i="204"/>
  <c r="EN95" i="204"/>
  <c r="EM95" i="204"/>
  <c r="EO94" i="204"/>
  <c r="EN94" i="204"/>
  <c r="EM94" i="204"/>
  <c r="EO93" i="204"/>
  <c r="EN93" i="204"/>
  <c r="EM93" i="204"/>
  <c r="EO92" i="204"/>
  <c r="EN92" i="204"/>
  <c r="EM92" i="204"/>
  <c r="EO91" i="204"/>
  <c r="EN91" i="204"/>
  <c r="EM91" i="204"/>
  <c r="EO90" i="204"/>
  <c r="EN90" i="204"/>
  <c r="EM90" i="204"/>
  <c r="EO89" i="204"/>
  <c r="EN89" i="204"/>
  <c r="EM89" i="204"/>
  <c r="EO88" i="204"/>
  <c r="EN88" i="204"/>
  <c r="EM88" i="204"/>
  <c r="EO87" i="204"/>
  <c r="EN87" i="204"/>
  <c r="EM87" i="204"/>
  <c r="EO86" i="204"/>
  <c r="EN86" i="204"/>
  <c r="EM86" i="204"/>
  <c r="EO85" i="204"/>
  <c r="EN85" i="204"/>
  <c r="EM85" i="204"/>
  <c r="EO84" i="204"/>
  <c r="EN84" i="204"/>
  <c r="EM84" i="204"/>
  <c r="EO83" i="204"/>
  <c r="EN83" i="204"/>
  <c r="EM83" i="204"/>
  <c r="EO82" i="204"/>
  <c r="EN82" i="204"/>
  <c r="EM82" i="204"/>
  <c r="EO81" i="204"/>
  <c r="EN81" i="204"/>
  <c r="EM81" i="204"/>
  <c r="EO80" i="204"/>
  <c r="EN80" i="204"/>
  <c r="EM80" i="204"/>
  <c r="EO79" i="204"/>
  <c r="EN79" i="204"/>
  <c r="EM79" i="204"/>
  <c r="EO78" i="204"/>
  <c r="EN78" i="204"/>
  <c r="EM78" i="204"/>
  <c r="EO77" i="204"/>
  <c r="EN77" i="204"/>
  <c r="EM77" i="204"/>
  <c r="EO76" i="204"/>
  <c r="EN76" i="204"/>
  <c r="EM76" i="204"/>
  <c r="EO75" i="204"/>
  <c r="EN75" i="204"/>
  <c r="EM75" i="204"/>
  <c r="GF57" i="204"/>
  <c r="GE57" i="204"/>
  <c r="GD57" i="204"/>
  <c r="GC57" i="204"/>
  <c r="AX57" i="204"/>
  <c r="AW57" i="204"/>
  <c r="AV57" i="204"/>
  <c r="AA57" i="204"/>
  <c r="Z57" i="204"/>
  <c r="Y57" i="204"/>
  <c r="X57" i="204"/>
  <c r="W57" i="204"/>
  <c r="V57" i="204"/>
  <c r="U57" i="204"/>
  <c r="T57" i="204"/>
  <c r="AR57" i="204" s="1"/>
  <c r="S57" i="204"/>
  <c r="R57" i="204"/>
  <c r="Q57" i="204"/>
  <c r="P57" i="204"/>
  <c r="O57" i="204"/>
  <c r="N57" i="204"/>
  <c r="M57" i="204"/>
  <c r="L57" i="204"/>
  <c r="K57" i="204"/>
  <c r="J57" i="204"/>
  <c r="I57" i="204"/>
  <c r="H57" i="204"/>
  <c r="G57" i="204"/>
  <c r="F57" i="204"/>
  <c r="E57" i="204"/>
  <c r="D57" i="204"/>
  <c r="C57" i="204"/>
  <c r="B57" i="204"/>
  <c r="A57" i="204"/>
  <c r="AN54" i="204"/>
  <c r="AM54" i="204"/>
  <c r="AN52" i="204"/>
  <c r="AM52" i="204"/>
  <c r="GF45" i="204"/>
  <c r="FU45" i="204"/>
  <c r="FO45" i="204"/>
  <c r="FN45" i="204"/>
  <c r="FH45" i="204"/>
  <c r="FD45" i="204"/>
  <c r="FC45" i="204"/>
  <c r="EZ45" i="204"/>
  <c r="EY45" i="204"/>
  <c r="EX45" i="204"/>
  <c r="EN45" i="204"/>
  <c r="ER45" i="204" s="1"/>
  <c r="EM45" i="204"/>
  <c r="EA45" i="204"/>
  <c r="DY45" i="204"/>
  <c r="DX45" i="204"/>
  <c r="DW45" i="204"/>
  <c r="DV45" i="204"/>
  <c r="DS45" i="204"/>
  <c r="DP45" i="204"/>
  <c r="DO45" i="204"/>
  <c r="DN45" i="204"/>
  <c r="FI45" i="204" s="1"/>
  <c r="DM45" i="204"/>
  <c r="DL45" i="204"/>
  <c r="DK45" i="204"/>
  <c r="EL45" i="204" s="1"/>
  <c r="DJ45" i="204"/>
  <c r="DI45" i="204"/>
  <c r="DH45" i="204"/>
  <c r="FV45" i="204" s="1"/>
  <c r="DG45" i="204"/>
  <c r="DF45" i="204"/>
  <c r="ED45" i="204" s="1"/>
  <c r="DE45" i="204"/>
  <c r="FR45" i="204" s="1"/>
  <c r="DD45" i="204"/>
  <c r="DC45" i="204"/>
  <c r="DB45" i="204"/>
  <c r="DA45" i="204"/>
  <c r="EE45" i="204" s="1"/>
  <c r="CZ45" i="204"/>
  <c r="CY45" i="204"/>
  <c r="CX45" i="204"/>
  <c r="CW45" i="204"/>
  <c r="CV45" i="204"/>
  <c r="DU45" i="204" s="1"/>
  <c r="CU45" i="204"/>
  <c r="FQ45" i="204" s="1"/>
  <c r="CQ45" i="204"/>
  <c r="CP45" i="204"/>
  <c r="CK45" i="204" s="1"/>
  <c r="CO45" i="204"/>
  <c r="CN45" i="204"/>
  <c r="CM45" i="204"/>
  <c r="CL45" i="204"/>
  <c r="AX45" i="204"/>
  <c r="AW45" i="204"/>
  <c r="AF45" i="204"/>
  <c r="C45" i="204"/>
  <c r="A45" i="204"/>
  <c r="FU44" i="204"/>
  <c r="FT44" i="204"/>
  <c r="FJ44" i="204"/>
  <c r="FK44" i="204" s="1"/>
  <c r="FL44" i="204" s="1"/>
  <c r="Z44" i="204" s="1"/>
  <c r="FE44" i="204"/>
  <c r="FF44" i="204" s="1"/>
  <c r="FG44" i="204" s="1"/>
  <c r="Y44" i="204" s="1"/>
  <c r="FD44" i="204"/>
  <c r="FC44" i="204"/>
  <c r="EL44" i="204" s="1"/>
  <c r="FB44" i="204"/>
  <c r="EZ44" i="204"/>
  <c r="EX44" i="204"/>
  <c r="EE44" i="204"/>
  <c r="ED44" i="204"/>
  <c r="K44" i="204" s="1"/>
  <c r="EC44" i="204"/>
  <c r="DY44" i="204"/>
  <c r="DX44" i="204"/>
  <c r="DW44" i="204"/>
  <c r="DV44" i="204"/>
  <c r="DU44" i="204"/>
  <c r="DS44" i="204"/>
  <c r="DP44" i="204"/>
  <c r="DO44" i="204"/>
  <c r="DN44" i="204"/>
  <c r="FI44" i="204" s="1"/>
  <c r="DM44" i="204"/>
  <c r="DL44" i="204"/>
  <c r="DK44" i="204"/>
  <c r="DJ44" i="204"/>
  <c r="DI44" i="204"/>
  <c r="DH44" i="204"/>
  <c r="DG44" i="204"/>
  <c r="DF44" i="204"/>
  <c r="DE44" i="204"/>
  <c r="DD44" i="204"/>
  <c r="DC44" i="204"/>
  <c r="DB44" i="204"/>
  <c r="DA44" i="204"/>
  <c r="CZ44" i="204"/>
  <c r="CY44" i="204"/>
  <c r="FS44" i="204" s="1"/>
  <c r="CX44" i="204"/>
  <c r="FH44" i="204" s="1"/>
  <c r="CW44" i="204"/>
  <c r="CV44" i="204"/>
  <c r="FQ44" i="204" s="1"/>
  <c r="CU44" i="204"/>
  <c r="EY44" i="204" s="1"/>
  <c r="CQ44" i="204"/>
  <c r="CP44" i="204"/>
  <c r="CK44" i="204" s="1"/>
  <c r="CO44" i="204"/>
  <c r="CN44" i="204"/>
  <c r="CM44" i="204"/>
  <c r="CL44" i="204"/>
  <c r="CE44" i="204"/>
  <c r="CD44" i="204"/>
  <c r="AV44" i="204"/>
  <c r="AE44" i="204"/>
  <c r="AD44" i="204"/>
  <c r="I44" i="204"/>
  <c r="C44" i="204"/>
  <c r="A44" i="204"/>
  <c r="FT43" i="204"/>
  <c r="FS43" i="204"/>
  <c r="FQ43" i="204"/>
  <c r="FC43" i="204"/>
  <c r="FA43" i="204"/>
  <c r="EZ43" i="204"/>
  <c r="EE43" i="204" s="1"/>
  <c r="EL43" i="204"/>
  <c r="EC43" i="204"/>
  <c r="EB43" i="204"/>
  <c r="DY43" i="204"/>
  <c r="DU43" i="204"/>
  <c r="DS43" i="204"/>
  <c r="DO43" i="204"/>
  <c r="FE43" i="204" s="1"/>
  <c r="FF43" i="204" s="1"/>
  <c r="FG43" i="204" s="1"/>
  <c r="DN43" i="204"/>
  <c r="FI43" i="204" s="1"/>
  <c r="FJ43" i="204" s="1"/>
  <c r="FK43" i="204" s="1"/>
  <c r="FL43" i="204" s="1"/>
  <c r="Z43" i="204" s="1"/>
  <c r="DM43" i="204"/>
  <c r="DL43" i="204"/>
  <c r="DK43" i="204"/>
  <c r="DJ43" i="204"/>
  <c r="DI43" i="204"/>
  <c r="DH43" i="204"/>
  <c r="FV43" i="204" s="1"/>
  <c r="DG43" i="204"/>
  <c r="DF43" i="204"/>
  <c r="DE43" i="204"/>
  <c r="DD43" i="204"/>
  <c r="FD43" i="204" s="1"/>
  <c r="DC43" i="204"/>
  <c r="DB43" i="204"/>
  <c r="DA43" i="204"/>
  <c r="CZ43" i="204"/>
  <c r="CY43" i="204"/>
  <c r="CX43" i="204"/>
  <c r="CW43" i="204"/>
  <c r="CV43" i="204"/>
  <c r="DV43" i="204" s="1"/>
  <c r="CU43" i="204"/>
  <c r="CQ43" i="204"/>
  <c r="CP43" i="204"/>
  <c r="CK43" i="204" s="1"/>
  <c r="CO43" i="204"/>
  <c r="CN43" i="204"/>
  <c r="CM43" i="204"/>
  <c r="CL43" i="204"/>
  <c r="CE43" i="204"/>
  <c r="CD43" i="204"/>
  <c r="AY43" i="204"/>
  <c r="AH43" i="204"/>
  <c r="Y43" i="204"/>
  <c r="C43" i="204"/>
  <c r="AG43" i="204" s="1"/>
  <c r="A43" i="204"/>
  <c r="GC42" i="204"/>
  <c r="GB42" i="204"/>
  <c r="FV42" i="204"/>
  <c r="FU42" i="204"/>
  <c r="FI42" i="204"/>
  <c r="FJ42" i="204" s="1"/>
  <c r="FK42" i="204" s="1"/>
  <c r="FL42" i="204" s="1"/>
  <c r="Z42" i="204" s="1"/>
  <c r="FH42" i="204"/>
  <c r="FC42" i="204"/>
  <c r="FA42" i="204"/>
  <c r="EZ42" i="204"/>
  <c r="EE42" i="204" s="1"/>
  <c r="EC42" i="204"/>
  <c r="EB42" i="204"/>
  <c r="EA42" i="204"/>
  <c r="DY42" i="204"/>
  <c r="FP42" i="204" s="1"/>
  <c r="DS42" i="204"/>
  <c r="DO42" i="204"/>
  <c r="DN42" i="204"/>
  <c r="DM42" i="204"/>
  <c r="DL42" i="204"/>
  <c r="DK42" i="204"/>
  <c r="EL42" i="204" s="1"/>
  <c r="DJ42" i="204"/>
  <c r="DI42" i="204"/>
  <c r="DH42" i="204"/>
  <c r="FM42" i="204" s="1"/>
  <c r="DG42" i="204"/>
  <c r="DF42" i="204"/>
  <c r="ED42" i="204" s="1"/>
  <c r="DE42" i="204"/>
  <c r="FR42" i="204" s="1"/>
  <c r="DD42" i="204"/>
  <c r="FD42" i="204" s="1"/>
  <c r="FE42" i="204" s="1"/>
  <c r="FF42" i="204" s="1"/>
  <c r="FG42" i="204" s="1"/>
  <c r="Y42" i="204" s="1"/>
  <c r="DC42" i="204"/>
  <c r="DB42" i="204"/>
  <c r="DA42" i="204"/>
  <c r="CZ42" i="204"/>
  <c r="CY42" i="204"/>
  <c r="FS42" i="204" s="1"/>
  <c r="CX42" i="204"/>
  <c r="CW42" i="204"/>
  <c r="CV42" i="204"/>
  <c r="CU42" i="204"/>
  <c r="CQ42" i="204"/>
  <c r="CP42" i="204"/>
  <c r="CO42" i="204"/>
  <c r="CN42" i="204"/>
  <c r="CM42" i="204"/>
  <c r="CL42" i="204"/>
  <c r="CK42" i="204"/>
  <c r="CD42" i="204"/>
  <c r="AY42" i="204"/>
  <c r="AX42" i="204"/>
  <c r="AW42" i="204"/>
  <c r="AK42" i="204" s="1"/>
  <c r="AV42" i="204"/>
  <c r="AH42" i="204"/>
  <c r="AG42" i="204"/>
  <c r="AF42" i="204"/>
  <c r="AE42" i="204"/>
  <c r="C42" i="204"/>
  <c r="AD42" i="204" s="1"/>
  <c r="A42" i="204"/>
  <c r="GF42" i="204" s="1"/>
  <c r="GF41" i="204"/>
  <c r="GA41" i="204" s="1"/>
  <c r="FU41" i="204"/>
  <c r="FT41" i="204"/>
  <c r="FO41" i="204"/>
  <c r="FH41" i="204"/>
  <c r="FE41" i="204"/>
  <c r="FF41" i="204" s="1"/>
  <c r="FG41" i="204" s="1"/>
  <c r="Y41" i="204" s="1"/>
  <c r="FD41" i="204"/>
  <c r="FC41" i="204"/>
  <c r="EZ41" i="204"/>
  <c r="EY41" i="204"/>
  <c r="EX41" i="204"/>
  <c r="EN41" i="204"/>
  <c r="ER41" i="204" s="1"/>
  <c r="EF41" i="204"/>
  <c r="EE41" i="204"/>
  <c r="EG41" i="204" s="1"/>
  <c r="EA41" i="204"/>
  <c r="DY41" i="204"/>
  <c r="DX41" i="204"/>
  <c r="DW41" i="204"/>
  <c r="DV41" i="204"/>
  <c r="DS41" i="204"/>
  <c r="DP41" i="204"/>
  <c r="DO41" i="204"/>
  <c r="DN41" i="204"/>
  <c r="FI41" i="204" s="1"/>
  <c r="DM41" i="204"/>
  <c r="DL41" i="204"/>
  <c r="DK41" i="204"/>
  <c r="EL41" i="204" s="1"/>
  <c r="EM41" i="204" s="1"/>
  <c r="EQ41" i="204" s="1"/>
  <c r="DJ41" i="204"/>
  <c r="DI41" i="204"/>
  <c r="DH41" i="204"/>
  <c r="DG41" i="204"/>
  <c r="DF41" i="204"/>
  <c r="ED41" i="204" s="1"/>
  <c r="DE41" i="204"/>
  <c r="FR41" i="204" s="1"/>
  <c r="DD41" i="204"/>
  <c r="DC41" i="204"/>
  <c r="DB41" i="204"/>
  <c r="DA41" i="204"/>
  <c r="CZ41" i="204"/>
  <c r="CY41" i="204"/>
  <c r="CX41" i="204"/>
  <c r="CW41" i="204"/>
  <c r="CV41" i="204"/>
  <c r="DU41" i="204" s="1"/>
  <c r="CU41" i="204"/>
  <c r="FQ41" i="204" s="1"/>
  <c r="CQ41" i="204"/>
  <c r="CP41" i="204"/>
  <c r="CK41" i="204" s="1"/>
  <c r="CO41" i="204"/>
  <c r="CN41" i="204"/>
  <c r="CM41" i="204"/>
  <c r="CL41" i="204"/>
  <c r="CI41" i="204"/>
  <c r="AX41" i="204"/>
  <c r="K41" i="204"/>
  <c r="F41" i="204"/>
  <c r="C41" i="204"/>
  <c r="A41" i="204"/>
  <c r="GL40" i="204"/>
  <c r="GK40" i="204"/>
  <c r="GM40" i="204" s="1"/>
  <c r="GF40" i="204"/>
  <c r="FU40" i="204"/>
  <c r="FN40" i="204"/>
  <c r="FI40" i="204"/>
  <c r="FH40" i="204"/>
  <c r="FG40" i="204"/>
  <c r="Y40" i="204" s="1"/>
  <c r="FF40" i="204"/>
  <c r="FE40" i="204"/>
  <c r="FC40" i="204"/>
  <c r="FA40" i="204"/>
  <c r="EZ40" i="204"/>
  <c r="EY40" i="204"/>
  <c r="EX40" i="204"/>
  <c r="EB40" i="204"/>
  <c r="EA40" i="204"/>
  <c r="DY40" i="204"/>
  <c r="DX40" i="204"/>
  <c r="DS40" i="204"/>
  <c r="DP40" i="204"/>
  <c r="DO40" i="204"/>
  <c r="FJ40" i="204" s="1"/>
  <c r="FK40" i="204" s="1"/>
  <c r="FL40" i="204" s="1"/>
  <c r="Z40" i="204" s="1"/>
  <c r="DN40" i="204"/>
  <c r="DM40" i="204"/>
  <c r="DL40" i="204"/>
  <c r="DK40" i="204"/>
  <c r="EL40" i="204" s="1"/>
  <c r="DJ40" i="204"/>
  <c r="DI40" i="204"/>
  <c r="DH40" i="204"/>
  <c r="DG40" i="204"/>
  <c r="DF40" i="204"/>
  <c r="ED40" i="204" s="1"/>
  <c r="DE40" i="204"/>
  <c r="FR40" i="204" s="1"/>
  <c r="DD40" i="204"/>
  <c r="FD40" i="204" s="1"/>
  <c r="DC40" i="204"/>
  <c r="DB40" i="204"/>
  <c r="DA40" i="204"/>
  <c r="CZ40" i="204"/>
  <c r="CY40" i="204"/>
  <c r="FS40" i="204" s="1"/>
  <c r="CX40" i="204"/>
  <c r="CW40" i="204"/>
  <c r="CV40" i="204"/>
  <c r="DW40" i="204" s="1"/>
  <c r="CU40" i="204"/>
  <c r="FQ40" i="204" s="1"/>
  <c r="CQ40" i="204"/>
  <c r="CP40" i="204"/>
  <c r="CO40" i="204"/>
  <c r="CN40" i="204"/>
  <c r="CM40" i="204"/>
  <c r="CL40" i="204"/>
  <c r="CK40" i="204"/>
  <c r="AY40" i="204"/>
  <c r="AX40" i="204"/>
  <c r="AW40" i="204"/>
  <c r="AV40" i="204"/>
  <c r="AK40" i="204" s="1"/>
  <c r="AQ40" i="204"/>
  <c r="AR40" i="204" s="1"/>
  <c r="AO40" i="204"/>
  <c r="AN40" i="204"/>
  <c r="AH40" i="204"/>
  <c r="AG40" i="204"/>
  <c r="AF40" i="204"/>
  <c r="AE40" i="204"/>
  <c r="GL39" i="204"/>
  <c r="GK39" i="204"/>
  <c r="GM39" i="204" s="1"/>
  <c r="GF39" i="204"/>
  <c r="FU39" i="204"/>
  <c r="FO39" i="204"/>
  <c r="FN39" i="204"/>
  <c r="FM39" i="204"/>
  <c r="FH39" i="204"/>
  <c r="FD39" i="204"/>
  <c r="FC39" i="204"/>
  <c r="EZ39" i="204"/>
  <c r="EY39" i="204"/>
  <c r="EX39" i="204"/>
  <c r="EN39" i="204"/>
  <c r="ER39" i="204" s="1"/>
  <c r="EM39" i="204"/>
  <c r="EQ39" i="204" s="1"/>
  <c r="EE39" i="204"/>
  <c r="EA39" i="204"/>
  <c r="DY39" i="204"/>
  <c r="DX39" i="204"/>
  <c r="DW39" i="204"/>
  <c r="DV39" i="204"/>
  <c r="DS39" i="204"/>
  <c r="DP39" i="204"/>
  <c r="DO39" i="204"/>
  <c r="DN39" i="204"/>
  <c r="FI39" i="204" s="1"/>
  <c r="DM39" i="204"/>
  <c r="DL39" i="204"/>
  <c r="DK39" i="204"/>
  <c r="EL39" i="204" s="1"/>
  <c r="DJ39" i="204"/>
  <c r="DI39" i="204"/>
  <c r="DH39" i="204"/>
  <c r="FV39" i="204" s="1"/>
  <c r="DG39" i="204"/>
  <c r="DF39" i="204"/>
  <c r="ED39" i="204" s="1"/>
  <c r="DE39" i="204"/>
  <c r="FR39" i="204" s="1"/>
  <c r="DD39" i="204"/>
  <c r="DC39" i="204"/>
  <c r="DB39" i="204"/>
  <c r="DA39" i="204"/>
  <c r="CZ39" i="204"/>
  <c r="CY39" i="204"/>
  <c r="CX39" i="204"/>
  <c r="CW39" i="204"/>
  <c r="CV39" i="204"/>
  <c r="DU39" i="204" s="1"/>
  <c r="CU39" i="204"/>
  <c r="FQ39" i="204" s="1"/>
  <c r="CQ39" i="204"/>
  <c r="CP39" i="204"/>
  <c r="CO39" i="204"/>
  <c r="CN39" i="204"/>
  <c r="CM39" i="204"/>
  <c r="CL39" i="204"/>
  <c r="CK39" i="204"/>
  <c r="CI39" i="204"/>
  <c r="W39" i="204" s="1"/>
  <c r="AX39" i="204"/>
  <c r="AW39" i="204"/>
  <c r="AV39" i="204"/>
  <c r="AK39" i="204" s="1"/>
  <c r="AO39" i="204"/>
  <c r="AN39" i="204"/>
  <c r="AM39" i="204"/>
  <c r="AH39" i="204"/>
  <c r="AG39" i="204"/>
  <c r="AF39" i="204"/>
  <c r="AE39" i="204"/>
  <c r="V39" i="204"/>
  <c r="AT39" i="204" s="1"/>
  <c r="GL38" i="204"/>
  <c r="GK38" i="204"/>
  <c r="GM38" i="204" s="1"/>
  <c r="GF38" i="204"/>
  <c r="FT38" i="204"/>
  <c r="FS38" i="204"/>
  <c r="FR38" i="204"/>
  <c r="FC38" i="204"/>
  <c r="EZ38" i="204"/>
  <c r="EE38" i="204" s="1"/>
  <c r="EL38" i="204"/>
  <c r="DY38" i="204"/>
  <c r="DV38" i="204"/>
  <c r="DS38" i="204"/>
  <c r="DO38" i="204"/>
  <c r="FE38" i="204" s="1"/>
  <c r="FF38" i="204" s="1"/>
  <c r="FG38" i="204" s="1"/>
  <c r="Y38" i="204" s="1"/>
  <c r="DN38" i="204"/>
  <c r="FI38" i="204" s="1"/>
  <c r="FJ38" i="204" s="1"/>
  <c r="FK38" i="204" s="1"/>
  <c r="FL38" i="204" s="1"/>
  <c r="Z38" i="204" s="1"/>
  <c r="DM38" i="204"/>
  <c r="DL38" i="204"/>
  <c r="DK38" i="204"/>
  <c r="DJ38" i="204"/>
  <c r="DI38" i="204"/>
  <c r="DH38" i="204"/>
  <c r="FV38" i="204" s="1"/>
  <c r="DG38" i="204"/>
  <c r="DF38" i="204"/>
  <c r="DE38" i="204"/>
  <c r="FA38" i="204" s="1"/>
  <c r="DD38" i="204"/>
  <c r="FD38" i="204" s="1"/>
  <c r="DC38" i="204"/>
  <c r="DB38" i="204"/>
  <c r="DA38" i="204"/>
  <c r="CZ38" i="204"/>
  <c r="CY38" i="204"/>
  <c r="CX38" i="204"/>
  <c r="FU38" i="204" s="1"/>
  <c r="CW38" i="204"/>
  <c r="CV38" i="204"/>
  <c r="CU38" i="204"/>
  <c r="CQ38" i="204"/>
  <c r="CP38" i="204"/>
  <c r="CK38" i="204" s="1"/>
  <c r="CO38" i="204"/>
  <c r="CN38" i="204"/>
  <c r="CM38" i="204"/>
  <c r="CL38" i="204"/>
  <c r="CE38" i="204"/>
  <c r="CD38" i="204"/>
  <c r="AY38" i="204"/>
  <c r="AX38" i="204"/>
  <c r="AW38" i="204"/>
  <c r="AV38" i="204"/>
  <c r="AS38" i="204"/>
  <c r="AL38" i="204"/>
  <c r="AK38" i="204"/>
  <c r="AJ38" i="204"/>
  <c r="AH38" i="204"/>
  <c r="AG38" i="204"/>
  <c r="AF38" i="204"/>
  <c r="AE38" i="204"/>
  <c r="GL37" i="204"/>
  <c r="GK37" i="204"/>
  <c r="GM37" i="204" s="1"/>
  <c r="GF37" i="204"/>
  <c r="FV37" i="204"/>
  <c r="FU37" i="204"/>
  <c r="FT37" i="204"/>
  <c r="FO37" i="204"/>
  <c r="FN37" i="204"/>
  <c r="FH37" i="204"/>
  <c r="FD37" i="204"/>
  <c r="FE37" i="204" s="1"/>
  <c r="FF37" i="204" s="1"/>
  <c r="FG37" i="204" s="1"/>
  <c r="Y37" i="204" s="1"/>
  <c r="FC37" i="204"/>
  <c r="EZ37" i="204"/>
  <c r="EY37" i="204"/>
  <c r="EX37" i="204"/>
  <c r="EE37" i="204"/>
  <c r="EA37" i="204"/>
  <c r="DY37" i="204"/>
  <c r="DX37" i="204"/>
  <c r="DW37" i="204"/>
  <c r="DV37" i="204"/>
  <c r="DU37" i="204"/>
  <c r="DS37" i="204"/>
  <c r="DP37" i="204"/>
  <c r="DO37" i="204"/>
  <c r="FJ37" i="204" s="1"/>
  <c r="FK37" i="204" s="1"/>
  <c r="FL37" i="204" s="1"/>
  <c r="Z37" i="204" s="1"/>
  <c r="DN37" i="204"/>
  <c r="FI37" i="204" s="1"/>
  <c r="DM37" i="204"/>
  <c r="DL37" i="204"/>
  <c r="DK37" i="204"/>
  <c r="EL37" i="204" s="1"/>
  <c r="DJ37" i="204"/>
  <c r="DI37" i="204"/>
  <c r="DH37" i="204"/>
  <c r="FM37" i="204" s="1"/>
  <c r="DG37" i="204"/>
  <c r="DF37" i="204"/>
  <c r="ED37" i="204" s="1"/>
  <c r="DE37" i="204"/>
  <c r="FR37" i="204" s="1"/>
  <c r="DD37" i="204"/>
  <c r="DC37" i="204"/>
  <c r="DT37" i="204" s="1"/>
  <c r="DB37" i="204"/>
  <c r="DA37" i="204"/>
  <c r="CZ37" i="204"/>
  <c r="CY37" i="204"/>
  <c r="CX37" i="204"/>
  <c r="CW37" i="204"/>
  <c r="CV37" i="204"/>
  <c r="CU37" i="204"/>
  <c r="FQ37" i="204" s="1"/>
  <c r="CQ37" i="204"/>
  <c r="CP37" i="204"/>
  <c r="CO37" i="204"/>
  <c r="CN37" i="204"/>
  <c r="CM37" i="204"/>
  <c r="CL37" i="204"/>
  <c r="CK37" i="204"/>
  <c r="AX37" i="204"/>
  <c r="AW37" i="204"/>
  <c r="AV37" i="204"/>
  <c r="AK37" i="204" s="1"/>
  <c r="AH37" i="204"/>
  <c r="AG37" i="204"/>
  <c r="AF37" i="204"/>
  <c r="AE37" i="204"/>
  <c r="K37" i="204"/>
  <c r="J37" i="204"/>
  <c r="I37" i="204"/>
  <c r="GM36" i="204"/>
  <c r="GL36" i="204"/>
  <c r="GK36" i="204"/>
  <c r="GF36" i="204"/>
  <c r="FV36" i="204"/>
  <c r="FU36" i="204"/>
  <c r="FN36" i="204"/>
  <c r="FM36" i="204"/>
  <c r="FL36" i="204"/>
  <c r="FK36" i="204"/>
  <c r="FF36" i="204"/>
  <c r="FG36" i="204" s="1"/>
  <c r="Y36" i="204" s="1"/>
  <c r="FE36" i="204"/>
  <c r="FD36" i="204"/>
  <c r="FC36" i="204"/>
  <c r="EZ36" i="204"/>
  <c r="EY36" i="204"/>
  <c r="EX36" i="204"/>
  <c r="EL36" i="204"/>
  <c r="ED36" i="204"/>
  <c r="DY36" i="204"/>
  <c r="DX36" i="204"/>
  <c r="DW36" i="204"/>
  <c r="FO36" i="204" s="1"/>
  <c r="DV36" i="204"/>
  <c r="DU36" i="204"/>
  <c r="DS36" i="204"/>
  <c r="DP36" i="204"/>
  <c r="DO36" i="204"/>
  <c r="FJ36" i="204" s="1"/>
  <c r="DN36" i="204"/>
  <c r="FI36" i="204" s="1"/>
  <c r="DM36" i="204"/>
  <c r="DL36" i="204"/>
  <c r="DK36" i="204"/>
  <c r="DJ36" i="204"/>
  <c r="DI36" i="204"/>
  <c r="DH36" i="204"/>
  <c r="DG36" i="204"/>
  <c r="DF36" i="204"/>
  <c r="DE36" i="204"/>
  <c r="FR36" i="204" s="1"/>
  <c r="DD36" i="204"/>
  <c r="DC36" i="204"/>
  <c r="DB36" i="204"/>
  <c r="DA36" i="204"/>
  <c r="EE36" i="204" s="1"/>
  <c r="EG36" i="204" s="1"/>
  <c r="CZ36" i="204"/>
  <c r="CY36" i="204"/>
  <c r="FS36" i="204" s="1"/>
  <c r="CX36" i="204"/>
  <c r="FH36" i="204" s="1"/>
  <c r="CW36" i="204"/>
  <c r="CV36" i="204"/>
  <c r="FQ36" i="204" s="1"/>
  <c r="CU36" i="204"/>
  <c r="CQ36" i="204"/>
  <c r="CP36" i="204"/>
  <c r="CO36" i="204"/>
  <c r="CN36" i="204"/>
  <c r="CM36" i="204"/>
  <c r="CL36" i="204"/>
  <c r="AX36" i="204"/>
  <c r="AW36" i="204"/>
  <c r="AV36" i="204"/>
  <c r="AK36" i="204" s="1"/>
  <c r="AO36" i="204"/>
  <c r="AN36" i="204"/>
  <c r="AH36" i="204"/>
  <c r="AG36" i="204"/>
  <c r="AF36" i="204"/>
  <c r="AE36" i="204"/>
  <c r="Z36" i="204"/>
  <c r="K36" i="204"/>
  <c r="GL35" i="204"/>
  <c r="GK35" i="204"/>
  <c r="GM35" i="204" s="1"/>
  <c r="GF35" i="204"/>
  <c r="FV35" i="204"/>
  <c r="FU35" i="204"/>
  <c r="FN35" i="204"/>
  <c r="FM35" i="204"/>
  <c r="FI35" i="204"/>
  <c r="FH35" i="204"/>
  <c r="FC35" i="204"/>
  <c r="FA35" i="204"/>
  <c r="EZ35" i="204"/>
  <c r="EN35" i="204"/>
  <c r="EB35" i="204"/>
  <c r="EA35" i="204"/>
  <c r="DY35" i="204"/>
  <c r="DX35" i="204"/>
  <c r="DS35" i="204"/>
  <c r="DP35" i="204"/>
  <c r="DO35" i="204"/>
  <c r="FJ35" i="204" s="1"/>
  <c r="FK35" i="204" s="1"/>
  <c r="FL35" i="204" s="1"/>
  <c r="DN35" i="204"/>
  <c r="DM35" i="204"/>
  <c r="DL35" i="204"/>
  <c r="DK35" i="204"/>
  <c r="EL35" i="204" s="1"/>
  <c r="EM35" i="204" s="1"/>
  <c r="DJ35" i="204"/>
  <c r="DI35" i="204"/>
  <c r="DH35" i="204"/>
  <c r="DG35" i="204"/>
  <c r="DF35" i="204"/>
  <c r="ED35" i="204" s="1"/>
  <c r="DE35" i="204"/>
  <c r="FR35" i="204" s="1"/>
  <c r="DD35" i="204"/>
  <c r="FD35" i="204" s="1"/>
  <c r="FE35" i="204" s="1"/>
  <c r="FF35" i="204" s="1"/>
  <c r="FG35" i="204" s="1"/>
  <c r="DC35" i="204"/>
  <c r="DB35" i="204"/>
  <c r="DA35" i="204"/>
  <c r="CZ35" i="204"/>
  <c r="CY35" i="204"/>
  <c r="FS35" i="204" s="1"/>
  <c r="CX35" i="204"/>
  <c r="CW35" i="204"/>
  <c r="CV35" i="204"/>
  <c r="DW35" i="204" s="1"/>
  <c r="CU35" i="204"/>
  <c r="CQ35" i="204"/>
  <c r="CP35" i="204"/>
  <c r="CO35" i="204"/>
  <c r="CN35" i="204"/>
  <c r="CM35" i="204"/>
  <c r="CL35" i="204"/>
  <c r="CK35" i="204"/>
  <c r="AY35" i="204"/>
  <c r="AX35" i="204"/>
  <c r="AW35" i="204"/>
  <c r="AV35" i="204"/>
  <c r="AK35" i="204" s="1"/>
  <c r="AQ35" i="204" s="1"/>
  <c r="AH35" i="204"/>
  <c r="AG35" i="204"/>
  <c r="AF35" i="204"/>
  <c r="AE35" i="204"/>
  <c r="GL34" i="204"/>
  <c r="GK34" i="204"/>
  <c r="GM34" i="204" s="1"/>
  <c r="GF34" i="204"/>
  <c r="FV34" i="204"/>
  <c r="FS34" i="204"/>
  <c r="FR34" i="204"/>
  <c r="FJ34" i="204"/>
  <c r="FK34" i="204" s="1"/>
  <c r="FL34" i="204" s="1"/>
  <c r="FI34" i="204"/>
  <c r="FH34" i="204"/>
  <c r="FG34" i="204"/>
  <c r="FC34" i="204"/>
  <c r="EZ34" i="204"/>
  <c r="EE34" i="204" s="1"/>
  <c r="EY34" i="204"/>
  <c r="EC34" i="204"/>
  <c r="EB34" i="204"/>
  <c r="EA34" i="204"/>
  <c r="DZ34" i="204"/>
  <c r="DY34" i="204"/>
  <c r="DS34" i="204"/>
  <c r="DO34" i="204"/>
  <c r="DN34" i="204"/>
  <c r="DM34" i="204"/>
  <c r="FP34" i="204" s="1"/>
  <c r="DL34" i="204"/>
  <c r="DK34" i="204"/>
  <c r="EL34" i="204" s="1"/>
  <c r="DJ34" i="204"/>
  <c r="DI34" i="204"/>
  <c r="FT34" i="204" s="1"/>
  <c r="DH34" i="204"/>
  <c r="FM34" i="204" s="1"/>
  <c r="DG34" i="204"/>
  <c r="DF34" i="204"/>
  <c r="ED34" i="204" s="1"/>
  <c r="DE34" i="204"/>
  <c r="DD34" i="204"/>
  <c r="FD34" i="204" s="1"/>
  <c r="FE34" i="204" s="1"/>
  <c r="FF34" i="204" s="1"/>
  <c r="DC34" i="204"/>
  <c r="DB34" i="204"/>
  <c r="DA34" i="204"/>
  <c r="CZ34" i="204"/>
  <c r="CY34" i="204"/>
  <c r="CX34" i="204"/>
  <c r="FU34" i="204" s="1"/>
  <c r="CW34" i="204"/>
  <c r="CV34" i="204"/>
  <c r="DU34" i="204" s="1"/>
  <c r="CU34" i="204"/>
  <c r="EX34" i="204" s="1"/>
  <c r="CQ34" i="204"/>
  <c r="CP34" i="204"/>
  <c r="CO34" i="204"/>
  <c r="CN34" i="204"/>
  <c r="CM34" i="204"/>
  <c r="CL34" i="204"/>
  <c r="CK34" i="204"/>
  <c r="CE34" i="204"/>
  <c r="CD34" i="204"/>
  <c r="AY34" i="204"/>
  <c r="AX34" i="204"/>
  <c r="AW34" i="204"/>
  <c r="AV34" i="204"/>
  <c r="AK34" i="204"/>
  <c r="AH34" i="204"/>
  <c r="AG34" i="204"/>
  <c r="AF34" i="204"/>
  <c r="AE34" i="204"/>
  <c r="GM33" i="204"/>
  <c r="GL33" i="204"/>
  <c r="GK33" i="204"/>
  <c r="GF33" i="204"/>
  <c r="FT33" i="204"/>
  <c r="FS33" i="204"/>
  <c r="FR33" i="204"/>
  <c r="FC33" i="204"/>
  <c r="EL33" i="204" s="1"/>
  <c r="FB33" i="204"/>
  <c r="EZ33" i="204"/>
  <c r="EE33" i="204"/>
  <c r="ED33" i="204"/>
  <c r="EC33" i="204"/>
  <c r="EB33" i="204"/>
  <c r="DY33" i="204"/>
  <c r="DS33" i="204"/>
  <c r="DO33" i="204"/>
  <c r="DN33" i="204"/>
  <c r="FI33" i="204" s="1"/>
  <c r="FJ33" i="204" s="1"/>
  <c r="FK33" i="204" s="1"/>
  <c r="FL33" i="204" s="1"/>
  <c r="DM33" i="204"/>
  <c r="DL33" i="204"/>
  <c r="DK33" i="204"/>
  <c r="DJ33" i="204"/>
  <c r="DI33" i="204"/>
  <c r="DH33" i="204"/>
  <c r="FV33" i="204" s="1"/>
  <c r="DG33" i="204"/>
  <c r="DF33" i="204"/>
  <c r="EA33" i="204" s="1"/>
  <c r="DE33" i="204"/>
  <c r="FA33" i="204" s="1"/>
  <c r="DD33" i="204"/>
  <c r="FD33" i="204" s="1"/>
  <c r="DC33" i="204"/>
  <c r="DB33" i="204"/>
  <c r="DA33" i="204"/>
  <c r="CZ33" i="204"/>
  <c r="CY33" i="204"/>
  <c r="CD33" i="204" s="1"/>
  <c r="CX33" i="204"/>
  <c r="CW33" i="204"/>
  <c r="CV33" i="204"/>
  <c r="CU33" i="204"/>
  <c r="EY33" i="204" s="1"/>
  <c r="CQ33" i="204"/>
  <c r="CP33" i="204"/>
  <c r="CK33" i="204" s="1"/>
  <c r="CO33" i="204"/>
  <c r="CN33" i="204"/>
  <c r="CM33" i="204"/>
  <c r="CL33" i="204"/>
  <c r="CE33" i="204"/>
  <c r="AX33" i="204"/>
  <c r="AW33" i="204"/>
  <c r="AV33" i="204"/>
  <c r="AL33" i="204"/>
  <c r="AK33" i="204"/>
  <c r="AJ33" i="204"/>
  <c r="AH33" i="204"/>
  <c r="AG33" i="204"/>
  <c r="AF33" i="204"/>
  <c r="AE33" i="204"/>
  <c r="Z33" i="204"/>
  <c r="GL32" i="204"/>
  <c r="GK32" i="204"/>
  <c r="GM32" i="204" s="1"/>
  <c r="GF32" i="204"/>
  <c r="FU32" i="204"/>
  <c r="FN32" i="204"/>
  <c r="FI32" i="204"/>
  <c r="FH32" i="204"/>
  <c r="FF32" i="204"/>
  <c r="FG32" i="204" s="1"/>
  <c r="Y32" i="204" s="1"/>
  <c r="FE32" i="204"/>
  <c r="FC32" i="204"/>
  <c r="FA32" i="204"/>
  <c r="EZ32" i="204"/>
  <c r="EB32" i="204"/>
  <c r="EA32" i="204"/>
  <c r="DY32" i="204"/>
  <c r="DX32" i="204"/>
  <c r="DS32" i="204"/>
  <c r="DP32" i="204"/>
  <c r="DO32" i="204"/>
  <c r="FJ32" i="204" s="1"/>
  <c r="FK32" i="204" s="1"/>
  <c r="FL32" i="204" s="1"/>
  <c r="Z32" i="204" s="1"/>
  <c r="DN32" i="204"/>
  <c r="DM32" i="204"/>
  <c r="DL32" i="204"/>
  <c r="DK32" i="204"/>
  <c r="EL32" i="204" s="1"/>
  <c r="DJ32" i="204"/>
  <c r="DI32" i="204"/>
  <c r="DH32" i="204"/>
  <c r="DG32" i="204"/>
  <c r="DF32" i="204"/>
  <c r="ED32" i="204" s="1"/>
  <c r="DE32" i="204"/>
  <c r="FR32" i="204" s="1"/>
  <c r="DD32" i="204"/>
  <c r="FD32" i="204" s="1"/>
  <c r="DC32" i="204"/>
  <c r="DB32" i="204"/>
  <c r="DA32" i="204"/>
  <c r="CZ32" i="204"/>
  <c r="CY32" i="204"/>
  <c r="FS32" i="204" s="1"/>
  <c r="CX32" i="204"/>
  <c r="CW32" i="204"/>
  <c r="CV32" i="204"/>
  <c r="DW32" i="204" s="1"/>
  <c r="CU32" i="204"/>
  <c r="CQ32" i="204"/>
  <c r="CK32" i="204" s="1"/>
  <c r="CP32" i="204"/>
  <c r="CO32" i="204"/>
  <c r="CN32" i="204"/>
  <c r="CM32" i="204"/>
  <c r="CL32" i="204"/>
  <c r="AY32" i="204"/>
  <c r="AX32" i="204"/>
  <c r="AW32" i="204"/>
  <c r="AV32" i="204"/>
  <c r="AK32" i="204" s="1"/>
  <c r="AQ32" i="204"/>
  <c r="AR32" i="204" s="1"/>
  <c r="AO32" i="204"/>
  <c r="AN32" i="204"/>
  <c r="AH32" i="204"/>
  <c r="AG32" i="204"/>
  <c r="AF32" i="204"/>
  <c r="AE32" i="204"/>
  <c r="GM31" i="204"/>
  <c r="GL31" i="204"/>
  <c r="GK31" i="204"/>
  <c r="GF31" i="204"/>
  <c r="FT31" i="204"/>
  <c r="FR31" i="204"/>
  <c r="FQ31" i="204"/>
  <c r="FK31" i="204"/>
  <c r="FL31" i="204" s="1"/>
  <c r="FJ31" i="204"/>
  <c r="FC31" i="204"/>
  <c r="FB31" i="204"/>
  <c r="FA31" i="204"/>
  <c r="EZ31" i="204"/>
  <c r="EL31" i="204"/>
  <c r="EE31" i="204"/>
  <c r="ED31" i="204"/>
  <c r="DY31" i="204"/>
  <c r="DV31" i="204"/>
  <c r="DT31" i="204"/>
  <c r="DS31" i="204"/>
  <c r="DO31" i="204"/>
  <c r="DN31" i="204"/>
  <c r="FI31" i="204" s="1"/>
  <c r="DM31" i="204"/>
  <c r="DL31" i="204"/>
  <c r="DK31" i="204"/>
  <c r="DJ31" i="204"/>
  <c r="DI31" i="204"/>
  <c r="DH31" i="204"/>
  <c r="FV31" i="204" s="1"/>
  <c r="DG31" i="204"/>
  <c r="DF31" i="204"/>
  <c r="EA31" i="204" s="1"/>
  <c r="DE31" i="204"/>
  <c r="DD31" i="204"/>
  <c r="FD31" i="204" s="1"/>
  <c r="DC31" i="204"/>
  <c r="DB31" i="204"/>
  <c r="DA31" i="204"/>
  <c r="CZ31" i="204"/>
  <c r="CY31" i="204"/>
  <c r="CX31" i="204"/>
  <c r="CW31" i="204"/>
  <c r="CV31" i="204"/>
  <c r="DW31" i="204" s="1"/>
  <c r="CU31" i="204"/>
  <c r="EY31" i="204" s="1"/>
  <c r="CQ31" i="204"/>
  <c r="CP31" i="204"/>
  <c r="CK31" i="204" s="1"/>
  <c r="CO31" i="204"/>
  <c r="CN31" i="204"/>
  <c r="CM31" i="204"/>
  <c r="CL31" i="204"/>
  <c r="CE31" i="204"/>
  <c r="CD31" i="204"/>
  <c r="AZ31" i="204"/>
  <c r="AX31" i="204"/>
  <c r="AW31" i="204"/>
  <c r="AV31" i="204"/>
  <c r="AS31" i="204"/>
  <c r="AM31" i="204"/>
  <c r="AL31" i="204"/>
  <c r="AK31" i="204"/>
  <c r="AJ31" i="204" s="1"/>
  <c r="AH31" i="204"/>
  <c r="AG31" i="204"/>
  <c r="AF31" i="204"/>
  <c r="AE31" i="204"/>
  <c r="GL30" i="204"/>
  <c r="GK30" i="204"/>
  <c r="GM30" i="204" s="1"/>
  <c r="GF30" i="204"/>
  <c r="FU30" i="204"/>
  <c r="FH30" i="204"/>
  <c r="FD30" i="204"/>
  <c r="FE30" i="204" s="1"/>
  <c r="FF30" i="204" s="1"/>
  <c r="FG30" i="204" s="1"/>
  <c r="Y30" i="204" s="1"/>
  <c r="FC30" i="204"/>
  <c r="EZ30" i="204"/>
  <c r="EY30" i="204"/>
  <c r="EX30" i="204"/>
  <c r="EN30" i="204"/>
  <c r="EM30" i="204"/>
  <c r="EA30" i="204"/>
  <c r="DZ30" i="204"/>
  <c r="DY30" i="204"/>
  <c r="DX30" i="204"/>
  <c r="DW30" i="204"/>
  <c r="FO30" i="204" s="1"/>
  <c r="DV30" i="204"/>
  <c r="DS30" i="204"/>
  <c r="DP30" i="204"/>
  <c r="DO30" i="204"/>
  <c r="FJ30" i="204" s="1"/>
  <c r="FK30" i="204" s="1"/>
  <c r="FL30" i="204" s="1"/>
  <c r="Z30" i="204" s="1"/>
  <c r="DN30" i="204"/>
  <c r="FI30" i="204" s="1"/>
  <c r="DM30" i="204"/>
  <c r="DL30" i="204"/>
  <c r="DK30" i="204"/>
  <c r="EL30" i="204" s="1"/>
  <c r="DJ30" i="204"/>
  <c r="DI30" i="204"/>
  <c r="DH30" i="204"/>
  <c r="DG30" i="204"/>
  <c r="DF30" i="204"/>
  <c r="ED30" i="204" s="1"/>
  <c r="DE30" i="204"/>
  <c r="FR30" i="204" s="1"/>
  <c r="DD30" i="204"/>
  <c r="DC30" i="204"/>
  <c r="DB30" i="204"/>
  <c r="DA30" i="204"/>
  <c r="EE30" i="204" s="1"/>
  <c r="CZ30" i="204"/>
  <c r="CY30" i="204"/>
  <c r="CX30" i="204"/>
  <c r="CW30" i="204"/>
  <c r="CV30" i="204"/>
  <c r="DU30" i="204" s="1"/>
  <c r="CU30" i="204"/>
  <c r="FQ30" i="204" s="1"/>
  <c r="CQ30" i="204"/>
  <c r="CP30" i="204"/>
  <c r="CK30" i="204" s="1"/>
  <c r="CO30" i="204"/>
  <c r="CN30" i="204"/>
  <c r="CM30" i="204"/>
  <c r="CL30" i="204"/>
  <c r="AX30" i="204"/>
  <c r="AW30" i="204"/>
  <c r="AV30" i="204"/>
  <c r="AK30" i="204" s="1"/>
  <c r="AO30" i="204"/>
  <c r="AN30" i="204"/>
  <c r="AM30" i="204"/>
  <c r="AH30" i="204"/>
  <c r="AG30" i="204"/>
  <c r="AF30" i="204"/>
  <c r="AE30" i="204"/>
  <c r="GM29" i="204"/>
  <c r="GL29" i="204"/>
  <c r="GK29" i="204"/>
  <c r="GF29" i="204"/>
  <c r="FT29" i="204"/>
  <c r="FS29" i="204"/>
  <c r="FR29" i="204"/>
  <c r="FQ29" i="204"/>
  <c r="FI29" i="204"/>
  <c r="FJ29" i="204" s="1"/>
  <c r="FK29" i="204" s="1"/>
  <c r="FL29" i="204" s="1"/>
  <c r="Z29" i="204" s="1"/>
  <c r="FH29" i="204"/>
  <c r="FC29" i="204"/>
  <c r="EZ29" i="204"/>
  <c r="EE29" i="204" s="1"/>
  <c r="EL29" i="204"/>
  <c r="DY29" i="204"/>
  <c r="DV29" i="204"/>
  <c r="DU29" i="204"/>
  <c r="DS29" i="204"/>
  <c r="DO29" i="204"/>
  <c r="DN29" i="204"/>
  <c r="DM29" i="204"/>
  <c r="DL29" i="204"/>
  <c r="DK29" i="204"/>
  <c r="DJ29" i="204"/>
  <c r="DI29" i="204"/>
  <c r="DH29" i="204"/>
  <c r="FV29" i="204" s="1"/>
  <c r="DG29" i="204"/>
  <c r="DF29" i="204"/>
  <c r="EB29" i="204" s="1"/>
  <c r="DE29" i="204"/>
  <c r="FB29" i="204" s="1"/>
  <c r="DD29" i="204"/>
  <c r="FD29" i="204" s="1"/>
  <c r="DC29" i="204"/>
  <c r="DB29" i="204"/>
  <c r="DA29" i="204"/>
  <c r="CZ29" i="204"/>
  <c r="CY29" i="204"/>
  <c r="CX29" i="204"/>
  <c r="FU29" i="204" s="1"/>
  <c r="CW29" i="204"/>
  <c r="CV29" i="204"/>
  <c r="CU29" i="204"/>
  <c r="CQ29" i="204"/>
  <c r="CP29" i="204"/>
  <c r="CK29" i="204" s="1"/>
  <c r="CO29" i="204"/>
  <c r="CN29" i="204"/>
  <c r="CM29" i="204"/>
  <c r="CL29" i="204"/>
  <c r="CE29" i="204"/>
  <c r="CD29" i="204"/>
  <c r="AZ29" i="204"/>
  <c r="AY29" i="204"/>
  <c r="AX29" i="204"/>
  <c r="AW29" i="204"/>
  <c r="AV29" i="204"/>
  <c r="AS29" i="204"/>
  <c r="AQ29" i="204"/>
  <c r="AL29" i="204"/>
  <c r="AK29" i="204"/>
  <c r="AJ29" i="204" s="1"/>
  <c r="AH29" i="204"/>
  <c r="AG29" i="204"/>
  <c r="AF29" i="204"/>
  <c r="AE29" i="204"/>
  <c r="GL28" i="204"/>
  <c r="GK28" i="204"/>
  <c r="GM28" i="204" s="1"/>
  <c r="GF28" i="204"/>
  <c r="FV28" i="204"/>
  <c r="FU28" i="204"/>
  <c r="FT28" i="204"/>
  <c r="FO28" i="204"/>
  <c r="FH28" i="204"/>
  <c r="FD28" i="204"/>
  <c r="FC28" i="204"/>
  <c r="EZ28" i="204"/>
  <c r="EY28" i="204"/>
  <c r="EX28" i="204"/>
  <c r="EN28" i="204"/>
  <c r="EF28" i="204"/>
  <c r="EE28" i="204"/>
  <c r="EG28" i="204" s="1"/>
  <c r="EA28" i="204"/>
  <c r="DY28" i="204"/>
  <c r="DX28" i="204"/>
  <c r="DW28" i="204"/>
  <c r="DV28" i="204"/>
  <c r="DS28" i="204"/>
  <c r="DP28" i="204"/>
  <c r="DO28" i="204"/>
  <c r="DN28" i="204"/>
  <c r="FI28" i="204" s="1"/>
  <c r="DM28" i="204"/>
  <c r="DL28" i="204"/>
  <c r="DK28" i="204"/>
  <c r="EL28" i="204" s="1"/>
  <c r="EM28" i="204" s="1"/>
  <c r="EQ28" i="204" s="1"/>
  <c r="DJ28" i="204"/>
  <c r="DI28" i="204"/>
  <c r="DH28" i="204"/>
  <c r="FM28" i="204" s="1"/>
  <c r="DG28" i="204"/>
  <c r="DF28" i="204"/>
  <c r="ED28" i="204" s="1"/>
  <c r="DE28" i="204"/>
  <c r="FR28" i="204" s="1"/>
  <c r="DD28" i="204"/>
  <c r="DC28" i="204"/>
  <c r="DT28" i="204" s="1"/>
  <c r="DB28" i="204"/>
  <c r="DA28" i="204"/>
  <c r="CZ28" i="204"/>
  <c r="CY28" i="204"/>
  <c r="CX28" i="204"/>
  <c r="CW28" i="204"/>
  <c r="CV28" i="204"/>
  <c r="DU28" i="204" s="1"/>
  <c r="CU28" i="204"/>
  <c r="FQ28" i="204" s="1"/>
  <c r="CQ28" i="204"/>
  <c r="CP28" i="204"/>
  <c r="CK28" i="204" s="1"/>
  <c r="CO28" i="204"/>
  <c r="CN28" i="204"/>
  <c r="CM28" i="204"/>
  <c r="CL28" i="204"/>
  <c r="AX28" i="204"/>
  <c r="AW28" i="204"/>
  <c r="AV28" i="204"/>
  <c r="AK28" i="204" s="1"/>
  <c r="AO28" i="204"/>
  <c r="AN28" i="204"/>
  <c r="AM28" i="204"/>
  <c r="AH28" i="204"/>
  <c r="AG28" i="204"/>
  <c r="AF28" i="204"/>
  <c r="AE28" i="204"/>
  <c r="GL27" i="204"/>
  <c r="GK27" i="204"/>
  <c r="GM27" i="204" s="1"/>
  <c r="GF27" i="204"/>
  <c r="FT27" i="204"/>
  <c r="FS27" i="204"/>
  <c r="FH27" i="204"/>
  <c r="FC27" i="204"/>
  <c r="EZ27" i="204"/>
  <c r="EE27" i="204" s="1"/>
  <c r="EL27" i="204"/>
  <c r="ED27" i="204"/>
  <c r="EA27" i="204"/>
  <c r="DY27" i="204"/>
  <c r="DS27" i="204"/>
  <c r="DO27" i="204"/>
  <c r="DN27" i="204"/>
  <c r="FI27" i="204" s="1"/>
  <c r="FJ27" i="204" s="1"/>
  <c r="FK27" i="204" s="1"/>
  <c r="FL27" i="204" s="1"/>
  <c r="Z27" i="204" s="1"/>
  <c r="DM27" i="204"/>
  <c r="DL27" i="204"/>
  <c r="DK27" i="204"/>
  <c r="DJ27" i="204"/>
  <c r="DI27" i="204"/>
  <c r="DH27" i="204"/>
  <c r="FV27" i="204" s="1"/>
  <c r="DG27" i="204"/>
  <c r="DF27" i="204"/>
  <c r="DE27" i="204"/>
  <c r="DD27" i="204"/>
  <c r="FD27" i="204" s="1"/>
  <c r="DC27" i="204"/>
  <c r="DT27" i="204" s="1"/>
  <c r="DB27" i="204"/>
  <c r="DA27" i="204"/>
  <c r="CZ27" i="204"/>
  <c r="CY27" i="204"/>
  <c r="CX27" i="204"/>
  <c r="FU27" i="204" s="1"/>
  <c r="CW27" i="204"/>
  <c r="CV27" i="204"/>
  <c r="CU27" i="204"/>
  <c r="CQ27" i="204"/>
  <c r="CP27" i="204"/>
  <c r="CK27" i="204" s="1"/>
  <c r="CO27" i="204"/>
  <c r="CN27" i="204"/>
  <c r="CM27" i="204"/>
  <c r="CL27" i="204"/>
  <c r="CE27" i="204"/>
  <c r="CD27" i="204"/>
  <c r="AY27" i="204"/>
  <c r="AX27" i="204"/>
  <c r="AW27" i="204"/>
  <c r="AV27" i="204"/>
  <c r="AS27" i="204"/>
  <c r="AK27" i="204"/>
  <c r="AJ27" i="204" s="1"/>
  <c r="AH27" i="204"/>
  <c r="AG27" i="204"/>
  <c r="AF27" i="204"/>
  <c r="AE27" i="204"/>
  <c r="GL26" i="204"/>
  <c r="GK26" i="204"/>
  <c r="GM26" i="204" s="1"/>
  <c r="GF26" i="204"/>
  <c r="FV26" i="204"/>
  <c r="FU26" i="204"/>
  <c r="FN26" i="204"/>
  <c r="FH26" i="204"/>
  <c r="FF26" i="204"/>
  <c r="FG26" i="204" s="1"/>
  <c r="Y26" i="204" s="1"/>
  <c r="FE26" i="204"/>
  <c r="FD26" i="204"/>
  <c r="FC26" i="204"/>
  <c r="EZ26" i="204"/>
  <c r="EY26" i="204"/>
  <c r="EX26" i="204"/>
  <c r="EG26" i="204"/>
  <c r="EF26" i="204"/>
  <c r="EA26" i="204"/>
  <c r="DY26" i="204"/>
  <c r="DX26" i="204"/>
  <c r="DW26" i="204"/>
  <c r="FO26" i="204" s="1"/>
  <c r="DS26" i="204"/>
  <c r="DP26" i="204"/>
  <c r="DO26" i="204"/>
  <c r="DN26" i="204"/>
  <c r="FI26" i="204" s="1"/>
  <c r="DM26" i="204"/>
  <c r="DL26" i="204"/>
  <c r="DK26" i="204"/>
  <c r="EL26" i="204" s="1"/>
  <c r="DJ26" i="204"/>
  <c r="DI26" i="204"/>
  <c r="DH26" i="204"/>
  <c r="FM26" i="204" s="1"/>
  <c r="DG26" i="204"/>
  <c r="DF26" i="204"/>
  <c r="ED26" i="204" s="1"/>
  <c r="DE26" i="204"/>
  <c r="FR26" i="204" s="1"/>
  <c r="DD26" i="204"/>
  <c r="DC26" i="204"/>
  <c r="DT26" i="204" s="1"/>
  <c r="DB26" i="204"/>
  <c r="DA26" i="204"/>
  <c r="EE26" i="204" s="1"/>
  <c r="CZ26" i="204"/>
  <c r="CY26" i="204"/>
  <c r="CX26" i="204"/>
  <c r="CW26" i="204"/>
  <c r="CV26" i="204"/>
  <c r="DV26" i="204" s="1"/>
  <c r="CU26" i="204"/>
  <c r="FQ26" i="204" s="1"/>
  <c r="CQ26" i="204"/>
  <c r="CP26" i="204"/>
  <c r="CO26" i="204"/>
  <c r="CN26" i="204"/>
  <c r="CM26" i="204"/>
  <c r="CL26" i="204"/>
  <c r="CK26" i="204"/>
  <c r="AX26" i="204"/>
  <c r="AW26" i="204"/>
  <c r="AV26" i="204"/>
  <c r="AK26" i="204" s="1"/>
  <c r="AO26" i="204"/>
  <c r="AN26" i="204"/>
  <c r="AH26" i="204"/>
  <c r="AG26" i="204"/>
  <c r="AF26" i="204"/>
  <c r="AE26" i="204"/>
  <c r="GL25" i="204"/>
  <c r="GK25" i="204"/>
  <c r="GM25" i="204" s="1"/>
  <c r="GF25" i="204"/>
  <c r="FV25" i="204"/>
  <c r="FU25" i="204"/>
  <c r="FN25" i="204"/>
  <c r="FM25" i="204"/>
  <c r="FI25" i="204"/>
  <c r="FH25" i="204"/>
  <c r="FC25" i="204"/>
  <c r="FA25" i="204"/>
  <c r="EZ25" i="204"/>
  <c r="EE25" i="204" s="1"/>
  <c r="EB25" i="204"/>
  <c r="EA25" i="204"/>
  <c r="DZ25" i="204"/>
  <c r="DY25" i="204"/>
  <c r="DX25" i="204"/>
  <c r="DS25" i="204"/>
  <c r="DP25" i="204"/>
  <c r="DO25" i="204"/>
  <c r="FJ25" i="204" s="1"/>
  <c r="FK25" i="204" s="1"/>
  <c r="FL25" i="204" s="1"/>
  <c r="Z25" i="204" s="1"/>
  <c r="DN25" i="204"/>
  <c r="DM25" i="204"/>
  <c r="DL25" i="204"/>
  <c r="DK25" i="204"/>
  <c r="EL25" i="204" s="1"/>
  <c r="DJ25" i="204"/>
  <c r="DI25" i="204"/>
  <c r="DH25" i="204"/>
  <c r="DG25" i="204"/>
  <c r="DF25" i="204"/>
  <c r="ED25" i="204" s="1"/>
  <c r="DE25" i="204"/>
  <c r="FR25" i="204" s="1"/>
  <c r="DD25" i="204"/>
  <c r="FD25" i="204" s="1"/>
  <c r="FE25" i="204" s="1"/>
  <c r="FF25" i="204" s="1"/>
  <c r="FG25" i="204" s="1"/>
  <c r="Y25" i="204" s="1"/>
  <c r="DC25" i="204"/>
  <c r="DB25" i="204"/>
  <c r="DA25" i="204"/>
  <c r="CZ25" i="204"/>
  <c r="CY25" i="204"/>
  <c r="FS25" i="204" s="1"/>
  <c r="CX25" i="204"/>
  <c r="CW25" i="204"/>
  <c r="CV25" i="204"/>
  <c r="DW25" i="204" s="1"/>
  <c r="CU25" i="204"/>
  <c r="CQ25" i="204"/>
  <c r="CP25" i="204"/>
  <c r="CO25" i="204"/>
  <c r="CN25" i="204"/>
  <c r="CM25" i="204"/>
  <c r="CL25" i="204"/>
  <c r="CK25" i="204"/>
  <c r="CD25" i="204"/>
  <c r="AY25" i="204"/>
  <c r="AX25" i="204"/>
  <c r="AW25" i="204"/>
  <c r="AV25" i="204"/>
  <c r="AK25" i="204" s="1"/>
  <c r="AN25" i="204" s="1"/>
  <c r="AH25" i="204"/>
  <c r="AG25" i="204"/>
  <c r="AF25" i="204"/>
  <c r="AE25" i="204"/>
  <c r="GL24" i="204"/>
  <c r="GM24" i="204" s="1"/>
  <c r="GK24" i="204"/>
  <c r="GF24" i="204"/>
  <c r="FT24" i="204"/>
  <c r="FS24" i="204"/>
  <c r="FR24" i="204"/>
  <c r="FQ24" i="204"/>
  <c r="FI24" i="204"/>
  <c r="FC24" i="204"/>
  <c r="FB24" i="204"/>
  <c r="FA24" i="204"/>
  <c r="EZ24" i="204"/>
  <c r="EL24" i="204"/>
  <c r="EE24" i="204"/>
  <c r="ED24" i="204"/>
  <c r="EC24" i="204"/>
  <c r="DY24" i="204"/>
  <c r="DV24" i="204"/>
  <c r="DU24" i="204"/>
  <c r="DT24" i="204"/>
  <c r="DS24" i="204"/>
  <c r="DO24" i="204"/>
  <c r="DN24" i="204"/>
  <c r="DM24" i="204"/>
  <c r="DL24" i="204"/>
  <c r="DK24" i="204"/>
  <c r="DJ24" i="204"/>
  <c r="DI24" i="204"/>
  <c r="DH24" i="204"/>
  <c r="FV24" i="204" s="1"/>
  <c r="DG24" i="204"/>
  <c r="DF24" i="204"/>
  <c r="EA24" i="204" s="1"/>
  <c r="DE24" i="204"/>
  <c r="DD24" i="204"/>
  <c r="FD24" i="204" s="1"/>
  <c r="DC24" i="204"/>
  <c r="DB24" i="204"/>
  <c r="DA24" i="204"/>
  <c r="CZ24" i="204"/>
  <c r="CY24" i="204"/>
  <c r="CX24" i="204"/>
  <c r="CW24" i="204"/>
  <c r="CV24" i="204"/>
  <c r="CU24" i="204"/>
  <c r="EY24" i="204" s="1"/>
  <c r="CQ24" i="204"/>
  <c r="CP24" i="204"/>
  <c r="CK24" i="204" s="1"/>
  <c r="CO24" i="204"/>
  <c r="CN24" i="204"/>
  <c r="CM24" i="204"/>
  <c r="CL24" i="204"/>
  <c r="CE24" i="204"/>
  <c r="CD24" i="204"/>
  <c r="AZ24" i="204"/>
  <c r="AX24" i="204"/>
  <c r="AW24" i="204"/>
  <c r="AV24" i="204"/>
  <c r="AS24" i="204"/>
  <c r="AT24" i="204" s="1"/>
  <c r="AM24" i="204"/>
  <c r="AK24" i="204"/>
  <c r="AJ24" i="204" s="1"/>
  <c r="AH24" i="204"/>
  <c r="AG24" i="204"/>
  <c r="AF24" i="204"/>
  <c r="AE24" i="204"/>
  <c r="GM23" i="204"/>
  <c r="GL23" i="204"/>
  <c r="GK23" i="204"/>
  <c r="GF23" i="204"/>
  <c r="FT23" i="204"/>
  <c r="FS23" i="204"/>
  <c r="FQ23" i="204"/>
  <c r="FI23" i="204"/>
  <c r="FJ23" i="204" s="1"/>
  <c r="FK23" i="204" s="1"/>
  <c r="FL23" i="204" s="1"/>
  <c r="Z23" i="204" s="1"/>
  <c r="FC23" i="204"/>
  <c r="FA23" i="204"/>
  <c r="EZ23" i="204"/>
  <c r="EE23" i="204" s="1"/>
  <c r="EL23" i="204"/>
  <c r="EB23" i="204"/>
  <c r="DY23" i="204"/>
  <c r="DU23" i="204"/>
  <c r="DS23" i="204"/>
  <c r="DT23" i="204" s="1"/>
  <c r="DO23" i="204"/>
  <c r="FE23" i="204" s="1"/>
  <c r="FF23" i="204" s="1"/>
  <c r="FG23" i="204" s="1"/>
  <c r="DN23" i="204"/>
  <c r="DM23" i="204"/>
  <c r="DL23" i="204"/>
  <c r="DK23" i="204"/>
  <c r="DJ23" i="204"/>
  <c r="DI23" i="204"/>
  <c r="DH23" i="204"/>
  <c r="FV23" i="204" s="1"/>
  <c r="DG23" i="204"/>
  <c r="DF23" i="204"/>
  <c r="EA23" i="204" s="1"/>
  <c r="DE23" i="204"/>
  <c r="DD23" i="204"/>
  <c r="FD23" i="204" s="1"/>
  <c r="DC23" i="204"/>
  <c r="DB23" i="204"/>
  <c r="DA23" i="204"/>
  <c r="CZ23" i="204"/>
  <c r="CY23" i="204"/>
  <c r="CX23" i="204"/>
  <c r="CW23" i="204"/>
  <c r="CV23" i="204"/>
  <c r="DV23" i="204" s="1"/>
  <c r="CU23" i="204"/>
  <c r="CQ23" i="204"/>
  <c r="CP23" i="204"/>
  <c r="CK23" i="204" s="1"/>
  <c r="CO23" i="204"/>
  <c r="CN23" i="204"/>
  <c r="CM23" i="204"/>
  <c r="CL23" i="204"/>
  <c r="CE23" i="204"/>
  <c r="CD23" i="204"/>
  <c r="AY23" i="204"/>
  <c r="AX23" i="204"/>
  <c r="AW23" i="204"/>
  <c r="AV23" i="204"/>
  <c r="AL23" i="204"/>
  <c r="AK23" i="204"/>
  <c r="AJ23" i="204"/>
  <c r="AH23" i="204"/>
  <c r="AG23" i="204"/>
  <c r="AF23" i="204"/>
  <c r="AE23" i="204"/>
  <c r="Y23" i="204"/>
  <c r="GL22" i="204"/>
  <c r="GM22" i="204" s="1"/>
  <c r="GK22" i="204"/>
  <c r="GF22" i="204"/>
  <c r="FT22" i="204"/>
  <c r="FS22" i="204"/>
  <c r="FR22" i="204"/>
  <c r="FI22" i="204"/>
  <c r="FJ22" i="204" s="1"/>
  <c r="FK22" i="204" s="1"/>
  <c r="FL22" i="204" s="1"/>
  <c r="Z22" i="204" s="1"/>
  <c r="FH22" i="204"/>
  <c r="FC22" i="204"/>
  <c r="EZ22" i="204"/>
  <c r="EE22" i="204" s="1"/>
  <c r="EC22" i="204"/>
  <c r="EB22" i="204"/>
  <c r="EA22" i="204"/>
  <c r="DZ22" i="204"/>
  <c r="DY22" i="204"/>
  <c r="DS22" i="204"/>
  <c r="DO22" i="204"/>
  <c r="DN22" i="204"/>
  <c r="DM22" i="204"/>
  <c r="DL22" i="204"/>
  <c r="DK22" i="204"/>
  <c r="EL22" i="204" s="1"/>
  <c r="DJ22" i="204"/>
  <c r="DI22" i="204"/>
  <c r="DH22" i="204"/>
  <c r="FV22" i="204" s="1"/>
  <c r="DG22" i="204"/>
  <c r="DF22" i="204"/>
  <c r="ED22" i="204" s="1"/>
  <c r="DE22" i="204"/>
  <c r="FA22" i="204" s="1"/>
  <c r="DD22" i="204"/>
  <c r="FD22" i="204" s="1"/>
  <c r="DC22" i="204"/>
  <c r="DB22" i="204"/>
  <c r="DA22" i="204"/>
  <c r="CZ22" i="204"/>
  <c r="CY22" i="204"/>
  <c r="CX22" i="204"/>
  <c r="FU22" i="204" s="1"/>
  <c r="CW22" i="204"/>
  <c r="CV22" i="204"/>
  <c r="CU22" i="204"/>
  <c r="EX22" i="204" s="1"/>
  <c r="CQ22" i="204"/>
  <c r="CP22" i="204"/>
  <c r="CO22" i="204"/>
  <c r="CN22" i="204"/>
  <c r="CM22" i="204"/>
  <c r="CL22" i="204"/>
  <c r="CK22" i="204"/>
  <c r="CE22" i="204"/>
  <c r="CD22" i="204"/>
  <c r="AY22" i="204"/>
  <c r="AX22" i="204"/>
  <c r="AW22" i="204"/>
  <c r="AV22" i="204"/>
  <c r="AK22" i="204"/>
  <c r="AH22" i="204"/>
  <c r="AG22" i="204"/>
  <c r="AF22" i="204"/>
  <c r="AE22" i="204"/>
  <c r="GL21" i="204"/>
  <c r="GM21" i="204" s="1"/>
  <c r="GK21" i="204"/>
  <c r="GF21" i="204"/>
  <c r="FD21" i="204"/>
  <c r="FC21" i="204"/>
  <c r="EL21" i="204" s="1"/>
  <c r="EZ21" i="204"/>
  <c r="EY21" i="204"/>
  <c r="EX21" i="204"/>
  <c r="EE21" i="204"/>
  <c r="DY21" i="204"/>
  <c r="DX21" i="204"/>
  <c r="DW21" i="204"/>
  <c r="FO21" i="204" s="1"/>
  <c r="DV21" i="204"/>
  <c r="DS21" i="204"/>
  <c r="DP21" i="204"/>
  <c r="DO21" i="204"/>
  <c r="DN21" i="204"/>
  <c r="FI21" i="204" s="1"/>
  <c r="DM21" i="204"/>
  <c r="DL21" i="204"/>
  <c r="DK21" i="204"/>
  <c r="DJ21" i="204"/>
  <c r="DI21" i="204"/>
  <c r="DH21" i="204"/>
  <c r="DG21" i="204"/>
  <c r="DF21" i="204"/>
  <c r="DE21" i="204"/>
  <c r="DD21" i="204"/>
  <c r="DC21" i="204"/>
  <c r="DB21" i="204"/>
  <c r="DA21" i="204"/>
  <c r="CZ21" i="204"/>
  <c r="CY21" i="204"/>
  <c r="CX21" i="204"/>
  <c r="CW21" i="204"/>
  <c r="CV21" i="204"/>
  <c r="DU21" i="204" s="1"/>
  <c r="CU21" i="204"/>
  <c r="FQ21" i="204" s="1"/>
  <c r="CQ21" i="204"/>
  <c r="CP21" i="204"/>
  <c r="CO21" i="204"/>
  <c r="CN21" i="204"/>
  <c r="CM21" i="204"/>
  <c r="CL21" i="204"/>
  <c r="AX21" i="204"/>
  <c r="AW21" i="204"/>
  <c r="AV21" i="204"/>
  <c r="AK21" i="204" s="1"/>
  <c r="AO21" i="204"/>
  <c r="AN21" i="204"/>
  <c r="AM21" i="204"/>
  <c r="AL21" i="204"/>
  <c r="AH21" i="204"/>
  <c r="AG21" i="204"/>
  <c r="AF21" i="204"/>
  <c r="AE21" i="204"/>
  <c r="GL20" i="204"/>
  <c r="GK20" i="204"/>
  <c r="GM20" i="204" s="1"/>
  <c r="GF20" i="204"/>
  <c r="FS20" i="204"/>
  <c r="FI20" i="204"/>
  <c r="FJ20" i="204" s="1"/>
  <c r="FK20" i="204" s="1"/>
  <c r="FL20" i="204" s="1"/>
  <c r="Z20" i="204" s="1"/>
  <c r="FH20" i="204"/>
  <c r="FC20" i="204"/>
  <c r="FB20" i="204"/>
  <c r="EZ20" i="204"/>
  <c r="EE20" i="204" s="1"/>
  <c r="EC20" i="204"/>
  <c r="EB20" i="204"/>
  <c r="EA20" i="204"/>
  <c r="DY20" i="204"/>
  <c r="DS20" i="204"/>
  <c r="DO20" i="204"/>
  <c r="DN20" i="204"/>
  <c r="DM20" i="204"/>
  <c r="DL20" i="204"/>
  <c r="DK20" i="204"/>
  <c r="EL20" i="204" s="1"/>
  <c r="DJ20" i="204"/>
  <c r="DI20" i="204"/>
  <c r="FT20" i="204" s="1"/>
  <c r="DH20" i="204"/>
  <c r="FV20" i="204" s="1"/>
  <c r="DG20" i="204"/>
  <c r="DF20" i="204"/>
  <c r="ED20" i="204" s="1"/>
  <c r="DE20" i="204"/>
  <c r="DD20" i="204"/>
  <c r="FD20" i="204" s="1"/>
  <c r="DC20" i="204"/>
  <c r="DB20" i="204"/>
  <c r="DA20" i="204"/>
  <c r="CZ20" i="204"/>
  <c r="CY20" i="204"/>
  <c r="CX20" i="204"/>
  <c r="FU20" i="204" s="1"/>
  <c r="CW20" i="204"/>
  <c r="CV20" i="204"/>
  <c r="CU20" i="204"/>
  <c r="EX20" i="204" s="1"/>
  <c r="CQ20" i="204"/>
  <c r="CP20" i="204"/>
  <c r="CO20" i="204"/>
  <c r="CN20" i="204"/>
  <c r="CM20" i="204"/>
  <c r="CL20" i="204"/>
  <c r="CK20" i="204"/>
  <c r="CE20" i="204"/>
  <c r="CD20" i="204"/>
  <c r="AY20" i="204"/>
  <c r="AX20" i="204"/>
  <c r="AW20" i="204"/>
  <c r="AV20" i="204"/>
  <c r="AK20" i="204"/>
  <c r="AJ20" i="204" s="1"/>
  <c r="AH20" i="204"/>
  <c r="AG20" i="204"/>
  <c r="AF20" i="204"/>
  <c r="AE20" i="204"/>
  <c r="GL19" i="204"/>
  <c r="GM19" i="204" s="1"/>
  <c r="GK19" i="204"/>
  <c r="GF19" i="204"/>
  <c r="FV19" i="204"/>
  <c r="FT19" i="204"/>
  <c r="FS19" i="204"/>
  <c r="FQ19" i="204"/>
  <c r="FC19" i="204"/>
  <c r="FA19" i="204"/>
  <c r="EZ19" i="204"/>
  <c r="EE19" i="204" s="1"/>
  <c r="EL19" i="204"/>
  <c r="ED19" i="204"/>
  <c r="DY19" i="204"/>
  <c r="DU19" i="204"/>
  <c r="DT19" i="204"/>
  <c r="DS19" i="204"/>
  <c r="DO19" i="204"/>
  <c r="FE19" i="204" s="1"/>
  <c r="FF19" i="204" s="1"/>
  <c r="FG19" i="204" s="1"/>
  <c r="DN19" i="204"/>
  <c r="FI19" i="204" s="1"/>
  <c r="FJ19" i="204" s="1"/>
  <c r="FK19" i="204" s="1"/>
  <c r="FL19" i="204" s="1"/>
  <c r="Z19" i="204" s="1"/>
  <c r="DM19" i="204"/>
  <c r="DL19" i="204"/>
  <c r="DK19" i="204"/>
  <c r="DJ19" i="204"/>
  <c r="DI19" i="204"/>
  <c r="DH19" i="204"/>
  <c r="FM19" i="204" s="1"/>
  <c r="DG19" i="204"/>
  <c r="DF19" i="204"/>
  <c r="EC19" i="204" s="1"/>
  <c r="DE19" i="204"/>
  <c r="FR19" i="204" s="1"/>
  <c r="DD19" i="204"/>
  <c r="FD19" i="204" s="1"/>
  <c r="DC19" i="204"/>
  <c r="DB19" i="204"/>
  <c r="DA19" i="204"/>
  <c r="CZ19" i="204"/>
  <c r="CY19" i="204"/>
  <c r="CX19" i="204"/>
  <c r="CW19" i="204"/>
  <c r="CV19" i="204"/>
  <c r="DV19" i="204" s="1"/>
  <c r="CU19" i="204"/>
  <c r="CQ19" i="204"/>
  <c r="CP19" i="204"/>
  <c r="CK19" i="204" s="1"/>
  <c r="CO19" i="204"/>
  <c r="CN19" i="204"/>
  <c r="CM19" i="204"/>
  <c r="CL19" i="204"/>
  <c r="CE19" i="204"/>
  <c r="CD19" i="204"/>
  <c r="AY19" i="204"/>
  <c r="AX19" i="204"/>
  <c r="AW19" i="204"/>
  <c r="AV19" i="204"/>
  <c r="AK19" i="204"/>
  <c r="AH19" i="204"/>
  <c r="AG19" i="204"/>
  <c r="AF19" i="204"/>
  <c r="AE19" i="204"/>
  <c r="Y19" i="204"/>
  <c r="GL18" i="204"/>
  <c r="GM18" i="204" s="1"/>
  <c r="GK18" i="204"/>
  <c r="GF18" i="204"/>
  <c r="FS18" i="204"/>
  <c r="FR18" i="204"/>
  <c r="FQ18" i="204"/>
  <c r="FJ18" i="204"/>
  <c r="FK18" i="204" s="1"/>
  <c r="FL18" i="204" s="1"/>
  <c r="Z18" i="204" s="1"/>
  <c r="FI18" i="204"/>
  <c r="FH18" i="204"/>
  <c r="FC18" i="204"/>
  <c r="FB18" i="204"/>
  <c r="EZ18" i="204"/>
  <c r="EE18" i="204" s="1"/>
  <c r="EC18" i="204"/>
  <c r="EB18" i="204"/>
  <c r="EA18" i="204"/>
  <c r="DY18" i="204"/>
  <c r="DS18" i="204"/>
  <c r="DO18" i="204"/>
  <c r="DN18" i="204"/>
  <c r="DM18" i="204"/>
  <c r="DL18" i="204"/>
  <c r="DK18" i="204"/>
  <c r="EL18" i="204" s="1"/>
  <c r="DJ18" i="204"/>
  <c r="DI18" i="204"/>
  <c r="FT18" i="204" s="1"/>
  <c r="DH18" i="204"/>
  <c r="FV18" i="204" s="1"/>
  <c r="DG18" i="204"/>
  <c r="DF18" i="204"/>
  <c r="ED18" i="204" s="1"/>
  <c r="DE18" i="204"/>
  <c r="FA18" i="204" s="1"/>
  <c r="DD18" i="204"/>
  <c r="FD18" i="204" s="1"/>
  <c r="FE18" i="204" s="1"/>
  <c r="FF18" i="204" s="1"/>
  <c r="FG18" i="204" s="1"/>
  <c r="Y18" i="204" s="1"/>
  <c r="DC18" i="204"/>
  <c r="DB18" i="204"/>
  <c r="DA18" i="204"/>
  <c r="CZ18" i="204"/>
  <c r="CY18" i="204"/>
  <c r="CX18" i="204"/>
  <c r="FU18" i="204" s="1"/>
  <c r="CW18" i="204"/>
  <c r="CV18" i="204"/>
  <c r="CU18" i="204"/>
  <c r="CQ18" i="204"/>
  <c r="CP18" i="204"/>
  <c r="CO18" i="204"/>
  <c r="CN18" i="204"/>
  <c r="CM18" i="204"/>
  <c r="CL18" i="204"/>
  <c r="CK18" i="204"/>
  <c r="CE18" i="204"/>
  <c r="CD18" i="204"/>
  <c r="AY18" i="204"/>
  <c r="AX18" i="204"/>
  <c r="AW18" i="204"/>
  <c r="AV18" i="204"/>
  <c r="AS18" i="204"/>
  <c r="AK18" i="204"/>
  <c r="AH18" i="204"/>
  <c r="AG18" i="204"/>
  <c r="AF18" i="204"/>
  <c r="AE18" i="204"/>
  <c r="GL17" i="204"/>
  <c r="GM17" i="204" s="1"/>
  <c r="GK17" i="204"/>
  <c r="GF17" i="204"/>
  <c r="FV17" i="204"/>
  <c r="FU17" i="204"/>
  <c r="FT17" i="204"/>
  <c r="FS17" i="204"/>
  <c r="FK17" i="204"/>
  <c r="FL17" i="204" s="1"/>
  <c r="FE17" i="204"/>
  <c r="FF17" i="204" s="1"/>
  <c r="FG17" i="204" s="1"/>
  <c r="FD17" i="204"/>
  <c r="FC17" i="204"/>
  <c r="EL17" i="204" s="1"/>
  <c r="FA17" i="204"/>
  <c r="EZ17" i="204"/>
  <c r="EY17" i="204"/>
  <c r="EX17" i="204"/>
  <c r="ED17" i="204"/>
  <c r="DY17" i="204"/>
  <c r="DX17" i="204"/>
  <c r="DW17" i="204"/>
  <c r="FO17" i="204" s="1"/>
  <c r="DV17" i="204"/>
  <c r="DS17" i="204"/>
  <c r="DP17" i="204"/>
  <c r="DO17" i="204"/>
  <c r="FJ17" i="204" s="1"/>
  <c r="DN17" i="204"/>
  <c r="FI17" i="204" s="1"/>
  <c r="DM17" i="204"/>
  <c r="DL17" i="204"/>
  <c r="DK17" i="204"/>
  <c r="DJ17" i="204"/>
  <c r="DI17" i="204"/>
  <c r="CE17" i="204" s="1"/>
  <c r="DH17" i="204"/>
  <c r="FM17" i="204" s="1"/>
  <c r="DG17" i="204"/>
  <c r="DF17" i="204"/>
  <c r="DE17" i="204"/>
  <c r="FR17" i="204" s="1"/>
  <c r="DD17" i="204"/>
  <c r="DC17" i="204"/>
  <c r="DB17" i="204"/>
  <c r="DA17" i="204"/>
  <c r="EE17" i="204" s="1"/>
  <c r="CZ17" i="204"/>
  <c r="CY17" i="204"/>
  <c r="CX17" i="204"/>
  <c r="FH17" i="204" s="1"/>
  <c r="CW17" i="204"/>
  <c r="CV17" i="204"/>
  <c r="DU17" i="204" s="1"/>
  <c r="CU17" i="204"/>
  <c r="CQ17" i="204"/>
  <c r="CP17" i="204"/>
  <c r="CO17" i="204"/>
  <c r="CN17" i="204"/>
  <c r="CM17" i="204"/>
  <c r="CL17" i="204"/>
  <c r="CK17" i="204"/>
  <c r="AX17" i="204"/>
  <c r="AW17" i="204"/>
  <c r="AV17" i="204"/>
  <c r="AK17" i="204" s="1"/>
  <c r="AH17" i="204"/>
  <c r="AG17" i="204"/>
  <c r="AF17" i="204"/>
  <c r="AE17" i="204"/>
  <c r="GM16" i="204"/>
  <c r="GL16" i="204"/>
  <c r="GK16" i="204"/>
  <c r="GF16" i="204"/>
  <c r="FV16" i="204"/>
  <c r="FT16" i="204"/>
  <c r="FL16" i="204"/>
  <c r="FC16" i="204"/>
  <c r="FB16" i="204"/>
  <c r="FA16" i="204"/>
  <c r="EZ16" i="204"/>
  <c r="EE16" i="204" s="1"/>
  <c r="EQ16" i="204"/>
  <c r="EM16" i="204"/>
  <c r="EL16" i="204"/>
  <c r="EN16" i="204" s="1"/>
  <c r="EC16" i="204"/>
  <c r="FP16" i="204" s="1"/>
  <c r="EB16" i="204"/>
  <c r="EA16" i="204"/>
  <c r="DY16" i="204"/>
  <c r="DS16" i="204"/>
  <c r="DO16" i="204"/>
  <c r="DN16" i="204"/>
  <c r="FI16" i="204" s="1"/>
  <c r="FJ16" i="204" s="1"/>
  <c r="FK16" i="204" s="1"/>
  <c r="DM16" i="204"/>
  <c r="DL16" i="204"/>
  <c r="DK16" i="204"/>
  <c r="DJ16" i="204"/>
  <c r="DI16" i="204"/>
  <c r="DH16" i="204"/>
  <c r="FM16" i="204" s="1"/>
  <c r="DG16" i="204"/>
  <c r="DF16" i="204"/>
  <c r="ED16" i="204" s="1"/>
  <c r="DE16" i="204"/>
  <c r="DD16" i="204"/>
  <c r="FD16" i="204" s="1"/>
  <c r="DC16" i="204"/>
  <c r="DT16" i="204" s="1"/>
  <c r="DB16" i="204"/>
  <c r="DA16" i="204"/>
  <c r="CZ16" i="204"/>
  <c r="CY16" i="204"/>
  <c r="CX16" i="204"/>
  <c r="CW16" i="204"/>
  <c r="CV16" i="204"/>
  <c r="CU16" i="204"/>
  <c r="CQ16" i="204"/>
  <c r="CP16" i="204"/>
  <c r="CK16" i="204" s="1"/>
  <c r="CO16" i="204"/>
  <c r="CN16" i="204"/>
  <c r="CM16" i="204"/>
  <c r="CL16" i="204"/>
  <c r="CE16" i="204"/>
  <c r="AY16" i="204"/>
  <c r="AX16" i="204"/>
  <c r="AW16" i="204"/>
  <c r="AV16" i="204"/>
  <c r="AL16" i="204"/>
  <c r="AK16" i="204"/>
  <c r="AH16" i="204"/>
  <c r="AG16" i="204"/>
  <c r="AF16" i="204"/>
  <c r="AE16" i="204"/>
  <c r="IF14" i="204"/>
  <c r="IB14" i="204"/>
  <c r="IA14" i="204"/>
  <c r="HT14" i="204"/>
  <c r="HS14" i="204"/>
  <c r="HI14" i="204"/>
  <c r="HH14" i="204"/>
  <c r="AA12" i="204"/>
  <c r="AB12" i="204" s="1"/>
  <c r="HR11" i="204"/>
  <c r="HS11" i="204" s="1"/>
  <c r="HT11" i="204" s="1"/>
  <c r="HU11" i="204" s="1"/>
  <c r="HV11" i="204" s="1"/>
  <c r="HW11" i="204" s="1"/>
  <c r="HX11" i="204" s="1"/>
  <c r="HY11" i="204" s="1"/>
  <c r="HZ11" i="204" s="1"/>
  <c r="IA11" i="204" s="1"/>
  <c r="IB11" i="204" s="1"/>
  <c r="IC11" i="204" s="1"/>
  <c r="ID11" i="204" s="1"/>
  <c r="IE11" i="204" s="1"/>
  <c r="IF11" i="204" s="1"/>
  <c r="HN11" i="204"/>
  <c r="HO11" i="204" s="1"/>
  <c r="HP11" i="204" s="1"/>
  <c r="HQ11" i="204" s="1"/>
  <c r="HI11" i="204"/>
  <c r="HJ11" i="204" s="1"/>
  <c r="HK11" i="204" s="1"/>
  <c r="HL11" i="204" s="1"/>
  <c r="HM11" i="204" s="1"/>
  <c r="HH11" i="204"/>
  <c r="HG11" i="204"/>
  <c r="HB11" i="204"/>
  <c r="HC11" i="204" s="1"/>
  <c r="HD11" i="204" s="1"/>
  <c r="HE11" i="204" s="1"/>
  <c r="HF11" i="204" s="1"/>
  <c r="Z10" i="204"/>
  <c r="S10" i="204"/>
  <c r="C10" i="204"/>
  <c r="DN9" i="204"/>
  <c r="DM9" i="204"/>
  <c r="DL9" i="204"/>
  <c r="DK9" i="204"/>
  <c r="DJ9" i="204"/>
  <c r="DI9" i="204"/>
  <c r="DH9" i="204"/>
  <c r="DG9" i="204"/>
  <c r="S9" i="204"/>
  <c r="C9" i="204"/>
  <c r="DN8" i="204"/>
  <c r="DM8" i="204"/>
  <c r="DL8" i="204"/>
  <c r="DK8" i="204"/>
  <c r="DJ8" i="204"/>
  <c r="DI8" i="204"/>
  <c r="DH8" i="204"/>
  <c r="DG8" i="204"/>
  <c r="DN7" i="204"/>
  <c r="DM7" i="204"/>
  <c r="DL7" i="204"/>
  <c r="DK7" i="204"/>
  <c r="DJ7" i="204"/>
  <c r="DI7" i="204"/>
  <c r="DH7" i="204"/>
  <c r="DG7" i="204"/>
  <c r="DN6" i="204"/>
  <c r="DM6" i="204"/>
  <c r="DL6" i="204"/>
  <c r="DK6" i="204"/>
  <c r="DJ6" i="204"/>
  <c r="DI6" i="204"/>
  <c r="DH6" i="204"/>
  <c r="DG6" i="204"/>
  <c r="DC6" i="204"/>
  <c r="DB6" i="204"/>
  <c r="DA6" i="204"/>
  <c r="CZ6" i="204"/>
  <c r="CY6" i="204"/>
  <c r="CX6" i="204"/>
  <c r="CW6" i="204"/>
  <c r="CV6" i="204"/>
  <c r="Y6" i="204"/>
  <c r="M6" i="204"/>
  <c r="DN5" i="204"/>
  <c r="DM5" i="204"/>
  <c r="DL5" i="204"/>
  <c r="DK5" i="204"/>
  <c r="DJ5" i="204"/>
  <c r="DI5" i="204"/>
  <c r="DH5" i="204"/>
  <c r="DG5" i="204"/>
  <c r="DC5" i="204"/>
  <c r="DB5" i="204"/>
  <c r="DA5" i="204"/>
  <c r="CZ5" i="204"/>
  <c r="CY5" i="204"/>
  <c r="CX5" i="204"/>
  <c r="CW5" i="204"/>
  <c r="CV5" i="204"/>
  <c r="DN4" i="204"/>
  <c r="DM4" i="204"/>
  <c r="DL4" i="204"/>
  <c r="DK4" i="204"/>
  <c r="DJ4" i="204"/>
  <c r="DI4" i="204"/>
  <c r="DH4" i="204"/>
  <c r="DG4" i="204"/>
  <c r="DC4" i="204"/>
  <c r="DB4" i="204"/>
  <c r="DA4" i="204"/>
  <c r="CZ4" i="204"/>
  <c r="CY4" i="204"/>
  <c r="CX4" i="204"/>
  <c r="AM53" i="204" s="1"/>
  <c r="CW4" i="204"/>
  <c r="AN53" i="204" s="1"/>
  <c r="CV4" i="204"/>
  <c r="P4" i="204"/>
  <c r="DN3" i="204"/>
  <c r="DM3" i="204"/>
  <c r="DL3" i="204"/>
  <c r="DK3" i="204"/>
  <c r="DJ3" i="204"/>
  <c r="DI3" i="204"/>
  <c r="DH3" i="204"/>
  <c r="DG3" i="204"/>
  <c r="DN2" i="204"/>
  <c r="DM2" i="204"/>
  <c r="DL2" i="204"/>
  <c r="DK2" i="204"/>
  <c r="DJ2" i="204"/>
  <c r="DI2" i="204"/>
  <c r="AQ38" i="204" s="1"/>
  <c r="DH2" i="204"/>
  <c r="DG2" i="204"/>
  <c r="DD2" i="204"/>
  <c r="DB2" i="204"/>
  <c r="CZ2" i="204"/>
  <c r="CX2" i="204"/>
  <c r="HA1" i="204"/>
  <c r="HQ14" i="204" s="1"/>
  <c r="DQ1" i="204"/>
  <c r="DD1" i="204"/>
  <c r="CX1" i="204"/>
  <c r="CY1" i="204" s="1"/>
  <c r="AE1" i="204"/>
  <c r="AY33" i="204" s="1"/>
  <c r="AD1" i="204"/>
  <c r="P2" i="204" s="1"/>
  <c r="EO104" i="203"/>
  <c r="EN104" i="203"/>
  <c r="EM104" i="203"/>
  <c r="EO103" i="203"/>
  <c r="EN103" i="203"/>
  <c r="EM103" i="203"/>
  <c r="EO102" i="203"/>
  <c r="EN102" i="203"/>
  <c r="EM102" i="203"/>
  <c r="EO101" i="203"/>
  <c r="EN101" i="203"/>
  <c r="EM101" i="203"/>
  <c r="EO100" i="203"/>
  <c r="EN100" i="203"/>
  <c r="EM100" i="203"/>
  <c r="EO99" i="203"/>
  <c r="EN99" i="203"/>
  <c r="EM99" i="203"/>
  <c r="EO98" i="203"/>
  <c r="EN98" i="203"/>
  <c r="EM98" i="203"/>
  <c r="EO97" i="203"/>
  <c r="EN97" i="203"/>
  <c r="EM97" i="203"/>
  <c r="EO96" i="203"/>
  <c r="EN96" i="203"/>
  <c r="EM96" i="203"/>
  <c r="EO95" i="203"/>
  <c r="EN95" i="203"/>
  <c r="EM95" i="203"/>
  <c r="EO94" i="203"/>
  <c r="EN94" i="203"/>
  <c r="EM94" i="203"/>
  <c r="EO93" i="203"/>
  <c r="EN93" i="203"/>
  <c r="EM93" i="203"/>
  <c r="EO92" i="203"/>
  <c r="EN92" i="203"/>
  <c r="EM92" i="203"/>
  <c r="EO91" i="203"/>
  <c r="EN91" i="203"/>
  <c r="EM91" i="203"/>
  <c r="EO90" i="203"/>
  <c r="EN90" i="203"/>
  <c r="EM90" i="203"/>
  <c r="EO89" i="203"/>
  <c r="EN89" i="203"/>
  <c r="EM89" i="203"/>
  <c r="EO88" i="203"/>
  <c r="EN88" i="203"/>
  <c r="EM88" i="203"/>
  <c r="EO87" i="203"/>
  <c r="EN87" i="203"/>
  <c r="EM87" i="203"/>
  <c r="EO86" i="203"/>
  <c r="EN86" i="203"/>
  <c r="EM86" i="203"/>
  <c r="EO85" i="203"/>
  <c r="EN85" i="203"/>
  <c r="EM85" i="203"/>
  <c r="EO84" i="203"/>
  <c r="EN84" i="203"/>
  <c r="EM84" i="203"/>
  <c r="EO83" i="203"/>
  <c r="EN83" i="203"/>
  <c r="EM83" i="203"/>
  <c r="EO82" i="203"/>
  <c r="EN82" i="203"/>
  <c r="EM82" i="203"/>
  <c r="EO81" i="203"/>
  <c r="EN81" i="203"/>
  <c r="EM81" i="203"/>
  <c r="EO80" i="203"/>
  <c r="EN80" i="203"/>
  <c r="EM80" i="203"/>
  <c r="EO79" i="203"/>
  <c r="EN79" i="203"/>
  <c r="EM79" i="203"/>
  <c r="EO78" i="203"/>
  <c r="EN78" i="203"/>
  <c r="EM78" i="203"/>
  <c r="EO77" i="203"/>
  <c r="EN77" i="203"/>
  <c r="EM77" i="203"/>
  <c r="EO76" i="203"/>
  <c r="EN76" i="203"/>
  <c r="EM76" i="203"/>
  <c r="EO75" i="203"/>
  <c r="EN75" i="203"/>
  <c r="EM75" i="203"/>
  <c r="GF57" i="203"/>
  <c r="AW57" i="203"/>
  <c r="AV57" i="203"/>
  <c r="AT57" i="203"/>
  <c r="AA57" i="203"/>
  <c r="Z57" i="203"/>
  <c r="Y57" i="203"/>
  <c r="X57" i="203"/>
  <c r="W57" i="203"/>
  <c r="V57" i="203"/>
  <c r="U57" i="203"/>
  <c r="T57" i="203"/>
  <c r="AR57" i="203" s="1"/>
  <c r="S57" i="203"/>
  <c r="R57" i="203"/>
  <c r="Q57" i="203"/>
  <c r="P57" i="203"/>
  <c r="O57" i="203"/>
  <c r="N57" i="203"/>
  <c r="M57" i="203"/>
  <c r="L57" i="203"/>
  <c r="K57" i="203"/>
  <c r="J57" i="203"/>
  <c r="I57" i="203"/>
  <c r="H57" i="203"/>
  <c r="G57" i="203"/>
  <c r="F57" i="203"/>
  <c r="E57" i="203"/>
  <c r="D57" i="203"/>
  <c r="C57" i="203"/>
  <c r="B57" i="203"/>
  <c r="A57" i="203"/>
  <c r="AX57" i="203" s="1"/>
  <c r="AM54" i="203"/>
  <c r="AK53" i="203"/>
  <c r="AM52" i="203"/>
  <c r="AL52" i="203"/>
  <c r="AL49" i="203"/>
  <c r="AK49" i="203"/>
  <c r="GF45" i="203"/>
  <c r="FT45" i="203"/>
  <c r="FS45" i="203"/>
  <c r="FO45" i="203"/>
  <c r="FM45" i="203"/>
  <c r="FG45" i="203"/>
  <c r="Y45" i="203" s="1"/>
  <c r="FF45" i="203"/>
  <c r="FE45" i="203"/>
  <c r="FD45" i="203"/>
  <c r="FC45" i="203"/>
  <c r="EL45" i="203" s="1"/>
  <c r="FA45" i="203"/>
  <c r="EZ45" i="203"/>
  <c r="EY45" i="203"/>
  <c r="EX45" i="203"/>
  <c r="EG45" i="203"/>
  <c r="EE45" i="203"/>
  <c r="EF45" i="203" s="1"/>
  <c r="DY45" i="203"/>
  <c r="DX45" i="203"/>
  <c r="DW45" i="203"/>
  <c r="DV45" i="203"/>
  <c r="DS45" i="203"/>
  <c r="DO45" i="203"/>
  <c r="DN45" i="203"/>
  <c r="FI45" i="203" s="1"/>
  <c r="DM45" i="203"/>
  <c r="DL45" i="203"/>
  <c r="DK45" i="203"/>
  <c r="DJ45" i="203"/>
  <c r="DI45" i="203"/>
  <c r="DH45" i="203"/>
  <c r="FV45" i="203" s="1"/>
  <c r="DG45" i="203"/>
  <c r="DF45" i="203"/>
  <c r="DE45" i="203"/>
  <c r="DD45" i="203"/>
  <c r="DC45" i="203"/>
  <c r="DB45" i="203"/>
  <c r="DA45" i="203"/>
  <c r="CZ45" i="203"/>
  <c r="CY45" i="203"/>
  <c r="CX45" i="203"/>
  <c r="CW45" i="203"/>
  <c r="CV45" i="203"/>
  <c r="DU45" i="203" s="1"/>
  <c r="CU45" i="203"/>
  <c r="CQ45" i="203"/>
  <c r="CP45" i="203"/>
  <c r="CO45" i="203"/>
  <c r="CN45" i="203"/>
  <c r="CM45" i="203"/>
  <c r="CL45" i="203"/>
  <c r="CK45" i="203"/>
  <c r="CE45" i="203"/>
  <c r="AX45" i="203"/>
  <c r="AW45" i="203"/>
  <c r="AV45" i="203"/>
  <c r="AK45" i="203" s="1"/>
  <c r="AG45" i="203"/>
  <c r="AF45" i="203"/>
  <c r="F45" i="203"/>
  <c r="C45" i="203"/>
  <c r="AD45" i="203" s="1"/>
  <c r="A45" i="203"/>
  <c r="GF44" i="203"/>
  <c r="GD44" i="203"/>
  <c r="FU44" i="203"/>
  <c r="FT44" i="203"/>
  <c r="FR44" i="203"/>
  <c r="FQ44" i="203"/>
  <c r="FD44" i="203"/>
  <c r="FC44" i="203"/>
  <c r="EL44" i="203" s="1"/>
  <c r="EM44" i="203" s="1"/>
  <c r="FB44" i="203"/>
  <c r="FA44" i="203"/>
  <c r="EZ44" i="203"/>
  <c r="EY44" i="203"/>
  <c r="ER44" i="203"/>
  <c r="EN44" i="203"/>
  <c r="EE44" i="203"/>
  <c r="ED44" i="203"/>
  <c r="K44" i="203" s="1"/>
  <c r="EC44" i="203"/>
  <c r="EB44" i="203"/>
  <c r="DY44" i="203"/>
  <c r="DV44" i="203"/>
  <c r="DS44" i="203"/>
  <c r="DP44" i="203"/>
  <c r="DO44" i="203"/>
  <c r="DN44" i="203"/>
  <c r="FI44" i="203" s="1"/>
  <c r="DM44" i="203"/>
  <c r="DL44" i="203"/>
  <c r="DK44" i="203"/>
  <c r="DJ44" i="203"/>
  <c r="DI44" i="203"/>
  <c r="DH44" i="203"/>
  <c r="FV44" i="203" s="1"/>
  <c r="DG44" i="203"/>
  <c r="DF44" i="203"/>
  <c r="EA44" i="203" s="1"/>
  <c r="DE44" i="203"/>
  <c r="DD44" i="203"/>
  <c r="DC44" i="203"/>
  <c r="DB44" i="203"/>
  <c r="DA44" i="203"/>
  <c r="CZ44" i="203"/>
  <c r="CY44" i="203"/>
  <c r="FS44" i="203" s="1"/>
  <c r="CX44" i="203"/>
  <c r="FH44" i="203" s="1"/>
  <c r="CW44" i="203"/>
  <c r="CV44" i="203"/>
  <c r="CU44" i="203"/>
  <c r="EX44" i="203" s="1"/>
  <c r="CQ44" i="203"/>
  <c r="CP44" i="203"/>
  <c r="CK44" i="203" s="1"/>
  <c r="CO44" i="203"/>
  <c r="CN44" i="203"/>
  <c r="CM44" i="203"/>
  <c r="CL44" i="203"/>
  <c r="CE44" i="203"/>
  <c r="CD44" i="203"/>
  <c r="AV44" i="203"/>
  <c r="AD44" i="203"/>
  <c r="J44" i="203"/>
  <c r="I44" i="203"/>
  <c r="C44" i="203"/>
  <c r="A44" i="203"/>
  <c r="AX44" i="203" s="1"/>
  <c r="GE43" i="203"/>
  <c r="GD43" i="203"/>
  <c r="FS43" i="203"/>
  <c r="FR43" i="203"/>
  <c r="FQ43" i="203"/>
  <c r="FP43" i="203"/>
  <c r="FH43" i="203"/>
  <c r="FG43" i="203"/>
  <c r="Y43" i="203" s="1"/>
  <c r="FC43" i="203"/>
  <c r="FB43" i="203"/>
  <c r="FA43" i="203"/>
  <c r="EZ43" i="203"/>
  <c r="EE43" i="203" s="1"/>
  <c r="ED43" i="203"/>
  <c r="EC43" i="203"/>
  <c r="EB43" i="203"/>
  <c r="EA43" i="203"/>
  <c r="DY43" i="203"/>
  <c r="DU43" i="203"/>
  <c r="DS43" i="203"/>
  <c r="DO43" i="203"/>
  <c r="DN43" i="203"/>
  <c r="FI43" i="203" s="1"/>
  <c r="FJ43" i="203" s="1"/>
  <c r="FK43" i="203" s="1"/>
  <c r="FL43" i="203" s="1"/>
  <c r="Z43" i="203" s="1"/>
  <c r="DM43" i="203"/>
  <c r="DL43" i="203"/>
  <c r="DK43" i="203"/>
  <c r="EL43" i="203" s="1"/>
  <c r="DJ43" i="203"/>
  <c r="DI43" i="203"/>
  <c r="FT43" i="203" s="1"/>
  <c r="DH43" i="203"/>
  <c r="FV43" i="203" s="1"/>
  <c r="DG43" i="203"/>
  <c r="DF43" i="203"/>
  <c r="DE43" i="203"/>
  <c r="DD43" i="203"/>
  <c r="FD43" i="203" s="1"/>
  <c r="FE43" i="203" s="1"/>
  <c r="FF43" i="203" s="1"/>
  <c r="DC43" i="203"/>
  <c r="DB43" i="203"/>
  <c r="DA43" i="203"/>
  <c r="CZ43" i="203"/>
  <c r="CY43" i="203"/>
  <c r="CX43" i="203"/>
  <c r="FU43" i="203" s="1"/>
  <c r="CW43" i="203"/>
  <c r="CV43" i="203"/>
  <c r="CU43" i="203"/>
  <c r="CQ43" i="203"/>
  <c r="CP43" i="203"/>
  <c r="CO43" i="203"/>
  <c r="CN43" i="203"/>
  <c r="CM43" i="203"/>
  <c r="CL43" i="203"/>
  <c r="CK43" i="203"/>
  <c r="CE43" i="203"/>
  <c r="CD43" i="203"/>
  <c r="AW43" i="203"/>
  <c r="AV43" i="203"/>
  <c r="AL43" i="203"/>
  <c r="AK43" i="203"/>
  <c r="AJ43" i="203" s="1"/>
  <c r="AH43" i="203"/>
  <c r="AG43" i="203"/>
  <c r="AF43" i="203"/>
  <c r="AE43" i="203"/>
  <c r="C43" i="203"/>
  <c r="AD43" i="203" s="1"/>
  <c r="A43" i="203"/>
  <c r="GF43" i="203" s="1"/>
  <c r="GC43" i="203" s="1"/>
  <c r="GF42" i="203"/>
  <c r="GD42" i="203" s="1"/>
  <c r="GE42" i="203"/>
  <c r="GC42" i="203"/>
  <c r="GB42" i="203"/>
  <c r="GA42" i="203"/>
  <c r="GL42" i="203" s="1"/>
  <c r="FU42" i="203"/>
  <c r="FS42" i="203"/>
  <c r="FI42" i="203"/>
  <c r="FH42" i="203"/>
  <c r="FF42" i="203"/>
  <c r="FG42" i="203" s="1"/>
  <c r="Y42" i="203" s="1"/>
  <c r="FE42" i="203"/>
  <c r="FC42" i="203"/>
  <c r="FA42" i="203"/>
  <c r="EZ42" i="203"/>
  <c r="EB42" i="203"/>
  <c r="EA42" i="203"/>
  <c r="DY42" i="203"/>
  <c r="DS42" i="203"/>
  <c r="DO42" i="203"/>
  <c r="FJ42" i="203" s="1"/>
  <c r="FK42" i="203" s="1"/>
  <c r="FL42" i="203" s="1"/>
  <c r="Z42" i="203" s="1"/>
  <c r="DN42" i="203"/>
  <c r="DM42" i="203"/>
  <c r="DL42" i="203"/>
  <c r="DK42" i="203"/>
  <c r="EL42" i="203" s="1"/>
  <c r="DJ42" i="203"/>
  <c r="DI42" i="203"/>
  <c r="DH42" i="203"/>
  <c r="DG42" i="203"/>
  <c r="DF42" i="203"/>
  <c r="ED42" i="203" s="1"/>
  <c r="DE42" i="203"/>
  <c r="FR42" i="203" s="1"/>
  <c r="DD42" i="203"/>
  <c r="FD42" i="203" s="1"/>
  <c r="DC42" i="203"/>
  <c r="DB42" i="203"/>
  <c r="DA42" i="203"/>
  <c r="CZ42" i="203"/>
  <c r="CY42" i="203"/>
  <c r="CX42" i="203"/>
  <c r="CW42" i="203"/>
  <c r="CV42" i="203"/>
  <c r="CU42" i="203"/>
  <c r="CQ42" i="203"/>
  <c r="CP42" i="203"/>
  <c r="CO42" i="203"/>
  <c r="CN42" i="203"/>
  <c r="CM42" i="203"/>
  <c r="CL42" i="203"/>
  <c r="CK42" i="203"/>
  <c r="AX42" i="203"/>
  <c r="AW42" i="203"/>
  <c r="AV42" i="203"/>
  <c r="AH42" i="203"/>
  <c r="AG42" i="203"/>
  <c r="AF42" i="203"/>
  <c r="AE42" i="203"/>
  <c r="C42" i="203"/>
  <c r="AD42" i="203" s="1"/>
  <c r="A42" i="203"/>
  <c r="GF41" i="203"/>
  <c r="GE41" i="203"/>
  <c r="GA41" i="203"/>
  <c r="FV41" i="203"/>
  <c r="FO41" i="203"/>
  <c r="FN41" i="203"/>
  <c r="FM41" i="203"/>
  <c r="FD41" i="203"/>
  <c r="FC41" i="203"/>
  <c r="EL41" i="203" s="1"/>
  <c r="FA41" i="203"/>
  <c r="EZ41" i="203"/>
  <c r="EY41" i="203"/>
  <c r="EX41" i="203"/>
  <c r="ED41" i="203"/>
  <c r="DY41" i="203"/>
  <c r="DX41" i="203"/>
  <c r="F41" i="203" s="1"/>
  <c r="DW41" i="203"/>
  <c r="DV41" i="203"/>
  <c r="DS41" i="203"/>
  <c r="DP41" i="203"/>
  <c r="DO41" i="203"/>
  <c r="DN41" i="203"/>
  <c r="FI41" i="203" s="1"/>
  <c r="DM41" i="203"/>
  <c r="DL41" i="203"/>
  <c r="DK41" i="203"/>
  <c r="DJ41" i="203"/>
  <c r="DI41" i="203"/>
  <c r="DH41" i="203"/>
  <c r="DG41" i="203"/>
  <c r="DF41" i="203"/>
  <c r="DE41" i="203"/>
  <c r="DD41" i="203"/>
  <c r="DC41" i="203"/>
  <c r="DB41" i="203"/>
  <c r="DA41" i="203"/>
  <c r="EE41" i="203" s="1"/>
  <c r="CZ41" i="203"/>
  <c r="CY41" i="203"/>
  <c r="CX41" i="203"/>
  <c r="FH41" i="203" s="1"/>
  <c r="CW41" i="203"/>
  <c r="CV41" i="203"/>
  <c r="DU41" i="203" s="1"/>
  <c r="CU41" i="203"/>
  <c r="CQ41" i="203"/>
  <c r="CP41" i="203"/>
  <c r="CO41" i="203"/>
  <c r="CN41" i="203"/>
  <c r="CM41" i="203"/>
  <c r="CL41" i="203"/>
  <c r="CK41" i="203"/>
  <c r="AX41" i="203"/>
  <c r="AV41" i="203"/>
  <c r="AE41" i="203"/>
  <c r="AD41" i="203"/>
  <c r="E41" i="203"/>
  <c r="D41" i="203"/>
  <c r="GK41" i="203" s="1"/>
  <c r="C41" i="203"/>
  <c r="A41" i="203"/>
  <c r="GL40" i="203"/>
  <c r="GK40" i="203"/>
  <c r="GM40" i="203" s="1"/>
  <c r="GF40" i="203"/>
  <c r="FV40" i="203"/>
  <c r="FU40" i="203"/>
  <c r="FT40" i="203"/>
  <c r="FO40" i="203"/>
  <c r="FH40" i="203"/>
  <c r="FD40" i="203"/>
  <c r="FE40" i="203" s="1"/>
  <c r="FF40" i="203" s="1"/>
  <c r="FG40" i="203" s="1"/>
  <c r="FC40" i="203"/>
  <c r="EZ40" i="203"/>
  <c r="EX40" i="203"/>
  <c r="EG40" i="203"/>
  <c r="EK40" i="203" s="1"/>
  <c r="EE40" i="203"/>
  <c r="EF40" i="203" s="1"/>
  <c r="EC40" i="203"/>
  <c r="EA40" i="203"/>
  <c r="DY40" i="203"/>
  <c r="FP40" i="203" s="1"/>
  <c r="DX40" i="203"/>
  <c r="DW40" i="203"/>
  <c r="DV40" i="203"/>
  <c r="DU40" i="203"/>
  <c r="DS40" i="203"/>
  <c r="DP40" i="203"/>
  <c r="DO40" i="203"/>
  <c r="DN40" i="203"/>
  <c r="FI40" i="203" s="1"/>
  <c r="DM40" i="203"/>
  <c r="DL40" i="203"/>
  <c r="DK40" i="203"/>
  <c r="EL40" i="203" s="1"/>
  <c r="EN40" i="203" s="1"/>
  <c r="DJ40" i="203"/>
  <c r="DI40" i="203"/>
  <c r="DH40" i="203"/>
  <c r="FM40" i="203" s="1"/>
  <c r="DG40" i="203"/>
  <c r="DF40" i="203"/>
  <c r="ED40" i="203" s="1"/>
  <c r="DE40" i="203"/>
  <c r="FR40" i="203" s="1"/>
  <c r="DD40" i="203"/>
  <c r="DC40" i="203"/>
  <c r="DB40" i="203"/>
  <c r="DA40" i="203"/>
  <c r="CZ40" i="203"/>
  <c r="CY40" i="203"/>
  <c r="CX40" i="203"/>
  <c r="CW40" i="203"/>
  <c r="CV40" i="203"/>
  <c r="CU40" i="203"/>
  <c r="FQ40" i="203" s="1"/>
  <c r="CQ40" i="203"/>
  <c r="CP40" i="203"/>
  <c r="CK40" i="203" s="1"/>
  <c r="CO40" i="203"/>
  <c r="CN40" i="203"/>
  <c r="CM40" i="203"/>
  <c r="CL40" i="203"/>
  <c r="AY40" i="203"/>
  <c r="AX40" i="203"/>
  <c r="AW40" i="203"/>
  <c r="AV40" i="203"/>
  <c r="AK40" i="203" s="1"/>
  <c r="AQ40" i="203" s="1"/>
  <c r="AR40" i="203" s="1"/>
  <c r="AO40" i="203"/>
  <c r="AN40" i="203"/>
  <c r="AM40" i="203"/>
  <c r="AH40" i="203"/>
  <c r="AG40" i="203"/>
  <c r="AF40" i="203"/>
  <c r="AE40" i="203"/>
  <c r="GL39" i="203"/>
  <c r="GK39" i="203"/>
  <c r="GM39" i="203" s="1"/>
  <c r="GF39" i="203"/>
  <c r="FV39" i="203"/>
  <c r="FU39" i="203"/>
  <c r="FQ39" i="203"/>
  <c r="FP39" i="203"/>
  <c r="FN39" i="203"/>
  <c r="FJ39" i="203"/>
  <c r="FK39" i="203" s="1"/>
  <c r="FI39" i="203"/>
  <c r="FH39" i="203"/>
  <c r="FC39" i="203"/>
  <c r="FB39" i="203"/>
  <c r="FA39" i="203"/>
  <c r="EZ39" i="203"/>
  <c r="EY39" i="203"/>
  <c r="EX39" i="203"/>
  <c r="EC39" i="203"/>
  <c r="EB39" i="203"/>
  <c r="EA39" i="203"/>
  <c r="DY39" i="203"/>
  <c r="DS39" i="203"/>
  <c r="DR39" i="203"/>
  <c r="DO39" i="203"/>
  <c r="FE39" i="203" s="1"/>
  <c r="FF39" i="203" s="1"/>
  <c r="DN39" i="203"/>
  <c r="DM39" i="203"/>
  <c r="DL39" i="203"/>
  <c r="DK39" i="203"/>
  <c r="EL39" i="203" s="1"/>
  <c r="DJ39" i="203"/>
  <c r="DI39" i="203"/>
  <c r="DH39" i="203"/>
  <c r="FM39" i="203" s="1"/>
  <c r="DG39" i="203"/>
  <c r="DF39" i="203"/>
  <c r="ED39" i="203" s="1"/>
  <c r="DE39" i="203"/>
  <c r="FR39" i="203" s="1"/>
  <c r="DD39" i="203"/>
  <c r="FD39" i="203" s="1"/>
  <c r="DC39" i="203"/>
  <c r="DB39" i="203"/>
  <c r="DA39" i="203"/>
  <c r="CZ39" i="203"/>
  <c r="CY39" i="203"/>
  <c r="FS39" i="203" s="1"/>
  <c r="CX39" i="203"/>
  <c r="CW39" i="203"/>
  <c r="CV39" i="203"/>
  <c r="CU39" i="203"/>
  <c r="CQ39" i="203"/>
  <c r="CP39" i="203"/>
  <c r="CO39" i="203"/>
  <c r="CN39" i="203"/>
  <c r="CM39" i="203"/>
  <c r="CL39" i="203"/>
  <c r="CK39" i="203"/>
  <c r="CD39" i="203"/>
  <c r="AZ39" i="203"/>
  <c r="AY39" i="203"/>
  <c r="AX39" i="203"/>
  <c r="AW39" i="203"/>
  <c r="AV39" i="203"/>
  <c r="AS39" i="203"/>
  <c r="AQ39" i="203"/>
  <c r="AO39" i="203"/>
  <c r="AK39" i="203"/>
  <c r="AJ39" i="203" s="1"/>
  <c r="AU39" i="203" s="1"/>
  <c r="AH39" i="203"/>
  <c r="AG39" i="203"/>
  <c r="AF39" i="203"/>
  <c r="AE39" i="203"/>
  <c r="GL38" i="203"/>
  <c r="GK38" i="203"/>
  <c r="GM38" i="203" s="1"/>
  <c r="GF38" i="203"/>
  <c r="FV38" i="203"/>
  <c r="FT38" i="203"/>
  <c r="FS38" i="203"/>
  <c r="FR38" i="203"/>
  <c r="FQ38" i="203"/>
  <c r="FH38" i="203"/>
  <c r="FD38" i="203"/>
  <c r="FC38" i="203"/>
  <c r="EL38" i="203" s="1"/>
  <c r="FB38" i="203"/>
  <c r="FA38" i="203"/>
  <c r="EZ38" i="203"/>
  <c r="EE38" i="203"/>
  <c r="ED38" i="203"/>
  <c r="EA38" i="203"/>
  <c r="DY38" i="203"/>
  <c r="DU38" i="203"/>
  <c r="DS38" i="203"/>
  <c r="DO38" i="203"/>
  <c r="DN38" i="203"/>
  <c r="FI38" i="203" s="1"/>
  <c r="DM38" i="203"/>
  <c r="DL38" i="203"/>
  <c r="DK38" i="203"/>
  <c r="DJ38" i="203"/>
  <c r="DI38" i="203"/>
  <c r="DH38" i="203"/>
  <c r="FM38" i="203" s="1"/>
  <c r="DG38" i="203"/>
  <c r="DF38" i="203"/>
  <c r="EC38" i="203" s="1"/>
  <c r="DE38" i="203"/>
  <c r="DD38" i="203"/>
  <c r="DC38" i="203"/>
  <c r="DB38" i="203"/>
  <c r="DA38" i="203"/>
  <c r="CZ38" i="203"/>
  <c r="CY38" i="203"/>
  <c r="CX38" i="203"/>
  <c r="FU38" i="203" s="1"/>
  <c r="CW38" i="203"/>
  <c r="CV38" i="203"/>
  <c r="DV38" i="203" s="1"/>
  <c r="CU38" i="203"/>
  <c r="CQ38" i="203"/>
  <c r="CP38" i="203"/>
  <c r="CK38" i="203" s="1"/>
  <c r="CO38" i="203"/>
  <c r="CN38" i="203"/>
  <c r="CM38" i="203"/>
  <c r="CL38" i="203"/>
  <c r="CE38" i="203"/>
  <c r="CD38" i="203"/>
  <c r="AY38" i="203"/>
  <c r="AX38" i="203"/>
  <c r="AW38" i="203"/>
  <c r="AV38" i="203"/>
  <c r="AS38" i="203"/>
  <c r="AT38" i="203" s="1"/>
  <c r="AM38" i="203"/>
  <c r="AL38" i="203"/>
  <c r="AK38" i="203"/>
  <c r="AJ38" i="203" s="1"/>
  <c r="AH38" i="203"/>
  <c r="AG38" i="203"/>
  <c r="AF38" i="203"/>
  <c r="AE38" i="203"/>
  <c r="GL37" i="203"/>
  <c r="GM37" i="203" s="1"/>
  <c r="GK37" i="203"/>
  <c r="GF37" i="203"/>
  <c r="FS37" i="203"/>
  <c r="FC37" i="203"/>
  <c r="FA37" i="203"/>
  <c r="EZ37" i="203"/>
  <c r="EE37" i="203" s="1"/>
  <c r="EY37" i="203"/>
  <c r="EL37" i="203"/>
  <c r="DY37" i="203"/>
  <c r="DS37" i="203"/>
  <c r="DO37" i="203"/>
  <c r="DN37" i="203"/>
  <c r="FI37" i="203" s="1"/>
  <c r="FJ37" i="203" s="1"/>
  <c r="FK37" i="203" s="1"/>
  <c r="FL37" i="203" s="1"/>
  <c r="Z37" i="203" s="1"/>
  <c r="DM37" i="203"/>
  <c r="DL37" i="203"/>
  <c r="DK37" i="203"/>
  <c r="DJ37" i="203"/>
  <c r="DI37" i="203"/>
  <c r="FT37" i="203" s="1"/>
  <c r="DH37" i="203"/>
  <c r="FV37" i="203" s="1"/>
  <c r="DG37" i="203"/>
  <c r="DF37" i="203"/>
  <c r="DE37" i="203"/>
  <c r="DD37" i="203"/>
  <c r="FD37" i="203" s="1"/>
  <c r="FE37" i="203" s="1"/>
  <c r="FF37" i="203" s="1"/>
  <c r="FG37" i="203" s="1"/>
  <c r="Y37" i="203" s="1"/>
  <c r="DC37" i="203"/>
  <c r="DB37" i="203"/>
  <c r="DA37" i="203"/>
  <c r="CZ37" i="203"/>
  <c r="CY37" i="203"/>
  <c r="CX37" i="203"/>
  <c r="CW37" i="203"/>
  <c r="CV37" i="203"/>
  <c r="CU37" i="203"/>
  <c r="EX37" i="203" s="1"/>
  <c r="CQ37" i="203"/>
  <c r="CP37" i="203"/>
  <c r="CO37" i="203"/>
  <c r="CN37" i="203"/>
  <c r="CM37" i="203"/>
  <c r="CL37" i="203"/>
  <c r="CK37" i="203"/>
  <c r="CE37" i="203"/>
  <c r="CD37" i="203"/>
  <c r="AX37" i="203"/>
  <c r="AW37" i="203"/>
  <c r="AV37" i="203"/>
  <c r="AL37" i="203"/>
  <c r="AK37" i="203"/>
  <c r="AJ37" i="203" s="1"/>
  <c r="AH37" i="203"/>
  <c r="AG37" i="203"/>
  <c r="AF37" i="203"/>
  <c r="AE37" i="203"/>
  <c r="GM36" i="203"/>
  <c r="GL36" i="203"/>
  <c r="GK36" i="203"/>
  <c r="GF36" i="203"/>
  <c r="FV36" i="203"/>
  <c r="FU36" i="203"/>
  <c r="FR36" i="203"/>
  <c r="FP36" i="203"/>
  <c r="FJ36" i="203"/>
  <c r="FK36" i="203" s="1"/>
  <c r="FL36" i="203" s="1"/>
  <c r="Z36" i="203" s="1"/>
  <c r="FI36" i="203"/>
  <c r="FH36" i="203"/>
  <c r="FC36" i="203"/>
  <c r="FB36" i="203"/>
  <c r="FA36" i="203"/>
  <c r="EZ36" i="203"/>
  <c r="EC36" i="203"/>
  <c r="EB36" i="203"/>
  <c r="EA36" i="203"/>
  <c r="DY36" i="203"/>
  <c r="DT36" i="203"/>
  <c r="DS36" i="203"/>
  <c r="DO36" i="203"/>
  <c r="DN36" i="203"/>
  <c r="DM36" i="203"/>
  <c r="DL36" i="203"/>
  <c r="DK36" i="203"/>
  <c r="EL36" i="203" s="1"/>
  <c r="DJ36" i="203"/>
  <c r="DI36" i="203"/>
  <c r="DH36" i="203"/>
  <c r="FM36" i="203" s="1"/>
  <c r="DG36" i="203"/>
  <c r="DF36" i="203"/>
  <c r="ED36" i="203" s="1"/>
  <c r="DE36" i="203"/>
  <c r="DD36" i="203"/>
  <c r="FD36" i="203" s="1"/>
  <c r="DC36" i="203"/>
  <c r="DB36" i="203"/>
  <c r="DA36" i="203"/>
  <c r="CZ36" i="203"/>
  <c r="CY36" i="203"/>
  <c r="FS36" i="203" s="1"/>
  <c r="CX36" i="203"/>
  <c r="CW36" i="203"/>
  <c r="CV36" i="203"/>
  <c r="CU36" i="203"/>
  <c r="CQ36" i="203"/>
  <c r="CP36" i="203"/>
  <c r="CO36" i="203"/>
  <c r="CN36" i="203"/>
  <c r="CM36" i="203"/>
  <c r="CL36" i="203"/>
  <c r="CK36" i="203"/>
  <c r="CD36" i="203"/>
  <c r="AX36" i="203"/>
  <c r="AW36" i="203"/>
  <c r="AK36" i="203" s="1"/>
  <c r="AV36" i="203"/>
  <c r="AJ36" i="203"/>
  <c r="AH36" i="203"/>
  <c r="AG36" i="203"/>
  <c r="AF36" i="203"/>
  <c r="AE36" i="203"/>
  <c r="GL35" i="203"/>
  <c r="GK35" i="203"/>
  <c r="GM35" i="203" s="1"/>
  <c r="GF35" i="203"/>
  <c r="FU35" i="203"/>
  <c r="FS35" i="203"/>
  <c r="FQ35" i="203"/>
  <c r="FN35" i="203"/>
  <c r="FI35" i="203"/>
  <c r="FH35" i="203"/>
  <c r="FF35" i="203"/>
  <c r="FG35" i="203" s="1"/>
  <c r="Y35" i="203" s="1"/>
  <c r="FE35" i="203"/>
  <c r="FC35" i="203"/>
  <c r="FA35" i="203"/>
  <c r="EZ35" i="203"/>
  <c r="EN35" i="203"/>
  <c r="EB35" i="203"/>
  <c r="EA35" i="203"/>
  <c r="DY35" i="203"/>
  <c r="DX35" i="203"/>
  <c r="F35" i="203" s="1"/>
  <c r="DS35" i="203"/>
  <c r="DP35" i="203"/>
  <c r="DO35" i="203"/>
  <c r="FJ35" i="203" s="1"/>
  <c r="FK35" i="203" s="1"/>
  <c r="FL35" i="203" s="1"/>
  <c r="Z35" i="203" s="1"/>
  <c r="DN35" i="203"/>
  <c r="DM35" i="203"/>
  <c r="DL35" i="203"/>
  <c r="DK35" i="203"/>
  <c r="EL35" i="203" s="1"/>
  <c r="EM35" i="203" s="1"/>
  <c r="EQ35" i="203" s="1"/>
  <c r="DJ35" i="203"/>
  <c r="DI35" i="203"/>
  <c r="DH35" i="203"/>
  <c r="DG35" i="203"/>
  <c r="DF35" i="203"/>
  <c r="ED35" i="203" s="1"/>
  <c r="DE35" i="203"/>
  <c r="FR35" i="203" s="1"/>
  <c r="DD35" i="203"/>
  <c r="FD35" i="203" s="1"/>
  <c r="DC35" i="203"/>
  <c r="DB35" i="203"/>
  <c r="DA35" i="203"/>
  <c r="CZ35" i="203"/>
  <c r="CY35" i="203"/>
  <c r="CX35" i="203"/>
  <c r="CW35" i="203"/>
  <c r="CV35" i="203"/>
  <c r="CU35" i="203"/>
  <c r="CQ35" i="203"/>
  <c r="CK35" i="203" s="1"/>
  <c r="CP35" i="203"/>
  <c r="CO35" i="203"/>
  <c r="CN35" i="203"/>
  <c r="CM35" i="203"/>
  <c r="CL35" i="203"/>
  <c r="AX35" i="203"/>
  <c r="AW35" i="203"/>
  <c r="AV35" i="203"/>
  <c r="AK35" i="203" s="1"/>
  <c r="AH35" i="203"/>
  <c r="AG35" i="203"/>
  <c r="AF35" i="203"/>
  <c r="AE35" i="203"/>
  <c r="H35" i="203"/>
  <c r="G35" i="203"/>
  <c r="GL34" i="203"/>
  <c r="GK34" i="203"/>
  <c r="GM34" i="203" s="1"/>
  <c r="GF34" i="203"/>
  <c r="FV34" i="203"/>
  <c r="FU34" i="203"/>
  <c r="FT34" i="203"/>
  <c r="FH34" i="203"/>
  <c r="FD34" i="203"/>
  <c r="FE34" i="203" s="1"/>
  <c r="FF34" i="203" s="1"/>
  <c r="FG34" i="203" s="1"/>
  <c r="Y34" i="203" s="1"/>
  <c r="FC34" i="203"/>
  <c r="EZ34" i="203"/>
  <c r="EX34" i="203"/>
  <c r="EE34" i="203"/>
  <c r="EC34" i="203"/>
  <c r="EA34" i="203"/>
  <c r="DY34" i="203"/>
  <c r="FP34" i="203" s="1"/>
  <c r="DX34" i="203"/>
  <c r="F34" i="203" s="1"/>
  <c r="DW34" i="203"/>
  <c r="FO34" i="203" s="1"/>
  <c r="DV34" i="203"/>
  <c r="DU34" i="203"/>
  <c r="DS34" i="203"/>
  <c r="DP34" i="203"/>
  <c r="DO34" i="203"/>
  <c r="DN34" i="203"/>
  <c r="FI34" i="203" s="1"/>
  <c r="DM34" i="203"/>
  <c r="DL34" i="203"/>
  <c r="DK34" i="203"/>
  <c r="EL34" i="203" s="1"/>
  <c r="EN34" i="203" s="1"/>
  <c r="ER34" i="203" s="1"/>
  <c r="DJ34" i="203"/>
  <c r="DI34" i="203"/>
  <c r="DH34" i="203"/>
  <c r="FM34" i="203" s="1"/>
  <c r="DG34" i="203"/>
  <c r="DF34" i="203"/>
  <c r="ED34" i="203" s="1"/>
  <c r="DE34" i="203"/>
  <c r="FR34" i="203" s="1"/>
  <c r="DD34" i="203"/>
  <c r="DC34" i="203"/>
  <c r="DB34" i="203"/>
  <c r="DA34" i="203"/>
  <c r="CZ34" i="203"/>
  <c r="CY34" i="203"/>
  <c r="CX34" i="203"/>
  <c r="CW34" i="203"/>
  <c r="CV34" i="203"/>
  <c r="CU34" i="203"/>
  <c r="FQ34" i="203" s="1"/>
  <c r="CQ34" i="203"/>
  <c r="CP34" i="203"/>
  <c r="CK34" i="203" s="1"/>
  <c r="CO34" i="203"/>
  <c r="CN34" i="203"/>
  <c r="CM34" i="203"/>
  <c r="CL34" i="203"/>
  <c r="AX34" i="203"/>
  <c r="AW34" i="203"/>
  <c r="AV34" i="203"/>
  <c r="AH34" i="203"/>
  <c r="AG34" i="203"/>
  <c r="AF34" i="203"/>
  <c r="AE34" i="203"/>
  <c r="H34" i="203"/>
  <c r="G34" i="203"/>
  <c r="GL33" i="203"/>
  <c r="GM33" i="203" s="1"/>
  <c r="GK33" i="203"/>
  <c r="GF33" i="203"/>
  <c r="FS33" i="203"/>
  <c r="FO33" i="203"/>
  <c r="FN33" i="203"/>
  <c r="FM33" i="203"/>
  <c r="FE33" i="203"/>
  <c r="FF33" i="203" s="1"/>
  <c r="FG33" i="203" s="1"/>
  <c r="Y33" i="203" s="1"/>
  <c r="FD33" i="203"/>
  <c r="FC33" i="203"/>
  <c r="EL33" i="203" s="1"/>
  <c r="FA33" i="203"/>
  <c r="EZ33" i="203"/>
  <c r="EY33" i="203"/>
  <c r="EX33" i="203"/>
  <c r="EG33" i="203"/>
  <c r="ED33" i="203"/>
  <c r="DY33" i="203"/>
  <c r="DX33" i="203"/>
  <c r="DW33" i="203"/>
  <c r="DV33" i="203"/>
  <c r="DS33" i="203"/>
  <c r="DP33" i="203"/>
  <c r="DO33" i="203"/>
  <c r="FJ33" i="203" s="1"/>
  <c r="FK33" i="203" s="1"/>
  <c r="FL33" i="203" s="1"/>
  <c r="Z33" i="203" s="1"/>
  <c r="DN33" i="203"/>
  <c r="FI33" i="203" s="1"/>
  <c r="DM33" i="203"/>
  <c r="DL33" i="203"/>
  <c r="DK33" i="203"/>
  <c r="DJ33" i="203"/>
  <c r="DI33" i="203"/>
  <c r="DH33" i="203"/>
  <c r="FV33" i="203" s="1"/>
  <c r="DG33" i="203"/>
  <c r="DF33" i="203"/>
  <c r="DE33" i="203"/>
  <c r="FR33" i="203" s="1"/>
  <c r="DD33" i="203"/>
  <c r="DC33" i="203"/>
  <c r="DB33" i="203"/>
  <c r="DA33" i="203"/>
  <c r="EE33" i="203" s="1"/>
  <c r="EF33" i="203" s="1"/>
  <c r="CZ33" i="203"/>
  <c r="CY33" i="203"/>
  <c r="CX33" i="203"/>
  <c r="FH33" i="203" s="1"/>
  <c r="CW33" i="203"/>
  <c r="CV33" i="203"/>
  <c r="DU33" i="203" s="1"/>
  <c r="CU33" i="203"/>
  <c r="CQ33" i="203"/>
  <c r="CP33" i="203"/>
  <c r="CO33" i="203"/>
  <c r="CN33" i="203"/>
  <c r="CM33" i="203"/>
  <c r="CL33" i="203"/>
  <c r="CK33" i="203"/>
  <c r="AX33" i="203"/>
  <c r="AW33" i="203"/>
  <c r="AV33" i="203"/>
  <c r="AH33" i="203"/>
  <c r="AG33" i="203"/>
  <c r="AF33" i="203"/>
  <c r="AE33" i="203"/>
  <c r="H33" i="203"/>
  <c r="G33" i="203"/>
  <c r="F33" i="203"/>
  <c r="GM32" i="203"/>
  <c r="GL32" i="203"/>
  <c r="GK32" i="203"/>
  <c r="GF32" i="203"/>
  <c r="FS32" i="203"/>
  <c r="FR32" i="203"/>
  <c r="FN32" i="203"/>
  <c r="FE32" i="203"/>
  <c r="FF32" i="203" s="1"/>
  <c r="FG32" i="203" s="1"/>
  <c r="Y32" i="203" s="1"/>
  <c r="FD32" i="203"/>
  <c r="FC32" i="203"/>
  <c r="EL32" i="203" s="1"/>
  <c r="FB32" i="203"/>
  <c r="EZ32" i="203"/>
  <c r="EX32" i="203"/>
  <c r="EN32" i="203"/>
  <c r="EM32" i="203"/>
  <c r="EQ32" i="203" s="1"/>
  <c r="EF32" i="203"/>
  <c r="EE32" i="203"/>
  <c r="EG32" i="203" s="1"/>
  <c r="ED32" i="203"/>
  <c r="EC32" i="203"/>
  <c r="DY32" i="203"/>
  <c r="DX32" i="203"/>
  <c r="H32" i="203" s="1"/>
  <c r="DW32" i="203"/>
  <c r="DV32" i="203"/>
  <c r="DU32" i="203"/>
  <c r="DS32" i="203"/>
  <c r="DP32" i="203"/>
  <c r="DO32" i="203"/>
  <c r="FJ32" i="203" s="1"/>
  <c r="FK32" i="203" s="1"/>
  <c r="FL32" i="203" s="1"/>
  <c r="Z32" i="203" s="1"/>
  <c r="DN32" i="203"/>
  <c r="FI32" i="203" s="1"/>
  <c r="DM32" i="203"/>
  <c r="DL32" i="203"/>
  <c r="DK32" i="203"/>
  <c r="DJ32" i="203"/>
  <c r="DI32" i="203"/>
  <c r="DH32" i="203"/>
  <c r="FV32" i="203" s="1"/>
  <c r="DG32" i="203"/>
  <c r="DF32" i="203"/>
  <c r="DE32" i="203"/>
  <c r="FA32" i="203" s="1"/>
  <c r="DD32" i="203"/>
  <c r="DC32" i="203"/>
  <c r="DT32" i="203" s="1"/>
  <c r="DB32" i="203"/>
  <c r="DA32" i="203"/>
  <c r="CZ32" i="203"/>
  <c r="CY32" i="203"/>
  <c r="CX32" i="203"/>
  <c r="FH32" i="203" s="1"/>
  <c r="CW32" i="203"/>
  <c r="CV32" i="203"/>
  <c r="CU32" i="203"/>
  <c r="FQ32" i="203" s="1"/>
  <c r="CQ32" i="203"/>
  <c r="CP32" i="203"/>
  <c r="CO32" i="203"/>
  <c r="CN32" i="203"/>
  <c r="CM32" i="203"/>
  <c r="CL32" i="203"/>
  <c r="CD32" i="203"/>
  <c r="AX32" i="203"/>
  <c r="AW32" i="203"/>
  <c r="AK32" i="203" s="1"/>
  <c r="AV32" i="203"/>
  <c r="AS32" i="203"/>
  <c r="AT32" i="203" s="1"/>
  <c r="AH32" i="203"/>
  <c r="AG32" i="203"/>
  <c r="AF32" i="203"/>
  <c r="AE32" i="203"/>
  <c r="G32" i="203"/>
  <c r="F32" i="203"/>
  <c r="GL31" i="203"/>
  <c r="GM31" i="203" s="1"/>
  <c r="GK31" i="203"/>
  <c r="GF31" i="203"/>
  <c r="FU31" i="203"/>
  <c r="FT31" i="203"/>
  <c r="FS31" i="203"/>
  <c r="FM31" i="203"/>
  <c r="FD31" i="203"/>
  <c r="FE31" i="203" s="1"/>
  <c r="FF31" i="203" s="1"/>
  <c r="FG31" i="203" s="1"/>
  <c r="Y31" i="203" s="1"/>
  <c r="FC31" i="203"/>
  <c r="EL31" i="203" s="1"/>
  <c r="EM31" i="203" s="1"/>
  <c r="EZ31" i="203"/>
  <c r="EY31" i="203"/>
  <c r="ER31" i="203"/>
  <c r="EN31" i="203"/>
  <c r="EE31" i="203"/>
  <c r="ED31" i="203"/>
  <c r="EC31" i="203"/>
  <c r="EB31" i="203"/>
  <c r="DY31" i="203"/>
  <c r="DW31" i="203"/>
  <c r="DT31" i="203"/>
  <c r="DS31" i="203"/>
  <c r="DO31" i="203"/>
  <c r="DN31" i="203"/>
  <c r="FI31" i="203" s="1"/>
  <c r="DM31" i="203"/>
  <c r="DL31" i="203"/>
  <c r="DK31" i="203"/>
  <c r="DJ31" i="203"/>
  <c r="DI31" i="203"/>
  <c r="DH31" i="203"/>
  <c r="FV31" i="203" s="1"/>
  <c r="DG31" i="203"/>
  <c r="DF31" i="203"/>
  <c r="EA31" i="203" s="1"/>
  <c r="DE31" i="203"/>
  <c r="DD31" i="203"/>
  <c r="DC31" i="203"/>
  <c r="DB31" i="203"/>
  <c r="DA31" i="203"/>
  <c r="CZ31" i="203"/>
  <c r="CY31" i="203"/>
  <c r="CX31" i="203"/>
  <c r="FH31" i="203" s="1"/>
  <c r="CW31" i="203"/>
  <c r="CV31" i="203"/>
  <c r="CU31" i="203"/>
  <c r="EX31" i="203" s="1"/>
  <c r="CQ31" i="203"/>
  <c r="CP31" i="203"/>
  <c r="CK31" i="203" s="1"/>
  <c r="CO31" i="203"/>
  <c r="CN31" i="203"/>
  <c r="CM31" i="203"/>
  <c r="CL31" i="203"/>
  <c r="CE31" i="203"/>
  <c r="CD31" i="203"/>
  <c r="AX31" i="203"/>
  <c r="AW31" i="203"/>
  <c r="AV31" i="203"/>
  <c r="AK31" i="203" s="1"/>
  <c r="AH31" i="203"/>
  <c r="AG31" i="203"/>
  <c r="AF31" i="203"/>
  <c r="AE31" i="203"/>
  <c r="GL30" i="203"/>
  <c r="GM30" i="203" s="1"/>
  <c r="GK30" i="203"/>
  <c r="GF30" i="203"/>
  <c r="FT30" i="203"/>
  <c r="FM30" i="203"/>
  <c r="FD30" i="203"/>
  <c r="FC30" i="203"/>
  <c r="FA30" i="203"/>
  <c r="EZ30" i="203"/>
  <c r="EY30" i="203"/>
  <c r="EX30" i="203"/>
  <c r="EL30" i="203"/>
  <c r="DY30" i="203"/>
  <c r="DX30" i="203"/>
  <c r="F30" i="203" s="1"/>
  <c r="DW30" i="203"/>
  <c r="FO30" i="203" s="1"/>
  <c r="DV30" i="203"/>
  <c r="DS30" i="203"/>
  <c r="DO30" i="203"/>
  <c r="DN30" i="203"/>
  <c r="FI30" i="203" s="1"/>
  <c r="DM30" i="203"/>
  <c r="DL30" i="203"/>
  <c r="DK30" i="203"/>
  <c r="DJ30" i="203"/>
  <c r="DI30" i="203"/>
  <c r="DH30" i="203"/>
  <c r="FV30" i="203" s="1"/>
  <c r="DG30" i="203"/>
  <c r="DF30" i="203"/>
  <c r="DE30" i="203"/>
  <c r="FR30" i="203" s="1"/>
  <c r="DD30" i="203"/>
  <c r="DC30" i="203"/>
  <c r="DB30" i="203"/>
  <c r="DA30" i="203"/>
  <c r="EE30" i="203" s="1"/>
  <c r="CZ30" i="203"/>
  <c r="CY30" i="203"/>
  <c r="CX30" i="203"/>
  <c r="CW30" i="203"/>
  <c r="CV30" i="203"/>
  <c r="DU30" i="203" s="1"/>
  <c r="CU30" i="203"/>
  <c r="CQ30" i="203"/>
  <c r="CP30" i="203"/>
  <c r="CO30" i="203"/>
  <c r="CN30" i="203"/>
  <c r="CM30" i="203"/>
  <c r="CL30" i="203"/>
  <c r="AX30" i="203"/>
  <c r="AW30" i="203"/>
  <c r="AV30" i="203"/>
  <c r="AH30" i="203"/>
  <c r="AG30" i="203"/>
  <c r="AF30" i="203"/>
  <c r="AE30" i="203"/>
  <c r="G30" i="203"/>
  <c r="GM29" i="203"/>
  <c r="GL29" i="203"/>
  <c r="GK29" i="203"/>
  <c r="GF29" i="203"/>
  <c r="FV29" i="203"/>
  <c r="FT29" i="203"/>
  <c r="FS29" i="203"/>
  <c r="FE29" i="203"/>
  <c r="FF29" i="203" s="1"/>
  <c r="FG29" i="203" s="1"/>
  <c r="Y29" i="203" s="1"/>
  <c r="FD29" i="203"/>
  <c r="FC29" i="203"/>
  <c r="EZ29" i="203"/>
  <c r="EX29" i="203"/>
  <c r="EL29" i="203"/>
  <c r="EN29" i="203" s="1"/>
  <c r="EK29" i="203"/>
  <c r="EG29" i="203"/>
  <c r="EF29" i="203"/>
  <c r="EE29" i="203"/>
  <c r="DY29" i="203"/>
  <c r="DX29" i="203"/>
  <c r="G29" i="203" s="1"/>
  <c r="DW29" i="203"/>
  <c r="DV29" i="203"/>
  <c r="DU29" i="203"/>
  <c r="DS29" i="203"/>
  <c r="DO29" i="203"/>
  <c r="DN29" i="203"/>
  <c r="FI29" i="203" s="1"/>
  <c r="FJ29" i="203" s="1"/>
  <c r="FK29" i="203" s="1"/>
  <c r="FL29" i="203" s="1"/>
  <c r="Z29" i="203" s="1"/>
  <c r="DM29" i="203"/>
  <c r="DL29" i="203"/>
  <c r="DK29" i="203"/>
  <c r="DJ29" i="203"/>
  <c r="DI29" i="203"/>
  <c r="CE29" i="203" s="1"/>
  <c r="DH29" i="203"/>
  <c r="FM29" i="203" s="1"/>
  <c r="DG29" i="203"/>
  <c r="DF29" i="203"/>
  <c r="DE29" i="203"/>
  <c r="DD29" i="203"/>
  <c r="DC29" i="203"/>
  <c r="DB29" i="203"/>
  <c r="DA29" i="203"/>
  <c r="CZ29" i="203"/>
  <c r="CY29" i="203"/>
  <c r="CX29" i="203"/>
  <c r="CW29" i="203"/>
  <c r="CV29" i="203"/>
  <c r="CU29" i="203"/>
  <c r="FQ29" i="203" s="1"/>
  <c r="CQ29" i="203"/>
  <c r="CP29" i="203"/>
  <c r="CO29" i="203"/>
  <c r="CN29" i="203"/>
  <c r="CM29" i="203"/>
  <c r="CL29" i="203"/>
  <c r="CD29" i="203"/>
  <c r="AX29" i="203"/>
  <c r="AW29" i="203"/>
  <c r="AV29" i="203"/>
  <c r="AK29" i="203"/>
  <c r="AH29" i="203"/>
  <c r="AG29" i="203"/>
  <c r="AF29" i="203"/>
  <c r="AE29" i="203"/>
  <c r="H29" i="203"/>
  <c r="GM28" i="203"/>
  <c r="GL28" i="203"/>
  <c r="GK28" i="203"/>
  <c r="GF28" i="203"/>
  <c r="FT28" i="203"/>
  <c r="FS28" i="203"/>
  <c r="FM28" i="203"/>
  <c r="FI28" i="203"/>
  <c r="FD28" i="203"/>
  <c r="FE28" i="203" s="1"/>
  <c r="FF28" i="203" s="1"/>
  <c r="FG28" i="203" s="1"/>
  <c r="Y28" i="203" s="1"/>
  <c r="FC28" i="203"/>
  <c r="EL28" i="203" s="1"/>
  <c r="FB28" i="203"/>
  <c r="EZ28" i="203"/>
  <c r="EY28" i="203"/>
  <c r="EE28" i="203"/>
  <c r="ED28" i="203"/>
  <c r="DY28" i="203"/>
  <c r="DW28" i="203"/>
  <c r="DV28" i="203"/>
  <c r="DS28" i="203"/>
  <c r="DO28" i="203"/>
  <c r="DN28" i="203"/>
  <c r="DM28" i="203"/>
  <c r="DL28" i="203"/>
  <c r="DK28" i="203"/>
  <c r="DJ28" i="203"/>
  <c r="DI28" i="203"/>
  <c r="DH28" i="203"/>
  <c r="FV28" i="203" s="1"/>
  <c r="DG28" i="203"/>
  <c r="DF28" i="203"/>
  <c r="DE28" i="203"/>
  <c r="DD28" i="203"/>
  <c r="DC28" i="203"/>
  <c r="DB28" i="203"/>
  <c r="DA28" i="203"/>
  <c r="CZ28" i="203"/>
  <c r="CY28" i="203"/>
  <c r="CX28" i="203"/>
  <c r="CW28" i="203"/>
  <c r="CV28" i="203"/>
  <c r="DX28" i="203" s="1"/>
  <c r="CU28" i="203"/>
  <c r="EX28" i="203" s="1"/>
  <c r="CQ28" i="203"/>
  <c r="CP28" i="203"/>
  <c r="CO28" i="203"/>
  <c r="CN28" i="203"/>
  <c r="CM28" i="203"/>
  <c r="CL28" i="203"/>
  <c r="CE28" i="203"/>
  <c r="CD28" i="203"/>
  <c r="AX28" i="203"/>
  <c r="AW28" i="203"/>
  <c r="AV28" i="203"/>
  <c r="AK28" i="203" s="1"/>
  <c r="AS28" i="203"/>
  <c r="AJ28" i="203"/>
  <c r="AH28" i="203"/>
  <c r="AG28" i="203"/>
  <c r="AF28" i="203"/>
  <c r="AE28" i="203"/>
  <c r="GL27" i="203"/>
  <c r="GM27" i="203" s="1"/>
  <c r="GK27" i="203"/>
  <c r="GF27" i="203"/>
  <c r="FV27" i="203"/>
  <c r="FT27" i="203"/>
  <c r="FR27" i="203"/>
  <c r="FQ27" i="203"/>
  <c r="FP27" i="203"/>
  <c r="FD27" i="203"/>
  <c r="FC27" i="203"/>
  <c r="FB27" i="203"/>
  <c r="FA27" i="203"/>
  <c r="EZ27" i="203"/>
  <c r="EM27" i="203"/>
  <c r="EL27" i="203"/>
  <c r="EN27" i="203" s="1"/>
  <c r="EE27" i="203"/>
  <c r="EC27" i="203"/>
  <c r="DY27" i="203"/>
  <c r="DU27" i="203"/>
  <c r="DS27" i="203"/>
  <c r="DO27" i="203"/>
  <c r="DN27" i="203"/>
  <c r="FI27" i="203" s="1"/>
  <c r="DM27" i="203"/>
  <c r="DL27" i="203"/>
  <c r="DK27" i="203"/>
  <c r="DJ27" i="203"/>
  <c r="DI27" i="203"/>
  <c r="DH27" i="203"/>
  <c r="FM27" i="203" s="1"/>
  <c r="DG27" i="203"/>
  <c r="DF27" i="203"/>
  <c r="EA27" i="203" s="1"/>
  <c r="DE27" i="203"/>
  <c r="DD27" i="203"/>
  <c r="DC27" i="203"/>
  <c r="DB27" i="203"/>
  <c r="DA27" i="203"/>
  <c r="CZ27" i="203"/>
  <c r="CY27" i="203"/>
  <c r="CX27" i="203"/>
  <c r="CW27" i="203"/>
  <c r="CV27" i="203"/>
  <c r="DV27" i="203" s="1"/>
  <c r="CU27" i="203"/>
  <c r="CQ27" i="203"/>
  <c r="CP27" i="203"/>
  <c r="CK27" i="203" s="1"/>
  <c r="CO27" i="203"/>
  <c r="CN27" i="203"/>
  <c r="CM27" i="203"/>
  <c r="CL27" i="203"/>
  <c r="CE27" i="203"/>
  <c r="AY27" i="203"/>
  <c r="AX27" i="203"/>
  <c r="AW27" i="203"/>
  <c r="AV27" i="203"/>
  <c r="AS27" i="203"/>
  <c r="AM27" i="203"/>
  <c r="AL27" i="203"/>
  <c r="AK27" i="203"/>
  <c r="AJ27" i="203" s="1"/>
  <c r="AH27" i="203"/>
  <c r="AG27" i="203"/>
  <c r="AF27" i="203"/>
  <c r="AE27" i="203"/>
  <c r="GL26" i="203"/>
  <c r="GK26" i="203"/>
  <c r="GM26" i="203" s="1"/>
  <c r="GF26" i="203"/>
  <c r="FS26" i="203"/>
  <c r="FQ26" i="203"/>
  <c r="FJ26" i="203"/>
  <c r="FK26" i="203" s="1"/>
  <c r="FL26" i="203" s="1"/>
  <c r="Z26" i="203" s="1"/>
  <c r="FI26" i="203"/>
  <c r="FH26" i="203"/>
  <c r="FC26" i="203"/>
  <c r="EL26" i="203" s="1"/>
  <c r="EZ26" i="203"/>
  <c r="EE26" i="203" s="1"/>
  <c r="EY26" i="203"/>
  <c r="ED26" i="203"/>
  <c r="EC26" i="203"/>
  <c r="EB26" i="203"/>
  <c r="EA26" i="203"/>
  <c r="DY26" i="203"/>
  <c r="DU26" i="203"/>
  <c r="DS26" i="203"/>
  <c r="DO26" i="203"/>
  <c r="DN26" i="203"/>
  <c r="DM26" i="203"/>
  <c r="DL26" i="203"/>
  <c r="DK26" i="203"/>
  <c r="DJ26" i="203"/>
  <c r="DI26" i="203"/>
  <c r="FT26" i="203" s="1"/>
  <c r="DH26" i="203"/>
  <c r="FV26" i="203" s="1"/>
  <c r="DG26" i="203"/>
  <c r="DF26" i="203"/>
  <c r="DE26" i="203"/>
  <c r="DD26" i="203"/>
  <c r="FD26" i="203" s="1"/>
  <c r="FE26" i="203" s="1"/>
  <c r="FF26" i="203" s="1"/>
  <c r="FG26" i="203" s="1"/>
  <c r="Y26" i="203" s="1"/>
  <c r="DC26" i="203"/>
  <c r="DB26" i="203"/>
  <c r="DA26" i="203"/>
  <c r="CZ26" i="203"/>
  <c r="CY26" i="203"/>
  <c r="CX26" i="203"/>
  <c r="FU26" i="203" s="1"/>
  <c r="CW26" i="203"/>
  <c r="CV26" i="203"/>
  <c r="DV26" i="203" s="1"/>
  <c r="CU26" i="203"/>
  <c r="EX26" i="203" s="1"/>
  <c r="CQ26" i="203"/>
  <c r="CP26" i="203"/>
  <c r="CO26" i="203"/>
  <c r="CN26" i="203"/>
  <c r="CM26" i="203"/>
  <c r="CL26" i="203"/>
  <c r="CK26" i="203"/>
  <c r="CE26" i="203"/>
  <c r="CD26" i="203"/>
  <c r="AX26" i="203"/>
  <c r="AW26" i="203"/>
  <c r="AV26" i="203"/>
  <c r="AK26" i="203"/>
  <c r="AJ26" i="203" s="1"/>
  <c r="AH26" i="203"/>
  <c r="AG26" i="203"/>
  <c r="AF26" i="203"/>
  <c r="AE26" i="203"/>
  <c r="GL25" i="203"/>
  <c r="GM25" i="203" s="1"/>
  <c r="GK25" i="203"/>
  <c r="GF25" i="203"/>
  <c r="FN25" i="203"/>
  <c r="FM25" i="203"/>
  <c r="FD25" i="203"/>
  <c r="FC25" i="203"/>
  <c r="EL25" i="203" s="1"/>
  <c r="EM25" i="203" s="1"/>
  <c r="EQ25" i="203" s="1"/>
  <c r="FA25" i="203"/>
  <c r="EZ25" i="203"/>
  <c r="EY25" i="203"/>
  <c r="EX25" i="203"/>
  <c r="EE25" i="203"/>
  <c r="DY25" i="203"/>
  <c r="DX25" i="203"/>
  <c r="DW25" i="203"/>
  <c r="FO25" i="203" s="1"/>
  <c r="DV25" i="203"/>
  <c r="DS25" i="203"/>
  <c r="DO25" i="203"/>
  <c r="DN25" i="203"/>
  <c r="FI25" i="203" s="1"/>
  <c r="DM25" i="203"/>
  <c r="DL25" i="203"/>
  <c r="DK25" i="203"/>
  <c r="DJ25" i="203"/>
  <c r="DI25" i="203"/>
  <c r="CE25" i="203" s="1"/>
  <c r="DH25" i="203"/>
  <c r="FV25" i="203" s="1"/>
  <c r="DG25" i="203"/>
  <c r="DF25" i="203"/>
  <c r="DE25" i="203"/>
  <c r="DD25" i="203"/>
  <c r="DC25" i="203"/>
  <c r="DB25" i="203"/>
  <c r="DA25" i="203"/>
  <c r="CZ25" i="203"/>
  <c r="CY25" i="203"/>
  <c r="CX25" i="203"/>
  <c r="CW25" i="203"/>
  <c r="CV25" i="203"/>
  <c r="DU25" i="203" s="1"/>
  <c r="CU25" i="203"/>
  <c r="CQ25" i="203"/>
  <c r="CP25" i="203"/>
  <c r="CO25" i="203"/>
  <c r="CN25" i="203"/>
  <c r="CM25" i="203"/>
  <c r="CL25" i="203"/>
  <c r="CK25" i="203"/>
  <c r="AX25" i="203"/>
  <c r="AW25" i="203"/>
  <c r="AV25" i="203"/>
  <c r="AH25" i="203"/>
  <c r="AG25" i="203"/>
  <c r="AF25" i="203"/>
  <c r="AE25" i="203"/>
  <c r="GM24" i="203"/>
  <c r="GL24" i="203"/>
  <c r="GK24" i="203"/>
  <c r="GF24" i="203"/>
  <c r="FS24" i="203"/>
  <c r="FR24" i="203"/>
  <c r="FQ24" i="203"/>
  <c r="FG24" i="203"/>
  <c r="FC24" i="203"/>
  <c r="EL24" i="203" s="1"/>
  <c r="FB24" i="203"/>
  <c r="FA24" i="203"/>
  <c r="EZ24" i="203"/>
  <c r="EE24" i="203" s="1"/>
  <c r="EY24" i="203"/>
  <c r="EC24" i="203"/>
  <c r="FP24" i="203" s="1"/>
  <c r="EB24" i="203"/>
  <c r="DY24" i="203"/>
  <c r="DS24" i="203"/>
  <c r="DO24" i="203"/>
  <c r="DN24" i="203"/>
  <c r="FI24" i="203" s="1"/>
  <c r="FJ24" i="203" s="1"/>
  <c r="FK24" i="203" s="1"/>
  <c r="FL24" i="203" s="1"/>
  <c r="Z24" i="203" s="1"/>
  <c r="DM24" i="203"/>
  <c r="DL24" i="203"/>
  <c r="DK24" i="203"/>
  <c r="DJ24" i="203"/>
  <c r="DI24" i="203"/>
  <c r="FT24" i="203" s="1"/>
  <c r="DH24" i="203"/>
  <c r="FV24" i="203" s="1"/>
  <c r="DG24" i="203"/>
  <c r="DF24" i="203"/>
  <c r="EA24" i="203" s="1"/>
  <c r="DE24" i="203"/>
  <c r="DD24" i="203"/>
  <c r="FD24" i="203" s="1"/>
  <c r="FE24" i="203" s="1"/>
  <c r="FF24" i="203" s="1"/>
  <c r="DC24" i="203"/>
  <c r="DB24" i="203"/>
  <c r="DA24" i="203"/>
  <c r="CZ24" i="203"/>
  <c r="CY24" i="203"/>
  <c r="CX24" i="203"/>
  <c r="CW24" i="203"/>
  <c r="CV24" i="203"/>
  <c r="DU24" i="203" s="1"/>
  <c r="CU24" i="203"/>
  <c r="EX24" i="203" s="1"/>
  <c r="CQ24" i="203"/>
  <c r="CP24" i="203"/>
  <c r="CO24" i="203"/>
  <c r="CN24" i="203"/>
  <c r="CM24" i="203"/>
  <c r="CL24" i="203"/>
  <c r="CK24" i="203"/>
  <c r="CE24" i="203"/>
  <c r="CD24" i="203"/>
  <c r="AZ24" i="203"/>
  <c r="AY24" i="203"/>
  <c r="AX24" i="203"/>
  <c r="AW24" i="203"/>
  <c r="AV24" i="203"/>
  <c r="AS24" i="203"/>
  <c r="AT24" i="203" s="1"/>
  <c r="AR24" i="203"/>
  <c r="AQ24" i="203"/>
  <c r="AL24" i="203"/>
  <c r="AK24" i="203"/>
  <c r="AJ24" i="203" s="1"/>
  <c r="AH24" i="203"/>
  <c r="AG24" i="203"/>
  <c r="AF24" i="203"/>
  <c r="AE24" i="203"/>
  <c r="Y24" i="203"/>
  <c r="GM23" i="203"/>
  <c r="GL23" i="203"/>
  <c r="GK23" i="203"/>
  <c r="GF23" i="203"/>
  <c r="FV23" i="203"/>
  <c r="FT23" i="203"/>
  <c r="FS23" i="203"/>
  <c r="FR23" i="203"/>
  <c r="FJ23" i="203"/>
  <c r="FK23" i="203" s="1"/>
  <c r="FL23" i="203" s="1"/>
  <c r="Z23" i="203" s="1"/>
  <c r="FI23" i="203"/>
  <c r="FH23" i="203"/>
  <c r="FD23" i="203"/>
  <c r="FC23" i="203"/>
  <c r="EL23" i="203" s="1"/>
  <c r="EZ23" i="203"/>
  <c r="EE23" i="203"/>
  <c r="ED23" i="203"/>
  <c r="EC23" i="203"/>
  <c r="EB23" i="203"/>
  <c r="DY23" i="203"/>
  <c r="DV23" i="203"/>
  <c r="DU23" i="203"/>
  <c r="DS23" i="203"/>
  <c r="DO23" i="203"/>
  <c r="DN23" i="203"/>
  <c r="DM23" i="203"/>
  <c r="DL23" i="203"/>
  <c r="DK23" i="203"/>
  <c r="DJ23" i="203"/>
  <c r="DI23" i="203"/>
  <c r="DH23" i="203"/>
  <c r="FM23" i="203" s="1"/>
  <c r="DG23" i="203"/>
  <c r="DF23" i="203"/>
  <c r="EA23" i="203" s="1"/>
  <c r="DE23" i="203"/>
  <c r="DD23" i="203"/>
  <c r="DC23" i="203"/>
  <c r="DB23" i="203"/>
  <c r="DA23" i="203"/>
  <c r="CZ23" i="203"/>
  <c r="CY23" i="203"/>
  <c r="CX23" i="203"/>
  <c r="FU23" i="203" s="1"/>
  <c r="CW23" i="203"/>
  <c r="CV23" i="203"/>
  <c r="CU23" i="203"/>
  <c r="CQ23" i="203"/>
  <c r="CP23" i="203"/>
  <c r="CK23" i="203" s="1"/>
  <c r="CO23" i="203"/>
  <c r="CN23" i="203"/>
  <c r="CM23" i="203"/>
  <c r="CL23" i="203"/>
  <c r="CE23" i="203"/>
  <c r="CD23" i="203"/>
  <c r="AX23" i="203"/>
  <c r="AW23" i="203"/>
  <c r="AV23" i="203"/>
  <c r="AS23" i="203"/>
  <c r="AK23" i="203"/>
  <c r="AJ23" i="203"/>
  <c r="AH23" i="203"/>
  <c r="AG23" i="203"/>
  <c r="AF23" i="203"/>
  <c r="AE23" i="203"/>
  <c r="GL22" i="203"/>
  <c r="GK22" i="203"/>
  <c r="GM22" i="203" s="1"/>
  <c r="GF22" i="203"/>
  <c r="FV22" i="203"/>
  <c r="FU22" i="203"/>
  <c r="FN22" i="203"/>
  <c r="FM22" i="203"/>
  <c r="FH22" i="203"/>
  <c r="FD22" i="203"/>
  <c r="FC22" i="203"/>
  <c r="EZ22" i="203"/>
  <c r="EY22" i="203"/>
  <c r="EX22" i="203"/>
  <c r="EM22" i="203"/>
  <c r="EC22" i="203"/>
  <c r="EA22" i="203"/>
  <c r="DZ22" i="203"/>
  <c r="DY22" i="203"/>
  <c r="FP22" i="203" s="1"/>
  <c r="DX22" i="203"/>
  <c r="DW22" i="203"/>
  <c r="DV22" i="203"/>
  <c r="DU22" i="203"/>
  <c r="DS22" i="203"/>
  <c r="DP22" i="203"/>
  <c r="DO22" i="203"/>
  <c r="DN22" i="203"/>
  <c r="FI22" i="203" s="1"/>
  <c r="DM22" i="203"/>
  <c r="DL22" i="203"/>
  <c r="DK22" i="203"/>
  <c r="EL22" i="203" s="1"/>
  <c r="EN22" i="203" s="1"/>
  <c r="DJ22" i="203"/>
  <c r="DI22" i="203"/>
  <c r="DH22" i="203"/>
  <c r="DG22" i="203"/>
  <c r="DF22" i="203"/>
  <c r="ED22" i="203" s="1"/>
  <c r="DE22" i="203"/>
  <c r="FR22" i="203" s="1"/>
  <c r="DD22" i="203"/>
  <c r="DC22" i="203"/>
  <c r="DB22" i="203"/>
  <c r="DA22" i="203"/>
  <c r="CZ22" i="203"/>
  <c r="CY22" i="203"/>
  <c r="CX22" i="203"/>
  <c r="CW22" i="203"/>
  <c r="CV22" i="203"/>
  <c r="CU22" i="203"/>
  <c r="FQ22" i="203" s="1"/>
  <c r="CQ22" i="203"/>
  <c r="CP22" i="203"/>
  <c r="CO22" i="203"/>
  <c r="CN22" i="203"/>
  <c r="CM22" i="203"/>
  <c r="CL22" i="203"/>
  <c r="CK22" i="203"/>
  <c r="AX22" i="203"/>
  <c r="AW22" i="203"/>
  <c r="AV22" i="203"/>
  <c r="AK22" i="203" s="1"/>
  <c r="AQ22" i="203"/>
  <c r="AH22" i="203"/>
  <c r="AG22" i="203"/>
  <c r="AF22" i="203"/>
  <c r="AE22" i="203"/>
  <c r="GL21" i="203"/>
  <c r="GM21" i="203" s="1"/>
  <c r="GK21" i="203"/>
  <c r="GF21" i="203"/>
  <c r="FV21" i="203"/>
  <c r="FT21" i="203"/>
  <c r="FR21" i="203"/>
  <c r="FQ21" i="203"/>
  <c r="FI21" i="203"/>
  <c r="FH21" i="203"/>
  <c r="FD21" i="203"/>
  <c r="FC21" i="203"/>
  <c r="EL21" i="203" s="1"/>
  <c r="EN21" i="203" s="1"/>
  <c r="FB21" i="203"/>
  <c r="FA21" i="203"/>
  <c r="EZ21" i="203"/>
  <c r="ER21" i="203"/>
  <c r="EQ21" i="203"/>
  <c r="EM21" i="203"/>
  <c r="EE21" i="203"/>
  <c r="ED21" i="203"/>
  <c r="EC21" i="203"/>
  <c r="FP21" i="203" s="1"/>
  <c r="EB21" i="203"/>
  <c r="DY21" i="203"/>
  <c r="DV21" i="203"/>
  <c r="DU21" i="203"/>
  <c r="DS21" i="203"/>
  <c r="DO21" i="203"/>
  <c r="DN21" i="203"/>
  <c r="DM21" i="203"/>
  <c r="DL21" i="203"/>
  <c r="DK21" i="203"/>
  <c r="DJ21" i="203"/>
  <c r="DI21" i="203"/>
  <c r="DH21" i="203"/>
  <c r="FM21" i="203" s="1"/>
  <c r="DG21" i="203"/>
  <c r="DF21" i="203"/>
  <c r="EA21" i="203" s="1"/>
  <c r="DE21" i="203"/>
  <c r="DD21" i="203"/>
  <c r="DC21" i="203"/>
  <c r="DB21" i="203"/>
  <c r="DA21" i="203"/>
  <c r="CZ21" i="203"/>
  <c r="CY21" i="203"/>
  <c r="CX21" i="203"/>
  <c r="FU21" i="203" s="1"/>
  <c r="CW21" i="203"/>
  <c r="CV21" i="203"/>
  <c r="CU21" i="203"/>
  <c r="CQ21" i="203"/>
  <c r="CP21" i="203"/>
  <c r="CK21" i="203" s="1"/>
  <c r="CO21" i="203"/>
  <c r="CN21" i="203"/>
  <c r="CM21" i="203"/>
  <c r="CL21" i="203"/>
  <c r="CE21" i="203"/>
  <c r="AX21" i="203"/>
  <c r="AW21" i="203"/>
  <c r="AV21" i="203"/>
  <c r="AS21" i="203"/>
  <c r="AQ21" i="203"/>
  <c r="AM21" i="203"/>
  <c r="AL21" i="203"/>
  <c r="AK21" i="203"/>
  <c r="AJ21" i="203" s="1"/>
  <c r="AH21" i="203"/>
  <c r="AG21" i="203"/>
  <c r="AF21" i="203"/>
  <c r="AE21" i="203"/>
  <c r="GL20" i="203"/>
  <c r="GK20" i="203"/>
  <c r="GM20" i="203" s="1"/>
  <c r="GF20" i="203"/>
  <c r="FU20" i="203"/>
  <c r="FT20" i="203"/>
  <c r="FP20" i="203"/>
  <c r="FH20" i="203"/>
  <c r="FF20" i="203"/>
  <c r="FG20" i="203" s="1"/>
  <c r="Y20" i="203" s="1"/>
  <c r="FE20" i="203"/>
  <c r="FD20" i="203"/>
  <c r="FC20" i="203"/>
  <c r="EZ20" i="203"/>
  <c r="EY20" i="203"/>
  <c r="EX20" i="203"/>
  <c r="EQ20" i="203"/>
  <c r="EM20" i="203"/>
  <c r="EF20" i="203"/>
  <c r="EJ20" i="203" s="1"/>
  <c r="CH20" i="203" s="1"/>
  <c r="EC20" i="203"/>
  <c r="EA20" i="203"/>
  <c r="DY20" i="203"/>
  <c r="DX20" i="203"/>
  <c r="DW20" i="203"/>
  <c r="FO20" i="203" s="1"/>
  <c r="DV20" i="203"/>
  <c r="DU20" i="203"/>
  <c r="DS20" i="203"/>
  <c r="DP20" i="203"/>
  <c r="DO20" i="203"/>
  <c r="DN20" i="203"/>
  <c r="FI20" i="203" s="1"/>
  <c r="DM20" i="203"/>
  <c r="DL20" i="203"/>
  <c r="DK20" i="203"/>
  <c r="EL20" i="203" s="1"/>
  <c r="EN20" i="203" s="1"/>
  <c r="DJ20" i="203"/>
  <c r="DI20" i="203"/>
  <c r="DH20" i="203"/>
  <c r="FM20" i="203" s="1"/>
  <c r="DG20" i="203"/>
  <c r="DF20" i="203"/>
  <c r="ED20" i="203" s="1"/>
  <c r="DE20" i="203"/>
  <c r="FR20" i="203" s="1"/>
  <c r="DD20" i="203"/>
  <c r="DC20" i="203"/>
  <c r="DB20" i="203"/>
  <c r="DA20" i="203"/>
  <c r="EE20" i="203" s="1"/>
  <c r="EG20" i="203" s="1"/>
  <c r="EK20" i="203" s="1"/>
  <c r="CZ20" i="203"/>
  <c r="CY20" i="203"/>
  <c r="CX20" i="203"/>
  <c r="CW20" i="203"/>
  <c r="CV20" i="203"/>
  <c r="CU20" i="203"/>
  <c r="FQ20" i="203" s="1"/>
  <c r="CQ20" i="203"/>
  <c r="CP20" i="203"/>
  <c r="CO20" i="203"/>
  <c r="CN20" i="203"/>
  <c r="CM20" i="203"/>
  <c r="CL20" i="203"/>
  <c r="AX20" i="203"/>
  <c r="AW20" i="203"/>
  <c r="AV20" i="203"/>
  <c r="AK20" i="203" s="1"/>
  <c r="AQ20" i="203"/>
  <c r="AO20" i="203"/>
  <c r="AN20" i="203"/>
  <c r="AM20" i="203"/>
  <c r="AH20" i="203"/>
  <c r="AG20" i="203"/>
  <c r="AF20" i="203"/>
  <c r="AE20" i="203"/>
  <c r="GL19" i="203"/>
  <c r="GM19" i="203" s="1"/>
  <c r="GK19" i="203"/>
  <c r="GF19" i="203"/>
  <c r="FV19" i="203"/>
  <c r="FT19" i="203"/>
  <c r="FQ19" i="203"/>
  <c r="FD19" i="203"/>
  <c r="FC19" i="203"/>
  <c r="EL19" i="203" s="1"/>
  <c r="FB19" i="203"/>
  <c r="EZ19" i="203"/>
  <c r="EE19" i="203" s="1"/>
  <c r="ED19" i="203"/>
  <c r="EA19" i="203"/>
  <c r="DY19" i="203"/>
  <c r="DS19" i="203"/>
  <c r="DO19" i="203"/>
  <c r="DN19" i="203"/>
  <c r="FI19" i="203" s="1"/>
  <c r="DM19" i="203"/>
  <c r="DL19" i="203"/>
  <c r="DK19" i="203"/>
  <c r="DJ19" i="203"/>
  <c r="DI19" i="203"/>
  <c r="DH19" i="203"/>
  <c r="FM19" i="203" s="1"/>
  <c r="DG19" i="203"/>
  <c r="DF19" i="203"/>
  <c r="DE19" i="203"/>
  <c r="FR19" i="203" s="1"/>
  <c r="DD19" i="203"/>
  <c r="DC19" i="203"/>
  <c r="DB19" i="203"/>
  <c r="DA19" i="203"/>
  <c r="CZ19" i="203"/>
  <c r="CY19" i="203"/>
  <c r="CX19" i="203"/>
  <c r="CW19" i="203"/>
  <c r="CV19" i="203"/>
  <c r="DV19" i="203" s="1"/>
  <c r="CU19" i="203"/>
  <c r="CQ19" i="203"/>
  <c r="CP19" i="203"/>
  <c r="CK19" i="203" s="1"/>
  <c r="CO19" i="203"/>
  <c r="CN19" i="203"/>
  <c r="CM19" i="203"/>
  <c r="CL19" i="203"/>
  <c r="CE19" i="203"/>
  <c r="AY19" i="203"/>
  <c r="AX19" i="203"/>
  <c r="AW19" i="203"/>
  <c r="AV19" i="203"/>
  <c r="AL19" i="203"/>
  <c r="AK19" i="203"/>
  <c r="AH19" i="203"/>
  <c r="AG19" i="203"/>
  <c r="AF19" i="203"/>
  <c r="AE19" i="203"/>
  <c r="GL18" i="203"/>
  <c r="GK18" i="203"/>
  <c r="GM18" i="203" s="1"/>
  <c r="GF18" i="203"/>
  <c r="FU18" i="203"/>
  <c r="FT18" i="203"/>
  <c r="FP18" i="203"/>
  <c r="FN18" i="203"/>
  <c r="FM18" i="203"/>
  <c r="FH18" i="203"/>
  <c r="FF18" i="203"/>
  <c r="FG18" i="203" s="1"/>
  <c r="Y18" i="203" s="1"/>
  <c r="FE18" i="203"/>
  <c r="FD18" i="203"/>
  <c r="FC18" i="203"/>
  <c r="EZ18" i="203"/>
  <c r="EG18" i="203"/>
  <c r="EF18" i="203"/>
  <c r="EE18" i="203"/>
  <c r="EC18" i="203"/>
  <c r="EA18" i="203"/>
  <c r="DY18" i="203"/>
  <c r="DX18" i="203"/>
  <c r="DW18" i="203"/>
  <c r="DV18" i="203"/>
  <c r="DU18" i="203"/>
  <c r="DS18" i="203"/>
  <c r="DP18" i="203"/>
  <c r="DO18" i="203"/>
  <c r="DN18" i="203"/>
  <c r="FI18" i="203" s="1"/>
  <c r="DM18" i="203"/>
  <c r="DL18" i="203"/>
  <c r="DK18" i="203"/>
  <c r="EL18" i="203" s="1"/>
  <c r="DJ18" i="203"/>
  <c r="DI18" i="203"/>
  <c r="DH18" i="203"/>
  <c r="FV18" i="203" s="1"/>
  <c r="DG18" i="203"/>
  <c r="DF18" i="203"/>
  <c r="ED18" i="203" s="1"/>
  <c r="DE18" i="203"/>
  <c r="FR18" i="203" s="1"/>
  <c r="DD18" i="203"/>
  <c r="DC18" i="203"/>
  <c r="DB18" i="203"/>
  <c r="DA18" i="203"/>
  <c r="CZ18" i="203"/>
  <c r="CY18" i="203"/>
  <c r="CX18" i="203"/>
  <c r="CW18" i="203"/>
  <c r="CV18" i="203"/>
  <c r="CU18" i="203"/>
  <c r="CQ18" i="203"/>
  <c r="CP18" i="203"/>
  <c r="CK18" i="203" s="1"/>
  <c r="CO18" i="203"/>
  <c r="CN18" i="203"/>
  <c r="CM18" i="203"/>
  <c r="CL18" i="203"/>
  <c r="AY18" i="203"/>
  <c r="AX18" i="203"/>
  <c r="AW18" i="203"/>
  <c r="AV18" i="203"/>
  <c r="AH18" i="203"/>
  <c r="AG18" i="203"/>
  <c r="AF18" i="203"/>
  <c r="AE18" i="203"/>
  <c r="GL17" i="203"/>
  <c r="GM17" i="203" s="1"/>
  <c r="GK17" i="203"/>
  <c r="GF17" i="203"/>
  <c r="FS17" i="203"/>
  <c r="FO17" i="203"/>
  <c r="FN17" i="203"/>
  <c r="FM17" i="203"/>
  <c r="FE17" i="203"/>
  <c r="FF17" i="203" s="1"/>
  <c r="FG17" i="203" s="1"/>
  <c r="Y17" i="203" s="1"/>
  <c r="FD17" i="203"/>
  <c r="FC17" i="203"/>
  <c r="EL17" i="203" s="1"/>
  <c r="EM17" i="203" s="1"/>
  <c r="EQ17" i="203" s="1"/>
  <c r="FA17" i="203"/>
  <c r="EZ17" i="203"/>
  <c r="EY17" i="203"/>
  <c r="EX17" i="203"/>
  <c r="EN17" i="203"/>
  <c r="EE17" i="203"/>
  <c r="ED17" i="203"/>
  <c r="DY17" i="203"/>
  <c r="DX17" i="203"/>
  <c r="G17" i="203" s="1"/>
  <c r="DW17" i="203"/>
  <c r="DV17" i="203"/>
  <c r="DS17" i="203"/>
  <c r="DP17" i="203"/>
  <c r="DO17" i="203"/>
  <c r="DN17" i="203"/>
  <c r="FI17" i="203" s="1"/>
  <c r="DM17" i="203"/>
  <c r="DL17" i="203"/>
  <c r="DK17" i="203"/>
  <c r="DJ17" i="203"/>
  <c r="DI17" i="203"/>
  <c r="DH17" i="203"/>
  <c r="FV17" i="203" s="1"/>
  <c r="DG17" i="203"/>
  <c r="DF17" i="203"/>
  <c r="DE17" i="203"/>
  <c r="DD17" i="203"/>
  <c r="DC17" i="203"/>
  <c r="DB17" i="203"/>
  <c r="DA17" i="203"/>
  <c r="CZ17" i="203"/>
  <c r="CY17" i="203"/>
  <c r="CX17" i="203"/>
  <c r="FH17" i="203" s="1"/>
  <c r="CW17" i="203"/>
  <c r="CV17" i="203"/>
  <c r="DU17" i="203" s="1"/>
  <c r="CU17" i="203"/>
  <c r="CQ17" i="203"/>
  <c r="CP17" i="203"/>
  <c r="CO17" i="203"/>
  <c r="CN17" i="203"/>
  <c r="CM17" i="203"/>
  <c r="CL17" i="203"/>
  <c r="CK17" i="203"/>
  <c r="AX17" i="203"/>
  <c r="AW17" i="203"/>
  <c r="AV17" i="203"/>
  <c r="AK17" i="203" s="1"/>
  <c r="AL17" i="203"/>
  <c r="AH17" i="203"/>
  <c r="AG17" i="203"/>
  <c r="AF17" i="203"/>
  <c r="AE17" i="203"/>
  <c r="F17" i="203"/>
  <c r="GL16" i="203"/>
  <c r="GK16" i="203"/>
  <c r="GF16" i="203"/>
  <c r="FV16" i="203"/>
  <c r="FS16" i="203"/>
  <c r="FN16" i="203"/>
  <c r="FM16" i="203"/>
  <c r="FF16" i="203"/>
  <c r="FG16" i="203" s="1"/>
  <c r="Y16" i="203" s="1"/>
  <c r="FE16" i="203"/>
  <c r="FC16" i="203"/>
  <c r="FA16" i="203"/>
  <c r="EZ16" i="203"/>
  <c r="EE16" i="203" s="1"/>
  <c r="EG16" i="203"/>
  <c r="EK16" i="203" s="1"/>
  <c r="EF16" i="203"/>
  <c r="ED16" i="203"/>
  <c r="DY16" i="203"/>
  <c r="DX16" i="203"/>
  <c r="DV16" i="203"/>
  <c r="DS16" i="203"/>
  <c r="DO16" i="203"/>
  <c r="DN16" i="203"/>
  <c r="FI16" i="203" s="1"/>
  <c r="DM16" i="203"/>
  <c r="DL16" i="203"/>
  <c r="DK16" i="203"/>
  <c r="DJ16" i="203"/>
  <c r="DI16" i="203"/>
  <c r="FT16" i="203" s="1"/>
  <c r="DH16" i="203"/>
  <c r="DG16" i="203"/>
  <c r="DF16" i="203"/>
  <c r="DE16" i="203"/>
  <c r="FR16" i="203" s="1"/>
  <c r="DD16" i="203"/>
  <c r="FD16" i="203" s="1"/>
  <c r="DC16" i="203"/>
  <c r="DB16" i="203"/>
  <c r="DA16" i="203"/>
  <c r="CZ16" i="203"/>
  <c r="CY16" i="203"/>
  <c r="CX16" i="203"/>
  <c r="CW16" i="203"/>
  <c r="CV16" i="203"/>
  <c r="CU16" i="203"/>
  <c r="CQ16" i="203"/>
  <c r="CP16" i="203"/>
  <c r="CO16" i="203"/>
  <c r="CN16" i="203"/>
  <c r="CM16" i="203"/>
  <c r="CL16" i="203"/>
  <c r="CK16" i="203"/>
  <c r="CE16" i="203"/>
  <c r="AY16" i="203"/>
  <c r="AX16" i="203"/>
  <c r="AW16" i="203"/>
  <c r="AV16" i="203"/>
  <c r="AH16" i="203"/>
  <c r="AG16" i="203"/>
  <c r="AF16" i="203"/>
  <c r="AE16" i="203"/>
  <c r="IF14" i="203"/>
  <c r="ID14" i="203"/>
  <c r="IC14" i="203"/>
  <c r="IB14" i="203"/>
  <c r="IA14" i="203"/>
  <c r="HU14" i="203"/>
  <c r="HT14" i="203"/>
  <c r="HS14" i="203"/>
  <c r="HR14" i="203"/>
  <c r="HP14" i="203"/>
  <c r="HK14" i="203"/>
  <c r="HJ14" i="203"/>
  <c r="HH14" i="203"/>
  <c r="HF14" i="203"/>
  <c r="HD14" i="203"/>
  <c r="AB12" i="203"/>
  <c r="AA12" i="203"/>
  <c r="HH11" i="203"/>
  <c r="HI11" i="203" s="1"/>
  <c r="HJ11" i="203" s="1"/>
  <c r="HK11" i="203" s="1"/>
  <c r="HL11" i="203" s="1"/>
  <c r="HM11" i="203" s="1"/>
  <c r="HN11" i="203" s="1"/>
  <c r="HO11" i="203" s="1"/>
  <c r="HP11" i="203" s="1"/>
  <c r="HQ11" i="203" s="1"/>
  <c r="HR11" i="203" s="1"/>
  <c r="HS11" i="203" s="1"/>
  <c r="HT11" i="203" s="1"/>
  <c r="HU11" i="203" s="1"/>
  <c r="HV11" i="203" s="1"/>
  <c r="HW11" i="203" s="1"/>
  <c r="HX11" i="203" s="1"/>
  <c r="HY11" i="203" s="1"/>
  <c r="HZ11" i="203" s="1"/>
  <c r="IA11" i="203" s="1"/>
  <c r="IB11" i="203" s="1"/>
  <c r="IC11" i="203" s="1"/>
  <c r="ID11" i="203" s="1"/>
  <c r="IE11" i="203" s="1"/>
  <c r="IF11" i="203" s="1"/>
  <c r="HC11" i="203"/>
  <c r="HD11" i="203" s="1"/>
  <c r="HE11" i="203" s="1"/>
  <c r="HF11" i="203" s="1"/>
  <c r="HG11" i="203" s="1"/>
  <c r="HB11" i="203"/>
  <c r="Z10" i="203"/>
  <c r="S10" i="203"/>
  <c r="C10" i="203"/>
  <c r="DN9" i="203"/>
  <c r="DM9" i="203"/>
  <c r="DL9" i="203"/>
  <c r="DK9" i="203"/>
  <c r="DJ9" i="203"/>
  <c r="DI9" i="203"/>
  <c r="DH9" i="203"/>
  <c r="DG9" i="203"/>
  <c r="S9" i="203"/>
  <c r="C9" i="203"/>
  <c r="DN8" i="203"/>
  <c r="DM8" i="203"/>
  <c r="DL8" i="203"/>
  <c r="DK8" i="203"/>
  <c r="DJ8" i="203"/>
  <c r="DI8" i="203"/>
  <c r="DH8" i="203"/>
  <c r="DG8" i="203"/>
  <c r="DN7" i="203"/>
  <c r="DM7" i="203"/>
  <c r="DL7" i="203"/>
  <c r="DK7" i="203"/>
  <c r="DJ7" i="203"/>
  <c r="DI7" i="203"/>
  <c r="DH7" i="203"/>
  <c r="DG7" i="203"/>
  <c r="DN6" i="203"/>
  <c r="DM6" i="203"/>
  <c r="DL6" i="203"/>
  <c r="DK6" i="203"/>
  <c r="DJ6" i="203"/>
  <c r="DI6" i="203"/>
  <c r="DH6" i="203"/>
  <c r="DG6" i="203"/>
  <c r="DC6" i="203"/>
  <c r="DB6" i="203"/>
  <c r="DA6" i="203"/>
  <c r="CZ6" i="203"/>
  <c r="CY6" i="203"/>
  <c r="CX6" i="203"/>
  <c r="CW6" i="203"/>
  <c r="CV6" i="203"/>
  <c r="Y6" i="203"/>
  <c r="M6" i="203"/>
  <c r="DN5" i="203"/>
  <c r="DM5" i="203"/>
  <c r="DL5" i="203"/>
  <c r="DK5" i="203"/>
  <c r="DJ5" i="203"/>
  <c r="DI5" i="203"/>
  <c r="DH5" i="203"/>
  <c r="DG5" i="203"/>
  <c r="DC5" i="203"/>
  <c r="DB5" i="203"/>
  <c r="AL54" i="203" s="1"/>
  <c r="DA5" i="203"/>
  <c r="CZ5" i="203"/>
  <c r="CY5" i="203"/>
  <c r="CX5" i="203"/>
  <c r="CW5" i="203"/>
  <c r="CV5" i="203"/>
  <c r="DN4" i="203"/>
  <c r="DM4" i="203"/>
  <c r="DL4" i="203"/>
  <c r="DK4" i="203"/>
  <c r="DJ4" i="203"/>
  <c r="DI4" i="203"/>
  <c r="DH4" i="203"/>
  <c r="DG4" i="203"/>
  <c r="DC4" i="203"/>
  <c r="DB4" i="203"/>
  <c r="AL53" i="203" s="1"/>
  <c r="DA4" i="203"/>
  <c r="CZ4" i="203"/>
  <c r="CY4" i="203"/>
  <c r="CX4" i="203"/>
  <c r="CW4" i="203"/>
  <c r="CV4" i="203"/>
  <c r="DN3" i="203"/>
  <c r="DM3" i="203"/>
  <c r="DL3" i="203"/>
  <c r="DK3" i="203"/>
  <c r="DJ3" i="203"/>
  <c r="DI3" i="203"/>
  <c r="DH3" i="203"/>
  <c r="DG3" i="203"/>
  <c r="DN2" i="203"/>
  <c r="DM2" i="203"/>
  <c r="DL2" i="203"/>
  <c r="DK2" i="203"/>
  <c r="DJ2" i="203"/>
  <c r="DI2" i="203"/>
  <c r="DH2" i="203"/>
  <c r="DG2" i="203"/>
  <c r="DD2" i="203"/>
  <c r="DB2" i="203"/>
  <c r="CZ2" i="203"/>
  <c r="CX2" i="203"/>
  <c r="HA1" i="203"/>
  <c r="HV14" i="203" s="1"/>
  <c r="DQ1" i="203"/>
  <c r="DD1" i="203"/>
  <c r="CX1" i="203"/>
  <c r="CY1" i="203" s="1"/>
  <c r="AE1" i="203"/>
  <c r="AY37" i="203" s="1"/>
  <c r="AD1" i="203"/>
  <c r="EO104" i="202"/>
  <c r="EN104" i="202"/>
  <c r="EM104" i="202"/>
  <c r="EO103" i="202"/>
  <c r="EN103" i="202"/>
  <c r="EM103" i="202"/>
  <c r="EO102" i="202"/>
  <c r="EN102" i="202"/>
  <c r="EM102" i="202"/>
  <c r="EO101" i="202"/>
  <c r="EN101" i="202"/>
  <c r="EM101" i="202"/>
  <c r="EO100" i="202"/>
  <c r="EN100" i="202"/>
  <c r="EM100" i="202"/>
  <c r="EO99" i="202"/>
  <c r="EN99" i="202"/>
  <c r="EM99" i="202"/>
  <c r="EO98" i="202"/>
  <c r="EN98" i="202"/>
  <c r="EM98" i="202"/>
  <c r="EO97" i="202"/>
  <c r="EN97" i="202"/>
  <c r="EM97" i="202"/>
  <c r="EO96" i="202"/>
  <c r="EN96" i="202"/>
  <c r="EM96" i="202"/>
  <c r="EO95" i="202"/>
  <c r="EN95" i="202"/>
  <c r="EM95" i="202"/>
  <c r="EO94" i="202"/>
  <c r="EN94" i="202"/>
  <c r="EM94" i="202"/>
  <c r="EO93" i="202"/>
  <c r="EN93" i="202"/>
  <c r="EM93" i="202"/>
  <c r="EO92" i="202"/>
  <c r="EN92" i="202"/>
  <c r="EM92" i="202"/>
  <c r="EO91" i="202"/>
  <c r="EN91" i="202"/>
  <c r="EM91" i="202"/>
  <c r="EO90" i="202"/>
  <c r="EN90" i="202"/>
  <c r="EM90" i="202"/>
  <c r="EO89" i="202"/>
  <c r="EN89" i="202"/>
  <c r="EM89" i="202"/>
  <c r="EO88" i="202"/>
  <c r="EN88" i="202"/>
  <c r="EM88" i="202"/>
  <c r="EO87" i="202"/>
  <c r="EN87" i="202"/>
  <c r="EM87" i="202"/>
  <c r="EO86" i="202"/>
  <c r="EN86" i="202"/>
  <c r="EM86" i="202"/>
  <c r="EO85" i="202"/>
  <c r="EN85" i="202"/>
  <c r="EM85" i="202"/>
  <c r="EO84" i="202"/>
  <c r="EN84" i="202"/>
  <c r="EM84" i="202"/>
  <c r="EO83" i="202"/>
  <c r="EN83" i="202"/>
  <c r="EM83" i="202"/>
  <c r="EO82" i="202"/>
  <c r="EN82" i="202"/>
  <c r="EM82" i="202"/>
  <c r="EO81" i="202"/>
  <c r="EN81" i="202"/>
  <c r="EM81" i="202"/>
  <c r="EO80" i="202"/>
  <c r="EN80" i="202"/>
  <c r="EM80" i="202"/>
  <c r="EO79" i="202"/>
  <c r="EN79" i="202"/>
  <c r="EM79" i="202"/>
  <c r="EO78" i="202"/>
  <c r="EN78" i="202"/>
  <c r="EM78" i="202"/>
  <c r="EO77" i="202"/>
  <c r="EN77" i="202"/>
  <c r="EM77" i="202"/>
  <c r="EO76" i="202"/>
  <c r="EN76" i="202"/>
  <c r="EM76" i="202"/>
  <c r="EO75" i="202"/>
  <c r="EN75" i="202"/>
  <c r="EM75" i="202"/>
  <c r="AW57" i="202"/>
  <c r="AQ57" i="202"/>
  <c r="AK57" i="202"/>
  <c r="AA57" i="202"/>
  <c r="Z57" i="202"/>
  <c r="Y57" i="202"/>
  <c r="X57" i="202"/>
  <c r="W57" i="202"/>
  <c r="V57" i="202"/>
  <c r="U57" i="202"/>
  <c r="T57" i="202"/>
  <c r="AR57" i="202" s="1"/>
  <c r="S57" i="202"/>
  <c r="R57" i="202"/>
  <c r="Q57" i="202"/>
  <c r="P57" i="202"/>
  <c r="O57" i="202"/>
  <c r="N57" i="202"/>
  <c r="M57" i="202"/>
  <c r="L57" i="202"/>
  <c r="K57" i="202"/>
  <c r="J57" i="202"/>
  <c r="I57" i="202"/>
  <c r="H57" i="202"/>
  <c r="G57" i="202"/>
  <c r="F57" i="202"/>
  <c r="E57" i="202"/>
  <c r="D57" i="202"/>
  <c r="C57" i="202"/>
  <c r="AV57" i="202" s="1"/>
  <c r="B57" i="202"/>
  <c r="A57" i="202"/>
  <c r="AK52" i="202"/>
  <c r="AN49" i="202"/>
  <c r="AL49" i="202"/>
  <c r="AK49" i="202"/>
  <c r="FV45" i="202"/>
  <c r="FT45" i="202"/>
  <c r="FR45" i="202"/>
  <c r="FQ45" i="202"/>
  <c r="FI45" i="202"/>
  <c r="FH45" i="202"/>
  <c r="FD45" i="202"/>
  <c r="FC45" i="202"/>
  <c r="FA45" i="202"/>
  <c r="EZ45" i="202"/>
  <c r="EY45" i="202"/>
  <c r="EX45" i="202"/>
  <c r="EM45" i="202"/>
  <c r="EQ45" i="202" s="1"/>
  <c r="CI45" i="202" s="1"/>
  <c r="EC45" i="202"/>
  <c r="FP45" i="202" s="1"/>
  <c r="EB45" i="202"/>
  <c r="EA45" i="202"/>
  <c r="DY45" i="202"/>
  <c r="DW45" i="202"/>
  <c r="DS45" i="202"/>
  <c r="DO45" i="202"/>
  <c r="DN45" i="202"/>
  <c r="DM45" i="202"/>
  <c r="DL45" i="202"/>
  <c r="DK45" i="202"/>
  <c r="EL45" i="202" s="1"/>
  <c r="EN45" i="202" s="1"/>
  <c r="ER45" i="202" s="1"/>
  <c r="DJ45" i="202"/>
  <c r="DI45" i="202"/>
  <c r="DH45" i="202"/>
  <c r="FM45" i="202" s="1"/>
  <c r="DG45" i="202"/>
  <c r="DF45" i="202"/>
  <c r="ED45" i="202" s="1"/>
  <c r="DE45" i="202"/>
  <c r="FB45" i="202" s="1"/>
  <c r="DD45" i="202"/>
  <c r="DC45" i="202"/>
  <c r="DB45" i="202"/>
  <c r="DA45" i="202"/>
  <c r="EE45" i="202" s="1"/>
  <c r="CZ45" i="202"/>
  <c r="CY45" i="202"/>
  <c r="CX45" i="202"/>
  <c r="FU45" i="202" s="1"/>
  <c r="CW45" i="202"/>
  <c r="CV45" i="202"/>
  <c r="CU45" i="202"/>
  <c r="CQ45" i="202"/>
  <c r="CP45" i="202"/>
  <c r="CK45" i="202" s="1"/>
  <c r="CO45" i="202"/>
  <c r="CN45" i="202"/>
  <c r="CM45" i="202"/>
  <c r="CL45" i="202"/>
  <c r="AW45" i="202"/>
  <c r="K45" i="202"/>
  <c r="J45" i="202"/>
  <c r="I45" i="202"/>
  <c r="C45" i="202"/>
  <c r="AD45" i="202" s="1"/>
  <c r="A45" i="202"/>
  <c r="FS44" i="202"/>
  <c r="FQ44" i="202"/>
  <c r="FG44" i="202"/>
  <c r="FC44" i="202"/>
  <c r="EL44" i="202" s="1"/>
  <c r="EZ44" i="202"/>
  <c r="EE44" i="202" s="1"/>
  <c r="EY44" i="202"/>
  <c r="DY44" i="202"/>
  <c r="DS44" i="202"/>
  <c r="DO44" i="202"/>
  <c r="DN44" i="202"/>
  <c r="FI44" i="202" s="1"/>
  <c r="FJ44" i="202" s="1"/>
  <c r="FK44" i="202" s="1"/>
  <c r="FL44" i="202" s="1"/>
  <c r="Z44" i="202" s="1"/>
  <c r="DM44" i="202"/>
  <c r="DL44" i="202"/>
  <c r="DK44" i="202"/>
  <c r="DJ44" i="202"/>
  <c r="DI44" i="202"/>
  <c r="FT44" i="202" s="1"/>
  <c r="DH44" i="202"/>
  <c r="FV44" i="202" s="1"/>
  <c r="DG44" i="202"/>
  <c r="DF44" i="202"/>
  <c r="DE44" i="202"/>
  <c r="DD44" i="202"/>
  <c r="FD44" i="202" s="1"/>
  <c r="FE44" i="202" s="1"/>
  <c r="FF44" i="202" s="1"/>
  <c r="DC44" i="202"/>
  <c r="DB44" i="202"/>
  <c r="DA44" i="202"/>
  <c r="CZ44" i="202"/>
  <c r="CY44" i="202"/>
  <c r="CX44" i="202"/>
  <c r="CW44" i="202"/>
  <c r="CV44" i="202"/>
  <c r="DU44" i="202" s="1"/>
  <c r="CU44" i="202"/>
  <c r="EX44" i="202" s="1"/>
  <c r="CQ44" i="202"/>
  <c r="CP44" i="202"/>
  <c r="CO44" i="202"/>
  <c r="CN44" i="202"/>
  <c r="CM44" i="202"/>
  <c r="CL44" i="202"/>
  <c r="CK44" i="202"/>
  <c r="CE44" i="202"/>
  <c r="CD44" i="202"/>
  <c r="AW44" i="202"/>
  <c r="AV44" i="202"/>
  <c r="AL44" i="202"/>
  <c r="AK44" i="202"/>
  <c r="AH44" i="202"/>
  <c r="AG44" i="202"/>
  <c r="AF44" i="202"/>
  <c r="AE44" i="202"/>
  <c r="Y44" i="202"/>
  <c r="C44" i="202"/>
  <c r="AD44" i="202" s="1"/>
  <c r="A44" i="202"/>
  <c r="GF43" i="202"/>
  <c r="GD43" i="202" s="1"/>
  <c r="GE43" i="202"/>
  <c r="GC43" i="202"/>
  <c r="GB43" i="202"/>
  <c r="GA43" i="202"/>
  <c r="FV43" i="202"/>
  <c r="FU43" i="202"/>
  <c r="FM43" i="202"/>
  <c r="FI43" i="202"/>
  <c r="FH43" i="202"/>
  <c r="FE43" i="202"/>
  <c r="FF43" i="202" s="1"/>
  <c r="FG43" i="202" s="1"/>
  <c r="Y43" i="202" s="1"/>
  <c r="FC43" i="202"/>
  <c r="FA43" i="202"/>
  <c r="EZ43" i="202"/>
  <c r="EY43" i="202"/>
  <c r="EX43" i="202"/>
  <c r="EQ43" i="202"/>
  <c r="CI43" i="202" s="1"/>
  <c r="EN43" i="202"/>
  <c r="ER43" i="202" s="1"/>
  <c r="EB43" i="202"/>
  <c r="EA43" i="202"/>
  <c r="DY43" i="202"/>
  <c r="DX43" i="202"/>
  <c r="F43" i="202" s="1"/>
  <c r="DS43" i="202"/>
  <c r="DP43" i="202"/>
  <c r="E43" i="202" s="1"/>
  <c r="DO43" i="202"/>
  <c r="DN43" i="202"/>
  <c r="DM43" i="202"/>
  <c r="DL43" i="202"/>
  <c r="DK43" i="202"/>
  <c r="EL43" i="202" s="1"/>
  <c r="EM43" i="202" s="1"/>
  <c r="DJ43" i="202"/>
  <c r="DI43" i="202"/>
  <c r="DH43" i="202"/>
  <c r="DG43" i="202"/>
  <c r="DF43" i="202"/>
  <c r="ED43" i="202" s="1"/>
  <c r="DE43" i="202"/>
  <c r="FR43" i="202" s="1"/>
  <c r="DD43" i="202"/>
  <c r="FD43" i="202" s="1"/>
  <c r="DC43" i="202"/>
  <c r="DB43" i="202"/>
  <c r="DA43" i="202"/>
  <c r="CZ43" i="202"/>
  <c r="CY43" i="202"/>
  <c r="FS43" i="202" s="1"/>
  <c r="CX43" i="202"/>
  <c r="CW43" i="202"/>
  <c r="CV43" i="202"/>
  <c r="CU43" i="202"/>
  <c r="FQ43" i="202" s="1"/>
  <c r="CQ43" i="202"/>
  <c r="CP43" i="202"/>
  <c r="CO43" i="202"/>
  <c r="CN43" i="202"/>
  <c r="CM43" i="202"/>
  <c r="CL43" i="202"/>
  <c r="CK43" i="202"/>
  <c r="AX43" i="202"/>
  <c r="AW43" i="202"/>
  <c r="AV43" i="202"/>
  <c r="AH43" i="202"/>
  <c r="AG43" i="202"/>
  <c r="AF43" i="202"/>
  <c r="AE43" i="202"/>
  <c r="W43" i="202"/>
  <c r="V43" i="202"/>
  <c r="H43" i="202"/>
  <c r="D43" i="202"/>
  <c r="GK43" i="202" s="1"/>
  <c r="C43" i="202"/>
  <c r="AD43" i="202" s="1"/>
  <c r="A43" i="202"/>
  <c r="GF42" i="202"/>
  <c r="GE42" i="202"/>
  <c r="GA42" i="202"/>
  <c r="FT42" i="202"/>
  <c r="FS42" i="202"/>
  <c r="FM42" i="202"/>
  <c r="FE42" i="202"/>
  <c r="FF42" i="202" s="1"/>
  <c r="FG42" i="202" s="1"/>
  <c r="Y42" i="202" s="1"/>
  <c r="FD42" i="202"/>
  <c r="FC42" i="202"/>
  <c r="FA42" i="202"/>
  <c r="EZ42" i="202"/>
  <c r="EY42" i="202"/>
  <c r="EX42" i="202"/>
  <c r="EN42" i="202"/>
  <c r="EL42" i="202"/>
  <c r="EM42" i="202" s="1"/>
  <c r="EQ42" i="202" s="1"/>
  <c r="DY42" i="202"/>
  <c r="DX42" i="202"/>
  <c r="DW42" i="202"/>
  <c r="FO42" i="202" s="1"/>
  <c r="DV42" i="202"/>
  <c r="DS42" i="202"/>
  <c r="DO42" i="202"/>
  <c r="DN42" i="202"/>
  <c r="FI42" i="202" s="1"/>
  <c r="DM42" i="202"/>
  <c r="DL42" i="202"/>
  <c r="DK42" i="202"/>
  <c r="DJ42" i="202"/>
  <c r="DI42" i="202"/>
  <c r="DH42" i="202"/>
  <c r="FV42" i="202" s="1"/>
  <c r="DG42" i="202"/>
  <c r="DF42" i="202"/>
  <c r="DE42" i="202"/>
  <c r="FR42" i="202" s="1"/>
  <c r="DD42" i="202"/>
  <c r="DC42" i="202"/>
  <c r="DB42" i="202"/>
  <c r="DA42" i="202"/>
  <c r="EE42" i="202" s="1"/>
  <c r="EF42" i="202" s="1"/>
  <c r="EJ42" i="202" s="1"/>
  <c r="CZ42" i="202"/>
  <c r="CY42" i="202"/>
  <c r="CX42" i="202"/>
  <c r="FH42" i="202" s="1"/>
  <c r="CW42" i="202"/>
  <c r="CV42" i="202"/>
  <c r="DU42" i="202" s="1"/>
  <c r="CU42" i="202"/>
  <c r="CQ42" i="202"/>
  <c r="CP42" i="202"/>
  <c r="CK42" i="202" s="1"/>
  <c r="CO42" i="202"/>
  <c r="CN42" i="202"/>
  <c r="CM42" i="202"/>
  <c r="CL42" i="202"/>
  <c r="CE42" i="202"/>
  <c r="AX42" i="202"/>
  <c r="AE42" i="202"/>
  <c r="AD42" i="202"/>
  <c r="C42" i="202"/>
  <c r="A42" i="202"/>
  <c r="GF41" i="202"/>
  <c r="FT41" i="202"/>
  <c r="FM41" i="202"/>
  <c r="FI41" i="202"/>
  <c r="FD41" i="202"/>
  <c r="FC41" i="202"/>
  <c r="FB41" i="202"/>
  <c r="EZ41" i="202"/>
  <c r="EY41" i="202"/>
  <c r="EL41" i="202"/>
  <c r="EE41" i="202"/>
  <c r="DY41" i="202"/>
  <c r="DX41" i="202"/>
  <c r="DV41" i="202"/>
  <c r="DS41" i="202"/>
  <c r="DO41" i="202"/>
  <c r="FE41" i="202" s="1"/>
  <c r="FF41" i="202" s="1"/>
  <c r="FG41" i="202" s="1"/>
  <c r="Y41" i="202" s="1"/>
  <c r="DN41" i="202"/>
  <c r="DM41" i="202"/>
  <c r="DL41" i="202"/>
  <c r="DK41" i="202"/>
  <c r="DJ41" i="202"/>
  <c r="DI41" i="202"/>
  <c r="DH41" i="202"/>
  <c r="FV41" i="202" s="1"/>
  <c r="DG41" i="202"/>
  <c r="DF41" i="202"/>
  <c r="DE41" i="202"/>
  <c r="FA41" i="202" s="1"/>
  <c r="DD41" i="202"/>
  <c r="DC41" i="202"/>
  <c r="DB41" i="202"/>
  <c r="DA41" i="202"/>
  <c r="CZ41" i="202"/>
  <c r="CY41" i="202"/>
  <c r="CX41" i="202"/>
  <c r="CW41" i="202"/>
  <c r="CV41" i="202"/>
  <c r="FQ41" i="202" s="1"/>
  <c r="CU41" i="202"/>
  <c r="EX41" i="202" s="1"/>
  <c r="CQ41" i="202"/>
  <c r="CP41" i="202"/>
  <c r="CO41" i="202"/>
  <c r="CN41" i="202"/>
  <c r="CM41" i="202"/>
  <c r="CL41" i="202"/>
  <c r="CE41" i="202"/>
  <c r="AV41" i="202"/>
  <c r="AD41" i="202"/>
  <c r="C41" i="202"/>
  <c r="A41" i="202"/>
  <c r="AX41" i="202" s="1"/>
  <c r="GM40" i="202"/>
  <c r="GL40" i="202"/>
  <c r="GK40" i="202"/>
  <c r="GF40" i="202"/>
  <c r="FV40" i="202"/>
  <c r="FT40" i="202"/>
  <c r="FD40" i="202"/>
  <c r="FC40" i="202"/>
  <c r="EZ40" i="202"/>
  <c r="EX40" i="202"/>
  <c r="EL40" i="202"/>
  <c r="EN40" i="202" s="1"/>
  <c r="EE40" i="202"/>
  <c r="DY40" i="202"/>
  <c r="DX40" i="202"/>
  <c r="F40" i="202" s="1"/>
  <c r="DW40" i="202"/>
  <c r="DV40" i="202"/>
  <c r="DU40" i="202"/>
  <c r="DS40" i="202"/>
  <c r="DO40" i="202"/>
  <c r="DN40" i="202"/>
  <c r="FI40" i="202" s="1"/>
  <c r="DM40" i="202"/>
  <c r="DL40" i="202"/>
  <c r="DK40" i="202"/>
  <c r="DJ40" i="202"/>
  <c r="DI40" i="202"/>
  <c r="CE40" i="202" s="1"/>
  <c r="DH40" i="202"/>
  <c r="FM40" i="202" s="1"/>
  <c r="DG40" i="202"/>
  <c r="DF40" i="202"/>
  <c r="DE40" i="202"/>
  <c r="FA40" i="202" s="1"/>
  <c r="DD40" i="202"/>
  <c r="DC40" i="202"/>
  <c r="DB40" i="202"/>
  <c r="DA40" i="202"/>
  <c r="CZ40" i="202"/>
  <c r="CY40" i="202"/>
  <c r="CX40" i="202"/>
  <c r="CW40" i="202"/>
  <c r="CV40" i="202"/>
  <c r="CU40" i="202"/>
  <c r="FQ40" i="202" s="1"/>
  <c r="CQ40" i="202"/>
  <c r="CP40" i="202"/>
  <c r="CO40" i="202"/>
  <c r="CN40" i="202"/>
  <c r="CM40" i="202"/>
  <c r="CL40" i="202"/>
  <c r="AX40" i="202"/>
  <c r="AW40" i="202"/>
  <c r="AV40" i="202"/>
  <c r="AK40" i="202" s="1"/>
  <c r="AH40" i="202"/>
  <c r="AG40" i="202"/>
  <c r="AF40" i="202"/>
  <c r="AE40" i="202"/>
  <c r="H40" i="202"/>
  <c r="G40" i="202"/>
  <c r="GL39" i="202"/>
  <c r="GM39" i="202" s="1"/>
  <c r="GK39" i="202"/>
  <c r="GF39" i="202"/>
  <c r="FT39" i="202"/>
  <c r="FS39" i="202"/>
  <c r="FQ39" i="202"/>
  <c r="FM39" i="202"/>
  <c r="FE39" i="202"/>
  <c r="FF39" i="202" s="1"/>
  <c r="FG39" i="202" s="1"/>
  <c r="Y39" i="202" s="1"/>
  <c r="FC39" i="202"/>
  <c r="EL39" i="202" s="1"/>
  <c r="EM39" i="202" s="1"/>
  <c r="EZ39" i="202"/>
  <c r="EY39" i="202"/>
  <c r="EN39" i="202"/>
  <c r="EE39" i="202"/>
  <c r="EC39" i="202"/>
  <c r="DY39" i="202"/>
  <c r="DX39" i="202"/>
  <c r="H39" i="202" s="1"/>
  <c r="DW39" i="202"/>
  <c r="DU39" i="202"/>
  <c r="DS39" i="202"/>
  <c r="DO39" i="202"/>
  <c r="FJ39" i="202" s="1"/>
  <c r="FK39" i="202" s="1"/>
  <c r="FL39" i="202" s="1"/>
  <c r="Z39" i="202" s="1"/>
  <c r="DN39" i="202"/>
  <c r="FI39" i="202" s="1"/>
  <c r="DM39" i="202"/>
  <c r="DL39" i="202"/>
  <c r="DK39" i="202"/>
  <c r="DJ39" i="202"/>
  <c r="DI39" i="202"/>
  <c r="DH39" i="202"/>
  <c r="FV39" i="202" s="1"/>
  <c r="DG39" i="202"/>
  <c r="DF39" i="202"/>
  <c r="DE39" i="202"/>
  <c r="DD39" i="202"/>
  <c r="FD39" i="202" s="1"/>
  <c r="DC39" i="202"/>
  <c r="DB39" i="202"/>
  <c r="DA39" i="202"/>
  <c r="CZ39" i="202"/>
  <c r="CY39" i="202"/>
  <c r="CX39" i="202"/>
  <c r="CW39" i="202"/>
  <c r="CV39" i="202"/>
  <c r="CU39" i="202"/>
  <c r="EX39" i="202" s="1"/>
  <c r="CQ39" i="202"/>
  <c r="CP39" i="202"/>
  <c r="CK39" i="202" s="1"/>
  <c r="CO39" i="202"/>
  <c r="CN39" i="202"/>
  <c r="CM39" i="202"/>
  <c r="CL39" i="202"/>
  <c r="CE39" i="202"/>
  <c r="CD39" i="202"/>
  <c r="AX39" i="202"/>
  <c r="AW39" i="202"/>
  <c r="AV39" i="202"/>
  <c r="AK39" i="202" s="1"/>
  <c r="AH39" i="202"/>
  <c r="AG39" i="202"/>
  <c r="AF39" i="202"/>
  <c r="AE39" i="202"/>
  <c r="G39" i="202"/>
  <c r="F39" i="202"/>
  <c r="GL38" i="202"/>
  <c r="GK38" i="202"/>
  <c r="GM38" i="202" s="1"/>
  <c r="GF38" i="202"/>
  <c r="FV38" i="202"/>
  <c r="FT38" i="202"/>
  <c r="FS38" i="202"/>
  <c r="FQ38" i="202"/>
  <c r="FD38" i="202"/>
  <c r="FC38" i="202"/>
  <c r="FA38" i="202"/>
  <c r="EZ38" i="202"/>
  <c r="EE38" i="202" s="1"/>
  <c r="ER38" i="202"/>
  <c r="EM38" i="202"/>
  <c r="EL38" i="202"/>
  <c r="EN38" i="202" s="1"/>
  <c r="ED38" i="202"/>
  <c r="EB38" i="202"/>
  <c r="EA38" i="202"/>
  <c r="DY38" i="202"/>
  <c r="DU38" i="202"/>
  <c r="DS38" i="202"/>
  <c r="DO38" i="202"/>
  <c r="DN38" i="202"/>
  <c r="FI38" i="202" s="1"/>
  <c r="DM38" i="202"/>
  <c r="DL38" i="202"/>
  <c r="DK38" i="202"/>
  <c r="DJ38" i="202"/>
  <c r="DI38" i="202"/>
  <c r="DH38" i="202"/>
  <c r="FM38" i="202" s="1"/>
  <c r="DG38" i="202"/>
  <c r="DF38" i="202"/>
  <c r="EC38" i="202" s="1"/>
  <c r="DE38" i="202"/>
  <c r="DD38" i="202"/>
  <c r="DC38" i="202"/>
  <c r="DB38" i="202"/>
  <c r="DA38" i="202"/>
  <c r="CZ38" i="202"/>
  <c r="CY38" i="202"/>
  <c r="CD38" i="202" s="1"/>
  <c r="CX38" i="202"/>
  <c r="CW38" i="202"/>
  <c r="CV38" i="202"/>
  <c r="DV38" i="202" s="1"/>
  <c r="CU38" i="202"/>
  <c r="CQ38" i="202"/>
  <c r="CP38" i="202"/>
  <c r="CK38" i="202" s="1"/>
  <c r="CO38" i="202"/>
  <c r="CN38" i="202"/>
  <c r="CM38" i="202"/>
  <c r="CL38" i="202"/>
  <c r="CE38" i="202"/>
  <c r="AX38" i="202"/>
  <c r="AW38" i="202"/>
  <c r="AV38" i="202"/>
  <c r="AM38" i="202"/>
  <c r="AK38" i="202"/>
  <c r="AH38" i="202"/>
  <c r="AG38" i="202"/>
  <c r="AF38" i="202"/>
  <c r="AE38" i="202"/>
  <c r="GL37" i="202"/>
  <c r="GK37" i="202"/>
  <c r="GM37" i="202" s="1"/>
  <c r="GF37" i="202"/>
  <c r="FS37" i="202"/>
  <c r="FJ37" i="202"/>
  <c r="FK37" i="202" s="1"/>
  <c r="FL37" i="202" s="1"/>
  <c r="Z37" i="202" s="1"/>
  <c r="FI37" i="202"/>
  <c r="FH37" i="202"/>
  <c r="FC37" i="202"/>
  <c r="EL37" i="202" s="1"/>
  <c r="EZ37" i="202"/>
  <c r="EE37" i="202" s="1"/>
  <c r="EY37" i="202"/>
  <c r="ED37" i="202"/>
  <c r="K37" i="202" s="1"/>
  <c r="AS37" i="202" s="1"/>
  <c r="AT37" i="202" s="1"/>
  <c r="EC37" i="202"/>
  <c r="EB37" i="202"/>
  <c r="EA37" i="202"/>
  <c r="DY37" i="202"/>
  <c r="DS37" i="202"/>
  <c r="DO37" i="202"/>
  <c r="DN37" i="202"/>
  <c r="DM37" i="202"/>
  <c r="DL37" i="202"/>
  <c r="DK37" i="202"/>
  <c r="DJ37" i="202"/>
  <c r="DI37" i="202"/>
  <c r="FT37" i="202" s="1"/>
  <c r="DH37" i="202"/>
  <c r="FV37" i="202" s="1"/>
  <c r="DG37" i="202"/>
  <c r="DF37" i="202"/>
  <c r="DE37" i="202"/>
  <c r="DD37" i="202"/>
  <c r="FD37" i="202" s="1"/>
  <c r="FE37" i="202" s="1"/>
  <c r="FF37" i="202" s="1"/>
  <c r="FG37" i="202" s="1"/>
  <c r="Y37" i="202" s="1"/>
  <c r="DC37" i="202"/>
  <c r="DB37" i="202"/>
  <c r="DA37" i="202"/>
  <c r="CZ37" i="202"/>
  <c r="CY37" i="202"/>
  <c r="CX37" i="202"/>
  <c r="FU37" i="202" s="1"/>
  <c r="CW37" i="202"/>
  <c r="CV37" i="202"/>
  <c r="CU37" i="202"/>
  <c r="EX37" i="202" s="1"/>
  <c r="CQ37" i="202"/>
  <c r="CP37" i="202"/>
  <c r="CO37" i="202"/>
  <c r="CN37" i="202"/>
  <c r="CM37" i="202"/>
  <c r="CL37" i="202"/>
  <c r="CK37" i="202"/>
  <c r="CE37" i="202"/>
  <c r="CD37" i="202"/>
  <c r="AX37" i="202"/>
  <c r="AW37" i="202"/>
  <c r="AV37" i="202"/>
  <c r="AQ37" i="202"/>
  <c r="AR37" i="202" s="1"/>
  <c r="AK37" i="202"/>
  <c r="AJ37" i="202"/>
  <c r="AH37" i="202"/>
  <c r="AG37" i="202"/>
  <c r="AF37" i="202"/>
  <c r="AE37" i="202"/>
  <c r="I37" i="202"/>
  <c r="GM36" i="202"/>
  <c r="GL36" i="202"/>
  <c r="GK36" i="202"/>
  <c r="GF36" i="202"/>
  <c r="FT36" i="202"/>
  <c r="FS36" i="202"/>
  <c r="FR36" i="202"/>
  <c r="FK36" i="202"/>
  <c r="FL36" i="202" s="1"/>
  <c r="Z36" i="202" s="1"/>
  <c r="FI36" i="202"/>
  <c r="FE36" i="202"/>
  <c r="FF36" i="202" s="1"/>
  <c r="FG36" i="202" s="1"/>
  <c r="Y36" i="202" s="1"/>
  <c r="FD36" i="202"/>
  <c r="FC36" i="202"/>
  <c r="EZ36" i="202"/>
  <c r="EY36" i="202"/>
  <c r="EN36" i="202"/>
  <c r="EM36" i="202"/>
  <c r="EL36" i="202"/>
  <c r="EK36" i="202"/>
  <c r="EJ36" i="202"/>
  <c r="CH36" i="202" s="1"/>
  <c r="EF36" i="202"/>
  <c r="EE36" i="202"/>
  <c r="EG36" i="202" s="1"/>
  <c r="EC36" i="202"/>
  <c r="DY36" i="202"/>
  <c r="DW36" i="202"/>
  <c r="DV36" i="202"/>
  <c r="DS36" i="202"/>
  <c r="DP36" i="202"/>
  <c r="DO36" i="202"/>
  <c r="FJ36" i="202" s="1"/>
  <c r="DN36" i="202"/>
  <c r="DM36" i="202"/>
  <c r="DL36" i="202"/>
  <c r="DK36" i="202"/>
  <c r="DJ36" i="202"/>
  <c r="DI36" i="202"/>
  <c r="DH36" i="202"/>
  <c r="DG36" i="202"/>
  <c r="DF36" i="202"/>
  <c r="DE36" i="202"/>
  <c r="FB36" i="202" s="1"/>
  <c r="DD36" i="202"/>
  <c r="DC36" i="202"/>
  <c r="DB36" i="202"/>
  <c r="DA36" i="202"/>
  <c r="CZ36" i="202"/>
  <c r="CY36" i="202"/>
  <c r="CX36" i="202"/>
  <c r="CW36" i="202"/>
  <c r="CV36" i="202"/>
  <c r="CU36" i="202"/>
  <c r="EX36" i="202" s="1"/>
  <c r="CQ36" i="202"/>
  <c r="CP36" i="202"/>
  <c r="CK36" i="202" s="1"/>
  <c r="CO36" i="202"/>
  <c r="CN36" i="202"/>
  <c r="CM36" i="202"/>
  <c r="CL36" i="202"/>
  <c r="CE36" i="202"/>
  <c r="CD36" i="202"/>
  <c r="AX36" i="202"/>
  <c r="AW36" i="202"/>
  <c r="AV36" i="202"/>
  <c r="AN36" i="202"/>
  <c r="AK36" i="202"/>
  <c r="AJ36" i="202" s="1"/>
  <c r="AH36" i="202"/>
  <c r="AG36" i="202"/>
  <c r="AF36" i="202"/>
  <c r="AE36" i="202"/>
  <c r="GL35" i="202"/>
  <c r="GM35" i="202" s="1"/>
  <c r="GK35" i="202"/>
  <c r="GF35" i="202"/>
  <c r="FT35" i="202"/>
  <c r="FS35" i="202"/>
  <c r="FN35" i="202"/>
  <c r="FM35" i="202"/>
  <c r="FL35" i="202"/>
  <c r="Z35" i="202" s="1"/>
  <c r="FE35" i="202"/>
  <c r="FF35" i="202" s="1"/>
  <c r="FG35" i="202" s="1"/>
  <c r="Y35" i="202" s="1"/>
  <c r="FD35" i="202"/>
  <c r="FC35" i="202"/>
  <c r="EL35" i="202" s="1"/>
  <c r="FA35" i="202"/>
  <c r="EZ35" i="202"/>
  <c r="EY35" i="202"/>
  <c r="EX35" i="202"/>
  <c r="EG35" i="202"/>
  <c r="EE35" i="202"/>
  <c r="EF35" i="202" s="1"/>
  <c r="EJ35" i="202" s="1"/>
  <c r="ED35" i="202"/>
  <c r="J35" i="202" s="1"/>
  <c r="DY35" i="202"/>
  <c r="DX35" i="202"/>
  <c r="DW35" i="202"/>
  <c r="FO35" i="202" s="1"/>
  <c r="DV35" i="202"/>
  <c r="DS35" i="202"/>
  <c r="DP35" i="202"/>
  <c r="DO35" i="202"/>
  <c r="FJ35" i="202" s="1"/>
  <c r="FK35" i="202" s="1"/>
  <c r="DN35" i="202"/>
  <c r="FI35" i="202" s="1"/>
  <c r="DM35" i="202"/>
  <c r="DL35" i="202"/>
  <c r="DK35" i="202"/>
  <c r="DJ35" i="202"/>
  <c r="DI35" i="202"/>
  <c r="DH35" i="202"/>
  <c r="FV35" i="202" s="1"/>
  <c r="DG35" i="202"/>
  <c r="DF35" i="202"/>
  <c r="DE35" i="202"/>
  <c r="FR35" i="202" s="1"/>
  <c r="DD35" i="202"/>
  <c r="DC35" i="202"/>
  <c r="DB35" i="202"/>
  <c r="DA35" i="202"/>
  <c r="CZ35" i="202"/>
  <c r="CY35" i="202"/>
  <c r="CX35" i="202"/>
  <c r="FH35" i="202" s="1"/>
  <c r="CW35" i="202"/>
  <c r="CV35" i="202"/>
  <c r="DU35" i="202" s="1"/>
  <c r="CU35" i="202"/>
  <c r="CQ35" i="202"/>
  <c r="CP35" i="202"/>
  <c r="CO35" i="202"/>
  <c r="CN35" i="202"/>
  <c r="CM35" i="202"/>
  <c r="CL35" i="202"/>
  <c r="CK35" i="202"/>
  <c r="AX35" i="202"/>
  <c r="AW35" i="202"/>
  <c r="AV35" i="202"/>
  <c r="AK35" i="202" s="1"/>
  <c r="AM35" i="202"/>
  <c r="AL35" i="202"/>
  <c r="AH35" i="202"/>
  <c r="AG35" i="202"/>
  <c r="AF35" i="202"/>
  <c r="AE35" i="202"/>
  <c r="K35" i="202"/>
  <c r="I35" i="202"/>
  <c r="GM34" i="202"/>
  <c r="GL34" i="202"/>
  <c r="GK34" i="202"/>
  <c r="GF34" i="202"/>
  <c r="FV34" i="202"/>
  <c r="FU34" i="202"/>
  <c r="FS34" i="202"/>
  <c r="FJ34" i="202"/>
  <c r="FK34" i="202" s="1"/>
  <c r="FL34" i="202" s="1"/>
  <c r="Z34" i="202" s="1"/>
  <c r="FE34" i="202"/>
  <c r="FF34" i="202" s="1"/>
  <c r="FG34" i="202" s="1"/>
  <c r="FD34" i="202"/>
  <c r="FC34" i="202"/>
  <c r="EL34" i="202" s="1"/>
  <c r="EZ34" i="202"/>
  <c r="EX34" i="202"/>
  <c r="ED34" i="202"/>
  <c r="K34" i="202" s="1"/>
  <c r="DY34" i="202"/>
  <c r="DX34" i="202"/>
  <c r="DW34" i="202"/>
  <c r="DV34" i="202"/>
  <c r="DU34" i="202"/>
  <c r="DS34" i="202"/>
  <c r="DO34" i="202"/>
  <c r="DN34" i="202"/>
  <c r="FI34" i="202" s="1"/>
  <c r="DM34" i="202"/>
  <c r="DL34" i="202"/>
  <c r="DK34" i="202"/>
  <c r="DJ34" i="202"/>
  <c r="DI34" i="202"/>
  <c r="DH34" i="202"/>
  <c r="FM34" i="202" s="1"/>
  <c r="DG34" i="202"/>
  <c r="DF34" i="202"/>
  <c r="DE34" i="202"/>
  <c r="DD34" i="202"/>
  <c r="DC34" i="202"/>
  <c r="DB34" i="202"/>
  <c r="DA34" i="202"/>
  <c r="EE34" i="202" s="1"/>
  <c r="CZ34" i="202"/>
  <c r="CY34" i="202"/>
  <c r="CX34" i="202"/>
  <c r="FH34" i="202" s="1"/>
  <c r="CW34" i="202"/>
  <c r="CV34" i="202"/>
  <c r="CU34" i="202"/>
  <c r="FQ34" i="202" s="1"/>
  <c r="CQ34" i="202"/>
  <c r="CP34" i="202"/>
  <c r="CO34" i="202"/>
  <c r="CN34" i="202"/>
  <c r="CM34" i="202"/>
  <c r="CL34" i="202"/>
  <c r="CD34" i="202"/>
  <c r="AX34" i="202"/>
  <c r="AW34" i="202"/>
  <c r="AV34" i="202"/>
  <c r="AT34" i="202"/>
  <c r="AS34" i="202"/>
  <c r="AM34" i="202"/>
  <c r="AL34" i="202"/>
  <c r="AK34" i="202"/>
  <c r="AH34" i="202"/>
  <c r="AG34" i="202"/>
  <c r="AF34" i="202"/>
  <c r="AE34" i="202"/>
  <c r="Y34" i="202"/>
  <c r="I34" i="202"/>
  <c r="GM33" i="202"/>
  <c r="GL33" i="202"/>
  <c r="GK33" i="202"/>
  <c r="GF33" i="202"/>
  <c r="FU33" i="202"/>
  <c r="FT33" i="202"/>
  <c r="FK33" i="202"/>
  <c r="FL33" i="202" s="1"/>
  <c r="Z33" i="202" s="1"/>
  <c r="FJ33" i="202"/>
  <c r="FE33" i="202"/>
  <c r="FF33" i="202" s="1"/>
  <c r="FG33" i="202" s="1"/>
  <c r="Y33" i="202" s="1"/>
  <c r="FD33" i="202"/>
  <c r="FC33" i="202"/>
  <c r="EL33" i="202" s="1"/>
  <c r="EZ33" i="202"/>
  <c r="EY33" i="202"/>
  <c r="EE33" i="202"/>
  <c r="EG33" i="202" s="1"/>
  <c r="EB33" i="202"/>
  <c r="DY33" i="202"/>
  <c r="DV33" i="202"/>
  <c r="DU33" i="202"/>
  <c r="DS33" i="202"/>
  <c r="DO33" i="202"/>
  <c r="DN33" i="202"/>
  <c r="FI33" i="202" s="1"/>
  <c r="DM33" i="202"/>
  <c r="DL33" i="202"/>
  <c r="DK33" i="202"/>
  <c r="DJ33" i="202"/>
  <c r="DI33" i="202"/>
  <c r="DH33" i="202"/>
  <c r="DG33" i="202"/>
  <c r="DF33" i="202"/>
  <c r="EA33" i="202" s="1"/>
  <c r="DE33" i="202"/>
  <c r="DD33" i="202"/>
  <c r="DC33" i="202"/>
  <c r="DB33" i="202"/>
  <c r="DA33" i="202"/>
  <c r="CZ33" i="202"/>
  <c r="CY33" i="202"/>
  <c r="CD33" i="202" s="1"/>
  <c r="CX33" i="202"/>
  <c r="FH33" i="202" s="1"/>
  <c r="CW33" i="202"/>
  <c r="CV33" i="202"/>
  <c r="DW33" i="202" s="1"/>
  <c r="CU33" i="202"/>
  <c r="EX33" i="202" s="1"/>
  <c r="CQ33" i="202"/>
  <c r="CP33" i="202"/>
  <c r="CO33" i="202"/>
  <c r="CN33" i="202"/>
  <c r="CM33" i="202"/>
  <c r="CL33" i="202"/>
  <c r="CE33" i="202"/>
  <c r="AX33" i="202"/>
  <c r="AW33" i="202"/>
  <c r="AV33" i="202"/>
  <c r="AK33" i="202"/>
  <c r="AH33" i="202"/>
  <c r="AG33" i="202"/>
  <c r="AF33" i="202"/>
  <c r="AE33" i="202"/>
  <c r="GL32" i="202"/>
  <c r="GM32" i="202" s="1"/>
  <c r="GK32" i="202"/>
  <c r="GF32" i="202"/>
  <c r="FV32" i="202"/>
  <c r="FO32" i="202"/>
  <c r="FM32" i="202"/>
  <c r="FE32" i="202"/>
  <c r="FF32" i="202" s="1"/>
  <c r="FG32" i="202" s="1"/>
  <c r="Y32" i="202" s="1"/>
  <c r="FD32" i="202"/>
  <c r="FC32" i="202"/>
  <c r="EL32" i="202" s="1"/>
  <c r="FA32" i="202"/>
  <c r="EZ32" i="202"/>
  <c r="EY32" i="202"/>
  <c r="EX32" i="202"/>
  <c r="ED32" i="202"/>
  <c r="DY32" i="202"/>
  <c r="DX32" i="202"/>
  <c r="DW32" i="202"/>
  <c r="DV32" i="202"/>
  <c r="DS32" i="202"/>
  <c r="DP32" i="202"/>
  <c r="DO32" i="202"/>
  <c r="DN32" i="202"/>
  <c r="FI32" i="202" s="1"/>
  <c r="DM32" i="202"/>
  <c r="DL32" i="202"/>
  <c r="DK32" i="202"/>
  <c r="DJ32" i="202"/>
  <c r="DI32" i="202"/>
  <c r="DH32" i="202"/>
  <c r="DG32" i="202"/>
  <c r="DF32" i="202"/>
  <c r="DE32" i="202"/>
  <c r="DD32" i="202"/>
  <c r="DC32" i="202"/>
  <c r="DB32" i="202"/>
  <c r="DA32" i="202"/>
  <c r="EE32" i="202" s="1"/>
  <c r="EG32" i="202" s="1"/>
  <c r="CZ32" i="202"/>
  <c r="CY32" i="202"/>
  <c r="CX32" i="202"/>
  <c r="FH32" i="202" s="1"/>
  <c r="CW32" i="202"/>
  <c r="CV32" i="202"/>
  <c r="DU32" i="202" s="1"/>
  <c r="CU32" i="202"/>
  <c r="CQ32" i="202"/>
  <c r="CP32" i="202"/>
  <c r="CO32" i="202"/>
  <c r="CN32" i="202"/>
  <c r="CM32" i="202"/>
  <c r="CL32" i="202"/>
  <c r="AX32" i="202"/>
  <c r="AW32" i="202"/>
  <c r="AV32" i="202"/>
  <c r="AK32" i="202" s="1"/>
  <c r="AH32" i="202"/>
  <c r="AG32" i="202"/>
  <c r="AF32" i="202"/>
  <c r="AE32" i="202"/>
  <c r="K32" i="202"/>
  <c r="GM31" i="202"/>
  <c r="GL31" i="202"/>
  <c r="GK31" i="202"/>
  <c r="GF31" i="202"/>
  <c r="FV31" i="202"/>
  <c r="FM31" i="202"/>
  <c r="FD31" i="202"/>
  <c r="FC31" i="202"/>
  <c r="FB31" i="202"/>
  <c r="EZ31" i="202"/>
  <c r="EX31" i="202"/>
  <c r="EN31" i="202"/>
  <c r="EL31" i="202"/>
  <c r="EM31" i="202" s="1"/>
  <c r="ED31" i="202"/>
  <c r="EC31" i="202"/>
  <c r="DY31" i="202"/>
  <c r="DX31" i="202"/>
  <c r="DW31" i="202"/>
  <c r="DV31" i="202"/>
  <c r="DU31" i="202"/>
  <c r="DS31" i="202"/>
  <c r="DP31" i="202"/>
  <c r="DO31" i="202"/>
  <c r="FJ31" i="202" s="1"/>
  <c r="FK31" i="202" s="1"/>
  <c r="FL31" i="202" s="1"/>
  <c r="DN31" i="202"/>
  <c r="FI31" i="202" s="1"/>
  <c r="DM31" i="202"/>
  <c r="DL31" i="202"/>
  <c r="DK31" i="202"/>
  <c r="DJ31" i="202"/>
  <c r="DI31" i="202"/>
  <c r="DH31" i="202"/>
  <c r="DG31" i="202"/>
  <c r="DF31" i="202"/>
  <c r="DE31" i="202"/>
  <c r="FA31" i="202" s="1"/>
  <c r="DD31" i="202"/>
  <c r="DC31" i="202"/>
  <c r="DB31" i="202"/>
  <c r="DA31" i="202"/>
  <c r="EE31" i="202" s="1"/>
  <c r="CZ31" i="202"/>
  <c r="CY31" i="202"/>
  <c r="FS31" i="202" s="1"/>
  <c r="CX31" i="202"/>
  <c r="CW31" i="202"/>
  <c r="CV31" i="202"/>
  <c r="CU31" i="202"/>
  <c r="FQ31" i="202" s="1"/>
  <c r="CQ31" i="202"/>
  <c r="CP31" i="202"/>
  <c r="CO31" i="202"/>
  <c r="CN31" i="202"/>
  <c r="CM31" i="202"/>
  <c r="CL31" i="202"/>
  <c r="CD31" i="202"/>
  <c r="AX31" i="202"/>
  <c r="AW31" i="202"/>
  <c r="AV31" i="202"/>
  <c r="AO31" i="202"/>
  <c r="AN31" i="202"/>
  <c r="AM31" i="202"/>
  <c r="AL31" i="202"/>
  <c r="AK31" i="202"/>
  <c r="AH31" i="202"/>
  <c r="AG31" i="202"/>
  <c r="AF31" i="202"/>
  <c r="AE31" i="202"/>
  <c r="Z31" i="202"/>
  <c r="I31" i="202"/>
  <c r="GL30" i="202"/>
  <c r="GM30" i="202" s="1"/>
  <c r="GK30" i="202"/>
  <c r="GF30" i="202"/>
  <c r="FU30" i="202"/>
  <c r="FT30" i="202"/>
  <c r="FR30" i="202"/>
  <c r="FM30" i="202"/>
  <c r="FC30" i="202"/>
  <c r="EL30" i="202" s="1"/>
  <c r="FB30" i="202"/>
  <c r="FA30" i="202"/>
  <c r="EZ30" i="202"/>
  <c r="EY30" i="202"/>
  <c r="EE30" i="202"/>
  <c r="EG30" i="202" s="1"/>
  <c r="ED30" i="202"/>
  <c r="EC30" i="202"/>
  <c r="EB30" i="202"/>
  <c r="DY30" i="202"/>
  <c r="DS30" i="202"/>
  <c r="DO30" i="202"/>
  <c r="FJ30" i="202" s="1"/>
  <c r="FK30" i="202" s="1"/>
  <c r="FL30" i="202" s="1"/>
  <c r="Z30" i="202" s="1"/>
  <c r="DN30" i="202"/>
  <c r="FI30" i="202" s="1"/>
  <c r="DM30" i="202"/>
  <c r="DL30" i="202"/>
  <c r="DK30" i="202"/>
  <c r="DJ30" i="202"/>
  <c r="DI30" i="202"/>
  <c r="DH30" i="202"/>
  <c r="FV30" i="202" s="1"/>
  <c r="DG30" i="202"/>
  <c r="DF30" i="202"/>
  <c r="EA30" i="202" s="1"/>
  <c r="DE30" i="202"/>
  <c r="DD30" i="202"/>
  <c r="FD30" i="202" s="1"/>
  <c r="DC30" i="202"/>
  <c r="DB30" i="202"/>
  <c r="DA30" i="202"/>
  <c r="CZ30" i="202"/>
  <c r="CY30" i="202"/>
  <c r="CX30" i="202"/>
  <c r="FH30" i="202" s="1"/>
  <c r="CW30" i="202"/>
  <c r="CV30" i="202"/>
  <c r="CU30" i="202"/>
  <c r="EX30" i="202" s="1"/>
  <c r="CQ30" i="202"/>
  <c r="CP30" i="202"/>
  <c r="CK30" i="202" s="1"/>
  <c r="CO30" i="202"/>
  <c r="CN30" i="202"/>
  <c r="CM30" i="202"/>
  <c r="CL30" i="202"/>
  <c r="CE30" i="202"/>
  <c r="AX30" i="202"/>
  <c r="AW30" i="202"/>
  <c r="AV30" i="202"/>
  <c r="AU30" i="202"/>
  <c r="AN30" i="202"/>
  <c r="AM30" i="202"/>
  <c r="AL30" i="202"/>
  <c r="AK30" i="202"/>
  <c r="AJ30" i="202"/>
  <c r="AH30" i="202"/>
  <c r="AG30" i="202"/>
  <c r="AF30" i="202"/>
  <c r="AE30" i="202"/>
  <c r="GL29" i="202"/>
  <c r="GK29" i="202"/>
  <c r="GM29" i="202" s="1"/>
  <c r="GF29" i="202"/>
  <c r="FV29" i="202"/>
  <c r="FT29" i="202"/>
  <c r="FI29" i="202"/>
  <c r="FJ29" i="202" s="1"/>
  <c r="FK29" i="202" s="1"/>
  <c r="FL29" i="202" s="1"/>
  <c r="Z29" i="202" s="1"/>
  <c r="FC29" i="202"/>
  <c r="EL29" i="202" s="1"/>
  <c r="FB29" i="202"/>
  <c r="EZ29" i="202"/>
  <c r="EE29" i="202" s="1"/>
  <c r="EB29" i="202"/>
  <c r="EA29" i="202"/>
  <c r="DY29" i="202"/>
  <c r="DW29" i="202"/>
  <c r="DS29" i="202"/>
  <c r="DO29" i="202"/>
  <c r="DN29" i="202"/>
  <c r="DM29" i="202"/>
  <c r="DL29" i="202"/>
  <c r="DK29" i="202"/>
  <c r="DJ29" i="202"/>
  <c r="DI29" i="202"/>
  <c r="DH29" i="202"/>
  <c r="FM29" i="202" s="1"/>
  <c r="DG29" i="202"/>
  <c r="DF29" i="202"/>
  <c r="ED29" i="202" s="1"/>
  <c r="DE29" i="202"/>
  <c r="DD29" i="202"/>
  <c r="FD29" i="202" s="1"/>
  <c r="DC29" i="202"/>
  <c r="DB29" i="202"/>
  <c r="DA29" i="202"/>
  <c r="CZ29" i="202"/>
  <c r="CY29" i="202"/>
  <c r="CX29" i="202"/>
  <c r="CW29" i="202"/>
  <c r="CV29" i="202"/>
  <c r="CU29" i="202"/>
  <c r="CQ29" i="202"/>
  <c r="CP29" i="202"/>
  <c r="CK29" i="202" s="1"/>
  <c r="CO29" i="202"/>
  <c r="CN29" i="202"/>
  <c r="CM29" i="202"/>
  <c r="CL29" i="202"/>
  <c r="CE29" i="202"/>
  <c r="AY29" i="202"/>
  <c r="AX29" i="202"/>
  <c r="AW29" i="202"/>
  <c r="AV29" i="202"/>
  <c r="AK29" i="202"/>
  <c r="AH29" i="202"/>
  <c r="AG29" i="202"/>
  <c r="AF29" i="202"/>
  <c r="AE29" i="202"/>
  <c r="I29" i="202"/>
  <c r="GL28" i="202"/>
  <c r="GM28" i="202" s="1"/>
  <c r="GK28" i="202"/>
  <c r="GF28" i="202"/>
  <c r="FS28" i="202"/>
  <c r="FR28" i="202"/>
  <c r="FK28" i="202"/>
  <c r="FG28" i="202"/>
  <c r="FC28" i="202"/>
  <c r="FB28" i="202"/>
  <c r="FA28" i="202"/>
  <c r="EZ28" i="202"/>
  <c r="EE28" i="202" s="1"/>
  <c r="ED28" i="202"/>
  <c r="EC28" i="202"/>
  <c r="FP28" i="202" s="1"/>
  <c r="EB28" i="202"/>
  <c r="DY28" i="202"/>
  <c r="DU28" i="202"/>
  <c r="DS28" i="202"/>
  <c r="DO28" i="202"/>
  <c r="DN28" i="202"/>
  <c r="FI28" i="202" s="1"/>
  <c r="FJ28" i="202" s="1"/>
  <c r="DM28" i="202"/>
  <c r="DL28" i="202"/>
  <c r="DK28" i="202"/>
  <c r="EL28" i="202" s="1"/>
  <c r="DJ28" i="202"/>
  <c r="DI28" i="202"/>
  <c r="FT28" i="202" s="1"/>
  <c r="DH28" i="202"/>
  <c r="FV28" i="202" s="1"/>
  <c r="DG28" i="202"/>
  <c r="DF28" i="202"/>
  <c r="EA28" i="202" s="1"/>
  <c r="DE28" i="202"/>
  <c r="DD28" i="202"/>
  <c r="FD28" i="202" s="1"/>
  <c r="FE28" i="202" s="1"/>
  <c r="FF28" i="202" s="1"/>
  <c r="DC28" i="202"/>
  <c r="DB28" i="202"/>
  <c r="DA28" i="202"/>
  <c r="CZ28" i="202"/>
  <c r="CY28" i="202"/>
  <c r="CX28" i="202"/>
  <c r="FU28" i="202" s="1"/>
  <c r="CW28" i="202"/>
  <c r="CV28" i="202"/>
  <c r="CU28" i="202"/>
  <c r="CQ28" i="202"/>
  <c r="CP28" i="202"/>
  <c r="CO28" i="202"/>
  <c r="CN28" i="202"/>
  <c r="CM28" i="202"/>
  <c r="CL28" i="202"/>
  <c r="CK28" i="202"/>
  <c r="CE28" i="202"/>
  <c r="CD28" i="202"/>
  <c r="ES28" i="202" s="1"/>
  <c r="AY28" i="202"/>
  <c r="AX28" i="202"/>
  <c r="AW28" i="202"/>
  <c r="AV28" i="202"/>
  <c r="AQ28" i="202"/>
  <c r="AL28" i="202"/>
  <c r="AK28" i="202"/>
  <c r="AJ28" i="202" s="1"/>
  <c r="AU28" i="202" s="1"/>
  <c r="AH28" i="202"/>
  <c r="AG28" i="202"/>
  <c r="AF28" i="202"/>
  <c r="AE28" i="202"/>
  <c r="Y28" i="202"/>
  <c r="P28" i="202"/>
  <c r="GL27" i="202"/>
  <c r="GK27" i="202"/>
  <c r="GM27" i="202" s="1"/>
  <c r="GF27" i="202"/>
  <c r="FV27" i="202"/>
  <c r="FU27" i="202"/>
  <c r="FR27" i="202"/>
  <c r="FQ27" i="202"/>
  <c r="FJ27" i="202"/>
  <c r="FK27" i="202" s="1"/>
  <c r="FL27" i="202" s="1"/>
  <c r="Z27" i="202" s="1"/>
  <c r="FI27" i="202"/>
  <c r="FH27" i="202"/>
  <c r="FC27" i="202"/>
  <c r="FA27" i="202"/>
  <c r="EZ27" i="202"/>
  <c r="EE27" i="202" s="1"/>
  <c r="EY27" i="202"/>
  <c r="EX27" i="202"/>
  <c r="EC27" i="202"/>
  <c r="EB27" i="202"/>
  <c r="EA27" i="202"/>
  <c r="DY27" i="202"/>
  <c r="DU27" i="202"/>
  <c r="DS27" i="202"/>
  <c r="DO27" i="202"/>
  <c r="DN27" i="202"/>
  <c r="DM27" i="202"/>
  <c r="DL27" i="202"/>
  <c r="DK27" i="202"/>
  <c r="EL27" i="202" s="1"/>
  <c r="DJ27" i="202"/>
  <c r="DI27" i="202"/>
  <c r="DH27" i="202"/>
  <c r="FM27" i="202" s="1"/>
  <c r="DG27" i="202"/>
  <c r="DF27" i="202"/>
  <c r="ED27" i="202" s="1"/>
  <c r="DE27" i="202"/>
  <c r="FB27" i="202" s="1"/>
  <c r="DD27" i="202"/>
  <c r="FD27" i="202" s="1"/>
  <c r="DC27" i="202"/>
  <c r="DB27" i="202"/>
  <c r="DA27" i="202"/>
  <c r="CZ27" i="202"/>
  <c r="CY27" i="202"/>
  <c r="FS27" i="202" s="1"/>
  <c r="CX27" i="202"/>
  <c r="CW27" i="202"/>
  <c r="CV27" i="202"/>
  <c r="CU27" i="202"/>
  <c r="CQ27" i="202"/>
  <c r="CP27" i="202"/>
  <c r="CO27" i="202"/>
  <c r="CN27" i="202"/>
  <c r="CM27" i="202"/>
  <c r="CL27" i="202"/>
  <c r="CK27" i="202"/>
  <c r="CD27" i="202"/>
  <c r="AY27" i="202"/>
  <c r="AX27" i="202"/>
  <c r="AW27" i="202"/>
  <c r="AV27" i="202"/>
  <c r="AO27" i="202"/>
  <c r="AK27" i="202"/>
  <c r="AJ27" i="202"/>
  <c r="AH27" i="202"/>
  <c r="AG27" i="202"/>
  <c r="AF27" i="202"/>
  <c r="AE27" i="202"/>
  <c r="K27" i="202"/>
  <c r="GL26" i="202"/>
  <c r="GK26" i="202"/>
  <c r="GF26" i="202"/>
  <c r="FU26" i="202"/>
  <c r="FS26" i="202"/>
  <c r="FN26" i="202"/>
  <c r="FI26" i="202"/>
  <c r="FH26" i="202"/>
  <c r="FF26" i="202"/>
  <c r="FG26" i="202" s="1"/>
  <c r="Y26" i="202" s="1"/>
  <c r="FE26" i="202"/>
  <c r="FC26" i="202"/>
  <c r="FA26" i="202"/>
  <c r="EZ26" i="202"/>
  <c r="EE26" i="202" s="1"/>
  <c r="EY26" i="202"/>
  <c r="EB26" i="202"/>
  <c r="EA26" i="202"/>
  <c r="DY26" i="202"/>
  <c r="DX26" i="202"/>
  <c r="DS26" i="202"/>
  <c r="DP26" i="202"/>
  <c r="DO26" i="202"/>
  <c r="DN26" i="202"/>
  <c r="DM26" i="202"/>
  <c r="DL26" i="202"/>
  <c r="DK26" i="202"/>
  <c r="EL26" i="202" s="1"/>
  <c r="EM26" i="202" s="1"/>
  <c r="DJ26" i="202"/>
  <c r="DI26" i="202"/>
  <c r="DH26" i="202"/>
  <c r="DG26" i="202"/>
  <c r="DF26" i="202"/>
  <c r="ED26" i="202" s="1"/>
  <c r="DE26" i="202"/>
  <c r="FR26" i="202" s="1"/>
  <c r="DD26" i="202"/>
  <c r="FD26" i="202" s="1"/>
  <c r="DC26" i="202"/>
  <c r="DB26" i="202"/>
  <c r="DA26" i="202"/>
  <c r="CZ26" i="202"/>
  <c r="CY26" i="202"/>
  <c r="CX26" i="202"/>
  <c r="CW26" i="202"/>
  <c r="CV26" i="202"/>
  <c r="CU26" i="202"/>
  <c r="CQ26" i="202"/>
  <c r="CP26" i="202"/>
  <c r="CO26" i="202"/>
  <c r="CN26" i="202"/>
  <c r="CM26" i="202"/>
  <c r="CL26" i="202"/>
  <c r="CK26" i="202"/>
  <c r="AX26" i="202"/>
  <c r="AW26" i="202"/>
  <c r="AV26" i="202"/>
  <c r="AK26" i="202" s="1"/>
  <c r="AQ26" i="202" s="1"/>
  <c r="AR26" i="202" s="1"/>
  <c r="AH26" i="202"/>
  <c r="AG26" i="202"/>
  <c r="AF26" i="202"/>
  <c r="AE26" i="202"/>
  <c r="GL25" i="202"/>
  <c r="GK25" i="202"/>
  <c r="GM25" i="202" s="1"/>
  <c r="GF25" i="202"/>
  <c r="FV25" i="202"/>
  <c r="FU25" i="202"/>
  <c r="FT25" i="202"/>
  <c r="FN25" i="202"/>
  <c r="FH25" i="202"/>
  <c r="FD25" i="202"/>
  <c r="FC25" i="202"/>
  <c r="EZ25" i="202"/>
  <c r="EE25" i="202" s="1"/>
  <c r="EY25" i="202"/>
  <c r="EX25" i="202"/>
  <c r="EN25" i="202"/>
  <c r="EM25" i="202"/>
  <c r="EC25" i="202"/>
  <c r="EA25" i="202"/>
  <c r="DY25" i="202"/>
  <c r="FP25" i="202" s="1"/>
  <c r="DX25" i="202"/>
  <c r="DW25" i="202"/>
  <c r="DV25" i="202"/>
  <c r="DU25" i="202"/>
  <c r="DS25" i="202"/>
  <c r="DP25" i="202"/>
  <c r="DO25" i="202"/>
  <c r="DN25" i="202"/>
  <c r="FI25" i="202" s="1"/>
  <c r="DM25" i="202"/>
  <c r="DL25" i="202"/>
  <c r="DK25" i="202"/>
  <c r="EL25" i="202" s="1"/>
  <c r="DJ25" i="202"/>
  <c r="DI25" i="202"/>
  <c r="DH25" i="202"/>
  <c r="FM25" i="202" s="1"/>
  <c r="DG25" i="202"/>
  <c r="DF25" i="202"/>
  <c r="ED25" i="202" s="1"/>
  <c r="DE25" i="202"/>
  <c r="FR25" i="202" s="1"/>
  <c r="DD25" i="202"/>
  <c r="DC25" i="202"/>
  <c r="DB25" i="202"/>
  <c r="DA25" i="202"/>
  <c r="CZ25" i="202"/>
  <c r="CY25" i="202"/>
  <c r="CX25" i="202"/>
  <c r="CW25" i="202"/>
  <c r="CV25" i="202"/>
  <c r="CU25" i="202"/>
  <c r="FQ25" i="202" s="1"/>
  <c r="CQ25" i="202"/>
  <c r="CP25" i="202"/>
  <c r="CO25" i="202"/>
  <c r="CN25" i="202"/>
  <c r="CM25" i="202"/>
  <c r="CL25" i="202"/>
  <c r="CK25" i="202"/>
  <c r="AY25" i="202"/>
  <c r="AX25" i="202"/>
  <c r="AW25" i="202"/>
  <c r="AV25" i="202"/>
  <c r="AK25" i="202" s="1"/>
  <c r="AQ25" i="202"/>
  <c r="AR25" i="202" s="1"/>
  <c r="AO25" i="202"/>
  <c r="AN25" i="202"/>
  <c r="AH25" i="202"/>
  <c r="AG25" i="202"/>
  <c r="AF25" i="202"/>
  <c r="AE25" i="202"/>
  <c r="GL24" i="202"/>
  <c r="GM24" i="202" s="1"/>
  <c r="GK24" i="202"/>
  <c r="GF24" i="202"/>
  <c r="FV24" i="202"/>
  <c r="FO24" i="202"/>
  <c r="FM24" i="202"/>
  <c r="FD24" i="202"/>
  <c r="FC24" i="202"/>
  <c r="FA24" i="202"/>
  <c r="EZ24" i="202"/>
  <c r="EY24" i="202"/>
  <c r="EX24" i="202"/>
  <c r="EL24" i="202"/>
  <c r="EF24" i="202"/>
  <c r="DY24" i="202"/>
  <c r="DX24" i="202"/>
  <c r="DW24" i="202"/>
  <c r="DV24" i="202"/>
  <c r="DS24" i="202"/>
  <c r="DO24" i="202"/>
  <c r="DN24" i="202"/>
  <c r="FI24" i="202" s="1"/>
  <c r="DM24" i="202"/>
  <c r="DL24" i="202"/>
  <c r="DK24" i="202"/>
  <c r="DJ24" i="202"/>
  <c r="DI24" i="202"/>
  <c r="FT24" i="202" s="1"/>
  <c r="DH24" i="202"/>
  <c r="DG24" i="202"/>
  <c r="DF24" i="202"/>
  <c r="DE24" i="202"/>
  <c r="DD24" i="202"/>
  <c r="DC24" i="202"/>
  <c r="DB24" i="202"/>
  <c r="DA24" i="202"/>
  <c r="EE24" i="202" s="1"/>
  <c r="EG24" i="202" s="1"/>
  <c r="CZ24" i="202"/>
  <c r="CY24" i="202"/>
  <c r="CX24" i="202"/>
  <c r="CW24" i="202"/>
  <c r="CV24" i="202"/>
  <c r="DU24" i="202" s="1"/>
  <c r="CU24" i="202"/>
  <c r="CQ24" i="202"/>
  <c r="CP24" i="202"/>
  <c r="CK24" i="202" s="1"/>
  <c r="CO24" i="202"/>
  <c r="CN24" i="202"/>
  <c r="CM24" i="202"/>
  <c r="CL24" i="202"/>
  <c r="CE24" i="202"/>
  <c r="AX24" i="202"/>
  <c r="AW24" i="202"/>
  <c r="AV24" i="202"/>
  <c r="AK24" i="202" s="1"/>
  <c r="AH24" i="202"/>
  <c r="AG24" i="202"/>
  <c r="AF24" i="202"/>
  <c r="AE24" i="202"/>
  <c r="GL23" i="202"/>
  <c r="GK23" i="202"/>
  <c r="GM23" i="202" s="1"/>
  <c r="GF23" i="202"/>
  <c r="FV23" i="202"/>
  <c r="FU23" i="202"/>
  <c r="FP23" i="202"/>
  <c r="FH23" i="202"/>
  <c r="FE23" i="202"/>
  <c r="FF23" i="202" s="1"/>
  <c r="FG23" i="202" s="1"/>
  <c r="Y23" i="202" s="1"/>
  <c r="FD23" i="202"/>
  <c r="FC23" i="202"/>
  <c r="EZ23" i="202"/>
  <c r="EY23" i="202"/>
  <c r="EX23" i="202"/>
  <c r="EQ23" i="202"/>
  <c r="EM23" i="202"/>
  <c r="EG23" i="202"/>
  <c r="EE23" i="202"/>
  <c r="EF23" i="202" s="1"/>
  <c r="EJ23" i="202" s="1"/>
  <c r="EC23" i="202"/>
  <c r="EA23" i="202"/>
  <c r="DY23" i="202"/>
  <c r="DX23" i="202"/>
  <c r="DW23" i="202"/>
  <c r="FO23" i="202" s="1"/>
  <c r="DV23" i="202"/>
  <c r="DU23" i="202"/>
  <c r="DS23" i="202"/>
  <c r="DP23" i="202"/>
  <c r="DO23" i="202"/>
  <c r="DN23" i="202"/>
  <c r="FI23" i="202" s="1"/>
  <c r="DM23" i="202"/>
  <c r="DL23" i="202"/>
  <c r="DK23" i="202"/>
  <c r="EL23" i="202" s="1"/>
  <c r="EN23" i="202" s="1"/>
  <c r="DJ23" i="202"/>
  <c r="DI23" i="202"/>
  <c r="DH23" i="202"/>
  <c r="FM23" i="202" s="1"/>
  <c r="DG23" i="202"/>
  <c r="DF23" i="202"/>
  <c r="ED23" i="202" s="1"/>
  <c r="DE23" i="202"/>
  <c r="FR23" i="202" s="1"/>
  <c r="DD23" i="202"/>
  <c r="DC23" i="202"/>
  <c r="DB23" i="202"/>
  <c r="DA23" i="202"/>
  <c r="CZ23" i="202"/>
  <c r="CY23" i="202"/>
  <c r="CX23" i="202"/>
  <c r="CW23" i="202"/>
  <c r="CV23" i="202"/>
  <c r="CU23" i="202"/>
  <c r="FQ23" i="202" s="1"/>
  <c r="CQ23" i="202"/>
  <c r="CP23" i="202"/>
  <c r="CK23" i="202" s="1"/>
  <c r="CO23" i="202"/>
  <c r="CN23" i="202"/>
  <c r="CM23" i="202"/>
  <c r="CL23" i="202"/>
  <c r="AX23" i="202"/>
  <c r="AW23" i="202"/>
  <c r="AV23" i="202"/>
  <c r="AK23" i="202" s="1"/>
  <c r="AQ23" i="202"/>
  <c r="AR23" i="202" s="1"/>
  <c r="AO23" i="202"/>
  <c r="AN23" i="202"/>
  <c r="AM23" i="202"/>
  <c r="AH23" i="202"/>
  <c r="AG23" i="202"/>
  <c r="AF23" i="202"/>
  <c r="AE23" i="202"/>
  <c r="GL22" i="202"/>
  <c r="GK22" i="202"/>
  <c r="GF22" i="202"/>
  <c r="FU22" i="202"/>
  <c r="FS22" i="202"/>
  <c r="FQ22" i="202"/>
  <c r="FM22" i="202"/>
  <c r="FI22" i="202"/>
  <c r="FH22" i="202"/>
  <c r="FF22" i="202"/>
  <c r="FG22" i="202" s="1"/>
  <c r="Y22" i="202" s="1"/>
  <c r="FE22" i="202"/>
  <c r="FC22" i="202"/>
  <c r="FA22" i="202"/>
  <c r="EZ22" i="202"/>
  <c r="EB22" i="202"/>
  <c r="EA22" i="202"/>
  <c r="DY22" i="202"/>
  <c r="DX22" i="202"/>
  <c r="DS22" i="202"/>
  <c r="DP22" i="202"/>
  <c r="DO22" i="202"/>
  <c r="FJ22" i="202" s="1"/>
  <c r="FK22" i="202" s="1"/>
  <c r="FL22" i="202" s="1"/>
  <c r="Z22" i="202" s="1"/>
  <c r="DN22" i="202"/>
  <c r="DM22" i="202"/>
  <c r="DL22" i="202"/>
  <c r="DK22" i="202"/>
  <c r="EL22" i="202" s="1"/>
  <c r="DJ22" i="202"/>
  <c r="DI22" i="202"/>
  <c r="DH22" i="202"/>
  <c r="FV22" i="202" s="1"/>
  <c r="DG22" i="202"/>
  <c r="DF22" i="202"/>
  <c r="ED22" i="202" s="1"/>
  <c r="DE22" i="202"/>
  <c r="FR22" i="202" s="1"/>
  <c r="DD22" i="202"/>
  <c r="FD22" i="202" s="1"/>
  <c r="DC22" i="202"/>
  <c r="DB22" i="202"/>
  <c r="DA22" i="202"/>
  <c r="CZ22" i="202"/>
  <c r="CY22" i="202"/>
  <c r="CX22" i="202"/>
  <c r="CW22" i="202"/>
  <c r="CV22" i="202"/>
  <c r="CU22" i="202"/>
  <c r="CQ22" i="202"/>
  <c r="CP22" i="202"/>
  <c r="CO22" i="202"/>
  <c r="CN22" i="202"/>
  <c r="CM22" i="202"/>
  <c r="CL22" i="202"/>
  <c r="CK22" i="202"/>
  <c r="AY22" i="202"/>
  <c r="AX22" i="202"/>
  <c r="AW22" i="202"/>
  <c r="AV22" i="202"/>
  <c r="AK22" i="202" s="1"/>
  <c r="AO22" i="202"/>
  <c r="AN22" i="202"/>
  <c r="AH22" i="202"/>
  <c r="AG22" i="202"/>
  <c r="AF22" i="202"/>
  <c r="AE22" i="202"/>
  <c r="GL21" i="202"/>
  <c r="GK21" i="202"/>
  <c r="GM21" i="202" s="1"/>
  <c r="GF21" i="202"/>
  <c r="FV21" i="202"/>
  <c r="FU21" i="202"/>
  <c r="FM21" i="202"/>
  <c r="FH21" i="202"/>
  <c r="FD21" i="202"/>
  <c r="FC21" i="202"/>
  <c r="EZ21" i="202"/>
  <c r="EY21" i="202"/>
  <c r="EC21" i="202"/>
  <c r="EA21" i="202"/>
  <c r="DY21" i="202"/>
  <c r="FP21" i="202" s="1"/>
  <c r="DX21" i="202"/>
  <c r="DW21" i="202"/>
  <c r="DV21" i="202"/>
  <c r="DU21" i="202"/>
  <c r="DS21" i="202"/>
  <c r="DP21" i="202"/>
  <c r="DO21" i="202"/>
  <c r="DN21" i="202"/>
  <c r="FI21" i="202" s="1"/>
  <c r="DM21" i="202"/>
  <c r="DL21" i="202"/>
  <c r="DK21" i="202"/>
  <c r="EL21" i="202" s="1"/>
  <c r="DJ21" i="202"/>
  <c r="DI21" i="202"/>
  <c r="DH21" i="202"/>
  <c r="DG21" i="202"/>
  <c r="DF21" i="202"/>
  <c r="ED21" i="202" s="1"/>
  <c r="DE21" i="202"/>
  <c r="FR21" i="202" s="1"/>
  <c r="DD21" i="202"/>
  <c r="DC21" i="202"/>
  <c r="DB21" i="202"/>
  <c r="DA21" i="202"/>
  <c r="CZ21" i="202"/>
  <c r="CY21" i="202"/>
  <c r="CX21" i="202"/>
  <c r="CW21" i="202"/>
  <c r="CV21" i="202"/>
  <c r="CU21" i="202"/>
  <c r="CQ21" i="202"/>
  <c r="CP21" i="202"/>
  <c r="CO21" i="202"/>
  <c r="CN21" i="202"/>
  <c r="CM21" i="202"/>
  <c r="CL21" i="202"/>
  <c r="CK21" i="202"/>
  <c r="AX21" i="202"/>
  <c r="AW21" i="202"/>
  <c r="AV21" i="202"/>
  <c r="AK21" i="202" s="1"/>
  <c r="AQ21" i="202"/>
  <c r="AH21" i="202"/>
  <c r="AG21" i="202"/>
  <c r="AF21" i="202"/>
  <c r="AE21" i="202"/>
  <c r="GM20" i="202"/>
  <c r="GL20" i="202"/>
  <c r="GK20" i="202"/>
  <c r="GF20" i="202"/>
  <c r="FV20" i="202"/>
  <c r="FT20" i="202"/>
  <c r="FS20" i="202"/>
  <c r="FQ20" i="202"/>
  <c r="FD20" i="202"/>
  <c r="FC20" i="202"/>
  <c r="EZ20" i="202"/>
  <c r="EX20" i="202"/>
  <c r="EL20" i="202"/>
  <c r="EE20" i="202"/>
  <c r="DY20" i="202"/>
  <c r="DW20" i="202"/>
  <c r="DU20" i="202"/>
  <c r="DS20" i="202"/>
  <c r="DO20" i="202"/>
  <c r="DN20" i="202"/>
  <c r="FI20" i="202" s="1"/>
  <c r="FJ20" i="202" s="1"/>
  <c r="FK20" i="202" s="1"/>
  <c r="FL20" i="202" s="1"/>
  <c r="Z20" i="202" s="1"/>
  <c r="DM20" i="202"/>
  <c r="DL20" i="202"/>
  <c r="DK20" i="202"/>
  <c r="DJ20" i="202"/>
  <c r="DI20" i="202"/>
  <c r="DH20" i="202"/>
  <c r="FM20" i="202" s="1"/>
  <c r="DG20" i="202"/>
  <c r="DF20" i="202"/>
  <c r="DE20" i="202"/>
  <c r="DD20" i="202"/>
  <c r="DC20" i="202"/>
  <c r="FO20" i="202" s="1"/>
  <c r="DB20" i="202"/>
  <c r="DA20" i="202"/>
  <c r="CZ20" i="202"/>
  <c r="CY20" i="202"/>
  <c r="CX20" i="202"/>
  <c r="CW20" i="202"/>
  <c r="CV20" i="202"/>
  <c r="CU20" i="202"/>
  <c r="EY20" i="202" s="1"/>
  <c r="CQ20" i="202"/>
  <c r="CP20" i="202"/>
  <c r="CK20" i="202" s="1"/>
  <c r="CO20" i="202"/>
  <c r="CN20" i="202"/>
  <c r="CM20" i="202"/>
  <c r="CL20" i="202"/>
  <c r="CE20" i="202"/>
  <c r="CD20" i="202"/>
  <c r="AY20" i="202"/>
  <c r="AX20" i="202"/>
  <c r="AW20" i="202"/>
  <c r="AV20" i="202"/>
  <c r="AQ20" i="202"/>
  <c r="AR20" i="202" s="1"/>
  <c r="AO20" i="202"/>
  <c r="AL20" i="202"/>
  <c r="AK20" i="202"/>
  <c r="AJ20" i="202"/>
  <c r="AH20" i="202"/>
  <c r="AG20" i="202"/>
  <c r="AF20" i="202"/>
  <c r="AE20" i="202"/>
  <c r="GL19" i="202"/>
  <c r="GM19" i="202" s="1"/>
  <c r="GK19" i="202"/>
  <c r="GF19" i="202"/>
  <c r="FT19" i="202"/>
  <c r="FS19" i="202"/>
  <c r="FR19" i="202"/>
  <c r="FQ19" i="202"/>
  <c r="FI19" i="202"/>
  <c r="FD19" i="202"/>
  <c r="FC19" i="202"/>
  <c r="EL19" i="202" s="1"/>
  <c r="EZ19" i="202"/>
  <c r="EY19" i="202"/>
  <c r="EK19" i="202"/>
  <c r="EF19" i="202"/>
  <c r="EE19" i="202"/>
  <c r="EG19" i="202" s="1"/>
  <c r="DY19" i="202"/>
  <c r="DX19" i="202"/>
  <c r="DW19" i="202"/>
  <c r="FO19" i="202" s="1"/>
  <c r="DV19" i="202"/>
  <c r="DS19" i="202"/>
  <c r="DP19" i="202"/>
  <c r="DO19" i="202"/>
  <c r="DN19" i="202"/>
  <c r="DM19" i="202"/>
  <c r="DL19" i="202"/>
  <c r="DK19" i="202"/>
  <c r="DJ19" i="202"/>
  <c r="DI19" i="202"/>
  <c r="DH19" i="202"/>
  <c r="DG19" i="202"/>
  <c r="DF19" i="202"/>
  <c r="DE19" i="202"/>
  <c r="DD19" i="202"/>
  <c r="DC19" i="202"/>
  <c r="DB19" i="202"/>
  <c r="DA19" i="202"/>
  <c r="CZ19" i="202"/>
  <c r="CY19" i="202"/>
  <c r="CX19" i="202"/>
  <c r="CW19" i="202"/>
  <c r="CV19" i="202"/>
  <c r="CU19" i="202"/>
  <c r="EX19" i="202" s="1"/>
  <c r="CQ19" i="202"/>
  <c r="CP19" i="202"/>
  <c r="CK19" i="202" s="1"/>
  <c r="CO19" i="202"/>
  <c r="CN19" i="202"/>
  <c r="CM19" i="202"/>
  <c r="CL19" i="202"/>
  <c r="CE19" i="202"/>
  <c r="AZ19" i="202"/>
  <c r="AX19" i="202"/>
  <c r="AW19" i="202"/>
  <c r="AV19" i="202"/>
  <c r="AS19" i="202"/>
  <c r="AN19" i="202"/>
  <c r="AL19" i="202"/>
  <c r="AK19" i="202"/>
  <c r="AJ19" i="202"/>
  <c r="AU19" i="202" s="1"/>
  <c r="AH19" i="202"/>
  <c r="AG19" i="202"/>
  <c r="AF19" i="202"/>
  <c r="AE19" i="202"/>
  <c r="GL18" i="202"/>
  <c r="GK18" i="202"/>
  <c r="GF18" i="202"/>
  <c r="FU18" i="202"/>
  <c r="FS18" i="202"/>
  <c r="FM18" i="202"/>
  <c r="FI18" i="202"/>
  <c r="FF18" i="202"/>
  <c r="FG18" i="202" s="1"/>
  <c r="Y18" i="202" s="1"/>
  <c r="FE18" i="202"/>
  <c r="FC18" i="202"/>
  <c r="FA18" i="202"/>
  <c r="EZ18" i="202"/>
  <c r="EE18" i="202" s="1"/>
  <c r="EG18" i="202"/>
  <c r="EK18" i="202" s="1"/>
  <c r="EF18" i="202"/>
  <c r="EJ18" i="202" s="1"/>
  <c r="CH18" i="202" s="1"/>
  <c r="T18" i="202" s="1"/>
  <c r="ED18" i="202"/>
  <c r="EB18" i="202"/>
  <c r="DY18" i="202"/>
  <c r="DX18" i="202"/>
  <c r="DV18" i="202"/>
  <c r="DT18" i="202"/>
  <c r="DS18" i="202"/>
  <c r="DO18" i="202"/>
  <c r="DN18" i="202"/>
  <c r="DM18" i="202"/>
  <c r="DL18" i="202"/>
  <c r="DK18" i="202"/>
  <c r="DJ18" i="202"/>
  <c r="DI18" i="202"/>
  <c r="FT18" i="202" s="1"/>
  <c r="DH18" i="202"/>
  <c r="FV18" i="202" s="1"/>
  <c r="DG18" i="202"/>
  <c r="DF18" i="202"/>
  <c r="DE18" i="202"/>
  <c r="FR18" i="202" s="1"/>
  <c r="DD18" i="202"/>
  <c r="FD18" i="202" s="1"/>
  <c r="DC18" i="202"/>
  <c r="DB18" i="202"/>
  <c r="DA18" i="202"/>
  <c r="CZ18" i="202"/>
  <c r="CY18" i="202"/>
  <c r="CX18" i="202"/>
  <c r="FH18" i="202" s="1"/>
  <c r="CW18" i="202"/>
  <c r="CV18" i="202"/>
  <c r="CU18" i="202"/>
  <c r="CQ18" i="202"/>
  <c r="CP18" i="202"/>
  <c r="CO18" i="202"/>
  <c r="CN18" i="202"/>
  <c r="CM18" i="202"/>
  <c r="CL18" i="202"/>
  <c r="CK18" i="202"/>
  <c r="CE18" i="202"/>
  <c r="AX18" i="202"/>
  <c r="AW18" i="202"/>
  <c r="AV18" i="202"/>
  <c r="AK18" i="202" s="1"/>
  <c r="AQ18" i="202"/>
  <c r="AM18" i="202"/>
  <c r="AH18" i="202"/>
  <c r="AG18" i="202"/>
  <c r="AF18" i="202"/>
  <c r="AE18" i="202"/>
  <c r="U18" i="202"/>
  <c r="AR18" i="202" s="1"/>
  <c r="GL17" i="202"/>
  <c r="GK17" i="202"/>
  <c r="GM17" i="202" s="1"/>
  <c r="GF17" i="202"/>
  <c r="FT17" i="202"/>
  <c r="FM17" i="202"/>
  <c r="FD17" i="202"/>
  <c r="FE17" i="202" s="1"/>
  <c r="FF17" i="202" s="1"/>
  <c r="FG17" i="202" s="1"/>
  <c r="Y17" i="202" s="1"/>
  <c r="FC17" i="202"/>
  <c r="EL17" i="202" s="1"/>
  <c r="EM17" i="202" s="1"/>
  <c r="EZ17" i="202"/>
  <c r="EE17" i="202" s="1"/>
  <c r="EN17" i="202"/>
  <c r="ED17" i="202"/>
  <c r="DY17" i="202"/>
  <c r="DW17" i="202"/>
  <c r="DS17" i="202"/>
  <c r="DO17" i="202"/>
  <c r="DN17" i="202"/>
  <c r="FI17" i="202" s="1"/>
  <c r="DM17" i="202"/>
  <c r="DL17" i="202"/>
  <c r="DK17" i="202"/>
  <c r="DJ17" i="202"/>
  <c r="DI17" i="202"/>
  <c r="DH17" i="202"/>
  <c r="FV17" i="202" s="1"/>
  <c r="DG17" i="202"/>
  <c r="DF17" i="202"/>
  <c r="DE17" i="202"/>
  <c r="DD17" i="202"/>
  <c r="DC17" i="202"/>
  <c r="DB17" i="202"/>
  <c r="DA17" i="202"/>
  <c r="CZ17" i="202"/>
  <c r="CY17" i="202"/>
  <c r="CX17" i="202"/>
  <c r="CW17" i="202"/>
  <c r="CV17" i="202"/>
  <c r="DX17" i="202" s="1"/>
  <c r="CU17" i="202"/>
  <c r="EX17" i="202" s="1"/>
  <c r="CQ17" i="202"/>
  <c r="CP17" i="202"/>
  <c r="CO17" i="202"/>
  <c r="CN17" i="202"/>
  <c r="CM17" i="202"/>
  <c r="CL17" i="202"/>
  <c r="CK17" i="202"/>
  <c r="CE17" i="202"/>
  <c r="AX17" i="202"/>
  <c r="AW17" i="202"/>
  <c r="AV17" i="202"/>
  <c r="AK17" i="202" s="1"/>
  <c r="AO17" i="202" s="1"/>
  <c r="AS17" i="202"/>
  <c r="AT17" i="202" s="1"/>
  <c r="AR17" i="202"/>
  <c r="AQ17" i="202"/>
  <c r="AN17" i="202"/>
  <c r="AL17" i="202"/>
  <c r="AH17" i="202"/>
  <c r="AG17" i="202"/>
  <c r="AF17" i="202"/>
  <c r="AE17" i="202"/>
  <c r="GM16" i="202"/>
  <c r="GL16" i="202"/>
  <c r="GK16" i="202"/>
  <c r="GF16" i="202"/>
  <c r="FV16" i="202"/>
  <c r="FR16" i="202"/>
  <c r="FQ16" i="202"/>
  <c r="FJ16" i="202"/>
  <c r="FK16" i="202" s="1"/>
  <c r="FL16" i="202" s="1"/>
  <c r="Z16" i="202" s="1"/>
  <c r="FI16" i="202"/>
  <c r="FG16" i="202"/>
  <c r="Y16" i="202" s="1"/>
  <c r="FD16" i="202"/>
  <c r="FC16" i="202"/>
  <c r="EL16" i="202" s="1"/>
  <c r="EN16" i="202" s="1"/>
  <c r="EP16" i="202" s="1"/>
  <c r="FB16" i="202"/>
  <c r="EZ16" i="202"/>
  <c r="EE16" i="202" s="1"/>
  <c r="EY16" i="202"/>
  <c r="EX16" i="202"/>
  <c r="ER16" i="202"/>
  <c r="EM16" i="202"/>
  <c r="EQ16" i="202" s="1"/>
  <c r="CI16" i="202" s="1"/>
  <c r="DY16" i="202"/>
  <c r="DZ16" i="202" s="1"/>
  <c r="DS16" i="202"/>
  <c r="DO16" i="202"/>
  <c r="FE16" i="202" s="1"/>
  <c r="FF16" i="202" s="1"/>
  <c r="DN16" i="202"/>
  <c r="DM16" i="202"/>
  <c r="DL16" i="202"/>
  <c r="DK16" i="202"/>
  <c r="DJ16" i="202"/>
  <c r="DI16" i="202"/>
  <c r="DH16" i="202"/>
  <c r="FM16" i="202" s="1"/>
  <c r="DG16" i="202"/>
  <c r="DF16" i="202"/>
  <c r="EC16" i="202" s="1"/>
  <c r="DE16" i="202"/>
  <c r="FA16" i="202" s="1"/>
  <c r="DD16" i="202"/>
  <c r="DC16" i="202"/>
  <c r="DB16" i="202"/>
  <c r="DA16" i="202"/>
  <c r="CZ16" i="202"/>
  <c r="CY16" i="202"/>
  <c r="FS16" i="202" s="1"/>
  <c r="CX16" i="202"/>
  <c r="FU16" i="202" s="1"/>
  <c r="CW16" i="202"/>
  <c r="CV16" i="202"/>
  <c r="DU16" i="202" s="1"/>
  <c r="CU16" i="202"/>
  <c r="CQ16" i="202"/>
  <c r="CP16" i="202"/>
  <c r="CO16" i="202"/>
  <c r="CN16" i="202"/>
  <c r="CM16" i="202"/>
  <c r="CL16" i="202"/>
  <c r="CK16" i="202"/>
  <c r="CD16" i="202"/>
  <c r="AX16" i="202"/>
  <c r="AW16" i="202"/>
  <c r="AV16" i="202"/>
  <c r="AU16" i="202"/>
  <c r="AS16" i="202"/>
  <c r="AT16" i="202" s="1"/>
  <c r="AM16" i="202"/>
  <c r="AL16" i="202"/>
  <c r="AK16" i="202"/>
  <c r="AJ16" i="202"/>
  <c r="AH16" i="202"/>
  <c r="AG16" i="202"/>
  <c r="AF16" i="202"/>
  <c r="AE16" i="202"/>
  <c r="IF14" i="202"/>
  <c r="IE14" i="202"/>
  <c r="ID14" i="202"/>
  <c r="IC14" i="202"/>
  <c r="IB14" i="202"/>
  <c r="HW14" i="202"/>
  <c r="HV14" i="202"/>
  <c r="HU14" i="202"/>
  <c r="HT14" i="202"/>
  <c r="HR14" i="202"/>
  <c r="HN14" i="202"/>
  <c r="HM14" i="202"/>
  <c r="HL14" i="202"/>
  <c r="HJ14" i="202"/>
  <c r="HI14" i="202"/>
  <c r="HD14" i="202"/>
  <c r="AB12" i="202"/>
  <c r="AA12" i="202"/>
  <c r="HF11" i="202"/>
  <c r="HG11" i="202" s="1"/>
  <c r="HH11" i="202" s="1"/>
  <c r="HI11" i="202" s="1"/>
  <c r="HJ11" i="202" s="1"/>
  <c r="HK11" i="202" s="1"/>
  <c r="HL11" i="202" s="1"/>
  <c r="HM11" i="202" s="1"/>
  <c r="HN11" i="202" s="1"/>
  <c r="HO11" i="202" s="1"/>
  <c r="HP11" i="202" s="1"/>
  <c r="HQ11" i="202" s="1"/>
  <c r="HR11" i="202" s="1"/>
  <c r="HS11" i="202" s="1"/>
  <c r="HT11" i="202" s="1"/>
  <c r="HU11" i="202" s="1"/>
  <c r="HV11" i="202" s="1"/>
  <c r="HW11" i="202" s="1"/>
  <c r="HX11" i="202" s="1"/>
  <c r="HY11" i="202" s="1"/>
  <c r="HZ11" i="202" s="1"/>
  <c r="IA11" i="202" s="1"/>
  <c r="IB11" i="202" s="1"/>
  <c r="IC11" i="202" s="1"/>
  <c r="ID11" i="202" s="1"/>
  <c r="IE11" i="202" s="1"/>
  <c r="IF11" i="202" s="1"/>
  <c r="HD11" i="202"/>
  <c r="HE11" i="202" s="1"/>
  <c r="HB11" i="202"/>
  <c r="HC11" i="202" s="1"/>
  <c r="Z10" i="202"/>
  <c r="S10" i="202"/>
  <c r="C10" i="202"/>
  <c r="DN9" i="202"/>
  <c r="DM9" i="202"/>
  <c r="DL9" i="202"/>
  <c r="DK9" i="202"/>
  <c r="DJ9" i="202"/>
  <c r="DI9" i="202"/>
  <c r="DH9" i="202"/>
  <c r="DG9" i="202"/>
  <c r="S9" i="202"/>
  <c r="C9" i="202"/>
  <c r="DN8" i="202"/>
  <c r="DM8" i="202"/>
  <c r="DL8" i="202"/>
  <c r="DK8" i="202"/>
  <c r="DJ8" i="202"/>
  <c r="DI8" i="202"/>
  <c r="DH8" i="202"/>
  <c r="DG8" i="202"/>
  <c r="DN7" i="202"/>
  <c r="DM7" i="202"/>
  <c r="DL7" i="202"/>
  <c r="DK7" i="202"/>
  <c r="DJ7" i="202"/>
  <c r="DI7" i="202"/>
  <c r="DH7" i="202"/>
  <c r="DG7" i="202"/>
  <c r="DN6" i="202"/>
  <c r="DM6" i="202"/>
  <c r="DL6" i="202"/>
  <c r="DK6" i="202"/>
  <c r="DJ6" i="202"/>
  <c r="DI6" i="202"/>
  <c r="AS38" i="202" s="1"/>
  <c r="DH6" i="202"/>
  <c r="DG6" i="202"/>
  <c r="DC6" i="202"/>
  <c r="DB6" i="202"/>
  <c r="DA6" i="202"/>
  <c r="CZ6" i="202"/>
  <c r="CY6" i="202"/>
  <c r="CX6" i="202"/>
  <c r="CW6" i="202"/>
  <c r="CV6" i="202"/>
  <c r="Y6" i="202"/>
  <c r="M6" i="202"/>
  <c r="DN5" i="202"/>
  <c r="DM5" i="202"/>
  <c r="DL5" i="202"/>
  <c r="DK5" i="202"/>
  <c r="DJ5" i="202"/>
  <c r="DI5" i="202"/>
  <c r="DH5" i="202"/>
  <c r="DG5" i="202"/>
  <c r="DC5" i="202"/>
  <c r="DB5" i="202"/>
  <c r="DA5" i="202"/>
  <c r="AK54" i="202" s="1"/>
  <c r="CZ5" i="202"/>
  <c r="CY5" i="202"/>
  <c r="CX5" i="202"/>
  <c r="CW5" i="202"/>
  <c r="CV5" i="202"/>
  <c r="DN4" i="202"/>
  <c r="DM4" i="202"/>
  <c r="DL4" i="202"/>
  <c r="DK4" i="202"/>
  <c r="DJ4" i="202"/>
  <c r="DI4" i="202"/>
  <c r="DH4" i="202"/>
  <c r="DG4" i="202"/>
  <c r="DC4" i="202"/>
  <c r="DB4" i="202"/>
  <c r="AL53" i="202" s="1"/>
  <c r="DA4" i="202"/>
  <c r="AK53" i="202" s="1"/>
  <c r="CZ4" i="202"/>
  <c r="CY4" i="202"/>
  <c r="CX4" i="202"/>
  <c r="CW4" i="202"/>
  <c r="AN53" i="202" s="1"/>
  <c r="CV4" i="202"/>
  <c r="DN3" i="202"/>
  <c r="DM3" i="202"/>
  <c r="DL3" i="202"/>
  <c r="DK3" i="202"/>
  <c r="DJ3" i="202"/>
  <c r="DI3" i="202"/>
  <c r="DH3" i="202"/>
  <c r="DG3" i="202"/>
  <c r="DN2" i="202"/>
  <c r="DM2" i="202"/>
  <c r="DL2" i="202"/>
  <c r="DK2" i="202"/>
  <c r="EU19" i="202" s="1"/>
  <c r="DJ2" i="202"/>
  <c r="DI2" i="202"/>
  <c r="DH2" i="202"/>
  <c r="DG2" i="202"/>
  <c r="DD2" i="202"/>
  <c r="DB2" i="202"/>
  <c r="CZ2" i="202"/>
  <c r="CX2" i="202"/>
  <c r="DR28" i="202" s="1"/>
  <c r="HA1" i="202"/>
  <c r="HX14" i="202" s="1"/>
  <c r="DQ1" i="202"/>
  <c r="DD1" i="202"/>
  <c r="DT20" i="202" s="1"/>
  <c r="CX1" i="202"/>
  <c r="CY1" i="202" s="1"/>
  <c r="AE1" i="202"/>
  <c r="AD1" i="202"/>
  <c r="EO104" i="201"/>
  <c r="EN104" i="201"/>
  <c r="EM104" i="201"/>
  <c r="EO103" i="201"/>
  <c r="EN103" i="201"/>
  <c r="EM103" i="201"/>
  <c r="EO102" i="201"/>
  <c r="EN102" i="201"/>
  <c r="EM102" i="201"/>
  <c r="EO101" i="201"/>
  <c r="EN101" i="201"/>
  <c r="EM101" i="201"/>
  <c r="EO100" i="201"/>
  <c r="EN100" i="201"/>
  <c r="EM100" i="201"/>
  <c r="EO99" i="201"/>
  <c r="EN99" i="201"/>
  <c r="EM99" i="201"/>
  <c r="EO98" i="201"/>
  <c r="EN98" i="201"/>
  <c r="EM98" i="201"/>
  <c r="EO97" i="201"/>
  <c r="EN97" i="201"/>
  <c r="EM97" i="201"/>
  <c r="EO96" i="201"/>
  <c r="EN96" i="201"/>
  <c r="EM96" i="201"/>
  <c r="EO95" i="201"/>
  <c r="EN95" i="201"/>
  <c r="EM95" i="201"/>
  <c r="EO94" i="201"/>
  <c r="EN94" i="201"/>
  <c r="EM94" i="201"/>
  <c r="EO93" i="201"/>
  <c r="EN93" i="201"/>
  <c r="EM93" i="201"/>
  <c r="EO92" i="201"/>
  <c r="EN92" i="201"/>
  <c r="EM92" i="201"/>
  <c r="EO91" i="201"/>
  <c r="EN91" i="201"/>
  <c r="EM91" i="201"/>
  <c r="EO90" i="201"/>
  <c r="EN90" i="201"/>
  <c r="EM90" i="201"/>
  <c r="EO89" i="201"/>
  <c r="EN89" i="201"/>
  <c r="EM89" i="201"/>
  <c r="EO88" i="201"/>
  <c r="EN88" i="201"/>
  <c r="EM88" i="201"/>
  <c r="EO87" i="201"/>
  <c r="EN87" i="201"/>
  <c r="EM87" i="201"/>
  <c r="EO86" i="201"/>
  <c r="EN86" i="201"/>
  <c r="EM86" i="201"/>
  <c r="EO85" i="201"/>
  <c r="EN85" i="201"/>
  <c r="EM85" i="201"/>
  <c r="EO84" i="201"/>
  <c r="EN84" i="201"/>
  <c r="EM84" i="201"/>
  <c r="EO83" i="201"/>
  <c r="EN83" i="201"/>
  <c r="EM83" i="201"/>
  <c r="EO82" i="201"/>
  <c r="EN82" i="201"/>
  <c r="EM82" i="201"/>
  <c r="EO81" i="201"/>
  <c r="EN81" i="201"/>
  <c r="EM81" i="201"/>
  <c r="EO80" i="201"/>
  <c r="EN80" i="201"/>
  <c r="EM80" i="201"/>
  <c r="EO79" i="201"/>
  <c r="EN79" i="201"/>
  <c r="EM79" i="201"/>
  <c r="EO78" i="201"/>
  <c r="EN78" i="201"/>
  <c r="EM78" i="201"/>
  <c r="EO77" i="201"/>
  <c r="EN77" i="201"/>
  <c r="EM77" i="201"/>
  <c r="EO76" i="201"/>
  <c r="EN76" i="201"/>
  <c r="EM76" i="201"/>
  <c r="EO75" i="201"/>
  <c r="EN75" i="201"/>
  <c r="EM75" i="201"/>
  <c r="AY57" i="201"/>
  <c r="AX57" i="201"/>
  <c r="AV57" i="201"/>
  <c r="AA57" i="201"/>
  <c r="Z57" i="201"/>
  <c r="Y57" i="201"/>
  <c r="X57" i="201"/>
  <c r="W57" i="201"/>
  <c r="V57" i="201"/>
  <c r="AT57" i="201" s="1"/>
  <c r="U57" i="201"/>
  <c r="T57" i="201"/>
  <c r="AR57" i="201" s="1"/>
  <c r="S57" i="201"/>
  <c r="R57" i="201"/>
  <c r="Q57" i="201"/>
  <c r="P57" i="201"/>
  <c r="O57" i="201"/>
  <c r="N57" i="201"/>
  <c r="M57" i="201"/>
  <c r="L57" i="201"/>
  <c r="K57" i="201"/>
  <c r="J57" i="201"/>
  <c r="I57" i="201"/>
  <c r="H57" i="201"/>
  <c r="G57" i="201"/>
  <c r="F57" i="201"/>
  <c r="E57" i="201"/>
  <c r="D57" i="201"/>
  <c r="C57" i="201"/>
  <c r="AW57" i="201" s="1"/>
  <c r="B57" i="201"/>
  <c r="A57" i="201"/>
  <c r="GF57" i="201" s="1"/>
  <c r="AN54" i="201"/>
  <c r="AN53" i="201"/>
  <c r="AM53" i="201"/>
  <c r="AK53" i="201"/>
  <c r="AL49" i="201"/>
  <c r="AK49" i="201"/>
  <c r="GF45" i="201"/>
  <c r="GD45" i="201" s="1"/>
  <c r="GE45" i="201"/>
  <c r="GC45" i="201"/>
  <c r="GB45" i="201"/>
  <c r="GA45" i="201"/>
  <c r="FU45" i="201"/>
  <c r="FS45" i="201"/>
  <c r="FQ45" i="201"/>
  <c r="FN45" i="201"/>
  <c r="FM45" i="201"/>
  <c r="FI45" i="201"/>
  <c r="FH45" i="201"/>
  <c r="FE45" i="201"/>
  <c r="FF45" i="201" s="1"/>
  <c r="FG45" i="201" s="1"/>
  <c r="Y45" i="201" s="1"/>
  <c r="FC45" i="201"/>
  <c r="FA45" i="201"/>
  <c r="EZ45" i="201"/>
  <c r="EQ45" i="201"/>
  <c r="EN45" i="201"/>
  <c r="ER45" i="201" s="1"/>
  <c r="EB45" i="201"/>
  <c r="EA45" i="201"/>
  <c r="DZ45" i="201"/>
  <c r="DY45" i="201"/>
  <c r="DX45" i="201"/>
  <c r="H45" i="201" s="1"/>
  <c r="DS45" i="201"/>
  <c r="DP45" i="201"/>
  <c r="DO45" i="201"/>
  <c r="FJ45" i="201" s="1"/>
  <c r="FK45" i="201" s="1"/>
  <c r="FL45" i="201" s="1"/>
  <c r="Z45" i="201" s="1"/>
  <c r="DN45" i="201"/>
  <c r="DM45" i="201"/>
  <c r="DL45" i="201"/>
  <c r="DK45" i="201"/>
  <c r="EL45" i="201" s="1"/>
  <c r="EM45" i="201" s="1"/>
  <c r="DJ45" i="201"/>
  <c r="DI45" i="201"/>
  <c r="DH45" i="201"/>
  <c r="FV45" i="201" s="1"/>
  <c r="DG45" i="201"/>
  <c r="DF45" i="201"/>
  <c r="ED45" i="201" s="1"/>
  <c r="DE45" i="201"/>
  <c r="FR45" i="201" s="1"/>
  <c r="DD45" i="201"/>
  <c r="FD45" i="201" s="1"/>
  <c r="DC45" i="201"/>
  <c r="DB45" i="201"/>
  <c r="DA45" i="201"/>
  <c r="CZ45" i="201"/>
  <c r="CY45" i="201"/>
  <c r="CX45" i="201"/>
  <c r="CW45" i="201"/>
  <c r="CV45" i="201"/>
  <c r="CU45" i="201"/>
  <c r="CQ45" i="201"/>
  <c r="CP45" i="201"/>
  <c r="CO45" i="201"/>
  <c r="CN45" i="201"/>
  <c r="CM45" i="201"/>
  <c r="CL45" i="201"/>
  <c r="CK45" i="201"/>
  <c r="AX45" i="201"/>
  <c r="AW45" i="201"/>
  <c r="AV45" i="201"/>
  <c r="AK45" i="201" s="1"/>
  <c r="AH45" i="201"/>
  <c r="AG45" i="201"/>
  <c r="AF45" i="201"/>
  <c r="AE45" i="201"/>
  <c r="G45" i="201"/>
  <c r="E45" i="201"/>
  <c r="D45" i="201"/>
  <c r="GK45" i="201" s="1"/>
  <c r="C45" i="201"/>
  <c r="AD45" i="201" s="1"/>
  <c r="A45" i="201"/>
  <c r="GF44" i="201"/>
  <c r="GE44" i="201"/>
  <c r="GA44" i="201"/>
  <c r="FV44" i="201"/>
  <c r="FD44" i="201"/>
  <c r="FC44" i="201"/>
  <c r="EL44" i="201" s="1"/>
  <c r="FA44" i="201"/>
  <c r="EZ44" i="201"/>
  <c r="EY44" i="201"/>
  <c r="EX44" i="201"/>
  <c r="EN44" i="201"/>
  <c r="EM44" i="201"/>
  <c r="EQ44" i="201" s="1"/>
  <c r="EE44" i="201"/>
  <c r="DY44" i="201"/>
  <c r="DZ44" i="201" s="1"/>
  <c r="DX44" i="201"/>
  <c r="DW44" i="201"/>
  <c r="FO44" i="201" s="1"/>
  <c r="DV44" i="201"/>
  <c r="DS44" i="201"/>
  <c r="DO44" i="201"/>
  <c r="DN44" i="201"/>
  <c r="FI44" i="201" s="1"/>
  <c r="DM44" i="201"/>
  <c r="DL44" i="201"/>
  <c r="DK44" i="201"/>
  <c r="DJ44" i="201"/>
  <c r="DI44" i="201"/>
  <c r="DH44" i="201"/>
  <c r="FM44" i="201" s="1"/>
  <c r="DG44" i="201"/>
  <c r="DF44" i="201"/>
  <c r="DE44" i="201"/>
  <c r="DD44" i="201"/>
  <c r="DC44" i="201"/>
  <c r="DB44" i="201"/>
  <c r="DA44" i="201"/>
  <c r="CZ44" i="201"/>
  <c r="CY44" i="201"/>
  <c r="CX44" i="201"/>
  <c r="CW44" i="201"/>
  <c r="CV44" i="201"/>
  <c r="DU44" i="201" s="1"/>
  <c r="CU44" i="201"/>
  <c r="CQ44" i="201"/>
  <c r="CP44" i="201"/>
  <c r="CK44" i="201" s="1"/>
  <c r="CO44" i="201"/>
  <c r="CN44" i="201"/>
  <c r="CM44" i="201"/>
  <c r="CL44" i="201"/>
  <c r="CE44" i="201"/>
  <c r="AX44" i="201"/>
  <c r="C44" i="201"/>
  <c r="A44" i="201"/>
  <c r="FU43" i="201"/>
  <c r="FT43" i="201"/>
  <c r="FS43" i="201"/>
  <c r="FR43" i="201"/>
  <c r="FM43" i="201"/>
  <c r="FI43" i="201"/>
  <c r="FE43" i="201"/>
  <c r="FF43" i="201" s="1"/>
  <c r="FG43" i="201" s="1"/>
  <c r="Y43" i="201" s="1"/>
  <c r="FC43" i="201"/>
  <c r="EZ43" i="201"/>
  <c r="EL43" i="201"/>
  <c r="EK43" i="201"/>
  <c r="EF43" i="201"/>
  <c r="EE43" i="201"/>
  <c r="EG43" i="201" s="1"/>
  <c r="DY43" i="201"/>
  <c r="DW43" i="201"/>
  <c r="DT43" i="201"/>
  <c r="DS43" i="201"/>
  <c r="DO43" i="201"/>
  <c r="DN43" i="201"/>
  <c r="DM43" i="201"/>
  <c r="DL43" i="201"/>
  <c r="DK43" i="201"/>
  <c r="DJ43" i="201"/>
  <c r="DI43" i="201"/>
  <c r="DH43" i="201"/>
  <c r="FV43" i="201" s="1"/>
  <c r="DG43" i="201"/>
  <c r="DF43" i="201"/>
  <c r="DE43" i="201"/>
  <c r="DD43" i="201"/>
  <c r="FD43" i="201" s="1"/>
  <c r="DC43" i="201"/>
  <c r="DB43" i="201"/>
  <c r="DA43" i="201"/>
  <c r="CZ43" i="201"/>
  <c r="CY43" i="201"/>
  <c r="CD43" i="201" s="1"/>
  <c r="CX43" i="201"/>
  <c r="FH43" i="201" s="1"/>
  <c r="CW43" i="201"/>
  <c r="CV43" i="201"/>
  <c r="CU43" i="201"/>
  <c r="EY43" i="201" s="1"/>
  <c r="CQ43" i="201"/>
  <c r="CP43" i="201"/>
  <c r="CK43" i="201" s="1"/>
  <c r="CO43" i="201"/>
  <c r="CN43" i="201"/>
  <c r="CM43" i="201"/>
  <c r="CL43" i="201"/>
  <c r="CE43" i="201"/>
  <c r="AV43" i="201"/>
  <c r="AE43" i="201"/>
  <c r="AD43" i="201"/>
  <c r="C43" i="201"/>
  <c r="A43" i="201"/>
  <c r="FS42" i="201"/>
  <c r="FK42" i="201"/>
  <c r="FL42" i="201" s="1"/>
  <c r="Z42" i="201" s="1"/>
  <c r="FG42" i="201"/>
  <c r="Y42" i="201" s="1"/>
  <c r="FC42" i="201"/>
  <c r="EL42" i="201" s="1"/>
  <c r="EZ42" i="201"/>
  <c r="EE42" i="201" s="1"/>
  <c r="EY42" i="201"/>
  <c r="DZ42" i="201"/>
  <c r="DY42" i="201"/>
  <c r="DV42" i="201"/>
  <c r="DT42" i="201"/>
  <c r="DS42" i="201"/>
  <c r="DO42" i="201"/>
  <c r="DN42" i="201"/>
  <c r="FI42" i="201" s="1"/>
  <c r="FJ42" i="201" s="1"/>
  <c r="DM42" i="201"/>
  <c r="DL42" i="201"/>
  <c r="DK42" i="201"/>
  <c r="DJ42" i="201"/>
  <c r="DI42" i="201"/>
  <c r="FT42" i="201" s="1"/>
  <c r="DH42" i="201"/>
  <c r="FV42" i="201" s="1"/>
  <c r="DG42" i="201"/>
  <c r="DF42" i="201"/>
  <c r="FR42" i="201" s="1"/>
  <c r="DE42" i="201"/>
  <c r="DD42" i="201"/>
  <c r="FD42" i="201" s="1"/>
  <c r="FE42" i="201" s="1"/>
  <c r="FF42" i="201" s="1"/>
  <c r="DC42" i="201"/>
  <c r="DB42" i="201"/>
  <c r="DA42" i="201"/>
  <c r="CZ42" i="201"/>
  <c r="CY42" i="201"/>
  <c r="CX42" i="201"/>
  <c r="CW42" i="201"/>
  <c r="CV42" i="201"/>
  <c r="DU42" i="201" s="1"/>
  <c r="CU42" i="201"/>
  <c r="CQ42" i="201"/>
  <c r="CP42" i="201"/>
  <c r="CO42" i="201"/>
  <c r="CN42" i="201"/>
  <c r="CM42" i="201"/>
  <c r="CL42" i="201"/>
  <c r="CK42" i="201"/>
  <c r="CE42" i="201"/>
  <c r="CD42" i="201"/>
  <c r="AW42" i="201"/>
  <c r="AV42" i="201"/>
  <c r="AL42" i="201"/>
  <c r="AK42" i="201"/>
  <c r="AJ42" i="201"/>
  <c r="AH42" i="201"/>
  <c r="AG42" i="201"/>
  <c r="AF42" i="201"/>
  <c r="AE42" i="201"/>
  <c r="C42" i="201"/>
  <c r="AD42" i="201" s="1"/>
  <c r="A42" i="201"/>
  <c r="GF41" i="201"/>
  <c r="GE41" i="201" s="1"/>
  <c r="GC41" i="201"/>
  <c r="GB41" i="201"/>
  <c r="GA41" i="201"/>
  <c r="FV41" i="201"/>
  <c r="FU41" i="201"/>
  <c r="FM41" i="201"/>
  <c r="FI41" i="201"/>
  <c r="FH41" i="201"/>
  <c r="FC41" i="201"/>
  <c r="FA41" i="201"/>
  <c r="EZ41" i="201"/>
  <c r="EB41" i="201"/>
  <c r="EA41" i="201"/>
  <c r="DZ41" i="201"/>
  <c r="DY41" i="201"/>
  <c r="DS41" i="201"/>
  <c r="DO41" i="201"/>
  <c r="FJ41" i="201" s="1"/>
  <c r="FK41" i="201" s="1"/>
  <c r="FL41" i="201" s="1"/>
  <c r="Z41" i="201" s="1"/>
  <c r="DN41" i="201"/>
  <c r="DM41" i="201"/>
  <c r="DL41" i="201"/>
  <c r="DK41" i="201"/>
  <c r="EL41" i="201" s="1"/>
  <c r="DJ41" i="201"/>
  <c r="DI41" i="201"/>
  <c r="DH41" i="201"/>
  <c r="DG41" i="201"/>
  <c r="DF41" i="201"/>
  <c r="ED41" i="201" s="1"/>
  <c r="DE41" i="201"/>
  <c r="FR41" i="201" s="1"/>
  <c r="DD41" i="201"/>
  <c r="FD41" i="201" s="1"/>
  <c r="FE41" i="201" s="1"/>
  <c r="FF41" i="201" s="1"/>
  <c r="FG41" i="201" s="1"/>
  <c r="Y41" i="201" s="1"/>
  <c r="DC41" i="201"/>
  <c r="DB41" i="201"/>
  <c r="DA41" i="201"/>
  <c r="CZ41" i="201"/>
  <c r="CY41" i="201"/>
  <c r="FS41" i="201" s="1"/>
  <c r="CX41" i="201"/>
  <c r="CW41" i="201"/>
  <c r="CV41" i="201"/>
  <c r="CU41" i="201"/>
  <c r="EY41" i="201" s="1"/>
  <c r="CQ41" i="201"/>
  <c r="CP41" i="201"/>
  <c r="CO41" i="201"/>
  <c r="CN41" i="201"/>
  <c r="CM41" i="201"/>
  <c r="CL41" i="201"/>
  <c r="CK41" i="201"/>
  <c r="AX41" i="201"/>
  <c r="AW41" i="201"/>
  <c r="AV41" i="201"/>
  <c r="AK41" i="201" s="1"/>
  <c r="AH41" i="201"/>
  <c r="AG41" i="201"/>
  <c r="AF41" i="201"/>
  <c r="AE41" i="201"/>
  <c r="C41" i="201"/>
  <c r="AD41" i="201" s="1"/>
  <c r="A41" i="201"/>
  <c r="GL40" i="201"/>
  <c r="GK40" i="201"/>
  <c r="GF40" i="201"/>
  <c r="FV40" i="201"/>
  <c r="FU40" i="201"/>
  <c r="FN40" i="201"/>
  <c r="FI40" i="201"/>
  <c r="FJ40" i="201" s="1"/>
  <c r="FK40" i="201" s="1"/>
  <c r="FL40" i="201" s="1"/>
  <c r="Z40" i="201" s="1"/>
  <c r="FH40" i="201"/>
  <c r="FC40" i="201"/>
  <c r="FB40" i="201"/>
  <c r="FA40" i="201"/>
  <c r="EZ40" i="201"/>
  <c r="EE40" i="201" s="1"/>
  <c r="EY40" i="201"/>
  <c r="EX40" i="201"/>
  <c r="EC40" i="201"/>
  <c r="EB40" i="201"/>
  <c r="EA40" i="201"/>
  <c r="DZ40" i="201"/>
  <c r="DY40" i="201"/>
  <c r="DU40" i="201"/>
  <c r="DS40" i="201"/>
  <c r="DO40" i="201"/>
  <c r="FE40" i="201" s="1"/>
  <c r="FF40" i="201" s="1"/>
  <c r="FG40" i="201" s="1"/>
  <c r="Y40" i="201" s="1"/>
  <c r="DN40" i="201"/>
  <c r="DM40" i="201"/>
  <c r="FP40" i="201" s="1"/>
  <c r="DL40" i="201"/>
  <c r="DK40" i="201"/>
  <c r="EL40" i="201" s="1"/>
  <c r="DJ40" i="201"/>
  <c r="DI40" i="201"/>
  <c r="DH40" i="201"/>
  <c r="FM40" i="201" s="1"/>
  <c r="DG40" i="201"/>
  <c r="DF40" i="201"/>
  <c r="ED40" i="201" s="1"/>
  <c r="DE40" i="201"/>
  <c r="FR40" i="201" s="1"/>
  <c r="DD40" i="201"/>
  <c r="FD40" i="201" s="1"/>
  <c r="DC40" i="201"/>
  <c r="DT40" i="201" s="1"/>
  <c r="DB40" i="201"/>
  <c r="DA40" i="201"/>
  <c r="CZ40" i="201"/>
  <c r="CY40" i="201"/>
  <c r="FS40" i="201" s="1"/>
  <c r="CX40" i="201"/>
  <c r="CW40" i="201"/>
  <c r="CV40" i="201"/>
  <c r="CU40" i="201"/>
  <c r="CQ40" i="201"/>
  <c r="CP40" i="201"/>
  <c r="CO40" i="201"/>
  <c r="CN40" i="201"/>
  <c r="CM40" i="201"/>
  <c r="CL40" i="201"/>
  <c r="CK40" i="201"/>
  <c r="CD40" i="201"/>
  <c r="AY40" i="201"/>
  <c r="AX40" i="201"/>
  <c r="AW40" i="201"/>
  <c r="AV40" i="201"/>
  <c r="AK40" i="201"/>
  <c r="AJ40" i="201"/>
  <c r="AH40" i="201"/>
  <c r="AG40" i="201"/>
  <c r="AF40" i="201"/>
  <c r="AE40" i="201"/>
  <c r="GM39" i="201"/>
  <c r="GL39" i="201"/>
  <c r="GK39" i="201"/>
  <c r="GF39" i="201"/>
  <c r="FS39" i="201"/>
  <c r="FR39" i="201"/>
  <c r="FN39" i="201"/>
  <c r="FM39" i="201"/>
  <c r="FE39" i="201"/>
  <c r="FF39" i="201" s="1"/>
  <c r="FG39" i="201" s="1"/>
  <c r="Y39" i="201" s="1"/>
  <c r="FD39" i="201"/>
  <c r="FC39" i="201"/>
  <c r="EL39" i="201" s="1"/>
  <c r="FB39" i="201"/>
  <c r="EZ39" i="201"/>
  <c r="EX39" i="201"/>
  <c r="EF39" i="201"/>
  <c r="ED39" i="201"/>
  <c r="EC39" i="201"/>
  <c r="DY39" i="201"/>
  <c r="DX39" i="201"/>
  <c r="DW39" i="201"/>
  <c r="DV39" i="201"/>
  <c r="DU39" i="201"/>
  <c r="DS39" i="201"/>
  <c r="DP39" i="201"/>
  <c r="DO39" i="201"/>
  <c r="FJ39" i="201" s="1"/>
  <c r="FK39" i="201" s="1"/>
  <c r="FL39" i="201" s="1"/>
  <c r="Z39" i="201" s="1"/>
  <c r="DN39" i="201"/>
  <c r="FI39" i="201" s="1"/>
  <c r="DM39" i="201"/>
  <c r="DL39" i="201"/>
  <c r="DK39" i="201"/>
  <c r="DJ39" i="201"/>
  <c r="DI39" i="201"/>
  <c r="DH39" i="201"/>
  <c r="FV39" i="201" s="1"/>
  <c r="DG39" i="201"/>
  <c r="DF39" i="201"/>
  <c r="DE39" i="201"/>
  <c r="FA39" i="201" s="1"/>
  <c r="DD39" i="201"/>
  <c r="DC39" i="201"/>
  <c r="FO39" i="201" s="1"/>
  <c r="DB39" i="201"/>
  <c r="DA39" i="201"/>
  <c r="EE39" i="201" s="1"/>
  <c r="EG39" i="201" s="1"/>
  <c r="CZ39" i="201"/>
  <c r="CY39" i="201"/>
  <c r="CX39" i="201"/>
  <c r="FH39" i="201" s="1"/>
  <c r="CW39" i="201"/>
  <c r="CV39" i="201"/>
  <c r="FQ39" i="201" s="1"/>
  <c r="CU39" i="201"/>
  <c r="EY39" i="201" s="1"/>
  <c r="CQ39" i="201"/>
  <c r="CP39" i="201"/>
  <c r="CO39" i="201"/>
  <c r="CN39" i="201"/>
  <c r="CM39" i="201"/>
  <c r="CL39" i="201"/>
  <c r="CD39" i="201"/>
  <c r="AX39" i="201"/>
  <c r="AW39" i="201"/>
  <c r="AV39" i="201"/>
  <c r="AK39" i="201" s="1"/>
  <c r="AS39" i="201"/>
  <c r="AT39" i="201" s="1"/>
  <c r="AH39" i="201"/>
  <c r="AG39" i="201"/>
  <c r="AF39" i="201"/>
  <c r="AE39" i="201"/>
  <c r="GM38" i="201"/>
  <c r="GL38" i="201"/>
  <c r="GK38" i="201"/>
  <c r="GF38" i="201"/>
  <c r="FT38" i="201"/>
  <c r="FS38" i="201"/>
  <c r="FM38" i="201"/>
  <c r="FI38" i="201"/>
  <c r="FE38" i="201"/>
  <c r="FF38" i="201" s="1"/>
  <c r="FG38" i="201" s="1"/>
  <c r="Y38" i="201" s="1"/>
  <c r="FD38" i="201"/>
  <c r="FC38" i="201"/>
  <c r="EL38" i="201" s="1"/>
  <c r="EM38" i="201" s="1"/>
  <c r="EZ38" i="201"/>
  <c r="EN38" i="201"/>
  <c r="EE38" i="201"/>
  <c r="ED38" i="201"/>
  <c r="EC38" i="201"/>
  <c r="EB38" i="201"/>
  <c r="DY38" i="201"/>
  <c r="DV38" i="201"/>
  <c r="DU38" i="201"/>
  <c r="DT38" i="201"/>
  <c r="DS38" i="201"/>
  <c r="DO38" i="201"/>
  <c r="FJ38" i="201" s="1"/>
  <c r="FK38" i="201" s="1"/>
  <c r="FL38" i="201" s="1"/>
  <c r="Z38" i="201" s="1"/>
  <c r="DN38" i="201"/>
  <c r="DM38" i="201"/>
  <c r="DL38" i="201"/>
  <c r="DK38" i="201"/>
  <c r="DJ38" i="201"/>
  <c r="DI38" i="201"/>
  <c r="DH38" i="201"/>
  <c r="FV38" i="201" s="1"/>
  <c r="DG38" i="201"/>
  <c r="DF38" i="201"/>
  <c r="EA38" i="201" s="1"/>
  <c r="DE38" i="201"/>
  <c r="FA38" i="201" s="1"/>
  <c r="DD38" i="201"/>
  <c r="DC38" i="201"/>
  <c r="DB38" i="201"/>
  <c r="DA38" i="201"/>
  <c r="CZ38" i="201"/>
  <c r="CY38" i="201"/>
  <c r="CX38" i="201"/>
  <c r="FH38" i="201" s="1"/>
  <c r="CW38" i="201"/>
  <c r="CV38" i="201"/>
  <c r="CU38" i="201"/>
  <c r="EY38" i="201" s="1"/>
  <c r="CQ38" i="201"/>
  <c r="CP38" i="201"/>
  <c r="CK38" i="201" s="1"/>
  <c r="CO38" i="201"/>
  <c r="CN38" i="201"/>
  <c r="CM38" i="201"/>
  <c r="CL38" i="201"/>
  <c r="CE38" i="201"/>
  <c r="CD38" i="201"/>
  <c r="AX38" i="201"/>
  <c r="AW38" i="201"/>
  <c r="AV38" i="201"/>
  <c r="AK38" i="201"/>
  <c r="AH38" i="201"/>
  <c r="AG38" i="201"/>
  <c r="AF38" i="201"/>
  <c r="AE38" i="201"/>
  <c r="GL37" i="201"/>
  <c r="GK37" i="201"/>
  <c r="GM37" i="201" s="1"/>
  <c r="GF37" i="201"/>
  <c r="FV37" i="201"/>
  <c r="FU37" i="201"/>
  <c r="FM37" i="201"/>
  <c r="FI37" i="201"/>
  <c r="FH37" i="201"/>
  <c r="FG37" i="201"/>
  <c r="Y37" i="201" s="1"/>
  <c r="FC37" i="201"/>
  <c r="FA37" i="201"/>
  <c r="EZ37" i="201"/>
  <c r="EE37" i="201" s="1"/>
  <c r="EF37" i="201" s="1"/>
  <c r="EJ37" i="201"/>
  <c r="CH37" i="201" s="1"/>
  <c r="EG37" i="201"/>
  <c r="EK37" i="201" s="1"/>
  <c r="EB37" i="201"/>
  <c r="EA37" i="201"/>
  <c r="DY37" i="201"/>
  <c r="DX37" i="201"/>
  <c r="DS37" i="201"/>
  <c r="DO37" i="201"/>
  <c r="FJ37" i="201" s="1"/>
  <c r="FK37" i="201" s="1"/>
  <c r="FL37" i="201" s="1"/>
  <c r="Z37" i="201" s="1"/>
  <c r="DN37" i="201"/>
  <c r="DM37" i="201"/>
  <c r="DL37" i="201"/>
  <c r="DK37" i="201"/>
  <c r="EL37" i="201" s="1"/>
  <c r="DJ37" i="201"/>
  <c r="DI37" i="201"/>
  <c r="DH37" i="201"/>
  <c r="DG37" i="201"/>
  <c r="DF37" i="201"/>
  <c r="ED37" i="201" s="1"/>
  <c r="DE37" i="201"/>
  <c r="FR37" i="201" s="1"/>
  <c r="DD37" i="201"/>
  <c r="FD37" i="201" s="1"/>
  <c r="FE37" i="201" s="1"/>
  <c r="FF37" i="201" s="1"/>
  <c r="DC37" i="201"/>
  <c r="DB37" i="201"/>
  <c r="DA37" i="201"/>
  <c r="CZ37" i="201"/>
  <c r="CY37" i="201"/>
  <c r="FS37" i="201" s="1"/>
  <c r="CX37" i="201"/>
  <c r="CW37" i="201"/>
  <c r="CV37" i="201"/>
  <c r="CU37" i="201"/>
  <c r="CQ37" i="201"/>
  <c r="CP37" i="201"/>
  <c r="CO37" i="201"/>
  <c r="CN37" i="201"/>
  <c r="CM37" i="201"/>
  <c r="CL37" i="201"/>
  <c r="CK37" i="201"/>
  <c r="AZ37" i="201"/>
  <c r="AY37" i="201"/>
  <c r="AX37" i="201"/>
  <c r="AW37" i="201"/>
  <c r="AV37" i="201"/>
  <c r="AK37" i="201" s="1"/>
  <c r="AO37" i="201" s="1"/>
  <c r="AN37" i="201"/>
  <c r="AJ37" i="201"/>
  <c r="AH37" i="201"/>
  <c r="AG37" i="201"/>
  <c r="AF37" i="201"/>
  <c r="AE37" i="201"/>
  <c r="GL36" i="201"/>
  <c r="GM36" i="201" s="1"/>
  <c r="GK36" i="201"/>
  <c r="GF36" i="201"/>
  <c r="FT36" i="201"/>
  <c r="FM36" i="201"/>
  <c r="FJ36" i="201"/>
  <c r="FK36" i="201" s="1"/>
  <c r="FL36" i="201" s="1"/>
  <c r="Z36" i="201" s="1"/>
  <c r="FI36" i="201"/>
  <c r="FD36" i="201"/>
  <c r="FC36" i="201"/>
  <c r="FA36" i="201"/>
  <c r="EZ36" i="201"/>
  <c r="EN36" i="201"/>
  <c r="EL36" i="201"/>
  <c r="EM36" i="201" s="1"/>
  <c r="EK36" i="201"/>
  <c r="EE36" i="201"/>
  <c r="EG36" i="201" s="1"/>
  <c r="EC36" i="201"/>
  <c r="DY36" i="201"/>
  <c r="DX36" i="201"/>
  <c r="DW36" i="201"/>
  <c r="DU36" i="201"/>
  <c r="DT36" i="201"/>
  <c r="DS36" i="201"/>
  <c r="DP36" i="201"/>
  <c r="DO36" i="201"/>
  <c r="FE36" i="201" s="1"/>
  <c r="FF36" i="201" s="1"/>
  <c r="FG36" i="201" s="1"/>
  <c r="Y36" i="201" s="1"/>
  <c r="DN36" i="201"/>
  <c r="DM36" i="201"/>
  <c r="DL36" i="201"/>
  <c r="DK36" i="201"/>
  <c r="DJ36" i="201"/>
  <c r="DI36" i="201"/>
  <c r="DH36" i="201"/>
  <c r="FV36" i="201" s="1"/>
  <c r="DG36" i="201"/>
  <c r="DF36" i="201"/>
  <c r="DE36" i="201"/>
  <c r="FB36" i="201" s="1"/>
  <c r="DD36" i="201"/>
  <c r="DC36" i="201"/>
  <c r="DB36" i="201"/>
  <c r="DA36" i="201"/>
  <c r="CZ36" i="201"/>
  <c r="CY36" i="201"/>
  <c r="CX36" i="201"/>
  <c r="CW36" i="201"/>
  <c r="CV36" i="201"/>
  <c r="FQ36" i="201" s="1"/>
  <c r="CU36" i="201"/>
  <c r="EY36" i="201" s="1"/>
  <c r="CQ36" i="201"/>
  <c r="CP36" i="201"/>
  <c r="CK36" i="201" s="1"/>
  <c r="CO36" i="201"/>
  <c r="CN36" i="201"/>
  <c r="CM36" i="201"/>
  <c r="CL36" i="201"/>
  <c r="CE36" i="201"/>
  <c r="AX36" i="201"/>
  <c r="AW36" i="201"/>
  <c r="AV36" i="201"/>
  <c r="AK36" i="201" s="1"/>
  <c r="AH36" i="201"/>
  <c r="AG36" i="201"/>
  <c r="AF36" i="201"/>
  <c r="AE36" i="201"/>
  <c r="GM35" i="201"/>
  <c r="GL35" i="201"/>
  <c r="GK35" i="201"/>
  <c r="GF35" i="201"/>
  <c r="FV35" i="201"/>
  <c r="FT35" i="201"/>
  <c r="FF35" i="201"/>
  <c r="FG35" i="201" s="1"/>
  <c r="Y35" i="201" s="1"/>
  <c r="FE35" i="201"/>
  <c r="FD35" i="201"/>
  <c r="FC35" i="201"/>
  <c r="EZ35" i="201"/>
  <c r="EX35" i="201"/>
  <c r="EM35" i="201"/>
  <c r="EL35" i="201"/>
  <c r="EN35" i="201" s="1"/>
  <c r="EF35" i="201"/>
  <c r="DY35" i="201"/>
  <c r="DX35" i="201"/>
  <c r="DW35" i="201"/>
  <c r="DV35" i="201"/>
  <c r="DU35" i="201"/>
  <c r="DS35" i="201"/>
  <c r="DO35" i="201"/>
  <c r="DN35" i="201"/>
  <c r="FI35" i="201" s="1"/>
  <c r="FJ35" i="201" s="1"/>
  <c r="FK35" i="201" s="1"/>
  <c r="FL35" i="201" s="1"/>
  <c r="Z35" i="201" s="1"/>
  <c r="DM35" i="201"/>
  <c r="DL35" i="201"/>
  <c r="DK35" i="201"/>
  <c r="DJ35" i="201"/>
  <c r="DI35" i="201"/>
  <c r="CE35" i="201" s="1"/>
  <c r="DH35" i="201"/>
  <c r="FM35" i="201" s="1"/>
  <c r="DG35" i="201"/>
  <c r="DF35" i="201"/>
  <c r="DE35" i="201"/>
  <c r="DD35" i="201"/>
  <c r="DC35" i="201"/>
  <c r="DT35" i="201" s="1"/>
  <c r="DB35" i="201"/>
  <c r="DA35" i="201"/>
  <c r="EE35" i="201" s="1"/>
  <c r="EG35" i="201" s="1"/>
  <c r="CZ35" i="201"/>
  <c r="CY35" i="201"/>
  <c r="CX35" i="201"/>
  <c r="CW35" i="201"/>
  <c r="CV35" i="201"/>
  <c r="CU35" i="201"/>
  <c r="FQ35" i="201" s="1"/>
  <c r="CQ35" i="201"/>
  <c r="CP35" i="201"/>
  <c r="CO35" i="201"/>
  <c r="CN35" i="201"/>
  <c r="CM35" i="201"/>
  <c r="CL35" i="201"/>
  <c r="CD35" i="201"/>
  <c r="AX35" i="201"/>
  <c r="AW35" i="201"/>
  <c r="AV35" i="201"/>
  <c r="AM35" i="201"/>
  <c r="AK35" i="201"/>
  <c r="AH35" i="201"/>
  <c r="AG35" i="201"/>
  <c r="AF35" i="201"/>
  <c r="AE35" i="201"/>
  <c r="GL34" i="201"/>
  <c r="GM34" i="201" s="1"/>
  <c r="GK34" i="201"/>
  <c r="GF34" i="201"/>
  <c r="FV34" i="201"/>
  <c r="FU34" i="201"/>
  <c r="FP34" i="201"/>
  <c r="FN34" i="201"/>
  <c r="FJ34" i="201"/>
  <c r="FK34" i="201" s="1"/>
  <c r="FL34" i="201" s="1"/>
  <c r="Z34" i="201" s="1"/>
  <c r="FI34" i="201"/>
  <c r="FH34" i="201"/>
  <c r="FC34" i="201"/>
  <c r="FB34" i="201"/>
  <c r="FA34" i="201"/>
  <c r="EZ34" i="201"/>
  <c r="EY34" i="201"/>
  <c r="EC34" i="201"/>
  <c r="EB34" i="201"/>
  <c r="EA34" i="201"/>
  <c r="DZ34" i="201"/>
  <c r="DY34" i="201"/>
  <c r="DS34" i="201"/>
  <c r="DO34" i="201"/>
  <c r="FE34" i="201" s="1"/>
  <c r="FF34" i="201" s="1"/>
  <c r="FG34" i="201" s="1"/>
  <c r="DN34" i="201"/>
  <c r="DM34" i="201"/>
  <c r="DL34" i="201"/>
  <c r="DK34" i="201"/>
  <c r="EL34" i="201" s="1"/>
  <c r="DJ34" i="201"/>
  <c r="DI34" i="201"/>
  <c r="DH34" i="201"/>
  <c r="FM34" i="201" s="1"/>
  <c r="DG34" i="201"/>
  <c r="DF34" i="201"/>
  <c r="ED34" i="201" s="1"/>
  <c r="DE34" i="201"/>
  <c r="FR34" i="201" s="1"/>
  <c r="DD34" i="201"/>
  <c r="FD34" i="201" s="1"/>
  <c r="DC34" i="201"/>
  <c r="DT34" i="201" s="1"/>
  <c r="DB34" i="201"/>
  <c r="DA34" i="201"/>
  <c r="CZ34" i="201"/>
  <c r="CY34" i="201"/>
  <c r="FS34" i="201" s="1"/>
  <c r="CX34" i="201"/>
  <c r="CW34" i="201"/>
  <c r="CV34" i="201"/>
  <c r="CU34" i="201"/>
  <c r="EX34" i="201" s="1"/>
  <c r="CQ34" i="201"/>
  <c r="CP34" i="201"/>
  <c r="CO34" i="201"/>
  <c r="CN34" i="201"/>
  <c r="CM34" i="201"/>
  <c r="CL34" i="201"/>
  <c r="CK34" i="201"/>
  <c r="CD34" i="201"/>
  <c r="AY34" i="201"/>
  <c r="AX34" i="201"/>
  <c r="AW34" i="201"/>
  <c r="AV34" i="201"/>
  <c r="AO34" i="201"/>
  <c r="AK34" i="201"/>
  <c r="AH34" i="201"/>
  <c r="AG34" i="201"/>
  <c r="AF34" i="201"/>
  <c r="AE34" i="201"/>
  <c r="Y34" i="201"/>
  <c r="GM33" i="201"/>
  <c r="GL33" i="201"/>
  <c r="GK33" i="201"/>
  <c r="GF33" i="201"/>
  <c r="FU33" i="201"/>
  <c r="FT33" i="201"/>
  <c r="FS33" i="201"/>
  <c r="FN33" i="201"/>
  <c r="FJ33" i="201"/>
  <c r="FK33" i="201" s="1"/>
  <c r="FL33" i="201" s="1"/>
  <c r="Z33" i="201" s="1"/>
  <c r="FD33" i="201"/>
  <c r="FE33" i="201" s="1"/>
  <c r="FF33" i="201" s="1"/>
  <c r="FG33" i="201" s="1"/>
  <c r="Y33" i="201" s="1"/>
  <c r="FC33" i="201"/>
  <c r="EL33" i="201" s="1"/>
  <c r="EZ33" i="201"/>
  <c r="EX33" i="201"/>
  <c r="EG33" i="201"/>
  <c r="EE33" i="201"/>
  <c r="EF33" i="201" s="1"/>
  <c r="ED33" i="201"/>
  <c r="EC33" i="201"/>
  <c r="DY33" i="201"/>
  <c r="DX33" i="201"/>
  <c r="DW33" i="201"/>
  <c r="DV33" i="201"/>
  <c r="DU33" i="201"/>
  <c r="DS33" i="201"/>
  <c r="DP33" i="201"/>
  <c r="DO33" i="201"/>
  <c r="DN33" i="201"/>
  <c r="FI33" i="201" s="1"/>
  <c r="DM33" i="201"/>
  <c r="DL33" i="201"/>
  <c r="DK33" i="201"/>
  <c r="DJ33" i="201"/>
  <c r="DI33" i="201"/>
  <c r="CE33" i="201" s="1"/>
  <c r="DH33" i="201"/>
  <c r="FM33" i="201" s="1"/>
  <c r="DG33" i="201"/>
  <c r="DF33" i="201"/>
  <c r="DE33" i="201"/>
  <c r="DD33" i="201"/>
  <c r="DC33" i="201"/>
  <c r="DB33" i="201"/>
  <c r="DA33" i="201"/>
  <c r="CZ33" i="201"/>
  <c r="CY33" i="201"/>
  <c r="CX33" i="201"/>
  <c r="FH33" i="201" s="1"/>
  <c r="CW33" i="201"/>
  <c r="CV33" i="201"/>
  <c r="CU33" i="201"/>
  <c r="FQ33" i="201" s="1"/>
  <c r="CQ33" i="201"/>
  <c r="CP33" i="201"/>
  <c r="CO33" i="201"/>
  <c r="CN33" i="201"/>
  <c r="CM33" i="201"/>
  <c r="CL33" i="201"/>
  <c r="CD33" i="201"/>
  <c r="AX33" i="201"/>
  <c r="AW33" i="201"/>
  <c r="AV33" i="201"/>
  <c r="AK33" i="201" s="1"/>
  <c r="AH33" i="201"/>
  <c r="AG33" i="201"/>
  <c r="AF33" i="201"/>
  <c r="AE33" i="201"/>
  <c r="H33" i="201"/>
  <c r="G33" i="201"/>
  <c r="F33" i="201"/>
  <c r="GL32" i="201"/>
  <c r="GM32" i="201" s="1"/>
  <c r="GK32" i="201"/>
  <c r="GF32" i="201"/>
  <c r="FT32" i="201"/>
  <c r="FR32" i="201"/>
  <c r="FQ32" i="201"/>
  <c r="FI32" i="201"/>
  <c r="FD32" i="201"/>
  <c r="FC32" i="201"/>
  <c r="EL32" i="201" s="1"/>
  <c r="FB32" i="201"/>
  <c r="FA32" i="201"/>
  <c r="EZ32" i="201"/>
  <c r="EE32" i="201"/>
  <c r="ED32" i="201"/>
  <c r="EC32" i="201"/>
  <c r="EB32" i="201"/>
  <c r="DY32" i="201"/>
  <c r="DX32" i="201"/>
  <c r="H32" i="201" s="1"/>
  <c r="DW32" i="201"/>
  <c r="DU32" i="201"/>
  <c r="DT32" i="201"/>
  <c r="DS32" i="201"/>
  <c r="DP32" i="201"/>
  <c r="DO32" i="201"/>
  <c r="DN32" i="201"/>
  <c r="DM32" i="201"/>
  <c r="DL32" i="201"/>
  <c r="DK32" i="201"/>
  <c r="DJ32" i="201"/>
  <c r="DI32" i="201"/>
  <c r="DH32" i="201"/>
  <c r="FV32" i="201" s="1"/>
  <c r="DG32" i="201"/>
  <c r="DF32" i="201"/>
  <c r="EA32" i="201" s="1"/>
  <c r="DE32" i="201"/>
  <c r="DD32" i="201"/>
  <c r="DC32" i="201"/>
  <c r="FO32" i="201" s="1"/>
  <c r="DB32" i="201"/>
  <c r="DA32" i="201"/>
  <c r="CZ32" i="201"/>
  <c r="CY32" i="201"/>
  <c r="FS32" i="201" s="1"/>
  <c r="CX32" i="201"/>
  <c r="FH32" i="201" s="1"/>
  <c r="CW32" i="201"/>
  <c r="CV32" i="201"/>
  <c r="CU32" i="201"/>
  <c r="EY32" i="201" s="1"/>
  <c r="CQ32" i="201"/>
  <c r="CP32" i="201"/>
  <c r="CK32" i="201" s="1"/>
  <c r="CO32" i="201"/>
  <c r="CN32" i="201"/>
  <c r="CM32" i="201"/>
  <c r="CL32" i="201"/>
  <c r="CE32" i="201"/>
  <c r="CD32" i="201"/>
  <c r="AX32" i="201"/>
  <c r="AW32" i="201"/>
  <c r="AV32" i="201"/>
  <c r="AS32" i="201"/>
  <c r="AN32" i="201"/>
  <c r="AM32" i="201"/>
  <c r="AK32" i="201"/>
  <c r="AJ32" i="201" s="1"/>
  <c r="AH32" i="201"/>
  <c r="AG32" i="201"/>
  <c r="AF32" i="201"/>
  <c r="AE32" i="201"/>
  <c r="G32" i="201"/>
  <c r="F32" i="201"/>
  <c r="GL31" i="201"/>
  <c r="GK31" i="201"/>
  <c r="GM31" i="201" s="1"/>
  <c r="GF31" i="201"/>
  <c r="FV31" i="201"/>
  <c r="FT31" i="201"/>
  <c r="FI31" i="201"/>
  <c r="FC31" i="201"/>
  <c r="FB31" i="201"/>
  <c r="EZ31" i="201"/>
  <c r="EE31" i="201" s="1"/>
  <c r="EL31" i="201"/>
  <c r="EB31" i="201"/>
  <c r="DY31" i="201"/>
  <c r="DW31" i="201"/>
  <c r="DV31" i="201"/>
  <c r="DS31" i="201"/>
  <c r="DO31" i="201"/>
  <c r="DN31" i="201"/>
  <c r="DM31" i="201"/>
  <c r="DL31" i="201"/>
  <c r="DK31" i="201"/>
  <c r="DJ31" i="201"/>
  <c r="DI31" i="201"/>
  <c r="DH31" i="201"/>
  <c r="FM31" i="201" s="1"/>
  <c r="DG31" i="201"/>
  <c r="DF31" i="201"/>
  <c r="EA31" i="201" s="1"/>
  <c r="DE31" i="201"/>
  <c r="FR31" i="201" s="1"/>
  <c r="DD31" i="201"/>
  <c r="FD31" i="201" s="1"/>
  <c r="DC31" i="201"/>
  <c r="DB31" i="201"/>
  <c r="DA31" i="201"/>
  <c r="CZ31" i="201"/>
  <c r="CY31" i="201"/>
  <c r="CX31" i="201"/>
  <c r="CW31" i="201"/>
  <c r="CV31" i="201"/>
  <c r="CU31" i="201"/>
  <c r="CQ31" i="201"/>
  <c r="CP31" i="201"/>
  <c r="CK31" i="201" s="1"/>
  <c r="CO31" i="201"/>
  <c r="CN31" i="201"/>
  <c r="CM31" i="201"/>
  <c r="CL31" i="201"/>
  <c r="CE31" i="201"/>
  <c r="AX31" i="201"/>
  <c r="AW31" i="201"/>
  <c r="AV31" i="201"/>
  <c r="AK31" i="201"/>
  <c r="AH31" i="201"/>
  <c r="AG31" i="201"/>
  <c r="AF31" i="201"/>
  <c r="AE31" i="201"/>
  <c r="GM30" i="201"/>
  <c r="GL30" i="201"/>
  <c r="GK30" i="201"/>
  <c r="GF30" i="201"/>
  <c r="FU30" i="201"/>
  <c r="FS30" i="201"/>
  <c r="FR30" i="201"/>
  <c r="FN30" i="201"/>
  <c r="FM30" i="201"/>
  <c r="FE30" i="201"/>
  <c r="FF30" i="201" s="1"/>
  <c r="FG30" i="201" s="1"/>
  <c r="Y30" i="201" s="1"/>
  <c r="FD30" i="201"/>
  <c r="FC30" i="201"/>
  <c r="EL30" i="201" s="1"/>
  <c r="EN30" i="201" s="1"/>
  <c r="FB30" i="201"/>
  <c r="EZ30" i="201"/>
  <c r="EX30" i="201"/>
  <c r="EM30" i="201"/>
  <c r="EF30" i="201"/>
  <c r="EE30" i="201"/>
  <c r="EG30" i="201" s="1"/>
  <c r="ED30" i="201"/>
  <c r="EC30" i="201"/>
  <c r="DY30" i="201"/>
  <c r="DX30" i="201"/>
  <c r="F30" i="201" s="1"/>
  <c r="DW30" i="201"/>
  <c r="DV30" i="201"/>
  <c r="DU30" i="201"/>
  <c r="DS30" i="201"/>
  <c r="DP30" i="201"/>
  <c r="DO30" i="201"/>
  <c r="FJ30" i="201" s="1"/>
  <c r="FK30" i="201" s="1"/>
  <c r="FL30" i="201" s="1"/>
  <c r="Z30" i="201" s="1"/>
  <c r="DN30" i="201"/>
  <c r="FI30" i="201" s="1"/>
  <c r="DM30" i="201"/>
  <c r="DL30" i="201"/>
  <c r="DK30" i="201"/>
  <c r="DJ30" i="201"/>
  <c r="DI30" i="201"/>
  <c r="FT30" i="201" s="1"/>
  <c r="DH30" i="201"/>
  <c r="FV30" i="201" s="1"/>
  <c r="DG30" i="201"/>
  <c r="DF30" i="201"/>
  <c r="DE30" i="201"/>
  <c r="FA30" i="201" s="1"/>
  <c r="DD30" i="201"/>
  <c r="DC30" i="201"/>
  <c r="DT30" i="201" s="1"/>
  <c r="DB30" i="201"/>
  <c r="DA30" i="201"/>
  <c r="CZ30" i="201"/>
  <c r="CY30" i="201"/>
  <c r="CX30" i="201"/>
  <c r="FH30" i="201" s="1"/>
  <c r="CW30" i="201"/>
  <c r="CV30" i="201"/>
  <c r="CU30" i="201"/>
  <c r="FQ30" i="201" s="1"/>
  <c r="CQ30" i="201"/>
  <c r="CP30" i="201"/>
  <c r="CK30" i="201" s="1"/>
  <c r="CO30" i="201"/>
  <c r="CN30" i="201"/>
  <c r="CM30" i="201"/>
  <c r="CL30" i="201"/>
  <c r="CE30" i="201"/>
  <c r="CD30" i="201"/>
  <c r="AX30" i="201"/>
  <c r="AW30" i="201"/>
  <c r="AK30" i="201" s="1"/>
  <c r="AV30" i="201"/>
  <c r="AT30" i="201"/>
  <c r="AS30" i="201"/>
  <c r="AO30" i="201"/>
  <c r="AN30" i="201"/>
  <c r="AH30" i="201"/>
  <c r="AG30" i="201"/>
  <c r="AF30" i="201"/>
  <c r="AE30" i="201"/>
  <c r="H30" i="201"/>
  <c r="G30" i="201"/>
  <c r="GL29" i="201"/>
  <c r="GK29" i="201"/>
  <c r="GM29" i="201" s="1"/>
  <c r="GF29" i="201"/>
  <c r="FU29" i="201"/>
  <c r="FT29" i="201"/>
  <c r="FN29" i="201"/>
  <c r="FH29" i="201"/>
  <c r="FE29" i="201"/>
  <c r="FF29" i="201" s="1"/>
  <c r="FG29" i="201" s="1"/>
  <c r="Y29" i="201" s="1"/>
  <c r="FD29" i="201"/>
  <c r="FC29" i="201"/>
  <c r="EZ29" i="201"/>
  <c r="EG29" i="201"/>
  <c r="EE29" i="201"/>
  <c r="EF29" i="201" s="1"/>
  <c r="EJ29" i="201" s="1"/>
  <c r="EA29" i="201"/>
  <c r="DY29" i="201"/>
  <c r="DZ29" i="201" s="1"/>
  <c r="DX29" i="201"/>
  <c r="DW29" i="201"/>
  <c r="DV29" i="201"/>
  <c r="DU29" i="201"/>
  <c r="DS29" i="201"/>
  <c r="DP29" i="201"/>
  <c r="DO29" i="201"/>
  <c r="DN29" i="201"/>
  <c r="FI29" i="201" s="1"/>
  <c r="DM29" i="201"/>
  <c r="DL29" i="201"/>
  <c r="DK29" i="201"/>
  <c r="EL29" i="201" s="1"/>
  <c r="DJ29" i="201"/>
  <c r="DI29" i="201"/>
  <c r="DH29" i="201"/>
  <c r="FM29" i="201" s="1"/>
  <c r="DG29" i="201"/>
  <c r="DF29" i="201"/>
  <c r="ED29" i="201" s="1"/>
  <c r="DE29" i="201"/>
  <c r="FR29" i="201" s="1"/>
  <c r="DD29" i="201"/>
  <c r="DC29" i="201"/>
  <c r="DB29" i="201"/>
  <c r="DA29" i="201"/>
  <c r="CZ29" i="201"/>
  <c r="CY29" i="201"/>
  <c r="CX29" i="201"/>
  <c r="CW29" i="201"/>
  <c r="CV29" i="201"/>
  <c r="CU29" i="201"/>
  <c r="CQ29" i="201"/>
  <c r="CP29" i="201"/>
  <c r="CO29" i="201"/>
  <c r="CN29" i="201"/>
  <c r="CM29" i="201"/>
  <c r="CL29" i="201"/>
  <c r="CK29" i="201"/>
  <c r="AY29" i="201"/>
  <c r="AX29" i="201"/>
  <c r="AW29" i="201"/>
  <c r="AV29" i="201"/>
  <c r="AK29" i="201" s="1"/>
  <c r="AM29" i="201"/>
  <c r="AH29" i="201"/>
  <c r="AG29" i="201"/>
  <c r="AF29" i="201"/>
  <c r="AE29" i="201"/>
  <c r="GM28" i="201"/>
  <c r="GL28" i="201"/>
  <c r="GK28" i="201"/>
  <c r="GF28" i="201"/>
  <c r="FV28" i="201"/>
  <c r="FU28" i="201"/>
  <c r="FR28" i="201"/>
  <c r="FQ28" i="201"/>
  <c r="FI28" i="201"/>
  <c r="FJ28" i="201" s="1"/>
  <c r="FK28" i="201" s="1"/>
  <c r="FL28" i="201" s="1"/>
  <c r="Z28" i="201" s="1"/>
  <c r="FH28" i="201"/>
  <c r="FC28" i="201"/>
  <c r="EZ28" i="201"/>
  <c r="EX28" i="201"/>
  <c r="EC28" i="201"/>
  <c r="FP28" i="201" s="1"/>
  <c r="EB28" i="201"/>
  <c r="EA28" i="201"/>
  <c r="DY28" i="201"/>
  <c r="DU28" i="201"/>
  <c r="DS28" i="201"/>
  <c r="DT28" i="201" s="1"/>
  <c r="DO28" i="201"/>
  <c r="DN28" i="201"/>
  <c r="DM28" i="201"/>
  <c r="DL28" i="201"/>
  <c r="DK28" i="201"/>
  <c r="EL28" i="201" s="1"/>
  <c r="DJ28" i="201"/>
  <c r="DI28" i="201"/>
  <c r="DH28" i="201"/>
  <c r="FM28" i="201" s="1"/>
  <c r="DG28" i="201"/>
  <c r="DF28" i="201"/>
  <c r="ED28" i="201" s="1"/>
  <c r="DE28" i="201"/>
  <c r="DD28" i="201"/>
  <c r="FD28" i="201" s="1"/>
  <c r="DC28" i="201"/>
  <c r="DB28" i="201"/>
  <c r="DA28" i="201"/>
  <c r="CZ28" i="201"/>
  <c r="CY28" i="201"/>
  <c r="FS28" i="201" s="1"/>
  <c r="CX28" i="201"/>
  <c r="CW28" i="201"/>
  <c r="CV28" i="201"/>
  <c r="CU28" i="201"/>
  <c r="EY28" i="201" s="1"/>
  <c r="CQ28" i="201"/>
  <c r="CP28" i="201"/>
  <c r="CO28" i="201"/>
  <c r="CN28" i="201"/>
  <c r="CM28" i="201"/>
  <c r="CL28" i="201"/>
  <c r="CK28" i="201"/>
  <c r="CD28" i="201"/>
  <c r="AX28" i="201"/>
  <c r="AW28" i="201"/>
  <c r="AV28" i="201"/>
  <c r="AK28" i="201"/>
  <c r="AJ28" i="201"/>
  <c r="AH28" i="201"/>
  <c r="AG28" i="201"/>
  <c r="AF28" i="201"/>
  <c r="AE28" i="201"/>
  <c r="GL27" i="201"/>
  <c r="GK27" i="201"/>
  <c r="GF27" i="201"/>
  <c r="FU27" i="201"/>
  <c r="FN27" i="201"/>
  <c r="FI27" i="201"/>
  <c r="FH27" i="201"/>
  <c r="FC27" i="201"/>
  <c r="FA27" i="201"/>
  <c r="EZ27" i="201"/>
  <c r="EE27" i="201" s="1"/>
  <c r="EY27" i="201"/>
  <c r="EX27" i="201"/>
  <c r="EQ27" i="201"/>
  <c r="EN27" i="201"/>
  <c r="EB27" i="201"/>
  <c r="EA27" i="201"/>
  <c r="DZ27" i="201"/>
  <c r="DY27" i="201"/>
  <c r="DX27" i="201"/>
  <c r="F27" i="201" s="1"/>
  <c r="DT27" i="201"/>
  <c r="DS27" i="201"/>
  <c r="DP27" i="201"/>
  <c r="DO27" i="201"/>
  <c r="FJ27" i="201" s="1"/>
  <c r="FK27" i="201" s="1"/>
  <c r="FL27" i="201" s="1"/>
  <c r="Z27" i="201" s="1"/>
  <c r="DN27" i="201"/>
  <c r="DM27" i="201"/>
  <c r="DL27" i="201"/>
  <c r="DK27" i="201"/>
  <c r="EL27" i="201" s="1"/>
  <c r="EM27" i="201" s="1"/>
  <c r="DJ27" i="201"/>
  <c r="DI27" i="201"/>
  <c r="DH27" i="201"/>
  <c r="DG27" i="201"/>
  <c r="DF27" i="201"/>
  <c r="ED27" i="201" s="1"/>
  <c r="DE27" i="201"/>
  <c r="FR27" i="201" s="1"/>
  <c r="DD27" i="201"/>
  <c r="FD27" i="201" s="1"/>
  <c r="FE27" i="201" s="1"/>
  <c r="FF27" i="201" s="1"/>
  <c r="FG27" i="201" s="1"/>
  <c r="Y27" i="201" s="1"/>
  <c r="DC27" i="201"/>
  <c r="DB27" i="201"/>
  <c r="DA27" i="201"/>
  <c r="CZ27" i="201"/>
  <c r="CY27" i="201"/>
  <c r="FS27" i="201" s="1"/>
  <c r="CX27" i="201"/>
  <c r="CW27" i="201"/>
  <c r="CV27" i="201"/>
  <c r="CU27" i="201"/>
  <c r="FQ27" i="201" s="1"/>
  <c r="CQ27" i="201"/>
  <c r="CK27" i="201" s="1"/>
  <c r="CP27" i="201"/>
  <c r="CO27" i="201"/>
  <c r="CN27" i="201"/>
  <c r="CM27" i="201"/>
  <c r="CL27" i="201"/>
  <c r="AY27" i="201"/>
  <c r="AX27" i="201"/>
  <c r="AW27" i="201"/>
  <c r="AV27" i="201"/>
  <c r="AH27" i="201"/>
  <c r="AG27" i="201"/>
  <c r="AF27" i="201"/>
  <c r="AE27" i="201"/>
  <c r="H27" i="201"/>
  <c r="G27" i="201"/>
  <c r="GL26" i="201"/>
  <c r="GK26" i="201"/>
  <c r="GM26" i="201" s="1"/>
  <c r="GF26" i="201"/>
  <c r="FU26" i="201"/>
  <c r="FN26" i="201"/>
  <c r="FM26" i="201"/>
  <c r="FH26" i="201"/>
  <c r="FE26" i="201"/>
  <c r="FF26" i="201" s="1"/>
  <c r="FG26" i="201" s="1"/>
  <c r="Y26" i="201" s="1"/>
  <c r="FD26" i="201"/>
  <c r="FC26" i="201"/>
  <c r="EZ26" i="201"/>
  <c r="EY26" i="201"/>
  <c r="EQ26" i="201"/>
  <c r="CI26" i="201" s="1"/>
  <c r="EN26" i="201"/>
  <c r="ER26" i="201" s="1"/>
  <c r="EM26" i="201"/>
  <c r="EA26" i="201"/>
  <c r="DY26" i="201"/>
  <c r="DX26" i="201"/>
  <c r="DW26" i="201"/>
  <c r="DV26" i="201"/>
  <c r="DU26" i="201"/>
  <c r="DS26" i="201"/>
  <c r="DP26" i="201"/>
  <c r="DO26" i="201"/>
  <c r="DN26" i="201"/>
  <c r="FI26" i="201" s="1"/>
  <c r="DM26" i="201"/>
  <c r="DL26" i="201"/>
  <c r="DK26" i="201"/>
  <c r="EL26" i="201" s="1"/>
  <c r="DJ26" i="201"/>
  <c r="DI26" i="201"/>
  <c r="DH26" i="201"/>
  <c r="FV26" i="201" s="1"/>
  <c r="DG26" i="201"/>
  <c r="DF26" i="201"/>
  <c r="ED26" i="201" s="1"/>
  <c r="DE26" i="201"/>
  <c r="FR26" i="201" s="1"/>
  <c r="DD26" i="201"/>
  <c r="DC26" i="201"/>
  <c r="DB26" i="201"/>
  <c r="DA26" i="201"/>
  <c r="EE26" i="201" s="1"/>
  <c r="CZ26" i="201"/>
  <c r="CY26" i="201"/>
  <c r="CX26" i="201"/>
  <c r="CW26" i="201"/>
  <c r="CV26" i="201"/>
  <c r="CU26" i="201"/>
  <c r="CQ26" i="201"/>
  <c r="CP26" i="201"/>
  <c r="CO26" i="201"/>
  <c r="CN26" i="201"/>
  <c r="CM26" i="201"/>
  <c r="CL26" i="201"/>
  <c r="CK26" i="201"/>
  <c r="AX26" i="201"/>
  <c r="AW26" i="201"/>
  <c r="AV26" i="201"/>
  <c r="AH26" i="201"/>
  <c r="AG26" i="201"/>
  <c r="AF26" i="201"/>
  <c r="AE26" i="201"/>
  <c r="H26" i="201"/>
  <c r="G26" i="201"/>
  <c r="F26" i="201"/>
  <c r="GM25" i="201"/>
  <c r="GL25" i="201"/>
  <c r="GK25" i="201"/>
  <c r="GF25" i="201"/>
  <c r="FV25" i="201"/>
  <c r="FU25" i="201"/>
  <c r="FN25" i="201"/>
  <c r="FM25" i="201"/>
  <c r="FD25" i="201"/>
  <c r="FC25" i="201"/>
  <c r="EL25" i="201" s="1"/>
  <c r="EN25" i="201" s="1"/>
  <c r="EZ25" i="201"/>
  <c r="EY25" i="201"/>
  <c r="EX25" i="201"/>
  <c r="ED25" i="201"/>
  <c r="DZ25" i="201"/>
  <c r="DY25" i="201"/>
  <c r="DX25" i="201"/>
  <c r="DW25" i="201"/>
  <c r="FO25" i="201" s="1"/>
  <c r="DV25" i="201"/>
  <c r="DU25" i="201"/>
  <c r="DS25" i="201"/>
  <c r="DP25" i="201"/>
  <c r="DO25" i="201"/>
  <c r="DN25" i="201"/>
  <c r="FI25" i="201" s="1"/>
  <c r="DM25" i="201"/>
  <c r="DL25" i="201"/>
  <c r="DK25" i="201"/>
  <c r="DJ25" i="201"/>
  <c r="DI25" i="201"/>
  <c r="DH25" i="201"/>
  <c r="DG25" i="201"/>
  <c r="DF25" i="201"/>
  <c r="DE25" i="201"/>
  <c r="DD25" i="201"/>
  <c r="DC25" i="201"/>
  <c r="DB25" i="201"/>
  <c r="DA25" i="201"/>
  <c r="EE25" i="201" s="1"/>
  <c r="CZ25" i="201"/>
  <c r="CY25" i="201"/>
  <c r="CX25" i="201"/>
  <c r="FH25" i="201" s="1"/>
  <c r="CW25" i="201"/>
  <c r="CV25" i="201"/>
  <c r="FQ25" i="201" s="1"/>
  <c r="CU25" i="201"/>
  <c r="CQ25" i="201"/>
  <c r="CP25" i="201"/>
  <c r="CO25" i="201"/>
  <c r="CN25" i="201"/>
  <c r="CM25" i="201"/>
  <c r="CL25" i="201"/>
  <c r="CK25" i="201"/>
  <c r="AX25" i="201"/>
  <c r="AW25" i="201"/>
  <c r="AV25" i="201"/>
  <c r="AH25" i="201"/>
  <c r="AG25" i="201"/>
  <c r="AF25" i="201"/>
  <c r="AE25" i="201"/>
  <c r="F25" i="201"/>
  <c r="GM24" i="201"/>
  <c r="GL24" i="201"/>
  <c r="GK24" i="201"/>
  <c r="GF24" i="201"/>
  <c r="FU24" i="201"/>
  <c r="FS24" i="201"/>
  <c r="FR24" i="201"/>
  <c r="FE24" i="201"/>
  <c r="FF24" i="201" s="1"/>
  <c r="FG24" i="201" s="1"/>
  <c r="Y24" i="201" s="1"/>
  <c r="FD24" i="201"/>
  <c r="FC24" i="201"/>
  <c r="EL24" i="201" s="1"/>
  <c r="EM24" i="201" s="1"/>
  <c r="EQ24" i="201" s="1"/>
  <c r="FB24" i="201"/>
  <c r="EZ24" i="201"/>
  <c r="EX24" i="201"/>
  <c r="EN24" i="201"/>
  <c r="ED24" i="201"/>
  <c r="EC24" i="201"/>
  <c r="DY24" i="201"/>
  <c r="DX24" i="201"/>
  <c r="F24" i="201" s="1"/>
  <c r="DW24" i="201"/>
  <c r="DV24" i="201"/>
  <c r="DU24" i="201"/>
  <c r="DS24" i="201"/>
  <c r="DP24" i="201"/>
  <c r="DO24" i="201"/>
  <c r="DN24" i="201"/>
  <c r="FI24" i="201" s="1"/>
  <c r="DM24" i="201"/>
  <c r="DL24" i="201"/>
  <c r="DK24" i="201"/>
  <c r="DJ24" i="201"/>
  <c r="DI24" i="201"/>
  <c r="FT24" i="201" s="1"/>
  <c r="DH24" i="201"/>
  <c r="FV24" i="201" s="1"/>
  <c r="DG24" i="201"/>
  <c r="DF24" i="201"/>
  <c r="DE24" i="201"/>
  <c r="FA24" i="201" s="1"/>
  <c r="DD24" i="201"/>
  <c r="DC24" i="201"/>
  <c r="FO24" i="201" s="1"/>
  <c r="DB24" i="201"/>
  <c r="DA24" i="201"/>
  <c r="EE24" i="201" s="1"/>
  <c r="EG24" i="201" s="1"/>
  <c r="CZ24" i="201"/>
  <c r="CY24" i="201"/>
  <c r="CX24" i="201"/>
  <c r="FH24" i="201" s="1"/>
  <c r="CW24" i="201"/>
  <c r="CV24" i="201"/>
  <c r="FQ24" i="201" s="1"/>
  <c r="CU24" i="201"/>
  <c r="EY24" i="201" s="1"/>
  <c r="CQ24" i="201"/>
  <c r="CP24" i="201"/>
  <c r="CO24" i="201"/>
  <c r="CN24" i="201"/>
  <c r="CM24" i="201"/>
  <c r="CL24" i="201"/>
  <c r="CD24" i="201"/>
  <c r="AX24" i="201"/>
  <c r="AW24" i="201"/>
  <c r="AK24" i="201" s="1"/>
  <c r="AV24" i="201"/>
  <c r="AN24" i="201"/>
  <c r="AH24" i="201"/>
  <c r="AG24" i="201"/>
  <c r="AF24" i="201"/>
  <c r="AE24" i="201"/>
  <c r="H24" i="201"/>
  <c r="G24" i="201"/>
  <c r="GL23" i="201"/>
  <c r="GK23" i="201"/>
  <c r="GM23" i="201" s="1"/>
  <c r="GF23" i="201"/>
  <c r="FU23" i="201"/>
  <c r="FT23" i="201"/>
  <c r="FN23" i="201"/>
  <c r="FH23" i="201"/>
  <c r="FD23" i="201"/>
  <c r="FE23" i="201" s="1"/>
  <c r="FF23" i="201" s="1"/>
  <c r="FG23" i="201" s="1"/>
  <c r="Y23" i="201" s="1"/>
  <c r="FC23" i="201"/>
  <c r="EZ23" i="201"/>
  <c r="EE23" i="201"/>
  <c r="EA23" i="201"/>
  <c r="DY23" i="201"/>
  <c r="DZ23" i="201" s="1"/>
  <c r="DX23" i="201"/>
  <c r="DW23" i="201"/>
  <c r="DV23" i="201"/>
  <c r="DU23" i="201"/>
  <c r="DS23" i="201"/>
  <c r="FO23" i="201" s="1"/>
  <c r="DP23" i="201"/>
  <c r="DO23" i="201"/>
  <c r="DN23" i="201"/>
  <c r="FI23" i="201" s="1"/>
  <c r="DM23" i="201"/>
  <c r="DL23" i="201"/>
  <c r="DK23" i="201"/>
  <c r="EL23" i="201" s="1"/>
  <c r="DJ23" i="201"/>
  <c r="DI23" i="201"/>
  <c r="DH23" i="201"/>
  <c r="FM23" i="201" s="1"/>
  <c r="DG23" i="201"/>
  <c r="DF23" i="201"/>
  <c r="ED23" i="201" s="1"/>
  <c r="DE23" i="201"/>
  <c r="FR23" i="201" s="1"/>
  <c r="DD23" i="201"/>
  <c r="DC23" i="201"/>
  <c r="DB23" i="201"/>
  <c r="DA23" i="201"/>
  <c r="CZ23" i="201"/>
  <c r="CY23" i="201"/>
  <c r="CX23" i="201"/>
  <c r="CW23" i="201"/>
  <c r="CV23" i="201"/>
  <c r="CU23" i="201"/>
  <c r="CQ23" i="201"/>
  <c r="CP23" i="201"/>
  <c r="CO23" i="201"/>
  <c r="CN23" i="201"/>
  <c r="CM23" i="201"/>
  <c r="CL23" i="201"/>
  <c r="CK23" i="201"/>
  <c r="AY23" i="201"/>
  <c r="AX23" i="201"/>
  <c r="AW23" i="201"/>
  <c r="AV23" i="201"/>
  <c r="AK23" i="201" s="1"/>
  <c r="AH23" i="201"/>
  <c r="AG23" i="201"/>
  <c r="AF23" i="201"/>
  <c r="AE23" i="201"/>
  <c r="H23" i="201"/>
  <c r="G23" i="201"/>
  <c r="F23" i="201"/>
  <c r="GM22" i="201"/>
  <c r="GL22" i="201"/>
  <c r="GK22" i="201"/>
  <c r="GF22" i="201"/>
  <c r="FS22" i="201"/>
  <c r="FO22" i="201"/>
  <c r="FN22" i="201"/>
  <c r="FM22" i="201"/>
  <c r="FE22" i="201"/>
  <c r="FF22" i="201" s="1"/>
  <c r="FG22" i="201" s="1"/>
  <c r="Y22" i="201" s="1"/>
  <c r="FD22" i="201"/>
  <c r="FC22" i="201"/>
  <c r="EL22" i="201" s="1"/>
  <c r="EN22" i="201" s="1"/>
  <c r="ER22" i="201" s="1"/>
  <c r="CI22" i="201" s="1"/>
  <c r="EZ22" i="201"/>
  <c r="EY22" i="201"/>
  <c r="EX22" i="201"/>
  <c r="EM22" i="201"/>
  <c r="EQ22" i="201" s="1"/>
  <c r="ED22" i="201"/>
  <c r="DZ22" i="201"/>
  <c r="DY22" i="201"/>
  <c r="DX22" i="201"/>
  <c r="F22" i="201" s="1"/>
  <c r="DW22" i="201"/>
  <c r="DV22" i="201"/>
  <c r="DU22" i="201"/>
  <c r="DS22" i="201"/>
  <c r="DP22" i="201"/>
  <c r="DO22" i="201"/>
  <c r="DN22" i="201"/>
  <c r="FI22" i="201" s="1"/>
  <c r="DM22" i="201"/>
  <c r="DL22" i="201"/>
  <c r="DK22" i="201"/>
  <c r="DJ22" i="201"/>
  <c r="DI22" i="201"/>
  <c r="DH22" i="201"/>
  <c r="FV22" i="201" s="1"/>
  <c r="DG22" i="201"/>
  <c r="DF22" i="201"/>
  <c r="DE22" i="201"/>
  <c r="DD22" i="201"/>
  <c r="DC22" i="201"/>
  <c r="DB22" i="201"/>
  <c r="DA22" i="201"/>
  <c r="EE22" i="201" s="1"/>
  <c r="CZ22" i="201"/>
  <c r="CY22" i="201"/>
  <c r="CX22" i="201"/>
  <c r="FH22" i="201" s="1"/>
  <c r="CW22" i="201"/>
  <c r="CV22" i="201"/>
  <c r="FQ22" i="201" s="1"/>
  <c r="CU22" i="201"/>
  <c r="CQ22" i="201"/>
  <c r="CP22" i="201"/>
  <c r="CO22" i="201"/>
  <c r="CN22" i="201"/>
  <c r="CM22" i="201"/>
  <c r="CL22" i="201"/>
  <c r="CK22" i="201"/>
  <c r="AX22" i="201"/>
  <c r="AW22" i="201"/>
  <c r="AV22" i="201"/>
  <c r="AK22" i="201" s="1"/>
  <c r="AL22" i="201"/>
  <c r="AH22" i="201"/>
  <c r="AG22" i="201"/>
  <c r="AF22" i="201"/>
  <c r="AE22" i="201"/>
  <c r="H22" i="201"/>
  <c r="G22" i="201"/>
  <c r="GM21" i="201"/>
  <c r="GL21" i="201"/>
  <c r="GK21" i="201"/>
  <c r="GF21" i="201"/>
  <c r="FV21" i="201"/>
  <c r="FR21" i="201"/>
  <c r="FN21" i="201"/>
  <c r="FD21" i="201"/>
  <c r="FC21" i="201"/>
  <c r="FB21" i="201"/>
  <c r="EZ21" i="201"/>
  <c r="EX21" i="201"/>
  <c r="EL21" i="201"/>
  <c r="EE21" i="201"/>
  <c r="ED21" i="201"/>
  <c r="EC21" i="201"/>
  <c r="DY21" i="201"/>
  <c r="DX21" i="201"/>
  <c r="F21" i="201" s="1"/>
  <c r="DW21" i="201"/>
  <c r="DV21" i="201"/>
  <c r="DU21" i="201"/>
  <c r="DS21" i="201"/>
  <c r="DP21" i="201"/>
  <c r="DO21" i="201"/>
  <c r="DN21" i="201"/>
  <c r="FI21" i="201" s="1"/>
  <c r="DM21" i="201"/>
  <c r="DL21" i="201"/>
  <c r="DK21" i="201"/>
  <c r="DJ21" i="201"/>
  <c r="DI21" i="201"/>
  <c r="DH21" i="201"/>
  <c r="FM21" i="201" s="1"/>
  <c r="DG21" i="201"/>
  <c r="DF21" i="201"/>
  <c r="DE21" i="201"/>
  <c r="FA21" i="201" s="1"/>
  <c r="DD21" i="201"/>
  <c r="DC21" i="201"/>
  <c r="DB21" i="201"/>
  <c r="DA21" i="201"/>
  <c r="CZ21" i="201"/>
  <c r="CY21" i="201"/>
  <c r="FS21" i="201" s="1"/>
  <c r="CX21" i="201"/>
  <c r="CW21" i="201"/>
  <c r="CV21" i="201"/>
  <c r="FQ21" i="201" s="1"/>
  <c r="CU21" i="201"/>
  <c r="EY21" i="201" s="1"/>
  <c r="CQ21" i="201"/>
  <c r="CP21" i="201"/>
  <c r="CK21" i="201" s="1"/>
  <c r="CO21" i="201"/>
  <c r="CN21" i="201"/>
  <c r="CM21" i="201"/>
  <c r="CL21" i="201"/>
  <c r="CE21" i="201"/>
  <c r="CD21" i="201"/>
  <c r="AX21" i="201"/>
  <c r="AW21" i="201"/>
  <c r="AV21" i="201"/>
  <c r="AS21" i="201"/>
  <c r="AO21" i="201"/>
  <c r="AN21" i="201"/>
  <c r="AM21" i="201"/>
  <c r="AK21" i="201"/>
  <c r="AH21" i="201"/>
  <c r="AG21" i="201"/>
  <c r="AF21" i="201"/>
  <c r="AE21" i="201"/>
  <c r="G21" i="201"/>
  <c r="GM20" i="201"/>
  <c r="GL20" i="201"/>
  <c r="GK20" i="201"/>
  <c r="GF20" i="201"/>
  <c r="FT20" i="201"/>
  <c r="FJ20" i="201"/>
  <c r="FK20" i="201" s="1"/>
  <c r="FL20" i="201" s="1"/>
  <c r="Z20" i="201" s="1"/>
  <c r="FI20" i="201"/>
  <c r="FC20" i="201"/>
  <c r="EZ20" i="201"/>
  <c r="EM20" i="201"/>
  <c r="EL20" i="201"/>
  <c r="EN20" i="201" s="1"/>
  <c r="EK20" i="201"/>
  <c r="EJ20" i="201"/>
  <c r="CH20" i="201" s="1"/>
  <c r="EF20" i="201"/>
  <c r="EE20" i="201"/>
  <c r="EG20" i="201" s="1"/>
  <c r="DY20" i="201"/>
  <c r="DT20" i="201"/>
  <c r="DS20" i="201"/>
  <c r="DP20" i="201"/>
  <c r="DO20" i="201"/>
  <c r="FE20" i="201" s="1"/>
  <c r="FF20" i="201" s="1"/>
  <c r="FG20" i="201" s="1"/>
  <c r="Y20" i="201" s="1"/>
  <c r="DN20" i="201"/>
  <c r="DM20" i="201"/>
  <c r="DL20" i="201"/>
  <c r="DK20" i="201"/>
  <c r="DJ20" i="201"/>
  <c r="DI20" i="201"/>
  <c r="DH20" i="201"/>
  <c r="DG20" i="201"/>
  <c r="DF20" i="201"/>
  <c r="DE20" i="201"/>
  <c r="DD20" i="201"/>
  <c r="FD20" i="201" s="1"/>
  <c r="DC20" i="201"/>
  <c r="DB20" i="201"/>
  <c r="DA20" i="201"/>
  <c r="CZ20" i="201"/>
  <c r="CY20" i="201"/>
  <c r="CX20" i="201"/>
  <c r="CW20" i="201"/>
  <c r="CV20" i="201"/>
  <c r="DX20" i="201" s="1"/>
  <c r="CU20" i="201"/>
  <c r="EY20" i="201" s="1"/>
  <c r="CQ20" i="201"/>
  <c r="CP20" i="201"/>
  <c r="CO20" i="201"/>
  <c r="CN20" i="201"/>
  <c r="CM20" i="201"/>
  <c r="CL20" i="201"/>
  <c r="CE20" i="201"/>
  <c r="AX20" i="201"/>
  <c r="AW20" i="201"/>
  <c r="AV20" i="201"/>
  <c r="AK20" i="201" s="1"/>
  <c r="AH20" i="201"/>
  <c r="AG20" i="201"/>
  <c r="AF20" i="201"/>
  <c r="AE20" i="201"/>
  <c r="GM19" i="201"/>
  <c r="GL19" i="201"/>
  <c r="GK19" i="201"/>
  <c r="GF19" i="201"/>
  <c r="FV19" i="201"/>
  <c r="FT19" i="201"/>
  <c r="FS19" i="201"/>
  <c r="FR19" i="201"/>
  <c r="FI19" i="201"/>
  <c r="FJ19" i="201" s="1"/>
  <c r="FK19" i="201" s="1"/>
  <c r="FL19" i="201" s="1"/>
  <c r="Z19" i="201" s="1"/>
  <c r="FH19" i="201"/>
  <c r="FD19" i="201"/>
  <c r="FC19" i="201"/>
  <c r="EL19" i="201" s="1"/>
  <c r="FB19" i="201"/>
  <c r="FA19" i="201"/>
  <c r="EZ19" i="201"/>
  <c r="EE19" i="201"/>
  <c r="ED19" i="201"/>
  <c r="EC19" i="201"/>
  <c r="DY19" i="201"/>
  <c r="DV19" i="201"/>
  <c r="DU19" i="201"/>
  <c r="DS19" i="201"/>
  <c r="DT19" i="201" s="1"/>
  <c r="DO19" i="201"/>
  <c r="DN19" i="201"/>
  <c r="DM19" i="201"/>
  <c r="DL19" i="201"/>
  <c r="DK19" i="201"/>
  <c r="DJ19" i="201"/>
  <c r="DI19" i="201"/>
  <c r="DH19" i="201"/>
  <c r="FM19" i="201" s="1"/>
  <c r="DG19" i="201"/>
  <c r="DF19" i="201"/>
  <c r="FP19" i="201" s="1"/>
  <c r="DE19" i="201"/>
  <c r="DD19" i="201"/>
  <c r="DC19" i="201"/>
  <c r="DB19" i="201"/>
  <c r="DA19" i="201"/>
  <c r="CZ19" i="201"/>
  <c r="CY19" i="201"/>
  <c r="CX19" i="201"/>
  <c r="FU19" i="201" s="1"/>
  <c r="CW19" i="201"/>
  <c r="CV19" i="201"/>
  <c r="CU19" i="201"/>
  <c r="CQ19" i="201"/>
  <c r="CP19" i="201"/>
  <c r="CK19" i="201" s="1"/>
  <c r="CO19" i="201"/>
  <c r="CN19" i="201"/>
  <c r="CM19" i="201"/>
  <c r="CL19" i="201"/>
  <c r="CE19" i="201"/>
  <c r="CD19" i="201"/>
  <c r="AY19" i="201"/>
  <c r="AX19" i="201"/>
  <c r="AW19" i="201"/>
  <c r="AV19" i="201"/>
  <c r="AS19" i="201"/>
  <c r="AM19" i="201"/>
  <c r="AL19" i="201"/>
  <c r="AK19" i="201"/>
  <c r="AJ19" i="201"/>
  <c r="AH19" i="201"/>
  <c r="AG19" i="201"/>
  <c r="AF19" i="201"/>
  <c r="AE19" i="201"/>
  <c r="GL18" i="201"/>
  <c r="GM18" i="201" s="1"/>
  <c r="GK18" i="201"/>
  <c r="GF18" i="201"/>
  <c r="FV18" i="201"/>
  <c r="FS18" i="201"/>
  <c r="FJ18" i="201"/>
  <c r="FK18" i="201" s="1"/>
  <c r="FL18" i="201" s="1"/>
  <c r="Z18" i="201" s="1"/>
  <c r="FC18" i="201"/>
  <c r="FA18" i="201"/>
  <c r="EZ18" i="201"/>
  <c r="EE18" i="201" s="1"/>
  <c r="EY18" i="201"/>
  <c r="EL18" i="201"/>
  <c r="EB18" i="201"/>
  <c r="EA18" i="201"/>
  <c r="DY18" i="201"/>
  <c r="DT18" i="201"/>
  <c r="DS18" i="201"/>
  <c r="DO18" i="201"/>
  <c r="DN18" i="201"/>
  <c r="FI18" i="201" s="1"/>
  <c r="DM18" i="201"/>
  <c r="DL18" i="201"/>
  <c r="DK18" i="201"/>
  <c r="DJ18" i="201"/>
  <c r="DI18" i="201"/>
  <c r="FT18" i="201" s="1"/>
  <c r="DH18" i="201"/>
  <c r="FM18" i="201" s="1"/>
  <c r="DG18" i="201"/>
  <c r="DF18" i="201"/>
  <c r="DE18" i="201"/>
  <c r="DD18" i="201"/>
  <c r="FD18" i="201" s="1"/>
  <c r="FE18" i="201" s="1"/>
  <c r="FF18" i="201" s="1"/>
  <c r="FG18" i="201" s="1"/>
  <c r="Y18" i="201" s="1"/>
  <c r="DC18" i="201"/>
  <c r="DB18" i="201"/>
  <c r="DA18" i="201"/>
  <c r="CZ18" i="201"/>
  <c r="CY18" i="201"/>
  <c r="CX18" i="201"/>
  <c r="CW18" i="201"/>
  <c r="CV18" i="201"/>
  <c r="CU18" i="201"/>
  <c r="EX18" i="201" s="1"/>
  <c r="CQ18" i="201"/>
  <c r="CP18" i="201"/>
  <c r="CO18" i="201"/>
  <c r="CN18" i="201"/>
  <c r="CM18" i="201"/>
  <c r="CL18" i="201"/>
  <c r="CK18" i="201"/>
  <c r="CE18" i="201"/>
  <c r="CD18" i="201"/>
  <c r="AY18" i="201"/>
  <c r="AX18" i="201"/>
  <c r="AW18" i="201"/>
  <c r="AV18" i="201"/>
  <c r="AL18" i="201"/>
  <c r="AK18" i="201"/>
  <c r="AJ18" i="201"/>
  <c r="AH18" i="201"/>
  <c r="AG18" i="201"/>
  <c r="AF18" i="201"/>
  <c r="AE18" i="201"/>
  <c r="GL17" i="201"/>
  <c r="GK17" i="201"/>
  <c r="GM17" i="201" s="1"/>
  <c r="GF17" i="201"/>
  <c r="FV17" i="201"/>
  <c r="FU17" i="201"/>
  <c r="FJ17" i="201"/>
  <c r="FK17" i="201" s="1"/>
  <c r="FL17" i="201" s="1"/>
  <c r="Z17" i="201" s="1"/>
  <c r="FI17" i="201"/>
  <c r="FH17" i="201"/>
  <c r="FC17" i="201"/>
  <c r="EZ17" i="201"/>
  <c r="EE17" i="201" s="1"/>
  <c r="EC17" i="201"/>
  <c r="EB17" i="201"/>
  <c r="EA17" i="201"/>
  <c r="DY17" i="201"/>
  <c r="DZ17" i="201" s="1"/>
  <c r="DU17" i="201"/>
  <c r="DS17" i="201"/>
  <c r="DO17" i="201"/>
  <c r="DN17" i="201"/>
  <c r="DM17" i="201"/>
  <c r="DL17" i="201"/>
  <c r="DK17" i="201"/>
  <c r="EL17" i="201" s="1"/>
  <c r="DJ17" i="201"/>
  <c r="DI17" i="201"/>
  <c r="DH17" i="201"/>
  <c r="FM17" i="201" s="1"/>
  <c r="DG17" i="201"/>
  <c r="DF17" i="201"/>
  <c r="ED17" i="201" s="1"/>
  <c r="DE17" i="201"/>
  <c r="DD17" i="201"/>
  <c r="FD17" i="201" s="1"/>
  <c r="FE17" i="201" s="1"/>
  <c r="FF17" i="201" s="1"/>
  <c r="FG17" i="201" s="1"/>
  <c r="Y17" i="201" s="1"/>
  <c r="DC17" i="201"/>
  <c r="DB17" i="201"/>
  <c r="DA17" i="201"/>
  <c r="CZ17" i="201"/>
  <c r="CY17" i="201"/>
  <c r="FS17" i="201" s="1"/>
  <c r="CX17" i="201"/>
  <c r="CW17" i="201"/>
  <c r="CV17" i="201"/>
  <c r="CU17" i="201"/>
  <c r="CQ17" i="201"/>
  <c r="CP17" i="201"/>
  <c r="CO17" i="201"/>
  <c r="CN17" i="201"/>
  <c r="CM17" i="201"/>
  <c r="CL17" i="201"/>
  <c r="CK17" i="201"/>
  <c r="CD17" i="201"/>
  <c r="AY17" i="201"/>
  <c r="AX17" i="201"/>
  <c r="AW17" i="201"/>
  <c r="AV17" i="201"/>
  <c r="AO17" i="201"/>
  <c r="AK17" i="201"/>
  <c r="AJ17" i="201"/>
  <c r="AH17" i="201"/>
  <c r="AG17" i="201"/>
  <c r="AF17" i="201"/>
  <c r="AE17" i="201"/>
  <c r="GL16" i="201"/>
  <c r="GK16" i="201"/>
  <c r="GF16" i="201"/>
  <c r="FU16" i="201"/>
  <c r="FN16" i="201"/>
  <c r="FI16" i="201"/>
  <c r="FH16" i="201"/>
  <c r="FE16" i="201"/>
  <c r="FF16" i="201" s="1"/>
  <c r="FG16" i="201" s="1"/>
  <c r="Y16" i="201" s="1"/>
  <c r="FC16" i="201"/>
  <c r="FA16" i="201"/>
  <c r="EZ16" i="201"/>
  <c r="EY16" i="201"/>
  <c r="EX16" i="201"/>
  <c r="EQ16" i="201"/>
  <c r="EN16" i="201"/>
  <c r="EB16" i="201"/>
  <c r="EA16" i="201"/>
  <c r="DZ16" i="201"/>
  <c r="DY16" i="201"/>
  <c r="DT16" i="201"/>
  <c r="DS16" i="201"/>
  <c r="DP16" i="201"/>
  <c r="DO16" i="201"/>
  <c r="DN16" i="201"/>
  <c r="DM16" i="201"/>
  <c r="DL16" i="201"/>
  <c r="DK16" i="201"/>
  <c r="EL16" i="201" s="1"/>
  <c r="EM16" i="201" s="1"/>
  <c r="DJ16" i="201"/>
  <c r="DI16" i="201"/>
  <c r="DH16" i="201"/>
  <c r="FV16" i="201" s="1"/>
  <c r="DG16" i="201"/>
  <c r="DF16" i="201"/>
  <c r="ED16" i="201" s="1"/>
  <c r="DE16" i="201"/>
  <c r="FR16" i="201" s="1"/>
  <c r="DD16" i="201"/>
  <c r="FD16" i="201" s="1"/>
  <c r="DC16" i="201"/>
  <c r="DB16" i="201"/>
  <c r="DA16" i="201"/>
  <c r="CZ16" i="201"/>
  <c r="CY16" i="201"/>
  <c r="FS16" i="201" s="1"/>
  <c r="CX16" i="201"/>
  <c r="CW16" i="201"/>
  <c r="CV16" i="201"/>
  <c r="CU16" i="201"/>
  <c r="FQ16" i="201" s="1"/>
  <c r="CQ16" i="201"/>
  <c r="CP16" i="201"/>
  <c r="CO16" i="201"/>
  <c r="CN16" i="201"/>
  <c r="CM16" i="201"/>
  <c r="CL16" i="201"/>
  <c r="CK16" i="201"/>
  <c r="AY16" i="201"/>
  <c r="AX16" i="201"/>
  <c r="AW16" i="201"/>
  <c r="AV16" i="201"/>
  <c r="AH16" i="201"/>
  <c r="AG16" i="201"/>
  <c r="AF16" i="201"/>
  <c r="AE16" i="201"/>
  <c r="HT14" i="201"/>
  <c r="HS14" i="201"/>
  <c r="HL14" i="201"/>
  <c r="HK14" i="201"/>
  <c r="AA12" i="201"/>
  <c r="AB12" i="201" s="1"/>
  <c r="HY11" i="201"/>
  <c r="HZ11" i="201" s="1"/>
  <c r="IA11" i="201" s="1"/>
  <c r="IB11" i="201" s="1"/>
  <c r="IC11" i="201" s="1"/>
  <c r="ID11" i="201" s="1"/>
  <c r="IE11" i="201" s="1"/>
  <c r="IF11" i="201" s="1"/>
  <c r="HX11" i="201"/>
  <c r="HK11" i="201"/>
  <c r="HL11" i="201" s="1"/>
  <c r="HM11" i="201" s="1"/>
  <c r="HN11" i="201" s="1"/>
  <c r="HO11" i="201" s="1"/>
  <c r="HP11" i="201" s="1"/>
  <c r="HQ11" i="201" s="1"/>
  <c r="HR11" i="201" s="1"/>
  <c r="HS11" i="201" s="1"/>
  <c r="HT11" i="201" s="1"/>
  <c r="HU11" i="201" s="1"/>
  <c r="HV11" i="201" s="1"/>
  <c r="HW11" i="201" s="1"/>
  <c r="HB11" i="201"/>
  <c r="HC11" i="201" s="1"/>
  <c r="HD11" i="201" s="1"/>
  <c r="HE11" i="201" s="1"/>
  <c r="HF11" i="201" s="1"/>
  <c r="HG11" i="201" s="1"/>
  <c r="HH11" i="201" s="1"/>
  <c r="HI11" i="201" s="1"/>
  <c r="HJ11" i="201" s="1"/>
  <c r="Z10" i="201"/>
  <c r="S10" i="201"/>
  <c r="C10" i="201"/>
  <c r="DN9" i="201"/>
  <c r="DM9" i="201"/>
  <c r="DL9" i="201"/>
  <c r="DK9" i="201"/>
  <c r="DJ9" i="201"/>
  <c r="DI9" i="201"/>
  <c r="DH9" i="201"/>
  <c r="DG9" i="201"/>
  <c r="S9" i="201"/>
  <c r="C9" i="201"/>
  <c r="DN8" i="201"/>
  <c r="DM8" i="201"/>
  <c r="DL8" i="201"/>
  <c r="DK8" i="201"/>
  <c r="DJ8" i="201"/>
  <c r="DI8" i="201"/>
  <c r="DH8" i="201"/>
  <c r="DG8" i="201"/>
  <c r="DN7" i="201"/>
  <c r="DM7" i="201"/>
  <c r="DL7" i="201"/>
  <c r="DK7" i="201"/>
  <c r="DJ7" i="201"/>
  <c r="DI7" i="201"/>
  <c r="DH7" i="201"/>
  <c r="DG7" i="201"/>
  <c r="DN6" i="201"/>
  <c r="DM6" i="201"/>
  <c r="DL6" i="201"/>
  <c r="DK6" i="201"/>
  <c r="DJ6" i="201"/>
  <c r="DI6" i="201"/>
  <c r="DH6" i="201"/>
  <c r="DG6" i="201"/>
  <c r="DC6" i="201"/>
  <c r="DB6" i="201"/>
  <c r="DA6" i="201"/>
  <c r="CZ6" i="201"/>
  <c r="CY6" i="201"/>
  <c r="CX6" i="201"/>
  <c r="CW6" i="201"/>
  <c r="CV6" i="201"/>
  <c r="Y6" i="201"/>
  <c r="M6" i="201"/>
  <c r="DN5" i="201"/>
  <c r="DM5" i="201"/>
  <c r="DL5" i="201"/>
  <c r="DK5" i="201"/>
  <c r="DJ5" i="201"/>
  <c r="DI5" i="201"/>
  <c r="DH5" i="201"/>
  <c r="DG5" i="201"/>
  <c r="DC5" i="201"/>
  <c r="DB5" i="201"/>
  <c r="DA5" i="201"/>
  <c r="CZ5" i="201"/>
  <c r="CY5" i="201"/>
  <c r="CX5" i="201"/>
  <c r="AM54" i="201" s="1"/>
  <c r="CW5" i="201"/>
  <c r="AN52" i="201" s="1"/>
  <c r="CV5" i="201"/>
  <c r="DN4" i="201"/>
  <c r="DM4" i="201"/>
  <c r="DL4" i="201"/>
  <c r="DK4" i="201"/>
  <c r="DJ4" i="201"/>
  <c r="DI4" i="201"/>
  <c r="DH4" i="201"/>
  <c r="DG4" i="201"/>
  <c r="DC4" i="201"/>
  <c r="DB4" i="201"/>
  <c r="AL53" i="201" s="1"/>
  <c r="DA4" i="201"/>
  <c r="CZ4" i="201"/>
  <c r="CY4" i="201"/>
  <c r="CX4" i="201"/>
  <c r="AM49" i="201" s="1"/>
  <c r="CW4" i="201"/>
  <c r="AN49" i="201" s="1"/>
  <c r="CV4" i="201"/>
  <c r="P4" i="201"/>
  <c r="DN3" i="201"/>
  <c r="DM3" i="201"/>
  <c r="DL3" i="201"/>
  <c r="DK3" i="201"/>
  <c r="DJ3" i="201"/>
  <c r="DI3" i="201"/>
  <c r="DH3" i="201"/>
  <c r="DG3" i="201"/>
  <c r="DN2" i="201"/>
  <c r="DM2" i="201"/>
  <c r="DL2" i="201"/>
  <c r="DK2" i="201"/>
  <c r="DJ2" i="201"/>
  <c r="DI2" i="201"/>
  <c r="AQ34" i="201" s="1"/>
  <c r="DH2" i="201"/>
  <c r="DG2" i="201"/>
  <c r="DD2" i="201"/>
  <c r="DB2" i="201"/>
  <c r="CZ2" i="201"/>
  <c r="CX2" i="201"/>
  <c r="P2" i="201"/>
  <c r="HA1" i="201"/>
  <c r="DQ1" i="201"/>
  <c r="DD1" i="201"/>
  <c r="DT39" i="201" s="1"/>
  <c r="CX1" i="201"/>
  <c r="CY1" i="201" s="1"/>
  <c r="AE1" i="201"/>
  <c r="AY42" i="201" s="1"/>
  <c r="AD1" i="201"/>
  <c r="P1" i="201"/>
  <c r="EO104" i="200"/>
  <c r="EN104" i="200"/>
  <c r="EM104" i="200"/>
  <c r="EO103" i="200"/>
  <c r="EN103" i="200"/>
  <c r="EM103" i="200"/>
  <c r="EO102" i="200"/>
  <c r="EN102" i="200"/>
  <c r="EM102" i="200"/>
  <c r="EO101" i="200"/>
  <c r="EN101" i="200"/>
  <c r="EM101" i="200"/>
  <c r="EO100" i="200"/>
  <c r="EN100" i="200"/>
  <c r="EM100" i="200"/>
  <c r="EO99" i="200"/>
  <c r="EN99" i="200"/>
  <c r="EM99" i="200"/>
  <c r="EO98" i="200"/>
  <c r="EN98" i="200"/>
  <c r="EM98" i="200"/>
  <c r="EO97" i="200"/>
  <c r="EN97" i="200"/>
  <c r="EM97" i="200"/>
  <c r="EO96" i="200"/>
  <c r="EN96" i="200"/>
  <c r="EM96" i="200"/>
  <c r="EO95" i="200"/>
  <c r="EN95" i="200"/>
  <c r="EM95" i="200"/>
  <c r="EO94" i="200"/>
  <c r="EN94" i="200"/>
  <c r="EM94" i="200"/>
  <c r="EO93" i="200"/>
  <c r="EN93" i="200"/>
  <c r="EM93" i="200"/>
  <c r="EO92" i="200"/>
  <c r="EN92" i="200"/>
  <c r="EM92" i="200"/>
  <c r="EO91" i="200"/>
  <c r="EN91" i="200"/>
  <c r="EM91" i="200"/>
  <c r="EO90" i="200"/>
  <c r="EN90" i="200"/>
  <c r="EM90" i="200"/>
  <c r="EO89" i="200"/>
  <c r="EN89" i="200"/>
  <c r="EM89" i="200"/>
  <c r="EO88" i="200"/>
  <c r="EN88" i="200"/>
  <c r="EM88" i="200"/>
  <c r="EO87" i="200"/>
  <c r="EN87" i="200"/>
  <c r="EM87" i="200"/>
  <c r="EO86" i="200"/>
  <c r="EN86" i="200"/>
  <c r="EM86" i="200"/>
  <c r="EO85" i="200"/>
  <c r="EN85" i="200"/>
  <c r="EM85" i="200"/>
  <c r="EO84" i="200"/>
  <c r="EN84" i="200"/>
  <c r="EM84" i="200"/>
  <c r="EO83" i="200"/>
  <c r="EN83" i="200"/>
  <c r="EM83" i="200"/>
  <c r="EO82" i="200"/>
  <c r="EN82" i="200"/>
  <c r="EM82" i="200"/>
  <c r="EO81" i="200"/>
  <c r="EN81" i="200"/>
  <c r="EM81" i="200"/>
  <c r="EO80" i="200"/>
  <c r="EN80" i="200"/>
  <c r="EM80" i="200"/>
  <c r="EJ80" i="200"/>
  <c r="EL80" i="200" s="1"/>
  <c r="EO79" i="200"/>
  <c r="EN79" i="200"/>
  <c r="EM79" i="200"/>
  <c r="EO78" i="200"/>
  <c r="EN78" i="200"/>
  <c r="EM78" i="200"/>
  <c r="EO77" i="200"/>
  <c r="EN77" i="200"/>
  <c r="EM77" i="200"/>
  <c r="EJ77" i="200"/>
  <c r="EO76" i="200"/>
  <c r="EN76" i="200"/>
  <c r="EM76" i="200"/>
  <c r="EO75" i="200"/>
  <c r="EN75" i="200"/>
  <c r="EM75" i="200"/>
  <c r="AY57" i="200"/>
  <c r="AW57" i="200"/>
  <c r="AR57" i="200"/>
  <c r="AA57" i="200"/>
  <c r="Z57" i="200"/>
  <c r="Y57" i="200"/>
  <c r="X57" i="200"/>
  <c r="W57" i="200"/>
  <c r="V57" i="200"/>
  <c r="AT57" i="200" s="1"/>
  <c r="U57" i="200"/>
  <c r="T57" i="200"/>
  <c r="S57" i="200"/>
  <c r="R57" i="200"/>
  <c r="Q57" i="200"/>
  <c r="P57" i="200"/>
  <c r="O57" i="200"/>
  <c r="N57" i="200"/>
  <c r="M57" i="200"/>
  <c r="L57" i="200"/>
  <c r="K57" i="200"/>
  <c r="J57" i="200"/>
  <c r="I57" i="200"/>
  <c r="H57" i="200"/>
  <c r="G57" i="200"/>
  <c r="F57" i="200"/>
  <c r="E57" i="200"/>
  <c r="D57" i="200"/>
  <c r="C57" i="200"/>
  <c r="B57" i="200"/>
  <c r="A57" i="200"/>
  <c r="AK54" i="200"/>
  <c r="AN53" i="200"/>
  <c r="AK52" i="200"/>
  <c r="AN49" i="200"/>
  <c r="AM49" i="200"/>
  <c r="AK49" i="200"/>
  <c r="GD45" i="200"/>
  <c r="GC45" i="200"/>
  <c r="GB45" i="200"/>
  <c r="FV45" i="200"/>
  <c r="FU45" i="200"/>
  <c r="FR45" i="200"/>
  <c r="FN45" i="200"/>
  <c r="FI45" i="200"/>
  <c r="FJ45" i="200" s="1"/>
  <c r="FK45" i="200" s="1"/>
  <c r="FL45" i="200" s="1"/>
  <c r="Z45" i="200" s="1"/>
  <c r="FH45" i="200"/>
  <c r="FF45" i="200"/>
  <c r="FG45" i="200" s="1"/>
  <c r="Y45" i="200" s="1"/>
  <c r="FC45" i="200"/>
  <c r="FB45" i="200"/>
  <c r="FA45" i="200"/>
  <c r="EZ45" i="200"/>
  <c r="EC45" i="200"/>
  <c r="FP45" i="200" s="1"/>
  <c r="EB45" i="200"/>
  <c r="EA45" i="200"/>
  <c r="DY45" i="200"/>
  <c r="DS45" i="200"/>
  <c r="DR45" i="200"/>
  <c r="M45" i="200" s="1"/>
  <c r="DQ45" i="200"/>
  <c r="L45" i="200" s="1"/>
  <c r="DO45" i="200"/>
  <c r="DN45" i="200"/>
  <c r="DM45" i="200"/>
  <c r="DL45" i="200"/>
  <c r="DK45" i="200"/>
  <c r="EL45" i="200" s="1"/>
  <c r="DJ45" i="200"/>
  <c r="DI45" i="200"/>
  <c r="DH45" i="200"/>
  <c r="FM45" i="200" s="1"/>
  <c r="DG45" i="200"/>
  <c r="DF45" i="200"/>
  <c r="ED45" i="200" s="1"/>
  <c r="DE45" i="200"/>
  <c r="DD45" i="200"/>
  <c r="FD45" i="200" s="1"/>
  <c r="FE45" i="200" s="1"/>
  <c r="DC45" i="200"/>
  <c r="DB45" i="200"/>
  <c r="DA45" i="200"/>
  <c r="CZ45" i="200"/>
  <c r="CY45" i="200"/>
  <c r="FS45" i="200" s="1"/>
  <c r="CX45" i="200"/>
  <c r="CW45" i="200"/>
  <c r="CV45" i="200"/>
  <c r="CU45" i="200"/>
  <c r="CS45" i="200"/>
  <c r="CR45" i="200"/>
  <c r="CQ45" i="200"/>
  <c r="CP45" i="200"/>
  <c r="CO45" i="200"/>
  <c r="CN45" i="200"/>
  <c r="CM45" i="200"/>
  <c r="CL45" i="200"/>
  <c r="CK45" i="200"/>
  <c r="CD45" i="200"/>
  <c r="AZ45" i="200"/>
  <c r="AY45" i="200"/>
  <c r="AX45" i="200"/>
  <c r="AW45" i="200"/>
  <c r="AV45" i="200"/>
  <c r="AK45" i="200"/>
  <c r="AJ45" i="200" s="1"/>
  <c r="AU45" i="200" s="1"/>
  <c r="AH45" i="200"/>
  <c r="AG45" i="200"/>
  <c r="AF45" i="200"/>
  <c r="AE45" i="200"/>
  <c r="I45" i="200"/>
  <c r="C45" i="200"/>
  <c r="AD45" i="200" s="1"/>
  <c r="A45" i="200"/>
  <c r="GF45" i="200" s="1"/>
  <c r="GE45" i="200" s="1"/>
  <c r="GF44" i="200"/>
  <c r="FV44" i="200"/>
  <c r="FU44" i="200"/>
  <c r="FH44" i="200"/>
  <c r="FD44" i="200"/>
  <c r="FC44" i="200"/>
  <c r="EZ44" i="200"/>
  <c r="EE44" i="200" s="1"/>
  <c r="EM44" i="200"/>
  <c r="EA44" i="200"/>
  <c r="DY44" i="200"/>
  <c r="DX44" i="200"/>
  <c r="DW44" i="200"/>
  <c r="DV44" i="200"/>
  <c r="DU44" i="200"/>
  <c r="DS44" i="200"/>
  <c r="DP44" i="200"/>
  <c r="DO44" i="200"/>
  <c r="DN44" i="200"/>
  <c r="FI44" i="200" s="1"/>
  <c r="DM44" i="200"/>
  <c r="DL44" i="200"/>
  <c r="DK44" i="200"/>
  <c r="EL44" i="200" s="1"/>
  <c r="EN44" i="200" s="1"/>
  <c r="DJ44" i="200"/>
  <c r="DI44" i="200"/>
  <c r="DH44" i="200"/>
  <c r="FM44" i="200" s="1"/>
  <c r="DG44" i="200"/>
  <c r="DF44" i="200"/>
  <c r="ED44" i="200" s="1"/>
  <c r="DE44" i="200"/>
  <c r="FR44" i="200" s="1"/>
  <c r="DD44" i="200"/>
  <c r="DC44" i="200"/>
  <c r="DB44" i="200"/>
  <c r="DA44" i="200"/>
  <c r="CZ44" i="200"/>
  <c r="CY44" i="200"/>
  <c r="CX44" i="200"/>
  <c r="CW44" i="200"/>
  <c r="CV44" i="200"/>
  <c r="CU44" i="200"/>
  <c r="CQ44" i="200"/>
  <c r="CP44" i="200"/>
  <c r="CK44" i="200" s="1"/>
  <c r="CO44" i="200"/>
  <c r="CN44" i="200"/>
  <c r="CM44" i="200"/>
  <c r="CL44" i="200"/>
  <c r="AY44" i="200"/>
  <c r="AX44" i="200"/>
  <c r="AV44" i="200"/>
  <c r="AG44" i="200"/>
  <c r="AF44" i="200"/>
  <c r="AE44" i="200"/>
  <c r="AD44" i="200"/>
  <c r="K44" i="200"/>
  <c r="E44" i="200"/>
  <c r="D44" i="200"/>
  <c r="GK44" i="200" s="1"/>
  <c r="C44" i="200"/>
  <c r="A44" i="200"/>
  <c r="FV43" i="200"/>
  <c r="FU43" i="200"/>
  <c r="FT43" i="200"/>
  <c r="FJ43" i="200"/>
  <c r="FK43" i="200" s="1"/>
  <c r="FL43" i="200" s="1"/>
  <c r="Z43" i="200" s="1"/>
  <c r="FF43" i="200"/>
  <c r="FG43" i="200" s="1"/>
  <c r="Y43" i="200" s="1"/>
  <c r="FD43" i="200"/>
  <c r="FC43" i="200"/>
  <c r="FB43" i="200"/>
  <c r="EZ43" i="200"/>
  <c r="EX43" i="200"/>
  <c r="EL43" i="200"/>
  <c r="EK43" i="200"/>
  <c r="EG43" i="200"/>
  <c r="EE43" i="200"/>
  <c r="EF43" i="200" s="1"/>
  <c r="DY43" i="200"/>
  <c r="DX43" i="200"/>
  <c r="DW43" i="200"/>
  <c r="DV43" i="200"/>
  <c r="DU43" i="200"/>
  <c r="DS43" i="200"/>
  <c r="DO43" i="200"/>
  <c r="FE43" i="200" s="1"/>
  <c r="DN43" i="200"/>
  <c r="FI43" i="200" s="1"/>
  <c r="DM43" i="200"/>
  <c r="DL43" i="200"/>
  <c r="DK43" i="200"/>
  <c r="DJ43" i="200"/>
  <c r="DI43" i="200"/>
  <c r="DH43" i="200"/>
  <c r="FM43" i="200" s="1"/>
  <c r="DG43" i="200"/>
  <c r="DF43" i="200"/>
  <c r="DE43" i="200"/>
  <c r="DD43" i="200"/>
  <c r="DC43" i="200"/>
  <c r="DB43" i="200"/>
  <c r="DA43" i="200"/>
  <c r="CZ43" i="200"/>
  <c r="CY43" i="200"/>
  <c r="CX43" i="200"/>
  <c r="FH43" i="200" s="1"/>
  <c r="CW43" i="200"/>
  <c r="CV43" i="200"/>
  <c r="FQ43" i="200" s="1"/>
  <c r="CU43" i="200"/>
  <c r="EY43" i="200" s="1"/>
  <c r="CQ43" i="200"/>
  <c r="CP43" i="200"/>
  <c r="CK43" i="200" s="1"/>
  <c r="CO43" i="200"/>
  <c r="CN43" i="200"/>
  <c r="CM43" i="200"/>
  <c r="CL43" i="200"/>
  <c r="CE43" i="200"/>
  <c r="CD43" i="200"/>
  <c r="AW43" i="200"/>
  <c r="AK43" i="200" s="1"/>
  <c r="AV43" i="200"/>
  <c r="AM43" i="200"/>
  <c r="AL43" i="200"/>
  <c r="AF43" i="200"/>
  <c r="AD43" i="200"/>
  <c r="C43" i="200"/>
  <c r="A43" i="200"/>
  <c r="AX43" i="200" s="1"/>
  <c r="GF42" i="200"/>
  <c r="GE42" i="200"/>
  <c r="GD42" i="200"/>
  <c r="FV42" i="200"/>
  <c r="FT42" i="200"/>
  <c r="FQ42" i="200"/>
  <c r="FD42" i="200"/>
  <c r="FC42" i="200"/>
  <c r="EZ42" i="200"/>
  <c r="EE42" i="200" s="1"/>
  <c r="ER42" i="200"/>
  <c r="EL42" i="200"/>
  <c r="EN42" i="200" s="1"/>
  <c r="EC42" i="200"/>
  <c r="EB42" i="200"/>
  <c r="EA42" i="200"/>
  <c r="DY42" i="200"/>
  <c r="DV42" i="200"/>
  <c r="DS42" i="200"/>
  <c r="DO42" i="200"/>
  <c r="DN42" i="200"/>
  <c r="FI42" i="200" s="1"/>
  <c r="DM42" i="200"/>
  <c r="FP42" i="200" s="1"/>
  <c r="DL42" i="200"/>
  <c r="DK42" i="200"/>
  <c r="DJ42" i="200"/>
  <c r="DI42" i="200"/>
  <c r="DH42" i="200"/>
  <c r="FM42" i="200" s="1"/>
  <c r="DG42" i="200"/>
  <c r="DF42" i="200"/>
  <c r="ED42" i="200" s="1"/>
  <c r="DE42" i="200"/>
  <c r="DD42" i="200"/>
  <c r="DC42" i="200"/>
  <c r="DB42" i="200"/>
  <c r="DA42" i="200"/>
  <c r="CZ42" i="200"/>
  <c r="CY42" i="200"/>
  <c r="CX42" i="200"/>
  <c r="CW42" i="200"/>
  <c r="CV42" i="200"/>
  <c r="DU42" i="200" s="1"/>
  <c r="CU42" i="200"/>
  <c r="CQ42" i="200"/>
  <c r="CP42" i="200"/>
  <c r="CK42" i="200" s="1"/>
  <c r="CO42" i="200"/>
  <c r="CN42" i="200"/>
  <c r="CM42" i="200"/>
  <c r="CL42" i="200"/>
  <c r="CE42" i="200"/>
  <c r="AY42" i="200"/>
  <c r="AH42" i="200"/>
  <c r="C42" i="200"/>
  <c r="A42" i="200"/>
  <c r="AX42" i="200" s="1"/>
  <c r="FV41" i="200"/>
  <c r="FU41" i="200"/>
  <c r="FN41" i="200"/>
  <c r="FI41" i="200"/>
  <c r="FJ41" i="200" s="1"/>
  <c r="FK41" i="200" s="1"/>
  <c r="FL41" i="200" s="1"/>
  <c r="FH41" i="200"/>
  <c r="FC41" i="200"/>
  <c r="EZ41" i="200"/>
  <c r="EE41" i="200" s="1"/>
  <c r="EY41" i="200"/>
  <c r="EC41" i="200"/>
  <c r="EB41" i="200"/>
  <c r="EA41" i="200"/>
  <c r="DZ41" i="200"/>
  <c r="DY41" i="200"/>
  <c r="DS41" i="200"/>
  <c r="DO41" i="200"/>
  <c r="DN41" i="200"/>
  <c r="DM41" i="200"/>
  <c r="FP41" i="200" s="1"/>
  <c r="DL41" i="200"/>
  <c r="DK41" i="200"/>
  <c r="DJ41" i="200"/>
  <c r="DI41" i="200"/>
  <c r="DH41" i="200"/>
  <c r="FM41" i="200" s="1"/>
  <c r="DG41" i="200"/>
  <c r="DF41" i="200"/>
  <c r="ED41" i="200" s="1"/>
  <c r="DE41" i="200"/>
  <c r="DD41" i="200"/>
  <c r="FD41" i="200" s="1"/>
  <c r="FE41" i="200" s="1"/>
  <c r="FF41" i="200" s="1"/>
  <c r="FG41" i="200" s="1"/>
  <c r="DC41" i="200"/>
  <c r="DB41" i="200"/>
  <c r="DA41" i="200"/>
  <c r="CZ41" i="200"/>
  <c r="CY41" i="200"/>
  <c r="FS41" i="200" s="1"/>
  <c r="CX41" i="200"/>
  <c r="CW41" i="200"/>
  <c r="CV41" i="200"/>
  <c r="CU41" i="200"/>
  <c r="EX41" i="200" s="1"/>
  <c r="CQ41" i="200"/>
  <c r="CP41" i="200"/>
  <c r="CK41" i="200" s="1"/>
  <c r="CO41" i="200"/>
  <c r="CN41" i="200"/>
  <c r="CM41" i="200"/>
  <c r="CL41" i="200"/>
  <c r="CD41" i="200"/>
  <c r="AY41" i="200"/>
  <c r="AX41" i="200"/>
  <c r="AW41" i="200"/>
  <c r="AV41" i="200"/>
  <c r="AK41" i="200" s="1"/>
  <c r="AO41" i="200" s="1"/>
  <c r="AH41" i="200"/>
  <c r="AG41" i="200"/>
  <c r="AF41" i="200"/>
  <c r="AE41" i="200"/>
  <c r="GF41" i="200"/>
  <c r="GM40" i="200"/>
  <c r="GL40" i="200"/>
  <c r="GK40" i="200"/>
  <c r="GF40" i="200"/>
  <c r="FV40" i="200"/>
  <c r="FS40" i="200"/>
  <c r="FR40" i="200"/>
  <c r="FI40" i="200"/>
  <c r="FJ40" i="200" s="1"/>
  <c r="FK40" i="200" s="1"/>
  <c r="FL40" i="200" s="1"/>
  <c r="Z40" i="200" s="1"/>
  <c r="FH40" i="200"/>
  <c r="FC40" i="200"/>
  <c r="EL40" i="200" s="1"/>
  <c r="FB40" i="200"/>
  <c r="FA40" i="200"/>
  <c r="EZ40" i="200"/>
  <c r="EE40" i="200" s="1"/>
  <c r="ED40" i="200"/>
  <c r="EC40" i="200"/>
  <c r="FP40" i="200" s="1"/>
  <c r="EB40" i="200"/>
  <c r="DY40" i="200"/>
  <c r="DS40" i="200"/>
  <c r="DO40" i="200"/>
  <c r="DN40" i="200"/>
  <c r="DM40" i="200"/>
  <c r="DL40" i="200"/>
  <c r="DK40" i="200"/>
  <c r="DJ40" i="200"/>
  <c r="DI40" i="200"/>
  <c r="FT40" i="200" s="1"/>
  <c r="DH40" i="200"/>
  <c r="FM40" i="200" s="1"/>
  <c r="DG40" i="200"/>
  <c r="DF40" i="200"/>
  <c r="EA40" i="200" s="1"/>
  <c r="DE40" i="200"/>
  <c r="DD40" i="200"/>
  <c r="FD40" i="200" s="1"/>
  <c r="FE40" i="200" s="1"/>
  <c r="FF40" i="200" s="1"/>
  <c r="FG40" i="200" s="1"/>
  <c r="Y40" i="200" s="1"/>
  <c r="DC40" i="200"/>
  <c r="DB40" i="200"/>
  <c r="DA40" i="200"/>
  <c r="CZ40" i="200"/>
  <c r="CY40" i="200"/>
  <c r="CX40" i="200"/>
  <c r="FU40" i="200" s="1"/>
  <c r="CW40" i="200"/>
  <c r="CV40" i="200"/>
  <c r="CU40" i="200"/>
  <c r="CQ40" i="200"/>
  <c r="CP40" i="200"/>
  <c r="CO40" i="200"/>
  <c r="CN40" i="200"/>
  <c r="CM40" i="200"/>
  <c r="CL40" i="200"/>
  <c r="CK40" i="200"/>
  <c r="CE40" i="200"/>
  <c r="CD40" i="200"/>
  <c r="AY40" i="200"/>
  <c r="AX40" i="200"/>
  <c r="AW40" i="200"/>
  <c r="AV40" i="200"/>
  <c r="AS40" i="200"/>
  <c r="AL40" i="200"/>
  <c r="AK40" i="200"/>
  <c r="AJ40" i="200"/>
  <c r="AH40" i="200"/>
  <c r="AG40" i="200"/>
  <c r="AF40" i="200"/>
  <c r="AE40" i="200"/>
  <c r="GL39" i="200"/>
  <c r="GK39" i="200"/>
  <c r="GF39" i="200"/>
  <c r="FV39" i="200"/>
  <c r="FU39" i="200"/>
  <c r="FJ39" i="200"/>
  <c r="FK39" i="200" s="1"/>
  <c r="FL39" i="200" s="1"/>
  <c r="Z39" i="200" s="1"/>
  <c r="FI39" i="200"/>
  <c r="FH39" i="200"/>
  <c r="FC39" i="200"/>
  <c r="EZ39" i="200"/>
  <c r="EE39" i="200" s="1"/>
  <c r="EY39" i="200"/>
  <c r="EX39" i="200"/>
  <c r="EC39" i="200"/>
  <c r="EB39" i="200"/>
  <c r="EA39" i="200"/>
  <c r="DY39" i="200"/>
  <c r="DS39" i="200"/>
  <c r="DO39" i="200"/>
  <c r="DN39" i="200"/>
  <c r="DM39" i="200"/>
  <c r="DL39" i="200"/>
  <c r="DK39" i="200"/>
  <c r="EL39" i="200" s="1"/>
  <c r="DJ39" i="200"/>
  <c r="DI39" i="200"/>
  <c r="DH39" i="200"/>
  <c r="FM39" i="200" s="1"/>
  <c r="DG39" i="200"/>
  <c r="DF39" i="200"/>
  <c r="ED39" i="200" s="1"/>
  <c r="DE39" i="200"/>
  <c r="DD39" i="200"/>
  <c r="FD39" i="200" s="1"/>
  <c r="FE39" i="200" s="1"/>
  <c r="FF39" i="200" s="1"/>
  <c r="FG39" i="200" s="1"/>
  <c r="DC39" i="200"/>
  <c r="DB39" i="200"/>
  <c r="DA39" i="200"/>
  <c r="CZ39" i="200"/>
  <c r="CY39" i="200"/>
  <c r="FS39" i="200" s="1"/>
  <c r="CX39" i="200"/>
  <c r="CW39" i="200"/>
  <c r="CV39" i="200"/>
  <c r="CU39" i="200"/>
  <c r="CQ39" i="200"/>
  <c r="CP39" i="200"/>
  <c r="CO39" i="200"/>
  <c r="CN39" i="200"/>
  <c r="CM39" i="200"/>
  <c r="CL39" i="200"/>
  <c r="CK39" i="200"/>
  <c r="CD39" i="200"/>
  <c r="AY39" i="200"/>
  <c r="AX39" i="200"/>
  <c r="AW39" i="200"/>
  <c r="AK39" i="200" s="1"/>
  <c r="AV39" i="200"/>
  <c r="AH39" i="200"/>
  <c r="AG39" i="200"/>
  <c r="AF39" i="200"/>
  <c r="AE39" i="200"/>
  <c r="Y39" i="200"/>
  <c r="GL38" i="200"/>
  <c r="GK38" i="200"/>
  <c r="GM38" i="200" s="1"/>
  <c r="GF38" i="200"/>
  <c r="FV38" i="200"/>
  <c r="FT38" i="200"/>
  <c r="FC38" i="200"/>
  <c r="EL38" i="200" s="1"/>
  <c r="FB38" i="200"/>
  <c r="EZ38" i="200"/>
  <c r="EE38" i="200" s="1"/>
  <c r="DY38" i="200"/>
  <c r="DW38" i="200"/>
  <c r="DS38" i="200"/>
  <c r="DO38" i="200"/>
  <c r="DN38" i="200"/>
  <c r="FI38" i="200" s="1"/>
  <c r="DM38" i="200"/>
  <c r="DL38" i="200"/>
  <c r="DK38" i="200"/>
  <c r="DJ38" i="200"/>
  <c r="DI38" i="200"/>
  <c r="DH38" i="200"/>
  <c r="FM38" i="200" s="1"/>
  <c r="DG38" i="200"/>
  <c r="DF38" i="200"/>
  <c r="DE38" i="200"/>
  <c r="DD38" i="200"/>
  <c r="FD38" i="200" s="1"/>
  <c r="DC38" i="200"/>
  <c r="DB38" i="200"/>
  <c r="DA38" i="200"/>
  <c r="CZ38" i="200"/>
  <c r="CY38" i="200"/>
  <c r="CX38" i="200"/>
  <c r="CW38" i="200"/>
  <c r="CV38" i="200"/>
  <c r="CU38" i="200"/>
  <c r="CQ38" i="200"/>
  <c r="CP38" i="200"/>
  <c r="CK38" i="200" s="1"/>
  <c r="CO38" i="200"/>
  <c r="CN38" i="200"/>
  <c r="CM38" i="200"/>
  <c r="CL38" i="200"/>
  <c r="CE38" i="200"/>
  <c r="AY38" i="200"/>
  <c r="AX38" i="200"/>
  <c r="AW38" i="200"/>
  <c r="AV38" i="200"/>
  <c r="AK38" i="200"/>
  <c r="AJ38" i="200"/>
  <c r="AH38" i="200"/>
  <c r="AG38" i="200"/>
  <c r="AF38" i="200"/>
  <c r="AE38" i="200"/>
  <c r="GM37" i="200"/>
  <c r="GL37" i="200"/>
  <c r="GK37" i="200"/>
  <c r="GF37" i="200"/>
  <c r="FV37" i="200"/>
  <c r="FS37" i="200"/>
  <c r="FR37" i="200"/>
  <c r="FI37" i="200"/>
  <c r="FJ37" i="200" s="1"/>
  <c r="FK37" i="200" s="1"/>
  <c r="FL37" i="200" s="1"/>
  <c r="Z37" i="200" s="1"/>
  <c r="FH37" i="200"/>
  <c r="FG37" i="200"/>
  <c r="Y37" i="200" s="1"/>
  <c r="FC37" i="200"/>
  <c r="EL37" i="200" s="1"/>
  <c r="FB37" i="200"/>
  <c r="FA37" i="200"/>
  <c r="EZ37" i="200"/>
  <c r="EE37" i="200" s="1"/>
  <c r="ED37" i="200"/>
  <c r="EC37" i="200"/>
  <c r="FP37" i="200" s="1"/>
  <c r="EB37" i="200"/>
  <c r="DY37" i="200"/>
  <c r="DS37" i="200"/>
  <c r="DO37" i="200"/>
  <c r="DN37" i="200"/>
  <c r="DM37" i="200"/>
  <c r="DL37" i="200"/>
  <c r="DK37" i="200"/>
  <c r="DJ37" i="200"/>
  <c r="DI37" i="200"/>
  <c r="FT37" i="200" s="1"/>
  <c r="DH37" i="200"/>
  <c r="FM37" i="200" s="1"/>
  <c r="DG37" i="200"/>
  <c r="DF37" i="200"/>
  <c r="EA37" i="200" s="1"/>
  <c r="DE37" i="200"/>
  <c r="DD37" i="200"/>
  <c r="FD37" i="200" s="1"/>
  <c r="FE37" i="200" s="1"/>
  <c r="FF37" i="200" s="1"/>
  <c r="DC37" i="200"/>
  <c r="DB37" i="200"/>
  <c r="DA37" i="200"/>
  <c r="CZ37" i="200"/>
  <c r="CY37" i="200"/>
  <c r="CX37" i="200"/>
  <c r="FU37" i="200" s="1"/>
  <c r="CW37" i="200"/>
  <c r="CV37" i="200"/>
  <c r="CU37" i="200"/>
  <c r="CQ37" i="200"/>
  <c r="CP37" i="200"/>
  <c r="CO37" i="200"/>
  <c r="CN37" i="200"/>
  <c r="CM37" i="200"/>
  <c r="CL37" i="200"/>
  <c r="CK37" i="200"/>
  <c r="CE37" i="200"/>
  <c r="CD37" i="200"/>
  <c r="AY37" i="200"/>
  <c r="AX37" i="200"/>
  <c r="AW37" i="200"/>
  <c r="AV37" i="200"/>
  <c r="AS37" i="200"/>
  <c r="AQ37" i="200"/>
  <c r="AL37" i="200"/>
  <c r="AK37" i="200"/>
  <c r="AJ37" i="200"/>
  <c r="AH37" i="200"/>
  <c r="AG37" i="200"/>
  <c r="AF37" i="200"/>
  <c r="AE37" i="200"/>
  <c r="GM36" i="200"/>
  <c r="GL36" i="200"/>
  <c r="GK36" i="200"/>
  <c r="GF36" i="200"/>
  <c r="FM36" i="200"/>
  <c r="FD36" i="200"/>
  <c r="FC36" i="200"/>
  <c r="EZ36" i="200"/>
  <c r="EY36" i="200"/>
  <c r="EX36" i="200"/>
  <c r="EN36" i="200"/>
  <c r="EL36" i="200"/>
  <c r="EM36" i="200" s="1"/>
  <c r="EQ36" i="200" s="1"/>
  <c r="DY36" i="200"/>
  <c r="DX36" i="200"/>
  <c r="DW36" i="200"/>
  <c r="FO36" i="200" s="1"/>
  <c r="DV36" i="200"/>
  <c r="DU36" i="200"/>
  <c r="DS36" i="200"/>
  <c r="DO36" i="200"/>
  <c r="DN36" i="200"/>
  <c r="FI36" i="200" s="1"/>
  <c r="DM36" i="200"/>
  <c r="DL36" i="200"/>
  <c r="DK36" i="200"/>
  <c r="DJ36" i="200"/>
  <c r="DI36" i="200"/>
  <c r="DH36" i="200"/>
  <c r="FV36" i="200" s="1"/>
  <c r="DG36" i="200"/>
  <c r="DF36" i="200"/>
  <c r="DE36" i="200"/>
  <c r="DD36" i="200"/>
  <c r="DC36" i="200"/>
  <c r="DB36" i="200"/>
  <c r="DA36" i="200"/>
  <c r="EE36" i="200" s="1"/>
  <c r="CZ36" i="200"/>
  <c r="CY36" i="200"/>
  <c r="CX36" i="200"/>
  <c r="CW36" i="200"/>
  <c r="CV36" i="200"/>
  <c r="FQ36" i="200" s="1"/>
  <c r="CU36" i="200"/>
  <c r="CQ36" i="200"/>
  <c r="CP36" i="200"/>
  <c r="CK36" i="200" s="1"/>
  <c r="CO36" i="200"/>
  <c r="CN36" i="200"/>
  <c r="CM36" i="200"/>
  <c r="CL36" i="200"/>
  <c r="CE36" i="200"/>
  <c r="AX36" i="200"/>
  <c r="AW36" i="200"/>
  <c r="AV36" i="200"/>
  <c r="AH36" i="200"/>
  <c r="AG36" i="200"/>
  <c r="AF36" i="200"/>
  <c r="AE36" i="200"/>
  <c r="GM35" i="200"/>
  <c r="GL35" i="200"/>
  <c r="GK35" i="200"/>
  <c r="GF35" i="200"/>
  <c r="FV35" i="200"/>
  <c r="FS35" i="200"/>
  <c r="FR35" i="200"/>
  <c r="FP35" i="200"/>
  <c r="FH35" i="200"/>
  <c r="FG35" i="200"/>
  <c r="Y35" i="200" s="1"/>
  <c r="FC35" i="200"/>
  <c r="FB35" i="200"/>
  <c r="FA35" i="200"/>
  <c r="EZ35" i="200"/>
  <c r="EE35" i="200" s="1"/>
  <c r="ED35" i="200"/>
  <c r="EC35" i="200"/>
  <c r="EB35" i="200"/>
  <c r="EA35" i="200"/>
  <c r="DY35" i="200"/>
  <c r="DU35" i="200"/>
  <c r="DS35" i="200"/>
  <c r="DO35" i="200"/>
  <c r="DN35" i="200"/>
  <c r="FI35" i="200" s="1"/>
  <c r="FJ35" i="200" s="1"/>
  <c r="FK35" i="200" s="1"/>
  <c r="FL35" i="200" s="1"/>
  <c r="DM35" i="200"/>
  <c r="DL35" i="200"/>
  <c r="DK35" i="200"/>
  <c r="EL35" i="200" s="1"/>
  <c r="DJ35" i="200"/>
  <c r="DI35" i="200"/>
  <c r="FT35" i="200" s="1"/>
  <c r="DH35" i="200"/>
  <c r="FM35" i="200" s="1"/>
  <c r="DG35" i="200"/>
  <c r="DF35" i="200"/>
  <c r="DE35" i="200"/>
  <c r="DD35" i="200"/>
  <c r="FD35" i="200" s="1"/>
  <c r="FE35" i="200" s="1"/>
  <c r="FF35" i="200" s="1"/>
  <c r="DC35" i="200"/>
  <c r="DT35" i="200" s="1"/>
  <c r="DB35" i="200"/>
  <c r="DA35" i="200"/>
  <c r="CZ35" i="200"/>
  <c r="CY35" i="200"/>
  <c r="CX35" i="200"/>
  <c r="FU35" i="200" s="1"/>
  <c r="CW35" i="200"/>
  <c r="CV35" i="200"/>
  <c r="CU35" i="200"/>
  <c r="CQ35" i="200"/>
  <c r="CP35" i="200"/>
  <c r="CO35" i="200"/>
  <c r="CN35" i="200"/>
  <c r="CM35" i="200"/>
  <c r="CL35" i="200"/>
  <c r="CK35" i="200"/>
  <c r="CE35" i="200"/>
  <c r="CD35" i="200"/>
  <c r="AY35" i="200"/>
  <c r="AX35" i="200"/>
  <c r="AW35" i="200"/>
  <c r="AV35" i="200"/>
  <c r="AQ35" i="200"/>
  <c r="AK35" i="200"/>
  <c r="AJ35" i="200" s="1"/>
  <c r="AH35" i="200"/>
  <c r="AG35" i="200"/>
  <c r="AF35" i="200"/>
  <c r="AE35" i="200"/>
  <c r="Z35" i="200"/>
  <c r="GL34" i="200"/>
  <c r="GK34" i="200"/>
  <c r="GM34" i="200" s="1"/>
  <c r="GF34" i="200"/>
  <c r="FV34" i="200"/>
  <c r="FU34" i="200"/>
  <c r="FJ34" i="200"/>
  <c r="FK34" i="200" s="1"/>
  <c r="FL34" i="200" s="1"/>
  <c r="Z34" i="200" s="1"/>
  <c r="FI34" i="200"/>
  <c r="FH34" i="200"/>
  <c r="FC34" i="200"/>
  <c r="EZ34" i="200"/>
  <c r="EE34" i="200" s="1"/>
  <c r="EC34" i="200"/>
  <c r="EB34" i="200"/>
  <c r="EA34" i="200"/>
  <c r="DY34" i="200"/>
  <c r="DU34" i="200"/>
  <c r="DS34" i="200"/>
  <c r="DO34" i="200"/>
  <c r="DN34" i="200"/>
  <c r="DM34" i="200"/>
  <c r="DL34" i="200"/>
  <c r="DK34" i="200"/>
  <c r="EL34" i="200" s="1"/>
  <c r="DJ34" i="200"/>
  <c r="DI34" i="200"/>
  <c r="DH34" i="200"/>
  <c r="FM34" i="200" s="1"/>
  <c r="DG34" i="200"/>
  <c r="DF34" i="200"/>
  <c r="ED34" i="200" s="1"/>
  <c r="DE34" i="200"/>
  <c r="DD34" i="200"/>
  <c r="FD34" i="200" s="1"/>
  <c r="FE34" i="200" s="1"/>
  <c r="FF34" i="200" s="1"/>
  <c r="FG34" i="200" s="1"/>
  <c r="DC34" i="200"/>
  <c r="DB34" i="200"/>
  <c r="DA34" i="200"/>
  <c r="CZ34" i="200"/>
  <c r="CY34" i="200"/>
  <c r="FS34" i="200" s="1"/>
  <c r="CX34" i="200"/>
  <c r="CW34" i="200"/>
  <c r="CV34" i="200"/>
  <c r="CU34" i="200"/>
  <c r="CQ34" i="200"/>
  <c r="CP34" i="200"/>
  <c r="CO34" i="200"/>
  <c r="CN34" i="200"/>
  <c r="CM34" i="200"/>
  <c r="CL34" i="200"/>
  <c r="CK34" i="200"/>
  <c r="CD34" i="200"/>
  <c r="AY34" i="200"/>
  <c r="AX34" i="200"/>
  <c r="AW34" i="200"/>
  <c r="AV34" i="200"/>
  <c r="AK34" i="200"/>
  <c r="AJ34" i="200"/>
  <c r="AH34" i="200"/>
  <c r="AG34" i="200"/>
  <c r="AF34" i="200"/>
  <c r="AE34" i="200"/>
  <c r="Y34" i="200"/>
  <c r="GL33" i="200"/>
  <c r="GK33" i="200"/>
  <c r="GF33" i="200"/>
  <c r="FU33" i="200"/>
  <c r="FN33" i="200"/>
  <c r="FI33" i="200"/>
  <c r="FH33" i="200"/>
  <c r="FE33" i="200"/>
  <c r="FF33" i="200" s="1"/>
  <c r="FG33" i="200" s="1"/>
  <c r="Y33" i="200" s="1"/>
  <c r="FC33" i="200"/>
  <c r="FA33" i="200"/>
  <c r="EZ33" i="200"/>
  <c r="EY33" i="200"/>
  <c r="EX33" i="200"/>
  <c r="EQ33" i="200"/>
  <c r="EN33" i="200"/>
  <c r="ER33" i="200" s="1"/>
  <c r="EB33" i="200"/>
  <c r="EA33" i="200"/>
  <c r="DY33" i="200"/>
  <c r="DS33" i="200"/>
  <c r="DP33" i="200"/>
  <c r="DO33" i="200"/>
  <c r="DN33" i="200"/>
  <c r="DM33" i="200"/>
  <c r="DL33" i="200"/>
  <c r="DK33" i="200"/>
  <c r="EL33" i="200" s="1"/>
  <c r="EM33" i="200" s="1"/>
  <c r="DJ33" i="200"/>
  <c r="DI33" i="200"/>
  <c r="DH33" i="200"/>
  <c r="FV33" i="200" s="1"/>
  <c r="DG33" i="200"/>
  <c r="DF33" i="200"/>
  <c r="ED33" i="200" s="1"/>
  <c r="DE33" i="200"/>
  <c r="FR33" i="200" s="1"/>
  <c r="DD33" i="200"/>
  <c r="FD33" i="200" s="1"/>
  <c r="DC33" i="200"/>
  <c r="DB33" i="200"/>
  <c r="DA33" i="200"/>
  <c r="CZ33" i="200"/>
  <c r="CY33" i="200"/>
  <c r="FS33" i="200" s="1"/>
  <c r="CX33" i="200"/>
  <c r="CW33" i="200"/>
  <c r="CV33" i="200"/>
  <c r="CU33" i="200"/>
  <c r="FQ33" i="200" s="1"/>
  <c r="CQ33" i="200"/>
  <c r="CP33" i="200"/>
  <c r="CO33" i="200"/>
  <c r="CN33" i="200"/>
  <c r="CM33" i="200"/>
  <c r="CL33" i="200"/>
  <c r="CK33" i="200"/>
  <c r="AY33" i="200"/>
  <c r="AX33" i="200"/>
  <c r="AW33" i="200"/>
  <c r="AV33" i="200"/>
  <c r="AH33" i="200"/>
  <c r="AG33" i="200"/>
  <c r="AF33" i="200"/>
  <c r="AE33" i="200"/>
  <c r="GL32" i="200"/>
  <c r="GK32" i="200"/>
  <c r="GM32" i="200" s="1"/>
  <c r="GF32" i="200"/>
  <c r="FV32" i="200"/>
  <c r="FU32" i="200"/>
  <c r="FT32" i="200"/>
  <c r="FM32" i="200"/>
  <c r="FH32" i="200"/>
  <c r="FD32" i="200"/>
  <c r="FC32" i="200"/>
  <c r="EZ32" i="200"/>
  <c r="EE32" i="200" s="1"/>
  <c r="EY32" i="200"/>
  <c r="EX32" i="200"/>
  <c r="EN32" i="200"/>
  <c r="EM32" i="200"/>
  <c r="EA32" i="200"/>
  <c r="DY32" i="200"/>
  <c r="DX32" i="200"/>
  <c r="DW32" i="200"/>
  <c r="DV32" i="200"/>
  <c r="DU32" i="200"/>
  <c r="DS32" i="200"/>
  <c r="DP32" i="200"/>
  <c r="DO32" i="200"/>
  <c r="DN32" i="200"/>
  <c r="FI32" i="200" s="1"/>
  <c r="DM32" i="200"/>
  <c r="DL32" i="200"/>
  <c r="DK32" i="200"/>
  <c r="EL32" i="200" s="1"/>
  <c r="DJ32" i="200"/>
  <c r="DI32" i="200"/>
  <c r="DH32" i="200"/>
  <c r="DG32" i="200"/>
  <c r="DF32" i="200"/>
  <c r="ED32" i="200" s="1"/>
  <c r="DE32" i="200"/>
  <c r="FR32" i="200" s="1"/>
  <c r="DD32" i="200"/>
  <c r="DC32" i="200"/>
  <c r="DB32" i="200"/>
  <c r="DA32" i="200"/>
  <c r="CZ32" i="200"/>
  <c r="CY32" i="200"/>
  <c r="CX32" i="200"/>
  <c r="CW32" i="200"/>
  <c r="CV32" i="200"/>
  <c r="CU32" i="200"/>
  <c r="FQ32" i="200" s="1"/>
  <c r="CQ32" i="200"/>
  <c r="CP32" i="200"/>
  <c r="CO32" i="200"/>
  <c r="CN32" i="200"/>
  <c r="CM32" i="200"/>
  <c r="CL32" i="200"/>
  <c r="AY32" i="200"/>
  <c r="AX32" i="200"/>
  <c r="AW32" i="200"/>
  <c r="AV32" i="200"/>
  <c r="AK32" i="200" s="1"/>
  <c r="AQ32" i="200"/>
  <c r="AO32" i="200"/>
  <c r="AN32" i="200"/>
  <c r="AM32" i="200"/>
  <c r="AH32" i="200"/>
  <c r="AG32" i="200"/>
  <c r="AF32" i="200"/>
  <c r="AE32" i="200"/>
  <c r="K32" i="200"/>
  <c r="J32" i="200"/>
  <c r="I32" i="200"/>
  <c r="GM31" i="200"/>
  <c r="GL31" i="200"/>
  <c r="GK31" i="200"/>
  <c r="GF31" i="200"/>
  <c r="FV31" i="200"/>
  <c r="FU31" i="200"/>
  <c r="FT31" i="200"/>
  <c r="FS31" i="200"/>
  <c r="FO31" i="200"/>
  <c r="FM31" i="200"/>
  <c r="FF31" i="200"/>
  <c r="FG31" i="200" s="1"/>
  <c r="Y31" i="200" s="1"/>
  <c r="FD31" i="200"/>
  <c r="FE31" i="200" s="1"/>
  <c r="FC31" i="200"/>
  <c r="EZ31" i="200"/>
  <c r="EY31" i="200"/>
  <c r="EX31" i="200"/>
  <c r="EL31" i="200"/>
  <c r="EG31" i="200"/>
  <c r="EF31" i="200"/>
  <c r="EJ31" i="200" s="1"/>
  <c r="EE31" i="200"/>
  <c r="DY31" i="200"/>
  <c r="DX31" i="200"/>
  <c r="DW31" i="200"/>
  <c r="DV31" i="200"/>
  <c r="DU31" i="200"/>
  <c r="DS31" i="200"/>
  <c r="DO31" i="200"/>
  <c r="FJ31" i="200" s="1"/>
  <c r="FK31" i="200" s="1"/>
  <c r="FL31" i="200" s="1"/>
  <c r="Z31" i="200" s="1"/>
  <c r="DN31" i="200"/>
  <c r="FI31" i="200" s="1"/>
  <c r="DM31" i="200"/>
  <c r="DL31" i="200"/>
  <c r="DK31" i="200"/>
  <c r="DJ31" i="200"/>
  <c r="DI31" i="200"/>
  <c r="DH31" i="200"/>
  <c r="DG31" i="200"/>
  <c r="DF31" i="200"/>
  <c r="DE31" i="200"/>
  <c r="FR31" i="200" s="1"/>
  <c r="DD31" i="200"/>
  <c r="DC31" i="200"/>
  <c r="DB31" i="200"/>
  <c r="DA31" i="200"/>
  <c r="CZ31" i="200"/>
  <c r="CY31" i="200"/>
  <c r="CX31" i="200"/>
  <c r="FH31" i="200" s="1"/>
  <c r="CW31" i="200"/>
  <c r="CV31" i="200"/>
  <c r="FQ31" i="200" s="1"/>
  <c r="CU31" i="200"/>
  <c r="CQ31" i="200"/>
  <c r="CP31" i="200"/>
  <c r="CK31" i="200" s="1"/>
  <c r="CO31" i="200"/>
  <c r="CN31" i="200"/>
  <c r="CM31" i="200"/>
  <c r="CL31" i="200"/>
  <c r="CE31" i="200"/>
  <c r="AX31" i="200"/>
  <c r="AW31" i="200"/>
  <c r="AV31" i="200"/>
  <c r="AH31" i="200"/>
  <c r="AG31" i="200"/>
  <c r="AF31" i="200"/>
  <c r="AE31" i="200"/>
  <c r="GM30" i="200"/>
  <c r="GL30" i="200"/>
  <c r="GK30" i="200"/>
  <c r="GF30" i="200"/>
  <c r="FU30" i="200"/>
  <c r="FT30" i="200"/>
  <c r="FS30" i="200"/>
  <c r="FN30" i="200"/>
  <c r="FJ30" i="200"/>
  <c r="FK30" i="200" s="1"/>
  <c r="FL30" i="200" s="1"/>
  <c r="Z30" i="200" s="1"/>
  <c r="FE30" i="200"/>
  <c r="FF30" i="200" s="1"/>
  <c r="FG30" i="200" s="1"/>
  <c r="Y30" i="200" s="1"/>
  <c r="FD30" i="200"/>
  <c r="FC30" i="200"/>
  <c r="EL30" i="200" s="1"/>
  <c r="EZ30" i="200"/>
  <c r="EX30" i="200"/>
  <c r="EK30" i="200"/>
  <c r="EG30" i="200"/>
  <c r="EE30" i="200"/>
  <c r="EF30" i="200" s="1"/>
  <c r="ED30" i="200"/>
  <c r="EC30" i="200"/>
  <c r="DY30" i="200"/>
  <c r="DX30" i="200"/>
  <c r="DW30" i="200"/>
  <c r="DV30" i="200"/>
  <c r="DU30" i="200"/>
  <c r="DS30" i="200"/>
  <c r="DP30" i="200"/>
  <c r="DO30" i="200"/>
  <c r="DN30" i="200"/>
  <c r="FI30" i="200" s="1"/>
  <c r="DM30" i="200"/>
  <c r="DL30" i="200"/>
  <c r="DK30" i="200"/>
  <c r="DJ30" i="200"/>
  <c r="DI30" i="200"/>
  <c r="CE30" i="200" s="1"/>
  <c r="DH30" i="200"/>
  <c r="FM30" i="200" s="1"/>
  <c r="DG30" i="200"/>
  <c r="DF30" i="200"/>
  <c r="DE30" i="200"/>
  <c r="DD30" i="200"/>
  <c r="DC30" i="200"/>
  <c r="DB30" i="200"/>
  <c r="DA30" i="200"/>
  <c r="CZ30" i="200"/>
  <c r="CY30" i="200"/>
  <c r="CX30" i="200"/>
  <c r="FH30" i="200" s="1"/>
  <c r="CW30" i="200"/>
  <c r="CV30" i="200"/>
  <c r="FQ30" i="200" s="1"/>
  <c r="CU30" i="200"/>
  <c r="EY30" i="200" s="1"/>
  <c r="CQ30" i="200"/>
  <c r="CP30" i="200"/>
  <c r="CO30" i="200"/>
  <c r="CN30" i="200"/>
  <c r="CM30" i="200"/>
  <c r="CL30" i="200"/>
  <c r="CD30" i="200"/>
  <c r="AX30" i="200"/>
  <c r="AW30" i="200"/>
  <c r="AV30" i="200"/>
  <c r="AK30" i="200"/>
  <c r="AH30" i="200"/>
  <c r="AG30" i="200"/>
  <c r="AF30" i="200"/>
  <c r="AE30" i="200"/>
  <c r="I30" i="200"/>
  <c r="GM29" i="200"/>
  <c r="GL29" i="200"/>
  <c r="GK29" i="200"/>
  <c r="GF29" i="200"/>
  <c r="FT29" i="200"/>
  <c r="FR29" i="200"/>
  <c r="FQ29" i="200"/>
  <c r="FM29" i="200"/>
  <c r="FI29" i="200"/>
  <c r="FD29" i="200"/>
  <c r="FC29" i="200"/>
  <c r="FB29" i="200"/>
  <c r="FA29" i="200"/>
  <c r="EZ29" i="200"/>
  <c r="ER29" i="200"/>
  <c r="EN29" i="200"/>
  <c r="EM29" i="200"/>
  <c r="EL29" i="200"/>
  <c r="EE29" i="200"/>
  <c r="ED29" i="200"/>
  <c r="EC29" i="200"/>
  <c r="EB29" i="200"/>
  <c r="DY29" i="200"/>
  <c r="DX29" i="200"/>
  <c r="DW29" i="200"/>
  <c r="DU29" i="200"/>
  <c r="DS29" i="200"/>
  <c r="DP29" i="200"/>
  <c r="DO29" i="200"/>
  <c r="DN29" i="200"/>
  <c r="DM29" i="200"/>
  <c r="DL29" i="200"/>
  <c r="DK29" i="200"/>
  <c r="DJ29" i="200"/>
  <c r="DI29" i="200"/>
  <c r="DH29" i="200"/>
  <c r="FV29" i="200" s="1"/>
  <c r="DG29" i="200"/>
  <c r="DF29" i="200"/>
  <c r="EA29" i="200" s="1"/>
  <c r="DE29" i="200"/>
  <c r="DD29" i="200"/>
  <c r="DC29" i="200"/>
  <c r="FO29" i="200" s="1"/>
  <c r="DB29" i="200"/>
  <c r="DA29" i="200"/>
  <c r="CZ29" i="200"/>
  <c r="CY29" i="200"/>
  <c r="CX29" i="200"/>
  <c r="FH29" i="200" s="1"/>
  <c r="CW29" i="200"/>
  <c r="CV29" i="200"/>
  <c r="CU29" i="200"/>
  <c r="EY29" i="200" s="1"/>
  <c r="CQ29" i="200"/>
  <c r="CP29" i="200"/>
  <c r="CK29" i="200" s="1"/>
  <c r="CO29" i="200"/>
  <c r="CN29" i="200"/>
  <c r="CM29" i="200"/>
  <c r="CL29" i="200"/>
  <c r="CE29" i="200"/>
  <c r="AX29" i="200"/>
  <c r="AW29" i="200"/>
  <c r="AV29" i="200"/>
  <c r="AS29" i="200"/>
  <c r="AN29" i="200"/>
  <c r="AM29" i="200"/>
  <c r="AK29" i="200"/>
  <c r="AJ29" i="200" s="1"/>
  <c r="AH29" i="200"/>
  <c r="AG29" i="200"/>
  <c r="AF29" i="200"/>
  <c r="AE29" i="200"/>
  <c r="GL28" i="200"/>
  <c r="GK28" i="200"/>
  <c r="GM28" i="200" s="1"/>
  <c r="GF28" i="200"/>
  <c r="FV28" i="200"/>
  <c r="FU28" i="200"/>
  <c r="FM28" i="200"/>
  <c r="FI28" i="200"/>
  <c r="FH28" i="200"/>
  <c r="FC28" i="200"/>
  <c r="FA28" i="200"/>
  <c r="EZ28" i="200"/>
  <c r="EB28" i="200"/>
  <c r="EA28" i="200"/>
  <c r="DY28" i="200"/>
  <c r="DX28" i="200"/>
  <c r="DT28" i="200"/>
  <c r="DS28" i="200"/>
  <c r="DO28" i="200"/>
  <c r="FJ28" i="200" s="1"/>
  <c r="FK28" i="200" s="1"/>
  <c r="FL28" i="200" s="1"/>
  <c r="Z28" i="200" s="1"/>
  <c r="DN28" i="200"/>
  <c r="DM28" i="200"/>
  <c r="DL28" i="200"/>
  <c r="DK28" i="200"/>
  <c r="EL28" i="200" s="1"/>
  <c r="DJ28" i="200"/>
  <c r="DI28" i="200"/>
  <c r="DH28" i="200"/>
  <c r="DG28" i="200"/>
  <c r="DF28" i="200"/>
  <c r="ED28" i="200" s="1"/>
  <c r="DE28" i="200"/>
  <c r="FR28" i="200" s="1"/>
  <c r="DD28" i="200"/>
  <c r="FD28" i="200" s="1"/>
  <c r="FE28" i="200" s="1"/>
  <c r="FF28" i="200" s="1"/>
  <c r="FG28" i="200" s="1"/>
  <c r="Y28" i="200" s="1"/>
  <c r="DC28" i="200"/>
  <c r="DB28" i="200"/>
  <c r="DA28" i="200"/>
  <c r="CZ28" i="200"/>
  <c r="CY28" i="200"/>
  <c r="FS28" i="200" s="1"/>
  <c r="CX28" i="200"/>
  <c r="CW28" i="200"/>
  <c r="CV28" i="200"/>
  <c r="CU28" i="200"/>
  <c r="CQ28" i="200"/>
  <c r="CP28" i="200"/>
  <c r="CO28" i="200"/>
  <c r="CN28" i="200"/>
  <c r="CM28" i="200"/>
  <c r="CL28" i="200"/>
  <c r="CK28" i="200"/>
  <c r="AY28" i="200"/>
  <c r="AX28" i="200"/>
  <c r="AW28" i="200"/>
  <c r="AV28" i="200"/>
  <c r="AH28" i="200"/>
  <c r="AG28" i="200"/>
  <c r="AF28" i="200"/>
  <c r="AE28" i="200"/>
  <c r="GL27" i="200"/>
  <c r="GM27" i="200" s="1"/>
  <c r="GK27" i="200"/>
  <c r="GF27" i="200"/>
  <c r="FU27" i="200"/>
  <c r="FT27" i="200"/>
  <c r="FR27" i="200"/>
  <c r="FM27" i="200"/>
  <c r="FI27" i="200"/>
  <c r="FD27" i="200"/>
  <c r="FE27" i="200" s="1"/>
  <c r="FF27" i="200" s="1"/>
  <c r="FG27" i="200" s="1"/>
  <c r="Y27" i="200" s="1"/>
  <c r="FC27" i="200"/>
  <c r="EZ27" i="200"/>
  <c r="EL27" i="200"/>
  <c r="EK27" i="200"/>
  <c r="EF27" i="200"/>
  <c r="EE27" i="200"/>
  <c r="EG27" i="200" s="1"/>
  <c r="DY27" i="200"/>
  <c r="DW27" i="200"/>
  <c r="DV27" i="200"/>
  <c r="DU27" i="200"/>
  <c r="DS27" i="200"/>
  <c r="DO27" i="200"/>
  <c r="FJ27" i="200" s="1"/>
  <c r="FK27" i="200" s="1"/>
  <c r="FL27" i="200" s="1"/>
  <c r="DN27" i="200"/>
  <c r="DM27" i="200"/>
  <c r="DL27" i="200"/>
  <c r="DK27" i="200"/>
  <c r="DJ27" i="200"/>
  <c r="DI27" i="200"/>
  <c r="DH27" i="200"/>
  <c r="FV27" i="200" s="1"/>
  <c r="DG27" i="200"/>
  <c r="DF27" i="200"/>
  <c r="DE27" i="200"/>
  <c r="DD27" i="200"/>
  <c r="DC27" i="200"/>
  <c r="FO27" i="200" s="1"/>
  <c r="DB27" i="200"/>
  <c r="DA27" i="200"/>
  <c r="CZ27" i="200"/>
  <c r="CY27" i="200"/>
  <c r="CD27" i="200" s="1"/>
  <c r="CX27" i="200"/>
  <c r="FH27" i="200" s="1"/>
  <c r="CW27" i="200"/>
  <c r="CV27" i="200"/>
  <c r="CU27" i="200"/>
  <c r="EY27" i="200" s="1"/>
  <c r="CQ27" i="200"/>
  <c r="CP27" i="200"/>
  <c r="CK27" i="200" s="1"/>
  <c r="CO27" i="200"/>
  <c r="CN27" i="200"/>
  <c r="CM27" i="200"/>
  <c r="CL27" i="200"/>
  <c r="CE27" i="200"/>
  <c r="AX27" i="200"/>
  <c r="AW27" i="200"/>
  <c r="AV27" i="200"/>
  <c r="AK27" i="200"/>
  <c r="AJ27" i="200" s="1"/>
  <c r="AH27" i="200"/>
  <c r="AG27" i="200"/>
  <c r="AF27" i="200"/>
  <c r="AE27" i="200"/>
  <c r="Z27" i="200"/>
  <c r="GL26" i="200"/>
  <c r="GM26" i="200" s="1"/>
  <c r="GK26" i="200"/>
  <c r="GF26" i="200"/>
  <c r="FV26" i="200"/>
  <c r="FT26" i="200"/>
  <c r="FR26" i="200"/>
  <c r="FP26" i="200"/>
  <c r="FI26" i="200"/>
  <c r="FH26" i="200"/>
  <c r="FD26" i="200"/>
  <c r="FC26" i="200"/>
  <c r="EL26" i="200" s="1"/>
  <c r="EN26" i="200" s="1"/>
  <c r="FB26" i="200"/>
  <c r="EZ26" i="200"/>
  <c r="ER26" i="200"/>
  <c r="EE26" i="200"/>
  <c r="ED26" i="200"/>
  <c r="EC26" i="200"/>
  <c r="EB26" i="200"/>
  <c r="DY26" i="200"/>
  <c r="DV26" i="200"/>
  <c r="DU26" i="200"/>
  <c r="DT26" i="200"/>
  <c r="DS26" i="200"/>
  <c r="DO26" i="200"/>
  <c r="DN26" i="200"/>
  <c r="DM26" i="200"/>
  <c r="DL26" i="200"/>
  <c r="DK26" i="200"/>
  <c r="DJ26" i="200"/>
  <c r="DI26" i="200"/>
  <c r="DH26" i="200"/>
  <c r="FM26" i="200" s="1"/>
  <c r="DG26" i="200"/>
  <c r="DF26" i="200"/>
  <c r="EA26" i="200" s="1"/>
  <c r="DE26" i="200"/>
  <c r="FA26" i="200" s="1"/>
  <c r="DD26" i="200"/>
  <c r="DC26" i="200"/>
  <c r="DB26" i="200"/>
  <c r="DA26" i="200"/>
  <c r="CZ26" i="200"/>
  <c r="CY26" i="200"/>
  <c r="FS26" i="200" s="1"/>
  <c r="CX26" i="200"/>
  <c r="FU26" i="200" s="1"/>
  <c r="CW26" i="200"/>
  <c r="CV26" i="200"/>
  <c r="CU26" i="200"/>
  <c r="CQ26" i="200"/>
  <c r="CP26" i="200"/>
  <c r="CK26" i="200" s="1"/>
  <c r="CO26" i="200"/>
  <c r="CN26" i="200"/>
  <c r="CM26" i="200"/>
  <c r="CL26" i="200"/>
  <c r="CE26" i="200"/>
  <c r="CD26" i="200"/>
  <c r="AY26" i="200"/>
  <c r="AX26" i="200"/>
  <c r="AW26" i="200"/>
  <c r="AV26" i="200"/>
  <c r="AQ26" i="200"/>
  <c r="AR26" i="200" s="1"/>
  <c r="AM26" i="200"/>
  <c r="AK26" i="200"/>
  <c r="AJ26" i="200" s="1"/>
  <c r="AH26" i="200"/>
  <c r="AG26" i="200"/>
  <c r="AF26" i="200"/>
  <c r="AE26" i="200"/>
  <c r="GM25" i="200"/>
  <c r="GL25" i="200"/>
  <c r="GK25" i="200"/>
  <c r="GF25" i="200"/>
  <c r="FV25" i="200"/>
  <c r="FU25" i="200"/>
  <c r="FQ25" i="200"/>
  <c r="FP25" i="200"/>
  <c r="FN25" i="200"/>
  <c r="FJ25" i="200"/>
  <c r="FK25" i="200" s="1"/>
  <c r="FL25" i="200" s="1"/>
  <c r="Z25" i="200" s="1"/>
  <c r="FI25" i="200"/>
  <c r="FH25" i="200"/>
  <c r="FF25" i="200"/>
  <c r="FC25" i="200"/>
  <c r="FB25" i="200"/>
  <c r="FA25" i="200"/>
  <c r="EZ25" i="200"/>
  <c r="EY25" i="200"/>
  <c r="EX25" i="200"/>
  <c r="EC25" i="200"/>
  <c r="EB25" i="200"/>
  <c r="EA25" i="200"/>
  <c r="DY25" i="200"/>
  <c r="DS25" i="200"/>
  <c r="DR25" i="200"/>
  <c r="DO25" i="200"/>
  <c r="DN25" i="200"/>
  <c r="DM25" i="200"/>
  <c r="DL25" i="200"/>
  <c r="DK25" i="200"/>
  <c r="EL25" i="200" s="1"/>
  <c r="DJ25" i="200"/>
  <c r="DI25" i="200"/>
  <c r="DH25" i="200"/>
  <c r="FM25" i="200" s="1"/>
  <c r="DG25" i="200"/>
  <c r="DF25" i="200"/>
  <c r="ED25" i="200" s="1"/>
  <c r="DE25" i="200"/>
  <c r="FR25" i="200" s="1"/>
  <c r="DD25" i="200"/>
  <c r="FD25" i="200" s="1"/>
  <c r="FE25" i="200" s="1"/>
  <c r="DC25" i="200"/>
  <c r="DB25" i="200"/>
  <c r="DA25" i="200"/>
  <c r="CZ25" i="200"/>
  <c r="CY25" i="200"/>
  <c r="FS25" i="200" s="1"/>
  <c r="CX25" i="200"/>
  <c r="CW25" i="200"/>
  <c r="CV25" i="200"/>
  <c r="CU25" i="200"/>
  <c r="CS25" i="200"/>
  <c r="CQ25" i="200"/>
  <c r="CP25" i="200"/>
  <c r="CO25" i="200"/>
  <c r="CN25" i="200"/>
  <c r="CM25" i="200"/>
  <c r="CL25" i="200"/>
  <c r="CK25" i="200"/>
  <c r="CD25" i="200"/>
  <c r="AY25" i="200"/>
  <c r="AX25" i="200"/>
  <c r="AW25" i="200"/>
  <c r="AV25" i="200"/>
  <c r="AS25" i="200"/>
  <c r="AQ25" i="200"/>
  <c r="AO25" i="200"/>
  <c r="AK25" i="200"/>
  <c r="AJ25" i="200"/>
  <c r="AU25" i="200" s="1"/>
  <c r="ES25" i="200" s="1"/>
  <c r="P25" i="200" s="1"/>
  <c r="AH25" i="200"/>
  <c r="AG25" i="200"/>
  <c r="AF25" i="200"/>
  <c r="AE25" i="200"/>
  <c r="O25" i="200"/>
  <c r="N25" i="200"/>
  <c r="GL24" i="200"/>
  <c r="GK24" i="200"/>
  <c r="GM24" i="200" s="1"/>
  <c r="GF24" i="200"/>
  <c r="FV24" i="200"/>
  <c r="FU24" i="200"/>
  <c r="FM24" i="200"/>
  <c r="FI24" i="200"/>
  <c r="FH24" i="200"/>
  <c r="FE24" i="200"/>
  <c r="FF24" i="200" s="1"/>
  <c r="FG24" i="200" s="1"/>
  <c r="FC24" i="200"/>
  <c r="FA24" i="200"/>
  <c r="EZ24" i="200"/>
  <c r="EB24" i="200"/>
  <c r="EA24" i="200"/>
  <c r="DY24" i="200"/>
  <c r="DX24" i="200"/>
  <c r="DS24" i="200"/>
  <c r="DO24" i="200"/>
  <c r="FJ24" i="200" s="1"/>
  <c r="FK24" i="200" s="1"/>
  <c r="FL24" i="200" s="1"/>
  <c r="Z24" i="200" s="1"/>
  <c r="DN24" i="200"/>
  <c r="DM24" i="200"/>
  <c r="DL24" i="200"/>
  <c r="DK24" i="200"/>
  <c r="EL24" i="200" s="1"/>
  <c r="DJ24" i="200"/>
  <c r="DI24" i="200"/>
  <c r="DH24" i="200"/>
  <c r="DG24" i="200"/>
  <c r="DF24" i="200"/>
  <c r="ED24" i="200" s="1"/>
  <c r="DE24" i="200"/>
  <c r="FR24" i="200" s="1"/>
  <c r="DD24" i="200"/>
  <c r="FD24" i="200" s="1"/>
  <c r="DC24" i="200"/>
  <c r="DB24" i="200"/>
  <c r="DA24" i="200"/>
  <c r="CZ24" i="200"/>
  <c r="CY24" i="200"/>
  <c r="FS24" i="200" s="1"/>
  <c r="CX24" i="200"/>
  <c r="CW24" i="200"/>
  <c r="CV24" i="200"/>
  <c r="CU24" i="200"/>
  <c r="CQ24" i="200"/>
  <c r="CP24" i="200"/>
  <c r="CO24" i="200"/>
  <c r="CN24" i="200"/>
  <c r="CM24" i="200"/>
  <c r="CL24" i="200"/>
  <c r="CK24" i="200"/>
  <c r="AY24" i="200"/>
  <c r="AX24" i="200"/>
  <c r="AW24" i="200"/>
  <c r="AV24" i="200"/>
  <c r="AK24" i="200" s="1"/>
  <c r="AQ24" i="200"/>
  <c r="AJ24" i="200"/>
  <c r="AH24" i="200"/>
  <c r="AG24" i="200"/>
  <c r="AF24" i="200"/>
  <c r="AE24" i="200"/>
  <c r="GM23" i="200"/>
  <c r="GL23" i="200"/>
  <c r="GK23" i="200"/>
  <c r="GF23" i="200"/>
  <c r="FV23" i="200"/>
  <c r="FD23" i="200"/>
  <c r="FC23" i="200"/>
  <c r="EZ23" i="200"/>
  <c r="EY23" i="200"/>
  <c r="EX23" i="200"/>
  <c r="EN23" i="200"/>
  <c r="EL23" i="200"/>
  <c r="EM23" i="200" s="1"/>
  <c r="EQ23" i="200" s="1"/>
  <c r="DY23" i="200"/>
  <c r="DX23" i="200"/>
  <c r="DW23" i="200"/>
  <c r="FO23" i="200" s="1"/>
  <c r="DV23" i="200"/>
  <c r="DU23" i="200"/>
  <c r="DS23" i="200"/>
  <c r="DO23" i="200"/>
  <c r="DN23" i="200"/>
  <c r="FI23" i="200" s="1"/>
  <c r="DM23" i="200"/>
  <c r="DL23" i="200"/>
  <c r="DK23" i="200"/>
  <c r="DJ23" i="200"/>
  <c r="DI23" i="200"/>
  <c r="DH23" i="200"/>
  <c r="FM23" i="200" s="1"/>
  <c r="DG23" i="200"/>
  <c r="DF23" i="200"/>
  <c r="DE23" i="200"/>
  <c r="DD23" i="200"/>
  <c r="DC23" i="200"/>
  <c r="DB23" i="200"/>
  <c r="DA23" i="200"/>
  <c r="EE23" i="200" s="1"/>
  <c r="CZ23" i="200"/>
  <c r="CY23" i="200"/>
  <c r="CX23" i="200"/>
  <c r="CW23" i="200"/>
  <c r="CV23" i="200"/>
  <c r="FQ23" i="200" s="1"/>
  <c r="CU23" i="200"/>
  <c r="CQ23" i="200"/>
  <c r="CP23" i="200"/>
  <c r="CO23" i="200"/>
  <c r="CN23" i="200"/>
  <c r="CM23" i="200"/>
  <c r="CL23" i="200"/>
  <c r="CE23" i="200"/>
  <c r="AX23" i="200"/>
  <c r="AW23" i="200"/>
  <c r="AV23" i="200"/>
  <c r="AK23" i="200" s="1"/>
  <c r="AO23" i="200"/>
  <c r="AN23" i="200"/>
  <c r="AM23" i="200"/>
  <c r="AL23" i="200"/>
  <c r="AH23" i="200"/>
  <c r="AG23" i="200"/>
  <c r="AF23" i="200"/>
  <c r="AE23" i="200"/>
  <c r="GL22" i="200"/>
  <c r="GM22" i="200" s="1"/>
  <c r="GK22" i="200"/>
  <c r="GF22" i="200"/>
  <c r="FU22" i="200"/>
  <c r="FT22" i="200"/>
  <c r="FM22" i="200"/>
  <c r="FK22" i="200"/>
  <c r="FL22" i="200" s="1"/>
  <c r="Z22" i="200" s="1"/>
  <c r="FJ22" i="200"/>
  <c r="FI22" i="200"/>
  <c r="FC22" i="200"/>
  <c r="EZ22" i="200"/>
  <c r="EL22" i="200"/>
  <c r="EK22" i="200"/>
  <c r="EF22" i="200"/>
  <c r="EE22" i="200"/>
  <c r="EG22" i="200" s="1"/>
  <c r="DY22" i="200"/>
  <c r="DW22" i="200"/>
  <c r="DV22" i="200"/>
  <c r="DU22" i="200"/>
  <c r="DS22" i="200"/>
  <c r="DO22" i="200"/>
  <c r="DN22" i="200"/>
  <c r="DM22" i="200"/>
  <c r="DL22" i="200"/>
  <c r="DK22" i="200"/>
  <c r="DJ22" i="200"/>
  <c r="DI22" i="200"/>
  <c r="DH22" i="200"/>
  <c r="FV22" i="200" s="1"/>
  <c r="DG22" i="200"/>
  <c r="DF22" i="200"/>
  <c r="DE22" i="200"/>
  <c r="DD22" i="200"/>
  <c r="FD22" i="200" s="1"/>
  <c r="FE22" i="200" s="1"/>
  <c r="FF22" i="200" s="1"/>
  <c r="FG22" i="200" s="1"/>
  <c r="DC22" i="200"/>
  <c r="FO22" i="200" s="1"/>
  <c r="DB22" i="200"/>
  <c r="DA22" i="200"/>
  <c r="CZ22" i="200"/>
  <c r="CY22" i="200"/>
  <c r="CD22" i="200" s="1"/>
  <c r="CX22" i="200"/>
  <c r="FH22" i="200" s="1"/>
  <c r="CW22" i="200"/>
  <c r="CV22" i="200"/>
  <c r="CU22" i="200"/>
  <c r="EY22" i="200" s="1"/>
  <c r="CQ22" i="200"/>
  <c r="CP22" i="200"/>
  <c r="CK22" i="200" s="1"/>
  <c r="CO22" i="200"/>
  <c r="CN22" i="200"/>
  <c r="CM22" i="200"/>
  <c r="CL22" i="200"/>
  <c r="CE22" i="200"/>
  <c r="AX22" i="200"/>
  <c r="AW22" i="200"/>
  <c r="AV22" i="200"/>
  <c r="AK22" i="200"/>
  <c r="AJ22" i="200" s="1"/>
  <c r="AH22" i="200"/>
  <c r="AG22" i="200"/>
  <c r="AF22" i="200"/>
  <c r="AE22" i="200"/>
  <c r="GM21" i="200"/>
  <c r="GL21" i="200"/>
  <c r="GK21" i="200"/>
  <c r="GF21" i="200"/>
  <c r="FV21" i="200"/>
  <c r="FS21" i="200"/>
  <c r="FQ21" i="200"/>
  <c r="FG21" i="200"/>
  <c r="FC21" i="200"/>
  <c r="EL21" i="200" s="1"/>
  <c r="FB21" i="200"/>
  <c r="FA21" i="200"/>
  <c r="EZ21" i="200"/>
  <c r="EE21" i="200" s="1"/>
  <c r="EY21" i="200"/>
  <c r="DY21" i="200"/>
  <c r="DS21" i="200"/>
  <c r="DO21" i="200"/>
  <c r="DN21" i="200"/>
  <c r="FI21" i="200" s="1"/>
  <c r="FJ21" i="200" s="1"/>
  <c r="FK21" i="200" s="1"/>
  <c r="DM21" i="200"/>
  <c r="DL21" i="200"/>
  <c r="DK21" i="200"/>
  <c r="DJ21" i="200"/>
  <c r="DI21" i="200"/>
  <c r="FT21" i="200" s="1"/>
  <c r="DH21" i="200"/>
  <c r="FM21" i="200" s="1"/>
  <c r="DG21" i="200"/>
  <c r="DF21" i="200"/>
  <c r="DE21" i="200"/>
  <c r="DD21" i="200"/>
  <c r="FD21" i="200" s="1"/>
  <c r="FE21" i="200" s="1"/>
  <c r="FF21" i="200" s="1"/>
  <c r="DC21" i="200"/>
  <c r="DB21" i="200"/>
  <c r="DA21" i="200"/>
  <c r="CZ21" i="200"/>
  <c r="CY21" i="200"/>
  <c r="CX21" i="200"/>
  <c r="CW21" i="200"/>
  <c r="CV21" i="200"/>
  <c r="DU21" i="200" s="1"/>
  <c r="CU21" i="200"/>
  <c r="EX21" i="200" s="1"/>
  <c r="CQ21" i="200"/>
  <c r="CP21" i="200"/>
  <c r="CO21" i="200"/>
  <c r="CN21" i="200"/>
  <c r="CM21" i="200"/>
  <c r="CL21" i="200"/>
  <c r="CK21" i="200"/>
  <c r="CE21" i="200"/>
  <c r="CD21" i="200"/>
  <c r="AY21" i="200"/>
  <c r="AX21" i="200"/>
  <c r="AW21" i="200"/>
  <c r="AV21" i="200"/>
  <c r="AQ21" i="200"/>
  <c r="AL21" i="200"/>
  <c r="AK21" i="200"/>
  <c r="AJ21" i="200"/>
  <c r="AU21" i="200" s="1"/>
  <c r="ES21" i="200" s="1"/>
  <c r="O21" i="200" s="1"/>
  <c r="AH21" i="200"/>
  <c r="AG21" i="200"/>
  <c r="AF21" i="200"/>
  <c r="AE21" i="200"/>
  <c r="P21" i="200"/>
  <c r="N21" i="200"/>
  <c r="GL20" i="200"/>
  <c r="GK20" i="200"/>
  <c r="GM20" i="200" s="1"/>
  <c r="GF20" i="200"/>
  <c r="FV20" i="200"/>
  <c r="FU20" i="200"/>
  <c r="FM20" i="200"/>
  <c r="FI20" i="200"/>
  <c r="FH20" i="200"/>
  <c r="FG20" i="200"/>
  <c r="FC20" i="200"/>
  <c r="FA20" i="200"/>
  <c r="EZ20" i="200"/>
  <c r="EB20" i="200"/>
  <c r="EA20" i="200"/>
  <c r="DY20" i="200"/>
  <c r="DS20" i="200"/>
  <c r="DO20" i="200"/>
  <c r="FJ20" i="200" s="1"/>
  <c r="FK20" i="200" s="1"/>
  <c r="FL20" i="200" s="1"/>
  <c r="DN20" i="200"/>
  <c r="DM20" i="200"/>
  <c r="DL20" i="200"/>
  <c r="DK20" i="200"/>
  <c r="EL20" i="200" s="1"/>
  <c r="DJ20" i="200"/>
  <c r="DI20" i="200"/>
  <c r="DH20" i="200"/>
  <c r="DG20" i="200"/>
  <c r="DF20" i="200"/>
  <c r="ED20" i="200" s="1"/>
  <c r="DE20" i="200"/>
  <c r="FR20" i="200" s="1"/>
  <c r="DD20" i="200"/>
  <c r="FD20" i="200" s="1"/>
  <c r="FE20" i="200" s="1"/>
  <c r="FF20" i="200" s="1"/>
  <c r="DC20" i="200"/>
  <c r="DB20" i="200"/>
  <c r="DA20" i="200"/>
  <c r="CZ20" i="200"/>
  <c r="CY20" i="200"/>
  <c r="FS20" i="200" s="1"/>
  <c r="CX20" i="200"/>
  <c r="CW20" i="200"/>
  <c r="CV20" i="200"/>
  <c r="CU20" i="200"/>
  <c r="CQ20" i="200"/>
  <c r="CP20" i="200"/>
  <c r="CO20" i="200"/>
  <c r="CN20" i="200"/>
  <c r="CM20" i="200"/>
  <c r="CL20" i="200"/>
  <c r="CK20" i="200"/>
  <c r="AY20" i="200"/>
  <c r="AX20" i="200"/>
  <c r="AW20" i="200"/>
  <c r="AV20" i="200"/>
  <c r="AK20" i="200" s="1"/>
  <c r="AH20" i="200"/>
  <c r="AG20" i="200"/>
  <c r="AF20" i="200"/>
  <c r="AE20" i="200"/>
  <c r="GM19" i="200"/>
  <c r="GL19" i="200"/>
  <c r="GK19" i="200"/>
  <c r="GF19" i="200"/>
  <c r="FV19" i="200"/>
  <c r="FU19" i="200"/>
  <c r="FT19" i="200"/>
  <c r="FM19" i="200"/>
  <c r="FJ19" i="200"/>
  <c r="FK19" i="200" s="1"/>
  <c r="FL19" i="200" s="1"/>
  <c r="Z19" i="200" s="1"/>
  <c r="FF19" i="200"/>
  <c r="FG19" i="200" s="1"/>
  <c r="Y19" i="200" s="1"/>
  <c r="FD19" i="200"/>
  <c r="FC19" i="200"/>
  <c r="EZ19" i="200"/>
  <c r="EX19" i="200"/>
  <c r="EN19" i="200"/>
  <c r="EM19" i="200"/>
  <c r="EL19" i="200"/>
  <c r="EG19" i="200"/>
  <c r="EE19" i="200"/>
  <c r="EF19" i="200" s="1"/>
  <c r="DY19" i="200"/>
  <c r="DX19" i="200"/>
  <c r="DW19" i="200"/>
  <c r="DV19" i="200"/>
  <c r="DU19" i="200"/>
  <c r="DS19" i="200"/>
  <c r="DO19" i="200"/>
  <c r="FE19" i="200" s="1"/>
  <c r="DN19" i="200"/>
  <c r="FI19" i="200" s="1"/>
  <c r="DM19" i="200"/>
  <c r="DL19" i="200"/>
  <c r="DK19" i="200"/>
  <c r="DJ19" i="200"/>
  <c r="DI19" i="200"/>
  <c r="DH19" i="200"/>
  <c r="DG19" i="200"/>
  <c r="DF19" i="200"/>
  <c r="DE19" i="200"/>
  <c r="DD19" i="200"/>
  <c r="DC19" i="200"/>
  <c r="DB19" i="200"/>
  <c r="DA19" i="200"/>
  <c r="CZ19" i="200"/>
  <c r="CY19" i="200"/>
  <c r="CX19" i="200"/>
  <c r="FH19" i="200" s="1"/>
  <c r="CW19" i="200"/>
  <c r="CV19" i="200"/>
  <c r="FQ19" i="200" s="1"/>
  <c r="CU19" i="200"/>
  <c r="EY19" i="200" s="1"/>
  <c r="CQ19" i="200"/>
  <c r="CP19" i="200"/>
  <c r="CK19" i="200" s="1"/>
  <c r="CO19" i="200"/>
  <c r="CN19" i="200"/>
  <c r="CM19" i="200"/>
  <c r="CL19" i="200"/>
  <c r="CE19" i="200"/>
  <c r="CD19" i="200"/>
  <c r="AX19" i="200"/>
  <c r="AW19" i="200"/>
  <c r="AV19" i="200"/>
  <c r="AO19" i="200"/>
  <c r="AL19" i="200"/>
  <c r="AK19" i="200"/>
  <c r="AH19" i="200"/>
  <c r="AG19" i="200"/>
  <c r="AF19" i="200"/>
  <c r="AE19" i="200"/>
  <c r="GL18" i="200"/>
  <c r="GK18" i="200"/>
  <c r="GM18" i="200" s="1"/>
  <c r="GF18" i="200"/>
  <c r="FV18" i="200"/>
  <c r="FU18" i="200"/>
  <c r="FQ18" i="200"/>
  <c r="FN18" i="200"/>
  <c r="FJ18" i="200"/>
  <c r="FK18" i="200" s="1"/>
  <c r="FI18" i="200"/>
  <c r="FH18" i="200"/>
  <c r="FF18" i="200"/>
  <c r="FC18" i="200"/>
  <c r="FB18" i="200"/>
  <c r="FA18" i="200"/>
  <c r="EZ18" i="200"/>
  <c r="EY18" i="200"/>
  <c r="EX18" i="200"/>
  <c r="EC18" i="200"/>
  <c r="FP18" i="200" s="1"/>
  <c r="EB18" i="200"/>
  <c r="EA18" i="200"/>
  <c r="DZ18" i="200"/>
  <c r="DY18" i="200"/>
  <c r="DS18" i="200"/>
  <c r="DO18" i="200"/>
  <c r="DN18" i="200"/>
  <c r="DM18" i="200"/>
  <c r="DL18" i="200"/>
  <c r="DK18" i="200"/>
  <c r="EL18" i="200" s="1"/>
  <c r="DJ18" i="200"/>
  <c r="DI18" i="200"/>
  <c r="DH18" i="200"/>
  <c r="FM18" i="200" s="1"/>
  <c r="DG18" i="200"/>
  <c r="DF18" i="200"/>
  <c r="ED18" i="200" s="1"/>
  <c r="DE18" i="200"/>
  <c r="FR18" i="200" s="1"/>
  <c r="DD18" i="200"/>
  <c r="FD18" i="200" s="1"/>
  <c r="FE18" i="200" s="1"/>
  <c r="DC18" i="200"/>
  <c r="DT18" i="200" s="1"/>
  <c r="DB18" i="200"/>
  <c r="DA18" i="200"/>
  <c r="CZ18" i="200"/>
  <c r="CY18" i="200"/>
  <c r="FS18" i="200" s="1"/>
  <c r="CX18" i="200"/>
  <c r="CW18" i="200"/>
  <c r="CV18" i="200"/>
  <c r="CU18" i="200"/>
  <c r="CQ18" i="200"/>
  <c r="CP18" i="200"/>
  <c r="CO18" i="200"/>
  <c r="CN18" i="200"/>
  <c r="CM18" i="200"/>
  <c r="CL18" i="200"/>
  <c r="CK18" i="200"/>
  <c r="CD18" i="200"/>
  <c r="AZ18" i="200"/>
  <c r="AY18" i="200"/>
  <c r="AX18" i="200"/>
  <c r="AW18" i="200"/>
  <c r="AV18" i="200"/>
  <c r="AS18" i="200"/>
  <c r="AQ18" i="200"/>
  <c r="AO18" i="200"/>
  <c r="AK18" i="200"/>
  <c r="AJ18" i="200"/>
  <c r="AU18" i="200" s="1"/>
  <c r="EU18" i="200" s="1"/>
  <c r="AH18" i="200"/>
  <c r="AG18" i="200"/>
  <c r="AF18" i="200"/>
  <c r="AE18" i="200"/>
  <c r="GM17" i="200"/>
  <c r="GL17" i="200"/>
  <c r="GK17" i="200"/>
  <c r="GF17" i="200"/>
  <c r="FV17" i="200"/>
  <c r="FU17" i="200"/>
  <c r="FT17" i="200"/>
  <c r="FS17" i="200"/>
  <c r="FJ17" i="200"/>
  <c r="FK17" i="200" s="1"/>
  <c r="FL17" i="200" s="1"/>
  <c r="FD17" i="200"/>
  <c r="FE17" i="200" s="1"/>
  <c r="FF17" i="200" s="1"/>
  <c r="FG17" i="200" s="1"/>
  <c r="Y17" i="200" s="1"/>
  <c r="FC17" i="200"/>
  <c r="EZ17" i="200"/>
  <c r="EX17" i="200"/>
  <c r="EL17" i="200"/>
  <c r="EK17" i="200"/>
  <c r="EG17" i="200"/>
  <c r="EF17" i="200"/>
  <c r="EE17" i="200"/>
  <c r="DY17" i="200"/>
  <c r="DX17" i="200"/>
  <c r="DW17" i="200"/>
  <c r="DV17" i="200"/>
  <c r="DU17" i="200"/>
  <c r="DS17" i="200"/>
  <c r="DO17" i="200"/>
  <c r="DN17" i="200"/>
  <c r="FI17" i="200" s="1"/>
  <c r="DM17" i="200"/>
  <c r="DL17" i="200"/>
  <c r="DK17" i="200"/>
  <c r="DJ17" i="200"/>
  <c r="DI17" i="200"/>
  <c r="DH17" i="200"/>
  <c r="FM17" i="200" s="1"/>
  <c r="DG17" i="200"/>
  <c r="DF17" i="200"/>
  <c r="DE17" i="200"/>
  <c r="DD17" i="200"/>
  <c r="DC17" i="200"/>
  <c r="FO17" i="200" s="1"/>
  <c r="DB17" i="200"/>
  <c r="DA17" i="200"/>
  <c r="CZ17" i="200"/>
  <c r="CY17" i="200"/>
  <c r="CX17" i="200"/>
  <c r="FH17" i="200" s="1"/>
  <c r="CW17" i="200"/>
  <c r="CV17" i="200"/>
  <c r="FQ17" i="200" s="1"/>
  <c r="CU17" i="200"/>
  <c r="EY17" i="200" s="1"/>
  <c r="CQ17" i="200"/>
  <c r="CP17" i="200"/>
  <c r="CK17" i="200" s="1"/>
  <c r="CO17" i="200"/>
  <c r="CN17" i="200"/>
  <c r="CM17" i="200"/>
  <c r="CL17" i="200"/>
  <c r="CE17" i="200"/>
  <c r="CD17" i="200"/>
  <c r="AX17" i="200"/>
  <c r="AW17" i="200"/>
  <c r="AV17" i="200"/>
  <c r="AK17" i="200" s="1"/>
  <c r="AM17" i="200"/>
  <c r="AL17" i="200"/>
  <c r="AH17" i="200"/>
  <c r="AG17" i="200"/>
  <c r="AF17" i="200"/>
  <c r="AE17" i="200"/>
  <c r="Z17" i="200"/>
  <c r="GL16" i="200"/>
  <c r="GM16" i="200" s="1"/>
  <c r="GK16" i="200"/>
  <c r="GF16" i="200"/>
  <c r="FU16" i="200"/>
  <c r="FT16" i="200"/>
  <c r="FS16" i="200"/>
  <c r="FM16" i="200"/>
  <c r="FI16" i="200"/>
  <c r="FJ16" i="200" s="1"/>
  <c r="FK16" i="200" s="1"/>
  <c r="FL16" i="200" s="1"/>
  <c r="Z16" i="200" s="1"/>
  <c r="FE16" i="200"/>
  <c r="FF16" i="200" s="1"/>
  <c r="FG16" i="200" s="1"/>
  <c r="Y16" i="200" s="1"/>
  <c r="FD16" i="200"/>
  <c r="FC16" i="200"/>
  <c r="EZ16" i="200"/>
  <c r="EL16" i="200"/>
  <c r="EK16" i="200"/>
  <c r="EE16" i="200"/>
  <c r="EG16" i="200" s="1"/>
  <c r="DY16" i="200"/>
  <c r="DW16" i="200"/>
  <c r="DV16" i="200"/>
  <c r="DU16" i="200"/>
  <c r="DS16" i="200"/>
  <c r="DO16" i="200"/>
  <c r="DN16" i="200"/>
  <c r="DM16" i="200"/>
  <c r="DL16" i="200"/>
  <c r="DK16" i="200"/>
  <c r="DJ16" i="200"/>
  <c r="DI16" i="200"/>
  <c r="DH16" i="200"/>
  <c r="FV16" i="200" s="1"/>
  <c r="DG16" i="200"/>
  <c r="DF16" i="200"/>
  <c r="DE16" i="200"/>
  <c r="DD16" i="200"/>
  <c r="DC16" i="200"/>
  <c r="DB16" i="200"/>
  <c r="DA16" i="200"/>
  <c r="CZ16" i="200"/>
  <c r="CY16" i="200"/>
  <c r="CD16" i="200" s="1"/>
  <c r="CX16" i="200"/>
  <c r="FH16" i="200" s="1"/>
  <c r="CW16" i="200"/>
  <c r="CV16" i="200"/>
  <c r="CU16" i="200"/>
  <c r="EY16" i="200" s="1"/>
  <c r="CQ16" i="200"/>
  <c r="CP16" i="200"/>
  <c r="CK16" i="200" s="1"/>
  <c r="CO16" i="200"/>
  <c r="CN16" i="200"/>
  <c r="CM16" i="200"/>
  <c r="CL16" i="200"/>
  <c r="CE16" i="200"/>
  <c r="AX16" i="200"/>
  <c r="AW16" i="200"/>
  <c r="AV16" i="200"/>
  <c r="AM16" i="200"/>
  <c r="AK16" i="200"/>
  <c r="AJ16" i="200"/>
  <c r="AH16" i="200"/>
  <c r="AG16" i="200"/>
  <c r="AF16" i="200"/>
  <c r="AE16" i="200"/>
  <c r="IF14" i="200"/>
  <c r="IE14" i="200"/>
  <c r="HX14" i="200"/>
  <c r="HW14" i="200"/>
  <c r="HH14" i="200"/>
  <c r="HF14" i="200"/>
  <c r="AA12" i="200"/>
  <c r="AB12" i="200" s="1"/>
  <c r="HX11" i="200"/>
  <c r="HY11" i="200" s="1"/>
  <c r="HZ11" i="200" s="1"/>
  <c r="IA11" i="200" s="1"/>
  <c r="IB11" i="200" s="1"/>
  <c r="IC11" i="200" s="1"/>
  <c r="ID11" i="200" s="1"/>
  <c r="IE11" i="200" s="1"/>
  <c r="IF11" i="200" s="1"/>
  <c r="HW11" i="200"/>
  <c r="HN11" i="200"/>
  <c r="HO11" i="200" s="1"/>
  <c r="HP11" i="200" s="1"/>
  <c r="HQ11" i="200" s="1"/>
  <c r="HR11" i="200" s="1"/>
  <c r="HS11" i="200" s="1"/>
  <c r="HT11" i="200" s="1"/>
  <c r="HU11" i="200" s="1"/>
  <c r="HV11" i="200" s="1"/>
  <c r="HD11" i="200"/>
  <c r="HE11" i="200" s="1"/>
  <c r="HF11" i="200" s="1"/>
  <c r="HG11" i="200" s="1"/>
  <c r="HH11" i="200" s="1"/>
  <c r="HI11" i="200" s="1"/>
  <c r="HJ11" i="200" s="1"/>
  <c r="HK11" i="200" s="1"/>
  <c r="HL11" i="200" s="1"/>
  <c r="HM11" i="200" s="1"/>
  <c r="HC11" i="200"/>
  <c r="HB11" i="200"/>
  <c r="Z10" i="200"/>
  <c r="S10" i="200"/>
  <c r="C10" i="200"/>
  <c r="DN9" i="200"/>
  <c r="DM9" i="200"/>
  <c r="DL9" i="200"/>
  <c r="DK9" i="200"/>
  <c r="DJ9" i="200"/>
  <c r="DI9" i="200"/>
  <c r="DH9" i="200"/>
  <c r="DG9" i="200"/>
  <c r="S9" i="200"/>
  <c r="C9" i="200"/>
  <c r="DN8" i="200"/>
  <c r="DM8" i="200"/>
  <c r="DL8" i="200"/>
  <c r="DK8" i="200"/>
  <c r="DJ8" i="200"/>
  <c r="DI8" i="200"/>
  <c r="DH8" i="200"/>
  <c r="DG8" i="200"/>
  <c r="DN7" i="200"/>
  <c r="DM7" i="200"/>
  <c r="DL7" i="200"/>
  <c r="DK7" i="200"/>
  <c r="DJ7" i="200"/>
  <c r="DI7" i="200"/>
  <c r="DH7" i="200"/>
  <c r="DG7" i="200"/>
  <c r="DN6" i="200"/>
  <c r="DM6" i="200"/>
  <c r="DL6" i="200"/>
  <c r="DK6" i="200"/>
  <c r="DJ6" i="200"/>
  <c r="DI6" i="200"/>
  <c r="DH6" i="200"/>
  <c r="DG6" i="200"/>
  <c r="DC6" i="200"/>
  <c r="DB6" i="200"/>
  <c r="DA6" i="200"/>
  <c r="CZ6" i="200"/>
  <c r="CY6" i="200"/>
  <c r="CX6" i="200"/>
  <c r="CW6" i="200"/>
  <c r="CV6" i="200"/>
  <c r="Y6" i="200"/>
  <c r="M6" i="200"/>
  <c r="DN5" i="200"/>
  <c r="DM5" i="200"/>
  <c r="DL5" i="200"/>
  <c r="DK5" i="200"/>
  <c r="DJ5" i="200"/>
  <c r="DI5" i="200"/>
  <c r="DH5" i="200"/>
  <c r="DG5" i="200"/>
  <c r="DC5" i="200"/>
  <c r="DB5" i="200"/>
  <c r="AL54" i="200" s="1"/>
  <c r="DA5" i="200"/>
  <c r="CZ5" i="200"/>
  <c r="CY5" i="200"/>
  <c r="CX5" i="200"/>
  <c r="CW5" i="200"/>
  <c r="CV5" i="200"/>
  <c r="DN4" i="200"/>
  <c r="DM4" i="200"/>
  <c r="DL4" i="200"/>
  <c r="DK4" i="200"/>
  <c r="DJ4" i="200"/>
  <c r="DI4" i="200"/>
  <c r="DH4" i="200"/>
  <c r="DG4" i="200"/>
  <c r="DC4" i="200"/>
  <c r="DB4" i="200"/>
  <c r="DA4" i="200"/>
  <c r="AK53" i="200" s="1"/>
  <c r="CZ4" i="200"/>
  <c r="CY4" i="200"/>
  <c r="CX4" i="200"/>
  <c r="AM53" i="200" s="1"/>
  <c r="CW4" i="200"/>
  <c r="CV4" i="200"/>
  <c r="P4" i="200"/>
  <c r="DN3" i="200"/>
  <c r="DM3" i="200"/>
  <c r="DL3" i="200"/>
  <c r="DK3" i="200"/>
  <c r="DJ3" i="200"/>
  <c r="DI3" i="200"/>
  <c r="DH3" i="200"/>
  <c r="DG3" i="200"/>
  <c r="DN2" i="200"/>
  <c r="DM2" i="200"/>
  <c r="DL2" i="200"/>
  <c r="DK2" i="200"/>
  <c r="DJ2" i="200"/>
  <c r="DI2" i="200"/>
  <c r="DH2" i="200"/>
  <c r="DG2" i="200"/>
  <c r="DD2" i="200"/>
  <c r="DB2" i="200"/>
  <c r="CZ2" i="200"/>
  <c r="CX2" i="200"/>
  <c r="HA1" i="200"/>
  <c r="DQ1" i="200"/>
  <c r="DD1" i="200"/>
  <c r="CY1" i="200"/>
  <c r="CX1" i="200"/>
  <c r="AE1" i="200"/>
  <c r="AY29" i="200" s="1"/>
  <c r="AD1" i="200"/>
  <c r="P2" i="200" s="1"/>
  <c r="P1" i="200"/>
  <c r="EO104" i="199"/>
  <c r="EN104" i="199"/>
  <c r="EM104" i="199"/>
  <c r="EO103" i="199"/>
  <c r="EN103" i="199"/>
  <c r="EM103" i="199"/>
  <c r="EO102" i="199"/>
  <c r="EN102" i="199"/>
  <c r="EM102" i="199"/>
  <c r="EO101" i="199"/>
  <c r="EN101" i="199"/>
  <c r="EM101" i="199"/>
  <c r="EO100" i="199"/>
  <c r="EN100" i="199"/>
  <c r="EM100" i="199"/>
  <c r="EO99" i="199"/>
  <c r="EN99" i="199"/>
  <c r="EM99" i="199"/>
  <c r="EO98" i="199"/>
  <c r="EN98" i="199"/>
  <c r="EM98" i="199"/>
  <c r="EO97" i="199"/>
  <c r="EN97" i="199"/>
  <c r="EM97" i="199"/>
  <c r="EO96" i="199"/>
  <c r="EN96" i="199"/>
  <c r="EM96" i="199"/>
  <c r="EO95" i="199"/>
  <c r="EN95" i="199"/>
  <c r="EM95" i="199"/>
  <c r="EO94" i="199"/>
  <c r="EN94" i="199"/>
  <c r="EM94" i="199"/>
  <c r="EO93" i="199"/>
  <c r="EN93" i="199"/>
  <c r="EM93" i="199"/>
  <c r="EO92" i="199"/>
  <c r="EN92" i="199"/>
  <c r="EM92" i="199"/>
  <c r="EO91" i="199"/>
  <c r="EN91" i="199"/>
  <c r="EM91" i="199"/>
  <c r="EO90" i="199"/>
  <c r="EN90" i="199"/>
  <c r="EM90" i="199"/>
  <c r="EO89" i="199"/>
  <c r="EN89" i="199"/>
  <c r="EM89" i="199"/>
  <c r="EO88" i="199"/>
  <c r="EN88" i="199"/>
  <c r="EM88" i="199"/>
  <c r="EO87" i="199"/>
  <c r="EN87" i="199"/>
  <c r="EM87" i="199"/>
  <c r="EO86" i="199"/>
  <c r="EN86" i="199"/>
  <c r="EM86" i="199"/>
  <c r="EO85" i="199"/>
  <c r="EN85" i="199"/>
  <c r="EM85" i="199"/>
  <c r="EO84" i="199"/>
  <c r="EN84" i="199"/>
  <c r="EM84" i="199"/>
  <c r="EO83" i="199"/>
  <c r="EN83" i="199"/>
  <c r="EM83" i="199"/>
  <c r="EO82" i="199"/>
  <c r="EN82" i="199"/>
  <c r="EM82" i="199"/>
  <c r="EO81" i="199"/>
  <c r="EN81" i="199"/>
  <c r="EM81" i="199"/>
  <c r="EO80" i="199"/>
  <c r="EN80" i="199"/>
  <c r="EM80" i="199"/>
  <c r="EO79" i="199"/>
  <c r="EN79" i="199"/>
  <c r="EM79" i="199"/>
  <c r="EO78" i="199"/>
  <c r="EN78" i="199"/>
  <c r="EM78" i="199"/>
  <c r="EO77" i="199"/>
  <c r="EN77" i="199"/>
  <c r="EM77" i="199"/>
  <c r="EO76" i="199"/>
  <c r="EN76" i="199"/>
  <c r="EM76" i="199"/>
  <c r="EO75" i="199"/>
  <c r="EN75" i="199"/>
  <c r="EM75" i="199"/>
  <c r="AW57" i="199"/>
  <c r="AV57" i="199"/>
  <c r="AS57" i="199"/>
  <c r="AO57" i="199"/>
  <c r="AN57" i="199"/>
  <c r="AM57" i="199"/>
  <c r="AK57" i="199"/>
  <c r="AA57" i="199"/>
  <c r="Z57" i="199"/>
  <c r="Y57" i="199"/>
  <c r="X57" i="199"/>
  <c r="W57" i="199"/>
  <c r="V57" i="199"/>
  <c r="AT57" i="199" s="1"/>
  <c r="U57" i="199"/>
  <c r="T57" i="199"/>
  <c r="AR57" i="199" s="1"/>
  <c r="S57" i="199"/>
  <c r="R57" i="199"/>
  <c r="Q57" i="199"/>
  <c r="P57" i="199"/>
  <c r="O57" i="199"/>
  <c r="N57" i="199"/>
  <c r="M57" i="199"/>
  <c r="L57" i="199"/>
  <c r="K57" i="199"/>
  <c r="J57" i="199"/>
  <c r="I57" i="199"/>
  <c r="H57" i="199"/>
  <c r="G57" i="199"/>
  <c r="F57" i="199"/>
  <c r="E57" i="199"/>
  <c r="D57" i="199"/>
  <c r="C57" i="199"/>
  <c r="B57" i="199"/>
  <c r="A57" i="199"/>
  <c r="AN54" i="199"/>
  <c r="AM54" i="199"/>
  <c r="AM52" i="199"/>
  <c r="AK49" i="199"/>
  <c r="GF45" i="199"/>
  <c r="FU45" i="199"/>
  <c r="FR45" i="199"/>
  <c r="FD45" i="199"/>
  <c r="FC45" i="199"/>
  <c r="EL45" i="199" s="1"/>
  <c r="EN45" i="199" s="1"/>
  <c r="FB45" i="199"/>
  <c r="EZ45" i="199"/>
  <c r="EX45" i="199"/>
  <c r="EM45" i="199"/>
  <c r="EQ45" i="199" s="1"/>
  <c r="ED45" i="199"/>
  <c r="I45" i="199" s="1"/>
  <c r="EC45" i="199"/>
  <c r="DY45" i="199"/>
  <c r="DX45" i="199"/>
  <c r="DW45" i="199"/>
  <c r="DV45" i="199"/>
  <c r="DU45" i="199"/>
  <c r="DS45" i="199"/>
  <c r="DP45" i="199"/>
  <c r="DO45" i="199"/>
  <c r="DN45" i="199"/>
  <c r="FI45" i="199" s="1"/>
  <c r="DM45" i="199"/>
  <c r="DL45" i="199"/>
  <c r="DK45" i="199"/>
  <c r="DJ45" i="199"/>
  <c r="DI45" i="199"/>
  <c r="FT45" i="199" s="1"/>
  <c r="DH45" i="199"/>
  <c r="FV45" i="199" s="1"/>
  <c r="DG45" i="199"/>
  <c r="DF45" i="199"/>
  <c r="DE45" i="199"/>
  <c r="FA45" i="199" s="1"/>
  <c r="DD45" i="199"/>
  <c r="DC45" i="199"/>
  <c r="FO45" i="199" s="1"/>
  <c r="DB45" i="199"/>
  <c r="DA45" i="199"/>
  <c r="EE45" i="199" s="1"/>
  <c r="CZ45" i="199"/>
  <c r="CY45" i="199"/>
  <c r="CX45" i="199"/>
  <c r="FH45" i="199" s="1"/>
  <c r="CW45" i="199"/>
  <c r="CV45" i="199"/>
  <c r="FQ45" i="199" s="1"/>
  <c r="CU45" i="199"/>
  <c r="EY45" i="199" s="1"/>
  <c r="CQ45" i="199"/>
  <c r="CP45" i="199"/>
  <c r="CK45" i="199" s="1"/>
  <c r="CO45" i="199"/>
  <c r="CN45" i="199"/>
  <c r="CM45" i="199"/>
  <c r="CL45" i="199"/>
  <c r="CE45" i="199"/>
  <c r="K45" i="199"/>
  <c r="J45" i="199"/>
  <c r="C45" i="199"/>
  <c r="A45" i="199"/>
  <c r="AX45" i="199" s="1"/>
  <c r="GF44" i="199"/>
  <c r="GE44" i="199" s="1"/>
  <c r="FT44" i="199"/>
  <c r="FR44" i="199"/>
  <c r="FQ44" i="199"/>
  <c r="FP44" i="199"/>
  <c r="FI44" i="199"/>
  <c r="FH44" i="199"/>
  <c r="FD44" i="199"/>
  <c r="FC44" i="199"/>
  <c r="EL44" i="199" s="1"/>
  <c r="FB44" i="199"/>
  <c r="EZ44" i="199"/>
  <c r="EE44" i="199"/>
  <c r="ED44" i="199"/>
  <c r="EC44" i="199"/>
  <c r="EB44" i="199"/>
  <c r="DY44" i="199"/>
  <c r="DV44" i="199"/>
  <c r="DU44" i="199"/>
  <c r="DS44" i="199"/>
  <c r="DT44" i="199" s="1"/>
  <c r="DO44" i="199"/>
  <c r="DN44" i="199"/>
  <c r="DM44" i="199"/>
  <c r="DL44" i="199"/>
  <c r="DK44" i="199"/>
  <c r="DJ44" i="199"/>
  <c r="DI44" i="199"/>
  <c r="DH44" i="199"/>
  <c r="FV44" i="199" s="1"/>
  <c r="DG44" i="199"/>
  <c r="DF44" i="199"/>
  <c r="EA44" i="199" s="1"/>
  <c r="DE44" i="199"/>
  <c r="FA44" i="199" s="1"/>
  <c r="DD44" i="199"/>
  <c r="DC44" i="199"/>
  <c r="DB44" i="199"/>
  <c r="DA44" i="199"/>
  <c r="CZ44" i="199"/>
  <c r="CY44" i="199"/>
  <c r="CX44" i="199"/>
  <c r="FU44" i="199" s="1"/>
  <c r="CW44" i="199"/>
  <c r="CV44" i="199"/>
  <c r="CU44" i="199"/>
  <c r="CQ44" i="199"/>
  <c r="CP44" i="199"/>
  <c r="CK44" i="199" s="1"/>
  <c r="CO44" i="199"/>
  <c r="CN44" i="199"/>
  <c r="CM44" i="199"/>
  <c r="CL44" i="199"/>
  <c r="CE44" i="199"/>
  <c r="AD44" i="199"/>
  <c r="C44" i="199"/>
  <c r="A44" i="199"/>
  <c r="AX44" i="199" s="1"/>
  <c r="FV43" i="199"/>
  <c r="FQ43" i="199"/>
  <c r="FP43" i="199"/>
  <c r="FN43" i="199"/>
  <c r="FJ43" i="199"/>
  <c r="FK43" i="199" s="1"/>
  <c r="FL43" i="199" s="1"/>
  <c r="Z43" i="199" s="1"/>
  <c r="FI43" i="199"/>
  <c r="FH43" i="199"/>
  <c r="FF43" i="199"/>
  <c r="FG43" i="199" s="1"/>
  <c r="Y43" i="199" s="1"/>
  <c r="FC43" i="199"/>
  <c r="FB43" i="199"/>
  <c r="FA43" i="199"/>
  <c r="EZ43" i="199"/>
  <c r="EE43" i="199" s="1"/>
  <c r="EF43" i="199" s="1"/>
  <c r="EY43" i="199"/>
  <c r="EX43" i="199"/>
  <c r="EG43" i="199"/>
  <c r="EC43" i="199"/>
  <c r="EB43" i="199"/>
  <c r="EA43" i="199"/>
  <c r="DZ43" i="199"/>
  <c r="DY43" i="199"/>
  <c r="DS43" i="199"/>
  <c r="DO43" i="199"/>
  <c r="DN43" i="199"/>
  <c r="DM43" i="199"/>
  <c r="DL43" i="199"/>
  <c r="DK43" i="199"/>
  <c r="EL43" i="199" s="1"/>
  <c r="DJ43" i="199"/>
  <c r="DI43" i="199"/>
  <c r="DH43" i="199"/>
  <c r="FM43" i="199" s="1"/>
  <c r="DG43" i="199"/>
  <c r="DF43" i="199"/>
  <c r="ED43" i="199" s="1"/>
  <c r="DE43" i="199"/>
  <c r="FR43" i="199" s="1"/>
  <c r="DD43" i="199"/>
  <c r="FD43" i="199" s="1"/>
  <c r="FE43" i="199" s="1"/>
  <c r="DC43" i="199"/>
  <c r="DT43" i="199" s="1"/>
  <c r="DB43" i="199"/>
  <c r="DA43" i="199"/>
  <c r="CZ43" i="199"/>
  <c r="CY43" i="199"/>
  <c r="FS43" i="199" s="1"/>
  <c r="CX43" i="199"/>
  <c r="FU43" i="199" s="1"/>
  <c r="CW43" i="199"/>
  <c r="CV43" i="199"/>
  <c r="CU43" i="199"/>
  <c r="CQ43" i="199"/>
  <c r="CP43" i="199"/>
  <c r="CO43" i="199"/>
  <c r="CN43" i="199"/>
  <c r="CM43" i="199"/>
  <c r="CL43" i="199"/>
  <c r="CK43" i="199"/>
  <c r="CD43" i="199"/>
  <c r="AW43" i="199"/>
  <c r="AH43" i="199"/>
  <c r="AG43" i="199"/>
  <c r="AF43" i="199"/>
  <c r="AE43" i="199"/>
  <c r="C43" i="199"/>
  <c r="AV43" i="199" s="1"/>
  <c r="AK43" i="199" s="1"/>
  <c r="A43" i="199"/>
  <c r="GK42" i="199"/>
  <c r="GF42" i="199"/>
  <c r="GB42" i="199"/>
  <c r="GA42" i="199"/>
  <c r="FV42" i="199"/>
  <c r="FU42" i="199"/>
  <c r="FT42" i="199"/>
  <c r="FM42" i="199"/>
  <c r="FH42" i="199"/>
  <c r="FD42" i="199"/>
  <c r="FC42" i="199"/>
  <c r="EZ42" i="199"/>
  <c r="EE42" i="199" s="1"/>
  <c r="EF42" i="199" s="1"/>
  <c r="EJ42" i="199" s="1"/>
  <c r="EN42" i="199"/>
  <c r="EM42" i="199"/>
  <c r="EA42" i="199"/>
  <c r="DZ42" i="199"/>
  <c r="DY42" i="199"/>
  <c r="DX42" i="199"/>
  <c r="H42" i="199" s="1"/>
  <c r="DW42" i="199"/>
  <c r="DS42" i="199"/>
  <c r="DP42" i="199"/>
  <c r="DO42" i="199"/>
  <c r="DN42" i="199"/>
  <c r="FI42" i="199" s="1"/>
  <c r="DM42" i="199"/>
  <c r="DL42" i="199"/>
  <c r="DK42" i="199"/>
  <c r="EL42" i="199" s="1"/>
  <c r="DJ42" i="199"/>
  <c r="DI42" i="199"/>
  <c r="DH42" i="199"/>
  <c r="DG42" i="199"/>
  <c r="DF42" i="199"/>
  <c r="ED42" i="199" s="1"/>
  <c r="DE42" i="199"/>
  <c r="FR42" i="199" s="1"/>
  <c r="DD42" i="199"/>
  <c r="DC42" i="199"/>
  <c r="DB42" i="199"/>
  <c r="DA42" i="199"/>
  <c r="CZ42" i="199"/>
  <c r="CY42" i="199"/>
  <c r="CX42" i="199"/>
  <c r="CW42" i="199"/>
  <c r="CV42" i="199"/>
  <c r="DV42" i="199" s="1"/>
  <c r="CU42" i="199"/>
  <c r="CQ42" i="199"/>
  <c r="CP42" i="199"/>
  <c r="CK42" i="199" s="1"/>
  <c r="CO42" i="199"/>
  <c r="CN42" i="199"/>
  <c r="CM42" i="199"/>
  <c r="CL42" i="199"/>
  <c r="AX42" i="199"/>
  <c r="AW42" i="199"/>
  <c r="AV42" i="199"/>
  <c r="AK42" i="199" s="1"/>
  <c r="AO42" i="199" s="1"/>
  <c r="AN42" i="199"/>
  <c r="AM42" i="199"/>
  <c r="AH42" i="199"/>
  <c r="AG42" i="199"/>
  <c r="G42" i="199"/>
  <c r="F42" i="199"/>
  <c r="E42" i="199"/>
  <c r="D42" i="199"/>
  <c r="C42" i="199"/>
  <c r="AD42" i="199" s="1"/>
  <c r="A42" i="199"/>
  <c r="GK41" i="199"/>
  <c r="GF41" i="199"/>
  <c r="FS41" i="199"/>
  <c r="FR41" i="199"/>
  <c r="FN41" i="199"/>
  <c r="FM41" i="199"/>
  <c r="FF41" i="199"/>
  <c r="FG41" i="199" s="1"/>
  <c r="Y41" i="199" s="1"/>
  <c r="FE41" i="199"/>
  <c r="FD41" i="199"/>
  <c r="FC41" i="199"/>
  <c r="EL41" i="199" s="1"/>
  <c r="EM41" i="199" s="1"/>
  <c r="EQ41" i="199" s="1"/>
  <c r="FB41" i="199"/>
  <c r="EZ41" i="199"/>
  <c r="EX41" i="199"/>
  <c r="EN41" i="199"/>
  <c r="EF41" i="199"/>
  <c r="EE41" i="199"/>
  <c r="EG41" i="199" s="1"/>
  <c r="ED41" i="199"/>
  <c r="EC41" i="199"/>
  <c r="DY41" i="199"/>
  <c r="DX41" i="199"/>
  <c r="DW41" i="199"/>
  <c r="DV41" i="199"/>
  <c r="DU41" i="199"/>
  <c r="DS41" i="199"/>
  <c r="DP41" i="199"/>
  <c r="E41" i="199" s="1"/>
  <c r="DO41" i="199"/>
  <c r="FJ41" i="199" s="1"/>
  <c r="FK41" i="199" s="1"/>
  <c r="FL41" i="199" s="1"/>
  <c r="Z41" i="199" s="1"/>
  <c r="DN41" i="199"/>
  <c r="FI41" i="199" s="1"/>
  <c r="DM41" i="199"/>
  <c r="DL41" i="199"/>
  <c r="DK41" i="199"/>
  <c r="DJ41" i="199"/>
  <c r="DI41" i="199"/>
  <c r="DH41" i="199"/>
  <c r="FV41" i="199" s="1"/>
  <c r="DG41" i="199"/>
  <c r="DF41" i="199"/>
  <c r="DE41" i="199"/>
  <c r="FA41" i="199" s="1"/>
  <c r="DD41" i="199"/>
  <c r="DC41" i="199"/>
  <c r="DT41" i="199" s="1"/>
  <c r="DB41" i="199"/>
  <c r="DA41" i="199"/>
  <c r="CZ41" i="199"/>
  <c r="CY41" i="199"/>
  <c r="CX41" i="199"/>
  <c r="FH41" i="199" s="1"/>
  <c r="CW41" i="199"/>
  <c r="CV41" i="199"/>
  <c r="CU41" i="199"/>
  <c r="FQ41" i="199" s="1"/>
  <c r="CQ41" i="199"/>
  <c r="CP41" i="199"/>
  <c r="CO41" i="199"/>
  <c r="CN41" i="199"/>
  <c r="CM41" i="199"/>
  <c r="CL41" i="199"/>
  <c r="CD41" i="199"/>
  <c r="AF41" i="199"/>
  <c r="AE41" i="199"/>
  <c r="AD41" i="199"/>
  <c r="K41" i="199"/>
  <c r="D41" i="199"/>
  <c r="C41" i="199"/>
  <c r="A41" i="199"/>
  <c r="AX41" i="199" s="1"/>
  <c r="GL40" i="199"/>
  <c r="GM40" i="199" s="1"/>
  <c r="GK40" i="199"/>
  <c r="GF40" i="199"/>
  <c r="FT40" i="199"/>
  <c r="FS40" i="199"/>
  <c r="FE40" i="199"/>
  <c r="FF40" i="199" s="1"/>
  <c r="FG40" i="199" s="1"/>
  <c r="Y40" i="199" s="1"/>
  <c r="FD40" i="199"/>
  <c r="FC40" i="199"/>
  <c r="EL40" i="199" s="1"/>
  <c r="FA40" i="199"/>
  <c r="EZ40" i="199"/>
  <c r="EY40" i="199"/>
  <c r="EX40" i="199"/>
  <c r="EF40" i="199"/>
  <c r="EE40" i="199"/>
  <c r="EG40" i="199" s="1"/>
  <c r="DY40" i="199"/>
  <c r="DX40" i="199"/>
  <c r="DW40" i="199"/>
  <c r="FO40" i="199" s="1"/>
  <c r="DV40" i="199"/>
  <c r="DS40" i="199"/>
  <c r="DO40" i="199"/>
  <c r="DN40" i="199"/>
  <c r="FI40" i="199" s="1"/>
  <c r="DM40" i="199"/>
  <c r="DL40" i="199"/>
  <c r="DK40" i="199"/>
  <c r="DJ40" i="199"/>
  <c r="DI40" i="199"/>
  <c r="DH40" i="199"/>
  <c r="FM40" i="199" s="1"/>
  <c r="DG40" i="199"/>
  <c r="DF40" i="199"/>
  <c r="DE40" i="199"/>
  <c r="DD40" i="199"/>
  <c r="DC40" i="199"/>
  <c r="DB40" i="199"/>
  <c r="DA40" i="199"/>
  <c r="CZ40" i="199"/>
  <c r="CY40" i="199"/>
  <c r="CX40" i="199"/>
  <c r="CW40" i="199"/>
  <c r="CV40" i="199"/>
  <c r="DU40" i="199" s="1"/>
  <c r="CU40" i="199"/>
  <c r="FQ40" i="199" s="1"/>
  <c r="CQ40" i="199"/>
  <c r="CP40" i="199"/>
  <c r="CO40" i="199"/>
  <c r="CN40" i="199"/>
  <c r="CM40" i="199"/>
  <c r="CL40" i="199"/>
  <c r="CK40" i="199"/>
  <c r="CE40" i="199"/>
  <c r="AX40" i="199"/>
  <c r="AW40" i="199"/>
  <c r="AV40" i="199"/>
  <c r="AK40" i="199" s="1"/>
  <c r="AN40" i="199"/>
  <c r="AM40" i="199"/>
  <c r="AL40" i="199"/>
  <c r="AH40" i="199"/>
  <c r="AG40" i="199"/>
  <c r="AF40" i="199"/>
  <c r="AE40" i="199"/>
  <c r="GM39" i="199"/>
  <c r="GL39" i="199"/>
  <c r="GK39" i="199"/>
  <c r="GF39" i="199"/>
  <c r="FS39" i="199"/>
  <c r="FR39" i="199"/>
  <c r="FN39" i="199"/>
  <c r="FM39" i="199"/>
  <c r="FF39" i="199"/>
  <c r="FG39" i="199" s="1"/>
  <c r="Y39" i="199" s="1"/>
  <c r="FE39" i="199"/>
  <c r="FD39" i="199"/>
  <c r="FC39" i="199"/>
  <c r="EL39" i="199" s="1"/>
  <c r="EM39" i="199" s="1"/>
  <c r="EQ39" i="199" s="1"/>
  <c r="FB39" i="199"/>
  <c r="EZ39" i="199"/>
  <c r="EX39" i="199"/>
  <c r="EN39" i="199"/>
  <c r="ED39" i="199"/>
  <c r="EC39" i="199"/>
  <c r="DY39" i="199"/>
  <c r="DX39" i="199"/>
  <c r="DW39" i="199"/>
  <c r="DV39" i="199"/>
  <c r="DU39" i="199"/>
  <c r="DS39" i="199"/>
  <c r="DP39" i="199"/>
  <c r="DO39" i="199"/>
  <c r="FJ39" i="199" s="1"/>
  <c r="FK39" i="199" s="1"/>
  <c r="FL39" i="199" s="1"/>
  <c r="Z39" i="199" s="1"/>
  <c r="DN39" i="199"/>
  <c r="FI39" i="199" s="1"/>
  <c r="DM39" i="199"/>
  <c r="DL39" i="199"/>
  <c r="DK39" i="199"/>
  <c r="DJ39" i="199"/>
  <c r="DI39" i="199"/>
  <c r="DH39" i="199"/>
  <c r="FV39" i="199" s="1"/>
  <c r="DG39" i="199"/>
  <c r="DF39" i="199"/>
  <c r="DE39" i="199"/>
  <c r="FA39" i="199" s="1"/>
  <c r="DD39" i="199"/>
  <c r="DC39" i="199"/>
  <c r="DT39" i="199" s="1"/>
  <c r="DB39" i="199"/>
  <c r="DA39" i="199"/>
  <c r="EE39" i="199" s="1"/>
  <c r="CZ39" i="199"/>
  <c r="CY39" i="199"/>
  <c r="CX39" i="199"/>
  <c r="FH39" i="199" s="1"/>
  <c r="CW39" i="199"/>
  <c r="CV39" i="199"/>
  <c r="CU39" i="199"/>
  <c r="FQ39" i="199" s="1"/>
  <c r="CQ39" i="199"/>
  <c r="CP39" i="199"/>
  <c r="CK39" i="199" s="1"/>
  <c r="CO39" i="199"/>
  <c r="CN39" i="199"/>
  <c r="CM39" i="199"/>
  <c r="CL39" i="199"/>
  <c r="CD39" i="199"/>
  <c r="AX39" i="199"/>
  <c r="AW39" i="199"/>
  <c r="AV39" i="199"/>
  <c r="AK39" i="199"/>
  <c r="AH39" i="199"/>
  <c r="AG39" i="199"/>
  <c r="AF39" i="199"/>
  <c r="AE39" i="199"/>
  <c r="GM38" i="199"/>
  <c r="GL38" i="199"/>
  <c r="GK38" i="199"/>
  <c r="GF38" i="199"/>
  <c r="FT38" i="199"/>
  <c r="FQ38" i="199"/>
  <c r="FM38" i="199"/>
  <c r="FC38" i="199"/>
  <c r="FB38" i="199"/>
  <c r="FA38" i="199"/>
  <c r="EZ38" i="199"/>
  <c r="ER38" i="199"/>
  <c r="EN38" i="199"/>
  <c r="EM38" i="199"/>
  <c r="EL38" i="199"/>
  <c r="EK38" i="199"/>
  <c r="EV38" i="199" s="1"/>
  <c r="EF38" i="199"/>
  <c r="EE38" i="199"/>
  <c r="EG38" i="199" s="1"/>
  <c r="DY38" i="199"/>
  <c r="DX38" i="199"/>
  <c r="DT38" i="199"/>
  <c r="DS38" i="199"/>
  <c r="DO38" i="199"/>
  <c r="DN38" i="199"/>
  <c r="FI38" i="199" s="1"/>
  <c r="DM38" i="199"/>
  <c r="DL38" i="199"/>
  <c r="DK38" i="199"/>
  <c r="DJ38" i="199"/>
  <c r="DI38" i="199"/>
  <c r="DH38" i="199"/>
  <c r="FV38" i="199" s="1"/>
  <c r="DG38" i="199"/>
  <c r="DF38" i="199"/>
  <c r="DE38" i="199"/>
  <c r="DD38" i="199"/>
  <c r="FD38" i="199" s="1"/>
  <c r="DC38" i="199"/>
  <c r="DB38" i="199"/>
  <c r="DA38" i="199"/>
  <c r="CZ38" i="199"/>
  <c r="CY38" i="199"/>
  <c r="CX38" i="199"/>
  <c r="CW38" i="199"/>
  <c r="CV38" i="199"/>
  <c r="DU38" i="199" s="1"/>
  <c r="CU38" i="199"/>
  <c r="EY38" i="199" s="1"/>
  <c r="CQ38" i="199"/>
  <c r="CP38" i="199"/>
  <c r="CK38" i="199" s="1"/>
  <c r="CO38" i="199"/>
  <c r="CN38" i="199"/>
  <c r="CM38" i="199"/>
  <c r="CL38" i="199"/>
  <c r="CE38" i="199"/>
  <c r="AX38" i="199"/>
  <c r="AW38" i="199"/>
  <c r="AV38" i="199"/>
  <c r="AN38" i="199"/>
  <c r="AM38" i="199"/>
  <c r="AL38" i="199"/>
  <c r="AK38" i="199"/>
  <c r="AJ38" i="199"/>
  <c r="AH38" i="199"/>
  <c r="AG38" i="199"/>
  <c r="AF38" i="199"/>
  <c r="AE38" i="199"/>
  <c r="GL37" i="199"/>
  <c r="GK37" i="199"/>
  <c r="GM37" i="199" s="1"/>
  <c r="GF37" i="199"/>
  <c r="FT37" i="199"/>
  <c r="FS37" i="199"/>
  <c r="FR37" i="199"/>
  <c r="FI37" i="199"/>
  <c r="FJ37" i="199" s="1"/>
  <c r="FK37" i="199" s="1"/>
  <c r="FL37" i="199" s="1"/>
  <c r="Z37" i="199" s="1"/>
  <c r="FH37" i="199"/>
  <c r="FD37" i="199"/>
  <c r="FC37" i="199"/>
  <c r="EL37" i="199" s="1"/>
  <c r="EZ37" i="199"/>
  <c r="EE37" i="199" s="1"/>
  <c r="ED37" i="199"/>
  <c r="EC37" i="199"/>
  <c r="EB37" i="199"/>
  <c r="DY37" i="199"/>
  <c r="DV37" i="199"/>
  <c r="DU37" i="199"/>
  <c r="DT37" i="199"/>
  <c r="DS37" i="199"/>
  <c r="DO37" i="199"/>
  <c r="DN37" i="199"/>
  <c r="DM37" i="199"/>
  <c r="DL37" i="199"/>
  <c r="DK37" i="199"/>
  <c r="DJ37" i="199"/>
  <c r="DI37" i="199"/>
  <c r="DH37" i="199"/>
  <c r="FV37" i="199" s="1"/>
  <c r="DG37" i="199"/>
  <c r="DF37" i="199"/>
  <c r="EA37" i="199" s="1"/>
  <c r="DE37" i="199"/>
  <c r="DD37" i="199"/>
  <c r="DC37" i="199"/>
  <c r="DB37" i="199"/>
  <c r="DA37" i="199"/>
  <c r="CZ37" i="199"/>
  <c r="CY37" i="199"/>
  <c r="CX37" i="199"/>
  <c r="FU37" i="199" s="1"/>
  <c r="CW37" i="199"/>
  <c r="CV37" i="199"/>
  <c r="CU37" i="199"/>
  <c r="CQ37" i="199"/>
  <c r="CP37" i="199"/>
  <c r="CK37" i="199" s="1"/>
  <c r="CO37" i="199"/>
  <c r="CN37" i="199"/>
  <c r="CM37" i="199"/>
  <c r="CL37" i="199"/>
  <c r="CE37" i="199"/>
  <c r="CD37" i="199"/>
  <c r="AX37" i="199"/>
  <c r="AW37" i="199"/>
  <c r="AV37" i="199"/>
  <c r="AK37" i="199"/>
  <c r="AH37" i="199"/>
  <c r="AG37" i="199"/>
  <c r="AF37" i="199"/>
  <c r="AE37" i="199"/>
  <c r="GL36" i="199"/>
  <c r="GK36" i="199"/>
  <c r="GF36" i="199"/>
  <c r="FT36" i="199"/>
  <c r="FS36" i="199"/>
  <c r="FQ36" i="199"/>
  <c r="FJ36" i="199"/>
  <c r="FK36" i="199" s="1"/>
  <c r="FL36" i="199" s="1"/>
  <c r="Z36" i="199" s="1"/>
  <c r="FC36" i="199"/>
  <c r="EL36" i="199" s="1"/>
  <c r="FB36" i="199"/>
  <c r="FA36" i="199"/>
  <c r="EZ36" i="199"/>
  <c r="EE36" i="199" s="1"/>
  <c r="EY36" i="199"/>
  <c r="EC36" i="199"/>
  <c r="EA36" i="199"/>
  <c r="DY36" i="199"/>
  <c r="DU36" i="199"/>
  <c r="DS36" i="199"/>
  <c r="DO36" i="199"/>
  <c r="FE36" i="199" s="1"/>
  <c r="FF36" i="199" s="1"/>
  <c r="FG36" i="199" s="1"/>
  <c r="DN36" i="199"/>
  <c r="FI36" i="199" s="1"/>
  <c r="DM36" i="199"/>
  <c r="FP36" i="199" s="1"/>
  <c r="DL36" i="199"/>
  <c r="DK36" i="199"/>
  <c r="DJ36" i="199"/>
  <c r="DI36" i="199"/>
  <c r="DH36" i="199"/>
  <c r="FV36" i="199" s="1"/>
  <c r="DG36" i="199"/>
  <c r="DF36" i="199"/>
  <c r="ED36" i="199" s="1"/>
  <c r="DE36" i="199"/>
  <c r="FR36" i="199" s="1"/>
  <c r="DD36" i="199"/>
  <c r="FD36" i="199" s="1"/>
  <c r="DC36" i="199"/>
  <c r="DT36" i="199" s="1"/>
  <c r="DB36" i="199"/>
  <c r="DA36" i="199"/>
  <c r="CZ36" i="199"/>
  <c r="CY36" i="199"/>
  <c r="CX36" i="199"/>
  <c r="CW36" i="199"/>
  <c r="CV36" i="199"/>
  <c r="CU36" i="199"/>
  <c r="EX36" i="199" s="1"/>
  <c r="CQ36" i="199"/>
  <c r="CP36" i="199"/>
  <c r="CO36" i="199"/>
  <c r="CN36" i="199"/>
  <c r="CM36" i="199"/>
  <c r="CL36" i="199"/>
  <c r="CK36" i="199"/>
  <c r="CE36" i="199"/>
  <c r="CD36" i="199"/>
  <c r="AX36" i="199"/>
  <c r="AW36" i="199"/>
  <c r="AV36" i="199"/>
  <c r="AK36" i="199"/>
  <c r="AH36" i="199"/>
  <c r="AG36" i="199"/>
  <c r="AF36" i="199"/>
  <c r="AE36" i="199"/>
  <c r="Y36" i="199"/>
  <c r="GM35" i="199"/>
  <c r="GL35" i="199"/>
  <c r="GK35" i="199"/>
  <c r="GF35" i="199"/>
  <c r="FV35" i="199"/>
  <c r="FR35" i="199"/>
  <c r="FJ35" i="199"/>
  <c r="FK35" i="199" s="1"/>
  <c r="FL35" i="199" s="1"/>
  <c r="Z35" i="199" s="1"/>
  <c r="FI35" i="199"/>
  <c r="FH35" i="199"/>
  <c r="FC35" i="199"/>
  <c r="FB35" i="199"/>
  <c r="FA35" i="199"/>
  <c r="EZ35" i="199"/>
  <c r="EX35" i="199"/>
  <c r="EC35" i="199"/>
  <c r="FP35" i="199" s="1"/>
  <c r="EB35" i="199"/>
  <c r="EA35" i="199"/>
  <c r="DY35" i="199"/>
  <c r="DS35" i="199"/>
  <c r="DO35" i="199"/>
  <c r="DN35" i="199"/>
  <c r="DM35" i="199"/>
  <c r="DL35" i="199"/>
  <c r="DK35" i="199"/>
  <c r="EL35" i="199" s="1"/>
  <c r="DJ35" i="199"/>
  <c r="DI35" i="199"/>
  <c r="DH35" i="199"/>
  <c r="FM35" i="199" s="1"/>
  <c r="DG35" i="199"/>
  <c r="DF35" i="199"/>
  <c r="ED35" i="199" s="1"/>
  <c r="DE35" i="199"/>
  <c r="DD35" i="199"/>
  <c r="FD35" i="199" s="1"/>
  <c r="DC35" i="199"/>
  <c r="DT35" i="199" s="1"/>
  <c r="DB35" i="199"/>
  <c r="DA35" i="199"/>
  <c r="CZ35" i="199"/>
  <c r="CY35" i="199"/>
  <c r="FS35" i="199" s="1"/>
  <c r="CX35" i="199"/>
  <c r="FU35" i="199" s="1"/>
  <c r="CW35" i="199"/>
  <c r="CV35" i="199"/>
  <c r="CU35" i="199"/>
  <c r="EY35" i="199" s="1"/>
  <c r="CQ35" i="199"/>
  <c r="CP35" i="199"/>
  <c r="CO35" i="199"/>
  <c r="CN35" i="199"/>
  <c r="CM35" i="199"/>
  <c r="CL35" i="199"/>
  <c r="CK35" i="199"/>
  <c r="CD35" i="199"/>
  <c r="AX35" i="199"/>
  <c r="AW35" i="199"/>
  <c r="AV35" i="199"/>
  <c r="AO35" i="199"/>
  <c r="AK35" i="199"/>
  <c r="AJ35" i="199"/>
  <c r="AH35" i="199"/>
  <c r="AG35" i="199"/>
  <c r="AF35" i="199"/>
  <c r="AE35" i="199"/>
  <c r="GL34" i="199"/>
  <c r="GK34" i="199"/>
  <c r="GM34" i="199" s="1"/>
  <c r="GF34" i="199"/>
  <c r="FV34" i="199"/>
  <c r="FU34" i="199"/>
  <c r="FQ34" i="199"/>
  <c r="FM34" i="199"/>
  <c r="FI34" i="199"/>
  <c r="FH34" i="199"/>
  <c r="FC34" i="199"/>
  <c r="FA34" i="199"/>
  <c r="EZ34" i="199"/>
  <c r="EE34" i="199" s="1"/>
  <c r="EY34" i="199"/>
  <c r="EX34" i="199"/>
  <c r="EB34" i="199"/>
  <c r="EA34" i="199"/>
  <c r="DZ34" i="199"/>
  <c r="DY34" i="199"/>
  <c r="DX34" i="199"/>
  <c r="DS34" i="199"/>
  <c r="DT34" i="199" s="1"/>
  <c r="DO34" i="199"/>
  <c r="FJ34" i="199" s="1"/>
  <c r="FK34" i="199" s="1"/>
  <c r="FL34" i="199" s="1"/>
  <c r="Z34" i="199" s="1"/>
  <c r="DN34" i="199"/>
  <c r="DM34" i="199"/>
  <c r="DL34" i="199"/>
  <c r="DK34" i="199"/>
  <c r="EL34" i="199" s="1"/>
  <c r="EM34" i="199" s="1"/>
  <c r="DJ34" i="199"/>
  <c r="DI34" i="199"/>
  <c r="DH34" i="199"/>
  <c r="DG34" i="199"/>
  <c r="DF34" i="199"/>
  <c r="ED34" i="199" s="1"/>
  <c r="DE34" i="199"/>
  <c r="FR34" i="199" s="1"/>
  <c r="DD34" i="199"/>
  <c r="FD34" i="199" s="1"/>
  <c r="FE34" i="199" s="1"/>
  <c r="FF34" i="199" s="1"/>
  <c r="FG34" i="199" s="1"/>
  <c r="Y34" i="199" s="1"/>
  <c r="DC34" i="199"/>
  <c r="DB34" i="199"/>
  <c r="DA34" i="199"/>
  <c r="CZ34" i="199"/>
  <c r="CY34" i="199"/>
  <c r="FS34" i="199" s="1"/>
  <c r="CX34" i="199"/>
  <c r="CW34" i="199"/>
  <c r="CV34" i="199"/>
  <c r="CU34" i="199"/>
  <c r="CQ34" i="199"/>
  <c r="CP34" i="199"/>
  <c r="CO34" i="199"/>
  <c r="CN34" i="199"/>
  <c r="CM34" i="199"/>
  <c r="CL34" i="199"/>
  <c r="CK34" i="199"/>
  <c r="AX34" i="199"/>
  <c r="AW34" i="199"/>
  <c r="AV34" i="199"/>
  <c r="AK34" i="199" s="1"/>
  <c r="AH34" i="199"/>
  <c r="AG34" i="199"/>
  <c r="AF34" i="199"/>
  <c r="AE34" i="199"/>
  <c r="G34" i="199"/>
  <c r="GL33" i="199"/>
  <c r="GK33" i="199"/>
  <c r="GM33" i="199" s="1"/>
  <c r="GF33" i="199"/>
  <c r="FV33" i="199"/>
  <c r="FU33" i="199"/>
  <c r="FO33" i="199"/>
  <c r="FM33" i="199"/>
  <c r="FH33" i="199"/>
  <c r="FD33" i="199"/>
  <c r="FC33" i="199"/>
  <c r="EZ33" i="199"/>
  <c r="EY33" i="199"/>
  <c r="EX33" i="199"/>
  <c r="EN33" i="199"/>
  <c r="ER33" i="199" s="1"/>
  <c r="EM33" i="199"/>
  <c r="EQ33" i="199" s="1"/>
  <c r="CI33" i="199" s="1"/>
  <c r="EA33" i="199"/>
  <c r="DY33" i="199"/>
  <c r="DX33" i="199"/>
  <c r="DW33" i="199"/>
  <c r="DV33" i="199"/>
  <c r="DS33" i="199"/>
  <c r="DP33" i="199"/>
  <c r="DO33" i="199"/>
  <c r="DN33" i="199"/>
  <c r="FI33" i="199" s="1"/>
  <c r="DM33" i="199"/>
  <c r="DL33" i="199"/>
  <c r="DK33" i="199"/>
  <c r="EL33" i="199" s="1"/>
  <c r="DJ33" i="199"/>
  <c r="DI33" i="199"/>
  <c r="DH33" i="199"/>
  <c r="DG33" i="199"/>
  <c r="DF33" i="199"/>
  <c r="ED33" i="199" s="1"/>
  <c r="DE33" i="199"/>
  <c r="FR33" i="199" s="1"/>
  <c r="DD33" i="199"/>
  <c r="DC33" i="199"/>
  <c r="DB33" i="199"/>
  <c r="DA33" i="199"/>
  <c r="EE33" i="199" s="1"/>
  <c r="CZ33" i="199"/>
  <c r="CY33" i="199"/>
  <c r="CX33" i="199"/>
  <c r="CW33" i="199"/>
  <c r="CV33" i="199"/>
  <c r="DU33" i="199" s="1"/>
  <c r="CU33" i="199"/>
  <c r="FQ33" i="199" s="1"/>
  <c r="CQ33" i="199"/>
  <c r="CP33" i="199"/>
  <c r="CK33" i="199" s="1"/>
  <c r="CO33" i="199"/>
  <c r="CN33" i="199"/>
  <c r="CM33" i="199"/>
  <c r="CL33" i="199"/>
  <c r="AX33" i="199"/>
  <c r="AW33" i="199"/>
  <c r="AV33" i="199"/>
  <c r="AK33" i="199" s="1"/>
  <c r="AO33" i="199"/>
  <c r="AN33" i="199"/>
  <c r="AM33" i="199"/>
  <c r="AH33" i="199"/>
  <c r="AG33" i="199"/>
  <c r="AF33" i="199"/>
  <c r="AE33" i="199"/>
  <c r="W33" i="199"/>
  <c r="V33" i="199"/>
  <c r="AT33" i="199" s="1"/>
  <c r="H33" i="199"/>
  <c r="AQ33" i="199" s="1"/>
  <c r="GM32" i="199"/>
  <c r="GL32" i="199"/>
  <c r="GK32" i="199"/>
  <c r="GF32" i="199"/>
  <c r="FU32" i="199"/>
  <c r="FT32" i="199"/>
  <c r="FF32" i="199"/>
  <c r="FG32" i="199" s="1"/>
  <c r="Y32" i="199" s="1"/>
  <c r="FE32" i="199"/>
  <c r="FD32" i="199"/>
  <c r="FC32" i="199"/>
  <c r="EZ32" i="199"/>
  <c r="EY32" i="199"/>
  <c r="EX32" i="199"/>
  <c r="EM32" i="199"/>
  <c r="EL32" i="199"/>
  <c r="EN32" i="199" s="1"/>
  <c r="EG32" i="199"/>
  <c r="EF32" i="199"/>
  <c r="EE32" i="199"/>
  <c r="DY32" i="199"/>
  <c r="DX32" i="199"/>
  <c r="DW32" i="199"/>
  <c r="FO32" i="199" s="1"/>
  <c r="DV32" i="199"/>
  <c r="DU32" i="199"/>
  <c r="DS32" i="199"/>
  <c r="DP32" i="199"/>
  <c r="DO32" i="199"/>
  <c r="DN32" i="199"/>
  <c r="FI32" i="199" s="1"/>
  <c r="DM32" i="199"/>
  <c r="DL32" i="199"/>
  <c r="DK32" i="199"/>
  <c r="DJ32" i="199"/>
  <c r="DI32" i="199"/>
  <c r="DH32" i="199"/>
  <c r="DG32" i="199"/>
  <c r="DF32" i="199"/>
  <c r="DE32" i="199"/>
  <c r="FR32" i="199" s="1"/>
  <c r="DD32" i="199"/>
  <c r="DC32" i="199"/>
  <c r="DB32" i="199"/>
  <c r="DA32" i="199"/>
  <c r="CZ32" i="199"/>
  <c r="CY32" i="199"/>
  <c r="CX32" i="199"/>
  <c r="FH32" i="199" s="1"/>
  <c r="CW32" i="199"/>
  <c r="CV32" i="199"/>
  <c r="CU32" i="199"/>
  <c r="FQ32" i="199" s="1"/>
  <c r="CQ32" i="199"/>
  <c r="CP32" i="199"/>
  <c r="CO32" i="199"/>
  <c r="CN32" i="199"/>
  <c r="CM32" i="199"/>
  <c r="CL32" i="199"/>
  <c r="CE32" i="199"/>
  <c r="AX32" i="199"/>
  <c r="AW32" i="199"/>
  <c r="AV32" i="199"/>
  <c r="AK32" i="199" s="1"/>
  <c r="AO32" i="199"/>
  <c r="AN32" i="199"/>
  <c r="AM32" i="199"/>
  <c r="AL32" i="199"/>
  <c r="AH32" i="199"/>
  <c r="AG32" i="199"/>
  <c r="AF32" i="199"/>
  <c r="AE32" i="199"/>
  <c r="F32" i="199"/>
  <c r="GM31" i="199"/>
  <c r="GL31" i="199"/>
  <c r="GK31" i="199"/>
  <c r="GF31" i="199"/>
  <c r="FV31" i="199"/>
  <c r="FU31" i="199"/>
  <c r="FT31" i="199"/>
  <c r="FS31" i="199"/>
  <c r="FR31" i="199"/>
  <c r="FK31" i="199"/>
  <c r="FL31" i="199" s="1"/>
  <c r="Z31" i="199" s="1"/>
  <c r="FD31" i="199"/>
  <c r="FE31" i="199" s="1"/>
  <c r="FF31" i="199" s="1"/>
  <c r="FG31" i="199" s="1"/>
  <c r="FC31" i="199"/>
  <c r="EZ31" i="199"/>
  <c r="EX31" i="199"/>
  <c r="EL31" i="199"/>
  <c r="EK31" i="199"/>
  <c r="EG31" i="199"/>
  <c r="EE31" i="199"/>
  <c r="EF31" i="199" s="1"/>
  <c r="DY31" i="199"/>
  <c r="DX31" i="199"/>
  <c r="H31" i="199" s="1"/>
  <c r="DW31" i="199"/>
  <c r="DV31" i="199"/>
  <c r="DU31" i="199"/>
  <c r="DS31" i="199"/>
  <c r="DO31" i="199"/>
  <c r="DN31" i="199"/>
  <c r="FI31" i="199" s="1"/>
  <c r="FJ31" i="199" s="1"/>
  <c r="DM31" i="199"/>
  <c r="DL31" i="199"/>
  <c r="DK31" i="199"/>
  <c r="DJ31" i="199"/>
  <c r="DI31" i="199"/>
  <c r="DH31" i="199"/>
  <c r="FM31" i="199" s="1"/>
  <c r="DG31" i="199"/>
  <c r="DF31" i="199"/>
  <c r="DE31" i="199"/>
  <c r="DD31" i="199"/>
  <c r="DC31" i="199"/>
  <c r="FO31" i="199" s="1"/>
  <c r="DB31" i="199"/>
  <c r="DA31" i="199"/>
  <c r="CZ31" i="199"/>
  <c r="CY31" i="199"/>
  <c r="CX31" i="199"/>
  <c r="FH31" i="199" s="1"/>
  <c r="CW31" i="199"/>
  <c r="CV31" i="199"/>
  <c r="CU31" i="199"/>
  <c r="FQ31" i="199" s="1"/>
  <c r="CQ31" i="199"/>
  <c r="CP31" i="199"/>
  <c r="CK31" i="199" s="1"/>
  <c r="CO31" i="199"/>
  <c r="CN31" i="199"/>
  <c r="CM31" i="199"/>
  <c r="CL31" i="199"/>
  <c r="CE31" i="199"/>
  <c r="CD31" i="199"/>
  <c r="AX31" i="199"/>
  <c r="AW31" i="199"/>
  <c r="AV31" i="199"/>
  <c r="AM31" i="199"/>
  <c r="AK31" i="199"/>
  <c r="AH31" i="199"/>
  <c r="AG31" i="199"/>
  <c r="AF31" i="199"/>
  <c r="AE31" i="199"/>
  <c r="Y31" i="199"/>
  <c r="G31" i="199"/>
  <c r="GM30" i="199"/>
  <c r="GL30" i="199"/>
  <c r="GK30" i="199"/>
  <c r="GF30" i="199"/>
  <c r="FT30" i="199"/>
  <c r="FS30" i="199"/>
  <c r="FR30" i="199"/>
  <c r="FM30" i="199"/>
  <c r="FD30" i="199"/>
  <c r="FE30" i="199" s="1"/>
  <c r="FF30" i="199" s="1"/>
  <c r="FG30" i="199" s="1"/>
  <c r="Y30" i="199" s="1"/>
  <c r="FC30" i="199"/>
  <c r="EL30" i="199" s="1"/>
  <c r="FB30" i="199"/>
  <c r="FA30" i="199"/>
  <c r="EZ30" i="199"/>
  <c r="EN30" i="199"/>
  <c r="EM30" i="199"/>
  <c r="EF30" i="199"/>
  <c r="EE30" i="199"/>
  <c r="EG30" i="199" s="1"/>
  <c r="ED30" i="199"/>
  <c r="EC30" i="199"/>
  <c r="EB30" i="199"/>
  <c r="DY30" i="199"/>
  <c r="DV30" i="199"/>
  <c r="DU30" i="199"/>
  <c r="DT30" i="199"/>
  <c r="DS30" i="199"/>
  <c r="DO30" i="199"/>
  <c r="DN30" i="199"/>
  <c r="FI30" i="199" s="1"/>
  <c r="FJ30" i="199" s="1"/>
  <c r="FK30" i="199" s="1"/>
  <c r="FL30" i="199" s="1"/>
  <c r="Z30" i="199" s="1"/>
  <c r="DM30" i="199"/>
  <c r="DL30" i="199"/>
  <c r="DK30" i="199"/>
  <c r="DJ30" i="199"/>
  <c r="DI30" i="199"/>
  <c r="DH30" i="199"/>
  <c r="FV30" i="199" s="1"/>
  <c r="DG30" i="199"/>
  <c r="DF30" i="199"/>
  <c r="EA30" i="199" s="1"/>
  <c r="DE30" i="199"/>
  <c r="DD30" i="199"/>
  <c r="DC30" i="199"/>
  <c r="DB30" i="199"/>
  <c r="DA30" i="199"/>
  <c r="CZ30" i="199"/>
  <c r="CY30" i="199"/>
  <c r="CX30" i="199"/>
  <c r="FH30" i="199" s="1"/>
  <c r="CW30" i="199"/>
  <c r="CV30" i="199"/>
  <c r="CU30" i="199"/>
  <c r="EY30" i="199" s="1"/>
  <c r="CQ30" i="199"/>
  <c r="CP30" i="199"/>
  <c r="CO30" i="199"/>
  <c r="CN30" i="199"/>
  <c r="CM30" i="199"/>
  <c r="CL30" i="199"/>
  <c r="CE30" i="199"/>
  <c r="CD30" i="199"/>
  <c r="AX30" i="199"/>
  <c r="AW30" i="199"/>
  <c r="AV30" i="199"/>
  <c r="AS30" i="199"/>
  <c r="AT30" i="199" s="1"/>
  <c r="AN30" i="199"/>
  <c r="AM30" i="199"/>
  <c r="AL30" i="199"/>
  <c r="AK30" i="199"/>
  <c r="AJ30" i="199"/>
  <c r="AH30" i="199"/>
  <c r="AG30" i="199"/>
  <c r="AF30" i="199"/>
  <c r="AE30" i="199"/>
  <c r="GL29" i="199"/>
  <c r="GM29" i="199" s="1"/>
  <c r="GK29" i="199"/>
  <c r="GF29" i="199"/>
  <c r="FT29" i="199"/>
  <c r="FS29" i="199"/>
  <c r="FQ29" i="199"/>
  <c r="FH29" i="199"/>
  <c r="FD29" i="199"/>
  <c r="FC29" i="199"/>
  <c r="FB29" i="199"/>
  <c r="FA29" i="199"/>
  <c r="EZ29" i="199"/>
  <c r="ER29" i="199"/>
  <c r="EQ29" i="199"/>
  <c r="CI29" i="199" s="1"/>
  <c r="EM29" i="199"/>
  <c r="EL29" i="199"/>
  <c r="EN29" i="199" s="1"/>
  <c r="EE29" i="199"/>
  <c r="EC29" i="199"/>
  <c r="EB29" i="199"/>
  <c r="DY29" i="199"/>
  <c r="DU29" i="199"/>
  <c r="DS29" i="199"/>
  <c r="DT29" i="199" s="1"/>
  <c r="DO29" i="199"/>
  <c r="DN29" i="199"/>
  <c r="FI29" i="199" s="1"/>
  <c r="DM29" i="199"/>
  <c r="DL29" i="199"/>
  <c r="DK29" i="199"/>
  <c r="DJ29" i="199"/>
  <c r="DI29" i="199"/>
  <c r="DH29" i="199"/>
  <c r="FV29" i="199" s="1"/>
  <c r="DG29" i="199"/>
  <c r="DF29" i="199"/>
  <c r="DE29" i="199"/>
  <c r="DD29" i="199"/>
  <c r="DC29" i="199"/>
  <c r="DB29" i="199"/>
  <c r="DA29" i="199"/>
  <c r="CZ29" i="199"/>
  <c r="CY29" i="199"/>
  <c r="CX29" i="199"/>
  <c r="FU29" i="199" s="1"/>
  <c r="CW29" i="199"/>
  <c r="CV29" i="199"/>
  <c r="DV29" i="199" s="1"/>
  <c r="CU29" i="199"/>
  <c r="CQ29" i="199"/>
  <c r="CP29" i="199"/>
  <c r="CK29" i="199" s="1"/>
  <c r="CO29" i="199"/>
  <c r="CN29" i="199"/>
  <c r="CM29" i="199"/>
  <c r="CL29" i="199"/>
  <c r="CE29" i="199"/>
  <c r="CD29" i="199"/>
  <c r="AZ29" i="199"/>
  <c r="AX29" i="199"/>
  <c r="AW29" i="199"/>
  <c r="AV29" i="199"/>
  <c r="AS29" i="199"/>
  <c r="AT29" i="199" s="1"/>
  <c r="AQ29" i="199"/>
  <c r="AR29" i="199" s="1"/>
  <c r="AM29" i="199"/>
  <c r="AL29" i="199"/>
  <c r="AK29" i="199"/>
  <c r="AJ29" i="199"/>
  <c r="AH29" i="199"/>
  <c r="AG29" i="199"/>
  <c r="AF29" i="199"/>
  <c r="AE29" i="199"/>
  <c r="GM28" i="199"/>
  <c r="GL28" i="199"/>
  <c r="GK28" i="199"/>
  <c r="GF28" i="199"/>
  <c r="FU28" i="199"/>
  <c r="FT28" i="199"/>
  <c r="FS28" i="199"/>
  <c r="FI28" i="199"/>
  <c r="FC28" i="199"/>
  <c r="FA28" i="199"/>
  <c r="EZ28" i="199"/>
  <c r="EM28" i="199"/>
  <c r="EL28" i="199"/>
  <c r="EN28" i="199" s="1"/>
  <c r="EK28" i="199"/>
  <c r="EF28" i="199"/>
  <c r="EE28" i="199"/>
  <c r="EG28" i="199" s="1"/>
  <c r="DY28" i="199"/>
  <c r="DW28" i="199"/>
  <c r="DV28" i="199"/>
  <c r="DS28" i="199"/>
  <c r="DO28" i="199"/>
  <c r="FJ28" i="199" s="1"/>
  <c r="FK28" i="199" s="1"/>
  <c r="FL28" i="199" s="1"/>
  <c r="DN28" i="199"/>
  <c r="DM28" i="199"/>
  <c r="DL28" i="199"/>
  <c r="DK28" i="199"/>
  <c r="DJ28" i="199"/>
  <c r="DI28" i="199"/>
  <c r="DH28" i="199"/>
  <c r="DG28" i="199"/>
  <c r="DF28" i="199"/>
  <c r="DE28" i="199"/>
  <c r="DD28" i="199"/>
  <c r="FD28" i="199" s="1"/>
  <c r="FE28" i="199" s="1"/>
  <c r="FF28" i="199" s="1"/>
  <c r="FG28" i="199" s="1"/>
  <c r="Y28" i="199" s="1"/>
  <c r="DC28" i="199"/>
  <c r="DB28" i="199"/>
  <c r="DA28" i="199"/>
  <c r="CZ28" i="199"/>
  <c r="CY28" i="199"/>
  <c r="CX28" i="199"/>
  <c r="FH28" i="199" s="1"/>
  <c r="CW28" i="199"/>
  <c r="CV28" i="199"/>
  <c r="CU28" i="199"/>
  <c r="EY28" i="199" s="1"/>
  <c r="CQ28" i="199"/>
  <c r="CP28" i="199"/>
  <c r="CO28" i="199"/>
  <c r="CN28" i="199"/>
  <c r="CM28" i="199"/>
  <c r="CL28" i="199"/>
  <c r="CE28" i="199"/>
  <c r="AZ28" i="199"/>
  <c r="AX28" i="199"/>
  <c r="AW28" i="199"/>
  <c r="AV28" i="199"/>
  <c r="AM28" i="199"/>
  <c r="AK28" i="199"/>
  <c r="AJ28" i="199"/>
  <c r="AH28" i="199"/>
  <c r="AG28" i="199"/>
  <c r="AF28" i="199"/>
  <c r="AE28" i="199"/>
  <c r="Z28" i="199"/>
  <c r="GM27" i="199"/>
  <c r="GL27" i="199"/>
  <c r="GK27" i="199"/>
  <c r="GF27" i="199"/>
  <c r="FV27" i="199"/>
  <c r="FU27" i="199"/>
  <c r="FT27" i="199"/>
  <c r="FS27" i="199"/>
  <c r="FR27" i="199"/>
  <c r="FK27" i="199"/>
  <c r="FL27" i="199" s="1"/>
  <c r="FD27" i="199"/>
  <c r="FE27" i="199" s="1"/>
  <c r="FF27" i="199" s="1"/>
  <c r="FG27" i="199" s="1"/>
  <c r="FC27" i="199"/>
  <c r="EZ27" i="199"/>
  <c r="EX27" i="199"/>
  <c r="EL27" i="199"/>
  <c r="EK27" i="199"/>
  <c r="EG27" i="199"/>
  <c r="EF27" i="199"/>
  <c r="EE27" i="199"/>
  <c r="DY27" i="199"/>
  <c r="DX27" i="199"/>
  <c r="DW27" i="199"/>
  <c r="DV27" i="199"/>
  <c r="DU27" i="199"/>
  <c r="DS27" i="199"/>
  <c r="DO27" i="199"/>
  <c r="DN27" i="199"/>
  <c r="FI27" i="199" s="1"/>
  <c r="FJ27" i="199" s="1"/>
  <c r="DM27" i="199"/>
  <c r="DL27" i="199"/>
  <c r="DK27" i="199"/>
  <c r="DJ27" i="199"/>
  <c r="DI27" i="199"/>
  <c r="DH27" i="199"/>
  <c r="FM27" i="199" s="1"/>
  <c r="DG27" i="199"/>
  <c r="DF27" i="199"/>
  <c r="DE27" i="199"/>
  <c r="DD27" i="199"/>
  <c r="DC27" i="199"/>
  <c r="DT27" i="199" s="1"/>
  <c r="DB27" i="199"/>
  <c r="DA27" i="199"/>
  <c r="CZ27" i="199"/>
  <c r="CY27" i="199"/>
  <c r="CX27" i="199"/>
  <c r="FH27" i="199" s="1"/>
  <c r="CW27" i="199"/>
  <c r="CV27" i="199"/>
  <c r="CU27" i="199"/>
  <c r="FQ27" i="199" s="1"/>
  <c r="CQ27" i="199"/>
  <c r="CP27" i="199"/>
  <c r="CK27" i="199" s="1"/>
  <c r="CO27" i="199"/>
  <c r="CN27" i="199"/>
  <c r="CM27" i="199"/>
  <c r="CL27" i="199"/>
  <c r="CE27" i="199"/>
  <c r="CD27" i="199"/>
  <c r="AX27" i="199"/>
  <c r="AW27" i="199"/>
  <c r="AK27" i="199" s="1"/>
  <c r="AV27" i="199"/>
  <c r="AL27" i="199"/>
  <c r="AH27" i="199"/>
  <c r="AG27" i="199"/>
  <c r="AF27" i="199"/>
  <c r="AE27" i="199"/>
  <c r="GL26" i="199"/>
  <c r="GM26" i="199" s="1"/>
  <c r="GK26" i="199"/>
  <c r="GF26" i="199"/>
  <c r="FU26" i="199"/>
  <c r="FT26" i="199"/>
  <c r="FQ26" i="199"/>
  <c r="FM26" i="199"/>
  <c r="FK26" i="199"/>
  <c r="FL26" i="199" s="1"/>
  <c r="FJ26" i="199"/>
  <c r="FC26" i="199"/>
  <c r="FB26" i="199"/>
  <c r="FA26" i="199"/>
  <c r="EZ26" i="199"/>
  <c r="EN26" i="199"/>
  <c r="EL26" i="199"/>
  <c r="EM26" i="199" s="1"/>
  <c r="EK26" i="199"/>
  <c r="EF26" i="199"/>
  <c r="EE26" i="199"/>
  <c r="EG26" i="199" s="1"/>
  <c r="ED26" i="199"/>
  <c r="EB26" i="199"/>
  <c r="DY26" i="199"/>
  <c r="DX26" i="199"/>
  <c r="DT26" i="199"/>
  <c r="DS26" i="199"/>
  <c r="DP26" i="199"/>
  <c r="DO26" i="199"/>
  <c r="DN26" i="199"/>
  <c r="FI26" i="199" s="1"/>
  <c r="DM26" i="199"/>
  <c r="DL26" i="199"/>
  <c r="DK26" i="199"/>
  <c r="DJ26" i="199"/>
  <c r="DI26" i="199"/>
  <c r="DH26" i="199"/>
  <c r="FV26" i="199" s="1"/>
  <c r="DG26" i="199"/>
  <c r="DF26" i="199"/>
  <c r="EA26" i="199" s="1"/>
  <c r="DE26" i="199"/>
  <c r="FR26" i="199" s="1"/>
  <c r="DD26" i="199"/>
  <c r="FD26" i="199" s="1"/>
  <c r="DC26" i="199"/>
  <c r="DB26" i="199"/>
  <c r="DA26" i="199"/>
  <c r="CZ26" i="199"/>
  <c r="CY26" i="199"/>
  <c r="CX26" i="199"/>
  <c r="FH26" i="199" s="1"/>
  <c r="CW26" i="199"/>
  <c r="CV26" i="199"/>
  <c r="DU26" i="199" s="1"/>
  <c r="CU26" i="199"/>
  <c r="EY26" i="199" s="1"/>
  <c r="CQ26" i="199"/>
  <c r="CP26" i="199"/>
  <c r="CO26" i="199"/>
  <c r="CN26" i="199"/>
  <c r="CM26" i="199"/>
  <c r="CL26" i="199"/>
  <c r="CE26" i="199"/>
  <c r="CD26" i="199"/>
  <c r="AZ26" i="199"/>
  <c r="AX26" i="199"/>
  <c r="AW26" i="199"/>
  <c r="AV26" i="199"/>
  <c r="AS26" i="199"/>
  <c r="AN26" i="199"/>
  <c r="AM26" i="199"/>
  <c r="AL26" i="199"/>
  <c r="AK26" i="199"/>
  <c r="AJ26" i="199"/>
  <c r="AH26" i="199"/>
  <c r="AG26" i="199"/>
  <c r="AF26" i="199"/>
  <c r="AE26" i="199"/>
  <c r="GL25" i="199"/>
  <c r="GK25" i="199"/>
  <c r="GM25" i="199" s="1"/>
  <c r="GF25" i="199"/>
  <c r="FU25" i="199"/>
  <c r="FT25" i="199"/>
  <c r="FS25" i="199"/>
  <c r="FN25" i="199"/>
  <c r="FE25" i="199"/>
  <c r="FF25" i="199" s="1"/>
  <c r="FG25" i="199" s="1"/>
  <c r="Y25" i="199" s="1"/>
  <c r="FD25" i="199"/>
  <c r="FC25" i="199"/>
  <c r="EL25" i="199" s="1"/>
  <c r="EZ25" i="199"/>
  <c r="EY25" i="199"/>
  <c r="EX25" i="199"/>
  <c r="EE25" i="199"/>
  <c r="ED25" i="199"/>
  <c r="DY25" i="199"/>
  <c r="DX25" i="199"/>
  <c r="DW25" i="199"/>
  <c r="FO25" i="199" s="1"/>
  <c r="DV25" i="199"/>
  <c r="DS25" i="199"/>
  <c r="DP25" i="199"/>
  <c r="DO25" i="199"/>
  <c r="FJ25" i="199" s="1"/>
  <c r="FK25" i="199" s="1"/>
  <c r="FL25" i="199" s="1"/>
  <c r="Z25" i="199" s="1"/>
  <c r="DN25" i="199"/>
  <c r="FI25" i="199" s="1"/>
  <c r="DM25" i="199"/>
  <c r="DL25" i="199"/>
  <c r="DK25" i="199"/>
  <c r="DJ25" i="199"/>
  <c r="DI25" i="199"/>
  <c r="CE25" i="199" s="1"/>
  <c r="DH25" i="199"/>
  <c r="FM25" i="199" s="1"/>
  <c r="DG25" i="199"/>
  <c r="DF25" i="199"/>
  <c r="DE25" i="199"/>
  <c r="FR25" i="199" s="1"/>
  <c r="DD25" i="199"/>
  <c r="DC25" i="199"/>
  <c r="DT25" i="199" s="1"/>
  <c r="DB25" i="199"/>
  <c r="DA25" i="199"/>
  <c r="CZ25" i="199"/>
  <c r="CY25" i="199"/>
  <c r="CX25" i="199"/>
  <c r="FH25" i="199" s="1"/>
  <c r="CW25" i="199"/>
  <c r="CV25" i="199"/>
  <c r="DU25" i="199" s="1"/>
  <c r="CU25" i="199"/>
  <c r="FQ25" i="199" s="1"/>
  <c r="CQ25" i="199"/>
  <c r="CP25" i="199"/>
  <c r="CO25" i="199"/>
  <c r="CN25" i="199"/>
  <c r="CM25" i="199"/>
  <c r="CL25" i="199"/>
  <c r="CK25" i="199"/>
  <c r="AX25" i="199"/>
  <c r="AW25" i="199"/>
  <c r="AV25" i="199"/>
  <c r="AK25" i="199" s="1"/>
  <c r="AH25" i="199"/>
  <c r="AG25" i="199"/>
  <c r="AF25" i="199"/>
  <c r="AE25" i="199"/>
  <c r="H25" i="199"/>
  <c r="G25" i="199"/>
  <c r="F25" i="199"/>
  <c r="GM24" i="199"/>
  <c r="GL24" i="199"/>
  <c r="GK24" i="199"/>
  <c r="GF24" i="199"/>
  <c r="FV24" i="199"/>
  <c r="FT24" i="199"/>
  <c r="FS24" i="199"/>
  <c r="FF24" i="199"/>
  <c r="FG24" i="199" s="1"/>
  <c r="Y24" i="199" s="1"/>
  <c r="FE24" i="199"/>
  <c r="FD24" i="199"/>
  <c r="FC24" i="199"/>
  <c r="EZ24" i="199"/>
  <c r="EX24" i="199"/>
  <c r="EL24" i="199"/>
  <c r="EE24" i="199"/>
  <c r="DY24" i="199"/>
  <c r="DX24" i="199"/>
  <c r="H24" i="199" s="1"/>
  <c r="DW24" i="199"/>
  <c r="DV24" i="199"/>
  <c r="DU24" i="199"/>
  <c r="DS24" i="199"/>
  <c r="DO24" i="199"/>
  <c r="DN24" i="199"/>
  <c r="FI24" i="199" s="1"/>
  <c r="FJ24" i="199" s="1"/>
  <c r="FK24" i="199" s="1"/>
  <c r="FL24" i="199" s="1"/>
  <c r="Z24" i="199" s="1"/>
  <c r="DM24" i="199"/>
  <c r="DL24" i="199"/>
  <c r="DK24" i="199"/>
  <c r="DJ24" i="199"/>
  <c r="DI24" i="199"/>
  <c r="DH24" i="199"/>
  <c r="FM24" i="199" s="1"/>
  <c r="DG24" i="199"/>
  <c r="DF24" i="199"/>
  <c r="DE24" i="199"/>
  <c r="DD24" i="199"/>
  <c r="DC24" i="199"/>
  <c r="DT24" i="199" s="1"/>
  <c r="DB24" i="199"/>
  <c r="DA24" i="199"/>
  <c r="CZ24" i="199"/>
  <c r="CY24" i="199"/>
  <c r="CX24" i="199"/>
  <c r="CW24" i="199"/>
  <c r="CV24" i="199"/>
  <c r="CU24" i="199"/>
  <c r="FQ24" i="199" s="1"/>
  <c r="CQ24" i="199"/>
  <c r="CP24" i="199"/>
  <c r="CK24" i="199" s="1"/>
  <c r="CO24" i="199"/>
  <c r="CN24" i="199"/>
  <c r="CM24" i="199"/>
  <c r="CL24" i="199"/>
  <c r="CE24" i="199"/>
  <c r="CD24" i="199"/>
  <c r="AX24" i="199"/>
  <c r="AW24" i="199"/>
  <c r="AV24" i="199"/>
  <c r="AK24" i="199" s="1"/>
  <c r="AH24" i="199"/>
  <c r="AG24" i="199"/>
  <c r="AF24" i="199"/>
  <c r="AE24" i="199"/>
  <c r="G24" i="199"/>
  <c r="F24" i="199"/>
  <c r="GL23" i="199"/>
  <c r="GM23" i="199" s="1"/>
  <c r="GK23" i="199"/>
  <c r="GF23" i="199"/>
  <c r="FT23" i="199"/>
  <c r="FS23" i="199"/>
  <c r="FR23" i="199"/>
  <c r="FQ23" i="199"/>
  <c r="FC23" i="199"/>
  <c r="EL23" i="199" s="1"/>
  <c r="FB23" i="199"/>
  <c r="FA23" i="199"/>
  <c r="EZ23" i="199"/>
  <c r="EN23" i="199"/>
  <c r="EM23" i="199"/>
  <c r="EF23" i="199"/>
  <c r="EE23" i="199"/>
  <c r="EG23" i="199" s="1"/>
  <c r="ED23" i="199"/>
  <c r="EC23" i="199"/>
  <c r="EB23" i="199"/>
  <c r="DY23" i="199"/>
  <c r="DT23" i="199"/>
  <c r="DS23" i="199"/>
  <c r="DP23" i="199"/>
  <c r="DO23" i="199"/>
  <c r="DN23" i="199"/>
  <c r="FI23" i="199" s="1"/>
  <c r="FJ23" i="199" s="1"/>
  <c r="FK23" i="199" s="1"/>
  <c r="FL23" i="199" s="1"/>
  <c r="Z23" i="199" s="1"/>
  <c r="DM23" i="199"/>
  <c r="DL23" i="199"/>
  <c r="DK23" i="199"/>
  <c r="DJ23" i="199"/>
  <c r="DI23" i="199"/>
  <c r="DH23" i="199"/>
  <c r="DG23" i="199"/>
  <c r="DF23" i="199"/>
  <c r="EA23" i="199" s="1"/>
  <c r="DE23" i="199"/>
  <c r="DD23" i="199"/>
  <c r="FD23" i="199" s="1"/>
  <c r="FE23" i="199" s="1"/>
  <c r="FF23" i="199" s="1"/>
  <c r="FG23" i="199" s="1"/>
  <c r="Y23" i="199" s="1"/>
  <c r="DC23" i="199"/>
  <c r="DB23" i="199"/>
  <c r="DA23" i="199"/>
  <c r="CZ23" i="199"/>
  <c r="CY23" i="199"/>
  <c r="CX23" i="199"/>
  <c r="FH23" i="199" s="1"/>
  <c r="CW23" i="199"/>
  <c r="CV23" i="199"/>
  <c r="DU23" i="199" s="1"/>
  <c r="CU23" i="199"/>
  <c r="EY23" i="199" s="1"/>
  <c r="CQ23" i="199"/>
  <c r="CP23" i="199"/>
  <c r="CK23" i="199" s="1"/>
  <c r="CO23" i="199"/>
  <c r="CN23" i="199"/>
  <c r="CM23" i="199"/>
  <c r="CL23" i="199"/>
  <c r="CE23" i="199"/>
  <c r="CD23" i="199"/>
  <c r="AX23" i="199"/>
  <c r="AW23" i="199"/>
  <c r="AV23" i="199"/>
  <c r="AS23" i="199"/>
  <c r="AN23" i="199"/>
  <c r="AM23" i="199"/>
  <c r="AL23" i="199"/>
  <c r="AK23" i="199"/>
  <c r="AJ23" i="199"/>
  <c r="AH23" i="199"/>
  <c r="AG23" i="199"/>
  <c r="AF23" i="199"/>
  <c r="AE23" i="199"/>
  <c r="GL22" i="199"/>
  <c r="GK22" i="199"/>
  <c r="GF22" i="199"/>
  <c r="FT22" i="199"/>
  <c r="FI22" i="199"/>
  <c r="FJ22" i="199" s="1"/>
  <c r="FK22" i="199" s="1"/>
  <c r="FL22" i="199" s="1"/>
  <c r="Z22" i="199" s="1"/>
  <c r="FC22" i="199"/>
  <c r="FB22" i="199"/>
  <c r="FA22" i="199"/>
  <c r="EZ22" i="199"/>
  <c r="EE22" i="199" s="1"/>
  <c r="EL22" i="199"/>
  <c r="DY22" i="199"/>
  <c r="DW22" i="199"/>
  <c r="DV22" i="199"/>
  <c r="DS22" i="199"/>
  <c r="DO22" i="199"/>
  <c r="FE22" i="199" s="1"/>
  <c r="FF22" i="199" s="1"/>
  <c r="FG22" i="199" s="1"/>
  <c r="Y22" i="199" s="1"/>
  <c r="DN22" i="199"/>
  <c r="DM22" i="199"/>
  <c r="DL22" i="199"/>
  <c r="DK22" i="199"/>
  <c r="DJ22" i="199"/>
  <c r="DI22" i="199"/>
  <c r="DH22" i="199"/>
  <c r="FV22" i="199" s="1"/>
  <c r="DG22" i="199"/>
  <c r="DF22" i="199"/>
  <c r="DE22" i="199"/>
  <c r="DD22" i="199"/>
  <c r="FD22" i="199" s="1"/>
  <c r="DC22" i="199"/>
  <c r="DB22" i="199"/>
  <c r="DA22" i="199"/>
  <c r="CZ22" i="199"/>
  <c r="CY22" i="199"/>
  <c r="CX22" i="199"/>
  <c r="CW22" i="199"/>
  <c r="CV22" i="199"/>
  <c r="CU22" i="199"/>
  <c r="CQ22" i="199"/>
  <c r="CP22" i="199"/>
  <c r="CK22" i="199" s="1"/>
  <c r="CO22" i="199"/>
  <c r="CN22" i="199"/>
  <c r="CM22" i="199"/>
  <c r="CL22" i="199"/>
  <c r="CE22" i="199"/>
  <c r="AX22" i="199"/>
  <c r="AW22" i="199"/>
  <c r="AV22" i="199"/>
  <c r="AU22" i="199"/>
  <c r="AM22" i="199"/>
  <c r="AL22" i="199"/>
  <c r="AK22" i="199"/>
  <c r="AJ22" i="199"/>
  <c r="AH22" i="199"/>
  <c r="AG22" i="199"/>
  <c r="AF22" i="199"/>
  <c r="AE22" i="199"/>
  <c r="GM21" i="199"/>
  <c r="GL21" i="199"/>
  <c r="GK21" i="199"/>
  <c r="GF21" i="199"/>
  <c r="FS21" i="199"/>
  <c r="FR21" i="199"/>
  <c r="FN21" i="199"/>
  <c r="FM21" i="199"/>
  <c r="FL21" i="199"/>
  <c r="Z21" i="199" s="1"/>
  <c r="FE21" i="199"/>
  <c r="FF21" i="199" s="1"/>
  <c r="FG21" i="199" s="1"/>
  <c r="Y21" i="199" s="1"/>
  <c r="FD21" i="199"/>
  <c r="FC21" i="199"/>
  <c r="EL21" i="199" s="1"/>
  <c r="EM21" i="199" s="1"/>
  <c r="EQ21" i="199" s="1"/>
  <c r="FB21" i="199"/>
  <c r="EZ21" i="199"/>
  <c r="EY21" i="199"/>
  <c r="EX21" i="199"/>
  <c r="EE21" i="199"/>
  <c r="EG21" i="199" s="1"/>
  <c r="ED21" i="199"/>
  <c r="EC21" i="199"/>
  <c r="DY21" i="199"/>
  <c r="DX21" i="199"/>
  <c r="DW21" i="199"/>
  <c r="FO21" i="199" s="1"/>
  <c r="DV21" i="199"/>
  <c r="DU21" i="199"/>
  <c r="DS21" i="199"/>
  <c r="DP21" i="199"/>
  <c r="DO21" i="199"/>
  <c r="DN21" i="199"/>
  <c r="FI21" i="199" s="1"/>
  <c r="FJ21" i="199" s="1"/>
  <c r="FK21" i="199" s="1"/>
  <c r="DM21" i="199"/>
  <c r="DL21" i="199"/>
  <c r="DK21" i="199"/>
  <c r="DJ21" i="199"/>
  <c r="DI21" i="199"/>
  <c r="DH21" i="199"/>
  <c r="FV21" i="199" s="1"/>
  <c r="DG21" i="199"/>
  <c r="DF21" i="199"/>
  <c r="DE21" i="199"/>
  <c r="FA21" i="199" s="1"/>
  <c r="DD21" i="199"/>
  <c r="DC21" i="199"/>
  <c r="DT21" i="199" s="1"/>
  <c r="DB21" i="199"/>
  <c r="DA21" i="199"/>
  <c r="CZ21" i="199"/>
  <c r="CY21" i="199"/>
  <c r="CX21" i="199"/>
  <c r="FH21" i="199" s="1"/>
  <c r="CW21" i="199"/>
  <c r="CV21" i="199"/>
  <c r="CU21" i="199"/>
  <c r="FQ21" i="199" s="1"/>
  <c r="CQ21" i="199"/>
  <c r="CP21" i="199"/>
  <c r="CO21" i="199"/>
  <c r="CN21" i="199"/>
  <c r="CM21" i="199"/>
  <c r="CL21" i="199"/>
  <c r="CD21" i="199"/>
  <c r="AX21" i="199"/>
  <c r="AW21" i="199"/>
  <c r="AV21" i="199"/>
  <c r="AK21" i="199" s="1"/>
  <c r="AS21" i="199"/>
  <c r="AT21" i="199" s="1"/>
  <c r="AH21" i="199"/>
  <c r="AG21" i="199"/>
  <c r="AF21" i="199"/>
  <c r="AE21" i="199"/>
  <c r="H21" i="199"/>
  <c r="G21" i="199"/>
  <c r="F21" i="199"/>
  <c r="GL20" i="199"/>
  <c r="GM20" i="199" s="1"/>
  <c r="GK20" i="199"/>
  <c r="GF20" i="199"/>
  <c r="FT20" i="199"/>
  <c r="FS20" i="199"/>
  <c r="FR20" i="199"/>
  <c r="FQ20" i="199"/>
  <c r="FM20" i="199"/>
  <c r="FI20" i="199"/>
  <c r="FC20" i="199"/>
  <c r="EL20" i="199" s="1"/>
  <c r="EM20" i="199" s="1"/>
  <c r="FB20" i="199"/>
  <c r="EZ20" i="199"/>
  <c r="EN20" i="199"/>
  <c r="EE20" i="199"/>
  <c r="EG20" i="199" s="1"/>
  <c r="ED20" i="199"/>
  <c r="EC20" i="199"/>
  <c r="EB20" i="199"/>
  <c r="DY20" i="199"/>
  <c r="DW20" i="199"/>
  <c r="DV20" i="199"/>
  <c r="DT20" i="199"/>
  <c r="DS20" i="199"/>
  <c r="DO20" i="199"/>
  <c r="DN20" i="199"/>
  <c r="DM20" i="199"/>
  <c r="DL20" i="199"/>
  <c r="DK20" i="199"/>
  <c r="DJ20" i="199"/>
  <c r="DI20" i="199"/>
  <c r="DH20" i="199"/>
  <c r="FV20" i="199" s="1"/>
  <c r="DG20" i="199"/>
  <c r="DF20" i="199"/>
  <c r="EA20" i="199" s="1"/>
  <c r="DE20" i="199"/>
  <c r="FA20" i="199" s="1"/>
  <c r="DD20" i="199"/>
  <c r="FD20" i="199" s="1"/>
  <c r="FE20" i="199" s="1"/>
  <c r="FF20" i="199" s="1"/>
  <c r="FG20" i="199" s="1"/>
  <c r="DC20" i="199"/>
  <c r="FO20" i="199" s="1"/>
  <c r="DB20" i="199"/>
  <c r="DA20" i="199"/>
  <c r="CZ20" i="199"/>
  <c r="CY20" i="199"/>
  <c r="CX20" i="199"/>
  <c r="FH20" i="199" s="1"/>
  <c r="CW20" i="199"/>
  <c r="CV20" i="199"/>
  <c r="CU20" i="199"/>
  <c r="EY20" i="199" s="1"/>
  <c r="CQ20" i="199"/>
  <c r="CP20" i="199"/>
  <c r="CK20" i="199" s="1"/>
  <c r="CO20" i="199"/>
  <c r="CN20" i="199"/>
  <c r="CM20" i="199"/>
  <c r="CL20" i="199"/>
  <c r="CE20" i="199"/>
  <c r="CD20" i="199"/>
  <c r="AX20" i="199"/>
  <c r="AW20" i="199"/>
  <c r="AV20" i="199"/>
  <c r="AS20" i="199"/>
  <c r="AK20" i="199"/>
  <c r="AJ20" i="199"/>
  <c r="AH20" i="199"/>
  <c r="AG20" i="199"/>
  <c r="AF20" i="199"/>
  <c r="AE20" i="199"/>
  <c r="Y20" i="199"/>
  <c r="GM19" i="199"/>
  <c r="GL19" i="199"/>
  <c r="GK19" i="199"/>
  <c r="GF19" i="199"/>
  <c r="FT19" i="199"/>
  <c r="FM19" i="199"/>
  <c r="FC19" i="199"/>
  <c r="EL19" i="199" s="1"/>
  <c r="EZ19" i="199"/>
  <c r="EE19" i="199"/>
  <c r="EG19" i="199" s="1"/>
  <c r="EA19" i="199"/>
  <c r="DY19" i="199"/>
  <c r="DX19" i="199"/>
  <c r="DS19" i="199"/>
  <c r="DO19" i="199"/>
  <c r="DN19" i="199"/>
  <c r="FI19" i="199" s="1"/>
  <c r="DM19" i="199"/>
  <c r="DL19" i="199"/>
  <c r="DK19" i="199"/>
  <c r="DJ19" i="199"/>
  <c r="DI19" i="199"/>
  <c r="DH19" i="199"/>
  <c r="FV19" i="199" s="1"/>
  <c r="DG19" i="199"/>
  <c r="DF19" i="199"/>
  <c r="DE19" i="199"/>
  <c r="DD19" i="199"/>
  <c r="FD19" i="199" s="1"/>
  <c r="DC19" i="199"/>
  <c r="DB19" i="199"/>
  <c r="DA19" i="199"/>
  <c r="CZ19" i="199"/>
  <c r="CY19" i="199"/>
  <c r="CX19" i="199"/>
  <c r="FU19" i="199" s="1"/>
  <c r="CW19" i="199"/>
  <c r="CV19" i="199"/>
  <c r="CU19" i="199"/>
  <c r="CQ19" i="199"/>
  <c r="CP19" i="199"/>
  <c r="CO19" i="199"/>
  <c r="CN19" i="199"/>
  <c r="CM19" i="199"/>
  <c r="CL19" i="199"/>
  <c r="CE19" i="199"/>
  <c r="AX19" i="199"/>
  <c r="AW19" i="199"/>
  <c r="AV19" i="199"/>
  <c r="AK19" i="199" s="1"/>
  <c r="AJ19" i="199"/>
  <c r="AH19" i="199"/>
  <c r="AG19" i="199"/>
  <c r="AF19" i="199"/>
  <c r="AE19" i="199"/>
  <c r="GL18" i="199"/>
  <c r="GK18" i="199"/>
  <c r="GM18" i="199" s="1"/>
  <c r="GF18" i="199"/>
  <c r="FV18" i="199"/>
  <c r="FU18" i="199"/>
  <c r="FM18" i="199"/>
  <c r="FH18" i="199"/>
  <c r="FD18" i="199"/>
  <c r="FC18" i="199"/>
  <c r="EZ18" i="199"/>
  <c r="EY18" i="199"/>
  <c r="EX18" i="199"/>
  <c r="EN18" i="199"/>
  <c r="EM18" i="199"/>
  <c r="EC18" i="199"/>
  <c r="EA18" i="199"/>
  <c r="DZ18" i="199"/>
  <c r="DY18" i="199"/>
  <c r="FP18" i="199" s="1"/>
  <c r="DX18" i="199"/>
  <c r="DW18" i="199"/>
  <c r="FO18" i="199" s="1"/>
  <c r="DV18" i="199"/>
  <c r="DU18" i="199"/>
  <c r="DS18" i="199"/>
  <c r="DP18" i="199"/>
  <c r="DO18" i="199"/>
  <c r="DN18" i="199"/>
  <c r="FI18" i="199" s="1"/>
  <c r="DM18" i="199"/>
  <c r="DL18" i="199"/>
  <c r="DK18" i="199"/>
  <c r="EL18" i="199" s="1"/>
  <c r="DJ18" i="199"/>
  <c r="DI18" i="199"/>
  <c r="DH18" i="199"/>
  <c r="DG18" i="199"/>
  <c r="DF18" i="199"/>
  <c r="ED18" i="199" s="1"/>
  <c r="DE18" i="199"/>
  <c r="FR18" i="199" s="1"/>
  <c r="DD18" i="199"/>
  <c r="DC18" i="199"/>
  <c r="DB18" i="199"/>
  <c r="DA18" i="199"/>
  <c r="CZ18" i="199"/>
  <c r="CY18" i="199"/>
  <c r="CX18" i="199"/>
  <c r="CW18" i="199"/>
  <c r="CV18" i="199"/>
  <c r="CU18" i="199"/>
  <c r="FQ18" i="199" s="1"/>
  <c r="CQ18" i="199"/>
  <c r="CP18" i="199"/>
  <c r="CO18" i="199"/>
  <c r="CN18" i="199"/>
  <c r="CM18" i="199"/>
  <c r="CL18" i="199"/>
  <c r="CK18" i="199"/>
  <c r="AY18" i="199"/>
  <c r="AX18" i="199"/>
  <c r="AW18" i="199"/>
  <c r="AV18" i="199"/>
  <c r="AH18" i="199"/>
  <c r="AG18" i="199"/>
  <c r="AF18" i="199"/>
  <c r="AE18" i="199"/>
  <c r="H18" i="199"/>
  <c r="G18" i="199"/>
  <c r="F18" i="199"/>
  <c r="GL17" i="199"/>
  <c r="GM17" i="199" s="1"/>
  <c r="GK17" i="199"/>
  <c r="GF17" i="199"/>
  <c r="FV17" i="199"/>
  <c r="FU17" i="199"/>
  <c r="FT17" i="199"/>
  <c r="FO17" i="199"/>
  <c r="FM17" i="199"/>
  <c r="FD17" i="199"/>
  <c r="FC17" i="199"/>
  <c r="FA17" i="199"/>
  <c r="EZ17" i="199"/>
  <c r="EY17" i="199"/>
  <c r="EX17" i="199"/>
  <c r="EL17" i="199"/>
  <c r="DY17" i="199"/>
  <c r="DZ17" i="199" s="1"/>
  <c r="DX17" i="199"/>
  <c r="DW17" i="199"/>
  <c r="DV17" i="199"/>
  <c r="DS17" i="199"/>
  <c r="DO17" i="199"/>
  <c r="DN17" i="199"/>
  <c r="FI17" i="199" s="1"/>
  <c r="DM17" i="199"/>
  <c r="DL17" i="199"/>
  <c r="DK17" i="199"/>
  <c r="DJ17" i="199"/>
  <c r="DI17" i="199"/>
  <c r="DH17" i="199"/>
  <c r="DG17" i="199"/>
  <c r="DF17" i="199"/>
  <c r="DE17" i="199"/>
  <c r="FR17" i="199" s="1"/>
  <c r="DD17" i="199"/>
  <c r="DC17" i="199"/>
  <c r="DB17" i="199"/>
  <c r="DA17" i="199"/>
  <c r="EE17" i="199" s="1"/>
  <c r="CZ17" i="199"/>
  <c r="CY17" i="199"/>
  <c r="CX17" i="199"/>
  <c r="FH17" i="199" s="1"/>
  <c r="CW17" i="199"/>
  <c r="CV17" i="199"/>
  <c r="DU17" i="199" s="1"/>
  <c r="CU17" i="199"/>
  <c r="CQ17" i="199"/>
  <c r="CP17" i="199"/>
  <c r="CK17" i="199" s="1"/>
  <c r="CO17" i="199"/>
  <c r="CN17" i="199"/>
  <c r="CM17" i="199"/>
  <c r="CL17" i="199"/>
  <c r="CE17" i="199"/>
  <c r="AX17" i="199"/>
  <c r="AW17" i="199"/>
  <c r="AV17" i="199"/>
  <c r="AK17" i="199" s="1"/>
  <c r="AH17" i="199"/>
  <c r="AG17" i="199"/>
  <c r="AF17" i="199"/>
  <c r="AE17" i="199"/>
  <c r="GL16" i="199"/>
  <c r="GK16" i="199"/>
  <c r="GM16" i="199" s="1"/>
  <c r="GF16" i="199"/>
  <c r="FU16" i="199"/>
  <c r="FS16" i="199"/>
  <c r="FI16" i="199"/>
  <c r="FH16" i="199"/>
  <c r="FG16" i="199"/>
  <c r="Y16" i="199" s="1"/>
  <c r="FC16" i="199"/>
  <c r="FA16" i="199"/>
  <c r="EZ16" i="199"/>
  <c r="EE16" i="199" s="1"/>
  <c r="EY16" i="199"/>
  <c r="EX16" i="199"/>
  <c r="EQ16" i="199"/>
  <c r="EN16" i="199"/>
  <c r="EB16" i="199"/>
  <c r="EA16" i="199"/>
  <c r="DZ16" i="199"/>
  <c r="DY16" i="199"/>
  <c r="DX16" i="199"/>
  <c r="DT16" i="199"/>
  <c r="DS16" i="199"/>
  <c r="DP16" i="199"/>
  <c r="DO16" i="199"/>
  <c r="DN16" i="199"/>
  <c r="DM16" i="199"/>
  <c r="DL16" i="199"/>
  <c r="DK16" i="199"/>
  <c r="EL16" i="199" s="1"/>
  <c r="EM16" i="199" s="1"/>
  <c r="DJ16" i="199"/>
  <c r="DI16" i="199"/>
  <c r="DH16" i="199"/>
  <c r="DG16" i="199"/>
  <c r="DF16" i="199"/>
  <c r="ED16" i="199" s="1"/>
  <c r="DE16" i="199"/>
  <c r="FR16" i="199" s="1"/>
  <c r="DD16" i="199"/>
  <c r="FD16" i="199" s="1"/>
  <c r="FE16" i="199" s="1"/>
  <c r="FF16" i="199" s="1"/>
  <c r="DC16" i="199"/>
  <c r="DB16" i="199"/>
  <c r="DA16" i="199"/>
  <c r="CZ16" i="199"/>
  <c r="CY16" i="199"/>
  <c r="CX16" i="199"/>
  <c r="CW16" i="199"/>
  <c r="CV16" i="199"/>
  <c r="CU16" i="199"/>
  <c r="FQ16" i="199" s="1"/>
  <c r="CQ16" i="199"/>
  <c r="CK16" i="199" s="1"/>
  <c r="CP16" i="199"/>
  <c r="CO16" i="199"/>
  <c r="CN16" i="199"/>
  <c r="CM16" i="199"/>
  <c r="CL16" i="199"/>
  <c r="AX16" i="199"/>
  <c r="AW16" i="199"/>
  <c r="AV16" i="199"/>
  <c r="AH16" i="199"/>
  <c r="AG16" i="199"/>
  <c r="AF16" i="199"/>
  <c r="AE16" i="199"/>
  <c r="ID14" i="199"/>
  <c r="IC14" i="199"/>
  <c r="IB14" i="199"/>
  <c r="HU14" i="199"/>
  <c r="HT14" i="199"/>
  <c r="HN14" i="199"/>
  <c r="HJ14" i="199"/>
  <c r="HF14" i="199"/>
  <c r="HD14" i="199"/>
  <c r="AB12" i="199"/>
  <c r="AA12" i="199"/>
  <c r="HK11" i="199"/>
  <c r="HL11" i="199" s="1"/>
  <c r="HM11" i="199" s="1"/>
  <c r="HN11" i="199" s="1"/>
  <c r="HO11" i="199" s="1"/>
  <c r="HP11" i="199" s="1"/>
  <c r="HQ11" i="199" s="1"/>
  <c r="HR11" i="199" s="1"/>
  <c r="HS11" i="199" s="1"/>
  <c r="HT11" i="199" s="1"/>
  <c r="HU11" i="199" s="1"/>
  <c r="HV11" i="199" s="1"/>
  <c r="HW11" i="199" s="1"/>
  <c r="HX11" i="199" s="1"/>
  <c r="HY11" i="199" s="1"/>
  <c r="HZ11" i="199" s="1"/>
  <c r="IA11" i="199" s="1"/>
  <c r="IB11" i="199" s="1"/>
  <c r="IC11" i="199" s="1"/>
  <c r="ID11" i="199" s="1"/>
  <c r="IE11" i="199" s="1"/>
  <c r="IF11" i="199" s="1"/>
  <c r="HJ11" i="199"/>
  <c r="HB11" i="199"/>
  <c r="HC11" i="199" s="1"/>
  <c r="HD11" i="199" s="1"/>
  <c r="HE11" i="199" s="1"/>
  <c r="HF11" i="199" s="1"/>
  <c r="HG11" i="199" s="1"/>
  <c r="HH11" i="199" s="1"/>
  <c r="HI11" i="199" s="1"/>
  <c r="Z10" i="199"/>
  <c r="S10" i="199"/>
  <c r="C10" i="199"/>
  <c r="DN9" i="199"/>
  <c r="DM9" i="199"/>
  <c r="DL9" i="199"/>
  <c r="DK9" i="199"/>
  <c r="DJ9" i="199"/>
  <c r="DI9" i="199"/>
  <c r="DH9" i="199"/>
  <c r="DG9" i="199"/>
  <c r="S9" i="199"/>
  <c r="C9" i="199"/>
  <c r="DN8" i="199"/>
  <c r="DM8" i="199"/>
  <c r="DL8" i="199"/>
  <c r="DK8" i="199"/>
  <c r="DJ8" i="199"/>
  <c r="DI8" i="199"/>
  <c r="DH8" i="199"/>
  <c r="DG8" i="199"/>
  <c r="DN7" i="199"/>
  <c r="DM7" i="199"/>
  <c r="DL7" i="199"/>
  <c r="DK7" i="199"/>
  <c r="DJ7" i="199"/>
  <c r="DI7" i="199"/>
  <c r="DH7" i="199"/>
  <c r="DG7" i="199"/>
  <c r="DN6" i="199"/>
  <c r="DM6" i="199"/>
  <c r="DL6" i="199"/>
  <c r="DK6" i="199"/>
  <c r="DJ6" i="199"/>
  <c r="DI6" i="199"/>
  <c r="DH6" i="199"/>
  <c r="DG6" i="199"/>
  <c r="DC6" i="199"/>
  <c r="DB6" i="199"/>
  <c r="DA6" i="199"/>
  <c r="CZ6" i="199"/>
  <c r="CY6" i="199"/>
  <c r="CX6" i="199"/>
  <c r="CW6" i="199"/>
  <c r="CV6" i="199"/>
  <c r="Y6" i="199"/>
  <c r="M6" i="199"/>
  <c r="DN5" i="199"/>
  <c r="DM5" i="199"/>
  <c r="DL5" i="199"/>
  <c r="DK5" i="199"/>
  <c r="DJ5" i="199"/>
  <c r="DI5" i="199"/>
  <c r="DH5" i="199"/>
  <c r="DG5" i="199"/>
  <c r="DC5" i="199"/>
  <c r="DB5" i="199"/>
  <c r="AL52" i="199" s="1"/>
  <c r="DA5" i="199"/>
  <c r="CZ5" i="199"/>
  <c r="CY5" i="199"/>
  <c r="CX5" i="199"/>
  <c r="CW5" i="199"/>
  <c r="AN52" i="199" s="1"/>
  <c r="CV5" i="199"/>
  <c r="DN4" i="199"/>
  <c r="DM4" i="199"/>
  <c r="DL4" i="199"/>
  <c r="DK4" i="199"/>
  <c r="DJ4" i="199"/>
  <c r="DI4" i="199"/>
  <c r="DH4" i="199"/>
  <c r="DG4" i="199"/>
  <c r="DC4" i="199"/>
  <c r="DB4" i="199"/>
  <c r="DA4" i="199"/>
  <c r="AK53" i="199" s="1"/>
  <c r="CZ4" i="199"/>
  <c r="CY4" i="199"/>
  <c r="CX4" i="199"/>
  <c r="CW4" i="199"/>
  <c r="CV4" i="199"/>
  <c r="P4" i="199"/>
  <c r="DN3" i="199"/>
  <c r="DM3" i="199"/>
  <c r="DL3" i="199"/>
  <c r="DK3" i="199"/>
  <c r="DJ3" i="199"/>
  <c r="DI3" i="199"/>
  <c r="DH3" i="199"/>
  <c r="DG3" i="199"/>
  <c r="DN2" i="199"/>
  <c r="DM2" i="199"/>
  <c r="DL2" i="199"/>
  <c r="DK2" i="199"/>
  <c r="DJ2" i="199"/>
  <c r="DI2" i="199"/>
  <c r="AS35" i="199" s="1"/>
  <c r="DH2" i="199"/>
  <c r="DG2" i="199"/>
  <c r="DD2" i="199"/>
  <c r="DB2" i="199"/>
  <c r="CZ2" i="199"/>
  <c r="CX2" i="199"/>
  <c r="P2" i="199"/>
  <c r="HA1" i="199"/>
  <c r="DQ1" i="199"/>
  <c r="DD1" i="199"/>
  <c r="DZ32" i="199" s="1"/>
  <c r="CX1" i="199"/>
  <c r="CY1" i="199" s="1"/>
  <c r="AE1" i="199"/>
  <c r="AD1" i="199"/>
  <c r="P1" i="199"/>
  <c r="EO104" i="198"/>
  <c r="EN104" i="198"/>
  <c r="EM104" i="198"/>
  <c r="EL104" i="198"/>
  <c r="EJ104" i="198"/>
  <c r="EO103" i="198"/>
  <c r="EN103" i="198"/>
  <c r="EM103" i="198"/>
  <c r="EO102" i="198"/>
  <c r="EN102" i="198"/>
  <c r="EM102" i="198"/>
  <c r="EO101" i="198"/>
  <c r="EN101" i="198"/>
  <c r="EM101" i="198"/>
  <c r="EO100" i="198"/>
  <c r="EN100" i="198"/>
  <c r="EM100" i="198"/>
  <c r="EO99" i="198"/>
  <c r="EN99" i="198"/>
  <c r="EM99" i="198"/>
  <c r="EO98" i="198"/>
  <c r="EN98" i="198"/>
  <c r="EM98" i="198"/>
  <c r="EO97" i="198"/>
  <c r="EN97" i="198"/>
  <c r="EM97" i="198"/>
  <c r="EO96" i="198"/>
  <c r="EN96" i="198"/>
  <c r="EM96" i="198"/>
  <c r="EO95" i="198"/>
  <c r="EN95" i="198"/>
  <c r="EM95" i="198"/>
  <c r="EO94" i="198"/>
  <c r="EN94" i="198"/>
  <c r="EM94" i="198"/>
  <c r="EO93" i="198"/>
  <c r="EN93" i="198"/>
  <c r="EM93" i="198"/>
  <c r="EO92" i="198"/>
  <c r="EN92" i="198"/>
  <c r="EM92" i="198"/>
  <c r="EO91" i="198"/>
  <c r="EN91" i="198"/>
  <c r="EM91" i="198"/>
  <c r="EO90" i="198"/>
  <c r="EN90" i="198"/>
  <c r="EM90" i="198"/>
  <c r="EO89" i="198"/>
  <c r="EN89" i="198"/>
  <c r="EM89" i="198"/>
  <c r="EO88" i="198"/>
  <c r="EN88" i="198"/>
  <c r="EM88" i="198"/>
  <c r="EO87" i="198"/>
  <c r="EN87" i="198"/>
  <c r="EM87" i="198"/>
  <c r="EO86" i="198"/>
  <c r="EN86" i="198"/>
  <c r="EM86" i="198"/>
  <c r="EJ86" i="198"/>
  <c r="EO85" i="198"/>
  <c r="EN85" i="198"/>
  <c r="EM85" i="198"/>
  <c r="EO84" i="198"/>
  <c r="EN84" i="198"/>
  <c r="EM84" i="198"/>
  <c r="EO83" i="198"/>
  <c r="EN83" i="198"/>
  <c r="EM83" i="198"/>
  <c r="EO82" i="198"/>
  <c r="EN82" i="198"/>
  <c r="EM82" i="198"/>
  <c r="EO81" i="198"/>
  <c r="EN81" i="198"/>
  <c r="EM81" i="198"/>
  <c r="EO80" i="198"/>
  <c r="EN80" i="198"/>
  <c r="EM80" i="198"/>
  <c r="EO79" i="198"/>
  <c r="EN79" i="198"/>
  <c r="EM79" i="198"/>
  <c r="EO78" i="198"/>
  <c r="EN78" i="198"/>
  <c r="EM78" i="198"/>
  <c r="EO77" i="198"/>
  <c r="EN77" i="198"/>
  <c r="EM77" i="198"/>
  <c r="EO76" i="198"/>
  <c r="EN76" i="198"/>
  <c r="EM76" i="198"/>
  <c r="EO75" i="198"/>
  <c r="EN75" i="198"/>
  <c r="EM75" i="198"/>
  <c r="GF57" i="198"/>
  <c r="GE57" i="198"/>
  <c r="GA57" i="198"/>
  <c r="AA57" i="198"/>
  <c r="Z57" i="198"/>
  <c r="Y57" i="198"/>
  <c r="X57" i="198"/>
  <c r="W57" i="198"/>
  <c r="V57" i="198"/>
  <c r="AT57" i="198" s="1"/>
  <c r="U57" i="198"/>
  <c r="AR57" i="198" s="1"/>
  <c r="T57" i="198"/>
  <c r="S57" i="198"/>
  <c r="R57" i="198"/>
  <c r="Q57" i="198"/>
  <c r="P57" i="198"/>
  <c r="O57" i="198"/>
  <c r="N57" i="198"/>
  <c r="M57" i="198"/>
  <c r="L57" i="198"/>
  <c r="K57" i="198"/>
  <c r="J57" i="198"/>
  <c r="I57" i="198"/>
  <c r="H57" i="198"/>
  <c r="G57" i="198"/>
  <c r="F57" i="198"/>
  <c r="E57" i="198"/>
  <c r="D57" i="198"/>
  <c r="C57" i="198"/>
  <c r="AV57" i="198" s="1"/>
  <c r="B57" i="198"/>
  <c r="A57" i="198"/>
  <c r="AX57" i="198" s="1"/>
  <c r="AK54" i="198"/>
  <c r="AL53" i="198"/>
  <c r="AK52" i="198"/>
  <c r="AM49" i="198"/>
  <c r="AL49" i="198"/>
  <c r="GD45" i="198"/>
  <c r="GC45" i="198"/>
  <c r="GB45" i="198"/>
  <c r="GA45" i="198"/>
  <c r="GL45" i="198" s="1"/>
  <c r="FV45" i="198"/>
  <c r="FU45" i="198"/>
  <c r="FQ45" i="198"/>
  <c r="FN45" i="198"/>
  <c r="FI45" i="198"/>
  <c r="FJ45" i="198" s="1"/>
  <c r="FK45" i="198" s="1"/>
  <c r="FL45" i="198" s="1"/>
  <c r="Z45" i="198" s="1"/>
  <c r="FH45" i="198"/>
  <c r="FC45" i="198"/>
  <c r="FA45" i="198"/>
  <c r="EZ45" i="198"/>
  <c r="EE45" i="198" s="1"/>
  <c r="EY45" i="198"/>
  <c r="EC45" i="198"/>
  <c r="EB45" i="198"/>
  <c r="EA45" i="198"/>
  <c r="DY45" i="198"/>
  <c r="DS45" i="198"/>
  <c r="DO45" i="198"/>
  <c r="FE45" i="198" s="1"/>
  <c r="FF45" i="198" s="1"/>
  <c r="FG45" i="198" s="1"/>
  <c r="DN45" i="198"/>
  <c r="DM45" i="198"/>
  <c r="DL45" i="198"/>
  <c r="DK45" i="198"/>
  <c r="EL45" i="198" s="1"/>
  <c r="DJ45" i="198"/>
  <c r="DI45" i="198"/>
  <c r="DH45" i="198"/>
  <c r="FM45" i="198" s="1"/>
  <c r="DG45" i="198"/>
  <c r="DF45" i="198"/>
  <c r="ED45" i="198" s="1"/>
  <c r="DE45" i="198"/>
  <c r="FR45" i="198" s="1"/>
  <c r="DD45" i="198"/>
  <c r="FD45" i="198" s="1"/>
  <c r="DC45" i="198"/>
  <c r="DT45" i="198" s="1"/>
  <c r="DB45" i="198"/>
  <c r="DA45" i="198"/>
  <c r="CZ45" i="198"/>
  <c r="CY45" i="198"/>
  <c r="FS45" i="198" s="1"/>
  <c r="CX45" i="198"/>
  <c r="CW45" i="198"/>
  <c r="CV45" i="198"/>
  <c r="CU45" i="198"/>
  <c r="EX45" i="198" s="1"/>
  <c r="CR45" i="198"/>
  <c r="CQ45" i="198"/>
  <c r="CP45" i="198"/>
  <c r="CO45" i="198"/>
  <c r="CN45" i="198"/>
  <c r="CM45" i="198"/>
  <c r="CL45" i="198"/>
  <c r="CK45" i="198"/>
  <c r="CD45" i="198"/>
  <c r="AY45" i="198"/>
  <c r="AX45" i="198"/>
  <c r="AW45" i="198"/>
  <c r="AO45" i="198"/>
  <c r="AK45" i="198"/>
  <c r="AJ45" i="198"/>
  <c r="AU45" i="198" s="1"/>
  <c r="AH45" i="198"/>
  <c r="AG45" i="198"/>
  <c r="AF45" i="198"/>
  <c r="Y45" i="198"/>
  <c r="I45" i="198"/>
  <c r="C45" i="198"/>
  <c r="AV45" i="198" s="1"/>
  <c r="A45" i="198"/>
  <c r="GF45" i="198" s="1"/>
  <c r="GE45" i="198" s="1"/>
  <c r="GF44" i="198"/>
  <c r="GB44" i="198"/>
  <c r="GA44" i="198"/>
  <c r="FU44" i="198"/>
  <c r="FT44" i="198"/>
  <c r="FH44" i="198"/>
  <c r="FD44" i="198"/>
  <c r="FC44" i="198"/>
  <c r="EZ44" i="198"/>
  <c r="EY44" i="198"/>
  <c r="EX44" i="198"/>
  <c r="EQ44" i="198"/>
  <c r="EN44" i="198"/>
  <c r="ER44" i="198" s="1"/>
  <c r="EM44" i="198"/>
  <c r="EG44" i="198"/>
  <c r="EF44" i="198"/>
  <c r="EE44" i="198"/>
  <c r="EC44" i="198"/>
  <c r="EA44" i="198"/>
  <c r="DY44" i="198"/>
  <c r="FP44" i="198" s="1"/>
  <c r="DX44" i="198"/>
  <c r="H44" i="198" s="1"/>
  <c r="DW44" i="198"/>
  <c r="FO44" i="198" s="1"/>
  <c r="DV44" i="198"/>
  <c r="DU44" i="198"/>
  <c r="DS44" i="198"/>
  <c r="DP44" i="198"/>
  <c r="DO44" i="198"/>
  <c r="DN44" i="198"/>
  <c r="FI44" i="198" s="1"/>
  <c r="DM44" i="198"/>
  <c r="DL44" i="198"/>
  <c r="DK44" i="198"/>
  <c r="EL44" i="198" s="1"/>
  <c r="DJ44" i="198"/>
  <c r="DI44" i="198"/>
  <c r="DH44" i="198"/>
  <c r="FM44" i="198" s="1"/>
  <c r="DG44" i="198"/>
  <c r="DF44" i="198"/>
  <c r="ED44" i="198" s="1"/>
  <c r="DE44" i="198"/>
  <c r="FR44" i="198" s="1"/>
  <c r="DD44" i="198"/>
  <c r="DC44" i="198"/>
  <c r="DB44" i="198"/>
  <c r="DA44" i="198"/>
  <c r="CZ44" i="198"/>
  <c r="CY44" i="198"/>
  <c r="CX44" i="198"/>
  <c r="CW44" i="198"/>
  <c r="CV44" i="198"/>
  <c r="CU44" i="198"/>
  <c r="FQ44" i="198" s="1"/>
  <c r="CQ44" i="198"/>
  <c r="CP44" i="198"/>
  <c r="CO44" i="198"/>
  <c r="CN44" i="198"/>
  <c r="CM44" i="198"/>
  <c r="CL44" i="198"/>
  <c r="CI44" i="198"/>
  <c r="AY44" i="198"/>
  <c r="AX44" i="198"/>
  <c r="AW44" i="198"/>
  <c r="AH44" i="198"/>
  <c r="AD44" i="198"/>
  <c r="K44" i="198"/>
  <c r="G44" i="198"/>
  <c r="C44" i="198"/>
  <c r="A44" i="198"/>
  <c r="GF43" i="198"/>
  <c r="FV43" i="198"/>
  <c r="FU43" i="198"/>
  <c r="FS43" i="198"/>
  <c r="FN43" i="198"/>
  <c r="FJ43" i="198"/>
  <c r="FK43" i="198" s="1"/>
  <c r="FL43" i="198" s="1"/>
  <c r="FF43" i="198"/>
  <c r="FG43" i="198" s="1"/>
  <c r="Y43" i="198" s="1"/>
  <c r="FE43" i="198"/>
  <c r="FD43" i="198"/>
  <c r="FC43" i="198"/>
  <c r="EL43" i="198" s="1"/>
  <c r="EZ43" i="198"/>
  <c r="EX43" i="198"/>
  <c r="EG43" i="198"/>
  <c r="EE43" i="198"/>
  <c r="EF43" i="198" s="1"/>
  <c r="ED43" i="198"/>
  <c r="DY43" i="198"/>
  <c r="DX43" i="198"/>
  <c r="DW43" i="198"/>
  <c r="DV43" i="198"/>
  <c r="DU43" i="198"/>
  <c r="DS43" i="198"/>
  <c r="DO43" i="198"/>
  <c r="DN43" i="198"/>
  <c r="FI43" i="198" s="1"/>
  <c r="DM43" i="198"/>
  <c r="DL43" i="198"/>
  <c r="DK43" i="198"/>
  <c r="DJ43" i="198"/>
  <c r="DI43" i="198"/>
  <c r="CE43" i="198" s="1"/>
  <c r="DH43" i="198"/>
  <c r="FM43" i="198" s="1"/>
  <c r="DG43" i="198"/>
  <c r="DF43" i="198"/>
  <c r="DE43" i="198"/>
  <c r="DD43" i="198"/>
  <c r="DC43" i="198"/>
  <c r="DT43" i="198" s="1"/>
  <c r="DB43" i="198"/>
  <c r="DA43" i="198"/>
  <c r="CZ43" i="198"/>
  <c r="CY43" i="198"/>
  <c r="CX43" i="198"/>
  <c r="FH43" i="198" s="1"/>
  <c r="CW43" i="198"/>
  <c r="CV43" i="198"/>
  <c r="CU43" i="198"/>
  <c r="FQ43" i="198" s="1"/>
  <c r="CQ43" i="198"/>
  <c r="CP43" i="198"/>
  <c r="CO43" i="198"/>
  <c r="CN43" i="198"/>
  <c r="CM43" i="198"/>
  <c r="CL43" i="198"/>
  <c r="CD43" i="198"/>
  <c r="AV43" i="198"/>
  <c r="AD43" i="198"/>
  <c r="Z43" i="198"/>
  <c r="C43" i="198"/>
  <c r="A43" i="198"/>
  <c r="AX43" i="198" s="1"/>
  <c r="FV42" i="198"/>
  <c r="FT42" i="198"/>
  <c r="FS42" i="198"/>
  <c r="FL42" i="198"/>
  <c r="Z42" i="198" s="1"/>
  <c r="FK42" i="198"/>
  <c r="FH42" i="198"/>
  <c r="FC42" i="198"/>
  <c r="EZ42" i="198"/>
  <c r="EE42" i="198" s="1"/>
  <c r="EL42" i="198"/>
  <c r="EA42" i="198"/>
  <c r="DY42" i="198"/>
  <c r="DU42" i="198"/>
  <c r="DS42" i="198"/>
  <c r="DO42" i="198"/>
  <c r="DN42" i="198"/>
  <c r="FI42" i="198" s="1"/>
  <c r="FJ42" i="198" s="1"/>
  <c r="DM42" i="198"/>
  <c r="DL42" i="198"/>
  <c r="DK42" i="198"/>
  <c r="DJ42" i="198"/>
  <c r="DI42" i="198"/>
  <c r="DH42" i="198"/>
  <c r="FM42" i="198" s="1"/>
  <c r="DG42" i="198"/>
  <c r="DF42" i="198"/>
  <c r="DE42" i="198"/>
  <c r="DD42" i="198"/>
  <c r="FD42" i="198" s="1"/>
  <c r="DC42" i="198"/>
  <c r="DB42" i="198"/>
  <c r="DA42" i="198"/>
  <c r="CZ42" i="198"/>
  <c r="CY42" i="198"/>
  <c r="CX42" i="198"/>
  <c r="FU42" i="198" s="1"/>
  <c r="CW42" i="198"/>
  <c r="CV42" i="198"/>
  <c r="CU42" i="198"/>
  <c r="CQ42" i="198"/>
  <c r="CP42" i="198"/>
  <c r="CK42" i="198" s="1"/>
  <c r="CO42" i="198"/>
  <c r="CN42" i="198"/>
  <c r="CM42" i="198"/>
  <c r="CL42" i="198"/>
  <c r="CE42" i="198"/>
  <c r="CD42" i="198"/>
  <c r="AH42" i="198"/>
  <c r="C42" i="198"/>
  <c r="A42" i="198"/>
  <c r="GB41" i="198"/>
  <c r="GA41" i="198"/>
  <c r="FV41" i="198"/>
  <c r="FU41" i="198"/>
  <c r="FR41" i="198"/>
  <c r="FI41" i="198"/>
  <c r="FJ41" i="198" s="1"/>
  <c r="FK41" i="198" s="1"/>
  <c r="FL41" i="198" s="1"/>
  <c r="Z41" i="198" s="1"/>
  <c r="FH41" i="198"/>
  <c r="FC41" i="198"/>
  <c r="EZ41" i="198"/>
  <c r="EE41" i="198" s="1"/>
  <c r="EY41" i="198"/>
  <c r="EX41" i="198"/>
  <c r="EC41" i="198"/>
  <c r="EB41" i="198"/>
  <c r="EA41" i="198"/>
  <c r="DZ41" i="198"/>
  <c r="DY41" i="198"/>
  <c r="DT41" i="198"/>
  <c r="DS41" i="198"/>
  <c r="DO41" i="198"/>
  <c r="DN41" i="198"/>
  <c r="DM41" i="198"/>
  <c r="FP41" i="198" s="1"/>
  <c r="DL41" i="198"/>
  <c r="DK41" i="198"/>
  <c r="EL41" i="198" s="1"/>
  <c r="DJ41" i="198"/>
  <c r="DI41" i="198"/>
  <c r="DH41" i="198"/>
  <c r="FM41" i="198" s="1"/>
  <c r="DG41" i="198"/>
  <c r="DF41" i="198"/>
  <c r="ED41" i="198" s="1"/>
  <c r="DE41" i="198"/>
  <c r="DD41" i="198"/>
  <c r="FD41" i="198" s="1"/>
  <c r="DC41" i="198"/>
  <c r="DB41" i="198"/>
  <c r="DA41" i="198"/>
  <c r="CZ41" i="198"/>
  <c r="CY41" i="198"/>
  <c r="FS41" i="198" s="1"/>
  <c r="CX41" i="198"/>
  <c r="CW41" i="198"/>
  <c r="CV41" i="198"/>
  <c r="CU41" i="198"/>
  <c r="CQ41" i="198"/>
  <c r="CP41" i="198"/>
  <c r="CO41" i="198"/>
  <c r="CN41" i="198"/>
  <c r="CM41" i="198"/>
  <c r="CL41" i="198"/>
  <c r="CK41" i="198"/>
  <c r="CD41" i="198"/>
  <c r="AY41" i="198"/>
  <c r="AX41" i="198"/>
  <c r="AW41" i="198"/>
  <c r="AH41" i="198"/>
  <c r="AG41" i="198"/>
  <c r="AF41" i="198"/>
  <c r="C41" i="198"/>
  <c r="AV41" i="198" s="1"/>
  <c r="AK41" i="198" s="1"/>
  <c r="A41" i="198"/>
  <c r="GF41" i="198" s="1"/>
  <c r="GE41" i="198" s="1"/>
  <c r="GL40" i="198"/>
  <c r="GK40" i="198"/>
  <c r="GM40" i="198" s="1"/>
  <c r="GF40" i="198"/>
  <c r="FS40" i="198"/>
  <c r="FI40" i="198"/>
  <c r="FJ40" i="198" s="1"/>
  <c r="FK40" i="198" s="1"/>
  <c r="FL40" i="198" s="1"/>
  <c r="Z40" i="198" s="1"/>
  <c r="FC40" i="198"/>
  <c r="EZ40" i="198"/>
  <c r="EE40" i="198" s="1"/>
  <c r="DZ40" i="198"/>
  <c r="DY40" i="198"/>
  <c r="DV40" i="198"/>
  <c r="DS40" i="198"/>
  <c r="DO40" i="198"/>
  <c r="DN40" i="198"/>
  <c r="DM40" i="198"/>
  <c r="DL40" i="198"/>
  <c r="DK40" i="198"/>
  <c r="EL40" i="198" s="1"/>
  <c r="DJ40" i="198"/>
  <c r="DI40" i="198"/>
  <c r="FT40" i="198" s="1"/>
  <c r="DH40" i="198"/>
  <c r="FV40" i="198" s="1"/>
  <c r="DG40" i="198"/>
  <c r="DF40" i="198"/>
  <c r="DE40" i="198"/>
  <c r="DD40" i="198"/>
  <c r="FD40" i="198" s="1"/>
  <c r="FE40" i="198" s="1"/>
  <c r="FF40" i="198" s="1"/>
  <c r="FG40" i="198" s="1"/>
  <c r="Y40" i="198" s="1"/>
  <c r="DC40" i="198"/>
  <c r="DB40" i="198"/>
  <c r="DA40" i="198"/>
  <c r="CZ40" i="198"/>
  <c r="CY40" i="198"/>
  <c r="CX40" i="198"/>
  <c r="FU40" i="198" s="1"/>
  <c r="CW40" i="198"/>
  <c r="CV40" i="198"/>
  <c r="CU40" i="198"/>
  <c r="CQ40" i="198"/>
  <c r="CP40" i="198"/>
  <c r="CO40" i="198"/>
  <c r="CN40" i="198"/>
  <c r="CM40" i="198"/>
  <c r="CL40" i="198"/>
  <c r="CK40" i="198"/>
  <c r="CE40" i="198"/>
  <c r="CD40" i="198"/>
  <c r="AX40" i="198"/>
  <c r="AW40" i="198"/>
  <c r="AV40" i="198"/>
  <c r="AL40" i="198"/>
  <c r="AK40" i="198"/>
  <c r="AJ40" i="198"/>
  <c r="AH40" i="198"/>
  <c r="AG40" i="198"/>
  <c r="AF40" i="198"/>
  <c r="AE40" i="198"/>
  <c r="GL39" i="198"/>
  <c r="GK39" i="198"/>
  <c r="GM39" i="198" s="1"/>
  <c r="GF39" i="198"/>
  <c r="FV39" i="198"/>
  <c r="FU39" i="198"/>
  <c r="FR39" i="198"/>
  <c r="FQ39" i="198"/>
  <c r="FN39" i="198"/>
  <c r="FJ39" i="198"/>
  <c r="FK39" i="198" s="1"/>
  <c r="FI39" i="198"/>
  <c r="FH39" i="198"/>
  <c r="FC39" i="198"/>
  <c r="FB39" i="198"/>
  <c r="FA39" i="198"/>
  <c r="EZ39" i="198"/>
  <c r="EE39" i="198" s="1"/>
  <c r="EC39" i="198"/>
  <c r="FP39" i="198" s="1"/>
  <c r="EB39" i="198"/>
  <c r="EA39" i="198"/>
  <c r="DZ39" i="198"/>
  <c r="DY39" i="198"/>
  <c r="DS39" i="198"/>
  <c r="DO39" i="198"/>
  <c r="FE39" i="198" s="1"/>
  <c r="FF39" i="198" s="1"/>
  <c r="DN39" i="198"/>
  <c r="DM39" i="198"/>
  <c r="DL39" i="198"/>
  <c r="DK39" i="198"/>
  <c r="EL39" i="198" s="1"/>
  <c r="DJ39" i="198"/>
  <c r="DI39" i="198"/>
  <c r="DH39" i="198"/>
  <c r="FM39" i="198" s="1"/>
  <c r="DG39" i="198"/>
  <c r="DF39" i="198"/>
  <c r="ED39" i="198" s="1"/>
  <c r="DE39" i="198"/>
  <c r="DD39" i="198"/>
  <c r="FD39" i="198" s="1"/>
  <c r="DC39" i="198"/>
  <c r="DB39" i="198"/>
  <c r="DA39" i="198"/>
  <c r="CZ39" i="198"/>
  <c r="CY39" i="198"/>
  <c r="FS39" i="198" s="1"/>
  <c r="CX39" i="198"/>
  <c r="CW39" i="198"/>
  <c r="CV39" i="198"/>
  <c r="CU39" i="198"/>
  <c r="EY39" i="198" s="1"/>
  <c r="CS39" i="198"/>
  <c r="CQ39" i="198"/>
  <c r="CP39" i="198"/>
  <c r="CO39" i="198"/>
  <c r="CN39" i="198"/>
  <c r="CM39" i="198"/>
  <c r="CL39" i="198"/>
  <c r="CK39" i="198"/>
  <c r="CD39" i="198"/>
  <c r="ES39" i="198" s="1"/>
  <c r="AY39" i="198"/>
  <c r="AX39" i="198"/>
  <c r="AW39" i="198"/>
  <c r="AV39" i="198"/>
  <c r="AS39" i="198"/>
  <c r="AT39" i="198" s="1"/>
  <c r="AO39" i="198"/>
  <c r="AK39" i="198"/>
  <c r="AJ39" i="198"/>
  <c r="AU39" i="198" s="1"/>
  <c r="AH39" i="198"/>
  <c r="AG39" i="198"/>
  <c r="AF39" i="198"/>
  <c r="AE39" i="198"/>
  <c r="P39" i="198"/>
  <c r="GL38" i="198"/>
  <c r="GK38" i="198"/>
  <c r="GF38" i="198"/>
  <c r="FV38" i="198"/>
  <c r="FU38" i="198"/>
  <c r="FS38" i="198"/>
  <c r="FN38" i="198"/>
  <c r="FI38" i="198"/>
  <c r="FH38" i="198"/>
  <c r="FE38" i="198"/>
  <c r="FF38" i="198" s="1"/>
  <c r="FG38" i="198" s="1"/>
  <c r="Y38" i="198" s="1"/>
  <c r="FC38" i="198"/>
  <c r="FA38" i="198"/>
  <c r="EZ38" i="198"/>
  <c r="EE38" i="198" s="1"/>
  <c r="EY38" i="198"/>
  <c r="EX38" i="198"/>
  <c r="EQ38" i="198"/>
  <c r="EN38" i="198"/>
  <c r="ER38" i="198" s="1"/>
  <c r="EB38" i="198"/>
  <c r="EA38" i="198"/>
  <c r="DY38" i="198"/>
  <c r="DX38" i="198"/>
  <c r="DS38" i="198"/>
  <c r="DP38" i="198"/>
  <c r="DO38" i="198"/>
  <c r="FJ38" i="198" s="1"/>
  <c r="FK38" i="198" s="1"/>
  <c r="FL38" i="198" s="1"/>
  <c r="Z38" i="198" s="1"/>
  <c r="DN38" i="198"/>
  <c r="DM38" i="198"/>
  <c r="DL38" i="198"/>
  <c r="DK38" i="198"/>
  <c r="EL38" i="198" s="1"/>
  <c r="EM38" i="198" s="1"/>
  <c r="DJ38" i="198"/>
  <c r="DI38" i="198"/>
  <c r="DH38" i="198"/>
  <c r="FM38" i="198" s="1"/>
  <c r="DG38" i="198"/>
  <c r="DF38" i="198"/>
  <c r="ED38" i="198" s="1"/>
  <c r="DE38" i="198"/>
  <c r="FR38" i="198" s="1"/>
  <c r="DD38" i="198"/>
  <c r="FD38" i="198" s="1"/>
  <c r="DC38" i="198"/>
  <c r="DT38" i="198" s="1"/>
  <c r="DB38" i="198"/>
  <c r="DA38" i="198"/>
  <c r="CZ38" i="198"/>
  <c r="CY38" i="198"/>
  <c r="CX38" i="198"/>
  <c r="CW38" i="198"/>
  <c r="CV38" i="198"/>
  <c r="CU38" i="198"/>
  <c r="FQ38" i="198" s="1"/>
  <c r="CQ38" i="198"/>
  <c r="CK38" i="198" s="1"/>
  <c r="CP38" i="198"/>
  <c r="CO38" i="198"/>
  <c r="CN38" i="198"/>
  <c r="CM38" i="198"/>
  <c r="CL38" i="198"/>
  <c r="CI38" i="198"/>
  <c r="AY38" i="198"/>
  <c r="AX38" i="198"/>
  <c r="AW38" i="198"/>
  <c r="AV38" i="198"/>
  <c r="AK38" i="198" s="1"/>
  <c r="AO38" i="198"/>
  <c r="AN38" i="198"/>
  <c r="AJ38" i="198"/>
  <c r="AH38" i="198"/>
  <c r="AG38" i="198"/>
  <c r="AF38" i="198"/>
  <c r="AE38" i="198"/>
  <c r="W38" i="198"/>
  <c r="V38" i="198"/>
  <c r="AT38" i="198" s="1"/>
  <c r="H38" i="198"/>
  <c r="AQ38" i="198" s="1"/>
  <c r="GL37" i="198"/>
  <c r="GK37" i="198"/>
  <c r="GM37" i="198" s="1"/>
  <c r="GF37" i="198"/>
  <c r="FU37" i="198"/>
  <c r="FT37" i="198"/>
  <c r="FP37" i="198"/>
  <c r="FM37" i="198"/>
  <c r="FH37" i="198"/>
  <c r="FD37" i="198"/>
  <c r="FE37" i="198" s="1"/>
  <c r="FF37" i="198" s="1"/>
  <c r="FG37" i="198" s="1"/>
  <c r="Y37" i="198" s="1"/>
  <c r="FC37" i="198"/>
  <c r="EZ37" i="198"/>
  <c r="EE37" i="198"/>
  <c r="EF37" i="198" s="1"/>
  <c r="EC37" i="198"/>
  <c r="EA37" i="198"/>
  <c r="DY37" i="198"/>
  <c r="DX37" i="198"/>
  <c r="DW37" i="198"/>
  <c r="DV37" i="198"/>
  <c r="DU37" i="198"/>
  <c r="DS37" i="198"/>
  <c r="DP37" i="198"/>
  <c r="DO37" i="198"/>
  <c r="DN37" i="198"/>
  <c r="FI37" i="198" s="1"/>
  <c r="DM37" i="198"/>
  <c r="DL37" i="198"/>
  <c r="DK37" i="198"/>
  <c r="EL37" i="198" s="1"/>
  <c r="DJ37" i="198"/>
  <c r="DI37" i="198"/>
  <c r="DH37" i="198"/>
  <c r="FV37" i="198" s="1"/>
  <c r="DG37" i="198"/>
  <c r="DF37" i="198"/>
  <c r="ED37" i="198" s="1"/>
  <c r="DE37" i="198"/>
  <c r="FR37" i="198" s="1"/>
  <c r="DD37" i="198"/>
  <c r="DC37" i="198"/>
  <c r="DB37" i="198"/>
  <c r="DA37" i="198"/>
  <c r="CZ37" i="198"/>
  <c r="CY37" i="198"/>
  <c r="CX37" i="198"/>
  <c r="CW37" i="198"/>
  <c r="CV37" i="198"/>
  <c r="CU37" i="198"/>
  <c r="CQ37" i="198"/>
  <c r="CP37" i="198"/>
  <c r="CO37" i="198"/>
  <c r="CN37" i="198"/>
  <c r="CM37" i="198"/>
  <c r="CL37" i="198"/>
  <c r="CK37" i="198"/>
  <c r="AY37" i="198"/>
  <c r="AX37" i="198"/>
  <c r="AW37" i="198"/>
  <c r="AV37" i="198"/>
  <c r="AK37" i="198" s="1"/>
  <c r="AH37" i="198"/>
  <c r="AG37" i="198"/>
  <c r="AF37" i="198"/>
  <c r="AE37" i="198"/>
  <c r="GM36" i="198"/>
  <c r="GL36" i="198"/>
  <c r="GK36" i="198"/>
  <c r="GF36" i="198"/>
  <c r="FV36" i="198"/>
  <c r="FU36" i="198"/>
  <c r="FR36" i="198"/>
  <c r="FP36" i="198"/>
  <c r="FI36" i="198"/>
  <c r="FJ36" i="198" s="1"/>
  <c r="FK36" i="198" s="1"/>
  <c r="FL36" i="198" s="1"/>
  <c r="Z36" i="198" s="1"/>
  <c r="FH36" i="198"/>
  <c r="FC36" i="198"/>
  <c r="EZ36" i="198"/>
  <c r="EC36" i="198"/>
  <c r="EB36" i="198"/>
  <c r="EA36" i="198"/>
  <c r="DY36" i="198"/>
  <c r="DU36" i="198"/>
  <c r="DS36" i="198"/>
  <c r="DO36" i="198"/>
  <c r="DN36" i="198"/>
  <c r="DM36" i="198"/>
  <c r="DL36" i="198"/>
  <c r="DK36" i="198"/>
  <c r="EL36" i="198" s="1"/>
  <c r="DJ36" i="198"/>
  <c r="DI36" i="198"/>
  <c r="DH36" i="198"/>
  <c r="FM36" i="198" s="1"/>
  <c r="DG36" i="198"/>
  <c r="DF36" i="198"/>
  <c r="ED36" i="198" s="1"/>
  <c r="DE36" i="198"/>
  <c r="DD36" i="198"/>
  <c r="FD36" i="198" s="1"/>
  <c r="DC36" i="198"/>
  <c r="DB36" i="198"/>
  <c r="DA36" i="198"/>
  <c r="CZ36" i="198"/>
  <c r="CY36" i="198"/>
  <c r="FS36" i="198" s="1"/>
  <c r="CX36" i="198"/>
  <c r="CW36" i="198"/>
  <c r="CV36" i="198"/>
  <c r="CU36" i="198"/>
  <c r="EY36" i="198" s="1"/>
  <c r="CQ36" i="198"/>
  <c r="CP36" i="198"/>
  <c r="CO36" i="198"/>
  <c r="CN36" i="198"/>
  <c r="CM36" i="198"/>
  <c r="CL36" i="198"/>
  <c r="CK36" i="198"/>
  <c r="CD36" i="198"/>
  <c r="AX36" i="198"/>
  <c r="AW36" i="198"/>
  <c r="AV36" i="198"/>
  <c r="AK36" i="198"/>
  <c r="AJ36" i="198"/>
  <c r="AH36" i="198"/>
  <c r="AG36" i="198"/>
  <c r="AF36" i="198"/>
  <c r="AE36" i="198"/>
  <c r="GL35" i="198"/>
  <c r="GK35" i="198"/>
  <c r="GM35" i="198" s="1"/>
  <c r="GF35" i="198"/>
  <c r="FU35" i="198"/>
  <c r="FS35" i="198"/>
  <c r="FN35" i="198"/>
  <c r="FI35" i="198"/>
  <c r="FH35" i="198"/>
  <c r="FE35" i="198"/>
  <c r="FF35" i="198" s="1"/>
  <c r="FG35" i="198" s="1"/>
  <c r="Y35" i="198" s="1"/>
  <c r="FC35" i="198"/>
  <c r="FA35" i="198"/>
  <c r="EZ35" i="198"/>
  <c r="EB35" i="198"/>
  <c r="EA35" i="198"/>
  <c r="DY35" i="198"/>
  <c r="DS35" i="198"/>
  <c r="DP35" i="198"/>
  <c r="DO35" i="198"/>
  <c r="DN35" i="198"/>
  <c r="DM35" i="198"/>
  <c r="DL35" i="198"/>
  <c r="DK35" i="198"/>
  <c r="EL35" i="198" s="1"/>
  <c r="DJ35" i="198"/>
  <c r="DI35" i="198"/>
  <c r="DH35" i="198"/>
  <c r="DG35" i="198"/>
  <c r="DF35" i="198"/>
  <c r="ED35" i="198" s="1"/>
  <c r="DE35" i="198"/>
  <c r="FR35" i="198" s="1"/>
  <c r="DD35" i="198"/>
  <c r="FD35" i="198" s="1"/>
  <c r="DC35" i="198"/>
  <c r="DT35" i="198" s="1"/>
  <c r="DB35" i="198"/>
  <c r="DA35" i="198"/>
  <c r="CZ35" i="198"/>
  <c r="CY35" i="198"/>
  <c r="CX35" i="198"/>
  <c r="CW35" i="198"/>
  <c r="CV35" i="198"/>
  <c r="CU35" i="198"/>
  <c r="CQ35" i="198"/>
  <c r="CP35" i="198"/>
  <c r="CO35" i="198"/>
  <c r="CN35" i="198"/>
  <c r="CM35" i="198"/>
  <c r="CL35" i="198"/>
  <c r="CK35" i="198"/>
  <c r="AX35" i="198"/>
  <c r="AW35" i="198"/>
  <c r="AV35" i="198"/>
  <c r="AK35" i="198" s="1"/>
  <c r="AH35" i="198"/>
  <c r="AG35" i="198"/>
  <c r="AF35" i="198"/>
  <c r="AE35" i="198"/>
  <c r="GL34" i="198"/>
  <c r="GK34" i="198"/>
  <c r="GM34" i="198" s="1"/>
  <c r="GF34" i="198"/>
  <c r="FU34" i="198"/>
  <c r="FT34" i="198"/>
  <c r="FH34" i="198"/>
  <c r="FD34" i="198"/>
  <c r="FC34" i="198"/>
  <c r="EZ34" i="198"/>
  <c r="EE34" i="198" s="1"/>
  <c r="EY34" i="198"/>
  <c r="EX34" i="198"/>
  <c r="EN34" i="198"/>
  <c r="ER34" i="198" s="1"/>
  <c r="EM34" i="198"/>
  <c r="EG34" i="198"/>
  <c r="EF34" i="198"/>
  <c r="EC34" i="198"/>
  <c r="EA34" i="198"/>
  <c r="DY34" i="198"/>
  <c r="DX34" i="198"/>
  <c r="DW34" i="198"/>
  <c r="DV34" i="198"/>
  <c r="DU34" i="198"/>
  <c r="DS34" i="198"/>
  <c r="DP34" i="198"/>
  <c r="DO34" i="198"/>
  <c r="DN34" i="198"/>
  <c r="FI34" i="198" s="1"/>
  <c r="DM34" i="198"/>
  <c r="DL34" i="198"/>
  <c r="DK34" i="198"/>
  <c r="EL34" i="198" s="1"/>
  <c r="DJ34" i="198"/>
  <c r="DI34" i="198"/>
  <c r="DH34" i="198"/>
  <c r="FM34" i="198" s="1"/>
  <c r="DG34" i="198"/>
  <c r="DF34" i="198"/>
  <c r="ED34" i="198" s="1"/>
  <c r="DE34" i="198"/>
  <c r="FR34" i="198" s="1"/>
  <c r="DD34" i="198"/>
  <c r="DC34" i="198"/>
  <c r="DB34" i="198"/>
  <c r="DA34" i="198"/>
  <c r="CZ34" i="198"/>
  <c r="CY34" i="198"/>
  <c r="CX34" i="198"/>
  <c r="CW34" i="198"/>
  <c r="CV34" i="198"/>
  <c r="CU34" i="198"/>
  <c r="FQ34" i="198" s="1"/>
  <c r="CQ34" i="198"/>
  <c r="CP34" i="198"/>
  <c r="CK34" i="198" s="1"/>
  <c r="CO34" i="198"/>
  <c r="CN34" i="198"/>
  <c r="CM34" i="198"/>
  <c r="CL34" i="198"/>
  <c r="AX34" i="198"/>
  <c r="AW34" i="198"/>
  <c r="AV34" i="198"/>
  <c r="AK34" i="198" s="1"/>
  <c r="AO34" i="198"/>
  <c r="AN34" i="198"/>
  <c r="AM34" i="198"/>
  <c r="AH34" i="198"/>
  <c r="AG34" i="198"/>
  <c r="AF34" i="198"/>
  <c r="AE34" i="198"/>
  <c r="GL33" i="198"/>
  <c r="GK33" i="198"/>
  <c r="GF33" i="198"/>
  <c r="FV33" i="198"/>
  <c r="FU33" i="198"/>
  <c r="FI33" i="198"/>
  <c r="FJ33" i="198" s="1"/>
  <c r="FK33" i="198" s="1"/>
  <c r="FL33" i="198" s="1"/>
  <c r="Z33" i="198" s="1"/>
  <c r="FH33" i="198"/>
  <c r="FC33" i="198"/>
  <c r="FB33" i="198"/>
  <c r="FA33" i="198"/>
  <c r="EZ33" i="198"/>
  <c r="EE33" i="198" s="1"/>
  <c r="EY33" i="198"/>
  <c r="EX33" i="198"/>
  <c r="EC33" i="198"/>
  <c r="EB33" i="198"/>
  <c r="EA33" i="198"/>
  <c r="DZ33" i="198"/>
  <c r="DY33" i="198"/>
  <c r="DS33" i="198"/>
  <c r="DO33" i="198"/>
  <c r="DN33" i="198"/>
  <c r="DM33" i="198"/>
  <c r="DL33" i="198"/>
  <c r="DK33" i="198"/>
  <c r="EL33" i="198" s="1"/>
  <c r="DJ33" i="198"/>
  <c r="DI33" i="198"/>
  <c r="DH33" i="198"/>
  <c r="FM33" i="198" s="1"/>
  <c r="DG33" i="198"/>
  <c r="DF33" i="198"/>
  <c r="ED33" i="198" s="1"/>
  <c r="DE33" i="198"/>
  <c r="FR33" i="198" s="1"/>
  <c r="DD33" i="198"/>
  <c r="FD33" i="198" s="1"/>
  <c r="DC33" i="198"/>
  <c r="DT33" i="198" s="1"/>
  <c r="DB33" i="198"/>
  <c r="DA33" i="198"/>
  <c r="CZ33" i="198"/>
  <c r="CY33" i="198"/>
  <c r="FS33" i="198" s="1"/>
  <c r="CX33" i="198"/>
  <c r="CW33" i="198"/>
  <c r="CV33" i="198"/>
  <c r="CU33" i="198"/>
  <c r="CQ33" i="198"/>
  <c r="CP33" i="198"/>
  <c r="CO33" i="198"/>
  <c r="CN33" i="198"/>
  <c r="CM33" i="198"/>
  <c r="CL33" i="198"/>
  <c r="CK33" i="198"/>
  <c r="CD33" i="198"/>
  <c r="AY33" i="198"/>
  <c r="AX33" i="198"/>
  <c r="AW33" i="198"/>
  <c r="AV33" i="198"/>
  <c r="AK33" i="198"/>
  <c r="AJ33" i="198"/>
  <c r="AH33" i="198"/>
  <c r="AG33" i="198"/>
  <c r="AF33" i="198"/>
  <c r="AE33" i="198"/>
  <c r="GL32" i="198"/>
  <c r="GK32" i="198"/>
  <c r="GM32" i="198" s="1"/>
  <c r="GF32" i="198"/>
  <c r="FU32" i="198"/>
  <c r="FS32" i="198"/>
  <c r="FI32" i="198"/>
  <c r="FH32" i="198"/>
  <c r="FE32" i="198"/>
  <c r="FF32" i="198" s="1"/>
  <c r="FG32" i="198" s="1"/>
  <c r="Y32" i="198" s="1"/>
  <c r="FC32" i="198"/>
  <c r="FA32" i="198"/>
  <c r="EZ32" i="198"/>
  <c r="EB32" i="198"/>
  <c r="EA32" i="198"/>
  <c r="DY32" i="198"/>
  <c r="DS32" i="198"/>
  <c r="DO32" i="198"/>
  <c r="DN32" i="198"/>
  <c r="DM32" i="198"/>
  <c r="DL32" i="198"/>
  <c r="DK32" i="198"/>
  <c r="EL32" i="198" s="1"/>
  <c r="DJ32" i="198"/>
  <c r="DI32" i="198"/>
  <c r="DH32" i="198"/>
  <c r="DG32" i="198"/>
  <c r="DF32" i="198"/>
  <c r="ED32" i="198" s="1"/>
  <c r="DE32" i="198"/>
  <c r="FR32" i="198" s="1"/>
  <c r="DD32" i="198"/>
  <c r="FD32" i="198" s="1"/>
  <c r="DC32" i="198"/>
  <c r="DT32" i="198" s="1"/>
  <c r="DB32" i="198"/>
  <c r="DA32" i="198"/>
  <c r="CZ32" i="198"/>
  <c r="CY32" i="198"/>
  <c r="CX32" i="198"/>
  <c r="CW32" i="198"/>
  <c r="CV32" i="198"/>
  <c r="CU32" i="198"/>
  <c r="FQ32" i="198" s="1"/>
  <c r="CQ32" i="198"/>
  <c r="CP32" i="198"/>
  <c r="CO32" i="198"/>
  <c r="CN32" i="198"/>
  <c r="CM32" i="198"/>
  <c r="CL32" i="198"/>
  <c r="CK32" i="198"/>
  <c r="AX32" i="198"/>
  <c r="AW32" i="198"/>
  <c r="AV32" i="198"/>
  <c r="AK32" i="198" s="1"/>
  <c r="AH32" i="198"/>
  <c r="AG32" i="198"/>
  <c r="AF32" i="198"/>
  <c r="AE32" i="198"/>
  <c r="GL31" i="198"/>
  <c r="GK31" i="198"/>
  <c r="GM31" i="198" s="1"/>
  <c r="GF31" i="198"/>
  <c r="FU31" i="198"/>
  <c r="FT31" i="198"/>
  <c r="FH31" i="198"/>
  <c r="FE31" i="198"/>
  <c r="FF31" i="198" s="1"/>
  <c r="FG31" i="198" s="1"/>
  <c r="Y31" i="198" s="1"/>
  <c r="FD31" i="198"/>
  <c r="FC31" i="198"/>
  <c r="EZ31" i="198"/>
  <c r="EY31" i="198"/>
  <c r="EX31" i="198"/>
  <c r="EN31" i="198"/>
  <c r="ER31" i="198" s="1"/>
  <c r="EM31" i="198"/>
  <c r="EC31" i="198"/>
  <c r="EA31" i="198"/>
  <c r="DZ31" i="198"/>
  <c r="DY31" i="198"/>
  <c r="FP31" i="198" s="1"/>
  <c r="DX31" i="198"/>
  <c r="DW31" i="198"/>
  <c r="DV31" i="198"/>
  <c r="DU31" i="198"/>
  <c r="DS31" i="198"/>
  <c r="DP31" i="198"/>
  <c r="DO31" i="198"/>
  <c r="DN31" i="198"/>
  <c r="FI31" i="198" s="1"/>
  <c r="DM31" i="198"/>
  <c r="DL31" i="198"/>
  <c r="DK31" i="198"/>
  <c r="EL31" i="198" s="1"/>
  <c r="DJ31" i="198"/>
  <c r="DI31" i="198"/>
  <c r="DH31" i="198"/>
  <c r="FM31" i="198" s="1"/>
  <c r="DG31" i="198"/>
  <c r="DF31" i="198"/>
  <c r="ED31" i="198" s="1"/>
  <c r="DE31" i="198"/>
  <c r="FR31" i="198" s="1"/>
  <c r="DD31" i="198"/>
  <c r="DC31" i="198"/>
  <c r="DB31" i="198"/>
  <c r="DA31" i="198"/>
  <c r="CZ31" i="198"/>
  <c r="CY31" i="198"/>
  <c r="CX31" i="198"/>
  <c r="CW31" i="198"/>
  <c r="CV31" i="198"/>
  <c r="CU31" i="198"/>
  <c r="FQ31" i="198" s="1"/>
  <c r="CQ31" i="198"/>
  <c r="CP31" i="198"/>
  <c r="CO31" i="198"/>
  <c r="CN31" i="198"/>
  <c r="CM31" i="198"/>
  <c r="CL31" i="198"/>
  <c r="AY31" i="198"/>
  <c r="AX31" i="198"/>
  <c r="AW31" i="198"/>
  <c r="AV31" i="198"/>
  <c r="AK31" i="198" s="1"/>
  <c r="AQ31" i="198"/>
  <c r="AO31" i="198"/>
  <c r="AN31" i="198"/>
  <c r="AM31" i="198"/>
  <c r="AH31" i="198"/>
  <c r="AG31" i="198"/>
  <c r="AF31" i="198"/>
  <c r="AE31" i="198"/>
  <c r="H31" i="198"/>
  <c r="G31" i="198"/>
  <c r="F31" i="198"/>
  <c r="GL30" i="198"/>
  <c r="GM30" i="198" s="1"/>
  <c r="GK30" i="198"/>
  <c r="GF30" i="198"/>
  <c r="FV30" i="198"/>
  <c r="FT30" i="198"/>
  <c r="FS30" i="198"/>
  <c r="FO30" i="198"/>
  <c r="FF30" i="198"/>
  <c r="FG30" i="198" s="1"/>
  <c r="Y30" i="198" s="1"/>
  <c r="FE30" i="198"/>
  <c r="FD30" i="198"/>
  <c r="FC30" i="198"/>
  <c r="FA30" i="198"/>
  <c r="EZ30" i="198"/>
  <c r="EY30" i="198"/>
  <c r="EX30" i="198"/>
  <c r="EL30" i="198"/>
  <c r="EE30" i="198"/>
  <c r="DY30" i="198"/>
  <c r="DX30" i="198"/>
  <c r="DW30" i="198"/>
  <c r="DV30" i="198"/>
  <c r="DS30" i="198"/>
  <c r="DO30" i="198"/>
  <c r="DN30" i="198"/>
  <c r="FI30" i="198" s="1"/>
  <c r="DM30" i="198"/>
  <c r="DL30" i="198"/>
  <c r="DK30" i="198"/>
  <c r="DJ30" i="198"/>
  <c r="DI30" i="198"/>
  <c r="DH30" i="198"/>
  <c r="FM30" i="198" s="1"/>
  <c r="DG30" i="198"/>
  <c r="DF30" i="198"/>
  <c r="DE30" i="198"/>
  <c r="FR30" i="198" s="1"/>
  <c r="DD30" i="198"/>
  <c r="DC30" i="198"/>
  <c r="DB30" i="198"/>
  <c r="DA30" i="198"/>
  <c r="CZ30" i="198"/>
  <c r="CY30" i="198"/>
  <c r="CX30" i="198"/>
  <c r="FH30" i="198" s="1"/>
  <c r="CW30" i="198"/>
  <c r="CV30" i="198"/>
  <c r="DU30" i="198" s="1"/>
  <c r="CU30" i="198"/>
  <c r="CQ30" i="198"/>
  <c r="CP30" i="198"/>
  <c r="CO30" i="198"/>
  <c r="CN30" i="198"/>
  <c r="CM30" i="198"/>
  <c r="CL30" i="198"/>
  <c r="CK30" i="198"/>
  <c r="CE30" i="198"/>
  <c r="AX30" i="198"/>
  <c r="AW30" i="198"/>
  <c r="AV30" i="198"/>
  <c r="AK30" i="198" s="1"/>
  <c r="AN30" i="198"/>
  <c r="AM30" i="198"/>
  <c r="AH30" i="198"/>
  <c r="AG30" i="198"/>
  <c r="AF30" i="198"/>
  <c r="AE30" i="198"/>
  <c r="GL29" i="198"/>
  <c r="GK29" i="198"/>
  <c r="GM29" i="198" s="1"/>
  <c r="GF29" i="198"/>
  <c r="FU29" i="198"/>
  <c r="FN29" i="198"/>
  <c r="FH29" i="198"/>
  <c r="FD29" i="198"/>
  <c r="FE29" i="198" s="1"/>
  <c r="FF29" i="198" s="1"/>
  <c r="FG29" i="198" s="1"/>
  <c r="Y29" i="198" s="1"/>
  <c r="FC29" i="198"/>
  <c r="EZ29" i="198"/>
  <c r="EE29" i="198" s="1"/>
  <c r="EX29" i="198"/>
  <c r="EN29" i="198"/>
  <c r="ER29" i="198" s="1"/>
  <c r="EC29" i="198"/>
  <c r="EA29" i="198"/>
  <c r="DY29" i="198"/>
  <c r="FP29" i="198" s="1"/>
  <c r="DX29" i="198"/>
  <c r="DW29" i="198"/>
  <c r="DV29" i="198"/>
  <c r="DU29" i="198"/>
  <c r="DS29" i="198"/>
  <c r="DP29" i="198"/>
  <c r="DO29" i="198"/>
  <c r="DN29" i="198"/>
  <c r="FI29" i="198" s="1"/>
  <c r="DM29" i="198"/>
  <c r="DL29" i="198"/>
  <c r="DK29" i="198"/>
  <c r="EL29" i="198" s="1"/>
  <c r="EM29" i="198" s="1"/>
  <c r="EQ29" i="198" s="1"/>
  <c r="DJ29" i="198"/>
  <c r="DI29" i="198"/>
  <c r="DH29" i="198"/>
  <c r="DG29" i="198"/>
  <c r="DF29" i="198"/>
  <c r="ED29" i="198" s="1"/>
  <c r="DE29" i="198"/>
  <c r="FR29" i="198" s="1"/>
  <c r="DD29" i="198"/>
  <c r="DC29" i="198"/>
  <c r="DB29" i="198"/>
  <c r="DA29" i="198"/>
  <c r="CZ29" i="198"/>
  <c r="CY29" i="198"/>
  <c r="CX29" i="198"/>
  <c r="CW29" i="198"/>
  <c r="CV29" i="198"/>
  <c r="CU29" i="198"/>
  <c r="FQ29" i="198" s="1"/>
  <c r="CQ29" i="198"/>
  <c r="CK29" i="198" s="1"/>
  <c r="CP29" i="198"/>
  <c r="CO29" i="198"/>
  <c r="CN29" i="198"/>
  <c r="CM29" i="198"/>
  <c r="CL29" i="198"/>
  <c r="CI29" i="198"/>
  <c r="AX29" i="198"/>
  <c r="AW29" i="198"/>
  <c r="AV29" i="198"/>
  <c r="AK29" i="198" s="1"/>
  <c r="AQ29" i="198"/>
  <c r="AH29" i="198"/>
  <c r="AG29" i="198"/>
  <c r="AF29" i="198"/>
  <c r="AE29" i="198"/>
  <c r="GM28" i="198"/>
  <c r="GL28" i="198"/>
  <c r="GK28" i="198"/>
  <c r="GF28" i="198"/>
  <c r="FV28" i="198"/>
  <c r="FT28" i="198"/>
  <c r="FS28" i="198"/>
  <c r="FR28" i="198"/>
  <c r="FQ28" i="198"/>
  <c r="FJ28" i="198"/>
  <c r="FK28" i="198" s="1"/>
  <c r="FL28" i="198" s="1"/>
  <c r="Z28" i="198" s="1"/>
  <c r="FI28" i="198"/>
  <c r="FH28" i="198"/>
  <c r="FD28" i="198"/>
  <c r="FC28" i="198"/>
  <c r="EL28" i="198" s="1"/>
  <c r="EZ28" i="198"/>
  <c r="EE28" i="198"/>
  <c r="ED28" i="198"/>
  <c r="EC28" i="198"/>
  <c r="DY28" i="198"/>
  <c r="DV28" i="198"/>
  <c r="DU28" i="198"/>
  <c r="DS28" i="198"/>
  <c r="DT28" i="198" s="1"/>
  <c r="DO28" i="198"/>
  <c r="DN28" i="198"/>
  <c r="DM28" i="198"/>
  <c r="DL28" i="198"/>
  <c r="DK28" i="198"/>
  <c r="DJ28" i="198"/>
  <c r="DI28" i="198"/>
  <c r="DH28" i="198"/>
  <c r="FM28" i="198" s="1"/>
  <c r="DG28" i="198"/>
  <c r="DF28" i="198"/>
  <c r="EB28" i="198" s="1"/>
  <c r="DE28" i="198"/>
  <c r="FB28" i="198" s="1"/>
  <c r="DD28" i="198"/>
  <c r="DC28" i="198"/>
  <c r="DB28" i="198"/>
  <c r="DA28" i="198"/>
  <c r="CZ28" i="198"/>
  <c r="CY28" i="198"/>
  <c r="CX28" i="198"/>
  <c r="FU28" i="198" s="1"/>
  <c r="CW28" i="198"/>
  <c r="CV28" i="198"/>
  <c r="CU28" i="198"/>
  <c r="CQ28" i="198"/>
  <c r="CP28" i="198"/>
  <c r="CK28" i="198" s="1"/>
  <c r="CO28" i="198"/>
  <c r="CN28" i="198"/>
  <c r="CM28" i="198"/>
  <c r="CL28" i="198"/>
  <c r="CE28" i="198"/>
  <c r="CD28" i="198"/>
  <c r="AY28" i="198"/>
  <c r="AX28" i="198"/>
  <c r="AW28" i="198"/>
  <c r="AV28" i="198"/>
  <c r="AS28" i="198"/>
  <c r="AT28" i="198" s="1"/>
  <c r="AQ28" i="198"/>
  <c r="AR28" i="198" s="1"/>
  <c r="AK28" i="198"/>
  <c r="AJ28" i="198"/>
  <c r="AH28" i="198"/>
  <c r="AG28" i="198"/>
  <c r="AF28" i="198"/>
  <c r="AE28" i="198"/>
  <c r="GM27" i="198"/>
  <c r="GL27" i="198"/>
  <c r="GK27" i="198"/>
  <c r="GF27" i="198"/>
  <c r="FS27" i="198"/>
  <c r="FQ27" i="198"/>
  <c r="FG27" i="198"/>
  <c r="FC27" i="198"/>
  <c r="EL27" i="198" s="1"/>
  <c r="FB27" i="198"/>
  <c r="FA27" i="198"/>
  <c r="EZ27" i="198"/>
  <c r="EE27" i="198" s="1"/>
  <c r="EA27" i="198"/>
  <c r="DZ27" i="198"/>
  <c r="DY27" i="198"/>
  <c r="DU27" i="198"/>
  <c r="DT27" i="198"/>
  <c r="DS27" i="198"/>
  <c r="DO27" i="198"/>
  <c r="DN27" i="198"/>
  <c r="FI27" i="198" s="1"/>
  <c r="FJ27" i="198" s="1"/>
  <c r="FK27" i="198" s="1"/>
  <c r="DM27" i="198"/>
  <c r="DL27" i="198"/>
  <c r="DK27" i="198"/>
  <c r="DJ27" i="198"/>
  <c r="DI27" i="198"/>
  <c r="FT27" i="198" s="1"/>
  <c r="DH27" i="198"/>
  <c r="FV27" i="198" s="1"/>
  <c r="DG27" i="198"/>
  <c r="DF27" i="198"/>
  <c r="DE27" i="198"/>
  <c r="DD27" i="198"/>
  <c r="FD27" i="198" s="1"/>
  <c r="FE27" i="198" s="1"/>
  <c r="FF27" i="198" s="1"/>
  <c r="DC27" i="198"/>
  <c r="DB27" i="198"/>
  <c r="DA27" i="198"/>
  <c r="CZ27" i="198"/>
  <c r="CY27" i="198"/>
  <c r="CX27" i="198"/>
  <c r="CW27" i="198"/>
  <c r="CV27" i="198"/>
  <c r="CU27" i="198"/>
  <c r="EX27" i="198" s="1"/>
  <c r="CQ27" i="198"/>
  <c r="CP27" i="198"/>
  <c r="CO27" i="198"/>
  <c r="CN27" i="198"/>
  <c r="CM27" i="198"/>
  <c r="CL27" i="198"/>
  <c r="CK27" i="198"/>
  <c r="CE27" i="198"/>
  <c r="CD27" i="198"/>
  <c r="ES27" i="198" s="1"/>
  <c r="AZ27" i="198"/>
  <c r="AY27" i="198"/>
  <c r="AX27" i="198"/>
  <c r="AW27" i="198"/>
  <c r="AV27" i="198"/>
  <c r="AS27" i="198"/>
  <c r="AT27" i="198" s="1"/>
  <c r="AR27" i="198"/>
  <c r="AQ27" i="198"/>
  <c r="AL27" i="198"/>
  <c r="AK27" i="198"/>
  <c r="AJ27" i="198"/>
  <c r="AU27" i="198" s="1"/>
  <c r="EL86" i="198" s="1"/>
  <c r="AH27" i="198"/>
  <c r="AG27" i="198"/>
  <c r="AF27" i="198"/>
  <c r="AE27" i="198"/>
  <c r="Y27" i="198"/>
  <c r="GL26" i="198"/>
  <c r="GK26" i="198"/>
  <c r="GM26" i="198" s="1"/>
  <c r="GF26" i="198"/>
  <c r="FV26" i="198"/>
  <c r="FT26" i="198"/>
  <c r="FS26" i="198"/>
  <c r="FI26" i="198"/>
  <c r="FJ26" i="198" s="1"/>
  <c r="FK26" i="198" s="1"/>
  <c r="FL26" i="198" s="1"/>
  <c r="Z26" i="198" s="1"/>
  <c r="FH26" i="198"/>
  <c r="FC26" i="198"/>
  <c r="EZ26" i="198"/>
  <c r="EE26" i="198"/>
  <c r="ED26" i="198"/>
  <c r="DY26" i="198"/>
  <c r="DW26" i="198"/>
  <c r="DV26" i="198"/>
  <c r="DS26" i="198"/>
  <c r="DO26" i="198"/>
  <c r="DN26" i="198"/>
  <c r="DM26" i="198"/>
  <c r="DL26" i="198"/>
  <c r="DK26" i="198"/>
  <c r="EL26" i="198" s="1"/>
  <c r="DJ26" i="198"/>
  <c r="DI26" i="198"/>
  <c r="DH26" i="198"/>
  <c r="FM26" i="198" s="1"/>
  <c r="DG26" i="198"/>
  <c r="DF26" i="198"/>
  <c r="EC26" i="198" s="1"/>
  <c r="DE26" i="198"/>
  <c r="DD26" i="198"/>
  <c r="FD26" i="198" s="1"/>
  <c r="DC26" i="198"/>
  <c r="DB26" i="198"/>
  <c r="DA26" i="198"/>
  <c r="CZ26" i="198"/>
  <c r="CY26" i="198"/>
  <c r="CX26" i="198"/>
  <c r="FU26" i="198" s="1"/>
  <c r="CW26" i="198"/>
  <c r="CV26" i="198"/>
  <c r="CU26" i="198"/>
  <c r="CQ26" i="198"/>
  <c r="CP26" i="198"/>
  <c r="CK26" i="198" s="1"/>
  <c r="CO26" i="198"/>
  <c r="CN26" i="198"/>
  <c r="CM26" i="198"/>
  <c r="CL26" i="198"/>
  <c r="CE26" i="198"/>
  <c r="CD26" i="198"/>
  <c r="AX26" i="198"/>
  <c r="AW26" i="198"/>
  <c r="AV26" i="198"/>
  <c r="AS26" i="198"/>
  <c r="AK26" i="198"/>
  <c r="AJ26" i="198"/>
  <c r="AH26" i="198"/>
  <c r="AG26" i="198"/>
  <c r="AF26" i="198"/>
  <c r="AE26" i="198"/>
  <c r="GL25" i="198"/>
  <c r="GK25" i="198"/>
  <c r="GM25" i="198" s="1"/>
  <c r="GF25" i="198"/>
  <c r="FU25" i="198"/>
  <c r="FH25" i="198"/>
  <c r="FD25" i="198"/>
  <c r="FC25" i="198"/>
  <c r="EZ25" i="198"/>
  <c r="EY25" i="198"/>
  <c r="EC25" i="198"/>
  <c r="EA25" i="198"/>
  <c r="DY25" i="198"/>
  <c r="DX25" i="198"/>
  <c r="DW25" i="198"/>
  <c r="DV25" i="198"/>
  <c r="DU25" i="198"/>
  <c r="DS25" i="198"/>
  <c r="DP25" i="198"/>
  <c r="DO25" i="198"/>
  <c r="DN25" i="198"/>
  <c r="FI25" i="198" s="1"/>
  <c r="DM25" i="198"/>
  <c r="DL25" i="198"/>
  <c r="DK25" i="198"/>
  <c r="EL25" i="198" s="1"/>
  <c r="EN25" i="198" s="1"/>
  <c r="DJ25" i="198"/>
  <c r="DI25" i="198"/>
  <c r="DH25" i="198"/>
  <c r="DG25" i="198"/>
  <c r="DF25" i="198"/>
  <c r="ED25" i="198" s="1"/>
  <c r="DE25" i="198"/>
  <c r="FR25" i="198" s="1"/>
  <c r="DD25" i="198"/>
  <c r="DC25" i="198"/>
  <c r="DB25" i="198"/>
  <c r="DA25" i="198"/>
  <c r="CZ25" i="198"/>
  <c r="CY25" i="198"/>
  <c r="CX25" i="198"/>
  <c r="CW25" i="198"/>
  <c r="CV25" i="198"/>
  <c r="CU25" i="198"/>
  <c r="CQ25" i="198"/>
  <c r="CP25" i="198"/>
  <c r="CO25" i="198"/>
  <c r="CN25" i="198"/>
  <c r="CM25" i="198"/>
  <c r="CL25" i="198"/>
  <c r="AX25" i="198"/>
  <c r="AW25" i="198"/>
  <c r="AV25" i="198"/>
  <c r="AK25" i="198" s="1"/>
  <c r="AQ25" i="198"/>
  <c r="AR25" i="198" s="1"/>
  <c r="AO25" i="198"/>
  <c r="AH25" i="198"/>
  <c r="AG25" i="198"/>
  <c r="AF25" i="198"/>
  <c r="AE25" i="198"/>
  <c r="GL24" i="198"/>
  <c r="GM24" i="198" s="1"/>
  <c r="GK24" i="198"/>
  <c r="GF24" i="198"/>
  <c r="FO24" i="198"/>
  <c r="FD24" i="198"/>
  <c r="FC24" i="198"/>
  <c r="EL24" i="198" s="1"/>
  <c r="FA24" i="198"/>
  <c r="EZ24" i="198"/>
  <c r="EY24" i="198"/>
  <c r="EX24" i="198"/>
  <c r="EE24" i="198"/>
  <c r="ED24" i="198"/>
  <c r="DY24" i="198"/>
  <c r="DZ24" i="198" s="1"/>
  <c r="DX24" i="198"/>
  <c r="DW24" i="198"/>
  <c r="DV24" i="198"/>
  <c r="DS24" i="198"/>
  <c r="DP24" i="198"/>
  <c r="DO24" i="198"/>
  <c r="DN24" i="198"/>
  <c r="FI24" i="198" s="1"/>
  <c r="DM24" i="198"/>
  <c r="DL24" i="198"/>
  <c r="DK24" i="198"/>
  <c r="DJ24" i="198"/>
  <c r="DI24" i="198"/>
  <c r="DH24" i="198"/>
  <c r="FV24" i="198" s="1"/>
  <c r="DG24" i="198"/>
  <c r="DF24" i="198"/>
  <c r="DE24" i="198"/>
  <c r="FR24" i="198" s="1"/>
  <c r="DD24" i="198"/>
  <c r="DC24" i="198"/>
  <c r="DB24" i="198"/>
  <c r="DA24" i="198"/>
  <c r="CZ24" i="198"/>
  <c r="CY24" i="198"/>
  <c r="CX24" i="198"/>
  <c r="FH24" i="198" s="1"/>
  <c r="CW24" i="198"/>
  <c r="CV24" i="198"/>
  <c r="DU24" i="198" s="1"/>
  <c r="CU24" i="198"/>
  <c r="CQ24" i="198"/>
  <c r="CP24" i="198"/>
  <c r="CK24" i="198" s="1"/>
  <c r="CO24" i="198"/>
  <c r="CN24" i="198"/>
  <c r="CM24" i="198"/>
  <c r="CL24" i="198"/>
  <c r="AX24" i="198"/>
  <c r="AW24" i="198"/>
  <c r="AV24" i="198"/>
  <c r="AK24" i="198" s="1"/>
  <c r="AO24" i="198"/>
  <c r="AH24" i="198"/>
  <c r="AG24" i="198"/>
  <c r="AF24" i="198"/>
  <c r="AE24" i="198"/>
  <c r="GM23" i="198"/>
  <c r="GL23" i="198"/>
  <c r="GK23" i="198"/>
  <c r="GF23" i="198"/>
  <c r="FS23" i="198"/>
  <c r="FR23" i="198"/>
  <c r="FQ23" i="198"/>
  <c r="FP23" i="198"/>
  <c r="FI23" i="198"/>
  <c r="FJ23" i="198" s="1"/>
  <c r="FK23" i="198" s="1"/>
  <c r="FH23" i="198"/>
  <c r="FG23" i="198"/>
  <c r="Y23" i="198" s="1"/>
  <c r="FC23" i="198"/>
  <c r="FB23" i="198"/>
  <c r="FA23" i="198"/>
  <c r="EZ23" i="198"/>
  <c r="EE23" i="198" s="1"/>
  <c r="ES23" i="198"/>
  <c r="EL23" i="198"/>
  <c r="ED23" i="198"/>
  <c r="EC23" i="198"/>
  <c r="EB23" i="198"/>
  <c r="EA23" i="198"/>
  <c r="DY23" i="198"/>
  <c r="DU23" i="198"/>
  <c r="DT23" i="198"/>
  <c r="DS23" i="198"/>
  <c r="DO23" i="198"/>
  <c r="DN23" i="198"/>
  <c r="DM23" i="198"/>
  <c r="DZ23" i="198" s="1"/>
  <c r="DL23" i="198"/>
  <c r="DK23" i="198"/>
  <c r="DJ23" i="198"/>
  <c r="DI23" i="198"/>
  <c r="FT23" i="198" s="1"/>
  <c r="DH23" i="198"/>
  <c r="FV23" i="198" s="1"/>
  <c r="DG23" i="198"/>
  <c r="DF23" i="198"/>
  <c r="DE23" i="198"/>
  <c r="DD23" i="198"/>
  <c r="FD23" i="198" s="1"/>
  <c r="FE23" i="198" s="1"/>
  <c r="FF23" i="198" s="1"/>
  <c r="DC23" i="198"/>
  <c r="DB23" i="198"/>
  <c r="DA23" i="198"/>
  <c r="CZ23" i="198"/>
  <c r="CY23" i="198"/>
  <c r="CX23" i="198"/>
  <c r="FU23" i="198" s="1"/>
  <c r="CW23" i="198"/>
  <c r="CV23" i="198"/>
  <c r="CU23" i="198"/>
  <c r="CS23" i="198"/>
  <c r="CQ23" i="198"/>
  <c r="CP23" i="198"/>
  <c r="CO23" i="198"/>
  <c r="CN23" i="198"/>
  <c r="CM23" i="198"/>
  <c r="CL23" i="198"/>
  <c r="CK23" i="198"/>
  <c r="CE23" i="198"/>
  <c r="CD23" i="198"/>
  <c r="AZ23" i="198"/>
  <c r="AY23" i="198"/>
  <c r="AX23" i="198"/>
  <c r="AW23" i="198"/>
  <c r="AV23" i="198"/>
  <c r="AS23" i="198"/>
  <c r="AQ23" i="198"/>
  <c r="AK23" i="198"/>
  <c r="AJ23" i="198"/>
  <c r="AU23" i="198" s="1"/>
  <c r="AH23" i="198"/>
  <c r="AG23" i="198"/>
  <c r="AF23" i="198"/>
  <c r="AE23" i="198"/>
  <c r="GL22" i="198"/>
  <c r="GM22" i="198" s="1"/>
  <c r="GK22" i="198"/>
  <c r="GF22" i="198"/>
  <c r="FV22" i="198"/>
  <c r="FU22" i="198"/>
  <c r="FT22" i="198"/>
  <c r="FK22" i="198"/>
  <c r="FL22" i="198" s="1"/>
  <c r="Z22" i="198" s="1"/>
  <c r="FE22" i="198"/>
  <c r="FF22" i="198" s="1"/>
  <c r="FG22" i="198" s="1"/>
  <c r="Y22" i="198" s="1"/>
  <c r="FD22" i="198"/>
  <c r="FC22" i="198"/>
  <c r="FA22" i="198"/>
  <c r="EZ22" i="198"/>
  <c r="EY22" i="198"/>
  <c r="EX22" i="198"/>
  <c r="EN22" i="198"/>
  <c r="EM22" i="198"/>
  <c r="EL22" i="198"/>
  <c r="EG22" i="198"/>
  <c r="DY22" i="198"/>
  <c r="DZ22" i="198" s="1"/>
  <c r="DX22" i="198"/>
  <c r="DW22" i="198"/>
  <c r="FO22" i="198" s="1"/>
  <c r="DV22" i="198"/>
  <c r="DS22" i="198"/>
  <c r="DO22" i="198"/>
  <c r="FJ22" i="198" s="1"/>
  <c r="DN22" i="198"/>
  <c r="FI22" i="198" s="1"/>
  <c r="DM22" i="198"/>
  <c r="DL22" i="198"/>
  <c r="DK22" i="198"/>
  <c r="DJ22" i="198"/>
  <c r="DI22" i="198"/>
  <c r="DH22" i="198"/>
  <c r="FM22" i="198" s="1"/>
  <c r="DG22" i="198"/>
  <c r="DF22" i="198"/>
  <c r="DE22" i="198"/>
  <c r="FR22" i="198" s="1"/>
  <c r="DD22" i="198"/>
  <c r="DC22" i="198"/>
  <c r="DB22" i="198"/>
  <c r="DA22" i="198"/>
  <c r="EE22" i="198" s="1"/>
  <c r="EF22" i="198" s="1"/>
  <c r="EJ22" i="198" s="1"/>
  <c r="CZ22" i="198"/>
  <c r="CY22" i="198"/>
  <c r="CX22" i="198"/>
  <c r="FH22" i="198" s="1"/>
  <c r="CW22" i="198"/>
  <c r="CV22" i="198"/>
  <c r="DU22" i="198" s="1"/>
  <c r="CU22" i="198"/>
  <c r="CQ22" i="198"/>
  <c r="CP22" i="198"/>
  <c r="CO22" i="198"/>
  <c r="CN22" i="198"/>
  <c r="CM22" i="198"/>
  <c r="CL22" i="198"/>
  <c r="CE22" i="198"/>
  <c r="AX22" i="198"/>
  <c r="AW22" i="198"/>
  <c r="AV22" i="198"/>
  <c r="AH22" i="198"/>
  <c r="AG22" i="198"/>
  <c r="AF22" i="198"/>
  <c r="AE22" i="198"/>
  <c r="GL21" i="198"/>
  <c r="GK21" i="198"/>
  <c r="GM21" i="198" s="1"/>
  <c r="GF21" i="198"/>
  <c r="FU21" i="198"/>
  <c r="FT21" i="198"/>
  <c r="FP21" i="198"/>
  <c r="FN21" i="198"/>
  <c r="FM21" i="198"/>
  <c r="FH21" i="198"/>
  <c r="FD21" i="198"/>
  <c r="FE21" i="198" s="1"/>
  <c r="FF21" i="198" s="1"/>
  <c r="FG21" i="198" s="1"/>
  <c r="Y21" i="198" s="1"/>
  <c r="FC21" i="198"/>
  <c r="EZ21" i="198"/>
  <c r="EQ21" i="198"/>
  <c r="EG21" i="198"/>
  <c r="EE21" i="198"/>
  <c r="EF21" i="198" s="1"/>
  <c r="EC21" i="198"/>
  <c r="EA21" i="198"/>
  <c r="DY21" i="198"/>
  <c r="DX21" i="198"/>
  <c r="DW21" i="198"/>
  <c r="DV21" i="198"/>
  <c r="DU21" i="198"/>
  <c r="DS21" i="198"/>
  <c r="FO21" i="198" s="1"/>
  <c r="DP21" i="198"/>
  <c r="DO21" i="198"/>
  <c r="DN21" i="198"/>
  <c r="FI21" i="198" s="1"/>
  <c r="DM21" i="198"/>
  <c r="DL21" i="198"/>
  <c r="DK21" i="198"/>
  <c r="EL21" i="198" s="1"/>
  <c r="EM21" i="198" s="1"/>
  <c r="DJ21" i="198"/>
  <c r="DI21" i="198"/>
  <c r="DH21" i="198"/>
  <c r="FV21" i="198" s="1"/>
  <c r="DG21" i="198"/>
  <c r="DF21" i="198"/>
  <c r="ED21" i="198" s="1"/>
  <c r="DE21" i="198"/>
  <c r="FR21" i="198" s="1"/>
  <c r="DD21" i="198"/>
  <c r="DC21" i="198"/>
  <c r="DB21" i="198"/>
  <c r="DA21" i="198"/>
  <c r="CZ21" i="198"/>
  <c r="CY21" i="198"/>
  <c r="CX21" i="198"/>
  <c r="CW21" i="198"/>
  <c r="CV21" i="198"/>
  <c r="CU21" i="198"/>
  <c r="CQ21" i="198"/>
  <c r="CP21" i="198"/>
  <c r="CO21" i="198"/>
  <c r="CN21" i="198"/>
  <c r="CM21" i="198"/>
  <c r="CL21" i="198"/>
  <c r="CK21" i="198"/>
  <c r="AY21" i="198"/>
  <c r="AX21" i="198"/>
  <c r="AW21" i="198"/>
  <c r="AV21" i="198"/>
  <c r="AH21" i="198"/>
  <c r="AG21" i="198"/>
  <c r="AF21" i="198"/>
  <c r="AE21" i="198"/>
  <c r="GL20" i="198"/>
  <c r="GM20" i="198" s="1"/>
  <c r="GK20" i="198"/>
  <c r="GF20" i="198"/>
  <c r="FV20" i="198"/>
  <c r="FT20" i="198"/>
  <c r="FS20" i="198"/>
  <c r="FO20" i="198"/>
  <c r="FE20" i="198"/>
  <c r="FF20" i="198" s="1"/>
  <c r="FG20" i="198" s="1"/>
  <c r="Y20" i="198" s="1"/>
  <c r="FD20" i="198"/>
  <c r="FC20" i="198"/>
  <c r="FA20" i="198"/>
  <c r="EZ20" i="198"/>
  <c r="EY20" i="198"/>
  <c r="EX20" i="198"/>
  <c r="EL20" i="198"/>
  <c r="EE20" i="198"/>
  <c r="DY20" i="198"/>
  <c r="DX20" i="198"/>
  <c r="DW20" i="198"/>
  <c r="DV20" i="198"/>
  <c r="DS20" i="198"/>
  <c r="DO20" i="198"/>
  <c r="DN20" i="198"/>
  <c r="FI20" i="198" s="1"/>
  <c r="DM20" i="198"/>
  <c r="DL20" i="198"/>
  <c r="DK20" i="198"/>
  <c r="DJ20" i="198"/>
  <c r="DI20" i="198"/>
  <c r="DH20" i="198"/>
  <c r="FM20" i="198" s="1"/>
  <c r="DG20" i="198"/>
  <c r="DF20" i="198"/>
  <c r="DE20" i="198"/>
  <c r="DD20" i="198"/>
  <c r="DC20" i="198"/>
  <c r="DB20" i="198"/>
  <c r="DA20" i="198"/>
  <c r="CZ20" i="198"/>
  <c r="CY20" i="198"/>
  <c r="CX20" i="198"/>
  <c r="FH20" i="198" s="1"/>
  <c r="CW20" i="198"/>
  <c r="CV20" i="198"/>
  <c r="DU20" i="198" s="1"/>
  <c r="CU20" i="198"/>
  <c r="CQ20" i="198"/>
  <c r="CP20" i="198"/>
  <c r="CO20" i="198"/>
  <c r="CN20" i="198"/>
  <c r="CM20" i="198"/>
  <c r="CL20" i="198"/>
  <c r="CK20" i="198"/>
  <c r="CE20" i="198"/>
  <c r="AX20" i="198"/>
  <c r="AW20" i="198"/>
  <c r="AV20" i="198"/>
  <c r="AK20" i="198" s="1"/>
  <c r="AN20" i="198"/>
  <c r="AM20" i="198"/>
  <c r="AH20" i="198"/>
  <c r="AG20" i="198"/>
  <c r="AF20" i="198"/>
  <c r="AE20" i="198"/>
  <c r="GL19" i="198"/>
  <c r="GK19" i="198"/>
  <c r="GM19" i="198" s="1"/>
  <c r="GF19" i="198"/>
  <c r="FU19" i="198"/>
  <c r="FN19" i="198"/>
  <c r="FM19" i="198"/>
  <c r="FH19" i="198"/>
  <c r="FD19" i="198"/>
  <c r="FE19" i="198" s="1"/>
  <c r="FF19" i="198" s="1"/>
  <c r="FG19" i="198" s="1"/>
  <c r="Y19" i="198" s="1"/>
  <c r="FC19" i="198"/>
  <c r="EZ19" i="198"/>
  <c r="EX19" i="198"/>
  <c r="EN19" i="198"/>
  <c r="ER19" i="198" s="1"/>
  <c r="EE19" i="198"/>
  <c r="EC19" i="198"/>
  <c r="EA19" i="198"/>
  <c r="DZ19" i="198"/>
  <c r="DY19" i="198"/>
  <c r="FP19" i="198" s="1"/>
  <c r="DX19" i="198"/>
  <c r="DW19" i="198"/>
  <c r="DV19" i="198"/>
  <c r="DU19" i="198"/>
  <c r="DS19" i="198"/>
  <c r="DP19" i="198"/>
  <c r="DO19" i="198"/>
  <c r="DN19" i="198"/>
  <c r="FI19" i="198" s="1"/>
  <c r="DM19" i="198"/>
  <c r="DL19" i="198"/>
  <c r="DK19" i="198"/>
  <c r="EL19" i="198" s="1"/>
  <c r="EM19" i="198" s="1"/>
  <c r="DJ19" i="198"/>
  <c r="DI19" i="198"/>
  <c r="DH19" i="198"/>
  <c r="FV19" i="198" s="1"/>
  <c r="DG19" i="198"/>
  <c r="DF19" i="198"/>
  <c r="ED19" i="198" s="1"/>
  <c r="DE19" i="198"/>
  <c r="FR19" i="198" s="1"/>
  <c r="DD19" i="198"/>
  <c r="DC19" i="198"/>
  <c r="DB19" i="198"/>
  <c r="DA19" i="198"/>
  <c r="CZ19" i="198"/>
  <c r="CY19" i="198"/>
  <c r="CX19" i="198"/>
  <c r="CW19" i="198"/>
  <c r="CV19" i="198"/>
  <c r="CU19" i="198"/>
  <c r="FQ19" i="198" s="1"/>
  <c r="CQ19" i="198"/>
  <c r="CK19" i="198" s="1"/>
  <c r="CP19" i="198"/>
  <c r="CO19" i="198"/>
  <c r="CN19" i="198"/>
  <c r="CM19" i="198"/>
  <c r="CL19" i="198"/>
  <c r="AX19" i="198"/>
  <c r="AW19" i="198"/>
  <c r="AV19" i="198"/>
  <c r="AK19" i="198" s="1"/>
  <c r="AH19" i="198"/>
  <c r="AG19" i="198"/>
  <c r="AF19" i="198"/>
  <c r="AE19" i="198"/>
  <c r="GM18" i="198"/>
  <c r="GL18" i="198"/>
  <c r="GK18" i="198"/>
  <c r="GF18" i="198"/>
  <c r="FV18" i="198"/>
  <c r="FT18" i="198"/>
  <c r="FS18" i="198"/>
  <c r="FR18" i="198"/>
  <c r="FQ18" i="198"/>
  <c r="FJ18" i="198"/>
  <c r="FK18" i="198" s="1"/>
  <c r="FL18" i="198" s="1"/>
  <c r="Z18" i="198" s="1"/>
  <c r="FI18" i="198"/>
  <c r="FH18" i="198"/>
  <c r="FD18" i="198"/>
  <c r="FC18" i="198"/>
  <c r="EL18" i="198" s="1"/>
  <c r="EZ18" i="198"/>
  <c r="EE18" i="198"/>
  <c r="ED18" i="198"/>
  <c r="EC18" i="198"/>
  <c r="DY18" i="198"/>
  <c r="DV18" i="198"/>
  <c r="DU18" i="198"/>
  <c r="DS18" i="198"/>
  <c r="DT18" i="198" s="1"/>
  <c r="DO18" i="198"/>
  <c r="DN18" i="198"/>
  <c r="DM18" i="198"/>
  <c r="DL18" i="198"/>
  <c r="DK18" i="198"/>
  <c r="DJ18" i="198"/>
  <c r="DI18" i="198"/>
  <c r="DH18" i="198"/>
  <c r="FM18" i="198" s="1"/>
  <c r="DG18" i="198"/>
  <c r="DF18" i="198"/>
  <c r="EB18" i="198" s="1"/>
  <c r="DE18" i="198"/>
  <c r="FB18" i="198" s="1"/>
  <c r="DD18" i="198"/>
  <c r="DC18" i="198"/>
  <c r="DB18" i="198"/>
  <c r="DA18" i="198"/>
  <c r="CZ18" i="198"/>
  <c r="CY18" i="198"/>
  <c r="CX18" i="198"/>
  <c r="FU18" i="198" s="1"/>
  <c r="CW18" i="198"/>
  <c r="CV18" i="198"/>
  <c r="CU18" i="198"/>
  <c r="CQ18" i="198"/>
  <c r="CP18" i="198"/>
  <c r="CK18" i="198" s="1"/>
  <c r="CO18" i="198"/>
  <c r="CN18" i="198"/>
  <c r="CM18" i="198"/>
  <c r="CL18" i="198"/>
  <c r="CE18" i="198"/>
  <c r="CD18" i="198"/>
  <c r="AY18" i="198"/>
  <c r="AX18" i="198"/>
  <c r="AW18" i="198"/>
  <c r="AV18" i="198"/>
  <c r="AS18" i="198"/>
  <c r="AT18" i="198" s="1"/>
  <c r="AK18" i="198"/>
  <c r="AJ18" i="198"/>
  <c r="AH18" i="198"/>
  <c r="AG18" i="198"/>
  <c r="AF18" i="198"/>
  <c r="AE18" i="198"/>
  <c r="GM17" i="198"/>
  <c r="GL17" i="198"/>
  <c r="GK17" i="198"/>
  <c r="GF17" i="198"/>
  <c r="FS17" i="198"/>
  <c r="FQ17" i="198"/>
  <c r="FG17" i="198"/>
  <c r="FC17" i="198"/>
  <c r="EL17" i="198" s="1"/>
  <c r="FB17" i="198"/>
  <c r="FA17" i="198"/>
  <c r="EZ17" i="198"/>
  <c r="EE17" i="198" s="1"/>
  <c r="EB17" i="198"/>
  <c r="DZ17" i="198"/>
  <c r="DY17" i="198"/>
  <c r="DU17" i="198"/>
  <c r="DT17" i="198"/>
  <c r="DS17" i="198"/>
  <c r="DO17" i="198"/>
  <c r="DN17" i="198"/>
  <c r="FI17" i="198" s="1"/>
  <c r="FJ17" i="198" s="1"/>
  <c r="FK17" i="198" s="1"/>
  <c r="FL17" i="198" s="1"/>
  <c r="Z17" i="198" s="1"/>
  <c r="DM17" i="198"/>
  <c r="DL17" i="198"/>
  <c r="DK17" i="198"/>
  <c r="DJ17" i="198"/>
  <c r="DI17" i="198"/>
  <c r="FT17" i="198" s="1"/>
  <c r="DH17" i="198"/>
  <c r="FV17" i="198" s="1"/>
  <c r="DG17" i="198"/>
  <c r="DF17" i="198"/>
  <c r="DE17" i="198"/>
  <c r="DD17" i="198"/>
  <c r="FD17" i="198" s="1"/>
  <c r="FE17" i="198" s="1"/>
  <c r="FF17" i="198" s="1"/>
  <c r="DC17" i="198"/>
  <c r="DB17" i="198"/>
  <c r="DA17" i="198"/>
  <c r="CZ17" i="198"/>
  <c r="CY17" i="198"/>
  <c r="CX17" i="198"/>
  <c r="CW17" i="198"/>
  <c r="CV17" i="198"/>
  <c r="CU17" i="198"/>
  <c r="EX17" i="198" s="1"/>
  <c r="CQ17" i="198"/>
  <c r="CP17" i="198"/>
  <c r="CO17" i="198"/>
  <c r="CN17" i="198"/>
  <c r="CM17" i="198"/>
  <c r="CL17" i="198"/>
  <c r="CK17" i="198"/>
  <c r="CE17" i="198"/>
  <c r="CD17" i="198"/>
  <c r="AZ17" i="198"/>
  <c r="AY17" i="198"/>
  <c r="AX17" i="198"/>
  <c r="AW17" i="198"/>
  <c r="AV17" i="198"/>
  <c r="AL17" i="198"/>
  <c r="AK17" i="198"/>
  <c r="AJ17" i="198"/>
  <c r="AH17" i="198"/>
  <c r="AG17" i="198"/>
  <c r="AF17" i="198"/>
  <c r="AE17" i="198"/>
  <c r="Y17" i="198"/>
  <c r="GL16" i="198"/>
  <c r="GM16" i="198" s="1"/>
  <c r="GK16" i="198"/>
  <c r="GF16" i="198"/>
  <c r="FV16" i="198"/>
  <c r="FU16" i="198"/>
  <c r="FT16" i="198"/>
  <c r="FD16" i="198"/>
  <c r="FE16" i="198" s="1"/>
  <c r="FF16" i="198" s="1"/>
  <c r="FG16" i="198" s="1"/>
  <c r="Y16" i="198" s="1"/>
  <c r="FC16" i="198"/>
  <c r="FA16" i="198"/>
  <c r="EZ16" i="198"/>
  <c r="EY16" i="198"/>
  <c r="EX16" i="198"/>
  <c r="EL16" i="198"/>
  <c r="EN16" i="198" s="1"/>
  <c r="EG16" i="198"/>
  <c r="EF16" i="198"/>
  <c r="EJ16" i="198" s="1"/>
  <c r="DY16" i="198"/>
  <c r="DZ16" i="198" s="1"/>
  <c r="DX16" i="198"/>
  <c r="DW16" i="198"/>
  <c r="FO16" i="198" s="1"/>
  <c r="DV16" i="198"/>
  <c r="DS16" i="198"/>
  <c r="DO16" i="198"/>
  <c r="FJ16" i="198" s="1"/>
  <c r="FK16" i="198" s="1"/>
  <c r="FL16" i="198" s="1"/>
  <c r="Z16" i="198" s="1"/>
  <c r="DN16" i="198"/>
  <c r="FI16" i="198" s="1"/>
  <c r="DM16" i="198"/>
  <c r="DL16" i="198"/>
  <c r="DK16" i="198"/>
  <c r="DJ16" i="198"/>
  <c r="DI16" i="198"/>
  <c r="DH16" i="198"/>
  <c r="FM16" i="198" s="1"/>
  <c r="DG16" i="198"/>
  <c r="DF16" i="198"/>
  <c r="DE16" i="198"/>
  <c r="FR16" i="198" s="1"/>
  <c r="DD16" i="198"/>
  <c r="DC16" i="198"/>
  <c r="DB16" i="198"/>
  <c r="DA16" i="198"/>
  <c r="EE16" i="198" s="1"/>
  <c r="CZ16" i="198"/>
  <c r="CY16" i="198"/>
  <c r="CX16" i="198"/>
  <c r="FH16" i="198" s="1"/>
  <c r="CW16" i="198"/>
  <c r="CV16" i="198"/>
  <c r="DU16" i="198" s="1"/>
  <c r="CU16" i="198"/>
  <c r="CQ16" i="198"/>
  <c r="CP16" i="198"/>
  <c r="CK16" i="198" s="1"/>
  <c r="CO16" i="198"/>
  <c r="CN16" i="198"/>
  <c r="CM16" i="198"/>
  <c r="CL16" i="198"/>
  <c r="CE16" i="198"/>
  <c r="AX16" i="198"/>
  <c r="AW16" i="198"/>
  <c r="AV16" i="198"/>
  <c r="AK16" i="198" s="1"/>
  <c r="AO16" i="198"/>
  <c r="AN16" i="198"/>
  <c r="AM16" i="198"/>
  <c r="AL16" i="198"/>
  <c r="AH16" i="198"/>
  <c r="AG16" i="198"/>
  <c r="AF16" i="198"/>
  <c r="AE16" i="198"/>
  <c r="IF14" i="198"/>
  <c r="IE14" i="198"/>
  <c r="ID14" i="198"/>
  <c r="IC14" i="198"/>
  <c r="IB14" i="198"/>
  <c r="IA14" i="198"/>
  <c r="HY14" i="198"/>
  <c r="HX14" i="198"/>
  <c r="HW14" i="198"/>
  <c r="HV14" i="198"/>
  <c r="HU14" i="198"/>
  <c r="HT14" i="198"/>
  <c r="HS14" i="198"/>
  <c r="HQ14" i="198"/>
  <c r="HP14" i="198"/>
  <c r="HO14" i="198"/>
  <c r="HN14" i="198"/>
  <c r="HM14" i="198"/>
  <c r="HL14" i="198"/>
  <c r="HK14" i="198"/>
  <c r="HI14" i="198"/>
  <c r="HH14" i="198"/>
  <c r="HG14" i="198"/>
  <c r="HF14" i="198"/>
  <c r="HD14" i="198"/>
  <c r="AA12" i="198"/>
  <c r="AB12" i="198" s="1"/>
  <c r="HD11" i="198"/>
  <c r="HE11" i="198" s="1"/>
  <c r="HF11" i="198" s="1"/>
  <c r="HG11" i="198" s="1"/>
  <c r="HH11" i="198" s="1"/>
  <c r="HI11" i="198" s="1"/>
  <c r="HJ11" i="198" s="1"/>
  <c r="HK11" i="198" s="1"/>
  <c r="HL11" i="198" s="1"/>
  <c r="HM11" i="198" s="1"/>
  <c r="HN11" i="198" s="1"/>
  <c r="HO11" i="198" s="1"/>
  <c r="HP11" i="198" s="1"/>
  <c r="HQ11" i="198" s="1"/>
  <c r="HR11" i="198" s="1"/>
  <c r="HS11" i="198" s="1"/>
  <c r="HT11" i="198" s="1"/>
  <c r="HU11" i="198" s="1"/>
  <c r="HV11" i="198" s="1"/>
  <c r="HW11" i="198" s="1"/>
  <c r="HX11" i="198" s="1"/>
  <c r="HY11" i="198" s="1"/>
  <c r="HZ11" i="198" s="1"/>
  <c r="IA11" i="198" s="1"/>
  <c r="IB11" i="198" s="1"/>
  <c r="IC11" i="198" s="1"/>
  <c r="ID11" i="198" s="1"/>
  <c r="IE11" i="198" s="1"/>
  <c r="IF11" i="198" s="1"/>
  <c r="HC11" i="198"/>
  <c r="HB11" i="198"/>
  <c r="Z10" i="198"/>
  <c r="S10" i="198"/>
  <c r="C10" i="198"/>
  <c r="DN9" i="198"/>
  <c r="DM9" i="198"/>
  <c r="DL9" i="198"/>
  <c r="DK9" i="198"/>
  <c r="DJ9" i="198"/>
  <c r="DI9" i="198"/>
  <c r="DH9" i="198"/>
  <c r="DG9" i="198"/>
  <c r="S9" i="198"/>
  <c r="C9" i="198"/>
  <c r="DN8" i="198"/>
  <c r="DM8" i="198"/>
  <c r="DL8" i="198"/>
  <c r="DK8" i="198"/>
  <c r="DJ8" i="198"/>
  <c r="DI8" i="198"/>
  <c r="DH8" i="198"/>
  <c r="DG8" i="198"/>
  <c r="DN7" i="198"/>
  <c r="DM7" i="198"/>
  <c r="DL7" i="198"/>
  <c r="DK7" i="198"/>
  <c r="DJ7" i="198"/>
  <c r="DI7" i="198"/>
  <c r="DH7" i="198"/>
  <c r="DG7" i="198"/>
  <c r="DN6" i="198"/>
  <c r="DM6" i="198"/>
  <c r="DL6" i="198"/>
  <c r="DK6" i="198"/>
  <c r="DJ6" i="198"/>
  <c r="DI6" i="198"/>
  <c r="AS40" i="198" s="1"/>
  <c r="DH6" i="198"/>
  <c r="DG6" i="198"/>
  <c r="DC6" i="198"/>
  <c r="DB6" i="198"/>
  <c r="DA6" i="198"/>
  <c r="CZ6" i="198"/>
  <c r="CY6" i="198"/>
  <c r="CX6" i="198"/>
  <c r="CW6" i="198"/>
  <c r="CV6" i="198"/>
  <c r="Y6" i="198"/>
  <c r="M6" i="198"/>
  <c r="DN5" i="198"/>
  <c r="DM5" i="198"/>
  <c r="DL5" i="198"/>
  <c r="DK5" i="198"/>
  <c r="DJ5" i="198"/>
  <c r="DI5" i="198"/>
  <c r="DH5" i="198"/>
  <c r="DG5" i="198"/>
  <c r="DC5" i="198"/>
  <c r="DB5" i="198"/>
  <c r="AL54" i="198" s="1"/>
  <c r="DA5" i="198"/>
  <c r="CZ5" i="198"/>
  <c r="CY5" i="198"/>
  <c r="CX5" i="198"/>
  <c r="CW5" i="198"/>
  <c r="CV5" i="198"/>
  <c r="DN4" i="198"/>
  <c r="DM4" i="198"/>
  <c r="DL4" i="198"/>
  <c r="DK4" i="198"/>
  <c r="DJ4" i="198"/>
  <c r="DI4" i="198"/>
  <c r="DH4" i="198"/>
  <c r="DG4" i="198"/>
  <c r="DC4" i="198"/>
  <c r="DB4" i="198"/>
  <c r="DA4" i="198"/>
  <c r="AK53" i="198" s="1"/>
  <c r="CZ4" i="198"/>
  <c r="CY4" i="198"/>
  <c r="CX4" i="198"/>
  <c r="AM53" i="198" s="1"/>
  <c r="CW4" i="198"/>
  <c r="AN49" i="198" s="1"/>
  <c r="CV4" i="198"/>
  <c r="DN3" i="198"/>
  <c r="DM3" i="198"/>
  <c r="DL3" i="198"/>
  <c r="DK3" i="198"/>
  <c r="DJ3" i="198"/>
  <c r="DI3" i="198"/>
  <c r="DH3" i="198"/>
  <c r="DG3" i="198"/>
  <c r="DN2" i="198"/>
  <c r="DM2" i="198"/>
  <c r="DL2" i="198"/>
  <c r="DK2" i="198"/>
  <c r="DJ2" i="198"/>
  <c r="DI2" i="198"/>
  <c r="DH2" i="198"/>
  <c r="DG2" i="198"/>
  <c r="DD2" i="198"/>
  <c r="DB2" i="198"/>
  <c r="FN37" i="198" s="1"/>
  <c r="CZ2" i="198"/>
  <c r="CX2" i="198"/>
  <c r="P2" i="198"/>
  <c r="HA1" i="198"/>
  <c r="HZ14" i="198" s="1"/>
  <c r="DQ1" i="198"/>
  <c r="DD1" i="198"/>
  <c r="DZ44" i="198" s="1"/>
  <c r="CX1" i="198"/>
  <c r="CY1" i="198" s="1"/>
  <c r="AE1" i="198"/>
  <c r="AY34" i="198" s="1"/>
  <c r="AD1" i="198"/>
  <c r="P4" i="198" s="1"/>
  <c r="EO104" i="197"/>
  <c r="EN104" i="197"/>
  <c r="EM104" i="197"/>
  <c r="EO103" i="197"/>
  <c r="EN103" i="197"/>
  <c r="EM103" i="197"/>
  <c r="EO102" i="197"/>
  <c r="EN102" i="197"/>
  <c r="EM102" i="197"/>
  <c r="EO101" i="197"/>
  <c r="EN101" i="197"/>
  <c r="EM101" i="197"/>
  <c r="EO100" i="197"/>
  <c r="EN100" i="197"/>
  <c r="EM100" i="197"/>
  <c r="EO99" i="197"/>
  <c r="EN99" i="197"/>
  <c r="EM99" i="197"/>
  <c r="EO98" i="197"/>
  <c r="EN98" i="197"/>
  <c r="EM98" i="197"/>
  <c r="EO97" i="197"/>
  <c r="EN97" i="197"/>
  <c r="EM97" i="197"/>
  <c r="EO96" i="197"/>
  <c r="EN96" i="197"/>
  <c r="EM96" i="197"/>
  <c r="EO95" i="197"/>
  <c r="EN95" i="197"/>
  <c r="EM95" i="197"/>
  <c r="EO94" i="197"/>
  <c r="EN94" i="197"/>
  <c r="EM94" i="197"/>
  <c r="EO93" i="197"/>
  <c r="EN93" i="197"/>
  <c r="EM93" i="197"/>
  <c r="EO92" i="197"/>
  <c r="EN92" i="197"/>
  <c r="EM92" i="197"/>
  <c r="EO91" i="197"/>
  <c r="EN91" i="197"/>
  <c r="EM91" i="197"/>
  <c r="EO90" i="197"/>
  <c r="EN90" i="197"/>
  <c r="EM90" i="197"/>
  <c r="EO89" i="197"/>
  <c r="EN89" i="197"/>
  <c r="EM89" i="197"/>
  <c r="EO88" i="197"/>
  <c r="EN88" i="197"/>
  <c r="EM88" i="197"/>
  <c r="EO87" i="197"/>
  <c r="EN87" i="197"/>
  <c r="EM87" i="197"/>
  <c r="EJ87" i="197"/>
  <c r="EO86" i="197"/>
  <c r="EN86" i="197"/>
  <c r="EM86" i="197"/>
  <c r="EO85" i="197"/>
  <c r="EN85" i="197"/>
  <c r="EM85" i="197"/>
  <c r="EO84" i="197"/>
  <c r="EN84" i="197"/>
  <c r="EM84" i="197"/>
  <c r="EO83" i="197"/>
  <c r="EN83" i="197"/>
  <c r="EM83" i="197"/>
  <c r="EO82" i="197"/>
  <c r="EN82" i="197"/>
  <c r="EM82" i="197"/>
  <c r="EO81" i="197"/>
  <c r="EN81" i="197"/>
  <c r="EM81" i="197"/>
  <c r="EO80" i="197"/>
  <c r="EN80" i="197"/>
  <c r="EM80" i="197"/>
  <c r="EO79" i="197"/>
  <c r="EN79" i="197"/>
  <c r="EM79" i="197"/>
  <c r="EO78" i="197"/>
  <c r="EN78" i="197"/>
  <c r="EM78" i="197"/>
  <c r="EO77" i="197"/>
  <c r="EN77" i="197"/>
  <c r="EM77" i="197"/>
  <c r="EO76" i="197"/>
  <c r="EN76" i="197"/>
  <c r="EM76" i="197"/>
  <c r="EO75" i="197"/>
  <c r="EN75" i="197"/>
  <c r="EM75" i="197"/>
  <c r="GF57" i="197"/>
  <c r="GE57" i="197" s="1"/>
  <c r="GD57" i="197"/>
  <c r="GC57" i="197"/>
  <c r="GB57" i="197"/>
  <c r="GA57" i="197"/>
  <c r="AX57" i="197"/>
  <c r="AV57" i="197"/>
  <c r="AT57" i="197"/>
  <c r="AK57" i="197"/>
  <c r="AA57" i="197"/>
  <c r="Z57" i="197"/>
  <c r="Y57" i="197"/>
  <c r="X57" i="197"/>
  <c r="W57" i="197"/>
  <c r="V57" i="197"/>
  <c r="U57" i="197"/>
  <c r="T57" i="197"/>
  <c r="S57" i="197"/>
  <c r="R57" i="197"/>
  <c r="Q57" i="197"/>
  <c r="P57" i="197"/>
  <c r="O57" i="197"/>
  <c r="N57" i="197"/>
  <c r="M57" i="197"/>
  <c r="L57" i="197"/>
  <c r="K57" i="197"/>
  <c r="J57" i="197"/>
  <c r="I57" i="197"/>
  <c r="H57" i="197"/>
  <c r="G57" i="197"/>
  <c r="F57" i="197"/>
  <c r="E57" i="197"/>
  <c r="D57" i="197"/>
  <c r="C57" i="197"/>
  <c r="AW57" i="197" s="1"/>
  <c r="B57" i="197"/>
  <c r="A57" i="197"/>
  <c r="AM54" i="197"/>
  <c r="FT45" i="197"/>
  <c r="FQ45" i="197"/>
  <c r="FM45" i="197"/>
  <c r="FJ45" i="197"/>
  <c r="FK45" i="197" s="1"/>
  <c r="FL45" i="197" s="1"/>
  <c r="Z45" i="197" s="1"/>
  <c r="FC45" i="197"/>
  <c r="FB45" i="197"/>
  <c r="FA45" i="197"/>
  <c r="EZ45" i="197"/>
  <c r="EY45" i="197"/>
  <c r="EL45" i="197"/>
  <c r="EK45" i="197"/>
  <c r="EE45" i="197"/>
  <c r="EG45" i="197" s="1"/>
  <c r="EB45" i="197"/>
  <c r="DY45" i="197"/>
  <c r="DX45" i="197"/>
  <c r="DU45" i="197"/>
  <c r="DT45" i="197"/>
  <c r="DS45" i="197"/>
  <c r="DO45" i="197"/>
  <c r="DN45" i="197"/>
  <c r="FI45" i="197" s="1"/>
  <c r="DM45" i="197"/>
  <c r="DL45" i="197"/>
  <c r="DK45" i="197"/>
  <c r="DJ45" i="197"/>
  <c r="DI45" i="197"/>
  <c r="DH45" i="197"/>
  <c r="FV45" i="197" s="1"/>
  <c r="DG45" i="197"/>
  <c r="DF45" i="197"/>
  <c r="DE45" i="197"/>
  <c r="DD45" i="197"/>
  <c r="FD45" i="197" s="1"/>
  <c r="DC45" i="197"/>
  <c r="DB45" i="197"/>
  <c r="DA45" i="197"/>
  <c r="CZ45" i="197"/>
  <c r="CY45" i="197"/>
  <c r="CX45" i="197"/>
  <c r="CW45" i="197"/>
  <c r="CV45" i="197"/>
  <c r="CU45" i="197"/>
  <c r="EX45" i="197" s="1"/>
  <c r="CQ45" i="197"/>
  <c r="CP45" i="197"/>
  <c r="CO45" i="197"/>
  <c r="CN45" i="197"/>
  <c r="CM45" i="197"/>
  <c r="CL45" i="197"/>
  <c r="CE45" i="197"/>
  <c r="CD45" i="197"/>
  <c r="AV45" i="197"/>
  <c r="AD45" i="197"/>
  <c r="H45" i="197"/>
  <c r="C45" i="197"/>
  <c r="A45" i="197"/>
  <c r="AX45" i="197" s="1"/>
  <c r="GE44" i="197"/>
  <c r="GD44" i="197"/>
  <c r="GC44" i="197"/>
  <c r="FS44" i="197"/>
  <c r="FQ44" i="197"/>
  <c r="FK44" i="197"/>
  <c r="FL44" i="197" s="1"/>
  <c r="Z44" i="197" s="1"/>
  <c r="FJ44" i="197"/>
  <c r="FG44" i="197"/>
  <c r="FC44" i="197"/>
  <c r="FA44" i="197"/>
  <c r="EZ44" i="197"/>
  <c r="EE44" i="197" s="1"/>
  <c r="EY44" i="197"/>
  <c r="EL44" i="197"/>
  <c r="EC44" i="197"/>
  <c r="EA44" i="197"/>
  <c r="DZ44" i="197"/>
  <c r="DY44" i="197"/>
  <c r="DU44" i="197"/>
  <c r="DS44" i="197"/>
  <c r="DO44" i="197"/>
  <c r="DN44" i="197"/>
  <c r="FI44" i="197" s="1"/>
  <c r="DM44" i="197"/>
  <c r="FP44" i="197" s="1"/>
  <c r="DL44" i="197"/>
  <c r="DK44" i="197"/>
  <c r="DJ44" i="197"/>
  <c r="DI44" i="197"/>
  <c r="FT44" i="197" s="1"/>
  <c r="DH44" i="197"/>
  <c r="FV44" i="197" s="1"/>
  <c r="DG44" i="197"/>
  <c r="DF44" i="197"/>
  <c r="ED44" i="197" s="1"/>
  <c r="DE44" i="197"/>
  <c r="FR44" i="197" s="1"/>
  <c r="DD44" i="197"/>
  <c r="FD44" i="197" s="1"/>
  <c r="FE44" i="197" s="1"/>
  <c r="FF44" i="197" s="1"/>
  <c r="DC44" i="197"/>
  <c r="DB44" i="197"/>
  <c r="DA44" i="197"/>
  <c r="CZ44" i="197"/>
  <c r="CY44" i="197"/>
  <c r="CX44" i="197"/>
  <c r="CW44" i="197"/>
  <c r="CV44" i="197"/>
  <c r="CU44" i="197"/>
  <c r="EX44" i="197" s="1"/>
  <c r="CQ44" i="197"/>
  <c r="CP44" i="197"/>
  <c r="CO44" i="197"/>
  <c r="CN44" i="197"/>
  <c r="CM44" i="197"/>
  <c r="CL44" i="197"/>
  <c r="CK44" i="197"/>
  <c r="CE44" i="197"/>
  <c r="CD44" i="197"/>
  <c r="AX44" i="197"/>
  <c r="AW44" i="197"/>
  <c r="AV44" i="197"/>
  <c r="AK44" i="197"/>
  <c r="AH44" i="197"/>
  <c r="AG44" i="197"/>
  <c r="AF44" i="197"/>
  <c r="AE44" i="197"/>
  <c r="Y44" i="197"/>
  <c r="J44" i="197"/>
  <c r="C44" i="197"/>
  <c r="AD44" i="197" s="1"/>
  <c r="A44" i="197"/>
  <c r="GF44" i="197" s="1"/>
  <c r="GA44" i="197" s="1"/>
  <c r="GF43" i="197"/>
  <c r="GD43" i="197" s="1"/>
  <c r="GE43" i="197"/>
  <c r="GC43" i="197"/>
  <c r="GB43" i="197"/>
  <c r="GA43" i="197"/>
  <c r="GL43" i="197" s="1"/>
  <c r="FU43" i="197"/>
  <c r="FS43" i="197"/>
  <c r="FN43" i="197"/>
  <c r="FM43" i="197"/>
  <c r="FI43" i="197"/>
  <c r="FH43" i="197"/>
  <c r="FE43" i="197"/>
  <c r="FF43" i="197" s="1"/>
  <c r="FG43" i="197" s="1"/>
  <c r="Y43" i="197" s="1"/>
  <c r="FC43" i="197"/>
  <c r="FA43" i="197"/>
  <c r="EZ43" i="197"/>
  <c r="EY43" i="197"/>
  <c r="EQ43" i="197"/>
  <c r="CI43" i="197" s="1"/>
  <c r="EN43" i="197"/>
  <c r="ER43" i="197" s="1"/>
  <c r="EB43" i="197"/>
  <c r="EA43" i="197"/>
  <c r="DZ43" i="197"/>
  <c r="DY43" i="197"/>
  <c r="DS43" i="197"/>
  <c r="DP43" i="197"/>
  <c r="E43" i="197" s="1"/>
  <c r="DO43" i="197"/>
  <c r="DN43" i="197"/>
  <c r="DM43" i="197"/>
  <c r="DL43" i="197"/>
  <c r="DK43" i="197"/>
  <c r="EL43" i="197" s="1"/>
  <c r="EM43" i="197" s="1"/>
  <c r="DJ43" i="197"/>
  <c r="DI43" i="197"/>
  <c r="DH43" i="197"/>
  <c r="FV43" i="197" s="1"/>
  <c r="DG43" i="197"/>
  <c r="DF43" i="197"/>
  <c r="ED43" i="197" s="1"/>
  <c r="DE43" i="197"/>
  <c r="FR43" i="197" s="1"/>
  <c r="DD43" i="197"/>
  <c r="FD43" i="197" s="1"/>
  <c r="DC43" i="197"/>
  <c r="DT43" i="197" s="1"/>
  <c r="DB43" i="197"/>
  <c r="DA43" i="197"/>
  <c r="CZ43" i="197"/>
  <c r="CY43" i="197"/>
  <c r="CX43" i="197"/>
  <c r="CW43" i="197"/>
  <c r="CV43" i="197"/>
  <c r="CU43" i="197"/>
  <c r="EX43" i="197" s="1"/>
  <c r="CQ43" i="197"/>
  <c r="CK43" i="197" s="1"/>
  <c r="CP43" i="197"/>
  <c r="CO43" i="197"/>
  <c r="CN43" i="197"/>
  <c r="CM43" i="197"/>
  <c r="CL43" i="197"/>
  <c r="AX43" i="197"/>
  <c r="AW43" i="197"/>
  <c r="AV43" i="197"/>
  <c r="AK43" i="197" s="1"/>
  <c r="AO43" i="197"/>
  <c r="AN43" i="197"/>
  <c r="AH43" i="197"/>
  <c r="AG43" i="197"/>
  <c r="AF43" i="197"/>
  <c r="AE43" i="197"/>
  <c r="D43" i="197"/>
  <c r="GK43" i="197" s="1"/>
  <c r="GM43" i="197" s="1"/>
  <c r="C43" i="197"/>
  <c r="AD43" i="197" s="1"/>
  <c r="A43" i="197"/>
  <c r="GF42" i="197"/>
  <c r="GE42" i="197"/>
  <c r="GA42" i="197"/>
  <c r="FU42" i="197"/>
  <c r="FM42" i="197"/>
  <c r="FD42" i="197"/>
  <c r="FC42" i="197"/>
  <c r="FA42" i="197"/>
  <c r="EZ42" i="197"/>
  <c r="EY42" i="197"/>
  <c r="EX42" i="197"/>
  <c r="EN42" i="197"/>
  <c r="EL42" i="197"/>
  <c r="EM42" i="197" s="1"/>
  <c r="ED42" i="197"/>
  <c r="DZ42" i="197"/>
  <c r="DY42" i="197"/>
  <c r="DX42" i="197"/>
  <c r="DW42" i="197"/>
  <c r="FO42" i="197" s="1"/>
  <c r="DV42" i="197"/>
  <c r="DS42" i="197"/>
  <c r="DP42" i="197"/>
  <c r="DO42" i="197"/>
  <c r="DN42" i="197"/>
  <c r="FI42" i="197" s="1"/>
  <c r="DM42" i="197"/>
  <c r="DL42" i="197"/>
  <c r="DK42" i="197"/>
  <c r="DJ42" i="197"/>
  <c r="DI42" i="197"/>
  <c r="DH42" i="197"/>
  <c r="FV42" i="197" s="1"/>
  <c r="DG42" i="197"/>
  <c r="DF42" i="197"/>
  <c r="DE42" i="197"/>
  <c r="FR42" i="197" s="1"/>
  <c r="DD42" i="197"/>
  <c r="DC42" i="197"/>
  <c r="DB42" i="197"/>
  <c r="DA42" i="197"/>
  <c r="EE42" i="197" s="1"/>
  <c r="CZ42" i="197"/>
  <c r="CY42" i="197"/>
  <c r="CX42" i="197"/>
  <c r="FH42" i="197" s="1"/>
  <c r="CW42" i="197"/>
  <c r="CV42" i="197"/>
  <c r="DU42" i="197" s="1"/>
  <c r="CU42" i="197"/>
  <c r="CQ42" i="197"/>
  <c r="CP42" i="197"/>
  <c r="CK42" i="197" s="1"/>
  <c r="CO42" i="197"/>
  <c r="CN42" i="197"/>
  <c r="CM42" i="197"/>
  <c r="CL42" i="197"/>
  <c r="AX42" i="197"/>
  <c r="AE42" i="197"/>
  <c r="K42" i="197"/>
  <c r="C42" i="197"/>
  <c r="A42" i="197"/>
  <c r="GF41" i="197"/>
  <c r="FU41" i="197"/>
  <c r="FT41" i="197"/>
  <c r="FR41" i="197"/>
  <c r="FI41" i="197"/>
  <c r="FC41" i="197"/>
  <c r="EL41" i="197" s="1"/>
  <c r="EZ41" i="197"/>
  <c r="EY41" i="197"/>
  <c r="EK41" i="197"/>
  <c r="EF41" i="197"/>
  <c r="EE41" i="197"/>
  <c r="EG41" i="197" s="1"/>
  <c r="DY41" i="197"/>
  <c r="DS41" i="197"/>
  <c r="DO41" i="197"/>
  <c r="DN41" i="197"/>
  <c r="DM41" i="197"/>
  <c r="DL41" i="197"/>
  <c r="DK41" i="197"/>
  <c r="DJ41" i="197"/>
  <c r="DI41" i="197"/>
  <c r="DH41" i="197"/>
  <c r="FV41" i="197" s="1"/>
  <c r="DG41" i="197"/>
  <c r="DF41" i="197"/>
  <c r="DE41" i="197"/>
  <c r="DD41" i="197"/>
  <c r="FD41" i="197" s="1"/>
  <c r="DC41" i="197"/>
  <c r="DB41" i="197"/>
  <c r="DA41" i="197"/>
  <c r="CZ41" i="197"/>
  <c r="CY41" i="197"/>
  <c r="CX41" i="197"/>
  <c r="FH41" i="197" s="1"/>
  <c r="CW41" i="197"/>
  <c r="CV41" i="197"/>
  <c r="CU41" i="197"/>
  <c r="EX41" i="197" s="1"/>
  <c r="CQ41" i="197"/>
  <c r="CP41" i="197"/>
  <c r="CK41" i="197" s="1"/>
  <c r="CO41" i="197"/>
  <c r="CN41" i="197"/>
  <c r="CM41" i="197"/>
  <c r="CL41" i="197"/>
  <c r="CE41" i="197"/>
  <c r="AV41" i="197"/>
  <c r="AD41" i="197"/>
  <c r="C41" i="197"/>
  <c r="A41" i="197"/>
  <c r="AX41" i="197" s="1"/>
  <c r="GM40" i="197"/>
  <c r="GL40" i="197"/>
  <c r="GK40" i="197"/>
  <c r="GF40" i="197"/>
  <c r="FV40" i="197"/>
  <c r="FU40" i="197"/>
  <c r="FT40" i="197"/>
  <c r="FK40" i="197"/>
  <c r="FL40" i="197" s="1"/>
  <c r="FJ40" i="197"/>
  <c r="FE40" i="197"/>
  <c r="FF40" i="197" s="1"/>
  <c r="FG40" i="197" s="1"/>
  <c r="FD40" i="197"/>
  <c r="FC40" i="197"/>
  <c r="EZ40" i="197"/>
  <c r="EX40" i="197"/>
  <c r="EM40" i="197"/>
  <c r="EL40" i="197"/>
  <c r="EN40" i="197" s="1"/>
  <c r="DY40" i="197"/>
  <c r="DX40" i="197"/>
  <c r="DW40" i="197"/>
  <c r="DV40" i="197"/>
  <c r="DU40" i="197"/>
  <c r="DS40" i="197"/>
  <c r="DO40" i="197"/>
  <c r="DN40" i="197"/>
  <c r="FI40" i="197" s="1"/>
  <c r="DM40" i="197"/>
  <c r="DL40" i="197"/>
  <c r="DK40" i="197"/>
  <c r="DJ40" i="197"/>
  <c r="DI40" i="197"/>
  <c r="DH40" i="197"/>
  <c r="FM40" i="197" s="1"/>
  <c r="DG40" i="197"/>
  <c r="DF40" i="197"/>
  <c r="DE40" i="197"/>
  <c r="DD40" i="197"/>
  <c r="DC40" i="197"/>
  <c r="DT40" i="197" s="1"/>
  <c r="DB40" i="197"/>
  <c r="DA40" i="197"/>
  <c r="EE40" i="197" s="1"/>
  <c r="CZ40" i="197"/>
  <c r="CY40" i="197"/>
  <c r="CX40" i="197"/>
  <c r="FH40" i="197" s="1"/>
  <c r="CW40" i="197"/>
  <c r="CV40" i="197"/>
  <c r="CU40" i="197"/>
  <c r="FQ40" i="197" s="1"/>
  <c r="CQ40" i="197"/>
  <c r="CP40" i="197"/>
  <c r="CK40" i="197" s="1"/>
  <c r="CO40" i="197"/>
  <c r="CN40" i="197"/>
  <c r="CM40" i="197"/>
  <c r="CL40" i="197"/>
  <c r="CE40" i="197"/>
  <c r="CD40" i="197"/>
  <c r="AX40" i="197"/>
  <c r="AW40" i="197"/>
  <c r="AV40" i="197"/>
  <c r="AK40" i="197"/>
  <c r="AH40" i="197"/>
  <c r="AG40" i="197"/>
  <c r="AF40" i="197"/>
  <c r="AE40" i="197"/>
  <c r="GL39" i="197"/>
  <c r="GM39" i="197" s="1"/>
  <c r="GK39" i="197"/>
  <c r="GF39" i="197"/>
  <c r="FT39" i="197"/>
  <c r="FS39" i="197"/>
  <c r="FR39" i="197"/>
  <c r="FC39" i="197"/>
  <c r="EL39" i="197" s="1"/>
  <c r="EM39" i="197" s="1"/>
  <c r="FB39" i="197"/>
  <c r="FA39" i="197"/>
  <c r="EZ39" i="197"/>
  <c r="EY39" i="197"/>
  <c r="EN39" i="197"/>
  <c r="EE39" i="197"/>
  <c r="ED39" i="197"/>
  <c r="EC39" i="197"/>
  <c r="EB39" i="197"/>
  <c r="DY39" i="197"/>
  <c r="DT39" i="197"/>
  <c r="DS39" i="197"/>
  <c r="DO39" i="197"/>
  <c r="DN39" i="197"/>
  <c r="FI39" i="197" s="1"/>
  <c r="DM39" i="197"/>
  <c r="DL39" i="197"/>
  <c r="DK39" i="197"/>
  <c r="DJ39" i="197"/>
  <c r="DI39" i="197"/>
  <c r="DH39" i="197"/>
  <c r="FV39" i="197" s="1"/>
  <c r="DG39" i="197"/>
  <c r="DF39" i="197"/>
  <c r="EA39" i="197" s="1"/>
  <c r="DE39" i="197"/>
  <c r="DD39" i="197"/>
  <c r="FD39" i="197" s="1"/>
  <c r="FE39" i="197" s="1"/>
  <c r="FF39" i="197" s="1"/>
  <c r="FG39" i="197" s="1"/>
  <c r="DC39" i="197"/>
  <c r="DB39" i="197"/>
  <c r="DA39" i="197"/>
  <c r="CZ39" i="197"/>
  <c r="CY39" i="197"/>
  <c r="CX39" i="197"/>
  <c r="FH39" i="197" s="1"/>
  <c r="CW39" i="197"/>
  <c r="CV39" i="197"/>
  <c r="CU39" i="197"/>
  <c r="EX39" i="197" s="1"/>
  <c r="CQ39" i="197"/>
  <c r="CP39" i="197"/>
  <c r="CK39" i="197" s="1"/>
  <c r="CO39" i="197"/>
  <c r="CN39" i="197"/>
  <c r="CM39" i="197"/>
  <c r="CL39" i="197"/>
  <c r="CE39" i="197"/>
  <c r="CD39" i="197"/>
  <c r="AX39" i="197"/>
  <c r="AW39" i="197"/>
  <c r="AV39" i="197"/>
  <c r="AS39" i="197"/>
  <c r="AT39" i="197" s="1"/>
  <c r="AN39" i="197"/>
  <c r="AK39" i="197"/>
  <c r="AJ39" i="197"/>
  <c r="AH39" i="197"/>
  <c r="AG39" i="197"/>
  <c r="AF39" i="197"/>
  <c r="AE39" i="197"/>
  <c r="GL38" i="197"/>
  <c r="GK38" i="197"/>
  <c r="GM38" i="197" s="1"/>
  <c r="GF38" i="197"/>
  <c r="FV38" i="197"/>
  <c r="FU38" i="197"/>
  <c r="FR38" i="197"/>
  <c r="FQ38" i="197"/>
  <c r="FN38" i="197"/>
  <c r="FJ38" i="197"/>
  <c r="FK38" i="197" s="1"/>
  <c r="FL38" i="197" s="1"/>
  <c r="FI38" i="197"/>
  <c r="FH38" i="197"/>
  <c r="FC38" i="197"/>
  <c r="FB38" i="197"/>
  <c r="FA38" i="197"/>
  <c r="EZ38" i="197"/>
  <c r="EE38" i="197" s="1"/>
  <c r="EC38" i="197"/>
  <c r="FP38" i="197" s="1"/>
  <c r="EB38" i="197"/>
  <c r="EA38" i="197"/>
  <c r="DZ38" i="197"/>
  <c r="DY38" i="197"/>
  <c r="DS38" i="197"/>
  <c r="DO38" i="197"/>
  <c r="FE38" i="197" s="1"/>
  <c r="FF38" i="197" s="1"/>
  <c r="FG38" i="197" s="1"/>
  <c r="DN38" i="197"/>
  <c r="DM38" i="197"/>
  <c r="DL38" i="197"/>
  <c r="DK38" i="197"/>
  <c r="EL38" i="197" s="1"/>
  <c r="DJ38" i="197"/>
  <c r="DI38" i="197"/>
  <c r="DH38" i="197"/>
  <c r="FM38" i="197" s="1"/>
  <c r="DG38" i="197"/>
  <c r="DF38" i="197"/>
  <c r="ED38" i="197" s="1"/>
  <c r="DE38" i="197"/>
  <c r="DD38" i="197"/>
  <c r="FD38" i="197" s="1"/>
  <c r="DC38" i="197"/>
  <c r="DB38" i="197"/>
  <c r="DA38" i="197"/>
  <c r="CZ38" i="197"/>
  <c r="CY38" i="197"/>
  <c r="FS38" i="197" s="1"/>
  <c r="CX38" i="197"/>
  <c r="CW38" i="197"/>
  <c r="CV38" i="197"/>
  <c r="CU38" i="197"/>
  <c r="EY38" i="197" s="1"/>
  <c r="CQ38" i="197"/>
  <c r="CP38" i="197"/>
  <c r="CO38" i="197"/>
  <c r="CN38" i="197"/>
  <c r="CM38" i="197"/>
  <c r="CL38" i="197"/>
  <c r="CK38" i="197"/>
  <c r="CD38" i="197"/>
  <c r="AX38" i="197"/>
  <c r="AW38" i="197"/>
  <c r="AK38" i="197" s="1"/>
  <c r="AV38" i="197"/>
  <c r="AO38" i="197"/>
  <c r="AH38" i="197"/>
  <c r="AG38" i="197"/>
  <c r="AF38" i="197"/>
  <c r="AE38" i="197"/>
  <c r="GL37" i="197"/>
  <c r="GK37" i="197"/>
  <c r="GF37" i="197"/>
  <c r="FU37" i="197"/>
  <c r="FS37" i="197"/>
  <c r="FI37" i="197"/>
  <c r="FH37" i="197"/>
  <c r="FE37" i="197"/>
  <c r="FF37" i="197" s="1"/>
  <c r="FG37" i="197" s="1"/>
  <c r="FC37" i="197"/>
  <c r="FA37" i="197"/>
  <c r="EZ37" i="197"/>
  <c r="EB37" i="197"/>
  <c r="EA37" i="197"/>
  <c r="DY37" i="197"/>
  <c r="DS37" i="197"/>
  <c r="DO37" i="197"/>
  <c r="DN37" i="197"/>
  <c r="DM37" i="197"/>
  <c r="DL37" i="197"/>
  <c r="DK37" i="197"/>
  <c r="EL37" i="197" s="1"/>
  <c r="DJ37" i="197"/>
  <c r="DI37" i="197"/>
  <c r="DH37" i="197"/>
  <c r="DG37" i="197"/>
  <c r="DF37" i="197"/>
  <c r="ED37" i="197" s="1"/>
  <c r="DE37" i="197"/>
  <c r="FR37" i="197" s="1"/>
  <c r="DD37" i="197"/>
  <c r="FD37" i="197" s="1"/>
  <c r="DC37" i="197"/>
  <c r="DB37" i="197"/>
  <c r="DA37" i="197"/>
  <c r="CZ37" i="197"/>
  <c r="CY37" i="197"/>
  <c r="CX37" i="197"/>
  <c r="CW37" i="197"/>
  <c r="CV37" i="197"/>
  <c r="CU37" i="197"/>
  <c r="CQ37" i="197"/>
  <c r="CK37" i="197" s="1"/>
  <c r="CP37" i="197"/>
  <c r="CO37" i="197"/>
  <c r="CN37" i="197"/>
  <c r="CM37" i="197"/>
  <c r="CL37" i="197"/>
  <c r="AX37" i="197"/>
  <c r="AW37" i="197"/>
  <c r="AV37" i="197"/>
  <c r="AK37" i="197" s="1"/>
  <c r="AQ37" i="197"/>
  <c r="AH37" i="197"/>
  <c r="AG37" i="197"/>
  <c r="AF37" i="197"/>
  <c r="AE37" i="197"/>
  <c r="GL36" i="197"/>
  <c r="GK36" i="197"/>
  <c r="GM36" i="197" s="1"/>
  <c r="GF36" i="197"/>
  <c r="FS36" i="197"/>
  <c r="FQ36" i="197"/>
  <c r="FG36" i="197"/>
  <c r="FC36" i="197"/>
  <c r="FA36" i="197"/>
  <c r="EZ36" i="197"/>
  <c r="EE36" i="197" s="1"/>
  <c r="EY36" i="197"/>
  <c r="EL36" i="197"/>
  <c r="DY36" i="197"/>
  <c r="DU36" i="197"/>
  <c r="DS36" i="197"/>
  <c r="DO36" i="197"/>
  <c r="DN36" i="197"/>
  <c r="FI36" i="197" s="1"/>
  <c r="FJ36" i="197" s="1"/>
  <c r="FK36" i="197" s="1"/>
  <c r="FL36" i="197" s="1"/>
  <c r="DM36" i="197"/>
  <c r="DL36" i="197"/>
  <c r="DK36" i="197"/>
  <c r="DJ36" i="197"/>
  <c r="DI36" i="197"/>
  <c r="FT36" i="197" s="1"/>
  <c r="DH36" i="197"/>
  <c r="FV36" i="197" s="1"/>
  <c r="DG36" i="197"/>
  <c r="DF36" i="197"/>
  <c r="DE36" i="197"/>
  <c r="DD36" i="197"/>
  <c r="FD36" i="197" s="1"/>
  <c r="FE36" i="197" s="1"/>
  <c r="FF36" i="197" s="1"/>
  <c r="DC36" i="197"/>
  <c r="DB36" i="197"/>
  <c r="DA36" i="197"/>
  <c r="CZ36" i="197"/>
  <c r="CY36" i="197"/>
  <c r="CX36" i="197"/>
  <c r="CW36" i="197"/>
  <c r="CV36" i="197"/>
  <c r="CU36" i="197"/>
  <c r="EX36" i="197" s="1"/>
  <c r="CQ36" i="197"/>
  <c r="CP36" i="197"/>
  <c r="CO36" i="197"/>
  <c r="CN36" i="197"/>
  <c r="CM36" i="197"/>
  <c r="CL36" i="197"/>
  <c r="CK36" i="197"/>
  <c r="CE36" i="197"/>
  <c r="CD36" i="197"/>
  <c r="AX36" i="197"/>
  <c r="AW36" i="197"/>
  <c r="AV36" i="197"/>
  <c r="AK36" i="197"/>
  <c r="AH36" i="197"/>
  <c r="AG36" i="197"/>
  <c r="AF36" i="197"/>
  <c r="AE36" i="197"/>
  <c r="GL35" i="197"/>
  <c r="GK35" i="197"/>
  <c r="GM35" i="197" s="1"/>
  <c r="GF35" i="197"/>
  <c r="FV35" i="197"/>
  <c r="FU35" i="197"/>
  <c r="FM35" i="197"/>
  <c r="FH35" i="197"/>
  <c r="FD35" i="197"/>
  <c r="FC35" i="197"/>
  <c r="EZ35" i="197"/>
  <c r="EY35" i="197"/>
  <c r="EX35" i="197"/>
  <c r="EN35" i="197"/>
  <c r="EM35" i="197"/>
  <c r="EC35" i="197"/>
  <c r="EA35" i="197"/>
  <c r="DY35" i="197"/>
  <c r="DX35" i="197"/>
  <c r="DW35" i="197"/>
  <c r="DV35" i="197"/>
  <c r="DU35" i="197"/>
  <c r="DS35" i="197"/>
  <c r="DP35" i="197"/>
  <c r="DO35" i="197"/>
  <c r="DN35" i="197"/>
  <c r="FI35" i="197" s="1"/>
  <c r="DM35" i="197"/>
  <c r="DL35" i="197"/>
  <c r="DK35" i="197"/>
  <c r="EL35" i="197" s="1"/>
  <c r="DJ35" i="197"/>
  <c r="DI35" i="197"/>
  <c r="DH35" i="197"/>
  <c r="DG35" i="197"/>
  <c r="DF35" i="197"/>
  <c r="ED35" i="197" s="1"/>
  <c r="DE35" i="197"/>
  <c r="FR35" i="197" s="1"/>
  <c r="DD35" i="197"/>
  <c r="DC35" i="197"/>
  <c r="DB35" i="197"/>
  <c r="DA35" i="197"/>
  <c r="CZ35" i="197"/>
  <c r="CY35" i="197"/>
  <c r="CX35" i="197"/>
  <c r="CW35" i="197"/>
  <c r="CV35" i="197"/>
  <c r="CU35" i="197"/>
  <c r="FQ35" i="197" s="1"/>
  <c r="CQ35" i="197"/>
  <c r="CP35" i="197"/>
  <c r="CO35" i="197"/>
  <c r="CN35" i="197"/>
  <c r="CM35" i="197"/>
  <c r="CL35" i="197"/>
  <c r="AX35" i="197"/>
  <c r="AW35" i="197"/>
  <c r="AV35" i="197"/>
  <c r="AS35" i="197"/>
  <c r="AQ35" i="197"/>
  <c r="AO35" i="197"/>
  <c r="AK35" i="197"/>
  <c r="AH35" i="197"/>
  <c r="AG35" i="197"/>
  <c r="AF35" i="197"/>
  <c r="AE35" i="197"/>
  <c r="GM34" i="197"/>
  <c r="GL34" i="197"/>
  <c r="GK34" i="197"/>
  <c r="GF34" i="197"/>
  <c r="FV34" i="197"/>
  <c r="FU34" i="197"/>
  <c r="FR34" i="197"/>
  <c r="FJ34" i="197"/>
  <c r="FK34" i="197" s="1"/>
  <c r="FL34" i="197" s="1"/>
  <c r="FI34" i="197"/>
  <c r="FH34" i="197"/>
  <c r="FC34" i="197"/>
  <c r="FB34" i="197"/>
  <c r="FA34" i="197"/>
  <c r="EZ34" i="197"/>
  <c r="EY34" i="197"/>
  <c r="EX34" i="197"/>
  <c r="EQ34" i="197"/>
  <c r="CI34" i="197" s="1"/>
  <c r="EM34" i="197"/>
  <c r="EE34" i="197"/>
  <c r="EC34" i="197"/>
  <c r="EB34" i="197"/>
  <c r="EA34" i="197"/>
  <c r="DY34" i="197"/>
  <c r="DS34" i="197"/>
  <c r="DO34" i="197"/>
  <c r="DN34" i="197"/>
  <c r="DM34" i="197"/>
  <c r="DL34" i="197"/>
  <c r="DK34" i="197"/>
  <c r="EL34" i="197" s="1"/>
  <c r="EN34" i="197" s="1"/>
  <c r="ER34" i="197" s="1"/>
  <c r="DJ34" i="197"/>
  <c r="DI34" i="197"/>
  <c r="DH34" i="197"/>
  <c r="FM34" i="197" s="1"/>
  <c r="DG34" i="197"/>
  <c r="DF34" i="197"/>
  <c r="ED34" i="197" s="1"/>
  <c r="DE34" i="197"/>
  <c r="DD34" i="197"/>
  <c r="FD34" i="197" s="1"/>
  <c r="DC34" i="197"/>
  <c r="DB34" i="197"/>
  <c r="DA34" i="197"/>
  <c r="CZ34" i="197"/>
  <c r="CY34" i="197"/>
  <c r="FS34" i="197" s="1"/>
  <c r="CX34" i="197"/>
  <c r="CW34" i="197"/>
  <c r="CV34" i="197"/>
  <c r="CU34" i="197"/>
  <c r="CQ34" i="197"/>
  <c r="CP34" i="197"/>
  <c r="CO34" i="197"/>
  <c r="CN34" i="197"/>
  <c r="CM34" i="197"/>
  <c r="CL34" i="197"/>
  <c r="CK34" i="197"/>
  <c r="CD34" i="197"/>
  <c r="AX34" i="197"/>
  <c r="AW34" i="197"/>
  <c r="AV34" i="197"/>
  <c r="AO34" i="197"/>
  <c r="AM34" i="197"/>
  <c r="AK34" i="197"/>
  <c r="AH34" i="197"/>
  <c r="AG34" i="197"/>
  <c r="AF34" i="197"/>
  <c r="AE34" i="197"/>
  <c r="W34" i="197"/>
  <c r="V34" i="197"/>
  <c r="GL33" i="197"/>
  <c r="GK33" i="197"/>
  <c r="GM33" i="197" s="1"/>
  <c r="GF33" i="197"/>
  <c r="FV33" i="197"/>
  <c r="FH33" i="197"/>
  <c r="FC33" i="197"/>
  <c r="EZ33" i="197"/>
  <c r="EE33" i="197"/>
  <c r="EF33" i="197" s="1"/>
  <c r="EA33" i="197"/>
  <c r="DY33" i="197"/>
  <c r="DW33" i="197"/>
  <c r="DS33" i="197"/>
  <c r="DO33" i="197"/>
  <c r="DN33" i="197"/>
  <c r="FI33" i="197" s="1"/>
  <c r="DM33" i="197"/>
  <c r="DL33" i="197"/>
  <c r="DK33" i="197"/>
  <c r="DJ33" i="197"/>
  <c r="DI33" i="197"/>
  <c r="FT33" i="197" s="1"/>
  <c r="DH33" i="197"/>
  <c r="FM33" i="197" s="1"/>
  <c r="DG33" i="197"/>
  <c r="DF33" i="197"/>
  <c r="DE33" i="197"/>
  <c r="DD33" i="197"/>
  <c r="FD33" i="197" s="1"/>
  <c r="DC33" i="197"/>
  <c r="DB33" i="197"/>
  <c r="DA33" i="197"/>
  <c r="CZ33" i="197"/>
  <c r="CY33" i="197"/>
  <c r="CX33" i="197"/>
  <c r="FU33" i="197" s="1"/>
  <c r="CW33" i="197"/>
  <c r="CV33" i="197"/>
  <c r="CU33" i="197"/>
  <c r="CQ33" i="197"/>
  <c r="CP33" i="197"/>
  <c r="CK33" i="197" s="1"/>
  <c r="CO33" i="197"/>
  <c r="CN33" i="197"/>
  <c r="CM33" i="197"/>
  <c r="CL33" i="197"/>
  <c r="CE33" i="197"/>
  <c r="AX33" i="197"/>
  <c r="AW33" i="197"/>
  <c r="AK33" i="197" s="1"/>
  <c r="AV33" i="197"/>
  <c r="AO33" i="197"/>
  <c r="AH33" i="197"/>
  <c r="AG33" i="197"/>
  <c r="AF33" i="197"/>
  <c r="AE33" i="197"/>
  <c r="GM32" i="197"/>
  <c r="GL32" i="197"/>
  <c r="GK32" i="197"/>
  <c r="GF32" i="197"/>
  <c r="FS32" i="197"/>
  <c r="FM32" i="197"/>
  <c r="FJ32" i="197"/>
  <c r="FK32" i="197" s="1"/>
  <c r="FL32" i="197" s="1"/>
  <c r="Z32" i="197" s="1"/>
  <c r="FC32" i="197"/>
  <c r="EZ32" i="197"/>
  <c r="EE32" i="197" s="1"/>
  <c r="EG32" i="197" s="1"/>
  <c r="EK32" i="197" s="1"/>
  <c r="EF32" i="197"/>
  <c r="EJ32" i="197" s="1"/>
  <c r="CH32" i="197" s="1"/>
  <c r="ED32" i="197"/>
  <c r="DY32" i="197"/>
  <c r="DV32" i="197"/>
  <c r="DU32" i="197"/>
  <c r="DT32" i="197"/>
  <c r="DS32" i="197"/>
  <c r="DO32" i="197"/>
  <c r="DN32" i="197"/>
  <c r="FI32" i="197" s="1"/>
  <c r="DM32" i="197"/>
  <c r="DL32" i="197"/>
  <c r="DK32" i="197"/>
  <c r="DJ32" i="197"/>
  <c r="DI32" i="197"/>
  <c r="FT32" i="197" s="1"/>
  <c r="DH32" i="197"/>
  <c r="FV32" i="197" s="1"/>
  <c r="DG32" i="197"/>
  <c r="DF32" i="197"/>
  <c r="DE32" i="197"/>
  <c r="DD32" i="197"/>
  <c r="FD32" i="197" s="1"/>
  <c r="FE32" i="197" s="1"/>
  <c r="FF32" i="197" s="1"/>
  <c r="FG32" i="197" s="1"/>
  <c r="DC32" i="197"/>
  <c r="DB32" i="197"/>
  <c r="DA32" i="197"/>
  <c r="CZ32" i="197"/>
  <c r="CY32" i="197"/>
  <c r="CX32" i="197"/>
  <c r="CW32" i="197"/>
  <c r="CV32" i="197"/>
  <c r="CU32" i="197"/>
  <c r="CQ32" i="197"/>
  <c r="CP32" i="197"/>
  <c r="CO32" i="197"/>
  <c r="CN32" i="197"/>
  <c r="CM32" i="197"/>
  <c r="CL32" i="197"/>
  <c r="CK32" i="197"/>
  <c r="CE32" i="197"/>
  <c r="CD32" i="197"/>
  <c r="AX32" i="197"/>
  <c r="AW32" i="197"/>
  <c r="AV32" i="197"/>
  <c r="AK32" i="197" s="1"/>
  <c r="AN32" i="197"/>
  <c r="AH32" i="197"/>
  <c r="AG32" i="197"/>
  <c r="AF32" i="197"/>
  <c r="AE32" i="197"/>
  <c r="Y32" i="197"/>
  <c r="GL31" i="197"/>
  <c r="GK31" i="197"/>
  <c r="GM31" i="197" s="1"/>
  <c r="GF31" i="197"/>
  <c r="FU31" i="197"/>
  <c r="FT31" i="197"/>
  <c r="FI31" i="197"/>
  <c r="FH31" i="197"/>
  <c r="FD31" i="197"/>
  <c r="FC31" i="197"/>
  <c r="FB31" i="197"/>
  <c r="FA31" i="197"/>
  <c r="EZ31" i="197"/>
  <c r="EC31" i="197"/>
  <c r="EB31" i="197"/>
  <c r="EA31" i="197"/>
  <c r="DZ31" i="197"/>
  <c r="DY31" i="197"/>
  <c r="FP31" i="197" s="1"/>
  <c r="DX31" i="197"/>
  <c r="DS31" i="197"/>
  <c r="DP31" i="197"/>
  <c r="DO31" i="197"/>
  <c r="DN31" i="197"/>
  <c r="DM31" i="197"/>
  <c r="DL31" i="197"/>
  <c r="DK31" i="197"/>
  <c r="EL31" i="197" s="1"/>
  <c r="DJ31" i="197"/>
  <c r="DI31" i="197"/>
  <c r="DH31" i="197"/>
  <c r="DG31" i="197"/>
  <c r="DF31" i="197"/>
  <c r="ED31" i="197" s="1"/>
  <c r="DE31" i="197"/>
  <c r="FR31" i="197" s="1"/>
  <c r="DD31" i="197"/>
  <c r="DC31" i="197"/>
  <c r="DB31" i="197"/>
  <c r="DA31" i="197"/>
  <c r="CZ31" i="197"/>
  <c r="CY31" i="197"/>
  <c r="CX31" i="197"/>
  <c r="CW31" i="197"/>
  <c r="CV31" i="197"/>
  <c r="DV31" i="197" s="1"/>
  <c r="CU31" i="197"/>
  <c r="CQ31" i="197"/>
  <c r="CP31" i="197"/>
  <c r="CO31" i="197"/>
  <c r="CN31" i="197"/>
  <c r="CM31" i="197"/>
  <c r="CL31" i="197"/>
  <c r="AX31" i="197"/>
  <c r="AW31" i="197"/>
  <c r="AV31" i="197"/>
  <c r="AK31" i="197"/>
  <c r="AH31" i="197"/>
  <c r="AG31" i="197"/>
  <c r="AF31" i="197"/>
  <c r="AE31" i="197"/>
  <c r="GL30" i="197"/>
  <c r="GK30" i="197"/>
  <c r="GF30" i="197"/>
  <c r="FV30" i="197"/>
  <c r="FU30" i="197"/>
  <c r="FP30" i="197"/>
  <c r="FN30" i="197"/>
  <c r="FM30" i="197"/>
  <c r="FC30" i="197"/>
  <c r="FA30" i="197"/>
  <c r="EZ30" i="197"/>
  <c r="EX30" i="197"/>
  <c r="EM30" i="197"/>
  <c r="EL30" i="197"/>
  <c r="EN30" i="197" s="1"/>
  <c r="ED30" i="197"/>
  <c r="EB30" i="197"/>
  <c r="EA30" i="197"/>
  <c r="DZ30" i="197"/>
  <c r="DY30" i="197"/>
  <c r="DV30" i="197"/>
  <c r="DS30" i="197"/>
  <c r="DO30" i="197"/>
  <c r="DN30" i="197"/>
  <c r="FI30" i="197" s="1"/>
  <c r="DM30" i="197"/>
  <c r="DL30" i="197"/>
  <c r="DK30" i="197"/>
  <c r="DJ30" i="197"/>
  <c r="DI30" i="197"/>
  <c r="DH30" i="197"/>
  <c r="DG30" i="197"/>
  <c r="DF30" i="197"/>
  <c r="EC30" i="197" s="1"/>
  <c r="DE30" i="197"/>
  <c r="FR30" i="197" s="1"/>
  <c r="DD30" i="197"/>
  <c r="FD30" i="197" s="1"/>
  <c r="FE30" i="197" s="1"/>
  <c r="FF30" i="197" s="1"/>
  <c r="FG30" i="197" s="1"/>
  <c r="Y30" i="197" s="1"/>
  <c r="DC30" i="197"/>
  <c r="DT30" i="197" s="1"/>
  <c r="DB30" i="197"/>
  <c r="DA30" i="197"/>
  <c r="EE30" i="197" s="1"/>
  <c r="CZ30" i="197"/>
  <c r="CY30" i="197"/>
  <c r="CX30" i="197"/>
  <c r="FH30" i="197" s="1"/>
  <c r="CW30" i="197"/>
  <c r="CV30" i="197"/>
  <c r="CU30" i="197"/>
  <c r="CQ30" i="197"/>
  <c r="CP30" i="197"/>
  <c r="CO30" i="197"/>
  <c r="CN30" i="197"/>
  <c r="CM30" i="197"/>
  <c r="CL30" i="197"/>
  <c r="CK30" i="197"/>
  <c r="AX30" i="197"/>
  <c r="AW30" i="197"/>
  <c r="AV30" i="197"/>
  <c r="AH30" i="197"/>
  <c r="AG30" i="197"/>
  <c r="AF30" i="197"/>
  <c r="AE30" i="197"/>
  <c r="GM29" i="197"/>
  <c r="GL29" i="197"/>
  <c r="GK29" i="197"/>
  <c r="GF29" i="197"/>
  <c r="FT29" i="197"/>
  <c r="FS29" i="197"/>
  <c r="FO29" i="197"/>
  <c r="FJ29" i="197"/>
  <c r="FK29" i="197" s="1"/>
  <c r="FL29" i="197" s="1"/>
  <c r="Z29" i="197" s="1"/>
  <c r="FH29" i="197"/>
  <c r="FF29" i="197"/>
  <c r="FG29" i="197" s="1"/>
  <c r="Y29" i="197" s="1"/>
  <c r="FD29" i="197"/>
  <c r="FC29" i="197"/>
  <c r="EL29" i="197" s="1"/>
  <c r="EZ29" i="197"/>
  <c r="EY29" i="197"/>
  <c r="EX29" i="197"/>
  <c r="EQ29" i="197"/>
  <c r="EN29" i="197"/>
  <c r="EM29" i="197"/>
  <c r="EE29" i="197"/>
  <c r="DY29" i="197"/>
  <c r="DX29" i="197"/>
  <c r="DW29" i="197"/>
  <c r="DV29" i="197"/>
  <c r="DU29" i="197"/>
  <c r="DS29" i="197"/>
  <c r="DP29" i="197"/>
  <c r="DO29" i="197"/>
  <c r="FE29" i="197" s="1"/>
  <c r="DN29" i="197"/>
  <c r="FI29" i="197" s="1"/>
  <c r="DM29" i="197"/>
  <c r="DL29" i="197"/>
  <c r="DK29" i="197"/>
  <c r="DJ29" i="197"/>
  <c r="DI29" i="197"/>
  <c r="DH29" i="197"/>
  <c r="DG29" i="197"/>
  <c r="DF29" i="197"/>
  <c r="DE29" i="197"/>
  <c r="DD29" i="197"/>
  <c r="DC29" i="197"/>
  <c r="DB29" i="197"/>
  <c r="DA29" i="197"/>
  <c r="CZ29" i="197"/>
  <c r="CY29" i="197"/>
  <c r="CX29" i="197"/>
  <c r="FU29" i="197" s="1"/>
  <c r="CW29" i="197"/>
  <c r="CV29" i="197"/>
  <c r="CU29" i="197"/>
  <c r="FQ29" i="197" s="1"/>
  <c r="CQ29" i="197"/>
  <c r="CP29" i="197"/>
  <c r="CO29" i="197"/>
  <c r="CN29" i="197"/>
  <c r="CM29" i="197"/>
  <c r="CL29" i="197"/>
  <c r="CE29" i="197"/>
  <c r="CD29" i="197"/>
  <c r="AX29" i="197"/>
  <c r="AW29" i="197"/>
  <c r="AV29" i="197"/>
  <c r="AS29" i="197"/>
  <c r="AT29" i="197" s="1"/>
  <c r="AK29" i="197"/>
  <c r="AH29" i="197"/>
  <c r="AG29" i="197"/>
  <c r="AF29" i="197"/>
  <c r="AE29" i="197"/>
  <c r="GL28" i="197"/>
  <c r="GK28" i="197"/>
  <c r="GM28" i="197" s="1"/>
  <c r="GF28" i="197"/>
  <c r="FV28" i="197"/>
  <c r="FU28" i="197"/>
  <c r="FP28" i="197"/>
  <c r="FM28" i="197"/>
  <c r="FI28" i="197"/>
  <c r="FH28" i="197"/>
  <c r="FC28" i="197"/>
  <c r="EZ28" i="197"/>
  <c r="EE28" i="197" s="1"/>
  <c r="EF28" i="197" s="1"/>
  <c r="EY28" i="197"/>
  <c r="EP28" i="197"/>
  <c r="EM28" i="197"/>
  <c r="EK28" i="197"/>
  <c r="EV28" i="197" s="1"/>
  <c r="CJ28" i="197" s="1"/>
  <c r="EG28" i="197"/>
  <c r="EC28" i="197"/>
  <c r="EB28" i="197"/>
  <c r="EA28" i="197"/>
  <c r="DY28" i="197"/>
  <c r="DX28" i="197"/>
  <c r="DW28" i="197"/>
  <c r="DS28" i="197"/>
  <c r="DO28" i="197"/>
  <c r="FJ28" i="197" s="1"/>
  <c r="FK28" i="197" s="1"/>
  <c r="FL28" i="197" s="1"/>
  <c r="Z28" i="197" s="1"/>
  <c r="DN28" i="197"/>
  <c r="DM28" i="197"/>
  <c r="DL28" i="197"/>
  <c r="DK28" i="197"/>
  <c r="EL28" i="197" s="1"/>
  <c r="EN28" i="197" s="1"/>
  <c r="ER28" i="197" s="1"/>
  <c r="DJ28" i="197"/>
  <c r="DI28" i="197"/>
  <c r="DH28" i="197"/>
  <c r="DG28" i="197"/>
  <c r="DF28" i="197"/>
  <c r="ED28" i="197" s="1"/>
  <c r="DE28" i="197"/>
  <c r="DD28" i="197"/>
  <c r="FD28" i="197" s="1"/>
  <c r="FE28" i="197" s="1"/>
  <c r="FF28" i="197" s="1"/>
  <c r="FG28" i="197" s="1"/>
  <c r="Y28" i="197" s="1"/>
  <c r="DC28" i="197"/>
  <c r="DB28" i="197"/>
  <c r="DA28" i="197"/>
  <c r="CZ28" i="197"/>
  <c r="CY28" i="197"/>
  <c r="CX28" i="197"/>
  <c r="CW28" i="197"/>
  <c r="CV28" i="197"/>
  <c r="CU28" i="197"/>
  <c r="CQ28" i="197"/>
  <c r="CP28" i="197"/>
  <c r="CK28" i="197" s="1"/>
  <c r="CO28" i="197"/>
  <c r="CN28" i="197"/>
  <c r="CM28" i="197"/>
  <c r="CL28" i="197"/>
  <c r="CD28" i="197"/>
  <c r="AX28" i="197"/>
  <c r="AW28" i="197"/>
  <c r="AV28" i="197"/>
  <c r="AS28" i="197"/>
  <c r="AT28" i="197" s="1"/>
  <c r="AO28" i="197"/>
  <c r="AK28" i="197"/>
  <c r="AL28" i="197" s="1"/>
  <c r="AJ28" i="197"/>
  <c r="AU28" i="197" s="1"/>
  <c r="AH28" i="197"/>
  <c r="AG28" i="197"/>
  <c r="AF28" i="197"/>
  <c r="AE28" i="197"/>
  <c r="GL27" i="197"/>
  <c r="GK27" i="197"/>
  <c r="GF27" i="197"/>
  <c r="FV27" i="197"/>
  <c r="FP27" i="197"/>
  <c r="FH27" i="197"/>
  <c r="FD27" i="197"/>
  <c r="FC27" i="197"/>
  <c r="FB27" i="197"/>
  <c r="EZ27" i="197"/>
  <c r="EX27" i="197"/>
  <c r="ED27" i="197"/>
  <c r="EC27" i="197"/>
  <c r="EB27" i="197"/>
  <c r="EA27" i="197"/>
  <c r="DZ27" i="197"/>
  <c r="DY27" i="197"/>
  <c r="DU27" i="197"/>
  <c r="DS27" i="197"/>
  <c r="DO27" i="197"/>
  <c r="DN27" i="197"/>
  <c r="FI27" i="197" s="1"/>
  <c r="DM27" i="197"/>
  <c r="DL27" i="197"/>
  <c r="DK27" i="197"/>
  <c r="EL27" i="197" s="1"/>
  <c r="DJ27" i="197"/>
  <c r="DI27" i="197"/>
  <c r="CE27" i="197" s="1"/>
  <c r="DH27" i="197"/>
  <c r="FM27" i="197" s="1"/>
  <c r="DG27" i="197"/>
  <c r="DF27" i="197"/>
  <c r="DE27" i="197"/>
  <c r="FA27" i="197" s="1"/>
  <c r="DD27" i="197"/>
  <c r="DC27" i="197"/>
  <c r="DB27" i="197"/>
  <c r="DA27" i="197"/>
  <c r="EE27" i="197" s="1"/>
  <c r="CZ27" i="197"/>
  <c r="CY27" i="197"/>
  <c r="FS27" i="197" s="1"/>
  <c r="CX27" i="197"/>
  <c r="FU27" i="197" s="1"/>
  <c r="CW27" i="197"/>
  <c r="CV27" i="197"/>
  <c r="CU27" i="197"/>
  <c r="CQ27" i="197"/>
  <c r="CP27" i="197"/>
  <c r="CO27" i="197"/>
  <c r="CN27" i="197"/>
  <c r="CM27" i="197"/>
  <c r="CL27" i="197"/>
  <c r="CK27" i="197"/>
  <c r="CD27" i="197"/>
  <c r="AX27" i="197"/>
  <c r="AW27" i="197"/>
  <c r="AK27" i="197" s="1"/>
  <c r="AV27" i="197"/>
  <c r="AH27" i="197"/>
  <c r="AG27" i="197"/>
  <c r="AF27" i="197"/>
  <c r="AE27" i="197"/>
  <c r="GL26" i="197"/>
  <c r="GK26" i="197"/>
  <c r="GM26" i="197" s="1"/>
  <c r="GF26" i="197"/>
  <c r="FS26" i="197"/>
  <c r="FI26" i="197"/>
  <c r="FJ26" i="197" s="1"/>
  <c r="FK26" i="197" s="1"/>
  <c r="FL26" i="197" s="1"/>
  <c r="Z26" i="197" s="1"/>
  <c r="FH26" i="197"/>
  <c r="FC26" i="197"/>
  <c r="EZ26" i="197"/>
  <c r="EE26" i="197" s="1"/>
  <c r="EY26" i="197"/>
  <c r="EX26" i="197"/>
  <c r="EQ26" i="197"/>
  <c r="EN26" i="197"/>
  <c r="EL26" i="197"/>
  <c r="EM26" i="197" s="1"/>
  <c r="EG26" i="197"/>
  <c r="EF26" i="197"/>
  <c r="ED26" i="197"/>
  <c r="DY26" i="197"/>
  <c r="DX26" i="197"/>
  <c r="DU26" i="197"/>
  <c r="DT26" i="197"/>
  <c r="DS26" i="197"/>
  <c r="DP26" i="197"/>
  <c r="DO26" i="197"/>
  <c r="DN26" i="197"/>
  <c r="DM26" i="197"/>
  <c r="DL26" i="197"/>
  <c r="DK26" i="197"/>
  <c r="DJ26" i="197"/>
  <c r="DI26" i="197"/>
  <c r="FT26" i="197" s="1"/>
  <c r="DH26" i="197"/>
  <c r="DG26" i="197"/>
  <c r="DF26" i="197"/>
  <c r="DE26" i="197"/>
  <c r="DD26" i="197"/>
  <c r="FD26" i="197" s="1"/>
  <c r="FE26" i="197" s="1"/>
  <c r="FF26" i="197" s="1"/>
  <c r="FG26" i="197" s="1"/>
  <c r="Y26" i="197" s="1"/>
  <c r="DC26" i="197"/>
  <c r="DB26" i="197"/>
  <c r="DA26" i="197"/>
  <c r="CZ26" i="197"/>
  <c r="CY26" i="197"/>
  <c r="CX26" i="197"/>
  <c r="FU26" i="197" s="1"/>
  <c r="CW26" i="197"/>
  <c r="CV26" i="197"/>
  <c r="CU26" i="197"/>
  <c r="CQ26" i="197"/>
  <c r="CK26" i="197" s="1"/>
  <c r="CP26" i="197"/>
  <c r="CO26" i="197"/>
  <c r="CN26" i="197"/>
  <c r="CM26" i="197"/>
  <c r="CL26" i="197"/>
  <c r="CE26" i="197"/>
  <c r="CD26" i="197"/>
  <c r="AY26" i="197"/>
  <c r="AX26" i="197"/>
  <c r="AW26" i="197"/>
  <c r="AV26" i="197"/>
  <c r="AS26" i="197"/>
  <c r="AT26" i="197" s="1"/>
  <c r="AK26" i="197"/>
  <c r="AJ26" i="197"/>
  <c r="AH26" i="197"/>
  <c r="AG26" i="197"/>
  <c r="AF26" i="197"/>
  <c r="AE26" i="197"/>
  <c r="G26" i="197"/>
  <c r="GL25" i="197"/>
  <c r="GK25" i="197"/>
  <c r="GM25" i="197" s="1"/>
  <c r="GF25" i="197"/>
  <c r="FV25" i="197"/>
  <c r="FU25" i="197"/>
  <c r="FR25" i="197"/>
  <c r="FM25" i="197"/>
  <c r="FI25" i="197"/>
  <c r="FJ25" i="197" s="1"/>
  <c r="FK25" i="197" s="1"/>
  <c r="FL25" i="197" s="1"/>
  <c r="Z25" i="197" s="1"/>
  <c r="FH25" i="197"/>
  <c r="FC25" i="197"/>
  <c r="FB25" i="197"/>
  <c r="FA25" i="197"/>
  <c r="EZ25" i="197"/>
  <c r="EC25" i="197"/>
  <c r="EB25" i="197"/>
  <c r="EA25" i="197"/>
  <c r="DY25" i="197"/>
  <c r="DZ25" i="197" s="1"/>
  <c r="DS25" i="197"/>
  <c r="DT25" i="197" s="1"/>
  <c r="DO25" i="197"/>
  <c r="DN25" i="197"/>
  <c r="DM25" i="197"/>
  <c r="FP25" i="197" s="1"/>
  <c r="DL25" i="197"/>
  <c r="DK25" i="197"/>
  <c r="EL25" i="197" s="1"/>
  <c r="DJ25" i="197"/>
  <c r="DI25" i="197"/>
  <c r="DH25" i="197"/>
  <c r="DG25" i="197"/>
  <c r="DF25" i="197"/>
  <c r="ED25" i="197" s="1"/>
  <c r="DE25" i="197"/>
  <c r="DD25" i="197"/>
  <c r="FD25" i="197" s="1"/>
  <c r="FE25" i="197" s="1"/>
  <c r="FF25" i="197" s="1"/>
  <c r="FG25" i="197" s="1"/>
  <c r="Y25" i="197" s="1"/>
  <c r="DC25" i="197"/>
  <c r="DB25" i="197"/>
  <c r="DA25" i="197"/>
  <c r="EE25" i="197" s="1"/>
  <c r="CZ25" i="197"/>
  <c r="CY25" i="197"/>
  <c r="FS25" i="197" s="1"/>
  <c r="CX25" i="197"/>
  <c r="CW25" i="197"/>
  <c r="CV25" i="197"/>
  <c r="CU25" i="197"/>
  <c r="CQ25" i="197"/>
  <c r="CP25" i="197"/>
  <c r="CO25" i="197"/>
  <c r="CN25" i="197"/>
  <c r="CM25" i="197"/>
  <c r="CL25" i="197"/>
  <c r="CK25" i="197"/>
  <c r="CD25" i="197"/>
  <c r="AX25" i="197"/>
  <c r="AW25" i="197"/>
  <c r="AV25" i="197"/>
  <c r="AH25" i="197"/>
  <c r="AG25" i="197"/>
  <c r="AF25" i="197"/>
  <c r="AE25" i="197"/>
  <c r="GL24" i="197"/>
  <c r="GK24" i="197"/>
  <c r="GM24" i="197" s="1"/>
  <c r="GF24" i="197"/>
  <c r="FV24" i="197"/>
  <c r="FU24" i="197"/>
  <c r="FN24" i="197"/>
  <c r="FM24" i="197"/>
  <c r="FL24" i="197"/>
  <c r="Z24" i="197" s="1"/>
  <c r="FI24" i="197"/>
  <c r="FH24" i="197"/>
  <c r="FF24" i="197"/>
  <c r="FG24" i="197" s="1"/>
  <c r="Y24" i="197" s="1"/>
  <c r="FD24" i="197"/>
  <c r="FE24" i="197" s="1"/>
  <c r="FC24" i="197"/>
  <c r="FA24" i="197"/>
  <c r="EZ24" i="197"/>
  <c r="EE24" i="197" s="1"/>
  <c r="EN24" i="197"/>
  <c r="ER24" i="197" s="1"/>
  <c r="EC24" i="197"/>
  <c r="EB24" i="197"/>
  <c r="EA24" i="197"/>
  <c r="DY24" i="197"/>
  <c r="DX24" i="197"/>
  <c r="H24" i="197" s="1"/>
  <c r="DW24" i="197"/>
  <c r="DS24" i="197"/>
  <c r="DP24" i="197"/>
  <c r="DO24" i="197"/>
  <c r="FJ24" i="197" s="1"/>
  <c r="FK24" i="197" s="1"/>
  <c r="DN24" i="197"/>
  <c r="DM24" i="197"/>
  <c r="DL24" i="197"/>
  <c r="DK24" i="197"/>
  <c r="EL24" i="197" s="1"/>
  <c r="EM24" i="197" s="1"/>
  <c r="EQ24" i="197" s="1"/>
  <c r="DJ24" i="197"/>
  <c r="DI24" i="197"/>
  <c r="DH24" i="197"/>
  <c r="DG24" i="197"/>
  <c r="DF24" i="197"/>
  <c r="ED24" i="197" s="1"/>
  <c r="DE24" i="197"/>
  <c r="FR24" i="197" s="1"/>
  <c r="DD24" i="197"/>
  <c r="DC24" i="197"/>
  <c r="DB24" i="197"/>
  <c r="DA24" i="197"/>
  <c r="CZ24" i="197"/>
  <c r="CY24" i="197"/>
  <c r="CX24" i="197"/>
  <c r="CW24" i="197"/>
  <c r="CV24" i="197"/>
  <c r="DV24" i="197" s="1"/>
  <c r="CU24" i="197"/>
  <c r="CQ24" i="197"/>
  <c r="CP24" i="197"/>
  <c r="CO24" i="197"/>
  <c r="CN24" i="197"/>
  <c r="CM24" i="197"/>
  <c r="CL24" i="197"/>
  <c r="CK24" i="197"/>
  <c r="AY24" i="197"/>
  <c r="AX24" i="197"/>
  <c r="AW24" i="197"/>
  <c r="AV24" i="197"/>
  <c r="AK24" i="197" s="1"/>
  <c r="AH24" i="197"/>
  <c r="AG24" i="197"/>
  <c r="AF24" i="197"/>
  <c r="AE24" i="197"/>
  <c r="F24" i="197"/>
  <c r="GL23" i="197"/>
  <c r="GK23" i="197"/>
  <c r="GM23" i="197" s="1"/>
  <c r="GF23" i="197"/>
  <c r="FV23" i="197"/>
  <c r="FO23" i="197"/>
  <c r="FD23" i="197"/>
  <c r="FC23" i="197"/>
  <c r="FA23" i="197"/>
  <c r="EZ23" i="197"/>
  <c r="EY23" i="197"/>
  <c r="EX23" i="197"/>
  <c r="EL23" i="197"/>
  <c r="EM23" i="197" s="1"/>
  <c r="EF23" i="197"/>
  <c r="DZ23" i="197"/>
  <c r="DY23" i="197"/>
  <c r="DX23" i="197"/>
  <c r="DW23" i="197"/>
  <c r="DV23" i="197"/>
  <c r="DS23" i="197"/>
  <c r="DO23" i="197"/>
  <c r="DN23" i="197"/>
  <c r="FI23" i="197" s="1"/>
  <c r="DM23" i="197"/>
  <c r="DL23" i="197"/>
  <c r="DK23" i="197"/>
  <c r="DJ23" i="197"/>
  <c r="DI23" i="197"/>
  <c r="FT23" i="197" s="1"/>
  <c r="DH23" i="197"/>
  <c r="FM23" i="197" s="1"/>
  <c r="DG23" i="197"/>
  <c r="DF23" i="197"/>
  <c r="DE23" i="197"/>
  <c r="DD23" i="197"/>
  <c r="DC23" i="197"/>
  <c r="DT23" i="197" s="1"/>
  <c r="DB23" i="197"/>
  <c r="DA23" i="197"/>
  <c r="EE23" i="197" s="1"/>
  <c r="EG23" i="197" s="1"/>
  <c r="CZ23" i="197"/>
  <c r="CY23" i="197"/>
  <c r="CX23" i="197"/>
  <c r="CW23" i="197"/>
  <c r="CV23" i="197"/>
  <c r="DU23" i="197" s="1"/>
  <c r="CU23" i="197"/>
  <c r="FQ23" i="197" s="1"/>
  <c r="CQ23" i="197"/>
  <c r="CP23" i="197"/>
  <c r="CO23" i="197"/>
  <c r="CN23" i="197"/>
  <c r="CM23" i="197"/>
  <c r="CL23" i="197"/>
  <c r="CE23" i="197"/>
  <c r="AX23" i="197"/>
  <c r="AW23" i="197"/>
  <c r="AV23" i="197"/>
  <c r="AK23" i="197" s="1"/>
  <c r="AH23" i="197"/>
  <c r="AG23" i="197"/>
  <c r="AF23" i="197"/>
  <c r="AE23" i="197"/>
  <c r="GL22" i="197"/>
  <c r="GK22" i="197"/>
  <c r="GF22" i="197"/>
  <c r="FU22" i="197"/>
  <c r="FS22" i="197"/>
  <c r="FP22" i="197"/>
  <c r="FN22" i="197"/>
  <c r="FI22" i="197"/>
  <c r="FJ22" i="197" s="1"/>
  <c r="FK22" i="197" s="1"/>
  <c r="FL22" i="197" s="1"/>
  <c r="Z22" i="197" s="1"/>
  <c r="FH22" i="197"/>
  <c r="FE22" i="197"/>
  <c r="FF22" i="197" s="1"/>
  <c r="FG22" i="197" s="1"/>
  <c r="Y22" i="197" s="1"/>
  <c r="FC22" i="197"/>
  <c r="FA22" i="197"/>
  <c r="EZ22" i="197"/>
  <c r="EN22" i="197"/>
  <c r="ER22" i="197" s="1"/>
  <c r="EC22" i="197"/>
  <c r="EB22" i="197"/>
  <c r="EA22" i="197"/>
  <c r="DY22" i="197"/>
  <c r="DZ22" i="197" s="1"/>
  <c r="DX22" i="197"/>
  <c r="DS22" i="197"/>
  <c r="DP22" i="197"/>
  <c r="DO22" i="197"/>
  <c r="DN22" i="197"/>
  <c r="DM22" i="197"/>
  <c r="DL22" i="197"/>
  <c r="DK22" i="197"/>
  <c r="EL22" i="197" s="1"/>
  <c r="EM22" i="197" s="1"/>
  <c r="EQ22" i="197" s="1"/>
  <c r="DJ22" i="197"/>
  <c r="DI22" i="197"/>
  <c r="DH22" i="197"/>
  <c r="DG22" i="197"/>
  <c r="DF22" i="197"/>
  <c r="ED22" i="197" s="1"/>
  <c r="DE22" i="197"/>
  <c r="FR22" i="197" s="1"/>
  <c r="DD22" i="197"/>
  <c r="FD22" i="197" s="1"/>
  <c r="DC22" i="197"/>
  <c r="DT22" i="197" s="1"/>
  <c r="DB22" i="197"/>
  <c r="DA22" i="197"/>
  <c r="CZ22" i="197"/>
  <c r="CY22" i="197"/>
  <c r="CX22" i="197"/>
  <c r="CW22" i="197"/>
  <c r="CV22" i="197"/>
  <c r="CU22" i="197"/>
  <c r="EY22" i="197" s="1"/>
  <c r="CQ22" i="197"/>
  <c r="CK22" i="197" s="1"/>
  <c r="CP22" i="197"/>
  <c r="CO22" i="197"/>
  <c r="CN22" i="197"/>
  <c r="CM22" i="197"/>
  <c r="CL22" i="197"/>
  <c r="CI22" i="197"/>
  <c r="CD22" i="197"/>
  <c r="AY22" i="197"/>
  <c r="AX22" i="197"/>
  <c r="AW22" i="197"/>
  <c r="AV22" i="197"/>
  <c r="AK22" i="197" s="1"/>
  <c r="AH22" i="197"/>
  <c r="AG22" i="197"/>
  <c r="AF22" i="197"/>
  <c r="AE22" i="197"/>
  <c r="F22" i="197"/>
  <c r="GM21" i="197"/>
  <c r="GL21" i="197"/>
  <c r="GK21" i="197"/>
  <c r="GF21" i="197"/>
  <c r="FT21" i="197"/>
  <c r="FS21" i="197"/>
  <c r="FR21" i="197"/>
  <c r="FP21" i="197"/>
  <c r="FI21" i="197"/>
  <c r="FJ21" i="197" s="1"/>
  <c r="FK21" i="197" s="1"/>
  <c r="FL21" i="197" s="1"/>
  <c r="FH21" i="197"/>
  <c r="FC21" i="197"/>
  <c r="FB21" i="197"/>
  <c r="FA21" i="197"/>
  <c r="EZ21" i="197"/>
  <c r="EE21" i="197" s="1"/>
  <c r="EL21" i="197"/>
  <c r="ED21" i="197"/>
  <c r="EC21" i="197"/>
  <c r="EB21" i="197"/>
  <c r="EA21" i="197"/>
  <c r="DY21" i="197"/>
  <c r="DV21" i="197"/>
  <c r="DS21" i="197"/>
  <c r="DT21" i="197" s="1"/>
  <c r="DO21" i="197"/>
  <c r="DN21" i="197"/>
  <c r="DM21" i="197"/>
  <c r="DZ21" i="197" s="1"/>
  <c r="DL21" i="197"/>
  <c r="DK21" i="197"/>
  <c r="DJ21" i="197"/>
  <c r="DI21" i="197"/>
  <c r="DH21" i="197"/>
  <c r="FV21" i="197" s="1"/>
  <c r="DG21" i="197"/>
  <c r="DF21" i="197"/>
  <c r="DE21" i="197"/>
  <c r="DD21" i="197"/>
  <c r="FD21" i="197" s="1"/>
  <c r="DC21" i="197"/>
  <c r="DB21" i="197"/>
  <c r="DA21" i="197"/>
  <c r="CZ21" i="197"/>
  <c r="CY21" i="197"/>
  <c r="CX21" i="197"/>
  <c r="FU21" i="197" s="1"/>
  <c r="CW21" i="197"/>
  <c r="CV21" i="197"/>
  <c r="CU21" i="197"/>
  <c r="EX21" i="197" s="1"/>
  <c r="CQ21" i="197"/>
  <c r="CP21" i="197"/>
  <c r="CO21" i="197"/>
  <c r="CN21" i="197"/>
  <c r="CM21" i="197"/>
  <c r="CL21" i="197"/>
  <c r="CK21" i="197"/>
  <c r="CE21" i="197"/>
  <c r="CD21" i="197"/>
  <c r="AY21" i="197"/>
  <c r="AX21" i="197"/>
  <c r="AW21" i="197"/>
  <c r="AV21" i="197"/>
  <c r="AS21" i="197"/>
  <c r="AK21" i="197"/>
  <c r="AJ21" i="197"/>
  <c r="AH21" i="197"/>
  <c r="AG21" i="197"/>
  <c r="AF21" i="197"/>
  <c r="AE21" i="197"/>
  <c r="Z21" i="197"/>
  <c r="GL20" i="197"/>
  <c r="GK20" i="197"/>
  <c r="GM20" i="197" s="1"/>
  <c r="GF20" i="197"/>
  <c r="FV20" i="197"/>
  <c r="FS20" i="197"/>
  <c r="FR20" i="197"/>
  <c r="FI20" i="197"/>
  <c r="FJ20" i="197" s="1"/>
  <c r="FK20" i="197" s="1"/>
  <c r="FL20" i="197" s="1"/>
  <c r="Z20" i="197" s="1"/>
  <c r="FH20" i="197"/>
  <c r="FC20" i="197"/>
  <c r="FB20" i="197"/>
  <c r="EZ20" i="197"/>
  <c r="EE20" i="197" s="1"/>
  <c r="EF20" i="197" s="1"/>
  <c r="EJ20" i="197"/>
  <c r="EC20" i="197"/>
  <c r="EB20" i="197"/>
  <c r="EA20" i="197"/>
  <c r="DY20" i="197"/>
  <c r="DT20" i="197"/>
  <c r="DS20" i="197"/>
  <c r="DO20" i="197"/>
  <c r="DN20" i="197"/>
  <c r="DM20" i="197"/>
  <c r="DL20" i="197"/>
  <c r="DK20" i="197"/>
  <c r="EL20" i="197" s="1"/>
  <c r="DJ20" i="197"/>
  <c r="DI20" i="197"/>
  <c r="DH20" i="197"/>
  <c r="FM20" i="197" s="1"/>
  <c r="DG20" i="197"/>
  <c r="DF20" i="197"/>
  <c r="ED20" i="197" s="1"/>
  <c r="DE20" i="197"/>
  <c r="FA20" i="197" s="1"/>
  <c r="DD20" i="197"/>
  <c r="FD20" i="197" s="1"/>
  <c r="DC20" i="197"/>
  <c r="DB20" i="197"/>
  <c r="DA20" i="197"/>
  <c r="CZ20" i="197"/>
  <c r="CY20" i="197"/>
  <c r="CX20" i="197"/>
  <c r="FU20" i="197" s="1"/>
  <c r="CW20" i="197"/>
  <c r="CV20" i="197"/>
  <c r="CU20" i="197"/>
  <c r="CQ20" i="197"/>
  <c r="CP20" i="197"/>
  <c r="CO20" i="197"/>
  <c r="CN20" i="197"/>
  <c r="CM20" i="197"/>
  <c r="CL20" i="197"/>
  <c r="CK20" i="197"/>
  <c r="CD20" i="197"/>
  <c r="AX20" i="197"/>
  <c r="AW20" i="197"/>
  <c r="AK20" i="197" s="1"/>
  <c r="AV20" i="197"/>
  <c r="AH20" i="197"/>
  <c r="AG20" i="197"/>
  <c r="AF20" i="197"/>
  <c r="AE20" i="197"/>
  <c r="GL19" i="197"/>
  <c r="GK19" i="197"/>
  <c r="GF19" i="197"/>
  <c r="FU19" i="197"/>
  <c r="FS19" i="197"/>
  <c r="FP19" i="197"/>
  <c r="FN19" i="197"/>
  <c r="FM19" i="197"/>
  <c r="FI19" i="197"/>
  <c r="FJ19" i="197" s="1"/>
  <c r="FK19" i="197" s="1"/>
  <c r="FL19" i="197" s="1"/>
  <c r="Z19" i="197" s="1"/>
  <c r="FH19" i="197"/>
  <c r="FE19" i="197"/>
  <c r="FF19" i="197" s="1"/>
  <c r="FG19" i="197" s="1"/>
  <c r="Y19" i="197" s="1"/>
  <c r="FC19" i="197"/>
  <c r="FA19" i="197"/>
  <c r="EZ19" i="197"/>
  <c r="EN19" i="197"/>
  <c r="EC19" i="197"/>
  <c r="EB19" i="197"/>
  <c r="EA19" i="197"/>
  <c r="DY19" i="197"/>
  <c r="DZ19" i="197" s="1"/>
  <c r="DX19" i="197"/>
  <c r="DS19" i="197"/>
  <c r="DP19" i="197"/>
  <c r="DO19" i="197"/>
  <c r="DN19" i="197"/>
  <c r="DM19" i="197"/>
  <c r="DL19" i="197"/>
  <c r="DK19" i="197"/>
  <c r="EL19" i="197" s="1"/>
  <c r="EM19" i="197" s="1"/>
  <c r="EQ19" i="197" s="1"/>
  <c r="DJ19" i="197"/>
  <c r="DI19" i="197"/>
  <c r="DH19" i="197"/>
  <c r="FV19" i="197" s="1"/>
  <c r="DG19" i="197"/>
  <c r="DF19" i="197"/>
  <c r="ED19" i="197" s="1"/>
  <c r="DE19" i="197"/>
  <c r="FR19" i="197" s="1"/>
  <c r="DD19" i="197"/>
  <c r="FD19" i="197" s="1"/>
  <c r="DC19" i="197"/>
  <c r="DT19" i="197" s="1"/>
  <c r="DB19" i="197"/>
  <c r="DA19" i="197"/>
  <c r="CZ19" i="197"/>
  <c r="CY19" i="197"/>
  <c r="CX19" i="197"/>
  <c r="CW19" i="197"/>
  <c r="CV19" i="197"/>
  <c r="CU19" i="197"/>
  <c r="EY19" i="197" s="1"/>
  <c r="CQ19" i="197"/>
  <c r="CP19" i="197"/>
  <c r="CO19" i="197"/>
  <c r="CN19" i="197"/>
  <c r="CM19" i="197"/>
  <c r="CL19" i="197"/>
  <c r="CK19" i="197"/>
  <c r="CD19" i="197"/>
  <c r="AX19" i="197"/>
  <c r="AW19" i="197"/>
  <c r="AV19" i="197"/>
  <c r="AK19" i="197" s="1"/>
  <c r="AH19" i="197"/>
  <c r="AG19" i="197"/>
  <c r="AF19" i="197"/>
  <c r="AE19" i="197"/>
  <c r="GL18" i="197"/>
  <c r="GK18" i="197"/>
  <c r="GM18" i="197" s="1"/>
  <c r="GF18" i="197"/>
  <c r="FU18" i="197"/>
  <c r="FT18" i="197"/>
  <c r="FN18" i="197"/>
  <c r="FM18" i="197"/>
  <c r="FI18" i="197"/>
  <c r="FH18" i="197"/>
  <c r="FD18" i="197"/>
  <c r="FC18" i="197"/>
  <c r="FA18" i="197"/>
  <c r="EZ18" i="197"/>
  <c r="EX18" i="197"/>
  <c r="EE18" i="197"/>
  <c r="EC18" i="197"/>
  <c r="EB18" i="197"/>
  <c r="EA18" i="197"/>
  <c r="DZ18" i="197"/>
  <c r="DY18" i="197"/>
  <c r="FP18" i="197" s="1"/>
  <c r="DX18" i="197"/>
  <c r="H18" i="197" s="1"/>
  <c r="DW18" i="197"/>
  <c r="DS18" i="197"/>
  <c r="DP18" i="197"/>
  <c r="DO18" i="197"/>
  <c r="DN18" i="197"/>
  <c r="DM18" i="197"/>
  <c r="DL18" i="197"/>
  <c r="DK18" i="197"/>
  <c r="EL18" i="197" s="1"/>
  <c r="DJ18" i="197"/>
  <c r="DI18" i="197"/>
  <c r="DH18" i="197"/>
  <c r="FV18" i="197" s="1"/>
  <c r="DG18" i="197"/>
  <c r="DF18" i="197"/>
  <c r="ED18" i="197" s="1"/>
  <c r="DE18" i="197"/>
  <c r="FR18" i="197" s="1"/>
  <c r="DD18" i="197"/>
  <c r="DC18" i="197"/>
  <c r="DB18" i="197"/>
  <c r="DA18" i="197"/>
  <c r="CZ18" i="197"/>
  <c r="CY18" i="197"/>
  <c r="CX18" i="197"/>
  <c r="CW18" i="197"/>
  <c r="CV18" i="197"/>
  <c r="DV18" i="197" s="1"/>
  <c r="CU18" i="197"/>
  <c r="CQ18" i="197"/>
  <c r="CP18" i="197"/>
  <c r="CK18" i="197" s="1"/>
  <c r="CO18" i="197"/>
  <c r="CN18" i="197"/>
  <c r="CM18" i="197"/>
  <c r="CL18" i="197"/>
  <c r="AX18" i="197"/>
  <c r="AW18" i="197"/>
  <c r="AV18" i="197"/>
  <c r="AH18" i="197"/>
  <c r="AG18" i="197"/>
  <c r="AF18" i="197"/>
  <c r="AE18" i="197"/>
  <c r="G18" i="197"/>
  <c r="GL17" i="197"/>
  <c r="GK17" i="197"/>
  <c r="GM17" i="197" s="1"/>
  <c r="GF17" i="197"/>
  <c r="FV17" i="197"/>
  <c r="FS17" i="197"/>
  <c r="FO17" i="197"/>
  <c r="FE17" i="197"/>
  <c r="FF17" i="197" s="1"/>
  <c r="FG17" i="197" s="1"/>
  <c r="Y17" i="197" s="1"/>
  <c r="FD17" i="197"/>
  <c r="FC17" i="197"/>
  <c r="EL17" i="197" s="1"/>
  <c r="EN17" i="197" s="1"/>
  <c r="FA17" i="197"/>
  <c r="EZ17" i="197"/>
  <c r="EY17" i="197"/>
  <c r="EX17" i="197"/>
  <c r="ED17" i="197"/>
  <c r="DZ17" i="197"/>
  <c r="DY17" i="197"/>
  <c r="DX17" i="197"/>
  <c r="DW17" i="197"/>
  <c r="DV17" i="197"/>
  <c r="DS17" i="197"/>
  <c r="DP17" i="197"/>
  <c r="DO17" i="197"/>
  <c r="DN17" i="197"/>
  <c r="FI17" i="197" s="1"/>
  <c r="DM17" i="197"/>
  <c r="DL17" i="197"/>
  <c r="DK17" i="197"/>
  <c r="DJ17" i="197"/>
  <c r="DI17" i="197"/>
  <c r="DH17" i="197"/>
  <c r="FM17" i="197" s="1"/>
  <c r="DG17" i="197"/>
  <c r="DF17" i="197"/>
  <c r="DE17" i="197"/>
  <c r="FR17" i="197" s="1"/>
  <c r="DD17" i="197"/>
  <c r="DC17" i="197"/>
  <c r="DT17" i="197" s="1"/>
  <c r="DB17" i="197"/>
  <c r="DA17" i="197"/>
  <c r="EE17" i="197" s="1"/>
  <c r="EF17" i="197" s="1"/>
  <c r="CZ17" i="197"/>
  <c r="CY17" i="197"/>
  <c r="CX17" i="197"/>
  <c r="FH17" i="197" s="1"/>
  <c r="CW17" i="197"/>
  <c r="CV17" i="197"/>
  <c r="DU17" i="197" s="1"/>
  <c r="CU17" i="197"/>
  <c r="FQ17" i="197" s="1"/>
  <c r="CQ17" i="197"/>
  <c r="CP17" i="197"/>
  <c r="CK17" i="197" s="1"/>
  <c r="CO17" i="197"/>
  <c r="CN17" i="197"/>
  <c r="CM17" i="197"/>
  <c r="CL17" i="197"/>
  <c r="AX17" i="197"/>
  <c r="AW17" i="197"/>
  <c r="AV17" i="197"/>
  <c r="AH17" i="197"/>
  <c r="AG17" i="197"/>
  <c r="AF17" i="197"/>
  <c r="AE17" i="197"/>
  <c r="H17" i="197"/>
  <c r="GL16" i="197"/>
  <c r="GK16" i="197"/>
  <c r="GF16" i="197"/>
  <c r="FV16" i="197"/>
  <c r="FU16" i="197"/>
  <c r="FS16" i="197"/>
  <c r="FP16" i="197"/>
  <c r="FN16" i="197"/>
  <c r="FI16" i="197"/>
  <c r="FJ16" i="197" s="1"/>
  <c r="FK16" i="197" s="1"/>
  <c r="FL16" i="197" s="1"/>
  <c r="Z16" i="197" s="1"/>
  <c r="FH16" i="197"/>
  <c r="FE16" i="197"/>
  <c r="FF16" i="197" s="1"/>
  <c r="FG16" i="197" s="1"/>
  <c r="Y16" i="197" s="1"/>
  <c r="FC16" i="197"/>
  <c r="FA16" i="197"/>
  <c r="EZ16" i="197"/>
  <c r="EC16" i="197"/>
  <c r="EB16" i="197"/>
  <c r="EA16" i="197"/>
  <c r="DY16" i="197"/>
  <c r="DZ16" i="197" s="1"/>
  <c r="DS16" i="197"/>
  <c r="DO16" i="197"/>
  <c r="DN16" i="197"/>
  <c r="DM16" i="197"/>
  <c r="DL16" i="197"/>
  <c r="DK16" i="197"/>
  <c r="EL16" i="197" s="1"/>
  <c r="DJ16" i="197"/>
  <c r="DI16" i="197"/>
  <c r="DH16" i="197"/>
  <c r="FM16" i="197" s="1"/>
  <c r="DG16" i="197"/>
  <c r="DF16" i="197"/>
  <c r="ED16" i="197" s="1"/>
  <c r="DE16" i="197"/>
  <c r="FR16" i="197" s="1"/>
  <c r="DD16" i="197"/>
  <c r="FD16" i="197" s="1"/>
  <c r="DC16" i="197"/>
  <c r="DB16" i="197"/>
  <c r="DA16" i="197"/>
  <c r="CZ16" i="197"/>
  <c r="CY16" i="197"/>
  <c r="CX16" i="197"/>
  <c r="CW16" i="197"/>
  <c r="CV16" i="197"/>
  <c r="CU16" i="197"/>
  <c r="CQ16" i="197"/>
  <c r="CP16" i="197"/>
  <c r="CO16" i="197"/>
  <c r="CN16" i="197"/>
  <c r="CM16" i="197"/>
  <c r="CL16" i="197"/>
  <c r="CK16" i="197"/>
  <c r="CD16" i="197"/>
  <c r="AX16" i="197"/>
  <c r="AW16" i="197"/>
  <c r="AV16" i="197"/>
  <c r="AH16" i="197"/>
  <c r="AG16" i="197"/>
  <c r="AF16" i="197"/>
  <c r="AE16" i="197"/>
  <c r="ID14" i="197"/>
  <c r="IC14" i="197"/>
  <c r="IB14" i="197"/>
  <c r="IA14" i="197"/>
  <c r="HZ14" i="197"/>
  <c r="HT14" i="197"/>
  <c r="HS14" i="197"/>
  <c r="HR14" i="197"/>
  <c r="HN14" i="197"/>
  <c r="HM14" i="197"/>
  <c r="HL14" i="197"/>
  <c r="HF14" i="197"/>
  <c r="HD14" i="197"/>
  <c r="AA12" i="197"/>
  <c r="AB12" i="197" s="1"/>
  <c r="HC11" i="197"/>
  <c r="HD11" i="197" s="1"/>
  <c r="HE11" i="197" s="1"/>
  <c r="HF11" i="197" s="1"/>
  <c r="HG11" i="197" s="1"/>
  <c r="HH11" i="197" s="1"/>
  <c r="HI11" i="197" s="1"/>
  <c r="HJ11" i="197" s="1"/>
  <c r="HK11" i="197" s="1"/>
  <c r="HL11" i="197" s="1"/>
  <c r="HM11" i="197" s="1"/>
  <c r="HN11" i="197" s="1"/>
  <c r="HO11" i="197" s="1"/>
  <c r="HP11" i="197" s="1"/>
  <c r="HQ11" i="197" s="1"/>
  <c r="HR11" i="197" s="1"/>
  <c r="HS11" i="197" s="1"/>
  <c r="HT11" i="197" s="1"/>
  <c r="HU11" i="197" s="1"/>
  <c r="HV11" i="197" s="1"/>
  <c r="HW11" i="197" s="1"/>
  <c r="HX11" i="197" s="1"/>
  <c r="HY11" i="197" s="1"/>
  <c r="HZ11" i="197" s="1"/>
  <c r="IA11" i="197" s="1"/>
  <c r="IB11" i="197" s="1"/>
  <c r="IC11" i="197" s="1"/>
  <c r="ID11" i="197" s="1"/>
  <c r="IE11" i="197" s="1"/>
  <c r="IF11" i="197" s="1"/>
  <c r="HB11" i="197"/>
  <c r="Z10" i="197"/>
  <c r="S10" i="197"/>
  <c r="C10" i="197"/>
  <c r="DN9" i="197"/>
  <c r="DM9" i="197"/>
  <c r="DL9" i="197"/>
  <c r="DK9" i="197"/>
  <c r="DJ9" i="197"/>
  <c r="DI9" i="197"/>
  <c r="DH9" i="197"/>
  <c r="DG9" i="197"/>
  <c r="S9" i="197"/>
  <c r="C9" i="197"/>
  <c r="DN8" i="197"/>
  <c r="DM8" i="197"/>
  <c r="DL8" i="197"/>
  <c r="DK8" i="197"/>
  <c r="DJ8" i="197"/>
  <c r="DI8" i="197"/>
  <c r="DH8" i="197"/>
  <c r="DG8" i="197"/>
  <c r="DN7" i="197"/>
  <c r="DM7" i="197"/>
  <c r="DL7" i="197"/>
  <c r="DK7" i="197"/>
  <c r="DJ7" i="197"/>
  <c r="DI7" i="197"/>
  <c r="DH7" i="197"/>
  <c r="DG7" i="197"/>
  <c r="DN6" i="197"/>
  <c r="DM6" i="197"/>
  <c r="DL6" i="197"/>
  <c r="DK6" i="197"/>
  <c r="DJ6" i="197"/>
  <c r="DI6" i="197"/>
  <c r="DH6" i="197"/>
  <c r="DG6" i="197"/>
  <c r="DC6" i="197"/>
  <c r="DB6" i="197"/>
  <c r="DA6" i="197"/>
  <c r="CZ6" i="197"/>
  <c r="CY6" i="197"/>
  <c r="CX6" i="197"/>
  <c r="CW6" i="197"/>
  <c r="CV6" i="197"/>
  <c r="Y6" i="197"/>
  <c r="M6" i="197"/>
  <c r="DN5" i="197"/>
  <c r="DM5" i="197"/>
  <c r="DL5" i="197"/>
  <c r="DK5" i="197"/>
  <c r="DJ5" i="197"/>
  <c r="DI5" i="197"/>
  <c r="DH5" i="197"/>
  <c r="DG5" i="197"/>
  <c r="DC5" i="197"/>
  <c r="DB5" i="197"/>
  <c r="AL52" i="197" s="1"/>
  <c r="DA5" i="197"/>
  <c r="CZ5" i="197"/>
  <c r="CY5" i="197"/>
  <c r="CX5" i="197"/>
  <c r="AM52" i="197" s="1"/>
  <c r="CW5" i="197"/>
  <c r="CV5" i="197"/>
  <c r="DN4" i="197"/>
  <c r="DM4" i="197"/>
  <c r="DL4" i="197"/>
  <c r="DK4" i="197"/>
  <c r="DJ4" i="197"/>
  <c r="DI4" i="197"/>
  <c r="DH4" i="197"/>
  <c r="DG4" i="197"/>
  <c r="DC4" i="197"/>
  <c r="DB4" i="197"/>
  <c r="DA4" i="197"/>
  <c r="CZ4" i="197"/>
  <c r="CY4" i="197"/>
  <c r="CX4" i="197"/>
  <c r="CW4" i="197"/>
  <c r="CV4" i="197"/>
  <c r="DN3" i="197"/>
  <c r="DM3" i="197"/>
  <c r="DL3" i="197"/>
  <c r="DK3" i="197"/>
  <c r="DJ3" i="197"/>
  <c r="DI3" i="197"/>
  <c r="DH3" i="197"/>
  <c r="DG3" i="197"/>
  <c r="DN2" i="197"/>
  <c r="DM2" i="197"/>
  <c r="DL2" i="197"/>
  <c r="DK2" i="197"/>
  <c r="DJ2" i="197"/>
  <c r="DI2" i="197"/>
  <c r="DH2" i="197"/>
  <c r="DG2" i="197"/>
  <c r="DD2" i="197"/>
  <c r="DB2" i="197"/>
  <c r="CZ2" i="197"/>
  <c r="CX2" i="197"/>
  <c r="HA1" i="197"/>
  <c r="DQ1" i="197"/>
  <c r="DD1" i="197"/>
  <c r="DT42" i="197" s="1"/>
  <c r="CX1" i="197"/>
  <c r="CY1" i="197" s="1"/>
  <c r="AE1" i="197"/>
  <c r="AD1" i="197"/>
  <c r="FT69" i="196"/>
  <c r="FS69" i="196"/>
  <c r="FC69" i="196"/>
  <c r="EL69" i="196" s="1"/>
  <c r="EN69" i="196" s="1"/>
  <c r="EP69" i="196" s="1"/>
  <c r="FB69" i="196"/>
  <c r="FA69" i="196"/>
  <c r="EZ69" i="196"/>
  <c r="EE69" i="196" s="1"/>
  <c r="EW69" i="196"/>
  <c r="EU69" i="196"/>
  <c r="ET69" i="196"/>
  <c r="ES69" i="196"/>
  <c r="ER69" i="196"/>
  <c r="EM69" i="196"/>
  <c r="ED69" i="196"/>
  <c r="DY69" i="196"/>
  <c r="DW69" i="196"/>
  <c r="DS69" i="196"/>
  <c r="DR69" i="196"/>
  <c r="DQ69" i="196"/>
  <c r="DN69" i="196"/>
  <c r="FI69" i="196" s="1"/>
  <c r="DM69" i="196"/>
  <c r="DZ69" i="196" s="1"/>
  <c r="DL69" i="196"/>
  <c r="DK69" i="196"/>
  <c r="DJ69" i="196"/>
  <c r="DI69" i="196"/>
  <c r="DH69" i="196"/>
  <c r="FV69" i="196" s="1"/>
  <c r="CC69" i="196" s="1"/>
  <c r="DG69" i="196"/>
  <c r="DF69" i="196"/>
  <c r="EA69" i="196" s="1"/>
  <c r="DE69" i="196"/>
  <c r="FR69" i="196" s="1"/>
  <c r="DD69" i="196"/>
  <c r="FD69" i="196" s="1"/>
  <c r="DC69" i="196"/>
  <c r="DB69" i="196"/>
  <c r="DA69" i="196"/>
  <c r="CZ69" i="196"/>
  <c r="CY69" i="196"/>
  <c r="CX69" i="196"/>
  <c r="FU69" i="196" s="1"/>
  <c r="CB69" i="196" s="1"/>
  <c r="CW69" i="196"/>
  <c r="CV69" i="196"/>
  <c r="CU69" i="196"/>
  <c r="CC68" i="196"/>
  <c r="CB68" i="196"/>
  <c r="GD57" i="196"/>
  <c r="AA57" i="196"/>
  <c r="Z57" i="196"/>
  <c r="Y57" i="196"/>
  <c r="X57" i="196"/>
  <c r="W57" i="196"/>
  <c r="V57" i="196"/>
  <c r="U57" i="196"/>
  <c r="T57" i="196"/>
  <c r="S57" i="196"/>
  <c r="R57" i="196"/>
  <c r="Q57" i="196"/>
  <c r="P57" i="196"/>
  <c r="O57" i="196"/>
  <c r="N57" i="196"/>
  <c r="M57" i="196"/>
  <c r="L57" i="196"/>
  <c r="K57" i="196"/>
  <c r="J57" i="196"/>
  <c r="I57" i="196"/>
  <c r="H57" i="196"/>
  <c r="G57" i="196"/>
  <c r="F57" i="196"/>
  <c r="E57" i="196"/>
  <c r="D57" i="196"/>
  <c r="C57" i="196"/>
  <c r="B57" i="196"/>
  <c r="A57" i="196"/>
  <c r="GF57" i="196" s="1"/>
  <c r="GF40" i="196"/>
  <c r="GE40" i="196"/>
  <c r="GA40" i="196"/>
  <c r="FT40" i="196"/>
  <c r="FS40" i="196"/>
  <c r="FN40" i="196"/>
  <c r="FD40" i="196"/>
  <c r="FE40" i="196" s="1"/>
  <c r="FF40" i="196" s="1"/>
  <c r="FG40" i="196" s="1"/>
  <c r="Y40" i="196" s="1"/>
  <c r="FC40" i="196"/>
  <c r="EL40" i="196" s="1"/>
  <c r="EM40" i="196" s="1"/>
  <c r="EQ40" i="196" s="1"/>
  <c r="FA40" i="196"/>
  <c r="EZ40" i="196"/>
  <c r="EY40" i="196"/>
  <c r="EX40" i="196"/>
  <c r="EN40" i="196"/>
  <c r="EE40" i="196"/>
  <c r="ED40" i="196"/>
  <c r="DZ40" i="196"/>
  <c r="DY40" i="196"/>
  <c r="DX40" i="196"/>
  <c r="DW40" i="196"/>
  <c r="FO40" i="196" s="1"/>
  <c r="DV40" i="196"/>
  <c r="DS40" i="196"/>
  <c r="DP40" i="196"/>
  <c r="E40" i="196" s="1"/>
  <c r="DO40" i="196"/>
  <c r="DN40" i="196"/>
  <c r="FI40" i="196" s="1"/>
  <c r="DM40" i="196"/>
  <c r="DL40" i="196"/>
  <c r="DK40" i="196"/>
  <c r="DJ40" i="196"/>
  <c r="DI40" i="196"/>
  <c r="DH40" i="196"/>
  <c r="FV40" i="196" s="1"/>
  <c r="DG40" i="196"/>
  <c r="DF40" i="196"/>
  <c r="DE40" i="196"/>
  <c r="FR40" i="196" s="1"/>
  <c r="DD40" i="196"/>
  <c r="DC40" i="196"/>
  <c r="DB40" i="196"/>
  <c r="DA40" i="196"/>
  <c r="CZ40" i="196"/>
  <c r="CY40" i="196"/>
  <c r="CX40" i="196"/>
  <c r="FH40" i="196" s="1"/>
  <c r="CW40" i="196"/>
  <c r="CV40" i="196"/>
  <c r="DU40" i="196" s="1"/>
  <c r="CU40" i="196"/>
  <c r="FQ40" i="196" s="1"/>
  <c r="CQ40" i="196"/>
  <c r="CP40" i="196"/>
  <c r="CO40" i="196"/>
  <c r="CN40" i="196"/>
  <c r="CM40" i="196"/>
  <c r="CL40" i="196"/>
  <c r="CK40" i="196"/>
  <c r="AX40" i="196"/>
  <c r="AF40" i="196"/>
  <c r="AE40" i="196"/>
  <c r="J40" i="196"/>
  <c r="F40" i="196"/>
  <c r="D40" i="196"/>
  <c r="GK40" i="196" s="1"/>
  <c r="C40" i="196"/>
  <c r="A40" i="196"/>
  <c r="GF39" i="196"/>
  <c r="GC39" i="196"/>
  <c r="FU39" i="196"/>
  <c r="FT39" i="196"/>
  <c r="FJ39" i="196"/>
  <c r="FK39" i="196" s="1"/>
  <c r="FL39" i="196" s="1"/>
  <c r="Z39" i="196" s="1"/>
  <c r="FI39" i="196"/>
  <c r="FC39" i="196"/>
  <c r="FB39" i="196"/>
  <c r="FA39" i="196"/>
  <c r="EZ39" i="196"/>
  <c r="EY39" i="196"/>
  <c r="EX39" i="196"/>
  <c r="EL39" i="196"/>
  <c r="EN39" i="196" s="1"/>
  <c r="EF39" i="196"/>
  <c r="EE39" i="196"/>
  <c r="EG39" i="196" s="1"/>
  <c r="ED39" i="196"/>
  <c r="EC39" i="196"/>
  <c r="EB39" i="196"/>
  <c r="DY39" i="196"/>
  <c r="DV39" i="196"/>
  <c r="DS39" i="196"/>
  <c r="DP39" i="196"/>
  <c r="DO39" i="196"/>
  <c r="DN39" i="196"/>
  <c r="DM39" i="196"/>
  <c r="DL39" i="196"/>
  <c r="DK39" i="196"/>
  <c r="DJ39" i="196"/>
  <c r="DI39" i="196"/>
  <c r="DH39" i="196"/>
  <c r="DG39" i="196"/>
  <c r="DF39" i="196"/>
  <c r="EA39" i="196" s="1"/>
  <c r="DE39" i="196"/>
  <c r="FR39" i="196" s="1"/>
  <c r="DD39" i="196"/>
  <c r="FD39" i="196" s="1"/>
  <c r="DC39" i="196"/>
  <c r="DB39" i="196"/>
  <c r="DA39" i="196"/>
  <c r="CZ39" i="196"/>
  <c r="CY39" i="196"/>
  <c r="CX39" i="196"/>
  <c r="FH39" i="196" s="1"/>
  <c r="CW39" i="196"/>
  <c r="CV39" i="196"/>
  <c r="CU39" i="196"/>
  <c r="CQ39" i="196"/>
  <c r="CP39" i="196"/>
  <c r="CK39" i="196" s="1"/>
  <c r="CO39" i="196"/>
  <c r="CN39" i="196"/>
  <c r="CM39" i="196"/>
  <c r="CL39" i="196"/>
  <c r="CE39" i="196"/>
  <c r="CD39" i="196"/>
  <c r="AV39" i="196"/>
  <c r="AD39" i="196"/>
  <c r="K39" i="196"/>
  <c r="J39" i="196"/>
  <c r="I39" i="196"/>
  <c r="C39" i="196"/>
  <c r="A39" i="196"/>
  <c r="AX39" i="196" s="1"/>
  <c r="GM38" i="196"/>
  <c r="GL38" i="196"/>
  <c r="GK38" i="196"/>
  <c r="GF38" i="196"/>
  <c r="FS38" i="196"/>
  <c r="FN38" i="196"/>
  <c r="FM38" i="196"/>
  <c r="FL38" i="196"/>
  <c r="Z38" i="196" s="1"/>
  <c r="FF38" i="196"/>
  <c r="FG38" i="196" s="1"/>
  <c r="FD38" i="196"/>
  <c r="FE38" i="196" s="1"/>
  <c r="FC38" i="196"/>
  <c r="EL38" i="196" s="1"/>
  <c r="EM38" i="196" s="1"/>
  <c r="FB38" i="196"/>
  <c r="EZ38" i="196"/>
  <c r="EY38" i="196"/>
  <c r="EX38" i="196"/>
  <c r="EN38" i="196"/>
  <c r="ED38" i="196"/>
  <c r="EC38" i="196"/>
  <c r="DY38" i="196"/>
  <c r="DX38" i="196"/>
  <c r="H38" i="196" s="1"/>
  <c r="DW38" i="196"/>
  <c r="FO38" i="196" s="1"/>
  <c r="DV38" i="196"/>
  <c r="DU38" i="196"/>
  <c r="DS38" i="196"/>
  <c r="DP38" i="196"/>
  <c r="DO38" i="196"/>
  <c r="DN38" i="196"/>
  <c r="FI38" i="196" s="1"/>
  <c r="FJ38" i="196" s="1"/>
  <c r="FK38" i="196" s="1"/>
  <c r="DM38" i="196"/>
  <c r="DL38" i="196"/>
  <c r="DK38" i="196"/>
  <c r="DJ38" i="196"/>
  <c r="DI38" i="196"/>
  <c r="DH38" i="196"/>
  <c r="FV38" i="196" s="1"/>
  <c r="DG38" i="196"/>
  <c r="DF38" i="196"/>
  <c r="DE38" i="196"/>
  <c r="DD38" i="196"/>
  <c r="DC38" i="196"/>
  <c r="DB38" i="196"/>
  <c r="DA38" i="196"/>
  <c r="EE38" i="196" s="1"/>
  <c r="CZ38" i="196"/>
  <c r="CY38" i="196"/>
  <c r="CX38" i="196"/>
  <c r="FH38" i="196" s="1"/>
  <c r="CW38" i="196"/>
  <c r="CV38" i="196"/>
  <c r="CU38" i="196"/>
  <c r="FQ38" i="196" s="1"/>
  <c r="CQ38" i="196"/>
  <c r="CP38" i="196"/>
  <c r="CO38" i="196"/>
  <c r="CN38" i="196"/>
  <c r="CM38" i="196"/>
  <c r="CL38" i="196"/>
  <c r="CD38" i="196"/>
  <c r="AX38" i="196"/>
  <c r="AW38" i="196"/>
  <c r="AK38" i="196" s="1"/>
  <c r="AV38" i="196"/>
  <c r="AO38" i="196"/>
  <c r="AL38" i="196"/>
  <c r="AH38" i="196"/>
  <c r="AG38" i="196"/>
  <c r="AF38" i="196"/>
  <c r="AE38" i="196"/>
  <c r="Y38" i="196"/>
  <c r="G38" i="196"/>
  <c r="F38" i="196"/>
  <c r="GL37" i="196"/>
  <c r="GM37" i="196" s="1"/>
  <c r="GK37" i="196"/>
  <c r="GF37" i="196"/>
  <c r="FU37" i="196"/>
  <c r="FT37" i="196"/>
  <c r="FS37" i="196"/>
  <c r="FR37" i="196"/>
  <c r="FD37" i="196"/>
  <c r="FE37" i="196" s="1"/>
  <c r="FF37" i="196" s="1"/>
  <c r="FG37" i="196" s="1"/>
  <c r="Y37" i="196" s="1"/>
  <c r="FC37" i="196"/>
  <c r="EL37" i="196" s="1"/>
  <c r="FA37" i="196"/>
  <c r="EZ37" i="196"/>
  <c r="EY37" i="196"/>
  <c r="EX37" i="196"/>
  <c r="EN37" i="196"/>
  <c r="EM37" i="196"/>
  <c r="EE37" i="196"/>
  <c r="EG37" i="196" s="1"/>
  <c r="ED37" i="196"/>
  <c r="EC37" i="196"/>
  <c r="EB37" i="196"/>
  <c r="DY37" i="196"/>
  <c r="DW37" i="196"/>
  <c r="DU37" i="196"/>
  <c r="DT37" i="196"/>
  <c r="DS37" i="196"/>
  <c r="DP37" i="196"/>
  <c r="DO37" i="196"/>
  <c r="DN37" i="196"/>
  <c r="FI37" i="196" s="1"/>
  <c r="FJ37" i="196" s="1"/>
  <c r="FK37" i="196" s="1"/>
  <c r="FL37" i="196" s="1"/>
  <c r="Z37" i="196" s="1"/>
  <c r="DM37" i="196"/>
  <c r="DL37" i="196"/>
  <c r="DK37" i="196"/>
  <c r="DJ37" i="196"/>
  <c r="DI37" i="196"/>
  <c r="DH37" i="196"/>
  <c r="DG37" i="196"/>
  <c r="DF37" i="196"/>
  <c r="EA37" i="196" s="1"/>
  <c r="DE37" i="196"/>
  <c r="FB37" i="196" s="1"/>
  <c r="DD37" i="196"/>
  <c r="DC37" i="196"/>
  <c r="DB37" i="196"/>
  <c r="DA37" i="196"/>
  <c r="CZ37" i="196"/>
  <c r="CY37" i="196"/>
  <c r="CX37" i="196"/>
  <c r="FH37" i="196" s="1"/>
  <c r="CW37" i="196"/>
  <c r="CV37" i="196"/>
  <c r="CU37" i="196"/>
  <c r="CQ37" i="196"/>
  <c r="CP37" i="196"/>
  <c r="CK37" i="196" s="1"/>
  <c r="CO37" i="196"/>
  <c r="CN37" i="196"/>
  <c r="CM37" i="196"/>
  <c r="CL37" i="196"/>
  <c r="CE37" i="196"/>
  <c r="CD37" i="196"/>
  <c r="AX37" i="196"/>
  <c r="AW37" i="196"/>
  <c r="AV37" i="196"/>
  <c r="AN37" i="196"/>
  <c r="AK37" i="196"/>
  <c r="AH37" i="196"/>
  <c r="AG37" i="196"/>
  <c r="AF37" i="196"/>
  <c r="AE37" i="196"/>
  <c r="GL36" i="196"/>
  <c r="GK36" i="196"/>
  <c r="GM36" i="196" s="1"/>
  <c r="GF36" i="196"/>
  <c r="FT36" i="196"/>
  <c r="FI36" i="196"/>
  <c r="FJ36" i="196" s="1"/>
  <c r="FK36" i="196" s="1"/>
  <c r="FL36" i="196" s="1"/>
  <c r="Z36" i="196" s="1"/>
  <c r="FC36" i="196"/>
  <c r="EZ36" i="196"/>
  <c r="EE36" i="196" s="1"/>
  <c r="EC36" i="196"/>
  <c r="DY36" i="196"/>
  <c r="DS36" i="196"/>
  <c r="DO36" i="196"/>
  <c r="DN36" i="196"/>
  <c r="DM36" i="196"/>
  <c r="DL36" i="196"/>
  <c r="DK36" i="196"/>
  <c r="DJ36" i="196"/>
  <c r="DI36" i="196"/>
  <c r="DH36" i="196"/>
  <c r="FV36" i="196" s="1"/>
  <c r="DG36" i="196"/>
  <c r="DF36" i="196"/>
  <c r="ED36" i="196" s="1"/>
  <c r="DE36" i="196"/>
  <c r="DD36" i="196"/>
  <c r="FD36" i="196" s="1"/>
  <c r="DC36" i="196"/>
  <c r="DB36" i="196"/>
  <c r="DA36" i="196"/>
  <c r="CZ36" i="196"/>
  <c r="CY36" i="196"/>
  <c r="FS36" i="196" s="1"/>
  <c r="CX36" i="196"/>
  <c r="FU36" i="196" s="1"/>
  <c r="CW36" i="196"/>
  <c r="CV36" i="196"/>
  <c r="CU36" i="196"/>
  <c r="CQ36" i="196"/>
  <c r="CP36" i="196"/>
  <c r="CK36" i="196" s="1"/>
  <c r="CO36" i="196"/>
  <c r="CN36" i="196"/>
  <c r="CM36" i="196"/>
  <c r="CL36" i="196"/>
  <c r="CE36" i="196"/>
  <c r="AY36" i="196"/>
  <c r="AX36" i="196"/>
  <c r="AW36" i="196"/>
  <c r="AV36" i="196"/>
  <c r="AK36" i="196"/>
  <c r="AH36" i="196"/>
  <c r="AG36" i="196"/>
  <c r="AF36" i="196"/>
  <c r="AE36" i="196"/>
  <c r="GM35" i="196"/>
  <c r="GL35" i="196"/>
  <c r="GK35" i="196"/>
  <c r="GF35" i="196"/>
  <c r="FT35" i="196"/>
  <c r="FS35" i="196"/>
  <c r="FR35" i="196"/>
  <c r="FP35" i="196"/>
  <c r="FI35" i="196"/>
  <c r="FJ35" i="196" s="1"/>
  <c r="FK35" i="196" s="1"/>
  <c r="FL35" i="196" s="1"/>
  <c r="Z35" i="196" s="1"/>
  <c r="FH35" i="196"/>
  <c r="FC35" i="196"/>
  <c r="EL35" i="196" s="1"/>
  <c r="FB35" i="196"/>
  <c r="FA35" i="196"/>
  <c r="EZ35" i="196"/>
  <c r="EE35" i="196" s="1"/>
  <c r="ED35" i="196"/>
  <c r="EC35" i="196"/>
  <c r="EB35" i="196"/>
  <c r="EA35" i="196"/>
  <c r="DY35" i="196"/>
  <c r="DS35" i="196"/>
  <c r="DO35" i="196"/>
  <c r="DN35" i="196"/>
  <c r="DM35" i="196"/>
  <c r="DZ35" i="196" s="1"/>
  <c r="DL35" i="196"/>
  <c r="DK35" i="196"/>
  <c r="DJ35" i="196"/>
  <c r="DI35" i="196"/>
  <c r="DH35" i="196"/>
  <c r="FV35" i="196" s="1"/>
  <c r="DG35" i="196"/>
  <c r="DF35" i="196"/>
  <c r="DE35" i="196"/>
  <c r="DD35" i="196"/>
  <c r="FD35" i="196" s="1"/>
  <c r="DC35" i="196"/>
  <c r="DB35" i="196"/>
  <c r="DA35" i="196"/>
  <c r="CZ35" i="196"/>
  <c r="CY35" i="196"/>
  <c r="CX35" i="196"/>
  <c r="FU35" i="196" s="1"/>
  <c r="CW35" i="196"/>
  <c r="CV35" i="196"/>
  <c r="DV35" i="196" s="1"/>
  <c r="CU35" i="196"/>
  <c r="EX35" i="196" s="1"/>
  <c r="CQ35" i="196"/>
  <c r="CP35" i="196"/>
  <c r="CO35" i="196"/>
  <c r="CN35" i="196"/>
  <c r="CM35" i="196"/>
  <c r="CL35" i="196"/>
  <c r="CK35" i="196"/>
  <c r="CE35" i="196"/>
  <c r="CD35" i="196"/>
  <c r="AY35" i="196"/>
  <c r="AX35" i="196"/>
  <c r="AW35" i="196"/>
  <c r="AV35" i="196"/>
  <c r="AQ35" i="196"/>
  <c r="AK35" i="196"/>
  <c r="AJ35" i="196"/>
  <c r="AU35" i="196" s="1"/>
  <c r="DR35" i="196" s="1"/>
  <c r="AH35" i="196"/>
  <c r="AG35" i="196"/>
  <c r="AF35" i="196"/>
  <c r="AE35" i="196"/>
  <c r="GL34" i="196"/>
  <c r="GK34" i="196"/>
  <c r="GF34" i="196"/>
  <c r="FV34" i="196"/>
  <c r="FS34" i="196"/>
  <c r="FI34" i="196"/>
  <c r="FJ34" i="196" s="1"/>
  <c r="FK34" i="196" s="1"/>
  <c r="FL34" i="196" s="1"/>
  <c r="Z34" i="196" s="1"/>
  <c r="FH34" i="196"/>
  <c r="FC34" i="196"/>
  <c r="EZ34" i="196"/>
  <c r="EE34" i="196" s="1"/>
  <c r="EF34" i="196" s="1"/>
  <c r="EY34" i="196"/>
  <c r="EX34" i="196"/>
  <c r="EJ34" i="196"/>
  <c r="EC34" i="196"/>
  <c r="EB34" i="196"/>
  <c r="EA34" i="196"/>
  <c r="DY34" i="196"/>
  <c r="DS34" i="196"/>
  <c r="DO34" i="196"/>
  <c r="DN34" i="196"/>
  <c r="DM34" i="196"/>
  <c r="DL34" i="196"/>
  <c r="DK34" i="196"/>
  <c r="EL34" i="196" s="1"/>
  <c r="DJ34" i="196"/>
  <c r="DI34" i="196"/>
  <c r="DH34" i="196"/>
  <c r="FM34" i="196" s="1"/>
  <c r="DG34" i="196"/>
  <c r="DF34" i="196"/>
  <c r="ED34" i="196" s="1"/>
  <c r="DE34" i="196"/>
  <c r="DD34" i="196"/>
  <c r="FD34" i="196" s="1"/>
  <c r="DC34" i="196"/>
  <c r="DT34" i="196" s="1"/>
  <c r="DB34" i="196"/>
  <c r="DA34" i="196"/>
  <c r="CZ34" i="196"/>
  <c r="CY34" i="196"/>
  <c r="CX34" i="196"/>
  <c r="FU34" i="196" s="1"/>
  <c r="CW34" i="196"/>
  <c r="CV34" i="196"/>
  <c r="DU34" i="196" s="1"/>
  <c r="CU34" i="196"/>
  <c r="CQ34" i="196"/>
  <c r="CP34" i="196"/>
  <c r="CO34" i="196"/>
  <c r="CN34" i="196"/>
  <c r="CM34" i="196"/>
  <c r="CL34" i="196"/>
  <c r="CK34" i="196"/>
  <c r="CD34" i="196"/>
  <c r="AY34" i="196"/>
  <c r="AX34" i="196"/>
  <c r="AW34" i="196"/>
  <c r="AV34" i="196"/>
  <c r="AK34" i="196"/>
  <c r="AH34" i="196"/>
  <c r="AG34" i="196"/>
  <c r="AF34" i="196"/>
  <c r="AE34" i="196"/>
  <c r="K34" i="196"/>
  <c r="GL33" i="196"/>
  <c r="GK33" i="196"/>
  <c r="GM33" i="196" s="1"/>
  <c r="GF33" i="196"/>
  <c r="FU33" i="196"/>
  <c r="FS33" i="196"/>
  <c r="FP33" i="196"/>
  <c r="FN33" i="196"/>
  <c r="FI33" i="196"/>
  <c r="FJ33" i="196" s="1"/>
  <c r="FK33" i="196" s="1"/>
  <c r="FL33" i="196" s="1"/>
  <c r="Z33" i="196" s="1"/>
  <c r="FH33" i="196"/>
  <c r="FE33" i="196"/>
  <c r="FF33" i="196" s="1"/>
  <c r="FG33" i="196" s="1"/>
  <c r="Y33" i="196" s="1"/>
  <c r="FC33" i="196"/>
  <c r="FA33" i="196"/>
  <c r="EZ33" i="196"/>
  <c r="EN33" i="196"/>
  <c r="ER33" i="196" s="1"/>
  <c r="EC33" i="196"/>
  <c r="EB33" i="196"/>
  <c r="EA33" i="196"/>
  <c r="DY33" i="196"/>
  <c r="DX33" i="196"/>
  <c r="DS33" i="196"/>
  <c r="DP33" i="196"/>
  <c r="DO33" i="196"/>
  <c r="DN33" i="196"/>
  <c r="DM33" i="196"/>
  <c r="DL33" i="196"/>
  <c r="DK33" i="196"/>
  <c r="EL33" i="196" s="1"/>
  <c r="EM33" i="196" s="1"/>
  <c r="EQ33" i="196" s="1"/>
  <c r="DJ33" i="196"/>
  <c r="DI33" i="196"/>
  <c r="DH33" i="196"/>
  <c r="DG33" i="196"/>
  <c r="DF33" i="196"/>
  <c r="ED33" i="196" s="1"/>
  <c r="I33" i="196" s="1"/>
  <c r="DE33" i="196"/>
  <c r="FR33" i="196" s="1"/>
  <c r="DD33" i="196"/>
  <c r="FD33" i="196" s="1"/>
  <c r="DC33" i="196"/>
  <c r="DT33" i="196" s="1"/>
  <c r="DB33" i="196"/>
  <c r="DA33" i="196"/>
  <c r="CZ33" i="196"/>
  <c r="CY33" i="196"/>
  <c r="CX33" i="196"/>
  <c r="CW33" i="196"/>
  <c r="CV33" i="196"/>
  <c r="CU33" i="196"/>
  <c r="EY33" i="196" s="1"/>
  <c r="CQ33" i="196"/>
  <c r="CK33" i="196" s="1"/>
  <c r="CP33" i="196"/>
  <c r="CO33" i="196"/>
  <c r="CN33" i="196"/>
  <c r="CM33" i="196"/>
  <c r="CL33" i="196"/>
  <c r="CI33" i="196"/>
  <c r="CD33" i="196"/>
  <c r="AY33" i="196"/>
  <c r="AX33" i="196"/>
  <c r="AW33" i="196"/>
  <c r="AV33" i="196"/>
  <c r="AK33" i="196" s="1"/>
  <c r="AQ33" i="196"/>
  <c r="AN33" i="196"/>
  <c r="AH33" i="196"/>
  <c r="AG33" i="196"/>
  <c r="AF33" i="196"/>
  <c r="AE33" i="196"/>
  <c r="J33" i="196"/>
  <c r="GL32" i="196"/>
  <c r="GK32" i="196"/>
  <c r="GM32" i="196" s="1"/>
  <c r="GF32" i="196"/>
  <c r="FU32" i="196"/>
  <c r="FN32" i="196"/>
  <c r="FI32" i="196"/>
  <c r="FH32" i="196"/>
  <c r="FD32" i="196"/>
  <c r="FC32" i="196"/>
  <c r="FA32" i="196"/>
  <c r="EZ32" i="196"/>
  <c r="EY32" i="196"/>
  <c r="EX32" i="196"/>
  <c r="EN32" i="196"/>
  <c r="EM32" i="196"/>
  <c r="EC32" i="196"/>
  <c r="EB32" i="196"/>
  <c r="EA32" i="196"/>
  <c r="DZ32" i="196"/>
  <c r="DY32" i="196"/>
  <c r="FP32" i="196" s="1"/>
  <c r="DX32" i="196"/>
  <c r="DW32" i="196"/>
  <c r="DS32" i="196"/>
  <c r="DP32" i="196"/>
  <c r="DO32" i="196"/>
  <c r="DN32" i="196"/>
  <c r="DM32" i="196"/>
  <c r="DL32" i="196"/>
  <c r="DK32" i="196"/>
  <c r="EL32" i="196" s="1"/>
  <c r="DJ32" i="196"/>
  <c r="DI32" i="196"/>
  <c r="DH32" i="196"/>
  <c r="DG32" i="196"/>
  <c r="DF32" i="196"/>
  <c r="ED32" i="196" s="1"/>
  <c r="DE32" i="196"/>
  <c r="FR32" i="196" s="1"/>
  <c r="DD32" i="196"/>
  <c r="DC32" i="196"/>
  <c r="DB32" i="196"/>
  <c r="DA32" i="196"/>
  <c r="CZ32" i="196"/>
  <c r="CY32" i="196"/>
  <c r="CX32" i="196"/>
  <c r="CW32" i="196"/>
  <c r="CV32" i="196"/>
  <c r="DV32" i="196" s="1"/>
  <c r="CU32" i="196"/>
  <c r="FQ32" i="196" s="1"/>
  <c r="CQ32" i="196"/>
  <c r="CP32" i="196"/>
  <c r="CO32" i="196"/>
  <c r="CN32" i="196"/>
  <c r="CM32" i="196"/>
  <c r="CL32" i="196"/>
  <c r="AY32" i="196"/>
  <c r="AX32" i="196"/>
  <c r="AW32" i="196"/>
  <c r="AV32" i="196"/>
  <c r="AK32" i="196" s="1"/>
  <c r="AQ32" i="196"/>
  <c r="AO32" i="196"/>
  <c r="AH32" i="196"/>
  <c r="AG32" i="196"/>
  <c r="AF32" i="196"/>
  <c r="AE32" i="196"/>
  <c r="K32" i="196"/>
  <c r="J32" i="196"/>
  <c r="I32" i="196"/>
  <c r="GL31" i="196"/>
  <c r="GK31" i="196"/>
  <c r="GM31" i="196" s="1"/>
  <c r="GF31" i="196"/>
  <c r="FV31" i="196"/>
  <c r="FU31" i="196"/>
  <c r="FS31" i="196"/>
  <c r="FM31" i="196"/>
  <c r="FE31" i="196"/>
  <c r="FF31" i="196" s="1"/>
  <c r="FG31" i="196" s="1"/>
  <c r="Y31" i="196" s="1"/>
  <c r="FD31" i="196"/>
  <c r="FC31" i="196"/>
  <c r="FA31" i="196"/>
  <c r="EZ31" i="196"/>
  <c r="EY31" i="196"/>
  <c r="EX31" i="196"/>
  <c r="EL31" i="196"/>
  <c r="DY31" i="196"/>
  <c r="DX31" i="196"/>
  <c r="DW31" i="196"/>
  <c r="FO31" i="196" s="1"/>
  <c r="DV31" i="196"/>
  <c r="DS31" i="196"/>
  <c r="DO31" i="196"/>
  <c r="DN31" i="196"/>
  <c r="FI31" i="196" s="1"/>
  <c r="DM31" i="196"/>
  <c r="DL31" i="196"/>
  <c r="DK31" i="196"/>
  <c r="DJ31" i="196"/>
  <c r="DI31" i="196"/>
  <c r="FT31" i="196" s="1"/>
  <c r="DH31" i="196"/>
  <c r="DG31" i="196"/>
  <c r="DF31" i="196"/>
  <c r="DE31" i="196"/>
  <c r="DD31" i="196"/>
  <c r="DC31" i="196"/>
  <c r="DB31" i="196"/>
  <c r="DA31" i="196"/>
  <c r="EE31" i="196" s="1"/>
  <c r="EF31" i="196" s="1"/>
  <c r="EJ31" i="196" s="1"/>
  <c r="CZ31" i="196"/>
  <c r="CY31" i="196"/>
  <c r="CX31" i="196"/>
  <c r="FH31" i="196" s="1"/>
  <c r="CW31" i="196"/>
  <c r="CV31" i="196"/>
  <c r="DU31" i="196" s="1"/>
  <c r="CU31" i="196"/>
  <c r="FQ31" i="196" s="1"/>
  <c r="CQ31" i="196"/>
  <c r="CP31" i="196"/>
  <c r="CK31" i="196" s="1"/>
  <c r="CO31" i="196"/>
  <c r="CN31" i="196"/>
  <c r="CM31" i="196"/>
  <c r="CL31" i="196"/>
  <c r="AX31" i="196"/>
  <c r="AW31" i="196"/>
  <c r="AV31" i="196"/>
  <c r="AK31" i="196" s="1"/>
  <c r="AO31" i="196"/>
  <c r="AN31" i="196"/>
  <c r="AM31" i="196"/>
  <c r="AL31" i="196"/>
  <c r="AH31" i="196"/>
  <c r="AG31" i="196"/>
  <c r="AF31" i="196"/>
  <c r="AE31" i="196"/>
  <c r="GM30" i="196"/>
  <c r="GL30" i="196"/>
  <c r="GK30" i="196"/>
  <c r="GF30" i="196"/>
  <c r="FT30" i="196"/>
  <c r="FS30" i="196"/>
  <c r="FR30" i="196"/>
  <c r="FF30" i="196"/>
  <c r="FG30" i="196" s="1"/>
  <c r="Y30" i="196" s="1"/>
  <c r="FE30" i="196"/>
  <c r="FD30" i="196"/>
  <c r="FC30" i="196"/>
  <c r="EZ30" i="196"/>
  <c r="EY30" i="196"/>
  <c r="EX30" i="196"/>
  <c r="EN30" i="196"/>
  <c r="EL30" i="196"/>
  <c r="EM30" i="196" s="1"/>
  <c r="EF30" i="196"/>
  <c r="EC30" i="196"/>
  <c r="DY30" i="196"/>
  <c r="DX30" i="196"/>
  <c r="DW30" i="196"/>
  <c r="FO30" i="196" s="1"/>
  <c r="DV30" i="196"/>
  <c r="DU30" i="196"/>
  <c r="DS30" i="196"/>
  <c r="DP30" i="196"/>
  <c r="DO30" i="196"/>
  <c r="DN30" i="196"/>
  <c r="FI30" i="196" s="1"/>
  <c r="FJ30" i="196" s="1"/>
  <c r="FK30" i="196" s="1"/>
  <c r="FL30" i="196" s="1"/>
  <c r="Z30" i="196" s="1"/>
  <c r="DM30" i="196"/>
  <c r="DL30" i="196"/>
  <c r="DK30" i="196"/>
  <c r="DJ30" i="196"/>
  <c r="DI30" i="196"/>
  <c r="DH30" i="196"/>
  <c r="DG30" i="196"/>
  <c r="DF30" i="196"/>
  <c r="DE30" i="196"/>
  <c r="DD30" i="196"/>
  <c r="DC30" i="196"/>
  <c r="DT30" i="196" s="1"/>
  <c r="DB30" i="196"/>
  <c r="DA30" i="196"/>
  <c r="EE30" i="196" s="1"/>
  <c r="EG30" i="196" s="1"/>
  <c r="CZ30" i="196"/>
  <c r="CY30" i="196"/>
  <c r="CX30" i="196"/>
  <c r="FH30" i="196" s="1"/>
  <c r="CW30" i="196"/>
  <c r="CV30" i="196"/>
  <c r="CU30" i="196"/>
  <c r="FQ30" i="196" s="1"/>
  <c r="CQ30" i="196"/>
  <c r="CP30" i="196"/>
  <c r="CK30" i="196" s="1"/>
  <c r="CO30" i="196"/>
  <c r="CN30" i="196"/>
  <c r="CM30" i="196"/>
  <c r="CL30" i="196"/>
  <c r="CE30" i="196"/>
  <c r="CD30" i="196"/>
  <c r="AX30" i="196"/>
  <c r="AW30" i="196"/>
  <c r="AV30" i="196"/>
  <c r="AK30" i="196" s="1"/>
  <c r="AH30" i="196"/>
  <c r="AG30" i="196"/>
  <c r="AF30" i="196"/>
  <c r="AE30" i="196"/>
  <c r="GL29" i="196"/>
  <c r="GM29" i="196" s="1"/>
  <c r="GK29" i="196"/>
  <c r="GF29" i="196"/>
  <c r="FU29" i="196"/>
  <c r="FT29" i="196"/>
  <c r="FR29" i="196"/>
  <c r="FQ29" i="196"/>
  <c r="FM29" i="196"/>
  <c r="FD29" i="196"/>
  <c r="FC29" i="196"/>
  <c r="EL29" i="196" s="1"/>
  <c r="FB29" i="196"/>
  <c r="EZ29" i="196"/>
  <c r="EX29" i="196"/>
  <c r="EF29" i="196"/>
  <c r="EE29" i="196"/>
  <c r="EG29" i="196" s="1"/>
  <c r="ED29" i="196"/>
  <c r="DY29" i="196"/>
  <c r="DV29" i="196"/>
  <c r="DU29" i="196"/>
  <c r="DT29" i="196"/>
  <c r="DS29" i="196"/>
  <c r="DO29" i="196"/>
  <c r="DN29" i="196"/>
  <c r="FI29" i="196" s="1"/>
  <c r="DM29" i="196"/>
  <c r="DL29" i="196"/>
  <c r="DK29" i="196"/>
  <c r="DJ29" i="196"/>
  <c r="DI29" i="196"/>
  <c r="DH29" i="196"/>
  <c r="FV29" i="196" s="1"/>
  <c r="DG29" i="196"/>
  <c r="DF29" i="196"/>
  <c r="EA29" i="196" s="1"/>
  <c r="DE29" i="196"/>
  <c r="FA29" i="196" s="1"/>
  <c r="DD29" i="196"/>
  <c r="DC29" i="196"/>
  <c r="DB29" i="196"/>
  <c r="DA29" i="196"/>
  <c r="CZ29" i="196"/>
  <c r="CY29" i="196"/>
  <c r="CX29" i="196"/>
  <c r="FH29" i="196" s="1"/>
  <c r="CW29" i="196"/>
  <c r="CV29" i="196"/>
  <c r="CU29" i="196"/>
  <c r="EY29" i="196" s="1"/>
  <c r="CQ29" i="196"/>
  <c r="CP29" i="196"/>
  <c r="CO29" i="196"/>
  <c r="CN29" i="196"/>
  <c r="CM29" i="196"/>
  <c r="CL29" i="196"/>
  <c r="CE29" i="196"/>
  <c r="AX29" i="196"/>
  <c r="AW29" i="196"/>
  <c r="AV29" i="196"/>
  <c r="AM29" i="196"/>
  <c r="AK29" i="196"/>
  <c r="AJ29" i="196"/>
  <c r="AH29" i="196"/>
  <c r="AG29" i="196"/>
  <c r="AF29" i="196"/>
  <c r="AE29" i="196"/>
  <c r="GL28" i="196"/>
  <c r="GK28" i="196"/>
  <c r="GM28" i="196" s="1"/>
  <c r="GF28" i="196"/>
  <c r="FV28" i="196"/>
  <c r="FU28" i="196"/>
  <c r="FN28" i="196"/>
  <c r="FI28" i="196"/>
  <c r="FJ28" i="196" s="1"/>
  <c r="FK28" i="196" s="1"/>
  <c r="FL28" i="196" s="1"/>
  <c r="Z28" i="196" s="1"/>
  <c r="FH28" i="196"/>
  <c r="FG28" i="196"/>
  <c r="Y28" i="196" s="1"/>
  <c r="FE28" i="196"/>
  <c r="FF28" i="196" s="1"/>
  <c r="FC28" i="196"/>
  <c r="FA28" i="196"/>
  <c r="EZ28" i="196"/>
  <c r="EE28" i="196" s="1"/>
  <c r="EG28" i="196" s="1"/>
  <c r="EK28" i="196" s="1"/>
  <c r="EY28" i="196"/>
  <c r="EX28" i="196"/>
  <c r="EV28" i="196"/>
  <c r="CJ28" i="196" s="1"/>
  <c r="EN28" i="196"/>
  <c r="ER28" i="196" s="1"/>
  <c r="EC28" i="196"/>
  <c r="EB28" i="196"/>
  <c r="EA28" i="196"/>
  <c r="DZ28" i="196"/>
  <c r="DY28" i="196"/>
  <c r="FP28" i="196" s="1"/>
  <c r="DX28" i="196"/>
  <c r="DS28" i="196"/>
  <c r="DP28" i="196"/>
  <c r="DO28" i="196"/>
  <c r="DN28" i="196"/>
  <c r="DM28" i="196"/>
  <c r="DL28" i="196"/>
  <c r="DK28" i="196"/>
  <c r="EL28" i="196" s="1"/>
  <c r="EM28" i="196" s="1"/>
  <c r="EQ28" i="196" s="1"/>
  <c r="DJ28" i="196"/>
  <c r="DI28" i="196"/>
  <c r="DH28" i="196"/>
  <c r="FM28" i="196" s="1"/>
  <c r="DG28" i="196"/>
  <c r="DF28" i="196"/>
  <c r="ED28" i="196" s="1"/>
  <c r="DE28" i="196"/>
  <c r="FR28" i="196" s="1"/>
  <c r="DD28" i="196"/>
  <c r="FD28" i="196" s="1"/>
  <c r="DC28" i="196"/>
  <c r="DT28" i="196" s="1"/>
  <c r="DB28" i="196"/>
  <c r="DA28" i="196"/>
  <c r="CZ28" i="196"/>
  <c r="CY28" i="196"/>
  <c r="FS28" i="196" s="1"/>
  <c r="CX28" i="196"/>
  <c r="CW28" i="196"/>
  <c r="CV28" i="196"/>
  <c r="CU28" i="196"/>
  <c r="FQ28" i="196" s="1"/>
  <c r="CQ28" i="196"/>
  <c r="CK28" i="196" s="1"/>
  <c r="CP28" i="196"/>
  <c r="CO28" i="196"/>
  <c r="CN28" i="196"/>
  <c r="CM28" i="196"/>
  <c r="CL28" i="196"/>
  <c r="CI28" i="196"/>
  <c r="CD28" i="196"/>
  <c r="AY28" i="196"/>
  <c r="AX28" i="196"/>
  <c r="AW28" i="196"/>
  <c r="AV28" i="196"/>
  <c r="AK28" i="196" s="1"/>
  <c r="AQ28" i="196" s="1"/>
  <c r="AR28" i="196" s="1"/>
  <c r="AO28" i="196"/>
  <c r="AN28" i="196"/>
  <c r="AH28" i="196"/>
  <c r="AG28" i="196"/>
  <c r="AF28" i="196"/>
  <c r="AE28" i="196"/>
  <c r="GL27" i="196"/>
  <c r="GM27" i="196" s="1"/>
  <c r="GK27" i="196"/>
  <c r="GF27" i="196"/>
  <c r="FT27" i="196"/>
  <c r="FE27" i="196"/>
  <c r="FF27" i="196" s="1"/>
  <c r="FG27" i="196" s="1"/>
  <c r="Y27" i="196" s="1"/>
  <c r="FC27" i="196"/>
  <c r="EZ27" i="196"/>
  <c r="EX27" i="196"/>
  <c r="EN27" i="196"/>
  <c r="EL27" i="196"/>
  <c r="EM27" i="196" s="1"/>
  <c r="EK27" i="196"/>
  <c r="EJ27" i="196"/>
  <c r="CH27" i="196" s="1"/>
  <c r="EF27" i="196"/>
  <c r="EE27" i="196"/>
  <c r="EG27" i="196" s="1"/>
  <c r="DY27" i="196"/>
  <c r="DS27" i="196"/>
  <c r="DO27" i="196"/>
  <c r="DN27" i="196"/>
  <c r="FI27" i="196" s="1"/>
  <c r="FJ27" i="196" s="1"/>
  <c r="FK27" i="196" s="1"/>
  <c r="FL27" i="196" s="1"/>
  <c r="Z27" i="196" s="1"/>
  <c r="DM27" i="196"/>
  <c r="DL27" i="196"/>
  <c r="DK27" i="196"/>
  <c r="DJ27" i="196"/>
  <c r="DI27" i="196"/>
  <c r="DH27" i="196"/>
  <c r="FV27" i="196" s="1"/>
  <c r="DG27" i="196"/>
  <c r="DF27" i="196"/>
  <c r="DE27" i="196"/>
  <c r="DD27" i="196"/>
  <c r="FD27" i="196" s="1"/>
  <c r="DC27" i="196"/>
  <c r="DB27" i="196"/>
  <c r="DA27" i="196"/>
  <c r="CZ27" i="196"/>
  <c r="CY27" i="196"/>
  <c r="CX27" i="196"/>
  <c r="CW27" i="196"/>
  <c r="CV27" i="196"/>
  <c r="CU27" i="196"/>
  <c r="EY27" i="196" s="1"/>
  <c r="CQ27" i="196"/>
  <c r="CP27" i="196"/>
  <c r="CK27" i="196" s="1"/>
  <c r="CO27" i="196"/>
  <c r="CN27" i="196"/>
  <c r="CM27" i="196"/>
  <c r="CL27" i="196"/>
  <c r="CE27" i="196"/>
  <c r="AX27" i="196"/>
  <c r="AW27" i="196"/>
  <c r="AV27" i="196"/>
  <c r="AK27" i="196" s="1"/>
  <c r="AM27" i="196"/>
  <c r="AH27" i="196"/>
  <c r="AG27" i="196"/>
  <c r="AF27" i="196"/>
  <c r="AE27" i="196"/>
  <c r="GM26" i="196"/>
  <c r="GL26" i="196"/>
  <c r="GK26" i="196"/>
  <c r="GF26" i="196"/>
  <c r="FT26" i="196"/>
  <c r="FR26" i="196"/>
  <c r="FQ26" i="196"/>
  <c r="FP26" i="196"/>
  <c r="FI26" i="196"/>
  <c r="FH26" i="196"/>
  <c r="FD26" i="196"/>
  <c r="FC26" i="196"/>
  <c r="EL26" i="196" s="1"/>
  <c r="EN26" i="196" s="1"/>
  <c r="FB26" i="196"/>
  <c r="EZ26" i="196"/>
  <c r="EM26" i="196"/>
  <c r="EE26" i="196"/>
  <c r="ED26" i="196"/>
  <c r="EC26" i="196"/>
  <c r="EB26" i="196"/>
  <c r="DY26" i="196"/>
  <c r="DU26" i="196"/>
  <c r="DS26" i="196"/>
  <c r="DT26" i="196" s="1"/>
  <c r="DO26" i="196"/>
  <c r="DN26" i="196"/>
  <c r="DM26" i="196"/>
  <c r="DL26" i="196"/>
  <c r="DK26" i="196"/>
  <c r="DJ26" i="196"/>
  <c r="DI26" i="196"/>
  <c r="DH26" i="196"/>
  <c r="FV26" i="196" s="1"/>
  <c r="DG26" i="196"/>
  <c r="DF26" i="196"/>
  <c r="EA26" i="196" s="1"/>
  <c r="DE26" i="196"/>
  <c r="FA26" i="196" s="1"/>
  <c r="DD26" i="196"/>
  <c r="DC26" i="196"/>
  <c r="DB26" i="196"/>
  <c r="DA26" i="196"/>
  <c r="CZ26" i="196"/>
  <c r="CY26" i="196"/>
  <c r="CX26" i="196"/>
  <c r="FU26" i="196" s="1"/>
  <c r="CW26" i="196"/>
  <c r="CV26" i="196"/>
  <c r="DW26" i="196" s="1"/>
  <c r="CU26" i="196"/>
  <c r="CQ26" i="196"/>
  <c r="CP26" i="196"/>
  <c r="CK26" i="196" s="1"/>
  <c r="CO26" i="196"/>
  <c r="CN26" i="196"/>
  <c r="CM26" i="196"/>
  <c r="CL26" i="196"/>
  <c r="CE26" i="196"/>
  <c r="AY26" i="196"/>
  <c r="AX26" i="196"/>
  <c r="AW26" i="196"/>
  <c r="AV26" i="196"/>
  <c r="AM26" i="196"/>
  <c r="AK26" i="196"/>
  <c r="AJ26" i="196"/>
  <c r="AH26" i="196"/>
  <c r="AG26" i="196"/>
  <c r="AF26" i="196"/>
  <c r="AE26" i="196"/>
  <c r="GK25" i="196"/>
  <c r="GM25" i="196" s="1"/>
  <c r="GF25" i="196"/>
  <c r="GE25" i="196" s="1"/>
  <c r="GL25" i="196" s="1"/>
  <c r="FT25" i="196"/>
  <c r="FI25" i="196"/>
  <c r="FH25" i="196"/>
  <c r="FC25" i="196"/>
  <c r="FB25" i="196"/>
  <c r="EZ25" i="196"/>
  <c r="EE25" i="196" s="1"/>
  <c r="EB25" i="196"/>
  <c r="DY25" i="196"/>
  <c r="DU25" i="196"/>
  <c r="DS25" i="196"/>
  <c r="DO25" i="196"/>
  <c r="DN25" i="196"/>
  <c r="DM25" i="196"/>
  <c r="DL25" i="196"/>
  <c r="DK25" i="196"/>
  <c r="EL25" i="196" s="1"/>
  <c r="EN25" i="196" s="1"/>
  <c r="DJ25" i="196"/>
  <c r="DI25" i="196"/>
  <c r="DH25" i="196"/>
  <c r="FV25" i="196" s="1"/>
  <c r="DG25" i="196"/>
  <c r="DF25" i="196"/>
  <c r="ED25" i="196" s="1"/>
  <c r="DE25" i="196"/>
  <c r="DD25" i="196"/>
  <c r="FD25" i="196" s="1"/>
  <c r="DC25" i="196"/>
  <c r="DB25" i="196"/>
  <c r="DA25" i="196"/>
  <c r="CZ25" i="196"/>
  <c r="CY25" i="196"/>
  <c r="CX25" i="196"/>
  <c r="FU25" i="196" s="1"/>
  <c r="CW25" i="196"/>
  <c r="CV25" i="196"/>
  <c r="DW25" i="196" s="1"/>
  <c r="CU25" i="196"/>
  <c r="CQ25" i="196"/>
  <c r="CP25" i="196"/>
  <c r="CK25" i="196" s="1"/>
  <c r="CO25" i="196"/>
  <c r="CN25" i="196"/>
  <c r="CM25" i="196"/>
  <c r="CL25" i="196"/>
  <c r="CE25" i="196"/>
  <c r="AY25" i="196"/>
  <c r="AX25" i="196"/>
  <c r="AW25" i="196"/>
  <c r="AV25" i="196"/>
  <c r="AK25" i="196"/>
  <c r="AH25" i="196"/>
  <c r="AG25" i="196"/>
  <c r="AF25" i="196"/>
  <c r="AE25" i="196"/>
  <c r="GL24" i="196"/>
  <c r="GK24" i="196"/>
  <c r="GM24" i="196" s="1"/>
  <c r="GF24" i="196"/>
  <c r="FT24" i="196"/>
  <c r="FS24" i="196"/>
  <c r="FI24" i="196"/>
  <c r="FJ24" i="196" s="1"/>
  <c r="FK24" i="196" s="1"/>
  <c r="FL24" i="196" s="1"/>
  <c r="Z24" i="196" s="1"/>
  <c r="FH24" i="196"/>
  <c r="FC24" i="196"/>
  <c r="EZ24" i="196"/>
  <c r="EE24" i="196" s="1"/>
  <c r="EC24" i="196"/>
  <c r="DZ24" i="196"/>
  <c r="DY24" i="196"/>
  <c r="DS24" i="196"/>
  <c r="DO24" i="196"/>
  <c r="DN24" i="196"/>
  <c r="DM24" i="196"/>
  <c r="DL24" i="196"/>
  <c r="DK24" i="196"/>
  <c r="DJ24" i="196"/>
  <c r="DI24" i="196"/>
  <c r="DH24" i="196"/>
  <c r="FV24" i="196" s="1"/>
  <c r="DG24" i="196"/>
  <c r="DF24" i="196"/>
  <c r="FR24" i="196" s="1"/>
  <c r="DE24" i="196"/>
  <c r="FB24" i="196" s="1"/>
  <c r="DD24" i="196"/>
  <c r="FD24" i="196" s="1"/>
  <c r="DC24" i="196"/>
  <c r="DB24" i="196"/>
  <c r="DA24" i="196"/>
  <c r="CZ24" i="196"/>
  <c r="CY24" i="196"/>
  <c r="CX24" i="196"/>
  <c r="FU24" i="196" s="1"/>
  <c r="CW24" i="196"/>
  <c r="CV24" i="196"/>
  <c r="CU24" i="196"/>
  <c r="CQ24" i="196"/>
  <c r="CP24" i="196"/>
  <c r="CO24" i="196"/>
  <c r="CN24" i="196"/>
  <c r="CM24" i="196"/>
  <c r="CL24" i="196"/>
  <c r="CK24" i="196"/>
  <c r="CE24" i="196"/>
  <c r="CD24" i="196"/>
  <c r="AY24" i="196"/>
  <c r="AX24" i="196"/>
  <c r="AW24" i="196"/>
  <c r="AV24" i="196"/>
  <c r="AL24" i="196"/>
  <c r="AK24" i="196"/>
  <c r="AJ24" i="196"/>
  <c r="AH24" i="196"/>
  <c r="AG24" i="196"/>
  <c r="AF24" i="196"/>
  <c r="AE24" i="196"/>
  <c r="GL23" i="196"/>
  <c r="GK23" i="196"/>
  <c r="GM23" i="196" s="1"/>
  <c r="GF23" i="196"/>
  <c r="FV23" i="196"/>
  <c r="FS23" i="196"/>
  <c r="FQ23" i="196"/>
  <c r="FN23" i="196"/>
  <c r="FI23" i="196"/>
  <c r="FJ23" i="196" s="1"/>
  <c r="FK23" i="196" s="1"/>
  <c r="FL23" i="196" s="1"/>
  <c r="Z23" i="196" s="1"/>
  <c r="FH23" i="196"/>
  <c r="FC23" i="196"/>
  <c r="FA23" i="196"/>
  <c r="EZ23" i="196"/>
  <c r="EE23" i="196" s="1"/>
  <c r="EF23" i="196" s="1"/>
  <c r="EY23" i="196"/>
  <c r="EG23" i="196"/>
  <c r="EC23" i="196"/>
  <c r="EB23" i="196"/>
  <c r="EA23" i="196"/>
  <c r="DY23" i="196"/>
  <c r="DS23" i="196"/>
  <c r="DO23" i="196"/>
  <c r="FE23" i="196" s="1"/>
  <c r="FF23" i="196" s="1"/>
  <c r="FG23" i="196" s="1"/>
  <c r="DN23" i="196"/>
  <c r="DM23" i="196"/>
  <c r="FP23" i="196" s="1"/>
  <c r="DL23" i="196"/>
  <c r="DK23" i="196"/>
  <c r="EL23" i="196" s="1"/>
  <c r="DJ23" i="196"/>
  <c r="DI23" i="196"/>
  <c r="DH23" i="196"/>
  <c r="FM23" i="196" s="1"/>
  <c r="DG23" i="196"/>
  <c r="DF23" i="196"/>
  <c r="ED23" i="196" s="1"/>
  <c r="DE23" i="196"/>
  <c r="DD23" i="196"/>
  <c r="FD23" i="196" s="1"/>
  <c r="DC23" i="196"/>
  <c r="DT23" i="196" s="1"/>
  <c r="DB23" i="196"/>
  <c r="DA23" i="196"/>
  <c r="CZ23" i="196"/>
  <c r="CY23" i="196"/>
  <c r="CX23" i="196"/>
  <c r="FU23" i="196" s="1"/>
  <c r="CW23" i="196"/>
  <c r="CV23" i="196"/>
  <c r="CU23" i="196"/>
  <c r="EX23" i="196" s="1"/>
  <c r="CQ23" i="196"/>
  <c r="CP23" i="196"/>
  <c r="CO23" i="196"/>
  <c r="CN23" i="196"/>
  <c r="CM23" i="196"/>
  <c r="CL23" i="196"/>
  <c r="CK23" i="196"/>
  <c r="CD23" i="196"/>
  <c r="AY23" i="196"/>
  <c r="AX23" i="196"/>
  <c r="AW23" i="196"/>
  <c r="AV23" i="196"/>
  <c r="AQ23" i="196"/>
  <c r="AO23" i="196"/>
  <c r="AK23" i="196"/>
  <c r="AH23" i="196"/>
  <c r="AG23" i="196"/>
  <c r="AF23" i="196"/>
  <c r="AE23" i="196"/>
  <c r="Y23" i="196"/>
  <c r="K23" i="196"/>
  <c r="AS23" i="196" s="1"/>
  <c r="IE21" i="196"/>
  <c r="IB21" i="196"/>
  <c r="IA21" i="196"/>
  <c r="HW21" i="196"/>
  <c r="HV21" i="196"/>
  <c r="HU21" i="196"/>
  <c r="HT21" i="196"/>
  <c r="HN21" i="196"/>
  <c r="HM21" i="196"/>
  <c r="HL21" i="196"/>
  <c r="HK21" i="196"/>
  <c r="HG21" i="196"/>
  <c r="HF21" i="196"/>
  <c r="HD18" i="196"/>
  <c r="HE18" i="196" s="1"/>
  <c r="HF18" i="196" s="1"/>
  <c r="HG18" i="196" s="1"/>
  <c r="HH18" i="196" s="1"/>
  <c r="HI18" i="196" s="1"/>
  <c r="HJ18" i="196" s="1"/>
  <c r="HK18" i="196" s="1"/>
  <c r="HL18" i="196" s="1"/>
  <c r="HM18" i="196" s="1"/>
  <c r="HN18" i="196" s="1"/>
  <c r="HO18" i="196" s="1"/>
  <c r="HP18" i="196" s="1"/>
  <c r="HQ18" i="196" s="1"/>
  <c r="HR18" i="196" s="1"/>
  <c r="HS18" i="196" s="1"/>
  <c r="HT18" i="196" s="1"/>
  <c r="HU18" i="196" s="1"/>
  <c r="HV18" i="196" s="1"/>
  <c r="HW18" i="196" s="1"/>
  <c r="HX18" i="196" s="1"/>
  <c r="HY18" i="196" s="1"/>
  <c r="HZ18" i="196" s="1"/>
  <c r="IA18" i="196" s="1"/>
  <c r="IB18" i="196" s="1"/>
  <c r="IC18" i="196" s="1"/>
  <c r="ID18" i="196" s="1"/>
  <c r="IE18" i="196" s="1"/>
  <c r="IF18" i="196" s="1"/>
  <c r="HB18" i="196"/>
  <c r="HC18" i="196" s="1"/>
  <c r="AA12" i="196"/>
  <c r="AB12" i="196" s="1"/>
  <c r="Z10" i="196"/>
  <c r="S10" i="196"/>
  <c r="C10" i="196"/>
  <c r="DN9" i="196"/>
  <c r="DM9" i="196"/>
  <c r="DL9" i="196"/>
  <c r="DK9" i="196"/>
  <c r="DJ9" i="196"/>
  <c r="DI9" i="196"/>
  <c r="DH9" i="196"/>
  <c r="DG9" i="196"/>
  <c r="S9" i="196"/>
  <c r="C9" i="196"/>
  <c r="DN8" i="196"/>
  <c r="DM8" i="196"/>
  <c r="DL8" i="196"/>
  <c r="DK8" i="196"/>
  <c r="DJ8" i="196"/>
  <c r="DI8" i="196"/>
  <c r="DH8" i="196"/>
  <c r="DG8" i="196"/>
  <c r="DN7" i="196"/>
  <c r="DM7" i="196"/>
  <c r="DL7" i="196"/>
  <c r="DK7" i="196"/>
  <c r="DJ7" i="196"/>
  <c r="DI7" i="196"/>
  <c r="DH7" i="196"/>
  <c r="DG7" i="196"/>
  <c r="DN6" i="196"/>
  <c r="DM6" i="196"/>
  <c r="DL6" i="196"/>
  <c r="DK6" i="196"/>
  <c r="DJ6" i="196"/>
  <c r="DI6" i="196"/>
  <c r="AS29" i="196" s="1"/>
  <c r="DH6" i="196"/>
  <c r="DG6" i="196"/>
  <c r="Y6" i="196"/>
  <c r="M6" i="196"/>
  <c r="DN5" i="196"/>
  <c r="DM5" i="196"/>
  <c r="DL5" i="196"/>
  <c r="DK5" i="196"/>
  <c r="DJ5" i="196"/>
  <c r="DI5" i="196"/>
  <c r="DH5" i="196"/>
  <c r="DG5" i="196"/>
  <c r="DN4" i="196"/>
  <c r="DM4" i="196"/>
  <c r="DL4" i="196"/>
  <c r="DK4" i="196"/>
  <c r="DJ4" i="196"/>
  <c r="DI4" i="196"/>
  <c r="DH4" i="196"/>
  <c r="DG4" i="196"/>
  <c r="DN3" i="196"/>
  <c r="DM3" i="196"/>
  <c r="DL3" i="196"/>
  <c r="DK3" i="196"/>
  <c r="DJ3" i="196"/>
  <c r="DI3" i="196"/>
  <c r="DH3" i="196"/>
  <c r="DG3" i="196"/>
  <c r="DN2" i="196"/>
  <c r="DM2" i="196"/>
  <c r="DL2" i="196"/>
  <c r="DK2" i="196"/>
  <c r="DJ2" i="196"/>
  <c r="DI2" i="196"/>
  <c r="DH2" i="196"/>
  <c r="DG2" i="196"/>
  <c r="DD2" i="196"/>
  <c r="DB2" i="196"/>
  <c r="CZ2" i="196"/>
  <c r="CX2" i="196"/>
  <c r="HA1" i="196"/>
  <c r="DQ1" i="196"/>
  <c r="DD1" i="196"/>
  <c r="DZ33" i="196" s="1"/>
  <c r="CY1" i="196"/>
  <c r="CX1" i="196"/>
  <c r="AE1" i="196"/>
  <c r="AY39" i="196" s="1"/>
  <c r="AD1" i="196"/>
  <c r="H5" i="195"/>
  <c r="E5" i="195"/>
  <c r="B5" i="195"/>
  <c r="E4" i="195"/>
  <c r="B4" i="195"/>
  <c r="F1" i="195"/>
  <c r="H5" i="194"/>
  <c r="E5" i="194"/>
  <c r="B5" i="194"/>
  <c r="E4" i="194"/>
  <c r="B4" i="194"/>
  <c r="F1" i="194"/>
  <c r="BG87" i="193"/>
  <c r="BF87" i="193"/>
  <c r="BE87" i="193"/>
  <c r="BD87" i="193"/>
  <c r="BC87" i="193"/>
  <c r="BB87" i="193"/>
  <c r="BA87" i="193"/>
  <c r="AZ87" i="193"/>
  <c r="AY87" i="193"/>
  <c r="AX87" i="193"/>
  <c r="AW87" i="193"/>
  <c r="AV87" i="193"/>
  <c r="AU87" i="193"/>
  <c r="AT87" i="193"/>
  <c r="AS87" i="193"/>
  <c r="AR87" i="193"/>
  <c r="AQ87" i="193"/>
  <c r="AP87" i="193"/>
  <c r="AO87" i="193"/>
  <c r="AN87" i="193"/>
  <c r="AM87" i="193"/>
  <c r="AL87" i="193"/>
  <c r="AK87" i="193"/>
  <c r="AJ87" i="193"/>
  <c r="AI87" i="193"/>
  <c r="AH87" i="193"/>
  <c r="AG87" i="193"/>
  <c r="AF87" i="193"/>
  <c r="AE87" i="193"/>
  <c r="AD87" i="193"/>
  <c r="AC87" i="193"/>
  <c r="AB87" i="193"/>
  <c r="AA87" i="193"/>
  <c r="Z87" i="193"/>
  <c r="Y87" i="193"/>
  <c r="X87" i="193"/>
  <c r="W87" i="193"/>
  <c r="V87" i="193"/>
  <c r="U87" i="193"/>
  <c r="T87" i="193"/>
  <c r="S87" i="193"/>
  <c r="R87" i="193"/>
  <c r="Q87" i="193"/>
  <c r="P87" i="193"/>
  <c r="O87" i="193"/>
  <c r="N87" i="193"/>
  <c r="M87" i="193"/>
  <c r="L87" i="193"/>
  <c r="K87" i="193"/>
  <c r="J87" i="193"/>
  <c r="I87" i="193"/>
  <c r="H87" i="193"/>
  <c r="G87" i="193"/>
  <c r="F87" i="193"/>
  <c r="E87" i="193"/>
  <c r="D87" i="193"/>
  <c r="C87" i="193"/>
  <c r="B87" i="193"/>
  <c r="A87" i="193"/>
  <c r="GI85" i="193"/>
  <c r="BD45" i="193" s="1"/>
  <c r="FI85" i="193" s="1"/>
  <c r="GH85" i="193"/>
  <c r="BA45" i="193" s="1"/>
  <c r="GG85" i="193"/>
  <c r="AV45" i="193" s="1"/>
  <c r="FG85" i="193" s="1"/>
  <c r="GF85" i="193"/>
  <c r="AR45" i="193" s="1"/>
  <c r="FF85" i="193" s="1"/>
  <c r="GE85" i="193"/>
  <c r="AQ45" i="193" s="1"/>
  <c r="GD85" i="193"/>
  <c r="AP45" i="193" s="1"/>
  <c r="FM85" i="193"/>
  <c r="FE85" i="193"/>
  <c r="FD85" i="193"/>
  <c r="FC85" i="193"/>
  <c r="EX85" i="193"/>
  <c r="EO85" i="193"/>
  <c r="ED85" i="193"/>
  <c r="EB85" i="193"/>
  <c r="EA85" i="193"/>
  <c r="Q45" i="193" s="1"/>
  <c r="DZ85" i="193"/>
  <c r="O45" i="193" s="1"/>
  <c r="DJ85" i="193"/>
  <c r="K45" i="193" s="1"/>
  <c r="DG85" i="193"/>
  <c r="DE85" i="193"/>
  <c r="DA85" i="193"/>
  <c r="CY85" i="193"/>
  <c r="CU85" i="193"/>
  <c r="CT85" i="193"/>
  <c r="EP85" i="193" s="1"/>
  <c r="CS85" i="193"/>
  <c r="CR85" i="193"/>
  <c r="CQ85" i="193"/>
  <c r="CP85" i="193"/>
  <c r="CO85" i="193"/>
  <c r="ET85" i="193" s="1"/>
  <c r="CN85" i="193"/>
  <c r="CM85" i="193"/>
  <c r="DI85" i="193" s="1"/>
  <c r="EW85" i="193" s="1"/>
  <c r="CL85" i="193"/>
  <c r="CK85" i="193"/>
  <c r="EK85" i="193" s="1"/>
  <c r="CJ85" i="193"/>
  <c r="CI85" i="193"/>
  <c r="CH85" i="193"/>
  <c r="CG85" i="193"/>
  <c r="FB85" i="193" s="1"/>
  <c r="CF85" i="193"/>
  <c r="CW85" i="193" s="1"/>
  <c r="M45" i="193" s="1"/>
  <c r="CE85" i="193"/>
  <c r="CD85" i="193"/>
  <c r="CC85" i="193"/>
  <c r="EF85" i="193" s="1"/>
  <c r="CB85" i="193"/>
  <c r="GI84" i="193"/>
  <c r="BE44" i="193" s="1"/>
  <c r="GH84" i="193"/>
  <c r="AZ44" i="193" s="1"/>
  <c r="FH84" i="193" s="1"/>
  <c r="GG84" i="193"/>
  <c r="AW44" i="193" s="1"/>
  <c r="GF84" i="193"/>
  <c r="AS44" i="193" s="1"/>
  <c r="GE84" i="193"/>
  <c r="AQ44" i="193" s="1"/>
  <c r="GD84" i="193"/>
  <c r="AP44" i="193" s="1"/>
  <c r="FM84" i="193"/>
  <c r="FE84" i="193"/>
  <c r="EX84" i="193"/>
  <c r="EK84" i="193"/>
  <c r="ED84" i="193"/>
  <c r="EB84" i="193"/>
  <c r="EA84" i="193"/>
  <c r="R44" i="193" s="1"/>
  <c r="DZ84" i="193"/>
  <c r="DI84" i="193"/>
  <c r="DE84" i="193"/>
  <c r="DC84" i="193"/>
  <c r="DB84" i="193"/>
  <c r="DA84" i="193"/>
  <c r="CY84" i="193"/>
  <c r="CV84" i="193"/>
  <c r="CU84" i="193"/>
  <c r="CT84" i="193"/>
  <c r="EP84" i="193" s="1"/>
  <c r="CS84" i="193"/>
  <c r="CR84" i="193"/>
  <c r="CQ84" i="193"/>
  <c r="CP84" i="193"/>
  <c r="FC84" i="193" s="1"/>
  <c r="CO84" i="193"/>
  <c r="CN84" i="193"/>
  <c r="CM84" i="193"/>
  <c r="CL84" i="193"/>
  <c r="CK84" i="193"/>
  <c r="CJ84" i="193"/>
  <c r="CI84" i="193"/>
  <c r="CH84" i="193"/>
  <c r="CG84" i="193"/>
  <c r="FB84" i="193" s="1"/>
  <c r="CF84" i="193"/>
  <c r="CE84" i="193"/>
  <c r="CD84" i="193"/>
  <c r="DD84" i="193" s="1"/>
  <c r="H44" i="193" s="1"/>
  <c r="CC84" i="193"/>
  <c r="ET44" i="193" s="1"/>
  <c r="CB84" i="193"/>
  <c r="GI83" i="193"/>
  <c r="BE43" i="193" s="1"/>
  <c r="GH83" i="193"/>
  <c r="GG83" i="193"/>
  <c r="AW43" i="193" s="1"/>
  <c r="GF83" i="193"/>
  <c r="AR43" i="193" s="1"/>
  <c r="FF83" i="193" s="1"/>
  <c r="GE83" i="193"/>
  <c r="AQ43" i="193" s="1"/>
  <c r="GD83" i="193"/>
  <c r="AP43" i="193" s="1"/>
  <c r="FM83" i="193"/>
  <c r="FC83" i="193"/>
  <c r="FB83" i="193"/>
  <c r="FA83" i="193"/>
  <c r="EY83" i="193" s="1"/>
  <c r="EX83" i="193"/>
  <c r="EK83" i="193"/>
  <c r="EI83" i="193"/>
  <c r="ED83" i="193"/>
  <c r="EB83" i="193"/>
  <c r="EA83" i="193"/>
  <c r="DF83" i="193"/>
  <c r="DE83" i="193"/>
  <c r="DD83" i="193"/>
  <c r="G43" i="193" s="1"/>
  <c r="DC83" i="193"/>
  <c r="CY83" i="193"/>
  <c r="CW83" i="193"/>
  <c r="M43" i="193" s="1"/>
  <c r="CV83" i="193"/>
  <c r="DK83" i="193" s="1"/>
  <c r="CU83" i="193"/>
  <c r="CT83" i="193"/>
  <c r="EP83" i="193" s="1"/>
  <c r="EQ83" i="193" s="1"/>
  <c r="ER83" i="193" s="1"/>
  <c r="ES83" i="193" s="1"/>
  <c r="Y43" i="193" s="1"/>
  <c r="CS83" i="193"/>
  <c r="CR83" i="193"/>
  <c r="CQ83" i="193"/>
  <c r="CP83" i="193"/>
  <c r="CO83" i="193"/>
  <c r="ET83" i="193" s="1"/>
  <c r="CN83" i="193"/>
  <c r="CM83" i="193"/>
  <c r="CL83" i="193"/>
  <c r="EH83" i="193" s="1"/>
  <c r="EJ83" i="193" s="1"/>
  <c r="DS83" i="193" s="1"/>
  <c r="CK83" i="193"/>
  <c r="CJ83" i="193"/>
  <c r="CI83" i="193"/>
  <c r="CH83" i="193"/>
  <c r="CG83" i="193"/>
  <c r="DZ83" i="193" s="1"/>
  <c r="CF83" i="193"/>
  <c r="CE83" i="193"/>
  <c r="CD83" i="193"/>
  <c r="DB83" i="193" s="1"/>
  <c r="CC83" i="193"/>
  <c r="EF83" i="193" s="1"/>
  <c r="CB83" i="193"/>
  <c r="GI82" i="193"/>
  <c r="BD42" i="193" s="1"/>
  <c r="FI82" i="193" s="1"/>
  <c r="GH82" i="193"/>
  <c r="BA42" i="193" s="1"/>
  <c r="GG82" i="193"/>
  <c r="AW42" i="193" s="1"/>
  <c r="GF82" i="193"/>
  <c r="AR42" i="193" s="1"/>
  <c r="FF82" i="193" s="1"/>
  <c r="GE82" i="193"/>
  <c r="AQ42" i="193" s="1"/>
  <c r="GD82" i="193"/>
  <c r="AP42" i="193" s="1"/>
  <c r="FM82" i="193"/>
  <c r="FD82" i="193"/>
  <c r="FC82" i="193"/>
  <c r="EX82" i="193"/>
  <c r="EO82" i="193"/>
  <c r="EN82" i="193"/>
  <c r="X42" i="193" s="1"/>
  <c r="EM82" i="193"/>
  <c r="EL82" i="193"/>
  <c r="ED82" i="193"/>
  <c r="EB82" i="193"/>
  <c r="DJ82" i="193"/>
  <c r="DI82" i="193"/>
  <c r="DH82" i="193"/>
  <c r="DG82" i="193"/>
  <c r="DE82" i="193"/>
  <c r="DA82" i="193"/>
  <c r="CY82" i="193"/>
  <c r="CW82" i="193"/>
  <c r="M42" i="193" s="1"/>
  <c r="CU82" i="193"/>
  <c r="EQ82" i="193" s="1"/>
  <c r="ER82" i="193" s="1"/>
  <c r="CT82" i="193"/>
  <c r="EP82" i="193" s="1"/>
  <c r="CS82" i="193"/>
  <c r="DF82" i="193" s="1"/>
  <c r="CR82" i="193"/>
  <c r="CQ82" i="193"/>
  <c r="CP82" i="193"/>
  <c r="EA82" i="193" s="1"/>
  <c r="CO82" i="193"/>
  <c r="FE82" i="193" s="1"/>
  <c r="CN82" i="193"/>
  <c r="CM82" i="193"/>
  <c r="CL82" i="193"/>
  <c r="EI82" i="193" s="1"/>
  <c r="CK82" i="193"/>
  <c r="EK82" i="193" s="1"/>
  <c r="CJ82" i="193"/>
  <c r="CI82" i="193"/>
  <c r="CH82" i="193"/>
  <c r="CG82" i="193"/>
  <c r="CF82" i="193"/>
  <c r="CE82" i="193"/>
  <c r="CD82" i="193"/>
  <c r="DD82" i="193" s="1"/>
  <c r="G42" i="193" s="1"/>
  <c r="CC82" i="193"/>
  <c r="EF82" i="193" s="1"/>
  <c r="CB82" i="193"/>
  <c r="GI81" i="193"/>
  <c r="BE41" i="193" s="1"/>
  <c r="GH81" i="193"/>
  <c r="BA41" i="193" s="1"/>
  <c r="GG81" i="193"/>
  <c r="AW41" i="193" s="1"/>
  <c r="GF81" i="193"/>
  <c r="AR41" i="193" s="1"/>
  <c r="FF81" i="193" s="1"/>
  <c r="GE81" i="193"/>
  <c r="AQ41" i="193" s="1"/>
  <c r="GD81" i="193"/>
  <c r="AP41" i="193" s="1"/>
  <c r="FM81" i="193"/>
  <c r="FE81" i="193"/>
  <c r="FD81" i="193"/>
  <c r="FC81" i="193"/>
  <c r="EX81" i="193"/>
  <c r="EQ81" i="193"/>
  <c r="ER81" i="193" s="1"/>
  <c r="ES81" i="193" s="1"/>
  <c r="Y41" i="193" s="1"/>
  <c r="EO81" i="193"/>
  <c r="EI81" i="193"/>
  <c r="EH81" i="193"/>
  <c r="EJ81" i="193" s="1"/>
  <c r="ED81" i="193"/>
  <c r="EB81" i="193"/>
  <c r="EA81" i="193"/>
  <c r="Q41" i="193" s="1"/>
  <c r="DZ81" i="193"/>
  <c r="DJ81" i="193"/>
  <c r="DI81" i="193"/>
  <c r="DG81" i="193"/>
  <c r="DE81" i="193"/>
  <c r="DC81" i="193"/>
  <c r="EV81" i="193" s="1"/>
  <c r="DB81" i="193"/>
  <c r="DA81" i="193"/>
  <c r="CY81" i="193"/>
  <c r="CU81" i="193"/>
  <c r="CT81" i="193"/>
  <c r="EP81" i="193" s="1"/>
  <c r="CS81" i="193"/>
  <c r="CR81" i="193"/>
  <c r="CQ81" i="193"/>
  <c r="CP81" i="193"/>
  <c r="CO81" i="193"/>
  <c r="ET81" i="193" s="1"/>
  <c r="CN81" i="193"/>
  <c r="CM81" i="193"/>
  <c r="DH81" i="193" s="1"/>
  <c r="CL81" i="193"/>
  <c r="CK81" i="193"/>
  <c r="EK81" i="193" s="1"/>
  <c r="CJ81" i="193"/>
  <c r="CI81" i="193"/>
  <c r="CH81" i="193"/>
  <c r="CG81" i="193"/>
  <c r="FB81" i="193" s="1"/>
  <c r="CF81" i="193"/>
  <c r="CW81" i="193" s="1"/>
  <c r="M41" i="193" s="1"/>
  <c r="CE81" i="193"/>
  <c r="CD81" i="193"/>
  <c r="CC81" i="193"/>
  <c r="CZ81" i="193" s="1"/>
  <c r="CB81" i="193"/>
  <c r="GI80" i="193"/>
  <c r="BE40" i="193" s="1"/>
  <c r="GH80" i="193"/>
  <c r="AZ40" i="193" s="1"/>
  <c r="FH80" i="193" s="1"/>
  <c r="GG80" i="193"/>
  <c r="AW40" i="193" s="1"/>
  <c r="GF80" i="193"/>
  <c r="AR40" i="193" s="1"/>
  <c r="FF80" i="193" s="1"/>
  <c r="GE80" i="193"/>
  <c r="AQ40" i="193" s="1"/>
  <c r="GD80" i="193"/>
  <c r="AP40" i="193" s="1"/>
  <c r="FM80" i="193"/>
  <c r="FE80" i="193"/>
  <c r="EX80" i="193"/>
  <c r="EP80" i="193"/>
  <c r="EQ80" i="193" s="1"/>
  <c r="ER80" i="193" s="1"/>
  <c r="ES80" i="193" s="1"/>
  <c r="Y40" i="193" s="1"/>
  <c r="EO80" i="193"/>
  <c r="ED80" i="193"/>
  <c r="EB80" i="193"/>
  <c r="EA80" i="193"/>
  <c r="Q40" i="193" s="1"/>
  <c r="DZ80" i="193"/>
  <c r="O40" i="193" s="1"/>
  <c r="DE80" i="193"/>
  <c r="CY80" i="193"/>
  <c r="CU80" i="193"/>
  <c r="CT80" i="193"/>
  <c r="CS80" i="193"/>
  <c r="CR80" i="193"/>
  <c r="CQ80" i="193"/>
  <c r="CP80" i="193"/>
  <c r="FC80" i="193" s="1"/>
  <c r="CO80" i="193"/>
  <c r="CN80" i="193"/>
  <c r="CM80" i="193"/>
  <c r="CL80" i="193"/>
  <c r="CK80" i="193"/>
  <c r="EK80" i="193" s="1"/>
  <c r="CJ80" i="193"/>
  <c r="CI80" i="193"/>
  <c r="CH80" i="193"/>
  <c r="CG80" i="193"/>
  <c r="FB80" i="193" s="1"/>
  <c r="CF80" i="193"/>
  <c r="FD80" i="193" s="1"/>
  <c r="CE80" i="193"/>
  <c r="CD80" i="193"/>
  <c r="CC80" i="193"/>
  <c r="CB80" i="193"/>
  <c r="GI79" i="193"/>
  <c r="GH79" i="193"/>
  <c r="BA39" i="193" s="1"/>
  <c r="GG79" i="193"/>
  <c r="GF79" i="193"/>
  <c r="AR39" i="193" s="1"/>
  <c r="FF79" i="193" s="1"/>
  <c r="GE79" i="193"/>
  <c r="AQ39" i="193" s="1"/>
  <c r="GD79" i="193"/>
  <c r="AP39" i="193" s="1"/>
  <c r="FM79" i="193"/>
  <c r="FC79" i="193"/>
  <c r="FB79" i="193"/>
  <c r="EX79" i="193"/>
  <c r="ET79" i="193"/>
  <c r="EM79" i="193"/>
  <c r="EN79" i="193" s="1"/>
  <c r="EK79" i="193"/>
  <c r="EI79" i="193"/>
  <c r="ED79" i="193"/>
  <c r="EB79" i="193"/>
  <c r="DE79" i="193"/>
  <c r="DD79" i="193"/>
  <c r="DC79" i="193"/>
  <c r="CY79" i="193"/>
  <c r="CV79" i="193"/>
  <c r="DK79" i="193" s="1"/>
  <c r="CU79" i="193"/>
  <c r="EL79" i="193" s="1"/>
  <c r="CT79" i="193"/>
  <c r="EP79" i="193" s="1"/>
  <c r="CS79" i="193"/>
  <c r="CR79" i="193"/>
  <c r="CQ79" i="193"/>
  <c r="CP79" i="193"/>
  <c r="EA79" i="193" s="1"/>
  <c r="CO79" i="193"/>
  <c r="CN79" i="193"/>
  <c r="CM79" i="193"/>
  <c r="CL79" i="193"/>
  <c r="EH79" i="193" s="1"/>
  <c r="EJ79" i="193" s="1"/>
  <c r="DS79" i="193" s="1"/>
  <c r="CK79" i="193"/>
  <c r="CJ79" i="193"/>
  <c r="CI79" i="193"/>
  <c r="CH79" i="193"/>
  <c r="CG79" i="193"/>
  <c r="DZ79" i="193" s="1"/>
  <c r="CF79" i="193"/>
  <c r="CE79" i="193"/>
  <c r="CD79" i="193"/>
  <c r="DB79" i="193" s="1"/>
  <c r="CC79" i="193"/>
  <c r="ET39" i="193" s="1"/>
  <c r="CB79" i="193"/>
  <c r="GI78" i="193"/>
  <c r="BD38" i="193" s="1"/>
  <c r="FI78" i="193" s="1"/>
  <c r="GH78" i="193"/>
  <c r="GG78" i="193"/>
  <c r="GF78" i="193"/>
  <c r="GE78" i="193"/>
  <c r="AQ38" i="193" s="1"/>
  <c r="GD78" i="193"/>
  <c r="AP38" i="193" s="1"/>
  <c r="FM78" i="193"/>
  <c r="FE78" i="193"/>
  <c r="FD78" i="193"/>
  <c r="FB78" i="193"/>
  <c r="EX78" i="193"/>
  <c r="EO78" i="193"/>
  <c r="ED78" i="193"/>
  <c r="EB78" i="193"/>
  <c r="DI78" i="193"/>
  <c r="DH78" i="193"/>
  <c r="DG78" i="193"/>
  <c r="DE78" i="193"/>
  <c r="EW78" i="193" s="1"/>
  <c r="DA78" i="193"/>
  <c r="CY78" i="193"/>
  <c r="CW78" i="193"/>
  <c r="M38" i="193" s="1"/>
  <c r="CU78" i="193"/>
  <c r="CT78" i="193"/>
  <c r="EP78" i="193" s="1"/>
  <c r="CS78" i="193"/>
  <c r="CR78" i="193"/>
  <c r="CQ78" i="193"/>
  <c r="CP78" i="193"/>
  <c r="CO78" i="193"/>
  <c r="ET78" i="193" s="1"/>
  <c r="CN78" i="193"/>
  <c r="CM78" i="193"/>
  <c r="DJ78" i="193" s="1"/>
  <c r="CL78" i="193"/>
  <c r="EI78" i="193" s="1"/>
  <c r="CK78" i="193"/>
  <c r="EK78" i="193" s="1"/>
  <c r="EL78" i="193" s="1"/>
  <c r="EM78" i="193" s="1"/>
  <c r="EN78" i="193" s="1"/>
  <c r="CJ78" i="193"/>
  <c r="CI78" i="193"/>
  <c r="CH78" i="193"/>
  <c r="CG78" i="193"/>
  <c r="DZ78" i="193" s="1"/>
  <c r="CF78" i="193"/>
  <c r="CE78" i="193"/>
  <c r="CD78" i="193"/>
  <c r="DD78" i="193" s="1"/>
  <c r="CC78" i="193"/>
  <c r="CB78" i="193"/>
  <c r="GI77" i="193"/>
  <c r="BD37" i="193" s="1"/>
  <c r="FI77" i="193" s="1"/>
  <c r="GH77" i="193"/>
  <c r="GG77" i="193"/>
  <c r="FG77" i="193" s="1"/>
  <c r="GF77" i="193"/>
  <c r="FF77" i="193" s="1"/>
  <c r="GE77" i="193"/>
  <c r="GD77" i="193"/>
  <c r="AP37" i="193" s="1"/>
  <c r="FM77" i="193"/>
  <c r="FE77" i="193"/>
  <c r="FD77" i="193"/>
  <c r="FC77" i="193"/>
  <c r="EX77" i="193"/>
  <c r="EP77" i="193"/>
  <c r="EO77" i="193"/>
  <c r="ED77" i="193"/>
  <c r="EB77" i="193"/>
  <c r="EA77" i="193"/>
  <c r="DZ77" i="193"/>
  <c r="DH77" i="193"/>
  <c r="DE77" i="193"/>
  <c r="CY77" i="193"/>
  <c r="CU77" i="193"/>
  <c r="CT77" i="193"/>
  <c r="CS77" i="193"/>
  <c r="CR77" i="193"/>
  <c r="CQ77" i="193"/>
  <c r="CP77" i="193"/>
  <c r="CO77" i="193"/>
  <c r="ET77" i="193" s="1"/>
  <c r="CN77" i="193"/>
  <c r="CM77" i="193"/>
  <c r="DG77" i="193" s="1"/>
  <c r="CL77" i="193"/>
  <c r="CK77" i="193"/>
  <c r="EK77" i="193" s="1"/>
  <c r="CJ77" i="193"/>
  <c r="CI77" i="193"/>
  <c r="CH77" i="193"/>
  <c r="CG77" i="193"/>
  <c r="FB77" i="193" s="1"/>
  <c r="CF77" i="193"/>
  <c r="CW77" i="193" s="1"/>
  <c r="M37" i="193" s="1"/>
  <c r="CE77" i="193"/>
  <c r="CD77" i="193"/>
  <c r="CC77" i="193"/>
  <c r="CZ77" i="193" s="1"/>
  <c r="CB77" i="193"/>
  <c r="GI76" i="193"/>
  <c r="BD36" i="193" s="1"/>
  <c r="FI76" i="193" s="1"/>
  <c r="GH76" i="193"/>
  <c r="GG76" i="193"/>
  <c r="GF76" i="193"/>
  <c r="GE76" i="193"/>
  <c r="GD76" i="193"/>
  <c r="FM76" i="193"/>
  <c r="EX76" i="193"/>
  <c r="ER76" i="193"/>
  <c r="ES76" i="193" s="1"/>
  <c r="Y36" i="193" s="1"/>
  <c r="EK76" i="193"/>
  <c r="EI76" i="193"/>
  <c r="EH76" i="193"/>
  <c r="EJ76" i="193" s="1"/>
  <c r="DS76" i="193" s="1"/>
  <c r="ED76" i="193"/>
  <c r="EB76" i="193"/>
  <c r="EA76" i="193"/>
  <c r="DK76" i="193"/>
  <c r="DJ76" i="193"/>
  <c r="DE76" i="193"/>
  <c r="DC76" i="193"/>
  <c r="DB76" i="193"/>
  <c r="DA76" i="193"/>
  <c r="CY76" i="193"/>
  <c r="CW76" i="193"/>
  <c r="M36" i="193" s="1"/>
  <c r="CV76" i="193"/>
  <c r="CU76" i="193"/>
  <c r="CT76" i="193"/>
  <c r="EP76" i="193" s="1"/>
  <c r="EQ76" i="193" s="1"/>
  <c r="CS76" i="193"/>
  <c r="CR76" i="193"/>
  <c r="CQ76" i="193"/>
  <c r="CP76" i="193"/>
  <c r="FC76" i="193" s="1"/>
  <c r="CO76" i="193"/>
  <c r="FE76" i="193" s="1"/>
  <c r="CN76" i="193"/>
  <c r="CM76" i="193"/>
  <c r="CL76" i="193"/>
  <c r="CK76" i="193"/>
  <c r="CJ76" i="193"/>
  <c r="CI76" i="193"/>
  <c r="CH76" i="193"/>
  <c r="CG76" i="193"/>
  <c r="FB76" i="193" s="1"/>
  <c r="CF76" i="193"/>
  <c r="CE76" i="193"/>
  <c r="CD76" i="193"/>
  <c r="DD76" i="193" s="1"/>
  <c r="CC76" i="193"/>
  <c r="ET36" i="193" s="1"/>
  <c r="CB76" i="193"/>
  <c r="GI75" i="193"/>
  <c r="BE35" i="193" s="1"/>
  <c r="GH75" i="193"/>
  <c r="AZ35" i="193" s="1"/>
  <c r="GG75" i="193"/>
  <c r="GF75" i="193"/>
  <c r="GE75" i="193"/>
  <c r="GD75" i="193"/>
  <c r="FM75" i="193"/>
  <c r="FF75" i="193"/>
  <c r="FB75" i="193"/>
  <c r="EX75" i="193"/>
  <c r="ET75" i="193"/>
  <c r="EK75" i="193"/>
  <c r="EL75" i="193" s="1"/>
  <c r="EM75" i="193" s="1"/>
  <c r="EN75" i="193" s="1"/>
  <c r="X35" i="193" s="1"/>
  <c r="EI75" i="193"/>
  <c r="ED75" i="193"/>
  <c r="EB75" i="193"/>
  <c r="EA75" i="193"/>
  <c r="DE75" i="193"/>
  <c r="DD75" i="193"/>
  <c r="H35" i="193" s="1"/>
  <c r="DC75" i="193"/>
  <c r="CY75" i="193"/>
  <c r="CX75" i="193"/>
  <c r="CU75" i="193"/>
  <c r="EQ75" i="193" s="1"/>
  <c r="ER75" i="193" s="1"/>
  <c r="ES75" i="193" s="1"/>
  <c r="Y35" i="193" s="1"/>
  <c r="CT75" i="193"/>
  <c r="EP75" i="193" s="1"/>
  <c r="CS75" i="193"/>
  <c r="CR75" i="193"/>
  <c r="CQ75" i="193"/>
  <c r="DS75" i="193" s="1"/>
  <c r="DU75" i="193" s="1"/>
  <c r="CP75" i="193"/>
  <c r="FC75" i="193" s="1"/>
  <c r="CO75" i="193"/>
  <c r="FE75" i="193" s="1"/>
  <c r="CN75" i="193"/>
  <c r="CM75" i="193"/>
  <c r="CL75" i="193"/>
  <c r="EH75" i="193" s="1"/>
  <c r="EJ75" i="193" s="1"/>
  <c r="CK75" i="193"/>
  <c r="CJ75" i="193"/>
  <c r="CI75" i="193"/>
  <c r="CH75" i="193"/>
  <c r="CG75" i="193"/>
  <c r="DZ75" i="193" s="1"/>
  <c r="CF75" i="193"/>
  <c r="CE75" i="193"/>
  <c r="CD75" i="193"/>
  <c r="DB75" i="193" s="1"/>
  <c r="CC75" i="193"/>
  <c r="ET35" i="193" s="1"/>
  <c r="CB75" i="193"/>
  <c r="GI74" i="193"/>
  <c r="BD34" i="193" s="1"/>
  <c r="FI74" i="193" s="1"/>
  <c r="GH74" i="193"/>
  <c r="GG74" i="193"/>
  <c r="GF74" i="193"/>
  <c r="GE74" i="193"/>
  <c r="GD74" i="193"/>
  <c r="AP34" i="193" s="1"/>
  <c r="FM74" i="193"/>
  <c r="FF74" i="193"/>
  <c r="FE74" i="193"/>
  <c r="FD74" i="193"/>
  <c r="FB74" i="193"/>
  <c r="FA74" i="193"/>
  <c r="EY74" i="193" s="1"/>
  <c r="EX74" i="193"/>
  <c r="EW74" i="193"/>
  <c r="ET74" i="193"/>
  <c r="EO74" i="193"/>
  <c r="EK74" i="193"/>
  <c r="EL74" i="193" s="1"/>
  <c r="EM74" i="193" s="1"/>
  <c r="EN74" i="193" s="1"/>
  <c r="X34" i="193" s="1"/>
  <c r="ED74" i="193"/>
  <c r="EB74" i="193"/>
  <c r="DI74" i="193"/>
  <c r="DH74" i="193"/>
  <c r="DG74" i="193"/>
  <c r="DE74" i="193"/>
  <c r="DD74" i="193"/>
  <c r="I34" i="193" s="1"/>
  <c r="BS34" i="193" s="1"/>
  <c r="DA74" i="193"/>
  <c r="CY74" i="193"/>
  <c r="CX74" i="193"/>
  <c r="CW74" i="193"/>
  <c r="M34" i="193" s="1"/>
  <c r="CV74" i="193"/>
  <c r="DK74" i="193" s="1"/>
  <c r="CU74" i="193"/>
  <c r="EQ74" i="193" s="1"/>
  <c r="ER74" i="193" s="1"/>
  <c r="CT74" i="193"/>
  <c r="EP74" i="193" s="1"/>
  <c r="CS74" i="193"/>
  <c r="CR74" i="193"/>
  <c r="CQ74" i="193"/>
  <c r="CP74" i="193"/>
  <c r="CO74" i="193"/>
  <c r="CN74" i="193"/>
  <c r="CM74" i="193"/>
  <c r="DJ74" i="193" s="1"/>
  <c r="CL74" i="193"/>
  <c r="EI74" i="193" s="1"/>
  <c r="CK74" i="193"/>
  <c r="CJ74" i="193"/>
  <c r="CI74" i="193"/>
  <c r="CH74" i="193"/>
  <c r="CG74" i="193"/>
  <c r="DZ74" i="193" s="1"/>
  <c r="CF74" i="193"/>
  <c r="CE74" i="193"/>
  <c r="CD74" i="193"/>
  <c r="DC74" i="193" s="1"/>
  <c r="CC74" i="193"/>
  <c r="CB74" i="193"/>
  <c r="GI73" i="193"/>
  <c r="BE33" i="193" s="1"/>
  <c r="GH73" i="193"/>
  <c r="GG73" i="193"/>
  <c r="GF73" i="193"/>
  <c r="GE73" i="193"/>
  <c r="GD73" i="193"/>
  <c r="AP33" i="193" s="1"/>
  <c r="FM73" i="193"/>
  <c r="FE73" i="193"/>
  <c r="FD73" i="193"/>
  <c r="FC73" i="193"/>
  <c r="FB73" i="193"/>
  <c r="EX73" i="193"/>
  <c r="ET73" i="193"/>
  <c r="EO73" i="193"/>
  <c r="EI73" i="193"/>
  <c r="ED73" i="193"/>
  <c r="EB73" i="193"/>
  <c r="EA73" i="193"/>
  <c r="DZ73" i="193"/>
  <c r="DJ73" i="193"/>
  <c r="DI73" i="193"/>
  <c r="DE73" i="193"/>
  <c r="DC73" i="193"/>
  <c r="EV73" i="193" s="1"/>
  <c r="CY73" i="193"/>
  <c r="CX73" i="193"/>
  <c r="CU73" i="193"/>
  <c r="CT73" i="193"/>
  <c r="EP73" i="193" s="1"/>
  <c r="EQ73" i="193" s="1"/>
  <c r="ER73" i="193" s="1"/>
  <c r="ES73" i="193" s="1"/>
  <c r="Y33" i="193" s="1"/>
  <c r="CS73" i="193"/>
  <c r="CR73" i="193"/>
  <c r="CQ73" i="193"/>
  <c r="CP73" i="193"/>
  <c r="CO73" i="193"/>
  <c r="CN73" i="193"/>
  <c r="CM73" i="193"/>
  <c r="DH73" i="193" s="1"/>
  <c r="CL73" i="193"/>
  <c r="EH73" i="193" s="1"/>
  <c r="EJ73" i="193" s="1"/>
  <c r="DS73" i="193" s="1"/>
  <c r="CK73" i="193"/>
  <c r="EK73" i="193" s="1"/>
  <c r="CJ73" i="193"/>
  <c r="CI73" i="193"/>
  <c r="CH73" i="193"/>
  <c r="CG73" i="193"/>
  <c r="CF73" i="193"/>
  <c r="CW73" i="193" s="1"/>
  <c r="CE73" i="193"/>
  <c r="CD73" i="193"/>
  <c r="CC73" i="193"/>
  <c r="ET33" i="193" s="1"/>
  <c r="CB73" i="193"/>
  <c r="GI72" i="193"/>
  <c r="BE32" i="193" s="1"/>
  <c r="GH72" i="193"/>
  <c r="GG72" i="193"/>
  <c r="GF72" i="193"/>
  <c r="GE72" i="193"/>
  <c r="GD72" i="193"/>
  <c r="FM72" i="193"/>
  <c r="FE72" i="193"/>
  <c r="EX72" i="193"/>
  <c r="EO72" i="193"/>
  <c r="ED72" i="193"/>
  <c r="EB72" i="193"/>
  <c r="EA72" i="193"/>
  <c r="DZ72" i="193"/>
  <c r="DE72" i="193"/>
  <c r="CY72" i="193"/>
  <c r="CU72" i="193"/>
  <c r="CT72" i="193"/>
  <c r="EP72" i="193" s="1"/>
  <c r="EQ72" i="193" s="1"/>
  <c r="ER72" i="193" s="1"/>
  <c r="ES72" i="193" s="1"/>
  <c r="CS72" i="193"/>
  <c r="CR72" i="193"/>
  <c r="CQ72" i="193"/>
  <c r="CP72" i="193"/>
  <c r="FC72" i="193" s="1"/>
  <c r="CO72" i="193"/>
  <c r="CN72" i="193"/>
  <c r="CM72" i="193"/>
  <c r="CL72" i="193"/>
  <c r="CK72" i="193"/>
  <c r="EK72" i="193" s="1"/>
  <c r="CJ72" i="193"/>
  <c r="CI72" i="193"/>
  <c r="CH72" i="193"/>
  <c r="CG72" i="193"/>
  <c r="FB72" i="193" s="1"/>
  <c r="CF72" i="193"/>
  <c r="CE72" i="193"/>
  <c r="CD72" i="193"/>
  <c r="CC72" i="193"/>
  <c r="CB72" i="193"/>
  <c r="GI71" i="193"/>
  <c r="BD31" i="193" s="1"/>
  <c r="FI71" i="193" s="1"/>
  <c r="GH71" i="193"/>
  <c r="GG71" i="193"/>
  <c r="FG71" i="193" s="1"/>
  <c r="GF71" i="193"/>
  <c r="GE71" i="193"/>
  <c r="GD71" i="193"/>
  <c r="FM71" i="193"/>
  <c r="EX71" i="193"/>
  <c r="ET71" i="193"/>
  <c r="ER71" i="193"/>
  <c r="ES71" i="193" s="1"/>
  <c r="Y31" i="193" s="1"/>
  <c r="EQ71" i="193"/>
  <c r="EK71" i="193"/>
  <c r="EI71" i="193"/>
  <c r="ED71" i="193"/>
  <c r="EB71" i="193"/>
  <c r="DK71" i="193"/>
  <c r="DG71" i="193"/>
  <c r="DE71" i="193"/>
  <c r="DD71" i="193"/>
  <c r="DC71" i="193"/>
  <c r="CY71" i="193"/>
  <c r="CW71" i="193"/>
  <c r="CV71" i="193"/>
  <c r="CU71" i="193"/>
  <c r="EL71" i="193" s="1"/>
  <c r="EM71" i="193" s="1"/>
  <c r="CT71" i="193"/>
  <c r="EP71" i="193" s="1"/>
  <c r="CS71" i="193"/>
  <c r="CR71" i="193"/>
  <c r="CQ71" i="193"/>
  <c r="CP71" i="193"/>
  <c r="CO71" i="193"/>
  <c r="FE71" i="193" s="1"/>
  <c r="CN71" i="193"/>
  <c r="CM71" i="193"/>
  <c r="CL71" i="193"/>
  <c r="EH71" i="193" s="1"/>
  <c r="EJ71" i="193" s="1"/>
  <c r="DS71" i="193" s="1"/>
  <c r="CK71" i="193"/>
  <c r="CJ71" i="193"/>
  <c r="CI71" i="193"/>
  <c r="CH71" i="193"/>
  <c r="CG71" i="193"/>
  <c r="CF71" i="193"/>
  <c r="CE71" i="193"/>
  <c r="CD71" i="193"/>
  <c r="DB71" i="193" s="1"/>
  <c r="CC71" i="193"/>
  <c r="EF71" i="193" s="1"/>
  <c r="CB71" i="193"/>
  <c r="GI70" i="193"/>
  <c r="GH70" i="193"/>
  <c r="AZ30" i="193" s="1"/>
  <c r="FH70" i="193" s="1"/>
  <c r="GG70" i="193"/>
  <c r="FG70" i="193" s="1"/>
  <c r="GF70" i="193"/>
  <c r="GE70" i="193"/>
  <c r="GD70" i="193"/>
  <c r="FM70" i="193"/>
  <c r="FD70" i="193"/>
  <c r="FC70" i="193"/>
  <c r="EX70" i="193"/>
  <c r="EO70" i="193"/>
  <c r="EL70" i="193"/>
  <c r="EM70" i="193" s="1"/>
  <c r="EN70" i="193" s="1"/>
  <c r="X30" i="193" s="1"/>
  <c r="ED70" i="193"/>
  <c r="EB70" i="193"/>
  <c r="DI70" i="193"/>
  <c r="DH70" i="193"/>
  <c r="DG70" i="193"/>
  <c r="DE70" i="193"/>
  <c r="DD70" i="193"/>
  <c r="DA70" i="193"/>
  <c r="CY70" i="193"/>
  <c r="CW70" i="193"/>
  <c r="CV70" i="193"/>
  <c r="DK70" i="193" s="1"/>
  <c r="CU70" i="193"/>
  <c r="CT70" i="193"/>
  <c r="EP70" i="193" s="1"/>
  <c r="CS70" i="193"/>
  <c r="CR70" i="193"/>
  <c r="CQ70" i="193"/>
  <c r="CP70" i="193"/>
  <c r="EA70" i="193" s="1"/>
  <c r="CO70" i="193"/>
  <c r="CN70" i="193"/>
  <c r="CM70" i="193"/>
  <c r="DJ70" i="193" s="1"/>
  <c r="CL70" i="193"/>
  <c r="EI70" i="193" s="1"/>
  <c r="CK70" i="193"/>
  <c r="EK70" i="193" s="1"/>
  <c r="CJ70" i="193"/>
  <c r="CI70" i="193"/>
  <c r="CH70" i="193"/>
  <c r="CG70" i="193"/>
  <c r="DZ70" i="193" s="1"/>
  <c r="CF70" i="193"/>
  <c r="CE70" i="193"/>
  <c r="CD70" i="193"/>
  <c r="DC70" i="193" s="1"/>
  <c r="CC70" i="193"/>
  <c r="CB70" i="193"/>
  <c r="GI69" i="193"/>
  <c r="BE29" i="193" s="1"/>
  <c r="GH69" i="193"/>
  <c r="BA29" i="193" s="1"/>
  <c r="GG69" i="193"/>
  <c r="GF69" i="193"/>
  <c r="GE69" i="193"/>
  <c r="GD69" i="193"/>
  <c r="AP29" i="193" s="1"/>
  <c r="FM69" i="193"/>
  <c r="FE69" i="193"/>
  <c r="FD69" i="193"/>
  <c r="FC69" i="193"/>
  <c r="FB69" i="193"/>
  <c r="EX69" i="193"/>
  <c r="ET69" i="193"/>
  <c r="EO69" i="193"/>
  <c r="EI69" i="193"/>
  <c r="ED69" i="193"/>
  <c r="EB69" i="193"/>
  <c r="EA69" i="193"/>
  <c r="DZ69" i="193"/>
  <c r="DH69" i="193"/>
  <c r="DG69" i="193"/>
  <c r="DE69" i="193"/>
  <c r="CY69" i="193"/>
  <c r="CX69" i="193"/>
  <c r="CU69" i="193"/>
  <c r="CT69" i="193"/>
  <c r="EP69" i="193" s="1"/>
  <c r="CS69" i="193"/>
  <c r="DF69" i="193" s="1"/>
  <c r="CR69" i="193"/>
  <c r="CQ69" i="193"/>
  <c r="CP69" i="193"/>
  <c r="CO69" i="193"/>
  <c r="CN69" i="193"/>
  <c r="CM69" i="193"/>
  <c r="CL69" i="193"/>
  <c r="EH69" i="193" s="1"/>
  <c r="EJ69" i="193" s="1"/>
  <c r="DS69" i="193" s="1"/>
  <c r="CK69" i="193"/>
  <c r="EK69" i="193" s="1"/>
  <c r="CJ69" i="193"/>
  <c r="CI69" i="193"/>
  <c r="CH69" i="193"/>
  <c r="CG69" i="193"/>
  <c r="CF69" i="193"/>
  <c r="CW69" i="193" s="1"/>
  <c r="CE69" i="193"/>
  <c r="CD69" i="193"/>
  <c r="CC69" i="193"/>
  <c r="CB69" i="193"/>
  <c r="GI68" i="193"/>
  <c r="BD28" i="193" s="1"/>
  <c r="FI68" i="193" s="1"/>
  <c r="GH68" i="193"/>
  <c r="BA28" i="193" s="1"/>
  <c r="GG68" i="193"/>
  <c r="AV28" i="193" s="1"/>
  <c r="FG68" i="193" s="1"/>
  <c r="GF68" i="193"/>
  <c r="GE68" i="193"/>
  <c r="GD68" i="193"/>
  <c r="AP28" i="193" s="1"/>
  <c r="FM68" i="193"/>
  <c r="FE68" i="193"/>
  <c r="EX68" i="193"/>
  <c r="EQ68" i="193"/>
  <c r="ER68" i="193" s="1"/>
  <c r="ES68" i="193" s="1"/>
  <c r="Y28" i="193" s="1"/>
  <c r="EI68" i="193"/>
  <c r="EH68" i="193"/>
  <c r="EJ68" i="193" s="1"/>
  <c r="DS68" i="193" s="1"/>
  <c r="DT68" i="193" s="1"/>
  <c r="ED68" i="193"/>
  <c r="EB68" i="193"/>
  <c r="EA68" i="193"/>
  <c r="DU68" i="193"/>
  <c r="DI68" i="193"/>
  <c r="DE68" i="193"/>
  <c r="DD68" i="193"/>
  <c r="H28" i="193" s="1"/>
  <c r="CY68" i="193"/>
  <c r="CV68" i="193"/>
  <c r="DK68" i="193" s="1"/>
  <c r="CU68" i="193"/>
  <c r="CT68" i="193"/>
  <c r="EP68" i="193" s="1"/>
  <c r="CS68" i="193"/>
  <c r="CR68" i="193"/>
  <c r="CQ68" i="193"/>
  <c r="CP68" i="193"/>
  <c r="FC68" i="193" s="1"/>
  <c r="CO68" i="193"/>
  <c r="CN68" i="193"/>
  <c r="CM68" i="193"/>
  <c r="CL68" i="193"/>
  <c r="EU28" i="193" s="1"/>
  <c r="CK68" i="193"/>
  <c r="EK68" i="193" s="1"/>
  <c r="CJ68" i="193"/>
  <c r="CI68" i="193"/>
  <c r="CH68" i="193"/>
  <c r="CG68" i="193"/>
  <c r="CF68" i="193"/>
  <c r="CE68" i="193"/>
  <c r="CD68" i="193"/>
  <c r="CC68" i="193"/>
  <c r="CB68" i="193"/>
  <c r="GI67" i="193"/>
  <c r="BE27" i="193" s="1"/>
  <c r="GH67" i="193"/>
  <c r="BA27" i="193" s="1"/>
  <c r="GG67" i="193"/>
  <c r="AV27" i="193" s="1"/>
  <c r="FG67" i="193" s="1"/>
  <c r="GF67" i="193"/>
  <c r="GE67" i="193"/>
  <c r="AQ27" i="193" s="1"/>
  <c r="GD67" i="193"/>
  <c r="FM67" i="193"/>
  <c r="FC67" i="193"/>
  <c r="EX67" i="193"/>
  <c r="ET67" i="193"/>
  <c r="EL67" i="193"/>
  <c r="EM67" i="193" s="1"/>
  <c r="EN67" i="193" s="1"/>
  <c r="X27" i="193" s="1"/>
  <c r="EK67" i="193"/>
  <c r="EJ67" i="193"/>
  <c r="DS67" i="193" s="1"/>
  <c r="EI67" i="193"/>
  <c r="ED67" i="193"/>
  <c r="EB67" i="193"/>
  <c r="DG67" i="193"/>
  <c r="DE67" i="193"/>
  <c r="DD67" i="193"/>
  <c r="H27" i="193" s="1"/>
  <c r="DC67" i="193"/>
  <c r="CY67" i="193"/>
  <c r="CX67" i="193"/>
  <c r="CV67" i="193"/>
  <c r="DK67" i="193" s="1"/>
  <c r="CU67" i="193"/>
  <c r="EQ67" i="193" s="1"/>
  <c r="ER67" i="193" s="1"/>
  <c r="ES67" i="193" s="1"/>
  <c r="Y27" i="193" s="1"/>
  <c r="CT67" i="193"/>
  <c r="EP67" i="193" s="1"/>
  <c r="CS67" i="193"/>
  <c r="CR67" i="193"/>
  <c r="CQ67" i="193"/>
  <c r="CP67" i="193"/>
  <c r="EA67" i="193" s="1"/>
  <c r="CO67" i="193"/>
  <c r="FE67" i="193" s="1"/>
  <c r="CN67" i="193"/>
  <c r="CM67" i="193"/>
  <c r="CL67" i="193"/>
  <c r="EH67" i="193" s="1"/>
  <c r="CK67" i="193"/>
  <c r="CJ67" i="193"/>
  <c r="CI67" i="193"/>
  <c r="CH67" i="193"/>
  <c r="CG67" i="193"/>
  <c r="CF67" i="193"/>
  <c r="CE67" i="193"/>
  <c r="CD67" i="193"/>
  <c r="DB67" i="193" s="1"/>
  <c r="CC67" i="193"/>
  <c r="EF67" i="193" s="1"/>
  <c r="CB67" i="193"/>
  <c r="GI66" i="193"/>
  <c r="BD26" i="193" s="1"/>
  <c r="FI66" i="193" s="1"/>
  <c r="GH66" i="193"/>
  <c r="GG66" i="193"/>
  <c r="AV26" i="193" s="1"/>
  <c r="FG66" i="193" s="1"/>
  <c r="GF66" i="193"/>
  <c r="AS26" i="193" s="1"/>
  <c r="GE66" i="193"/>
  <c r="AQ26" i="193" s="1"/>
  <c r="GD66" i="193"/>
  <c r="AP26" i="193" s="1"/>
  <c r="FM66" i="193"/>
  <c r="FC66" i="193"/>
  <c r="FB66" i="193"/>
  <c r="EX66" i="193"/>
  <c r="ES66" i="193"/>
  <c r="EK66" i="193"/>
  <c r="EL66" i="193" s="1"/>
  <c r="EM66" i="193" s="1"/>
  <c r="EN66" i="193" s="1"/>
  <c r="X26" i="193" s="1"/>
  <c r="GE26" i="193" s="1"/>
  <c r="GL26" i="193" s="1"/>
  <c r="ED66" i="193"/>
  <c r="EB66" i="193"/>
  <c r="DI66" i="193"/>
  <c r="DH66" i="193"/>
  <c r="DG66" i="193"/>
  <c r="DF66" i="193"/>
  <c r="DE66" i="193"/>
  <c r="DD66" i="193"/>
  <c r="DA66" i="193"/>
  <c r="CY66" i="193"/>
  <c r="CV66" i="193"/>
  <c r="DK66" i="193" s="1"/>
  <c r="CU66" i="193"/>
  <c r="EQ66" i="193" s="1"/>
  <c r="ER66" i="193" s="1"/>
  <c r="CT66" i="193"/>
  <c r="EP66" i="193" s="1"/>
  <c r="CS66" i="193"/>
  <c r="CR66" i="193"/>
  <c r="CQ66" i="193"/>
  <c r="CP66" i="193"/>
  <c r="EA66" i="193" s="1"/>
  <c r="CO66" i="193"/>
  <c r="CN66" i="193"/>
  <c r="CM66" i="193"/>
  <c r="DJ66" i="193" s="1"/>
  <c r="CL66" i="193"/>
  <c r="EI66" i="193" s="1"/>
  <c r="CK66" i="193"/>
  <c r="CJ66" i="193"/>
  <c r="CI66" i="193"/>
  <c r="CH66" i="193"/>
  <c r="CG66" i="193"/>
  <c r="DZ66" i="193" s="1"/>
  <c r="CF66" i="193"/>
  <c r="CE66" i="193"/>
  <c r="CD66" i="193"/>
  <c r="DC66" i="193" s="1"/>
  <c r="CC66" i="193"/>
  <c r="ET26" i="193" s="1"/>
  <c r="CB66" i="193"/>
  <c r="GI65" i="193"/>
  <c r="BE25" i="193" s="1"/>
  <c r="GH65" i="193"/>
  <c r="GG65" i="193"/>
  <c r="GF65" i="193"/>
  <c r="GE65" i="193"/>
  <c r="GD65" i="193"/>
  <c r="AP25" i="193" s="1"/>
  <c r="FM65" i="193"/>
  <c r="FF65" i="193"/>
  <c r="FE65" i="193"/>
  <c r="FC65" i="193"/>
  <c r="FB65" i="193"/>
  <c r="EX65" i="193"/>
  <c r="ET65" i="193"/>
  <c r="EP65" i="193"/>
  <c r="EQ65" i="193" s="1"/>
  <c r="ER65" i="193" s="1"/>
  <c r="ES65" i="193" s="1"/>
  <c r="Y25" i="193" s="1"/>
  <c r="EI65" i="193"/>
  <c r="EH65" i="193"/>
  <c r="EJ65" i="193" s="1"/>
  <c r="DS65" i="193" s="1"/>
  <c r="ED65" i="193"/>
  <c r="EB65" i="193"/>
  <c r="EA65" i="193"/>
  <c r="DZ65" i="193"/>
  <c r="DJ65" i="193"/>
  <c r="DI65" i="193"/>
  <c r="DH65" i="193"/>
  <c r="DG65" i="193"/>
  <c r="DE65" i="193"/>
  <c r="DD65" i="193"/>
  <c r="DA65" i="193"/>
  <c r="CY65" i="193"/>
  <c r="CX65" i="193"/>
  <c r="CV65" i="193"/>
  <c r="DK65" i="193" s="1"/>
  <c r="CU65" i="193"/>
  <c r="CT65" i="193"/>
  <c r="CS65" i="193"/>
  <c r="CR65" i="193"/>
  <c r="CQ65" i="193"/>
  <c r="CP65" i="193"/>
  <c r="CO65" i="193"/>
  <c r="CN65" i="193"/>
  <c r="CM65" i="193"/>
  <c r="CL65" i="193"/>
  <c r="CK65" i="193"/>
  <c r="EK65" i="193" s="1"/>
  <c r="EL65" i="193" s="1"/>
  <c r="EM65" i="193" s="1"/>
  <c r="EN65" i="193" s="1"/>
  <c r="X25" i="193" s="1"/>
  <c r="CJ65" i="193"/>
  <c r="CI65" i="193"/>
  <c r="CH65" i="193"/>
  <c r="CG65" i="193"/>
  <c r="CF65" i="193"/>
  <c r="CE65" i="193"/>
  <c r="CD65" i="193"/>
  <c r="DC65" i="193" s="1"/>
  <c r="CC65" i="193"/>
  <c r="CB65" i="193"/>
  <c r="GI64" i="193"/>
  <c r="BE24" i="193" s="1"/>
  <c r="GH64" i="193"/>
  <c r="GG64" i="193"/>
  <c r="GF64" i="193"/>
  <c r="GE64" i="193"/>
  <c r="GD64" i="193"/>
  <c r="AP24" i="193" s="1"/>
  <c r="FM64" i="193"/>
  <c r="FF64" i="193"/>
  <c r="FE64" i="193"/>
  <c r="FD64" i="193"/>
  <c r="FB64" i="193"/>
  <c r="EX64" i="193"/>
  <c r="ET64" i="193"/>
  <c r="EP64" i="193"/>
  <c r="EQ64" i="193" s="1"/>
  <c r="ER64" i="193" s="1"/>
  <c r="ES64" i="193" s="1"/>
  <c r="Y24" i="193" s="1"/>
  <c r="EO64" i="193"/>
  <c r="EH64" i="193"/>
  <c r="EJ64" i="193" s="1"/>
  <c r="DS64" i="193" s="1"/>
  <c r="ED64" i="193"/>
  <c r="EB64" i="193"/>
  <c r="DZ64" i="193"/>
  <c r="DJ64" i="193"/>
  <c r="DI64" i="193"/>
  <c r="DH64" i="193"/>
  <c r="DG64" i="193"/>
  <c r="DE64" i="193"/>
  <c r="DB64" i="193"/>
  <c r="DA64" i="193"/>
  <c r="CY64" i="193"/>
  <c r="CX64" i="193"/>
  <c r="CU64" i="193"/>
  <c r="EU64" i="193" s="1"/>
  <c r="CT64" i="193"/>
  <c r="CS64" i="193"/>
  <c r="CR64" i="193"/>
  <c r="CQ64" i="193"/>
  <c r="CP64" i="193"/>
  <c r="CO64" i="193"/>
  <c r="CN64" i="193"/>
  <c r="CM64" i="193"/>
  <c r="CL64" i="193"/>
  <c r="EI64" i="193" s="1"/>
  <c r="CK64" i="193"/>
  <c r="EK64" i="193" s="1"/>
  <c r="EL64" i="193" s="1"/>
  <c r="EM64" i="193" s="1"/>
  <c r="EN64" i="193" s="1"/>
  <c r="X24" i="193" s="1"/>
  <c r="CJ64" i="193"/>
  <c r="CI64" i="193"/>
  <c r="CH64" i="193"/>
  <c r="CG64" i="193"/>
  <c r="CF64" i="193"/>
  <c r="CW64" i="193" s="1"/>
  <c r="CE64" i="193"/>
  <c r="CD64" i="193"/>
  <c r="CC64" i="193"/>
  <c r="EF64" i="193" s="1"/>
  <c r="CB64" i="193"/>
  <c r="GI63" i="193"/>
  <c r="BD23" i="193" s="1"/>
  <c r="FI63" i="193" s="1"/>
  <c r="GH63" i="193"/>
  <c r="BA23" i="193" s="1"/>
  <c r="GG63" i="193"/>
  <c r="GF63" i="193"/>
  <c r="GE63" i="193"/>
  <c r="GD63" i="193"/>
  <c r="AP23" i="193" s="1"/>
  <c r="FM63" i="193"/>
  <c r="FF63" i="193"/>
  <c r="EZ63" i="193"/>
  <c r="EX63" i="193"/>
  <c r="EO63" i="193"/>
  <c r="EK63" i="193"/>
  <c r="ED63" i="193"/>
  <c r="EB63" i="193"/>
  <c r="EA63" i="193"/>
  <c r="DJ63" i="193"/>
  <c r="DI63" i="193"/>
  <c r="EW63" i="193" s="1"/>
  <c r="DH63" i="193"/>
  <c r="DE63" i="193"/>
  <c r="DB63" i="193"/>
  <c r="CY63" i="193"/>
  <c r="CX63" i="193"/>
  <c r="CW63" i="193"/>
  <c r="CU63" i="193"/>
  <c r="CT63" i="193"/>
  <c r="EP63" i="193" s="1"/>
  <c r="CS63" i="193"/>
  <c r="CR63" i="193"/>
  <c r="CQ63" i="193"/>
  <c r="CP63" i="193"/>
  <c r="FC63" i="193" s="1"/>
  <c r="CO63" i="193"/>
  <c r="ET63" i="193" s="1"/>
  <c r="CN63" i="193"/>
  <c r="CM63" i="193"/>
  <c r="DG63" i="193" s="1"/>
  <c r="CL63" i="193"/>
  <c r="CK63" i="193"/>
  <c r="CJ63" i="193"/>
  <c r="CI63" i="193"/>
  <c r="CH63" i="193"/>
  <c r="CG63" i="193"/>
  <c r="FB63" i="193" s="1"/>
  <c r="CF63" i="193"/>
  <c r="FD63" i="193" s="1"/>
  <c r="CE63" i="193"/>
  <c r="CD63" i="193"/>
  <c r="CC63" i="193"/>
  <c r="EE63" i="193" s="1"/>
  <c r="EG63" i="193" s="1"/>
  <c r="DL63" i="193" s="1"/>
  <c r="CB63" i="193"/>
  <c r="GI62" i="193"/>
  <c r="GH62" i="193"/>
  <c r="GG62" i="193"/>
  <c r="GF62" i="193"/>
  <c r="GE62" i="193"/>
  <c r="GD62" i="193"/>
  <c r="AP22" i="193" s="1"/>
  <c r="FM62" i="193"/>
  <c r="FF62" i="193"/>
  <c r="FD62" i="193"/>
  <c r="EX62" i="193"/>
  <c r="EU62" i="193"/>
  <c r="ER62" i="193"/>
  <c r="ES62" i="193" s="1"/>
  <c r="Y22" i="193" s="1"/>
  <c r="EQ62" i="193"/>
  <c r="EP62" i="193"/>
  <c r="EL62" i="193"/>
  <c r="EM62" i="193" s="1"/>
  <c r="EN62" i="193" s="1"/>
  <c r="X22" i="193" s="1"/>
  <c r="EK62" i="193"/>
  <c r="EJ62" i="193"/>
  <c r="DS62" i="193" s="1"/>
  <c r="EI62" i="193"/>
  <c r="EH62" i="193"/>
  <c r="ED62" i="193"/>
  <c r="EB62" i="193"/>
  <c r="DZ62" i="193"/>
  <c r="DK62" i="193"/>
  <c r="DJ62" i="193"/>
  <c r="DH62" i="193"/>
  <c r="DG62" i="193"/>
  <c r="DF62" i="193"/>
  <c r="DE62" i="193"/>
  <c r="DD62" i="193"/>
  <c r="DB62" i="193"/>
  <c r="CY62" i="193"/>
  <c r="CX62" i="193"/>
  <c r="CW62" i="193"/>
  <c r="CV62" i="193"/>
  <c r="CU62" i="193"/>
  <c r="CT62" i="193"/>
  <c r="CS62" i="193"/>
  <c r="EW62" i="193" s="1"/>
  <c r="CR62" i="193"/>
  <c r="CQ62" i="193"/>
  <c r="CP62" i="193"/>
  <c r="FC62" i="193" s="1"/>
  <c r="CO62" i="193"/>
  <c r="CN62" i="193"/>
  <c r="CM62" i="193"/>
  <c r="DI62" i="193" s="1"/>
  <c r="CL62" i="193"/>
  <c r="CK62" i="193"/>
  <c r="CJ62" i="193"/>
  <c r="CI62" i="193"/>
  <c r="CH62" i="193"/>
  <c r="CG62" i="193"/>
  <c r="FB62" i="193" s="1"/>
  <c r="CF62" i="193"/>
  <c r="EO62" i="193" s="1"/>
  <c r="CE62" i="193"/>
  <c r="CD62" i="193"/>
  <c r="DA62" i="193" s="1"/>
  <c r="CC62" i="193"/>
  <c r="ET22" i="193" s="1"/>
  <c r="CB62" i="193"/>
  <c r="GI61" i="193"/>
  <c r="BD21" i="193" s="1"/>
  <c r="FI61" i="193" s="1"/>
  <c r="GH61" i="193"/>
  <c r="BA21" i="193" s="1"/>
  <c r="GG61" i="193"/>
  <c r="GF61" i="193"/>
  <c r="GE61" i="193"/>
  <c r="GD61" i="193"/>
  <c r="AP21" i="193" s="1"/>
  <c r="FM61" i="193"/>
  <c r="FF61" i="193"/>
  <c r="FD61" i="193"/>
  <c r="FA61" i="193"/>
  <c r="EY61" i="193" s="1"/>
  <c r="EZ61" i="193"/>
  <c r="EX61" i="193"/>
  <c r="EU61" i="193"/>
  <c r="EP61" i="193"/>
  <c r="EH61" i="193"/>
  <c r="EJ61" i="193" s="1"/>
  <c r="DS61" i="193" s="1"/>
  <c r="ED61" i="193"/>
  <c r="EB61" i="193"/>
  <c r="DZ61" i="193"/>
  <c r="DJ61" i="193"/>
  <c r="DI61" i="193"/>
  <c r="DH61" i="193"/>
  <c r="DG61" i="193"/>
  <c r="DE61" i="193"/>
  <c r="DD61" i="193"/>
  <c r="DA61" i="193"/>
  <c r="CY61" i="193"/>
  <c r="CX61" i="193"/>
  <c r="CW61" i="193"/>
  <c r="CV61" i="193"/>
  <c r="DK61" i="193" s="1"/>
  <c r="CU61" i="193"/>
  <c r="CT61" i="193"/>
  <c r="CS61" i="193"/>
  <c r="CR61" i="193"/>
  <c r="CQ61" i="193"/>
  <c r="CP61" i="193"/>
  <c r="CO61" i="193"/>
  <c r="CN61" i="193"/>
  <c r="CM61" i="193"/>
  <c r="CL61" i="193"/>
  <c r="EI61" i="193" s="1"/>
  <c r="CK61" i="193"/>
  <c r="EK61" i="193" s="1"/>
  <c r="EL61" i="193" s="1"/>
  <c r="EM61" i="193" s="1"/>
  <c r="EN61" i="193" s="1"/>
  <c r="X21" i="193" s="1"/>
  <c r="CJ61" i="193"/>
  <c r="CI61" i="193"/>
  <c r="CH61" i="193"/>
  <c r="CG61" i="193"/>
  <c r="FB61" i="193" s="1"/>
  <c r="CF61" i="193"/>
  <c r="EO61" i="193" s="1"/>
  <c r="CE61" i="193"/>
  <c r="CD61" i="193"/>
  <c r="DC61" i="193" s="1"/>
  <c r="CC61" i="193"/>
  <c r="CB61" i="193"/>
  <c r="GI60" i="193"/>
  <c r="BE20" i="193" s="1"/>
  <c r="GH60" i="193"/>
  <c r="AZ20" i="193" s="1"/>
  <c r="FH60" i="193" s="1"/>
  <c r="GG60" i="193"/>
  <c r="GF60" i="193"/>
  <c r="GE60" i="193"/>
  <c r="GD60" i="193"/>
  <c r="AP20" i="193" s="1"/>
  <c r="FM60" i="193"/>
  <c r="FF60" i="193"/>
  <c r="FE60" i="193"/>
  <c r="FD60" i="193"/>
  <c r="FB60" i="193"/>
  <c r="EX60" i="193"/>
  <c r="ET60" i="193"/>
  <c r="EP60" i="193"/>
  <c r="EQ60" i="193" s="1"/>
  <c r="ER60" i="193" s="1"/>
  <c r="ES60" i="193" s="1"/>
  <c r="Y20" i="193" s="1"/>
  <c r="EL60" i="193"/>
  <c r="EM60" i="193" s="1"/>
  <c r="EN60" i="193" s="1"/>
  <c r="X20" i="193" s="1"/>
  <c r="GE20" i="193" s="1"/>
  <c r="GL20" i="193" s="1"/>
  <c r="EI60" i="193"/>
  <c r="EH60" i="193"/>
  <c r="EJ60" i="193" s="1"/>
  <c r="DS60" i="193" s="1"/>
  <c r="ED60" i="193"/>
  <c r="EB60" i="193"/>
  <c r="DZ60" i="193"/>
  <c r="DJ60" i="193"/>
  <c r="DI60" i="193"/>
  <c r="DH60" i="193"/>
  <c r="DG60" i="193"/>
  <c r="DE60" i="193"/>
  <c r="DD60" i="193"/>
  <c r="DB60" i="193"/>
  <c r="DA60" i="193"/>
  <c r="CY60" i="193"/>
  <c r="CX60" i="193"/>
  <c r="CV60" i="193"/>
  <c r="DK60" i="193" s="1"/>
  <c r="CU60" i="193"/>
  <c r="CT60" i="193"/>
  <c r="CS60" i="193"/>
  <c r="EW60" i="193" s="1"/>
  <c r="CR60" i="193"/>
  <c r="CQ60" i="193"/>
  <c r="CP60" i="193"/>
  <c r="CO60" i="193"/>
  <c r="CN60" i="193"/>
  <c r="CM60" i="193"/>
  <c r="CL60" i="193"/>
  <c r="CK60" i="193"/>
  <c r="EK60" i="193" s="1"/>
  <c r="CJ60" i="193"/>
  <c r="CI60" i="193"/>
  <c r="CH60" i="193"/>
  <c r="CG60" i="193"/>
  <c r="CF60" i="193"/>
  <c r="CW60" i="193" s="1"/>
  <c r="CE60" i="193"/>
  <c r="CD60" i="193"/>
  <c r="DC60" i="193" s="1"/>
  <c r="CC60" i="193"/>
  <c r="CB60" i="193"/>
  <c r="GI59" i="193"/>
  <c r="BE19" i="193" s="1"/>
  <c r="GH59" i="193"/>
  <c r="BA19" i="193" s="1"/>
  <c r="GG59" i="193"/>
  <c r="AW19" i="193" s="1"/>
  <c r="GF59" i="193"/>
  <c r="AS19" i="193" s="1"/>
  <c r="GE59" i="193"/>
  <c r="AQ19" i="193" s="1"/>
  <c r="GD59" i="193"/>
  <c r="AP19" i="193" s="1"/>
  <c r="FM59" i="193"/>
  <c r="FD59" i="193"/>
  <c r="EX59" i="193"/>
  <c r="ET59" i="193"/>
  <c r="ER59" i="193"/>
  <c r="ES59" i="193" s="1"/>
  <c r="Y19" i="193" s="1"/>
  <c r="EQ59" i="193"/>
  <c r="EP59" i="193"/>
  <c r="EK59" i="193"/>
  <c r="EI59" i="193"/>
  <c r="EH59" i="193"/>
  <c r="EJ59" i="193" s="1"/>
  <c r="DS59" i="193" s="1"/>
  <c r="ED59" i="193"/>
  <c r="EB59" i="193"/>
  <c r="DZ59" i="193"/>
  <c r="DJ59" i="193"/>
  <c r="DI59" i="193"/>
  <c r="DH59" i="193"/>
  <c r="DF59" i="193"/>
  <c r="DE59" i="193"/>
  <c r="DD59" i="193"/>
  <c r="DC59" i="193"/>
  <c r="DA59" i="193"/>
  <c r="CY59" i="193"/>
  <c r="CX59" i="193"/>
  <c r="CW59" i="193"/>
  <c r="CV59" i="193"/>
  <c r="DK59" i="193" s="1"/>
  <c r="CU59" i="193"/>
  <c r="CT59" i="193"/>
  <c r="CS59" i="193"/>
  <c r="EW59" i="193" s="1"/>
  <c r="CR59" i="193"/>
  <c r="CQ59" i="193"/>
  <c r="CP59" i="193"/>
  <c r="CO59" i="193"/>
  <c r="FE59" i="193" s="1"/>
  <c r="CN59" i="193"/>
  <c r="CM59" i="193"/>
  <c r="DG59" i="193" s="1"/>
  <c r="CL59" i="193"/>
  <c r="CK59" i="193"/>
  <c r="CJ59" i="193"/>
  <c r="CI59" i="193"/>
  <c r="CH59" i="193"/>
  <c r="CG59" i="193"/>
  <c r="FB59" i="193" s="1"/>
  <c r="CF59" i="193"/>
  <c r="EO59" i="193" s="1"/>
  <c r="CE59" i="193"/>
  <c r="CD59" i="193"/>
  <c r="DB59" i="193" s="1"/>
  <c r="CC59" i="193"/>
  <c r="CB59" i="193"/>
  <c r="GI58" i="193"/>
  <c r="GH58" i="193"/>
  <c r="BA18" i="193" s="1"/>
  <c r="GG58" i="193"/>
  <c r="GF58" i="193"/>
  <c r="GE58" i="193"/>
  <c r="AQ18" i="193" s="1"/>
  <c r="GD58" i="193"/>
  <c r="AP18" i="193" s="1"/>
  <c r="FM58" i="193"/>
  <c r="FG58" i="193"/>
  <c r="FF58" i="193"/>
  <c r="FC58" i="193"/>
  <c r="EX58" i="193"/>
  <c r="EP58" i="193"/>
  <c r="EQ58" i="193" s="1"/>
  <c r="ER58" i="193" s="1"/>
  <c r="ES58" i="193" s="1"/>
  <c r="Y18" i="193" s="1"/>
  <c r="EK58" i="193"/>
  <c r="EI58" i="193"/>
  <c r="EH58" i="193"/>
  <c r="EJ58" i="193" s="1"/>
  <c r="DS58" i="193" s="1"/>
  <c r="ED58" i="193"/>
  <c r="EB58" i="193"/>
  <c r="DJ58" i="193"/>
  <c r="DH58" i="193"/>
  <c r="DG58" i="193"/>
  <c r="DE58" i="193"/>
  <c r="DF58" i="193" s="1"/>
  <c r="DD58" i="193"/>
  <c r="CY58" i="193"/>
  <c r="CV58" i="193"/>
  <c r="DK58" i="193" s="1"/>
  <c r="CU58" i="193"/>
  <c r="CT58" i="193"/>
  <c r="CS58" i="193"/>
  <c r="CR58" i="193"/>
  <c r="CQ58" i="193"/>
  <c r="CP58" i="193"/>
  <c r="EA58" i="193" s="1"/>
  <c r="CO58" i="193"/>
  <c r="FE58" i="193" s="1"/>
  <c r="CN58" i="193"/>
  <c r="CM58" i="193"/>
  <c r="DI58" i="193" s="1"/>
  <c r="CL58" i="193"/>
  <c r="CK58" i="193"/>
  <c r="CJ58" i="193"/>
  <c r="CI58" i="193"/>
  <c r="CH58" i="193"/>
  <c r="CG58" i="193"/>
  <c r="FB58" i="193" s="1"/>
  <c r="CF58" i="193"/>
  <c r="CE58" i="193"/>
  <c r="CD58" i="193"/>
  <c r="DA58" i="193" s="1"/>
  <c r="CC58" i="193"/>
  <c r="ET18" i="193" s="1"/>
  <c r="CB58" i="193"/>
  <c r="GI57" i="193"/>
  <c r="BE17" i="193" s="1"/>
  <c r="GH57" i="193"/>
  <c r="GG57" i="193"/>
  <c r="AW17" i="193" s="1"/>
  <c r="GF57" i="193"/>
  <c r="AR17" i="193" s="1"/>
  <c r="FF57" i="193" s="1"/>
  <c r="GE57" i="193"/>
  <c r="AQ17" i="193" s="1"/>
  <c r="GD57" i="193"/>
  <c r="AP17" i="193" s="1"/>
  <c r="FM57" i="193"/>
  <c r="FC57" i="193"/>
  <c r="EZ57" i="193"/>
  <c r="EX57" i="193"/>
  <c r="EP57" i="193"/>
  <c r="EK57" i="193"/>
  <c r="EL57" i="193" s="1"/>
  <c r="EM57" i="193" s="1"/>
  <c r="EN57" i="193" s="1"/>
  <c r="X17" i="193" s="1"/>
  <c r="EH57" i="193"/>
  <c r="EJ57" i="193" s="1"/>
  <c r="DS57" i="193" s="1"/>
  <c r="ED57" i="193"/>
  <c r="EB57" i="193"/>
  <c r="DJ57" i="193"/>
  <c r="DI57" i="193"/>
  <c r="DH57" i="193"/>
  <c r="DG57" i="193"/>
  <c r="DF57" i="193"/>
  <c r="DE57" i="193"/>
  <c r="EW57" i="193" s="1"/>
  <c r="DD57" i="193"/>
  <c r="CY57" i="193"/>
  <c r="CV57" i="193"/>
  <c r="DK57" i="193" s="1"/>
  <c r="CU57" i="193"/>
  <c r="CT57" i="193"/>
  <c r="CS57" i="193"/>
  <c r="CR57" i="193"/>
  <c r="CQ57" i="193"/>
  <c r="CP57" i="193"/>
  <c r="EA57" i="193" s="1"/>
  <c r="CO57" i="193"/>
  <c r="FE57" i="193" s="1"/>
  <c r="CN57" i="193"/>
  <c r="CM57" i="193"/>
  <c r="CL57" i="193"/>
  <c r="EI57" i="193" s="1"/>
  <c r="CK57" i="193"/>
  <c r="CJ57" i="193"/>
  <c r="CI57" i="193"/>
  <c r="CH57" i="193"/>
  <c r="CG57" i="193"/>
  <c r="CF57" i="193"/>
  <c r="FD57" i="193" s="1"/>
  <c r="CE57" i="193"/>
  <c r="CD57" i="193"/>
  <c r="DC57" i="193" s="1"/>
  <c r="CC57" i="193"/>
  <c r="EF57" i="193" s="1"/>
  <c r="CB57" i="193"/>
  <c r="GI56" i="193"/>
  <c r="BE16" i="193" s="1"/>
  <c r="GH56" i="193"/>
  <c r="GG56" i="193"/>
  <c r="GF56" i="193"/>
  <c r="GE56" i="193"/>
  <c r="AQ16" i="193" s="1"/>
  <c r="GD56" i="193"/>
  <c r="AP16" i="193" s="1"/>
  <c r="FM56" i="193"/>
  <c r="FF56" i="193"/>
  <c r="FE56" i="193"/>
  <c r="FC56" i="193"/>
  <c r="FB56" i="193"/>
  <c r="EX56" i="193"/>
  <c r="ET56" i="193"/>
  <c r="EP56" i="193"/>
  <c r="EQ56" i="193" s="1"/>
  <c r="ER56" i="193" s="1"/>
  <c r="ES56" i="193" s="1"/>
  <c r="Y16" i="193" s="1"/>
  <c r="EO56" i="193"/>
  <c r="EI56" i="193"/>
  <c r="EH56" i="193"/>
  <c r="EJ56" i="193" s="1"/>
  <c r="DS56" i="193" s="1"/>
  <c r="EG56" i="193"/>
  <c r="DL56" i="193" s="1"/>
  <c r="DM56" i="193" s="1"/>
  <c r="DQ56" i="193" s="1"/>
  <c r="EF56" i="193"/>
  <c r="EE56" i="193"/>
  <c r="ED56" i="193"/>
  <c r="EB56" i="193"/>
  <c r="DZ56" i="193"/>
  <c r="DO56" i="193"/>
  <c r="DI56" i="193"/>
  <c r="DH56" i="193"/>
  <c r="DG56" i="193"/>
  <c r="DE56" i="193"/>
  <c r="DD56" i="193"/>
  <c r="DA56" i="193"/>
  <c r="CY56" i="193"/>
  <c r="CX56" i="193"/>
  <c r="CV56" i="193"/>
  <c r="DK56" i="193" s="1"/>
  <c r="CU56" i="193"/>
  <c r="CT56" i="193"/>
  <c r="CS56" i="193"/>
  <c r="CR56" i="193"/>
  <c r="CQ56" i="193"/>
  <c r="CP56" i="193"/>
  <c r="EA56" i="193" s="1"/>
  <c r="CO56" i="193"/>
  <c r="CN56" i="193"/>
  <c r="CM56" i="193"/>
  <c r="CL56" i="193"/>
  <c r="CK56" i="193"/>
  <c r="EK56" i="193" s="1"/>
  <c r="CJ56" i="193"/>
  <c r="CI56" i="193"/>
  <c r="CH56" i="193"/>
  <c r="CG56" i="193"/>
  <c r="CF56" i="193"/>
  <c r="CE56" i="193"/>
  <c r="CD56" i="193"/>
  <c r="DC56" i="193" s="1"/>
  <c r="CC56" i="193"/>
  <c r="CB56" i="193"/>
  <c r="GI55" i="193"/>
  <c r="BE15" i="193" s="1"/>
  <c r="GH55" i="193"/>
  <c r="BA15" i="193" s="1"/>
  <c r="GG55" i="193"/>
  <c r="AV15" i="193" s="1"/>
  <c r="FG55" i="193" s="1"/>
  <c r="GF55" i="193"/>
  <c r="GE55" i="193"/>
  <c r="AQ15" i="193" s="1"/>
  <c r="GD55" i="193"/>
  <c r="FM55" i="193"/>
  <c r="EX55" i="193"/>
  <c r="EQ55" i="193"/>
  <c r="ER55" i="193" s="1"/>
  <c r="ES55" i="193" s="1"/>
  <c r="Y15" i="193" s="1"/>
  <c r="EP55" i="193"/>
  <c r="EO55" i="193"/>
  <c r="EI55" i="193"/>
  <c r="EH55" i="193"/>
  <c r="EJ55" i="193" s="1"/>
  <c r="DS55" i="193" s="1"/>
  <c r="EG55" i="193"/>
  <c r="DL55" i="193" s="1"/>
  <c r="DM55" i="193" s="1"/>
  <c r="EF55" i="193"/>
  <c r="ED55" i="193"/>
  <c r="EB55" i="193"/>
  <c r="DN55" i="193"/>
  <c r="DR55" i="193" s="1"/>
  <c r="DI55" i="193"/>
  <c r="DH55" i="193"/>
  <c r="DE55" i="193"/>
  <c r="DD55" i="193"/>
  <c r="DC55" i="193"/>
  <c r="CZ55" i="193"/>
  <c r="CY55" i="193"/>
  <c r="CX55" i="193"/>
  <c r="CV55" i="193"/>
  <c r="DK55" i="193" s="1"/>
  <c r="CU55" i="193"/>
  <c r="CT55" i="193"/>
  <c r="CS55" i="193"/>
  <c r="CR55" i="193"/>
  <c r="CQ55" i="193"/>
  <c r="CP55" i="193"/>
  <c r="FC55" i="193" s="1"/>
  <c r="CO55" i="193"/>
  <c r="CN55" i="193"/>
  <c r="CM55" i="193"/>
  <c r="DG55" i="193" s="1"/>
  <c r="CL55" i="193"/>
  <c r="CK55" i="193"/>
  <c r="EK55" i="193" s="1"/>
  <c r="CJ55" i="193"/>
  <c r="EV55" i="193" s="1"/>
  <c r="CI55" i="193"/>
  <c r="CH55" i="193"/>
  <c r="CG55" i="193"/>
  <c r="DZ55" i="193" s="1"/>
  <c r="CF55" i="193"/>
  <c r="FD55" i="193" s="1"/>
  <c r="CE55" i="193"/>
  <c r="CD55" i="193"/>
  <c r="DB55" i="193" s="1"/>
  <c r="CC55" i="193"/>
  <c r="EE55" i="193" s="1"/>
  <c r="CB55" i="193"/>
  <c r="GI54" i="193"/>
  <c r="BE14" i="193" s="1"/>
  <c r="GH54" i="193"/>
  <c r="GG54" i="193"/>
  <c r="AW14" i="193" s="1"/>
  <c r="GF54" i="193"/>
  <c r="GE54" i="193"/>
  <c r="GD54" i="193"/>
  <c r="GB54" i="193"/>
  <c r="GA54" i="193"/>
  <c r="FY54" i="193"/>
  <c r="FX54" i="193"/>
  <c r="FW54" i="193"/>
  <c r="FV54" i="193" s="1"/>
  <c r="FU54" i="193"/>
  <c r="FT54" i="193"/>
  <c r="FS54" i="193"/>
  <c r="FR54" i="193"/>
  <c r="FS55" i="193" s="1"/>
  <c r="FQ54" i="193"/>
  <c r="FP54" i="193"/>
  <c r="FO54" i="193"/>
  <c r="FN54" i="193"/>
  <c r="FM54" i="193"/>
  <c r="FK54" i="193"/>
  <c r="FK55" i="193" s="1"/>
  <c r="FK56" i="193" s="1"/>
  <c r="EX54" i="193"/>
  <c r="EQ54" i="193"/>
  <c r="ER54" i="193" s="1"/>
  <c r="ES54" i="193" s="1"/>
  <c r="Y14" i="193" s="1"/>
  <c r="EP54" i="193"/>
  <c r="EI54" i="193"/>
  <c r="EH54" i="193"/>
  <c r="EJ54" i="193" s="1"/>
  <c r="DS54" i="193" s="1"/>
  <c r="EE54" i="193"/>
  <c r="EG54" i="193" s="1"/>
  <c r="DL54" i="193" s="1"/>
  <c r="DM54" i="193" s="1"/>
  <c r="DQ54" i="193" s="1"/>
  <c r="ED54" i="193"/>
  <c r="EB54" i="193"/>
  <c r="EA54" i="193"/>
  <c r="DO54" i="193"/>
  <c r="DI54" i="193"/>
  <c r="DE54" i="193"/>
  <c r="DD54" i="193"/>
  <c r="CY54" i="193"/>
  <c r="CV54" i="193"/>
  <c r="DK54" i="193" s="1"/>
  <c r="CU54" i="193"/>
  <c r="CT54" i="193"/>
  <c r="CS54" i="193"/>
  <c r="CR54" i="193"/>
  <c r="CQ54" i="193"/>
  <c r="CP54" i="193"/>
  <c r="FC54" i="193" s="1"/>
  <c r="CO54" i="193"/>
  <c r="CN54" i="193"/>
  <c r="CM54" i="193"/>
  <c r="CL54" i="193"/>
  <c r="CK54" i="193"/>
  <c r="EK54" i="193" s="1"/>
  <c r="CJ54" i="193"/>
  <c r="CI54" i="193"/>
  <c r="CH54" i="193"/>
  <c r="CG54" i="193"/>
  <c r="CF54" i="193"/>
  <c r="CE54" i="193"/>
  <c r="CD54" i="193"/>
  <c r="DC54" i="193" s="1"/>
  <c r="CC54" i="193"/>
  <c r="EF54" i="193" s="1"/>
  <c r="CB54" i="193"/>
  <c r="IU48" i="193"/>
  <c r="HP48" i="193" s="1"/>
  <c r="IS48" i="193"/>
  <c r="IR48" i="193"/>
  <c r="IQ48" i="193"/>
  <c r="IJ48" i="193"/>
  <c r="IC48" i="193"/>
  <c r="IA48" i="193"/>
  <c r="HZ48" i="193"/>
  <c r="HY48" i="193"/>
  <c r="HR48" i="193"/>
  <c r="HO48" i="193"/>
  <c r="HN48" i="193"/>
  <c r="HM48" i="193"/>
  <c r="HL48" i="193"/>
  <c r="HK48" i="193"/>
  <c r="HJ48" i="193"/>
  <c r="HI48" i="193"/>
  <c r="HH48" i="193"/>
  <c r="HG48" i="193"/>
  <c r="HF48" i="193"/>
  <c r="HE48" i="193"/>
  <c r="HD48" i="193"/>
  <c r="HC48" i="193"/>
  <c r="HB48" i="193"/>
  <c r="HA48" i="193"/>
  <c r="GZ48" i="193"/>
  <c r="GY48" i="193"/>
  <c r="GX48" i="193"/>
  <c r="GW48" i="193"/>
  <c r="GV48" i="193"/>
  <c r="GU48" i="193"/>
  <c r="GT48" i="193"/>
  <c r="GS48" i="193"/>
  <c r="GR48" i="193"/>
  <c r="GF48" i="193"/>
  <c r="GB48" i="193"/>
  <c r="GF45" i="193"/>
  <c r="GB45" i="193" s="1"/>
  <c r="GD45" i="193"/>
  <c r="GC45" i="193"/>
  <c r="GA45" i="193"/>
  <c r="FQ45" i="193"/>
  <c r="FO45" i="193"/>
  <c r="EZ45" i="193"/>
  <c r="ES45" i="193"/>
  <c r="ER45" i="193"/>
  <c r="EO45" i="193" s="1"/>
  <c r="EQ45" i="193"/>
  <c r="EP45" i="193"/>
  <c r="BM45" i="193"/>
  <c r="BK45" i="193"/>
  <c r="BJ45" i="193"/>
  <c r="BG45" i="193"/>
  <c r="BF45" i="193"/>
  <c r="BC45" i="193"/>
  <c r="BB45" i="193"/>
  <c r="AY45" i="193"/>
  <c r="AX45" i="193"/>
  <c r="AU45" i="193"/>
  <c r="AT45" i="193"/>
  <c r="AO45" i="193"/>
  <c r="AN45" i="193"/>
  <c r="AM45" i="193"/>
  <c r="AL45" i="193"/>
  <c r="AK45" i="193"/>
  <c r="AC45" i="193"/>
  <c r="AB45" i="193"/>
  <c r="AA45" i="193"/>
  <c r="P45" i="193"/>
  <c r="L45" i="193"/>
  <c r="BU45" i="193" s="1"/>
  <c r="F45" i="193"/>
  <c r="C45" i="193"/>
  <c r="A45" i="193"/>
  <c r="FQ44" i="193"/>
  <c r="EZ44" i="193"/>
  <c r="EU44" i="193"/>
  <c r="ES44" i="193"/>
  <c r="ER44" i="193"/>
  <c r="EO44" i="193" s="1"/>
  <c r="EQ44" i="193"/>
  <c r="EP44" i="193"/>
  <c r="BP44" i="193"/>
  <c r="BN44" i="193"/>
  <c r="BM44" i="193"/>
  <c r="BK44" i="193"/>
  <c r="BG44" i="193"/>
  <c r="BF44" i="193"/>
  <c r="BC44" i="193"/>
  <c r="BB44" i="193"/>
  <c r="AY44" i="193"/>
  <c r="AX44" i="193"/>
  <c r="AU44" i="193"/>
  <c r="AT44" i="193"/>
  <c r="AO44" i="193"/>
  <c r="AN44" i="193"/>
  <c r="AM44" i="193"/>
  <c r="AL44" i="193"/>
  <c r="AK44" i="193"/>
  <c r="AC44" i="193"/>
  <c r="AB44" i="193"/>
  <c r="AA44" i="193"/>
  <c r="Q44" i="193"/>
  <c r="P44" i="193"/>
  <c r="O44" i="193"/>
  <c r="F44" i="193"/>
  <c r="C44" i="193"/>
  <c r="BQ44" i="193" s="1"/>
  <c r="A44" i="193"/>
  <c r="GF43" i="193"/>
  <c r="GC43" i="193"/>
  <c r="GB43" i="193"/>
  <c r="EZ43" i="193"/>
  <c r="EY43" i="193"/>
  <c r="EU43" i="193"/>
  <c r="ES43" i="193"/>
  <c r="ER43" i="193"/>
  <c r="EO43" i="193" s="1"/>
  <c r="EQ43" i="193"/>
  <c r="EP43" i="193"/>
  <c r="BZ43" i="193"/>
  <c r="BQ43" i="193"/>
  <c r="BP43" i="193"/>
  <c r="BO43" i="193"/>
  <c r="BN43" i="193"/>
  <c r="BM43" i="193"/>
  <c r="BR43" i="193" s="1"/>
  <c r="BG43" i="193"/>
  <c r="BF43" i="193"/>
  <c r="BC43" i="193"/>
  <c r="BB43" i="193"/>
  <c r="AY43" i="193"/>
  <c r="AX43" i="193"/>
  <c r="AU43" i="193"/>
  <c r="AT43" i="193"/>
  <c r="AO43" i="193"/>
  <c r="AN43" i="193"/>
  <c r="AM43" i="193"/>
  <c r="AL43" i="193"/>
  <c r="AK43" i="193"/>
  <c r="AC43" i="193"/>
  <c r="AB43" i="193"/>
  <c r="AA43" i="193"/>
  <c r="R43" i="193"/>
  <c r="Q43" i="193"/>
  <c r="P43" i="193"/>
  <c r="O43" i="193"/>
  <c r="F43" i="193"/>
  <c r="E43" i="193"/>
  <c r="D43" i="193"/>
  <c r="GK43" i="193" s="1"/>
  <c r="C43" i="193"/>
  <c r="A43" i="193"/>
  <c r="EZ42" i="193"/>
  <c r="EU42" i="193"/>
  <c r="ES42" i="193"/>
  <c r="ER42" i="193"/>
  <c r="EO42" i="193" s="1"/>
  <c r="EQ42" i="193"/>
  <c r="EP42" i="193"/>
  <c r="BZ42" i="193"/>
  <c r="BU42" i="193"/>
  <c r="BQ42" i="193"/>
  <c r="BO42" i="193"/>
  <c r="BN42" i="193"/>
  <c r="BG42" i="193"/>
  <c r="BF42" i="193"/>
  <c r="BC42" i="193"/>
  <c r="BB42" i="193"/>
  <c r="AY42" i="193"/>
  <c r="AX42" i="193"/>
  <c r="AU42" i="193"/>
  <c r="AT42" i="193"/>
  <c r="AO42" i="193"/>
  <c r="AN42" i="193"/>
  <c r="AM42" i="193"/>
  <c r="AL42" i="193"/>
  <c r="AK42" i="193"/>
  <c r="AC42" i="193"/>
  <c r="AB42" i="193"/>
  <c r="AA42" i="193"/>
  <c r="R42" i="193"/>
  <c r="Q42" i="193"/>
  <c r="L42" i="193"/>
  <c r="K42" i="193"/>
  <c r="J42" i="193"/>
  <c r="F42" i="193"/>
  <c r="C42" i="193"/>
  <c r="BP42" i="193" s="1"/>
  <c r="A42" i="193"/>
  <c r="EU41" i="193"/>
  <c r="ES41" i="193"/>
  <c r="ER41" i="193"/>
  <c r="EO41" i="193" s="1"/>
  <c r="EQ41" i="193"/>
  <c r="EP41" i="193"/>
  <c r="BZ41" i="193"/>
  <c r="BQ41" i="193"/>
  <c r="BO41" i="193"/>
  <c r="BN41" i="193"/>
  <c r="BK41" i="193"/>
  <c r="BG41" i="193"/>
  <c r="BF41" i="193"/>
  <c r="BC41" i="193"/>
  <c r="BB41" i="193"/>
  <c r="AY41" i="193"/>
  <c r="AX41" i="193"/>
  <c r="AU41" i="193"/>
  <c r="AT41" i="193"/>
  <c r="AO41" i="193"/>
  <c r="AN41" i="193"/>
  <c r="AM41" i="193"/>
  <c r="AL41" i="193"/>
  <c r="AK41" i="193"/>
  <c r="AC41" i="193"/>
  <c r="AB41" i="193"/>
  <c r="AA41" i="193"/>
  <c r="R41" i="193"/>
  <c r="P41" i="193"/>
  <c r="O41" i="193"/>
  <c r="L41" i="193"/>
  <c r="BU41" i="193" s="1"/>
  <c r="K41" i="193"/>
  <c r="J41" i="193"/>
  <c r="F41" i="193"/>
  <c r="C41" i="193"/>
  <c r="BM41" i="193" s="1"/>
  <c r="A41" i="193"/>
  <c r="EZ40" i="193"/>
  <c r="ES40" i="193"/>
  <c r="ER40" i="193"/>
  <c r="EQ40" i="193"/>
  <c r="EP40" i="193"/>
  <c r="BZ40" i="193"/>
  <c r="BQ40" i="193"/>
  <c r="BP40" i="193"/>
  <c r="BO40" i="193"/>
  <c r="BN40" i="193"/>
  <c r="BR40" i="193" s="1"/>
  <c r="BM40" i="193"/>
  <c r="BG40" i="193"/>
  <c r="BF40" i="193"/>
  <c r="BC40" i="193"/>
  <c r="BB40" i="193"/>
  <c r="AY40" i="193"/>
  <c r="AX40" i="193"/>
  <c r="AU40" i="193"/>
  <c r="AT40" i="193"/>
  <c r="AS40" i="193"/>
  <c r="AO40" i="193"/>
  <c r="AN40" i="193"/>
  <c r="AM40" i="193"/>
  <c r="AL40" i="193"/>
  <c r="AK40" i="193"/>
  <c r="AC40" i="193"/>
  <c r="AB40" i="193"/>
  <c r="EY40" i="193" s="1"/>
  <c r="AA40" i="193"/>
  <c r="R40" i="193"/>
  <c r="P40" i="193"/>
  <c r="F40" i="193"/>
  <c r="C40" i="193"/>
  <c r="A40" i="193"/>
  <c r="FO40" i="193" s="1"/>
  <c r="FQ39" i="193"/>
  <c r="EU39" i="193"/>
  <c r="ES39" i="193"/>
  <c r="ER39" i="193"/>
  <c r="EO39" i="193" s="1"/>
  <c r="EQ39" i="193"/>
  <c r="EP39" i="193"/>
  <c r="BZ39" i="193"/>
  <c r="BJ39" i="193"/>
  <c r="BG39" i="193"/>
  <c r="BF39" i="193"/>
  <c r="BC39" i="193"/>
  <c r="BB39" i="193"/>
  <c r="AY39" i="193"/>
  <c r="AX39" i="193"/>
  <c r="AU39" i="193"/>
  <c r="AT39" i="193"/>
  <c r="AO39" i="193"/>
  <c r="AN39" i="193"/>
  <c r="AM39" i="193"/>
  <c r="AL39" i="193"/>
  <c r="AK39" i="193"/>
  <c r="AC39" i="193"/>
  <c r="AB39" i="193"/>
  <c r="AA39" i="193"/>
  <c r="X39" i="193"/>
  <c r="R39" i="193"/>
  <c r="Q39" i="193"/>
  <c r="P39" i="193"/>
  <c r="O39" i="193"/>
  <c r="F39" i="193"/>
  <c r="C39" i="193"/>
  <c r="A39" i="193"/>
  <c r="EU38" i="193"/>
  <c r="ES38" i="193"/>
  <c r="ER38" i="193"/>
  <c r="EO38" i="193" s="1"/>
  <c r="EQ38" i="193"/>
  <c r="EP38" i="193"/>
  <c r="BZ38" i="193"/>
  <c r="BQ38" i="193"/>
  <c r="BP38" i="193"/>
  <c r="BK38" i="193"/>
  <c r="BG38" i="193"/>
  <c r="BF38" i="193"/>
  <c r="BC38" i="193"/>
  <c r="BB38" i="193"/>
  <c r="FQ38" i="193"/>
  <c r="AA38" i="193"/>
  <c r="X38" i="193"/>
  <c r="P38" i="193"/>
  <c r="O38" i="193"/>
  <c r="L38" i="193"/>
  <c r="BU38" i="193" s="1"/>
  <c r="K38" i="193"/>
  <c r="J38" i="193"/>
  <c r="F38" i="193"/>
  <c r="C38" i="193"/>
  <c r="BO38" i="193" s="1"/>
  <c r="A38" i="193"/>
  <c r="ES37" i="193"/>
  <c r="ER37" i="193"/>
  <c r="EO37" i="193" s="1"/>
  <c r="EQ37" i="193"/>
  <c r="EP37" i="193"/>
  <c r="BZ37" i="193"/>
  <c r="BQ37" i="193"/>
  <c r="BM37" i="193"/>
  <c r="BK37" i="193"/>
  <c r="BG37" i="193"/>
  <c r="BF37" i="193"/>
  <c r="BC37" i="193"/>
  <c r="BB37" i="193"/>
  <c r="AA37" i="193"/>
  <c r="R37" i="193"/>
  <c r="Q37" i="193"/>
  <c r="P37" i="193"/>
  <c r="O37" i="193"/>
  <c r="F37" i="193"/>
  <c r="C37" i="193"/>
  <c r="A37" i="193"/>
  <c r="GF36" i="193"/>
  <c r="GB36" i="193" s="1"/>
  <c r="GE36" i="193"/>
  <c r="GD36" i="193"/>
  <c r="GC36" i="193"/>
  <c r="FO36" i="193"/>
  <c r="EU36" i="193"/>
  <c r="ES36" i="193"/>
  <c r="ER36" i="193"/>
  <c r="EQ36" i="193"/>
  <c r="EP36" i="193"/>
  <c r="BZ36" i="193"/>
  <c r="BK36" i="193"/>
  <c r="BJ36" i="193"/>
  <c r="BG36" i="193"/>
  <c r="BF36" i="193"/>
  <c r="BC36" i="193"/>
  <c r="BB36" i="193"/>
  <c r="FF76" i="193"/>
  <c r="AA36" i="193"/>
  <c r="R36" i="193"/>
  <c r="Q36" i="193"/>
  <c r="L36" i="193"/>
  <c r="BU36" i="193" s="1"/>
  <c r="K36" i="193"/>
  <c r="J36" i="193"/>
  <c r="F36" i="193"/>
  <c r="E36" i="193"/>
  <c r="D36" i="193"/>
  <c r="GK36" i="193" s="1"/>
  <c r="C36" i="193"/>
  <c r="A36" i="193"/>
  <c r="GF35" i="193"/>
  <c r="GE35" i="193"/>
  <c r="FQ35" i="193"/>
  <c r="FO35" i="193"/>
  <c r="FE35" i="193"/>
  <c r="FD35" i="193"/>
  <c r="FC35" i="193"/>
  <c r="EU35" i="193"/>
  <c r="ES35" i="193"/>
  <c r="ER35" i="193"/>
  <c r="EO35" i="193" s="1"/>
  <c r="EQ35" i="193"/>
  <c r="EP35" i="193"/>
  <c r="BO35" i="193"/>
  <c r="BN35" i="193"/>
  <c r="BM35" i="193"/>
  <c r="BK35" i="193"/>
  <c r="BJ35" i="193"/>
  <c r="BG35" i="193"/>
  <c r="BF35" i="193"/>
  <c r="BC35" i="193"/>
  <c r="BB35" i="193"/>
  <c r="AA35" i="193"/>
  <c r="P35" i="193"/>
  <c r="O35" i="193"/>
  <c r="N35" i="193"/>
  <c r="F35" i="193"/>
  <c r="C35" i="193"/>
  <c r="BQ35" i="193" s="1"/>
  <c r="A35" i="193"/>
  <c r="GK34" i="193"/>
  <c r="FQ34" i="193"/>
  <c r="FO34" i="193"/>
  <c r="FE34" i="193"/>
  <c r="FF34" i="193" s="1"/>
  <c r="FD34" i="193"/>
  <c r="FC34" i="193"/>
  <c r="EU34" i="193"/>
  <c r="ES34" i="193"/>
  <c r="ER34" i="193"/>
  <c r="EO34" i="193" s="1"/>
  <c r="EQ34" i="193"/>
  <c r="EP34" i="193"/>
  <c r="BU34" i="193"/>
  <c r="BQ34" i="193"/>
  <c r="BP34" i="193"/>
  <c r="BO34" i="193"/>
  <c r="BN34" i="193"/>
  <c r="BM34" i="193"/>
  <c r="BR34" i="193" s="1"/>
  <c r="BG34" i="193"/>
  <c r="BF34" i="193"/>
  <c r="BC34" i="193"/>
  <c r="BB34" i="193"/>
  <c r="AA34" i="193"/>
  <c r="P34" i="193"/>
  <c r="O34" i="193"/>
  <c r="N34" i="193"/>
  <c r="L34" i="193"/>
  <c r="K34" i="193"/>
  <c r="J34" i="193"/>
  <c r="F34" i="193"/>
  <c r="E34" i="193"/>
  <c r="D34" i="193"/>
  <c r="C34" i="193"/>
  <c r="A34" i="193"/>
  <c r="GK33" i="193"/>
  <c r="GF33" i="193"/>
  <c r="FQ33" i="193"/>
  <c r="FO33" i="193"/>
  <c r="FE33" i="193"/>
  <c r="FD33" i="193"/>
  <c r="FC33" i="193"/>
  <c r="EU33" i="193"/>
  <c r="ES33" i="193"/>
  <c r="ER33" i="193"/>
  <c r="EQ33" i="193"/>
  <c r="EP33" i="193"/>
  <c r="BZ33" i="193"/>
  <c r="BV33" i="193"/>
  <c r="BU33" i="193"/>
  <c r="BQ33" i="193"/>
  <c r="BP33" i="193"/>
  <c r="BN33" i="193"/>
  <c r="BK33" i="193"/>
  <c r="BJ33" i="193"/>
  <c r="BG33" i="193"/>
  <c r="BF33" i="193"/>
  <c r="BC33" i="193"/>
  <c r="BB33" i="193"/>
  <c r="AA33" i="193"/>
  <c r="GK32" i="193"/>
  <c r="GF32" i="193"/>
  <c r="FQ32" i="193"/>
  <c r="FO32" i="193"/>
  <c r="FE32" i="193"/>
  <c r="FD32" i="193"/>
  <c r="FC32" i="193"/>
  <c r="ES32" i="193"/>
  <c r="ER32" i="193"/>
  <c r="EO32" i="193" s="1"/>
  <c r="EQ32" i="193"/>
  <c r="EP32" i="193"/>
  <c r="BU32" i="193"/>
  <c r="BV32" i="193" s="1"/>
  <c r="BT32" i="193"/>
  <c r="BS32" i="193"/>
  <c r="BQ32" i="193"/>
  <c r="BP32" i="193"/>
  <c r="BN32" i="193"/>
  <c r="BO32" i="193" s="1"/>
  <c r="EZ72" i="193" s="1"/>
  <c r="BM32" i="193"/>
  <c r="BJ32" i="193"/>
  <c r="BG32" i="193"/>
  <c r="BF32" i="193"/>
  <c r="BC32" i="193"/>
  <c r="BB32" i="193"/>
  <c r="AA32" i="193"/>
  <c r="Y32" i="193"/>
  <c r="GM31" i="193"/>
  <c r="GL31" i="193"/>
  <c r="GK31" i="193"/>
  <c r="GF31" i="193"/>
  <c r="FQ31" i="193"/>
  <c r="FO31" i="193"/>
  <c r="FE31" i="193"/>
  <c r="FD31" i="193"/>
  <c r="FC31" i="193"/>
  <c r="EU31" i="193"/>
  <c r="ES31" i="193"/>
  <c r="ER31" i="193"/>
  <c r="EO31" i="193" s="1"/>
  <c r="EQ31" i="193"/>
  <c r="EP31" i="193"/>
  <c r="BU31" i="193"/>
  <c r="BV31" i="193" s="1"/>
  <c r="BT31" i="193"/>
  <c r="BS31" i="193"/>
  <c r="BQ31" i="193"/>
  <c r="BP31" i="193"/>
  <c r="BN31" i="193"/>
  <c r="BO31" i="193" s="1"/>
  <c r="BK31" i="193"/>
  <c r="BJ31" i="193"/>
  <c r="BG31" i="193"/>
  <c r="BF31" i="193"/>
  <c r="BC31" i="193"/>
  <c r="BB31" i="193"/>
  <c r="AY31" i="193"/>
  <c r="AX31" i="193"/>
  <c r="AK31" i="193"/>
  <c r="AA31" i="193"/>
  <c r="GM30" i="193"/>
  <c r="GL30" i="193"/>
  <c r="GK30" i="193"/>
  <c r="GF30" i="193"/>
  <c r="FQ30" i="193"/>
  <c r="FO30" i="193"/>
  <c r="FE30" i="193"/>
  <c r="FD30" i="193"/>
  <c r="FC30" i="193"/>
  <c r="EU30" i="193"/>
  <c r="ES30" i="193"/>
  <c r="ER30" i="193"/>
  <c r="EO30" i="193" s="1"/>
  <c r="EQ30" i="193"/>
  <c r="EP30" i="193"/>
  <c r="BV30" i="193"/>
  <c r="BU30" i="193"/>
  <c r="BT30" i="193"/>
  <c r="BS30" i="193"/>
  <c r="BQ30" i="193"/>
  <c r="BP30" i="193"/>
  <c r="BN30" i="193"/>
  <c r="BK30" i="193"/>
  <c r="BJ30" i="193"/>
  <c r="BG30" i="193"/>
  <c r="BF30" i="193"/>
  <c r="BC30" i="193"/>
  <c r="BB30" i="193"/>
  <c r="AY30" i="193"/>
  <c r="AX30" i="193"/>
  <c r="AK30" i="193"/>
  <c r="AA30" i="193"/>
  <c r="GM29" i="193"/>
  <c r="GL29" i="193"/>
  <c r="GK29" i="193"/>
  <c r="GF29" i="193"/>
  <c r="FQ29" i="193"/>
  <c r="FO29" i="193"/>
  <c r="FE29" i="193"/>
  <c r="FD29" i="193"/>
  <c r="FC29" i="193"/>
  <c r="EU29" i="193"/>
  <c r="ES29" i="193"/>
  <c r="ER29" i="193"/>
  <c r="EO29" i="193" s="1"/>
  <c r="EQ29" i="193"/>
  <c r="EP29" i="193"/>
  <c r="BU29" i="193"/>
  <c r="BV29" i="193" s="1"/>
  <c r="BQ29" i="193"/>
  <c r="BP29" i="193"/>
  <c r="BN29" i="193"/>
  <c r="BO29" i="193" s="1"/>
  <c r="BM29" i="193"/>
  <c r="BR29" i="193" s="1"/>
  <c r="BK29" i="193"/>
  <c r="BJ29" i="193"/>
  <c r="BG29" i="193"/>
  <c r="BF29" i="193"/>
  <c r="BC29" i="193"/>
  <c r="BB29" i="193"/>
  <c r="AY29" i="193"/>
  <c r="AX29" i="193"/>
  <c r="AT29" i="193"/>
  <c r="FF69" i="193"/>
  <c r="AL29" i="193"/>
  <c r="AK29" i="193"/>
  <c r="AA29" i="193"/>
  <c r="GL28" i="193"/>
  <c r="GK28" i="193"/>
  <c r="GM28" i="193" s="1"/>
  <c r="GF28" i="193"/>
  <c r="FQ28" i="193"/>
  <c r="FE28" i="193"/>
  <c r="FD28" i="193"/>
  <c r="FC28" i="193"/>
  <c r="ES28" i="193"/>
  <c r="ER28" i="193"/>
  <c r="EO28" i="193" s="1"/>
  <c r="EQ28" i="193"/>
  <c r="EP28" i="193"/>
  <c r="BZ28" i="193"/>
  <c r="BV28" i="193"/>
  <c r="BU28" i="193"/>
  <c r="BQ28" i="193"/>
  <c r="BP28" i="193"/>
  <c r="BO28" i="193"/>
  <c r="BN28" i="193"/>
  <c r="BM28" i="193" s="1"/>
  <c r="BJ28" i="193"/>
  <c r="BG28" i="193"/>
  <c r="BF28" i="193"/>
  <c r="BC28" i="193"/>
  <c r="BB28" i="193"/>
  <c r="AY28" i="193"/>
  <c r="AX28" i="193"/>
  <c r="AT28" i="193"/>
  <c r="FF68" i="193"/>
  <c r="AL28" i="193"/>
  <c r="AK28" i="193"/>
  <c r="AA28" i="193"/>
  <c r="GL27" i="193"/>
  <c r="GM27" i="193" s="1"/>
  <c r="GK27" i="193"/>
  <c r="GF27" i="193"/>
  <c r="FQ27" i="193"/>
  <c r="FO27" i="193"/>
  <c r="FE27" i="193"/>
  <c r="FD27" i="193"/>
  <c r="FC27" i="193"/>
  <c r="EU27" i="193"/>
  <c r="ES27" i="193"/>
  <c r="ER27" i="193"/>
  <c r="EO27" i="193" s="1"/>
  <c r="EQ27" i="193"/>
  <c r="EP27" i="193"/>
  <c r="BZ27" i="193"/>
  <c r="BV27" i="193"/>
  <c r="BU27" i="193"/>
  <c r="BQ27" i="193"/>
  <c r="BP27" i="193"/>
  <c r="BN27" i="193"/>
  <c r="BK27" i="193"/>
  <c r="BJ27" i="193"/>
  <c r="BG27" i="193"/>
  <c r="BF27" i="193"/>
  <c r="BC27" i="193"/>
  <c r="BB27" i="193"/>
  <c r="AY27" i="193"/>
  <c r="AX27" i="193"/>
  <c r="AT27" i="193"/>
  <c r="AL27" i="193"/>
  <c r="AK27" i="193"/>
  <c r="AA27" i="193"/>
  <c r="GK26" i="193"/>
  <c r="GF26" i="193"/>
  <c r="FQ26" i="193"/>
  <c r="FO26" i="193"/>
  <c r="FE26" i="193"/>
  <c r="FD26" i="193"/>
  <c r="FC26" i="193"/>
  <c r="FF26" i="193" s="1"/>
  <c r="EU26" i="193"/>
  <c r="ES26" i="193"/>
  <c r="ER26" i="193"/>
  <c r="EO26" i="193" s="1"/>
  <c r="EQ26" i="193"/>
  <c r="EP26" i="193"/>
  <c r="BZ26" i="193"/>
  <c r="BV26" i="193"/>
  <c r="BU26" i="193"/>
  <c r="BT26" i="193"/>
  <c r="BS26" i="193"/>
  <c r="BQ26" i="193"/>
  <c r="BP26" i="193"/>
  <c r="BN26" i="193"/>
  <c r="BM26" i="193" s="1"/>
  <c r="BJ26" i="193"/>
  <c r="BG26" i="193"/>
  <c r="BF26" i="193"/>
  <c r="BC26" i="193"/>
  <c r="BB26" i="193"/>
  <c r="AY26" i="193"/>
  <c r="AX26" i="193"/>
  <c r="AU26" i="193"/>
  <c r="AT26" i="193"/>
  <c r="AO26" i="193"/>
  <c r="AN26" i="193"/>
  <c r="AM26" i="193"/>
  <c r="AL26" i="193"/>
  <c r="AK26" i="193"/>
  <c r="AA26" i="193"/>
  <c r="Y26" i="193"/>
  <c r="GK25" i="193"/>
  <c r="GF25" i="193"/>
  <c r="FQ25" i="193"/>
  <c r="FO25" i="193"/>
  <c r="FF25" i="193"/>
  <c r="FE25" i="193"/>
  <c r="FD25" i="193"/>
  <c r="FC25" i="193"/>
  <c r="EU25" i="193"/>
  <c r="ES25" i="193"/>
  <c r="ER25" i="193"/>
  <c r="EO25" i="193" s="1"/>
  <c r="EQ25" i="193"/>
  <c r="EP25" i="193"/>
  <c r="BZ25" i="193"/>
  <c r="BS25" i="193"/>
  <c r="BT25" i="193" s="1"/>
  <c r="BQ25" i="193"/>
  <c r="BP25" i="193"/>
  <c r="BO25" i="193"/>
  <c r="BN25" i="193"/>
  <c r="BM25" i="193"/>
  <c r="BR25" i="193" s="1"/>
  <c r="BK25" i="193"/>
  <c r="BJ25" i="193"/>
  <c r="BG25" i="193"/>
  <c r="BF25" i="193"/>
  <c r="BC25" i="193"/>
  <c r="BB25" i="193"/>
  <c r="AX25" i="193"/>
  <c r="FG65" i="193"/>
  <c r="AT25" i="193"/>
  <c r="AL25" i="193"/>
  <c r="AK25" i="193"/>
  <c r="AA25" i="193"/>
  <c r="BU25" i="193"/>
  <c r="BV25" i="193" s="1"/>
  <c r="GM24" i="193"/>
  <c r="GL24" i="193"/>
  <c r="GK24" i="193"/>
  <c r="GF24" i="193"/>
  <c r="FQ24" i="193"/>
  <c r="FO24" i="193"/>
  <c r="FF24" i="193"/>
  <c r="FE24" i="193"/>
  <c r="FD24" i="193"/>
  <c r="FC24" i="193"/>
  <c r="EU24" i="193"/>
  <c r="ES24" i="193"/>
  <c r="ER24" i="193"/>
  <c r="EO24" i="193" s="1"/>
  <c r="EQ24" i="193"/>
  <c r="EP24" i="193"/>
  <c r="BZ24" i="193"/>
  <c r="BS24" i="193"/>
  <c r="BT24" i="193" s="1"/>
  <c r="BQ24" i="193"/>
  <c r="BP24" i="193"/>
  <c r="BO24" i="193"/>
  <c r="BN24" i="193"/>
  <c r="BM24" i="193"/>
  <c r="BK24" i="193"/>
  <c r="BJ24" i="193"/>
  <c r="BG24" i="193"/>
  <c r="BF24" i="193"/>
  <c r="BC24" i="193"/>
  <c r="BB24" i="193"/>
  <c r="AX24" i="193"/>
  <c r="AT24" i="193"/>
  <c r="AL24" i="193"/>
  <c r="AK24" i="193"/>
  <c r="AA24" i="193"/>
  <c r="JL23" i="193"/>
  <c r="JL24" i="193" s="1"/>
  <c r="JL25" i="193" s="1"/>
  <c r="JL26" i="193" s="1"/>
  <c r="JL27" i="193" s="1"/>
  <c r="JL28" i="193" s="1"/>
  <c r="JL29" i="193" s="1"/>
  <c r="JL30" i="193" s="1"/>
  <c r="JL31" i="193" s="1"/>
  <c r="JL32" i="193" s="1"/>
  <c r="JL33" i="193" s="1"/>
  <c r="JL34" i="193" s="1"/>
  <c r="JL35" i="193" s="1"/>
  <c r="JL36" i="193" s="1"/>
  <c r="JL37" i="193" s="1"/>
  <c r="JL38" i="193" s="1"/>
  <c r="JL39" i="193" s="1"/>
  <c r="JL40" i="193" s="1"/>
  <c r="JL41" i="193" s="1"/>
  <c r="JL42" i="193" s="1"/>
  <c r="JL43" i="193" s="1"/>
  <c r="JL44" i="193" s="1"/>
  <c r="JL45" i="193" s="1"/>
  <c r="GK23" i="193"/>
  <c r="GF23" i="193"/>
  <c r="FQ23" i="193"/>
  <c r="FO23" i="193"/>
  <c r="FE23" i="193"/>
  <c r="FF23" i="193" s="1"/>
  <c r="FD23" i="193"/>
  <c r="FC23" i="193"/>
  <c r="EU23" i="193"/>
  <c r="ES23" i="193"/>
  <c r="ER23" i="193"/>
  <c r="EO23" i="193" s="1"/>
  <c r="EQ23" i="193"/>
  <c r="EP23" i="193"/>
  <c r="BU23" i="193"/>
  <c r="BV23" i="193" s="1"/>
  <c r="BT23" i="193"/>
  <c r="BS23" i="193"/>
  <c r="BQ23" i="193"/>
  <c r="BP23" i="193"/>
  <c r="BN23" i="193"/>
  <c r="BO23" i="193" s="1"/>
  <c r="BM23" i="193"/>
  <c r="BR23" i="193" s="1"/>
  <c r="BK23" i="193"/>
  <c r="BJ23" i="193"/>
  <c r="BG23" i="193"/>
  <c r="BF23" i="193"/>
  <c r="BC23" i="193"/>
  <c r="BB23" i="193"/>
  <c r="AX23" i="193"/>
  <c r="AT23" i="193"/>
  <c r="AL23" i="193"/>
  <c r="AK23" i="193"/>
  <c r="AA23" i="193"/>
  <c r="GK22" i="193"/>
  <c r="GF22" i="193"/>
  <c r="FQ22" i="193"/>
  <c r="FO22" i="193"/>
  <c r="FE22" i="193"/>
  <c r="FD22" i="193"/>
  <c r="FC22" i="193"/>
  <c r="EU22" i="193"/>
  <c r="ES22" i="193"/>
  <c r="ER22" i="193"/>
  <c r="EQ22" i="193"/>
  <c r="EP22" i="193"/>
  <c r="BZ22" i="193"/>
  <c r="BV22" i="193"/>
  <c r="BU22" i="193"/>
  <c r="BS22" i="193"/>
  <c r="BT22" i="193" s="1"/>
  <c r="BQ22" i="193"/>
  <c r="BP22" i="193"/>
  <c r="BN22" i="193"/>
  <c r="BK22" i="193"/>
  <c r="BJ22" i="193"/>
  <c r="BG22" i="193"/>
  <c r="BF22" i="193"/>
  <c r="BC22" i="193"/>
  <c r="BB22" i="193"/>
  <c r="AX22" i="193"/>
  <c r="FG62" i="193"/>
  <c r="AT22" i="193"/>
  <c r="AL22" i="193"/>
  <c r="AK22" i="193"/>
  <c r="AA22" i="193"/>
  <c r="GK21" i="193"/>
  <c r="GF21" i="193"/>
  <c r="FQ21" i="193"/>
  <c r="FE21" i="193"/>
  <c r="FD21" i="193"/>
  <c r="FC21" i="193"/>
  <c r="EU21" i="193"/>
  <c r="ES21" i="193"/>
  <c r="ER21" i="193"/>
  <c r="EO21" i="193" s="1"/>
  <c r="EQ21" i="193"/>
  <c r="EP21" i="193"/>
  <c r="BZ21" i="193"/>
  <c r="BV21" i="193"/>
  <c r="BU21" i="193"/>
  <c r="BT21" i="193"/>
  <c r="BS21" i="193"/>
  <c r="BR21" i="193"/>
  <c r="BQ21" i="193"/>
  <c r="BP21" i="193"/>
  <c r="BO21" i="193"/>
  <c r="BN21" i="193"/>
  <c r="BM21" i="193" s="1"/>
  <c r="BK21" i="193"/>
  <c r="BJ21" i="193"/>
  <c r="BG21" i="193"/>
  <c r="BF21" i="193"/>
  <c r="BC21" i="193"/>
  <c r="BB21" i="193"/>
  <c r="AX21" i="193"/>
  <c r="AT21" i="193"/>
  <c r="AL21" i="193"/>
  <c r="AK21" i="193"/>
  <c r="AA21" i="193"/>
  <c r="GK20" i="193"/>
  <c r="GF20" i="193"/>
  <c r="FQ20" i="193"/>
  <c r="FO20" i="193"/>
  <c r="FE20" i="193"/>
  <c r="FD20" i="193"/>
  <c r="FC20" i="193"/>
  <c r="FF20" i="193" s="1"/>
  <c r="EU20" i="193"/>
  <c r="ES20" i="193"/>
  <c r="ER20" i="193"/>
  <c r="EO20" i="193" s="1"/>
  <c r="EQ20" i="193"/>
  <c r="EP20" i="193"/>
  <c r="BZ20" i="193"/>
  <c r="BV20" i="193"/>
  <c r="BU20" i="193"/>
  <c r="BT20" i="193"/>
  <c r="BS20" i="193"/>
  <c r="BQ20" i="193"/>
  <c r="BP20" i="193"/>
  <c r="BN20" i="193"/>
  <c r="BM20" i="193" s="1"/>
  <c r="BJ20" i="193"/>
  <c r="BG20" i="193"/>
  <c r="BF20" i="193"/>
  <c r="BC20" i="193"/>
  <c r="BB20" i="193"/>
  <c r="AX20" i="193"/>
  <c r="AT20" i="193"/>
  <c r="AL20" i="193"/>
  <c r="AK20" i="193"/>
  <c r="AA20" i="193"/>
  <c r="GK19" i="193"/>
  <c r="GF19" i="193"/>
  <c r="FO19" i="193"/>
  <c r="FE19" i="193"/>
  <c r="FD19" i="193"/>
  <c r="FC19" i="193"/>
  <c r="EZ19" i="193"/>
  <c r="EY19" i="193"/>
  <c r="EU19" i="193"/>
  <c r="ES19" i="193"/>
  <c r="ER19" i="193"/>
  <c r="EO19" i="193" s="1"/>
  <c r="EQ19" i="193"/>
  <c r="EP19" i="193"/>
  <c r="BU19" i="193"/>
  <c r="BV19" i="193" s="1"/>
  <c r="BT19" i="193"/>
  <c r="BS19" i="193"/>
  <c r="BQ19" i="193"/>
  <c r="BP19" i="193"/>
  <c r="EZ59" i="193" s="1"/>
  <c r="BN19" i="193"/>
  <c r="BO19" i="193" s="1"/>
  <c r="BM19" i="193"/>
  <c r="BR19" i="193" s="1"/>
  <c r="BK19" i="193"/>
  <c r="BJ19" i="193"/>
  <c r="BG19" i="193"/>
  <c r="BF19" i="193"/>
  <c r="BC19" i="193"/>
  <c r="BB19" i="193"/>
  <c r="AY19" i="193"/>
  <c r="AX19" i="193"/>
  <c r="AU19" i="193"/>
  <c r="AT19" i="193"/>
  <c r="AO19" i="193"/>
  <c r="AN19" i="193"/>
  <c r="AM19" i="193"/>
  <c r="AL19" i="193"/>
  <c r="AK19" i="193"/>
  <c r="AB19" i="193"/>
  <c r="FO28" i="193" s="1"/>
  <c r="AA19" i="193"/>
  <c r="GK18" i="193"/>
  <c r="GF18" i="193"/>
  <c r="FQ18" i="193"/>
  <c r="FO18" i="193"/>
  <c r="FE18" i="193"/>
  <c r="FF18" i="193" s="1"/>
  <c r="FF17" i="193" s="1"/>
  <c r="FD18" i="193"/>
  <c r="FC18" i="193"/>
  <c r="EU18" i="193"/>
  <c r="ES18" i="193"/>
  <c r="ER18" i="193"/>
  <c r="EO18" i="193" s="1"/>
  <c r="EQ18" i="193"/>
  <c r="EP18" i="193"/>
  <c r="BZ18" i="193"/>
  <c r="BV18" i="193"/>
  <c r="BU18" i="193"/>
  <c r="BT18" i="193"/>
  <c r="BS18" i="193"/>
  <c r="BQ18" i="193"/>
  <c r="BP18" i="193"/>
  <c r="BN18" i="193"/>
  <c r="BK18" i="193"/>
  <c r="BJ18" i="193"/>
  <c r="BG18" i="193"/>
  <c r="BF18" i="193"/>
  <c r="BC18" i="193"/>
  <c r="BB18" i="193"/>
  <c r="AX18" i="193"/>
  <c r="AT18" i="193"/>
  <c r="AL18" i="193"/>
  <c r="AK18" i="193"/>
  <c r="AA18" i="193"/>
  <c r="GL17" i="193"/>
  <c r="GK17" i="193"/>
  <c r="GM17" i="193" s="1"/>
  <c r="GF17" i="193"/>
  <c r="FQ17" i="193"/>
  <c r="FO17" i="193"/>
  <c r="FE17" i="193"/>
  <c r="FD17" i="193"/>
  <c r="FC17" i="193"/>
  <c r="EZ17" i="193"/>
  <c r="EY17" i="193"/>
  <c r="EU17" i="193"/>
  <c r="ES17" i="193"/>
  <c r="ER17" i="193"/>
  <c r="EO17" i="193" s="1"/>
  <c r="EQ17" i="193"/>
  <c r="EP17" i="193"/>
  <c r="BT17" i="193"/>
  <c r="BS17" i="193"/>
  <c r="BQ17" i="193"/>
  <c r="BP17" i="193"/>
  <c r="BN17" i="193"/>
  <c r="BO17" i="193" s="1"/>
  <c r="FA57" i="193" s="1"/>
  <c r="EY57" i="193" s="1"/>
  <c r="BM17" i="193"/>
  <c r="BK17" i="193"/>
  <c r="BJ17" i="193"/>
  <c r="BG17" i="193"/>
  <c r="BF17" i="193"/>
  <c r="BC17" i="193"/>
  <c r="BB17" i="193"/>
  <c r="AY17" i="193"/>
  <c r="AX17" i="193"/>
  <c r="AU17" i="193"/>
  <c r="AT17" i="193"/>
  <c r="AO17" i="193"/>
  <c r="AN17" i="193"/>
  <c r="AM17" i="193"/>
  <c r="AL17" i="193"/>
  <c r="AK17" i="193"/>
  <c r="AB17" i="193"/>
  <c r="FO21" i="193" s="1"/>
  <c r="AA17" i="193"/>
  <c r="BU17" i="193"/>
  <c r="BV17" i="193" s="1"/>
  <c r="GL16" i="193"/>
  <c r="GK16" i="193"/>
  <c r="GM16" i="193" s="1"/>
  <c r="GF16" i="193"/>
  <c r="FQ16" i="193"/>
  <c r="FO16" i="193"/>
  <c r="FF16" i="193"/>
  <c r="FE16" i="193"/>
  <c r="FD16" i="193"/>
  <c r="FC16" i="193"/>
  <c r="EU16" i="193"/>
  <c r="ET16" i="193"/>
  <c r="ES16" i="193"/>
  <c r="ER16" i="193"/>
  <c r="EO16" i="193" s="1"/>
  <c r="EQ16" i="193"/>
  <c r="EP16" i="193"/>
  <c r="BT16" i="193"/>
  <c r="BS16" i="193"/>
  <c r="BQ16" i="193"/>
  <c r="BP16" i="193"/>
  <c r="BO16" i="193"/>
  <c r="EZ56" i="193" s="1"/>
  <c r="BN16" i="193"/>
  <c r="BM16" i="193" s="1"/>
  <c r="BK16" i="193"/>
  <c r="BJ16" i="193"/>
  <c r="BG16" i="193"/>
  <c r="BF16" i="193"/>
  <c r="BC16" i="193"/>
  <c r="BB16" i="193"/>
  <c r="AX16" i="193"/>
  <c r="AT16" i="193"/>
  <c r="AL16" i="193"/>
  <c r="AK16" i="193"/>
  <c r="AA16" i="193"/>
  <c r="GK15" i="193"/>
  <c r="GF15" i="193"/>
  <c r="FQ15" i="193"/>
  <c r="FO15" i="193"/>
  <c r="FE15" i="193"/>
  <c r="FC15" i="193"/>
  <c r="EU15" i="193"/>
  <c r="ET15" i="193"/>
  <c r="ES15" i="193"/>
  <c r="ER15" i="193"/>
  <c r="EO15" i="193" s="1"/>
  <c r="EQ15" i="193"/>
  <c r="EP15" i="193"/>
  <c r="BZ15" i="193"/>
  <c r="BS15" i="193"/>
  <c r="BT15" i="193" s="1"/>
  <c r="BQ15" i="193"/>
  <c r="BP15" i="193"/>
  <c r="BO15" i="193"/>
  <c r="BN15" i="193"/>
  <c r="BM15" i="193" s="1"/>
  <c r="BR15" i="193" s="1"/>
  <c r="BJ15" i="193"/>
  <c r="BG15" i="193"/>
  <c r="BF15" i="193"/>
  <c r="BC15" i="193"/>
  <c r="BB15" i="193"/>
  <c r="AY15" i="193"/>
  <c r="AX15" i="193"/>
  <c r="AT15" i="193"/>
  <c r="AL15" i="193"/>
  <c r="AK15" i="193"/>
  <c r="AA15" i="193"/>
  <c r="JL14" i="193"/>
  <c r="JL15" i="193" s="1"/>
  <c r="JL16" i="193" s="1"/>
  <c r="JL17" i="193" s="1"/>
  <c r="JL18" i="193" s="1"/>
  <c r="JL19" i="193" s="1"/>
  <c r="JL20" i="193" s="1"/>
  <c r="JL21" i="193" s="1"/>
  <c r="JL22" i="193" s="1"/>
  <c r="GK14" i="193"/>
  <c r="GF14" i="193"/>
  <c r="FQ14" i="193"/>
  <c r="FO14" i="193"/>
  <c r="FE14" i="193"/>
  <c r="FD14" i="193"/>
  <c r="FC14" i="193"/>
  <c r="FF14" i="193" s="1"/>
  <c r="EU14" i="193"/>
  <c r="ET14" i="193"/>
  <c r="ER14" i="193"/>
  <c r="EO14" i="193" s="1"/>
  <c r="EQ14" i="193"/>
  <c r="EP14" i="193"/>
  <c r="BU14" i="193"/>
  <c r="BV14" i="193" s="1"/>
  <c r="BQ14" i="193"/>
  <c r="BP14" i="193"/>
  <c r="BN14" i="193"/>
  <c r="BO14" i="193" s="1"/>
  <c r="EZ54" i="193" s="1"/>
  <c r="BM14" i="193"/>
  <c r="BK14" i="193"/>
  <c r="BJ14" i="193"/>
  <c r="BG14" i="193"/>
  <c r="BF14" i="193"/>
  <c r="BC14" i="193"/>
  <c r="BB14" i="193"/>
  <c r="AY14" i="193"/>
  <c r="AX14" i="193"/>
  <c r="AT14" i="193"/>
  <c r="AL14" i="193"/>
  <c r="AK14" i="193"/>
  <c r="AA14" i="193"/>
  <c r="JJ12" i="193"/>
  <c r="JG12" i="193"/>
  <c r="JF12" i="193"/>
  <c r="JB12" i="193"/>
  <c r="IZ12" i="193"/>
  <c r="IY12" i="193"/>
  <c r="IX12" i="193"/>
  <c r="IT12" i="193"/>
  <c r="IQ12" i="193"/>
  <c r="IP12" i="193"/>
  <c r="IL12" i="193"/>
  <c r="IC12" i="193"/>
  <c r="IB12" i="193"/>
  <c r="IA12" i="193"/>
  <c r="HW12" i="193"/>
  <c r="HT12" i="193"/>
  <c r="HS12" i="193"/>
  <c r="HO12" i="193"/>
  <c r="HM12" i="193"/>
  <c r="HL12" i="193"/>
  <c r="HK12" i="193"/>
  <c r="HG12" i="193"/>
  <c r="BE10" i="193"/>
  <c r="AX10" i="193"/>
  <c r="Z10" i="193"/>
  <c r="T10" i="193"/>
  <c r="C10" i="193"/>
  <c r="AE10" i="193" s="1"/>
  <c r="AE9" i="193"/>
  <c r="T9" i="193"/>
  <c r="AX9" i="193" s="1"/>
  <c r="C9" i="193"/>
  <c r="BB7" i="193"/>
  <c r="BB6" i="193"/>
  <c r="X6" i="193"/>
  <c r="M6" i="193"/>
  <c r="EX5" i="193"/>
  <c r="FF4" i="193"/>
  <c r="FE4" i="193"/>
  <c r="FD4" i="193"/>
  <c r="FC4" i="193"/>
  <c r="FB4" i="193"/>
  <c r="FA4" i="193"/>
  <c r="EZ4" i="193"/>
  <c r="EY4" i="193"/>
  <c r="FG2" i="193"/>
  <c r="FE2" i="193"/>
  <c r="FC2" i="193"/>
  <c r="FA2" i="193"/>
  <c r="Q2" i="193"/>
  <c r="AU2" i="193" s="1"/>
  <c r="HA1" i="193"/>
  <c r="FG1" i="193"/>
  <c r="DF79" i="193" s="1"/>
  <c r="FB1" i="193"/>
  <c r="FA1" i="193"/>
  <c r="BK1" i="193"/>
  <c r="BZ45" i="193" s="1"/>
  <c r="BJ1" i="193"/>
  <c r="Q4" i="193" s="1"/>
  <c r="AU4" i="193" s="1"/>
  <c r="Q1" i="193"/>
  <c r="AU1" i="193" s="1"/>
  <c r="BG87" i="192"/>
  <c r="BF87" i="192"/>
  <c r="BE87" i="192"/>
  <c r="BD87" i="192"/>
  <c r="BC87" i="192"/>
  <c r="BB87" i="192"/>
  <c r="BA87" i="192"/>
  <c r="AZ87" i="192"/>
  <c r="AY87" i="192"/>
  <c r="AX87" i="192"/>
  <c r="AW87" i="192"/>
  <c r="AV87" i="192"/>
  <c r="AU87" i="192"/>
  <c r="AT87" i="192"/>
  <c r="AS87" i="192"/>
  <c r="AR87" i="192"/>
  <c r="AQ87" i="192"/>
  <c r="AP87" i="192"/>
  <c r="AO87" i="192"/>
  <c r="AN87" i="192"/>
  <c r="AM87" i="192"/>
  <c r="AL87" i="192"/>
  <c r="AK87" i="192"/>
  <c r="AJ87" i="192"/>
  <c r="AI87" i="192"/>
  <c r="AH87" i="192"/>
  <c r="AG87" i="192"/>
  <c r="AF87" i="192"/>
  <c r="AE87" i="192"/>
  <c r="AD87" i="192"/>
  <c r="AC87" i="192"/>
  <c r="AB87" i="192"/>
  <c r="AA87" i="192"/>
  <c r="Z87" i="192"/>
  <c r="Y87" i="192"/>
  <c r="X87" i="192"/>
  <c r="W87" i="192"/>
  <c r="V87" i="192"/>
  <c r="U87" i="192"/>
  <c r="T87" i="192"/>
  <c r="S87" i="192"/>
  <c r="R87" i="192"/>
  <c r="Q87" i="192"/>
  <c r="P87" i="192"/>
  <c r="O87" i="192"/>
  <c r="N87" i="192"/>
  <c r="M87" i="192"/>
  <c r="L87" i="192"/>
  <c r="K87" i="192"/>
  <c r="J87" i="192"/>
  <c r="I87" i="192"/>
  <c r="H87" i="192"/>
  <c r="G87" i="192"/>
  <c r="F87" i="192"/>
  <c r="E87" i="192"/>
  <c r="D87" i="192"/>
  <c r="C87" i="192"/>
  <c r="B87" i="192"/>
  <c r="A87" i="192"/>
  <c r="GI85" i="192"/>
  <c r="GH85" i="192"/>
  <c r="BA45" i="192" s="1"/>
  <c r="GG85" i="192"/>
  <c r="AW45" i="192" s="1"/>
  <c r="GF85" i="192"/>
  <c r="AR45" i="192" s="1"/>
  <c r="FF85" i="192" s="1"/>
  <c r="GE85" i="192"/>
  <c r="AQ45" i="192" s="1"/>
  <c r="GD85" i="192"/>
  <c r="AP45" i="192" s="1"/>
  <c r="FM85" i="192"/>
  <c r="FC85" i="192"/>
  <c r="EX85" i="192"/>
  <c r="EK85" i="192"/>
  <c r="EJ85" i="192"/>
  <c r="EI85" i="192"/>
  <c r="ED85" i="192"/>
  <c r="EB85" i="192"/>
  <c r="EA85" i="192"/>
  <c r="DE85" i="192"/>
  <c r="DD85" i="192"/>
  <c r="H45" i="192" s="1"/>
  <c r="DC85" i="192"/>
  <c r="CY85" i="192"/>
  <c r="CW85" i="192"/>
  <c r="M45" i="192" s="1"/>
  <c r="CU85" i="192"/>
  <c r="EL85" i="192" s="1"/>
  <c r="EM85" i="192" s="1"/>
  <c r="EN85" i="192" s="1"/>
  <c r="X45" i="192" s="1"/>
  <c r="CT85" i="192"/>
  <c r="EP85" i="192" s="1"/>
  <c r="CS85" i="192"/>
  <c r="CR85" i="192"/>
  <c r="CQ85" i="192"/>
  <c r="DS85" i="192" s="1"/>
  <c r="CP85" i="192"/>
  <c r="CO85" i="192"/>
  <c r="CN85" i="192"/>
  <c r="CM85" i="192"/>
  <c r="DG85" i="192" s="1"/>
  <c r="CL85" i="192"/>
  <c r="EH85" i="192" s="1"/>
  <c r="CK85" i="192"/>
  <c r="CJ85" i="192"/>
  <c r="CI85" i="192"/>
  <c r="CH85" i="192"/>
  <c r="CG85" i="192"/>
  <c r="CF85" i="192"/>
  <c r="CE85" i="192"/>
  <c r="CD85" i="192"/>
  <c r="DB85" i="192" s="1"/>
  <c r="CC85" i="192"/>
  <c r="CB85" i="192"/>
  <c r="GI84" i="192"/>
  <c r="BD44" i="192" s="1"/>
  <c r="FI84" i="192" s="1"/>
  <c r="GH84" i="192"/>
  <c r="GG84" i="192"/>
  <c r="AW44" i="192" s="1"/>
  <c r="GF84" i="192"/>
  <c r="AS44" i="192" s="1"/>
  <c r="GE84" i="192"/>
  <c r="AQ44" i="192" s="1"/>
  <c r="GD84" i="192"/>
  <c r="AP44" i="192" s="1"/>
  <c r="FM84" i="192"/>
  <c r="FD84" i="192"/>
  <c r="EX84" i="192"/>
  <c r="EW84" i="192"/>
  <c r="EU84" i="192"/>
  <c r="EO84" i="192"/>
  <c r="EK84" i="192"/>
  <c r="EL84" i="192" s="1"/>
  <c r="EM84" i="192" s="1"/>
  <c r="EN84" i="192" s="1"/>
  <c r="X44" i="192" s="1"/>
  <c r="ED84" i="192"/>
  <c r="EB84" i="192"/>
  <c r="DI84" i="192"/>
  <c r="DH84" i="192"/>
  <c r="DG84" i="192"/>
  <c r="DF84" i="192"/>
  <c r="DE84" i="192"/>
  <c r="DD84" i="192"/>
  <c r="G44" i="192" s="1"/>
  <c r="DA84" i="192"/>
  <c r="CY84" i="192"/>
  <c r="CW84" i="192"/>
  <c r="CV84" i="192"/>
  <c r="DK84" i="192" s="1"/>
  <c r="CU84" i="192"/>
  <c r="CT84" i="192"/>
  <c r="EP84" i="192" s="1"/>
  <c r="CS84" i="192"/>
  <c r="CR84" i="192"/>
  <c r="CQ84" i="192"/>
  <c r="CP84" i="192"/>
  <c r="EA84" i="192" s="1"/>
  <c r="Q44" i="192" s="1"/>
  <c r="CO84" i="192"/>
  <c r="FE84" i="192" s="1"/>
  <c r="CN84" i="192"/>
  <c r="CM84" i="192"/>
  <c r="DJ84" i="192" s="1"/>
  <c r="L44" i="192" s="1"/>
  <c r="BU44" i="192" s="1"/>
  <c r="CL84" i="192"/>
  <c r="EI84" i="192" s="1"/>
  <c r="CK84" i="192"/>
  <c r="CJ84" i="192"/>
  <c r="CI84" i="192"/>
  <c r="CH84" i="192"/>
  <c r="CG84" i="192"/>
  <c r="DZ84" i="192" s="1"/>
  <c r="O44" i="192" s="1"/>
  <c r="CF84" i="192"/>
  <c r="CE84" i="192"/>
  <c r="CD84" i="192"/>
  <c r="DC84" i="192" s="1"/>
  <c r="CC84" i="192"/>
  <c r="CB84" i="192"/>
  <c r="GI83" i="192"/>
  <c r="BE43" i="192" s="1"/>
  <c r="GH83" i="192"/>
  <c r="AZ43" i="192" s="1"/>
  <c r="FH83" i="192" s="1"/>
  <c r="GG83" i="192"/>
  <c r="AW43" i="192" s="1"/>
  <c r="GF83" i="192"/>
  <c r="AR43" i="192" s="1"/>
  <c r="FF83" i="192" s="1"/>
  <c r="GE83" i="192"/>
  <c r="AQ43" i="192" s="1"/>
  <c r="GD83" i="192"/>
  <c r="AP43" i="192" s="1"/>
  <c r="FM83" i="192"/>
  <c r="FE83" i="192"/>
  <c r="FD83" i="192"/>
  <c r="FC83" i="192"/>
  <c r="FB83" i="192"/>
  <c r="EX83" i="192"/>
  <c r="EU83" i="192"/>
  <c r="ET83" i="192"/>
  <c r="EO83" i="192"/>
  <c r="EI83" i="192"/>
  <c r="ED83" i="192"/>
  <c r="EB83" i="192"/>
  <c r="EA83" i="192"/>
  <c r="DZ83" i="192"/>
  <c r="DG83" i="192"/>
  <c r="DE83" i="192"/>
  <c r="DC83" i="192"/>
  <c r="EV83" i="192" s="1"/>
  <c r="DA83" i="192"/>
  <c r="CY83" i="192"/>
  <c r="CX83" i="192"/>
  <c r="CU83" i="192"/>
  <c r="CT83" i="192"/>
  <c r="EP83" i="192" s="1"/>
  <c r="CS83" i="192"/>
  <c r="CR83" i="192"/>
  <c r="CQ83" i="192"/>
  <c r="CP83" i="192"/>
  <c r="CO83" i="192"/>
  <c r="CN83" i="192"/>
  <c r="CM83" i="192"/>
  <c r="DJ83" i="192" s="1"/>
  <c r="J43" i="192" s="1"/>
  <c r="CL83" i="192"/>
  <c r="EH83" i="192" s="1"/>
  <c r="EJ83" i="192" s="1"/>
  <c r="DS83" i="192" s="1"/>
  <c r="CK83" i="192"/>
  <c r="EK83" i="192" s="1"/>
  <c r="CJ83" i="192"/>
  <c r="CI83" i="192"/>
  <c r="CH83" i="192"/>
  <c r="CG83" i="192"/>
  <c r="CF83" i="192"/>
  <c r="CW83" i="192" s="1"/>
  <c r="M43" i="192" s="1"/>
  <c r="CE83" i="192"/>
  <c r="CD83" i="192"/>
  <c r="DD83" i="192" s="1"/>
  <c r="CC83" i="192"/>
  <c r="EF83" i="192" s="1"/>
  <c r="CB83" i="192"/>
  <c r="GI82" i="192"/>
  <c r="BD42" i="192" s="1"/>
  <c r="FI82" i="192" s="1"/>
  <c r="GH82" i="192"/>
  <c r="AZ42" i="192" s="1"/>
  <c r="FH82" i="192" s="1"/>
  <c r="GG82" i="192"/>
  <c r="AV42" i="192" s="1"/>
  <c r="FG82" i="192" s="1"/>
  <c r="GF82" i="192"/>
  <c r="AS42" i="192" s="1"/>
  <c r="GE82" i="192"/>
  <c r="AQ42" i="192" s="1"/>
  <c r="GD82" i="192"/>
  <c r="AP42" i="192" s="1"/>
  <c r="FM82" i="192"/>
  <c r="FE82" i="192"/>
  <c r="EX82" i="192"/>
  <c r="EO82" i="192"/>
  <c r="ED82" i="192"/>
  <c r="EB82" i="192"/>
  <c r="EA82" i="192"/>
  <c r="Q42" i="192" s="1"/>
  <c r="DZ82" i="192"/>
  <c r="P42" i="192" s="1"/>
  <c r="DI82" i="192"/>
  <c r="DE82" i="192"/>
  <c r="CY82" i="192"/>
  <c r="CW82" i="192"/>
  <c r="M42" i="192" s="1"/>
  <c r="CU82" i="192"/>
  <c r="CT82" i="192"/>
  <c r="EP82" i="192" s="1"/>
  <c r="CS82" i="192"/>
  <c r="CR82" i="192"/>
  <c r="CQ82" i="192"/>
  <c r="CP82" i="192"/>
  <c r="FC82" i="192" s="1"/>
  <c r="CO82" i="192"/>
  <c r="CN82" i="192"/>
  <c r="CM82" i="192"/>
  <c r="CL82" i="192"/>
  <c r="EI82" i="192" s="1"/>
  <c r="CK82" i="192"/>
  <c r="EK82" i="192" s="1"/>
  <c r="CJ82" i="192"/>
  <c r="CI82" i="192"/>
  <c r="CH82" i="192"/>
  <c r="CG82" i="192"/>
  <c r="FB82" i="192" s="1"/>
  <c r="CF82" i="192"/>
  <c r="FD82" i="192" s="1"/>
  <c r="CE82" i="192"/>
  <c r="CD82" i="192"/>
  <c r="CC82" i="192"/>
  <c r="CB82" i="192"/>
  <c r="GI81" i="192"/>
  <c r="GH81" i="192"/>
  <c r="GG81" i="192"/>
  <c r="GF81" i="192"/>
  <c r="GE81" i="192"/>
  <c r="AQ41" i="192" s="1"/>
  <c r="GD81" i="192"/>
  <c r="AP41" i="192" s="1"/>
  <c r="FM81" i="192"/>
  <c r="FC81" i="192"/>
  <c r="EX81" i="192"/>
  <c r="EU81" i="192"/>
  <c r="EK81" i="192"/>
  <c r="EI81" i="192"/>
  <c r="ED81" i="192"/>
  <c r="EB81" i="192"/>
  <c r="EA81" i="192"/>
  <c r="R41" i="192" s="1"/>
  <c r="DG81" i="192"/>
  <c r="DE81" i="192"/>
  <c r="DD81" i="192"/>
  <c r="G41" i="192" s="1"/>
  <c r="DC81" i="192"/>
  <c r="CY81" i="192"/>
  <c r="CU81" i="192"/>
  <c r="CT81" i="192"/>
  <c r="EP81" i="192" s="1"/>
  <c r="CS81" i="192"/>
  <c r="CR81" i="192"/>
  <c r="CQ81" i="192"/>
  <c r="CP81" i="192"/>
  <c r="CO81" i="192"/>
  <c r="CN81" i="192"/>
  <c r="CM81" i="192"/>
  <c r="CL81" i="192"/>
  <c r="EH81" i="192" s="1"/>
  <c r="EJ81" i="192" s="1"/>
  <c r="DS81" i="192" s="1"/>
  <c r="CK81" i="192"/>
  <c r="CJ81" i="192"/>
  <c r="CI81" i="192"/>
  <c r="CH81" i="192"/>
  <c r="CG81" i="192"/>
  <c r="CF81" i="192"/>
  <c r="CE81" i="192"/>
  <c r="CD81" i="192"/>
  <c r="DB81" i="192" s="1"/>
  <c r="CC81" i="192"/>
  <c r="CB81" i="192"/>
  <c r="GI80" i="192"/>
  <c r="GH80" i="192"/>
  <c r="GG80" i="192"/>
  <c r="GF80" i="192"/>
  <c r="GE80" i="192"/>
  <c r="GD80" i="192"/>
  <c r="AP40" i="192" s="1"/>
  <c r="FM80" i="192"/>
  <c r="FE80" i="192"/>
  <c r="FD80" i="192"/>
  <c r="FC80" i="192"/>
  <c r="FB80" i="192"/>
  <c r="EX80" i="192"/>
  <c r="ET80" i="192"/>
  <c r="EO80" i="192"/>
  <c r="EM80" i="192"/>
  <c r="EN80" i="192" s="1"/>
  <c r="ED80" i="192"/>
  <c r="EB80" i="192"/>
  <c r="DI80" i="192"/>
  <c r="DH80" i="192"/>
  <c r="DG80" i="192"/>
  <c r="DE80" i="192"/>
  <c r="DD80" i="192"/>
  <c r="I40" i="192" s="1"/>
  <c r="BS40" i="192" s="1"/>
  <c r="DA80" i="192"/>
  <c r="CY80" i="192"/>
  <c r="CW80" i="192"/>
  <c r="M40" i="192" s="1"/>
  <c r="CV80" i="192"/>
  <c r="DK80" i="192" s="1"/>
  <c r="CU80" i="192"/>
  <c r="CT80" i="192"/>
  <c r="EP80" i="192" s="1"/>
  <c r="CS80" i="192"/>
  <c r="CR80" i="192"/>
  <c r="CQ80" i="192"/>
  <c r="CP80" i="192"/>
  <c r="EA80" i="192" s="1"/>
  <c r="CO80" i="192"/>
  <c r="CX80" i="192" s="1"/>
  <c r="N40" i="192" s="1"/>
  <c r="CN80" i="192"/>
  <c r="CM80" i="192"/>
  <c r="DJ80" i="192" s="1"/>
  <c r="CL80" i="192"/>
  <c r="EI80" i="192" s="1"/>
  <c r="CK80" i="192"/>
  <c r="EK80" i="192" s="1"/>
  <c r="EL80" i="192" s="1"/>
  <c r="CJ80" i="192"/>
  <c r="CI80" i="192"/>
  <c r="CH80" i="192"/>
  <c r="CG80" i="192"/>
  <c r="DZ80" i="192" s="1"/>
  <c r="O40" i="192" s="1"/>
  <c r="CF80" i="192"/>
  <c r="CE80" i="192"/>
  <c r="CD80" i="192"/>
  <c r="DC80" i="192" s="1"/>
  <c r="CC80" i="192"/>
  <c r="CB80" i="192"/>
  <c r="GI79" i="192"/>
  <c r="GH79" i="192"/>
  <c r="GG79" i="192"/>
  <c r="GF79" i="192"/>
  <c r="GE79" i="192"/>
  <c r="GD79" i="192"/>
  <c r="FM79" i="192"/>
  <c r="FE79" i="192"/>
  <c r="FD79" i="192"/>
  <c r="FC79" i="192"/>
  <c r="FB79" i="192"/>
  <c r="EX79" i="192"/>
  <c r="ET79" i="192"/>
  <c r="EO79" i="192"/>
  <c r="EI79" i="192"/>
  <c r="ED79" i="192"/>
  <c r="EB79" i="192"/>
  <c r="EA79" i="192"/>
  <c r="DZ79" i="192"/>
  <c r="P39" i="192" s="1"/>
  <c r="DJ79" i="192"/>
  <c r="K39" i="192" s="1"/>
  <c r="DE79" i="192"/>
  <c r="CY79" i="192"/>
  <c r="CX79" i="192"/>
  <c r="CW79" i="192"/>
  <c r="M39" i="192" s="1"/>
  <c r="CU79" i="192"/>
  <c r="CT79" i="192"/>
  <c r="EP79" i="192" s="1"/>
  <c r="CS79" i="192"/>
  <c r="DF79" i="192" s="1"/>
  <c r="CR79" i="192"/>
  <c r="CQ79" i="192"/>
  <c r="CP79" i="192"/>
  <c r="CO79" i="192"/>
  <c r="CN79" i="192"/>
  <c r="CM79" i="192"/>
  <c r="DI79" i="192" s="1"/>
  <c r="EW79" i="192" s="1"/>
  <c r="CL79" i="192"/>
  <c r="EH79" i="192" s="1"/>
  <c r="EJ79" i="192" s="1"/>
  <c r="DS79" i="192" s="1"/>
  <c r="CK79" i="192"/>
  <c r="EK79" i="192" s="1"/>
  <c r="CJ79" i="192"/>
  <c r="CI79" i="192"/>
  <c r="CH79" i="192"/>
  <c r="CG79" i="192"/>
  <c r="CF79" i="192"/>
  <c r="CE79" i="192"/>
  <c r="CD79" i="192"/>
  <c r="DC79" i="192" s="1"/>
  <c r="EV79" i="192" s="1"/>
  <c r="CC79" i="192"/>
  <c r="ET39" i="192" s="1"/>
  <c r="CB79" i="192"/>
  <c r="GI78" i="192"/>
  <c r="GH78" i="192"/>
  <c r="GG78" i="192"/>
  <c r="GF78" i="192"/>
  <c r="GE78" i="192"/>
  <c r="GD78" i="192"/>
  <c r="FM78" i="192"/>
  <c r="FC78" i="192"/>
  <c r="EX78" i="192"/>
  <c r="EK78" i="192"/>
  <c r="EH78" i="192"/>
  <c r="EJ78" i="192" s="1"/>
  <c r="DS78" i="192" s="1"/>
  <c r="ED78" i="192"/>
  <c r="EB78" i="192"/>
  <c r="EA78" i="192"/>
  <c r="DU78" i="192"/>
  <c r="DT78" i="192"/>
  <c r="DJ78" i="192"/>
  <c r="DI78" i="192"/>
  <c r="EW78" i="192" s="1"/>
  <c r="DE78" i="192"/>
  <c r="CY78" i="192"/>
  <c r="CV78" i="192"/>
  <c r="CU78" i="192"/>
  <c r="CT78" i="192"/>
  <c r="EP78" i="192" s="1"/>
  <c r="CS78" i="192"/>
  <c r="CR78" i="192"/>
  <c r="CQ78" i="192"/>
  <c r="CP78" i="192"/>
  <c r="CO78" i="192"/>
  <c r="CN78" i="192"/>
  <c r="CM78" i="192"/>
  <c r="CL78" i="192"/>
  <c r="EU38" i="192" s="1"/>
  <c r="CK78" i="192"/>
  <c r="CJ78" i="192"/>
  <c r="CI78" i="192"/>
  <c r="CH78" i="192"/>
  <c r="CG78" i="192"/>
  <c r="CF78" i="192"/>
  <c r="CW78" i="192" s="1"/>
  <c r="M38" i="192" s="1"/>
  <c r="CE78" i="192"/>
  <c r="CD78" i="192"/>
  <c r="DD78" i="192" s="1"/>
  <c r="CC78" i="192"/>
  <c r="ET38" i="192" s="1"/>
  <c r="CB78" i="192"/>
  <c r="GI77" i="192"/>
  <c r="GH77" i="192"/>
  <c r="GG77" i="192"/>
  <c r="GF77" i="192"/>
  <c r="GE77" i="192"/>
  <c r="AQ37" i="192" s="1"/>
  <c r="GD77" i="192"/>
  <c r="FM77" i="192"/>
  <c r="FB77" i="192"/>
  <c r="EX77" i="192"/>
  <c r="ET77" i="192"/>
  <c r="EQ77" i="192"/>
  <c r="ER77" i="192" s="1"/>
  <c r="ES77" i="192" s="1"/>
  <c r="EK77" i="192"/>
  <c r="EL77" i="192" s="1"/>
  <c r="EM77" i="192" s="1"/>
  <c r="EN77" i="192" s="1"/>
  <c r="X37" i="192" s="1"/>
  <c r="GE37" i="192" s="1"/>
  <c r="GL37" i="192" s="1"/>
  <c r="GM37" i="192" s="1"/>
  <c r="EI77" i="192"/>
  <c r="ED77" i="192"/>
  <c r="EB77" i="192"/>
  <c r="DG77" i="192"/>
  <c r="DE77" i="192"/>
  <c r="DD77" i="192"/>
  <c r="G37" i="192" s="1"/>
  <c r="DC77" i="192"/>
  <c r="CY77" i="192"/>
  <c r="CX77" i="192"/>
  <c r="CV77" i="192"/>
  <c r="DK77" i="192" s="1"/>
  <c r="CU77" i="192"/>
  <c r="CT77" i="192"/>
  <c r="EP77" i="192" s="1"/>
  <c r="CS77" i="192"/>
  <c r="CR77" i="192"/>
  <c r="CQ77" i="192"/>
  <c r="CP77" i="192"/>
  <c r="FC77" i="192" s="1"/>
  <c r="CO77" i="192"/>
  <c r="FE77" i="192" s="1"/>
  <c r="CN77" i="192"/>
  <c r="CM77" i="192"/>
  <c r="CL77" i="192"/>
  <c r="EH77" i="192" s="1"/>
  <c r="EJ77" i="192" s="1"/>
  <c r="DS77" i="192" s="1"/>
  <c r="CK77" i="192"/>
  <c r="CJ77" i="192"/>
  <c r="CI77" i="192"/>
  <c r="CH77" i="192"/>
  <c r="CG77" i="192"/>
  <c r="DZ77" i="192" s="1"/>
  <c r="CF77" i="192"/>
  <c r="CE77" i="192"/>
  <c r="CD77" i="192"/>
  <c r="DB77" i="192" s="1"/>
  <c r="CC77" i="192"/>
  <c r="ET37" i="192" s="1"/>
  <c r="CB77" i="192"/>
  <c r="GI76" i="192"/>
  <c r="GH76" i="192"/>
  <c r="GG76" i="192"/>
  <c r="GF76" i="192"/>
  <c r="GE76" i="192"/>
  <c r="AQ36" i="192" s="1"/>
  <c r="GD76" i="192"/>
  <c r="AP36" i="192" s="1"/>
  <c r="FM76" i="192"/>
  <c r="FD76" i="192"/>
  <c r="FC76" i="192"/>
  <c r="EX76" i="192"/>
  <c r="EU76" i="192"/>
  <c r="ET76" i="192"/>
  <c r="EO76" i="192"/>
  <c r="EI76" i="192"/>
  <c r="ED76" i="192"/>
  <c r="EB76" i="192"/>
  <c r="DI76" i="192"/>
  <c r="DH76" i="192"/>
  <c r="DG76" i="192"/>
  <c r="DF76" i="192"/>
  <c r="DE76" i="192"/>
  <c r="DD76" i="192"/>
  <c r="I36" i="192" s="1"/>
  <c r="BS36" i="192" s="1"/>
  <c r="BT36" i="192" s="1"/>
  <c r="DC76" i="192"/>
  <c r="DA76" i="192"/>
  <c r="CY76" i="192"/>
  <c r="CW76" i="192"/>
  <c r="CV76" i="192"/>
  <c r="DK76" i="192" s="1"/>
  <c r="CU76" i="192"/>
  <c r="CT76" i="192"/>
  <c r="EP76" i="192" s="1"/>
  <c r="CS76" i="192"/>
  <c r="CR76" i="192"/>
  <c r="CQ76" i="192"/>
  <c r="CP76" i="192"/>
  <c r="EA76" i="192" s="1"/>
  <c r="CO76" i="192"/>
  <c r="CX76" i="192" s="1"/>
  <c r="CN76" i="192"/>
  <c r="CM76" i="192"/>
  <c r="DJ76" i="192" s="1"/>
  <c r="CL76" i="192"/>
  <c r="EH76" i="192" s="1"/>
  <c r="EJ76" i="192" s="1"/>
  <c r="CK76" i="192"/>
  <c r="EK76" i="192" s="1"/>
  <c r="EL76" i="192" s="1"/>
  <c r="EM76" i="192" s="1"/>
  <c r="EN76" i="192" s="1"/>
  <c r="CJ76" i="192"/>
  <c r="CI76" i="192"/>
  <c r="CH76" i="192"/>
  <c r="CG76" i="192"/>
  <c r="DZ76" i="192" s="1"/>
  <c r="CF76" i="192"/>
  <c r="CE76" i="192"/>
  <c r="CD76" i="192"/>
  <c r="DB76" i="192" s="1"/>
  <c r="CC76" i="192"/>
  <c r="EE76" i="192" s="1"/>
  <c r="EG76" i="192" s="1"/>
  <c r="DL76" i="192" s="1"/>
  <c r="CB76" i="192"/>
  <c r="GI75" i="192"/>
  <c r="GH75" i="192"/>
  <c r="GG75" i="192"/>
  <c r="GF75" i="192"/>
  <c r="GE75" i="192"/>
  <c r="AQ35" i="192" s="1"/>
  <c r="GD75" i="192"/>
  <c r="AP35" i="192" s="1"/>
  <c r="FM75" i="192"/>
  <c r="FE75" i="192"/>
  <c r="FD75" i="192"/>
  <c r="FC75" i="192"/>
  <c r="FB75" i="192"/>
  <c r="EX75" i="192"/>
  <c r="EU75" i="192"/>
  <c r="ET75" i="192"/>
  <c r="EP75" i="192"/>
  <c r="EO75" i="192"/>
  <c r="EI75" i="192"/>
  <c r="EH75" i="192"/>
  <c r="EJ75" i="192" s="1"/>
  <c r="DS75" i="192" s="1"/>
  <c r="ED75" i="192"/>
  <c r="EB75" i="192"/>
  <c r="EA75" i="192"/>
  <c r="DZ75" i="192"/>
  <c r="DJ75" i="192"/>
  <c r="DH75" i="192"/>
  <c r="DE75" i="192"/>
  <c r="DB75" i="192"/>
  <c r="DA75" i="192"/>
  <c r="CY75" i="192"/>
  <c r="CX75" i="192"/>
  <c r="CW75" i="192"/>
  <c r="CU75" i="192"/>
  <c r="CT75" i="192"/>
  <c r="CS75" i="192"/>
  <c r="DF75" i="192" s="1"/>
  <c r="CR75" i="192"/>
  <c r="CQ75" i="192"/>
  <c r="CP75" i="192"/>
  <c r="CO75" i="192"/>
  <c r="CN75" i="192"/>
  <c r="CM75" i="192"/>
  <c r="DI75" i="192" s="1"/>
  <c r="CL75" i="192"/>
  <c r="CK75" i="192"/>
  <c r="EK75" i="192" s="1"/>
  <c r="CJ75" i="192"/>
  <c r="CI75" i="192"/>
  <c r="CH75" i="192"/>
  <c r="CG75" i="192"/>
  <c r="CF75" i="192"/>
  <c r="CE75" i="192"/>
  <c r="CD75" i="192"/>
  <c r="CC75" i="192"/>
  <c r="CB75" i="192"/>
  <c r="GI74" i="192"/>
  <c r="GH74" i="192"/>
  <c r="GG74" i="192"/>
  <c r="GF74" i="192"/>
  <c r="GE74" i="192"/>
  <c r="GD74" i="192"/>
  <c r="AP34" i="192" s="1"/>
  <c r="FM74" i="192"/>
  <c r="FG74" i="192"/>
  <c r="FF74" i="192"/>
  <c r="FE74" i="192"/>
  <c r="FC74" i="192"/>
  <c r="EX74" i="192"/>
  <c r="EP74" i="192"/>
  <c r="EK74" i="192"/>
  <c r="ED74" i="192"/>
  <c r="EB74" i="192"/>
  <c r="EA74" i="192"/>
  <c r="DE74" i="192"/>
  <c r="DD74" i="192"/>
  <c r="CY74" i="192"/>
  <c r="CU74" i="192"/>
  <c r="EQ74" i="192" s="1"/>
  <c r="ER74" i="192" s="1"/>
  <c r="ES74" i="192" s="1"/>
  <c r="Y34" i="192" s="1"/>
  <c r="CT74" i="192"/>
  <c r="CS74" i="192"/>
  <c r="CR74" i="192"/>
  <c r="CQ74" i="192"/>
  <c r="CP74" i="192"/>
  <c r="CO74" i="192"/>
  <c r="CN74" i="192"/>
  <c r="CM74" i="192"/>
  <c r="CL74" i="192"/>
  <c r="CK74" i="192"/>
  <c r="CJ74" i="192"/>
  <c r="CI74" i="192"/>
  <c r="CH74" i="192"/>
  <c r="CG74" i="192"/>
  <c r="FB74" i="192" s="1"/>
  <c r="CF74" i="192"/>
  <c r="FD74" i="192" s="1"/>
  <c r="CE74" i="192"/>
  <c r="CD74" i="192"/>
  <c r="CC74" i="192"/>
  <c r="ET34" i="192" s="1"/>
  <c r="CB74" i="192"/>
  <c r="GI73" i="192"/>
  <c r="GH73" i="192"/>
  <c r="GG73" i="192"/>
  <c r="GF73" i="192"/>
  <c r="GE73" i="192"/>
  <c r="AQ33" i="192" s="1"/>
  <c r="GD73" i="192"/>
  <c r="AP33" i="192" s="1"/>
  <c r="FM73" i="192"/>
  <c r="FF73" i="192"/>
  <c r="EX73" i="192"/>
  <c r="EU73" i="192"/>
  <c r="EK73" i="192"/>
  <c r="EJ73" i="192"/>
  <c r="DS73" i="192" s="1"/>
  <c r="EI73" i="192"/>
  <c r="ED73" i="192"/>
  <c r="EB73" i="192"/>
  <c r="DF73" i="192"/>
  <c r="DE73" i="192"/>
  <c r="DD73" i="192"/>
  <c r="DC73" i="192"/>
  <c r="CY73" i="192"/>
  <c r="CW73" i="192"/>
  <c r="CU73" i="192"/>
  <c r="EL73" i="192" s="1"/>
  <c r="EM73" i="192" s="1"/>
  <c r="EN73" i="192" s="1"/>
  <c r="X33" i="192" s="1"/>
  <c r="CT73" i="192"/>
  <c r="EP73" i="192" s="1"/>
  <c r="CS73" i="192"/>
  <c r="CR73" i="192"/>
  <c r="CQ73" i="192"/>
  <c r="CP73" i="192"/>
  <c r="CO73" i="192"/>
  <c r="CN73" i="192"/>
  <c r="CM73" i="192"/>
  <c r="CL73" i="192"/>
  <c r="EH73" i="192" s="1"/>
  <c r="CK73" i="192"/>
  <c r="CJ73" i="192"/>
  <c r="CI73" i="192"/>
  <c r="CH73" i="192"/>
  <c r="CG73" i="192"/>
  <c r="CF73" i="192"/>
  <c r="CE73" i="192"/>
  <c r="CD73" i="192"/>
  <c r="DB73" i="192" s="1"/>
  <c r="CC73" i="192"/>
  <c r="EF73" i="192" s="1"/>
  <c r="CB73" i="192"/>
  <c r="GI72" i="192"/>
  <c r="GH72" i="192"/>
  <c r="GG72" i="192"/>
  <c r="GF72" i="192"/>
  <c r="GE72" i="192"/>
  <c r="AQ32" i="192" s="1"/>
  <c r="GD72" i="192"/>
  <c r="AP32" i="192" s="1"/>
  <c r="FM72" i="192"/>
  <c r="FF72" i="192"/>
  <c r="FD72" i="192"/>
  <c r="FC72" i="192"/>
  <c r="EX72" i="192"/>
  <c r="EU72" i="192"/>
  <c r="ET72" i="192"/>
  <c r="EO72" i="192"/>
  <c r="EI72" i="192"/>
  <c r="ED72" i="192"/>
  <c r="EB72" i="192"/>
  <c r="DI72" i="192"/>
  <c r="DH72" i="192"/>
  <c r="DG72" i="192"/>
  <c r="DF72" i="192"/>
  <c r="DE72" i="192"/>
  <c r="DD72" i="192"/>
  <c r="DC72" i="192"/>
  <c r="DA72" i="192"/>
  <c r="CY72" i="192"/>
  <c r="CW72" i="192"/>
  <c r="CV72" i="192"/>
  <c r="DK72" i="192" s="1"/>
  <c r="CU72" i="192"/>
  <c r="CT72" i="192"/>
  <c r="EP72" i="192" s="1"/>
  <c r="CS72" i="192"/>
  <c r="EW72" i="192" s="1"/>
  <c r="CR72" i="192"/>
  <c r="CQ72" i="192"/>
  <c r="CP72" i="192"/>
  <c r="EA72" i="192" s="1"/>
  <c r="CO72" i="192"/>
  <c r="CX72" i="192" s="1"/>
  <c r="CN72" i="192"/>
  <c r="CM72" i="192"/>
  <c r="DJ72" i="192" s="1"/>
  <c r="CL72" i="192"/>
  <c r="EH72" i="192" s="1"/>
  <c r="EJ72" i="192" s="1"/>
  <c r="CK72" i="192"/>
  <c r="EK72" i="192" s="1"/>
  <c r="EL72" i="192" s="1"/>
  <c r="EM72" i="192" s="1"/>
  <c r="EN72" i="192" s="1"/>
  <c r="X32" i="192" s="1"/>
  <c r="CJ72" i="192"/>
  <c r="CI72" i="192"/>
  <c r="CH72" i="192"/>
  <c r="CG72" i="192"/>
  <c r="DZ72" i="192" s="1"/>
  <c r="CF72" i="192"/>
  <c r="CE72" i="192"/>
  <c r="CD72" i="192"/>
  <c r="DB72" i="192" s="1"/>
  <c r="CC72" i="192"/>
  <c r="CZ72" i="192" s="1"/>
  <c r="CB72" i="192"/>
  <c r="GI71" i="192"/>
  <c r="GH71" i="192"/>
  <c r="GG71" i="192"/>
  <c r="GF71" i="192"/>
  <c r="GE71" i="192"/>
  <c r="GD71" i="192"/>
  <c r="AP31" i="192" s="1"/>
  <c r="FM71" i="192"/>
  <c r="FE71" i="192"/>
  <c r="FD71" i="192"/>
  <c r="FC71" i="192"/>
  <c r="FB71" i="192"/>
  <c r="EX71" i="192"/>
  <c r="EU71" i="192"/>
  <c r="ET71" i="192"/>
  <c r="EP71" i="192"/>
  <c r="EO71" i="192"/>
  <c r="EI71" i="192"/>
  <c r="EH71" i="192"/>
  <c r="EJ71" i="192" s="1"/>
  <c r="DS71" i="192" s="1"/>
  <c r="ED71" i="192"/>
  <c r="EB71" i="192"/>
  <c r="EA71" i="192"/>
  <c r="DZ71" i="192"/>
  <c r="DJ71" i="192"/>
  <c r="DH71" i="192"/>
  <c r="DE71" i="192"/>
  <c r="DB71" i="192"/>
  <c r="DA71" i="192"/>
  <c r="CY71" i="192"/>
  <c r="CX71" i="192"/>
  <c r="CW71" i="192"/>
  <c r="CU71" i="192"/>
  <c r="CT71" i="192"/>
  <c r="CS71" i="192"/>
  <c r="DF71" i="192" s="1"/>
  <c r="CR71" i="192"/>
  <c r="CQ71" i="192"/>
  <c r="CP71" i="192"/>
  <c r="CO71" i="192"/>
  <c r="CN71" i="192"/>
  <c r="CM71" i="192"/>
  <c r="DI71" i="192" s="1"/>
  <c r="CL71" i="192"/>
  <c r="CK71" i="192"/>
  <c r="EK71" i="192" s="1"/>
  <c r="CJ71" i="192"/>
  <c r="CI71" i="192"/>
  <c r="CH71" i="192"/>
  <c r="CG71" i="192"/>
  <c r="CF71" i="192"/>
  <c r="CE71" i="192"/>
  <c r="CD71" i="192"/>
  <c r="CC71" i="192"/>
  <c r="EF71" i="192" s="1"/>
  <c r="CB71" i="192"/>
  <c r="GI70" i="192"/>
  <c r="GH70" i="192"/>
  <c r="GG70" i="192"/>
  <c r="GF70" i="192"/>
  <c r="GE70" i="192"/>
  <c r="GD70" i="192"/>
  <c r="AP30" i="192" s="1"/>
  <c r="FM70" i="192"/>
  <c r="FF70" i="192"/>
  <c r="FE70" i="192"/>
  <c r="FC70" i="192"/>
  <c r="EX70" i="192"/>
  <c r="EK70" i="192"/>
  <c r="ED70" i="192"/>
  <c r="EB70" i="192"/>
  <c r="EA70" i="192"/>
  <c r="DE70" i="192"/>
  <c r="CY70" i="192"/>
  <c r="CU70" i="192"/>
  <c r="CT70" i="192"/>
  <c r="EP70" i="192" s="1"/>
  <c r="CS70" i="192"/>
  <c r="CR70" i="192"/>
  <c r="CQ70" i="192"/>
  <c r="CP70" i="192"/>
  <c r="CO70" i="192"/>
  <c r="CN70" i="192"/>
  <c r="CM70" i="192"/>
  <c r="CL70" i="192"/>
  <c r="CK70" i="192"/>
  <c r="CJ70" i="192"/>
  <c r="CI70" i="192"/>
  <c r="CH70" i="192"/>
  <c r="CG70" i="192"/>
  <c r="FB70" i="192" s="1"/>
  <c r="CF70" i="192"/>
  <c r="FD70" i="192" s="1"/>
  <c r="CE70" i="192"/>
  <c r="CD70" i="192"/>
  <c r="CC70" i="192"/>
  <c r="ET30" i="192" s="1"/>
  <c r="CB70" i="192"/>
  <c r="GI69" i="192"/>
  <c r="GH69" i="192"/>
  <c r="GG69" i="192"/>
  <c r="GF69" i="192"/>
  <c r="GE69" i="192"/>
  <c r="GD69" i="192"/>
  <c r="AP29" i="192" s="1"/>
  <c r="FM69" i="192"/>
  <c r="FF69" i="192"/>
  <c r="EX69" i="192"/>
  <c r="EU69" i="192"/>
  <c r="EK69" i="192"/>
  <c r="EJ69" i="192"/>
  <c r="DS69" i="192" s="1"/>
  <c r="EI69" i="192"/>
  <c r="ED69" i="192"/>
  <c r="EB69" i="192"/>
  <c r="DF69" i="192"/>
  <c r="DE69" i="192"/>
  <c r="DD69" i="192"/>
  <c r="DC69" i="192"/>
  <c r="CY69" i="192"/>
  <c r="CX69" i="192"/>
  <c r="CW69" i="192"/>
  <c r="CU69" i="192"/>
  <c r="EQ69" i="192" s="1"/>
  <c r="ER69" i="192" s="1"/>
  <c r="ES69" i="192" s="1"/>
  <c r="Y29" i="192" s="1"/>
  <c r="CT69" i="192"/>
  <c r="EP69" i="192" s="1"/>
  <c r="CS69" i="192"/>
  <c r="CR69" i="192"/>
  <c r="CQ69" i="192"/>
  <c r="CP69" i="192"/>
  <c r="CO69" i="192"/>
  <c r="CN69" i="192"/>
  <c r="CM69" i="192"/>
  <c r="CL69" i="192"/>
  <c r="EH69" i="192" s="1"/>
  <c r="CK69" i="192"/>
  <c r="CJ69" i="192"/>
  <c r="CI69" i="192"/>
  <c r="CH69" i="192"/>
  <c r="CG69" i="192"/>
  <c r="CF69" i="192"/>
  <c r="CE69" i="192"/>
  <c r="CD69" i="192"/>
  <c r="DB69" i="192" s="1"/>
  <c r="CC69" i="192"/>
  <c r="EF69" i="192" s="1"/>
  <c r="CB69" i="192"/>
  <c r="GI68" i="192"/>
  <c r="GH68" i="192"/>
  <c r="GG68" i="192"/>
  <c r="GF68" i="192"/>
  <c r="GE68" i="192"/>
  <c r="AQ28" i="192" s="1"/>
  <c r="GD68" i="192"/>
  <c r="AP28" i="192" s="1"/>
  <c r="FM68" i="192"/>
  <c r="FF68" i="192"/>
  <c r="FD68" i="192"/>
  <c r="FC68" i="192"/>
  <c r="EX68" i="192"/>
  <c r="EU68" i="192"/>
  <c r="ET68" i="192"/>
  <c r="EO68" i="192"/>
  <c r="EI68" i="192"/>
  <c r="ED68" i="192"/>
  <c r="EB68" i="192"/>
  <c r="DI68" i="192"/>
  <c r="DH68" i="192"/>
  <c r="DG68" i="192"/>
  <c r="DF68" i="192"/>
  <c r="DE68" i="192"/>
  <c r="DD68" i="192"/>
  <c r="DC68" i="192"/>
  <c r="DA68" i="192"/>
  <c r="CY68" i="192"/>
  <c r="CW68" i="192"/>
  <c r="CV68" i="192"/>
  <c r="DK68" i="192" s="1"/>
  <c r="CU68" i="192"/>
  <c r="CT68" i="192"/>
  <c r="EP68" i="192" s="1"/>
  <c r="CS68" i="192"/>
  <c r="CR68" i="192"/>
  <c r="CQ68" i="192"/>
  <c r="CP68" i="192"/>
  <c r="EA68" i="192" s="1"/>
  <c r="CO68" i="192"/>
  <c r="CX68" i="192" s="1"/>
  <c r="CN68" i="192"/>
  <c r="CM68" i="192"/>
  <c r="DJ68" i="192" s="1"/>
  <c r="CL68" i="192"/>
  <c r="EH68" i="192" s="1"/>
  <c r="EJ68" i="192" s="1"/>
  <c r="CK68" i="192"/>
  <c r="EK68" i="192" s="1"/>
  <c r="EL68" i="192" s="1"/>
  <c r="EM68" i="192" s="1"/>
  <c r="EN68" i="192" s="1"/>
  <c r="X28" i="192" s="1"/>
  <c r="CJ68" i="192"/>
  <c r="CI68" i="192"/>
  <c r="CH68" i="192"/>
  <c r="CG68" i="192"/>
  <c r="DZ68" i="192" s="1"/>
  <c r="CF68" i="192"/>
  <c r="CE68" i="192"/>
  <c r="CD68" i="192"/>
  <c r="DB68" i="192" s="1"/>
  <c r="CC68" i="192"/>
  <c r="EE68" i="192" s="1"/>
  <c r="EG68" i="192" s="1"/>
  <c r="DL68" i="192" s="1"/>
  <c r="CB68" i="192"/>
  <c r="GI67" i="192"/>
  <c r="GH67" i="192"/>
  <c r="GG67" i="192"/>
  <c r="FG67" i="192" s="1"/>
  <c r="GF67" i="192"/>
  <c r="GE67" i="192"/>
  <c r="GD67" i="192"/>
  <c r="AP27" i="192" s="1"/>
  <c r="FM67" i="192"/>
  <c r="FF67" i="192"/>
  <c r="FE67" i="192"/>
  <c r="FD67" i="192"/>
  <c r="FC67" i="192"/>
  <c r="FB67" i="192"/>
  <c r="EX67" i="192"/>
  <c r="EU67" i="192"/>
  <c r="ET67" i="192"/>
  <c r="EP67" i="192"/>
  <c r="EO67" i="192"/>
  <c r="EI67" i="192"/>
  <c r="EH67" i="192"/>
  <c r="EJ67" i="192" s="1"/>
  <c r="DS67" i="192" s="1"/>
  <c r="ED67" i="192"/>
  <c r="EB67" i="192"/>
  <c r="EA67" i="192"/>
  <c r="DZ67" i="192"/>
  <c r="DJ67" i="192"/>
  <c r="DH67" i="192"/>
  <c r="DE67" i="192"/>
  <c r="DB67" i="192"/>
  <c r="DA67" i="192"/>
  <c r="CY67" i="192"/>
  <c r="CX67" i="192"/>
  <c r="CW67" i="192"/>
  <c r="CU67" i="192"/>
  <c r="CT67" i="192"/>
  <c r="CS67" i="192"/>
  <c r="DF67" i="192" s="1"/>
  <c r="CR67" i="192"/>
  <c r="CQ67" i="192"/>
  <c r="CP67" i="192"/>
  <c r="CO67" i="192"/>
  <c r="CN67" i="192"/>
  <c r="CM67" i="192"/>
  <c r="DI67" i="192" s="1"/>
  <c r="CL67" i="192"/>
  <c r="CK67" i="192"/>
  <c r="EK67" i="192" s="1"/>
  <c r="CJ67" i="192"/>
  <c r="CI67" i="192"/>
  <c r="CH67" i="192"/>
  <c r="CG67" i="192"/>
  <c r="CF67" i="192"/>
  <c r="CE67" i="192"/>
  <c r="CD67" i="192"/>
  <c r="CC67" i="192"/>
  <c r="CB67" i="192"/>
  <c r="GI66" i="192"/>
  <c r="GH66" i="192"/>
  <c r="GG66" i="192"/>
  <c r="GF66" i="192"/>
  <c r="GE66" i="192"/>
  <c r="AQ26" i="192" s="1"/>
  <c r="GD66" i="192"/>
  <c r="AP26" i="192" s="1"/>
  <c r="FM66" i="192"/>
  <c r="FF66" i="192"/>
  <c r="FE66" i="192"/>
  <c r="FC66" i="192"/>
  <c r="EX66" i="192"/>
  <c r="EP66" i="192"/>
  <c r="EQ66" i="192" s="1"/>
  <c r="ER66" i="192" s="1"/>
  <c r="ES66" i="192" s="1"/>
  <c r="Y26" i="192" s="1"/>
  <c r="EK66" i="192"/>
  <c r="ED66" i="192"/>
  <c r="EB66" i="192"/>
  <c r="EA66" i="192"/>
  <c r="DE66" i="192"/>
  <c r="DD66" i="192"/>
  <c r="CY66" i="192"/>
  <c r="CU66" i="192"/>
  <c r="CT66" i="192"/>
  <c r="CS66" i="192"/>
  <c r="CR66" i="192"/>
  <c r="CQ66" i="192"/>
  <c r="CP66" i="192"/>
  <c r="CO66" i="192"/>
  <c r="CN66" i="192"/>
  <c r="CM66" i="192"/>
  <c r="CL66" i="192"/>
  <c r="CK66" i="192"/>
  <c r="CJ66" i="192"/>
  <c r="CI66" i="192"/>
  <c r="CH66" i="192"/>
  <c r="CG66" i="192"/>
  <c r="FB66" i="192" s="1"/>
  <c r="CF66" i="192"/>
  <c r="FD66" i="192" s="1"/>
  <c r="CE66" i="192"/>
  <c r="CD66" i="192"/>
  <c r="CC66" i="192"/>
  <c r="ET26" i="192" s="1"/>
  <c r="CB66" i="192"/>
  <c r="GI65" i="192"/>
  <c r="BD25" i="192" s="1"/>
  <c r="FI65" i="192" s="1"/>
  <c r="GH65" i="192"/>
  <c r="AZ25" i="192" s="1"/>
  <c r="FH65" i="192" s="1"/>
  <c r="GG65" i="192"/>
  <c r="AV25" i="192" s="1"/>
  <c r="FG65" i="192" s="1"/>
  <c r="GF65" i="192"/>
  <c r="GE65" i="192"/>
  <c r="GD65" i="192"/>
  <c r="AP25" i="192" s="1"/>
  <c r="FM65" i="192"/>
  <c r="FF65" i="192"/>
  <c r="EX65" i="192"/>
  <c r="EU65" i="192"/>
  <c r="EK65" i="192"/>
  <c r="EJ65" i="192"/>
  <c r="DS65" i="192" s="1"/>
  <c r="EI65" i="192"/>
  <c r="ED65" i="192"/>
  <c r="EB65" i="192"/>
  <c r="DF65" i="192"/>
  <c r="DE65" i="192"/>
  <c r="DD65" i="192"/>
  <c r="DC65" i="192"/>
  <c r="CY65" i="192"/>
  <c r="CW65" i="192"/>
  <c r="CU65" i="192"/>
  <c r="EL65" i="192" s="1"/>
  <c r="EM65" i="192" s="1"/>
  <c r="EN65" i="192" s="1"/>
  <c r="X25" i="192" s="1"/>
  <c r="CT65" i="192"/>
  <c r="EP65" i="192" s="1"/>
  <c r="CS65" i="192"/>
  <c r="CR65" i="192"/>
  <c r="CQ65" i="192"/>
  <c r="CP65" i="192"/>
  <c r="CO65" i="192"/>
  <c r="CN65" i="192"/>
  <c r="CM65" i="192"/>
  <c r="CL65" i="192"/>
  <c r="EH65" i="192" s="1"/>
  <c r="CK65" i="192"/>
  <c r="CJ65" i="192"/>
  <c r="CI65" i="192"/>
  <c r="CH65" i="192"/>
  <c r="CG65" i="192"/>
  <c r="CF65" i="192"/>
  <c r="CE65" i="192"/>
  <c r="CD65" i="192"/>
  <c r="DB65" i="192" s="1"/>
  <c r="CC65" i="192"/>
  <c r="EF65" i="192" s="1"/>
  <c r="CB65" i="192"/>
  <c r="GI64" i="192"/>
  <c r="GH64" i="192"/>
  <c r="AZ24" i="192" s="1"/>
  <c r="FH64" i="192" s="1"/>
  <c r="GG64" i="192"/>
  <c r="AW24" i="192" s="1"/>
  <c r="GF64" i="192"/>
  <c r="AS24" i="192" s="1"/>
  <c r="GE64" i="192"/>
  <c r="AQ24" i="192" s="1"/>
  <c r="GD64" i="192"/>
  <c r="AP24" i="192" s="1"/>
  <c r="FM64" i="192"/>
  <c r="FE64" i="192"/>
  <c r="FD64" i="192"/>
  <c r="FC64" i="192"/>
  <c r="FB64" i="192"/>
  <c r="EX64" i="192"/>
  <c r="ET64" i="192"/>
  <c r="EO64" i="192"/>
  <c r="EI64" i="192"/>
  <c r="ED64" i="192"/>
  <c r="EB64" i="192"/>
  <c r="DI64" i="192"/>
  <c r="DH64" i="192"/>
  <c r="DG64" i="192"/>
  <c r="DE64" i="192"/>
  <c r="DD64" i="192"/>
  <c r="DC64" i="192"/>
  <c r="DA64" i="192"/>
  <c r="CY64" i="192"/>
  <c r="CX64" i="192"/>
  <c r="CW64" i="192"/>
  <c r="CV64" i="192"/>
  <c r="DK64" i="192" s="1"/>
  <c r="CU64" i="192"/>
  <c r="CT64" i="192"/>
  <c r="EP64" i="192" s="1"/>
  <c r="CS64" i="192"/>
  <c r="DF64" i="192" s="1"/>
  <c r="CR64" i="192"/>
  <c r="CQ64" i="192"/>
  <c r="CP64" i="192"/>
  <c r="EA64" i="192" s="1"/>
  <c r="CO64" i="192"/>
  <c r="CN64" i="192"/>
  <c r="CM64" i="192"/>
  <c r="DJ64" i="192" s="1"/>
  <c r="CL64" i="192"/>
  <c r="EH64" i="192" s="1"/>
  <c r="EJ64" i="192" s="1"/>
  <c r="CK64" i="192"/>
  <c r="EK64" i="192" s="1"/>
  <c r="EL64" i="192" s="1"/>
  <c r="EM64" i="192" s="1"/>
  <c r="EN64" i="192" s="1"/>
  <c r="X24" i="192" s="1"/>
  <c r="CJ64" i="192"/>
  <c r="CI64" i="192"/>
  <c r="CH64" i="192"/>
  <c r="CG64" i="192"/>
  <c r="DZ64" i="192" s="1"/>
  <c r="CF64" i="192"/>
  <c r="CE64" i="192"/>
  <c r="CD64" i="192"/>
  <c r="DB64" i="192" s="1"/>
  <c r="CC64" i="192"/>
  <c r="EF64" i="192" s="1"/>
  <c r="CB64" i="192"/>
  <c r="GI63" i="192"/>
  <c r="BE23" i="192" s="1"/>
  <c r="GH63" i="192"/>
  <c r="GG63" i="192"/>
  <c r="AW23" i="192" s="1"/>
  <c r="GF63" i="192"/>
  <c r="FF63" i="192" s="1"/>
  <c r="GE63" i="192"/>
  <c r="AQ23" i="192" s="1"/>
  <c r="GD63" i="192"/>
  <c r="FM63" i="192"/>
  <c r="FE63" i="192"/>
  <c r="FD63" i="192"/>
  <c r="FC63" i="192"/>
  <c r="FB63" i="192"/>
  <c r="EX63" i="192"/>
  <c r="EU63" i="192"/>
  <c r="ET63" i="192"/>
  <c r="EQ63" i="192"/>
  <c r="ER63" i="192" s="1"/>
  <c r="ES63" i="192" s="1"/>
  <c r="Y23" i="192" s="1"/>
  <c r="EO63" i="192"/>
  <c r="ED63" i="192"/>
  <c r="EB63" i="192"/>
  <c r="DZ63" i="192"/>
  <c r="DJ63" i="192"/>
  <c r="J23" i="192" s="1"/>
  <c r="DH63" i="192"/>
  <c r="DE63" i="192"/>
  <c r="DB63" i="192"/>
  <c r="DA63" i="192"/>
  <c r="CY63" i="192"/>
  <c r="CX63" i="192"/>
  <c r="CW63" i="192"/>
  <c r="CU63" i="192"/>
  <c r="CT63" i="192"/>
  <c r="EP63" i="192" s="1"/>
  <c r="CS63" i="192"/>
  <c r="CR63" i="192"/>
  <c r="CQ63" i="192"/>
  <c r="CP63" i="192"/>
  <c r="EA63" i="192" s="1"/>
  <c r="CO63" i="192"/>
  <c r="CN63" i="192"/>
  <c r="CM63" i="192"/>
  <c r="DI63" i="192" s="1"/>
  <c r="CL63" i="192"/>
  <c r="EH63" i="192" s="1"/>
  <c r="EJ63" i="192" s="1"/>
  <c r="DS63" i="192" s="1"/>
  <c r="CK63" i="192"/>
  <c r="EK63" i="192" s="1"/>
  <c r="CJ63" i="192"/>
  <c r="CI63" i="192"/>
  <c r="CH63" i="192"/>
  <c r="CG63" i="192"/>
  <c r="CF63" i="192"/>
  <c r="CE63" i="192"/>
  <c r="CD63" i="192"/>
  <c r="DC63" i="192" s="1"/>
  <c r="CC63" i="192"/>
  <c r="EE63" i="192" s="1"/>
  <c r="EG63" i="192" s="1"/>
  <c r="DL63" i="192" s="1"/>
  <c r="CB63" i="192"/>
  <c r="GI62" i="192"/>
  <c r="BE22" i="192" s="1"/>
  <c r="GH62" i="192"/>
  <c r="BA22" i="192" s="1"/>
  <c r="GG62" i="192"/>
  <c r="AV22" i="192" s="1"/>
  <c r="FG62" i="192" s="1"/>
  <c r="GF62" i="192"/>
  <c r="GE62" i="192"/>
  <c r="AQ22" i="192" s="1"/>
  <c r="GD62" i="192"/>
  <c r="FM62" i="192"/>
  <c r="EX62" i="192"/>
  <c r="EP62" i="192"/>
  <c r="EQ62" i="192" s="1"/>
  <c r="ER62" i="192" s="1"/>
  <c r="ES62" i="192" s="1"/>
  <c r="EO62" i="192"/>
  <c r="ED62" i="192"/>
  <c r="EB62" i="192"/>
  <c r="EA62" i="192"/>
  <c r="DJ62" i="192"/>
  <c r="DI62" i="192"/>
  <c r="DH62" i="192"/>
  <c r="DE62" i="192"/>
  <c r="DB62" i="192"/>
  <c r="DA62" i="192"/>
  <c r="CY62" i="192"/>
  <c r="CV62" i="192"/>
  <c r="DK62" i="192" s="1"/>
  <c r="CU62" i="192"/>
  <c r="CT62" i="192"/>
  <c r="CS62" i="192"/>
  <c r="CR62" i="192"/>
  <c r="CQ62" i="192"/>
  <c r="CP62" i="192"/>
  <c r="FC62" i="192" s="1"/>
  <c r="CO62" i="192"/>
  <c r="FE62" i="192" s="1"/>
  <c r="CN62" i="192"/>
  <c r="CM62" i="192"/>
  <c r="DG62" i="192" s="1"/>
  <c r="CL62" i="192"/>
  <c r="EI62" i="192" s="1"/>
  <c r="CK62" i="192"/>
  <c r="EK62" i="192" s="1"/>
  <c r="CJ62" i="192"/>
  <c r="CI62" i="192"/>
  <c r="CH62" i="192"/>
  <c r="CG62" i="192"/>
  <c r="FB62" i="192" s="1"/>
  <c r="CF62" i="192"/>
  <c r="CW62" i="192" s="1"/>
  <c r="CE62" i="192"/>
  <c r="CD62" i="192"/>
  <c r="DD62" i="192" s="1"/>
  <c r="CC62" i="192"/>
  <c r="EE62" i="192" s="1"/>
  <c r="EG62" i="192" s="1"/>
  <c r="DL62" i="192" s="1"/>
  <c r="CB62" i="192"/>
  <c r="GI61" i="192"/>
  <c r="BD21" i="192" s="1"/>
  <c r="FI61" i="192" s="1"/>
  <c r="GH61" i="192"/>
  <c r="BA21" i="192" s="1"/>
  <c r="GG61" i="192"/>
  <c r="AW21" i="192" s="1"/>
  <c r="GF61" i="192"/>
  <c r="GE61" i="192"/>
  <c r="GD61" i="192"/>
  <c r="AP21" i="192" s="1"/>
  <c r="FM61" i="192"/>
  <c r="FC61" i="192"/>
  <c r="EX61" i="192"/>
  <c r="ET61" i="192"/>
  <c r="ES61" i="192"/>
  <c r="Y21" i="192" s="1"/>
  <c r="EK61" i="192"/>
  <c r="ED61" i="192"/>
  <c r="EB61" i="192"/>
  <c r="EA61" i="192"/>
  <c r="DZ61" i="192"/>
  <c r="DE61" i="192"/>
  <c r="DD61" i="192"/>
  <c r="DC61" i="192"/>
  <c r="CY61" i="192"/>
  <c r="CU61" i="192"/>
  <c r="EL61" i="192" s="1"/>
  <c r="EM61" i="192" s="1"/>
  <c r="EN61" i="192" s="1"/>
  <c r="X21" i="192" s="1"/>
  <c r="CT61" i="192"/>
  <c r="EP61" i="192" s="1"/>
  <c r="EQ61" i="192" s="1"/>
  <c r="ER61" i="192" s="1"/>
  <c r="CS61" i="192"/>
  <c r="CR61" i="192"/>
  <c r="CQ61" i="192"/>
  <c r="CP61" i="192"/>
  <c r="CO61" i="192"/>
  <c r="FE61" i="192" s="1"/>
  <c r="CN61" i="192"/>
  <c r="CM61" i="192"/>
  <c r="CL61" i="192"/>
  <c r="EI61" i="192" s="1"/>
  <c r="CK61" i="192"/>
  <c r="CJ61" i="192"/>
  <c r="CI61" i="192"/>
  <c r="CH61" i="192"/>
  <c r="CG61" i="192"/>
  <c r="FB61" i="192" s="1"/>
  <c r="CF61" i="192"/>
  <c r="CE61" i="192"/>
  <c r="CD61" i="192"/>
  <c r="CC61" i="192"/>
  <c r="EF61" i="192" s="1"/>
  <c r="CB61" i="192"/>
  <c r="GI60" i="192"/>
  <c r="BE20" i="192" s="1"/>
  <c r="GH60" i="192"/>
  <c r="AZ20" i="192" s="1"/>
  <c r="FH60" i="192" s="1"/>
  <c r="GG60" i="192"/>
  <c r="GF60" i="192"/>
  <c r="GE60" i="192"/>
  <c r="GD60" i="192"/>
  <c r="AP20" i="192" s="1"/>
  <c r="FM60" i="192"/>
  <c r="FF60" i="192"/>
  <c r="FE60" i="192"/>
  <c r="FD60" i="192"/>
  <c r="FC60" i="192"/>
  <c r="FB60" i="192"/>
  <c r="EX60" i="192"/>
  <c r="EU60" i="192"/>
  <c r="ET60" i="192"/>
  <c r="EO60" i="192"/>
  <c r="ED60" i="192"/>
  <c r="EB60" i="192"/>
  <c r="DI60" i="192"/>
  <c r="DH60" i="192"/>
  <c r="DG60" i="192"/>
  <c r="DE60" i="192"/>
  <c r="DD60" i="192"/>
  <c r="DA60" i="192"/>
  <c r="CY60" i="192"/>
  <c r="CV60" i="192"/>
  <c r="DK60" i="192" s="1"/>
  <c r="CU60" i="192"/>
  <c r="CT60" i="192"/>
  <c r="EP60" i="192" s="1"/>
  <c r="CS60" i="192"/>
  <c r="CR60" i="192"/>
  <c r="CQ60" i="192"/>
  <c r="CP60" i="192"/>
  <c r="EA60" i="192" s="1"/>
  <c r="CO60" i="192"/>
  <c r="CX60" i="192" s="1"/>
  <c r="CN60" i="192"/>
  <c r="CM60" i="192"/>
  <c r="DJ60" i="192" s="1"/>
  <c r="CL60" i="192"/>
  <c r="EI60" i="192" s="1"/>
  <c r="CK60" i="192"/>
  <c r="EK60" i="192" s="1"/>
  <c r="EL60" i="192" s="1"/>
  <c r="EM60" i="192" s="1"/>
  <c r="EN60" i="192" s="1"/>
  <c r="X20" i="192" s="1"/>
  <c r="CJ60" i="192"/>
  <c r="CI60" i="192"/>
  <c r="CH60" i="192"/>
  <c r="CG60" i="192"/>
  <c r="DZ60" i="192" s="1"/>
  <c r="CF60" i="192"/>
  <c r="CW60" i="192" s="1"/>
  <c r="CE60" i="192"/>
  <c r="CD60" i="192"/>
  <c r="DC60" i="192" s="1"/>
  <c r="CC60" i="192"/>
  <c r="ET20" i="192" s="1"/>
  <c r="CB60" i="192"/>
  <c r="GI59" i="192"/>
  <c r="BE19" i="192" s="1"/>
  <c r="GH59" i="192"/>
  <c r="AZ19" i="192" s="1"/>
  <c r="FH59" i="192" s="1"/>
  <c r="GG59" i="192"/>
  <c r="GF59" i="192"/>
  <c r="GE59" i="192"/>
  <c r="GD59" i="192"/>
  <c r="AP19" i="192" s="1"/>
  <c r="FM59" i="192"/>
  <c r="FF59" i="192"/>
  <c r="FE59" i="192"/>
  <c r="FD59" i="192"/>
  <c r="FC59" i="192"/>
  <c r="FB59" i="192"/>
  <c r="EX59" i="192"/>
  <c r="ET59" i="192"/>
  <c r="EP59" i="192"/>
  <c r="EQ59" i="192" s="1"/>
  <c r="ER59" i="192" s="1"/>
  <c r="ES59" i="192" s="1"/>
  <c r="Y19" i="192" s="1"/>
  <c r="EO59" i="192"/>
  <c r="ED59" i="192"/>
  <c r="EB59" i="192"/>
  <c r="DZ59" i="192"/>
  <c r="DJ59" i="192"/>
  <c r="DH59" i="192"/>
  <c r="DE59" i="192"/>
  <c r="DC59" i="192"/>
  <c r="DB59" i="192"/>
  <c r="DA59" i="192"/>
  <c r="CY59" i="192"/>
  <c r="CX59" i="192"/>
  <c r="CU59" i="192"/>
  <c r="EL59" i="192" s="1"/>
  <c r="EM59" i="192" s="1"/>
  <c r="EN59" i="192" s="1"/>
  <c r="X19" i="192" s="1"/>
  <c r="CT59" i="192"/>
  <c r="CS59" i="192"/>
  <c r="DF59" i="192" s="1"/>
  <c r="CR59" i="192"/>
  <c r="CQ59" i="192"/>
  <c r="CP59" i="192"/>
  <c r="EA59" i="192" s="1"/>
  <c r="CO59" i="192"/>
  <c r="CN59" i="192"/>
  <c r="CM59" i="192"/>
  <c r="DI59" i="192" s="1"/>
  <c r="EW59" i="192" s="1"/>
  <c r="CL59" i="192"/>
  <c r="EI59" i="192" s="1"/>
  <c r="CK59" i="192"/>
  <c r="EK59" i="192" s="1"/>
  <c r="CJ59" i="192"/>
  <c r="CI59" i="192"/>
  <c r="CH59" i="192"/>
  <c r="CG59" i="192"/>
  <c r="CF59" i="192"/>
  <c r="CW59" i="192" s="1"/>
  <c r="CE59" i="192"/>
  <c r="CD59" i="192"/>
  <c r="CC59" i="192"/>
  <c r="EE59" i="192" s="1"/>
  <c r="EG59" i="192" s="1"/>
  <c r="DL59" i="192" s="1"/>
  <c r="CB59" i="192"/>
  <c r="GI58" i="192"/>
  <c r="GH58" i="192"/>
  <c r="BA18" i="192" s="1"/>
  <c r="GG58" i="192"/>
  <c r="GF58" i="192"/>
  <c r="GE58" i="192"/>
  <c r="GD58" i="192"/>
  <c r="AP18" i="192" s="1"/>
  <c r="FM58" i="192"/>
  <c r="FF58" i="192"/>
  <c r="EX58" i="192"/>
  <c r="EW58" i="192"/>
  <c r="EP58" i="192"/>
  <c r="EO58" i="192"/>
  <c r="EK58" i="192"/>
  <c r="EI58" i="192"/>
  <c r="ED58" i="192"/>
  <c r="EB58" i="192"/>
  <c r="EA58" i="192"/>
  <c r="DI58" i="192"/>
  <c r="DH58" i="192"/>
  <c r="DE58" i="192"/>
  <c r="DD58" i="192"/>
  <c r="DB58" i="192"/>
  <c r="DA58" i="192"/>
  <c r="CY58" i="192"/>
  <c r="CW58" i="192"/>
  <c r="CU58" i="192"/>
  <c r="EQ58" i="192" s="1"/>
  <c r="ER58" i="192" s="1"/>
  <c r="ES58" i="192" s="1"/>
  <c r="Y18" i="192" s="1"/>
  <c r="CT58" i="192"/>
  <c r="CS58" i="192"/>
  <c r="CR58" i="192"/>
  <c r="CQ58" i="192"/>
  <c r="CP58" i="192"/>
  <c r="FC58" i="192" s="1"/>
  <c r="CO58" i="192"/>
  <c r="CN58" i="192"/>
  <c r="CM58" i="192"/>
  <c r="DG58" i="192" s="1"/>
  <c r="CL58" i="192"/>
  <c r="EH58" i="192" s="1"/>
  <c r="EJ58" i="192" s="1"/>
  <c r="DS58" i="192" s="1"/>
  <c r="CK58" i="192"/>
  <c r="CJ58" i="192"/>
  <c r="CI58" i="192"/>
  <c r="CH58" i="192"/>
  <c r="CG58" i="192"/>
  <c r="CF58" i="192"/>
  <c r="FD58" i="192" s="1"/>
  <c r="CE58" i="192"/>
  <c r="CD58" i="192"/>
  <c r="DC58" i="192" s="1"/>
  <c r="CC58" i="192"/>
  <c r="EE58" i="192" s="1"/>
  <c r="EG58" i="192" s="1"/>
  <c r="DL58" i="192" s="1"/>
  <c r="CB58" i="192"/>
  <c r="GI57" i="192"/>
  <c r="BD17" i="192" s="1"/>
  <c r="FI57" i="192" s="1"/>
  <c r="GH57" i="192"/>
  <c r="GG57" i="192"/>
  <c r="GF57" i="192"/>
  <c r="GE57" i="192"/>
  <c r="AQ17" i="192" s="1"/>
  <c r="GD57" i="192"/>
  <c r="AP17" i="192" s="1"/>
  <c r="FM57" i="192"/>
  <c r="FF57" i="192"/>
  <c r="FC57" i="192"/>
  <c r="FB57" i="192"/>
  <c r="EX57" i="192"/>
  <c r="ET57" i="192"/>
  <c r="EP57" i="192"/>
  <c r="EK57" i="192"/>
  <c r="EI57" i="192"/>
  <c r="EH57" i="192"/>
  <c r="EJ57" i="192" s="1"/>
  <c r="DS57" i="192" s="1"/>
  <c r="ED57" i="192"/>
  <c r="EB57" i="192"/>
  <c r="DZ57" i="192"/>
  <c r="DJ57" i="192"/>
  <c r="DE57" i="192"/>
  <c r="DC57" i="192"/>
  <c r="DB57" i="192"/>
  <c r="CY57" i="192"/>
  <c r="CX57" i="192"/>
  <c r="CU57" i="192"/>
  <c r="EQ57" i="192" s="1"/>
  <c r="ER57" i="192" s="1"/>
  <c r="ES57" i="192" s="1"/>
  <c r="Y17" i="192" s="1"/>
  <c r="CT57" i="192"/>
  <c r="CS57" i="192"/>
  <c r="CR57" i="192"/>
  <c r="CQ57" i="192"/>
  <c r="CP57" i="192"/>
  <c r="EA57" i="192" s="1"/>
  <c r="CO57" i="192"/>
  <c r="FE57" i="192" s="1"/>
  <c r="CN57" i="192"/>
  <c r="CM57" i="192"/>
  <c r="CL57" i="192"/>
  <c r="DF57" i="192" s="1"/>
  <c r="CK57" i="192"/>
  <c r="CJ57" i="192"/>
  <c r="CI57" i="192"/>
  <c r="CH57" i="192"/>
  <c r="CG57" i="192"/>
  <c r="CF57" i="192"/>
  <c r="CE57" i="192"/>
  <c r="CD57" i="192"/>
  <c r="DA57" i="192" s="1"/>
  <c r="CC57" i="192"/>
  <c r="EF57" i="192" s="1"/>
  <c r="CB57" i="192"/>
  <c r="GI56" i="192"/>
  <c r="BD16" i="192" s="1"/>
  <c r="FI56" i="192" s="1"/>
  <c r="GH56" i="192"/>
  <c r="BA16" i="192" s="1"/>
  <c r="GG56" i="192"/>
  <c r="AW16" i="192" s="1"/>
  <c r="GF56" i="192"/>
  <c r="GE56" i="192"/>
  <c r="AQ16" i="192" s="1"/>
  <c r="GD56" i="192"/>
  <c r="FM56" i="192"/>
  <c r="FK56" i="192"/>
  <c r="FK57" i="192" s="1"/>
  <c r="FD56" i="192"/>
  <c r="FC56" i="192"/>
  <c r="EX56" i="192"/>
  <c r="EO56" i="192"/>
  <c r="EF56" i="192"/>
  <c r="EE56" i="192"/>
  <c r="EG56" i="192" s="1"/>
  <c r="DL56" i="192" s="1"/>
  <c r="ED56" i="192"/>
  <c r="EB56" i="192"/>
  <c r="DI56" i="192"/>
  <c r="EW56" i="192" s="1"/>
  <c r="DH56" i="192"/>
  <c r="DG56" i="192"/>
  <c r="DE56" i="192"/>
  <c r="DD56" i="192"/>
  <c r="DA56" i="192"/>
  <c r="CY56" i="192"/>
  <c r="CW56" i="192"/>
  <c r="CV56" i="192"/>
  <c r="DK56" i="192" s="1"/>
  <c r="CU56" i="192"/>
  <c r="CT56" i="192"/>
  <c r="EP56" i="192" s="1"/>
  <c r="CS56" i="192"/>
  <c r="DF56" i="192" s="1"/>
  <c r="CR56" i="192"/>
  <c r="CQ56" i="192"/>
  <c r="CP56" i="192"/>
  <c r="EA56" i="192" s="1"/>
  <c r="CO56" i="192"/>
  <c r="CX56" i="192" s="1"/>
  <c r="CN56" i="192"/>
  <c r="CM56" i="192"/>
  <c r="DJ56" i="192" s="1"/>
  <c r="CL56" i="192"/>
  <c r="EI56" i="192" s="1"/>
  <c r="CK56" i="192"/>
  <c r="EK56" i="192" s="1"/>
  <c r="EL56" i="192" s="1"/>
  <c r="EM56" i="192" s="1"/>
  <c r="EN56" i="192" s="1"/>
  <c r="X16" i="192" s="1"/>
  <c r="CJ56" i="192"/>
  <c r="EV56" i="192" s="1"/>
  <c r="CI56" i="192"/>
  <c r="CH56" i="192"/>
  <c r="CG56" i="192"/>
  <c r="DZ56" i="192" s="1"/>
  <c r="CF56" i="192"/>
  <c r="CE56" i="192"/>
  <c r="CD56" i="192"/>
  <c r="DC56" i="192" s="1"/>
  <c r="CC56" i="192"/>
  <c r="ET16" i="192" s="1"/>
  <c r="CB56" i="192"/>
  <c r="GI55" i="192"/>
  <c r="BE15" i="192" s="1"/>
  <c r="GH55" i="192"/>
  <c r="BA15" i="192" s="1"/>
  <c r="GG55" i="192"/>
  <c r="AW15" i="192" s="1"/>
  <c r="GF55" i="192"/>
  <c r="GE55" i="192"/>
  <c r="AQ15" i="192" s="1"/>
  <c r="GD55" i="192"/>
  <c r="AP15" i="192" s="1"/>
  <c r="FM55" i="192"/>
  <c r="FK55" i="192"/>
  <c r="FJ55" i="192"/>
  <c r="FE55" i="192"/>
  <c r="FD55" i="192"/>
  <c r="FB55" i="192"/>
  <c r="EX55" i="192"/>
  <c r="ET55" i="192"/>
  <c r="EP55" i="192"/>
  <c r="EO55" i="192"/>
  <c r="EM55" i="192"/>
  <c r="EN55" i="192" s="1"/>
  <c r="X15" i="192" s="1"/>
  <c r="EI55" i="192"/>
  <c r="EF55" i="192"/>
  <c r="EE55" i="192"/>
  <c r="EG55" i="192" s="1"/>
  <c r="ED55" i="192"/>
  <c r="EB55" i="192"/>
  <c r="DZ55" i="192"/>
  <c r="DS55" i="192"/>
  <c r="DI55" i="192"/>
  <c r="EW55" i="192" s="1"/>
  <c r="DH55" i="192"/>
  <c r="DF55" i="192"/>
  <c r="DE55" i="192"/>
  <c r="DC55" i="192"/>
  <c r="DB55" i="192"/>
  <c r="DA55" i="192"/>
  <c r="CZ55" i="192"/>
  <c r="CY55" i="192"/>
  <c r="CX55" i="192"/>
  <c r="CU55" i="192"/>
  <c r="EL55" i="192" s="1"/>
  <c r="CT55" i="192"/>
  <c r="CS55" i="192"/>
  <c r="CR55" i="192"/>
  <c r="CQ55" i="192"/>
  <c r="CP55" i="192"/>
  <c r="CO55" i="192"/>
  <c r="CN55" i="192"/>
  <c r="CM55" i="192"/>
  <c r="DG55" i="192" s="1"/>
  <c r="CL55" i="192"/>
  <c r="EH55" i="192" s="1"/>
  <c r="EJ55" i="192" s="1"/>
  <c r="CK55" i="192"/>
  <c r="EK55" i="192" s="1"/>
  <c r="CJ55" i="192"/>
  <c r="EV55" i="192" s="1"/>
  <c r="CI55" i="192"/>
  <c r="CH55" i="192"/>
  <c r="CG55" i="192"/>
  <c r="CF55" i="192"/>
  <c r="CW55" i="192" s="1"/>
  <c r="CE55" i="192"/>
  <c r="CD55" i="192"/>
  <c r="CC55" i="192"/>
  <c r="CB55" i="192"/>
  <c r="GI54" i="192"/>
  <c r="BE14" i="192" s="1"/>
  <c r="GH54" i="192"/>
  <c r="BA14" i="192" s="1"/>
  <c r="GG54" i="192"/>
  <c r="AW14" i="192" s="1"/>
  <c r="GF54" i="192"/>
  <c r="GE54" i="192"/>
  <c r="AQ14" i="192" s="1"/>
  <c r="GD54" i="192"/>
  <c r="GB54" i="192"/>
  <c r="GA54" i="192"/>
  <c r="FY54" i="192"/>
  <c r="FZ54" i="192" s="1"/>
  <c r="FX54" i="192"/>
  <c r="FW54" i="192"/>
  <c r="FV54" i="192" s="1"/>
  <c r="FU54" i="192"/>
  <c r="FT54" i="192"/>
  <c r="FS54" i="192"/>
  <c r="FR54" i="192" s="1"/>
  <c r="FS55" i="192" s="1"/>
  <c r="FQ54" i="192"/>
  <c r="FP54" i="192"/>
  <c r="FO54" i="192"/>
  <c r="FN54" i="192"/>
  <c r="FM54" i="192"/>
  <c r="FK54" i="192"/>
  <c r="FE54" i="192"/>
  <c r="FC54" i="192"/>
  <c r="EX54" i="192"/>
  <c r="EP54" i="192"/>
  <c r="EO54" i="192"/>
  <c r="EM54" i="192"/>
  <c r="EN54" i="192" s="1"/>
  <c r="X14" i="192" s="1"/>
  <c r="EI54" i="192"/>
  <c r="EF54" i="192"/>
  <c r="EE54" i="192"/>
  <c r="EG54" i="192" s="1"/>
  <c r="DL54" i="192" s="1"/>
  <c r="ED54" i="192"/>
  <c r="EB54" i="192"/>
  <c r="EA54" i="192"/>
  <c r="DZ54" i="192"/>
  <c r="DS54" i="192"/>
  <c r="DI54" i="192"/>
  <c r="EW54" i="192" s="1"/>
  <c r="DH54" i="192"/>
  <c r="DE54" i="192"/>
  <c r="DC54" i="192"/>
  <c r="DB54" i="192"/>
  <c r="DA54" i="192"/>
  <c r="CY54" i="192"/>
  <c r="CZ54" i="192" s="1"/>
  <c r="CU54" i="192"/>
  <c r="EL54" i="192" s="1"/>
  <c r="CT54" i="192"/>
  <c r="CS54" i="192"/>
  <c r="CR54" i="192"/>
  <c r="CQ54" i="192"/>
  <c r="CP54" i="192"/>
  <c r="CO54" i="192"/>
  <c r="ET54" i="192" s="1"/>
  <c r="CN54" i="192"/>
  <c r="CM54" i="192"/>
  <c r="DG54" i="192" s="1"/>
  <c r="CL54" i="192"/>
  <c r="EH54" i="192" s="1"/>
  <c r="EJ54" i="192" s="1"/>
  <c r="CK54" i="192"/>
  <c r="EK54" i="192" s="1"/>
  <c r="CJ54" i="192"/>
  <c r="CI54" i="192"/>
  <c r="CH54" i="192"/>
  <c r="CG54" i="192"/>
  <c r="FB54" i="192" s="1"/>
  <c r="CF54" i="192"/>
  <c r="CW54" i="192" s="1"/>
  <c r="CE54" i="192"/>
  <c r="CD54" i="192"/>
  <c r="DD54" i="192" s="1"/>
  <c r="CC54" i="192"/>
  <c r="CB54" i="192"/>
  <c r="IU48" i="192"/>
  <c r="HP48" i="192" s="1"/>
  <c r="IR48" i="192"/>
  <c r="IQ48" i="192"/>
  <c r="IH48" i="192"/>
  <c r="IG48" i="192"/>
  <c r="HX48" i="192"/>
  <c r="HW48" i="192"/>
  <c r="HO48" i="192"/>
  <c r="HN48" i="192"/>
  <c r="HM48" i="192"/>
  <c r="HL48" i="192"/>
  <c r="HK48" i="192"/>
  <c r="HJ48" i="192"/>
  <c r="HI48" i="192"/>
  <c r="HH48" i="192"/>
  <c r="HG48" i="192"/>
  <c r="HF48" i="192"/>
  <c r="HE48" i="192"/>
  <c r="HD48" i="192"/>
  <c r="HC48" i="192"/>
  <c r="HB48" i="192"/>
  <c r="HA48" i="192"/>
  <c r="GZ48" i="192"/>
  <c r="GY48" i="192"/>
  <c r="GX48" i="192"/>
  <c r="GW48" i="192"/>
  <c r="GV48" i="192"/>
  <c r="GU48" i="192"/>
  <c r="GT48" i="192"/>
  <c r="GS48" i="192"/>
  <c r="GR48" i="192"/>
  <c r="GF48" i="192"/>
  <c r="GC48" i="192"/>
  <c r="GB48" i="192"/>
  <c r="EU45" i="192"/>
  <c r="ES45" i="192"/>
  <c r="ER45" i="192"/>
  <c r="EO45" i="192" s="1"/>
  <c r="EQ45" i="192"/>
  <c r="EP45" i="192"/>
  <c r="BQ45" i="192"/>
  <c r="BG45" i="192"/>
  <c r="BF45" i="192"/>
  <c r="BC45" i="192"/>
  <c r="BB45" i="192"/>
  <c r="AY45" i="192"/>
  <c r="AX45" i="192"/>
  <c r="AU45" i="192"/>
  <c r="AT45" i="192"/>
  <c r="AO45" i="192"/>
  <c r="AN45" i="192"/>
  <c r="AM45" i="192"/>
  <c r="AL45" i="192"/>
  <c r="AK45" i="192"/>
  <c r="AC45" i="192"/>
  <c r="AB45" i="192"/>
  <c r="AA45" i="192"/>
  <c r="R45" i="192"/>
  <c r="Q45" i="192"/>
  <c r="F45" i="192"/>
  <c r="C45" i="192"/>
  <c r="BM45" i="192" s="1"/>
  <c r="A45" i="192"/>
  <c r="GF44" i="192"/>
  <c r="GB44" i="192" s="1"/>
  <c r="GE44" i="192"/>
  <c r="GD44" i="192"/>
  <c r="GC44" i="192"/>
  <c r="GA44" i="192"/>
  <c r="EU44" i="192"/>
  <c r="ES44" i="192"/>
  <c r="ER44" i="192"/>
  <c r="EQ44" i="192"/>
  <c r="EP44" i="192"/>
  <c r="BZ44" i="192"/>
  <c r="BP44" i="192"/>
  <c r="BJ44" i="192"/>
  <c r="BG44" i="192"/>
  <c r="BF44" i="192"/>
  <c r="BC44" i="192"/>
  <c r="BB44" i="192"/>
  <c r="AY44" i="192"/>
  <c r="AX44" i="192"/>
  <c r="AU44" i="192"/>
  <c r="AT44" i="192"/>
  <c r="AO44" i="192"/>
  <c r="AN44" i="192"/>
  <c r="AM44" i="192"/>
  <c r="AL44" i="192"/>
  <c r="AK44" i="192"/>
  <c r="AC44" i="192"/>
  <c r="AB44" i="192"/>
  <c r="AA44" i="192"/>
  <c r="R44" i="192"/>
  <c r="P44" i="192"/>
  <c r="M44" i="192"/>
  <c r="K44" i="192"/>
  <c r="J44" i="192"/>
  <c r="F44" i="192"/>
  <c r="E44" i="192"/>
  <c r="D44" i="192"/>
  <c r="GK44" i="192" s="1"/>
  <c r="C44" i="192"/>
  <c r="A44" i="192"/>
  <c r="EU43" i="192"/>
  <c r="ES43" i="192"/>
  <c r="ER43" i="192"/>
  <c r="EO43" i="192" s="1"/>
  <c r="EQ43" i="192"/>
  <c r="EP43" i="192"/>
  <c r="BK43" i="192"/>
  <c r="BG43" i="192"/>
  <c r="BF43" i="192"/>
  <c r="BC43" i="192"/>
  <c r="BB43" i="192"/>
  <c r="AY43" i="192"/>
  <c r="AX43" i="192"/>
  <c r="AU43" i="192"/>
  <c r="AT43" i="192"/>
  <c r="AO43" i="192"/>
  <c r="AN43" i="192"/>
  <c r="AM43" i="192"/>
  <c r="AL43" i="192"/>
  <c r="AK43" i="192"/>
  <c r="AC43" i="192"/>
  <c r="AB43" i="192"/>
  <c r="AA43" i="192"/>
  <c r="R43" i="192"/>
  <c r="Q43" i="192"/>
  <c r="P43" i="192"/>
  <c r="O43" i="192"/>
  <c r="N43" i="192"/>
  <c r="L43" i="192"/>
  <c r="BU43" i="192" s="1"/>
  <c r="K43" i="192"/>
  <c r="F43" i="192"/>
  <c r="C43" i="192"/>
  <c r="A43" i="192"/>
  <c r="GF42" i="192"/>
  <c r="FO42" i="192"/>
  <c r="EZ42" i="192"/>
  <c r="EY42" i="192"/>
  <c r="ES42" i="192"/>
  <c r="ER42" i="192"/>
  <c r="EQ42" i="192"/>
  <c r="EP42" i="192"/>
  <c r="BZ42" i="192"/>
  <c r="BP42" i="192"/>
  <c r="BO42" i="192"/>
  <c r="BN42" i="192"/>
  <c r="BM42" i="192"/>
  <c r="FA82" i="192" s="1"/>
  <c r="EY82" i="192" s="1"/>
  <c r="BK42" i="192"/>
  <c r="BJ42" i="192"/>
  <c r="BG42" i="192"/>
  <c r="BF42" i="192"/>
  <c r="BC42" i="192"/>
  <c r="BB42" i="192"/>
  <c r="AY42" i="192"/>
  <c r="AX42" i="192"/>
  <c r="AU42" i="192"/>
  <c r="AT42" i="192"/>
  <c r="AO42" i="192"/>
  <c r="AN42" i="192"/>
  <c r="AM42" i="192"/>
  <c r="AL42" i="192"/>
  <c r="AK42" i="192"/>
  <c r="AC42" i="192"/>
  <c r="AB42" i="192"/>
  <c r="AA42" i="192"/>
  <c r="R42" i="192"/>
  <c r="F42" i="192"/>
  <c r="C42" i="192"/>
  <c r="BQ42" i="192" s="1"/>
  <c r="B48" i="192"/>
  <c r="A42" i="192"/>
  <c r="GF41" i="192"/>
  <c r="GD41" i="192"/>
  <c r="FO41" i="192"/>
  <c r="EU41" i="192"/>
  <c r="ES41" i="192"/>
  <c r="ER41" i="192"/>
  <c r="EO41" i="192" s="1"/>
  <c r="EQ41" i="192"/>
  <c r="EP41" i="192"/>
  <c r="BM41" i="192"/>
  <c r="BJ41" i="192"/>
  <c r="AA41" i="192"/>
  <c r="F41" i="192"/>
  <c r="C41" i="192"/>
  <c r="BN41" i="192" s="1"/>
  <c r="A41" i="192"/>
  <c r="GK40" i="192"/>
  <c r="FQ40" i="192"/>
  <c r="FO40" i="192"/>
  <c r="FE40" i="192"/>
  <c r="FD40" i="192"/>
  <c r="FC40" i="192"/>
  <c r="EU40" i="192"/>
  <c r="ES40" i="192"/>
  <c r="ER40" i="192"/>
  <c r="EO40" i="192" s="1"/>
  <c r="EQ40" i="192"/>
  <c r="EP40" i="192"/>
  <c r="BO40" i="192"/>
  <c r="BN40" i="192"/>
  <c r="BK40" i="192"/>
  <c r="AA40" i="192"/>
  <c r="X40" i="192"/>
  <c r="R40" i="192"/>
  <c r="Q40" i="192"/>
  <c r="P40" i="192"/>
  <c r="L40" i="192"/>
  <c r="BU40" i="192" s="1"/>
  <c r="K40" i="192"/>
  <c r="J40" i="192"/>
  <c r="F40" i="192"/>
  <c r="E40" i="192"/>
  <c r="D40" i="192"/>
  <c r="C40" i="192"/>
  <c r="A40" i="192"/>
  <c r="GF40" i="192" s="1"/>
  <c r="GE40" i="192" s="1"/>
  <c r="GF39" i="192"/>
  <c r="GC39" i="192" s="1"/>
  <c r="GE39" i="192"/>
  <c r="GD39" i="192"/>
  <c r="GB39" i="192"/>
  <c r="FQ39" i="192"/>
  <c r="FE39" i="192"/>
  <c r="FD39" i="192"/>
  <c r="FC39" i="192"/>
  <c r="EU39" i="192"/>
  <c r="ES39" i="192"/>
  <c r="ER39" i="192"/>
  <c r="EO39" i="192" s="1"/>
  <c r="EQ39" i="192"/>
  <c r="EP39" i="192"/>
  <c r="BQ39" i="192"/>
  <c r="BO39" i="192"/>
  <c r="BN39" i="192"/>
  <c r="BM39" i="192"/>
  <c r="BK39" i="192"/>
  <c r="BJ39" i="192"/>
  <c r="AA39" i="192"/>
  <c r="O39" i="192"/>
  <c r="N39" i="192"/>
  <c r="L39" i="192"/>
  <c r="BU39" i="192" s="1"/>
  <c r="F39" i="192"/>
  <c r="C39" i="192"/>
  <c r="BP39" i="192" s="1"/>
  <c r="A39" i="192"/>
  <c r="FO39" i="192" s="1"/>
  <c r="FQ38" i="192"/>
  <c r="FE38" i="192"/>
  <c r="FF38" i="192" s="1"/>
  <c r="FD38" i="192"/>
  <c r="FC38" i="192"/>
  <c r="ES38" i="192"/>
  <c r="ER38" i="192"/>
  <c r="EO38" i="192" s="1"/>
  <c r="EQ38" i="192"/>
  <c r="EP38" i="192"/>
  <c r="BP38" i="192"/>
  <c r="BO38" i="192"/>
  <c r="BM38" i="192"/>
  <c r="AA38" i="192"/>
  <c r="R38" i="192"/>
  <c r="Q38" i="192"/>
  <c r="J38" i="192"/>
  <c r="F38" i="192"/>
  <c r="C38" i="192"/>
  <c r="BN38" i="192" s="1"/>
  <c r="A38" i="192"/>
  <c r="GF38" i="192" s="1"/>
  <c r="GK37" i="192"/>
  <c r="GF37" i="192"/>
  <c r="FQ37" i="192"/>
  <c r="FE37" i="192"/>
  <c r="FD37" i="192"/>
  <c r="FC37" i="192"/>
  <c r="EU37" i="192"/>
  <c r="ES37" i="192"/>
  <c r="ER37" i="192"/>
  <c r="EO37" i="192" s="1"/>
  <c r="EQ37" i="192"/>
  <c r="EP37" i="192"/>
  <c r="BQ37" i="192"/>
  <c r="BP37" i="192"/>
  <c r="BN37" i="192"/>
  <c r="BM37" i="192" s="1"/>
  <c r="BK37" i="192"/>
  <c r="BJ37" i="192"/>
  <c r="AA37" i="192"/>
  <c r="Y37" i="192"/>
  <c r="GM36" i="192"/>
  <c r="GL36" i="192"/>
  <c r="GK36" i="192"/>
  <c r="GF36" i="192"/>
  <c r="FQ36" i="192"/>
  <c r="FE36" i="192"/>
  <c r="FD36" i="192"/>
  <c r="FC36" i="192"/>
  <c r="EU36" i="192"/>
  <c r="ES36" i="192"/>
  <c r="ER36" i="192"/>
  <c r="EO36" i="192" s="1"/>
  <c r="EQ36" i="192"/>
  <c r="EP36" i="192"/>
  <c r="BU36" i="192"/>
  <c r="BV36" i="192" s="1"/>
  <c r="BQ36" i="192"/>
  <c r="BP36" i="192"/>
  <c r="BN36" i="192"/>
  <c r="BO36" i="192" s="1"/>
  <c r="FA76" i="192" s="1"/>
  <c r="EY76" i="192" s="1"/>
  <c r="BM36" i="192"/>
  <c r="BR36" i="192" s="1"/>
  <c r="BK36" i="192"/>
  <c r="BJ36" i="192"/>
  <c r="AA36" i="192"/>
  <c r="GM35" i="192"/>
  <c r="GL35" i="192"/>
  <c r="GK35" i="192"/>
  <c r="GF35" i="192"/>
  <c r="FE35" i="192"/>
  <c r="FD35" i="192"/>
  <c r="FC35" i="192"/>
  <c r="EU35" i="192"/>
  <c r="ES35" i="192"/>
  <c r="ER35" i="192"/>
  <c r="EO35" i="192" s="1"/>
  <c r="EQ35" i="192"/>
  <c r="EP35" i="192"/>
  <c r="BU35" i="192"/>
  <c r="BV35" i="192" s="1"/>
  <c r="BS35" i="192"/>
  <c r="BT35" i="192" s="1"/>
  <c r="BQ35" i="192"/>
  <c r="BP35" i="192"/>
  <c r="BN35" i="192"/>
  <c r="BO35" i="192" s="1"/>
  <c r="BM35" i="192"/>
  <c r="BK35" i="192"/>
  <c r="BJ35" i="192"/>
  <c r="FF75" i="192"/>
  <c r="AA35" i="192"/>
  <c r="GL34" i="192"/>
  <c r="GK34" i="192"/>
  <c r="GM34" i="192" s="1"/>
  <c r="GF34" i="192"/>
  <c r="FQ34" i="192"/>
  <c r="FE34" i="192"/>
  <c r="FD34" i="192"/>
  <c r="FC34" i="192"/>
  <c r="ES34" i="192"/>
  <c r="ER34" i="192"/>
  <c r="EO34" i="192" s="1"/>
  <c r="EQ34" i="192"/>
  <c r="EP34" i="192"/>
  <c r="BV34" i="192"/>
  <c r="BU34" i="192"/>
  <c r="BS34" i="192"/>
  <c r="BT34" i="192" s="1"/>
  <c r="BQ34" i="192"/>
  <c r="BP34" i="192"/>
  <c r="BN34" i="192"/>
  <c r="BJ34" i="192"/>
  <c r="AA34" i="192"/>
  <c r="GL33" i="192"/>
  <c r="GK33" i="192"/>
  <c r="GM33" i="192" s="1"/>
  <c r="GF33" i="192"/>
  <c r="FQ33" i="192"/>
  <c r="FE33" i="192"/>
  <c r="FD33" i="192"/>
  <c r="FC33" i="192"/>
  <c r="EU33" i="192"/>
  <c r="ES33" i="192"/>
  <c r="ER33" i="192"/>
  <c r="EO33" i="192" s="1"/>
  <c r="EQ33" i="192"/>
  <c r="EP33" i="192"/>
  <c r="BS33" i="192"/>
  <c r="BT33" i="192" s="1"/>
  <c r="BQ33" i="192"/>
  <c r="BP33" i="192"/>
  <c r="BN33" i="192"/>
  <c r="BO33" i="192" s="1"/>
  <c r="BM33" i="192"/>
  <c r="BK33" i="192"/>
  <c r="BJ33" i="192"/>
  <c r="AA33" i="192"/>
  <c r="GK32" i="192"/>
  <c r="GF32" i="192"/>
  <c r="FQ32" i="192"/>
  <c r="FE32" i="192"/>
  <c r="FD32" i="192"/>
  <c r="FC32" i="192"/>
  <c r="EU32" i="192"/>
  <c r="ES32" i="192"/>
  <c r="ER32" i="192"/>
  <c r="EQ32" i="192"/>
  <c r="EP32" i="192"/>
  <c r="BZ32" i="192"/>
  <c r="BU32" i="192"/>
  <c r="BV32" i="192" s="1"/>
  <c r="BT32" i="192"/>
  <c r="BS32" i="192"/>
  <c r="BQ32" i="192"/>
  <c r="BP32" i="192"/>
  <c r="BN32" i="192"/>
  <c r="BO32" i="192" s="1"/>
  <c r="FA72" i="192" s="1"/>
  <c r="EY72" i="192" s="1"/>
  <c r="BM32" i="192"/>
  <c r="BK32" i="192"/>
  <c r="BJ32" i="192"/>
  <c r="AA32" i="192"/>
  <c r="GK31" i="192"/>
  <c r="GF31" i="192"/>
  <c r="FQ31" i="192"/>
  <c r="FE31" i="192"/>
  <c r="FD31" i="192"/>
  <c r="FC31" i="192"/>
  <c r="EU31" i="192"/>
  <c r="ES31" i="192"/>
  <c r="ER31" i="192"/>
  <c r="EO31" i="192" s="1"/>
  <c r="EQ31" i="192"/>
  <c r="EP31" i="192"/>
  <c r="BV31" i="192"/>
  <c r="BU31" i="192"/>
  <c r="BT31" i="192"/>
  <c r="BS31" i="192"/>
  <c r="BQ31" i="192"/>
  <c r="BP31" i="192"/>
  <c r="BN31" i="192"/>
  <c r="BM31" i="192" s="1"/>
  <c r="BK31" i="192"/>
  <c r="BJ31" i="192"/>
  <c r="AA31" i="192"/>
  <c r="GK30" i="192"/>
  <c r="GF30" i="192"/>
  <c r="FQ30" i="192"/>
  <c r="FE30" i="192"/>
  <c r="FD30" i="192"/>
  <c r="FC30" i="192"/>
  <c r="FF30" i="192" s="1"/>
  <c r="ES30" i="192"/>
  <c r="ER30" i="192"/>
  <c r="EO30" i="192" s="1"/>
  <c r="EQ30" i="192"/>
  <c r="EP30" i="192"/>
  <c r="BV30" i="192"/>
  <c r="BU30" i="192"/>
  <c r="BS30" i="192"/>
  <c r="BT30" i="192" s="1"/>
  <c r="BQ30" i="192"/>
  <c r="BP30" i="192"/>
  <c r="BN30" i="192"/>
  <c r="BJ30" i="192"/>
  <c r="AA30" i="192"/>
  <c r="GM29" i="192"/>
  <c r="GL29" i="192"/>
  <c r="GK29" i="192"/>
  <c r="GF29" i="192"/>
  <c r="FQ29" i="192"/>
  <c r="FO29" i="192"/>
  <c r="FF29" i="192"/>
  <c r="FE29" i="192"/>
  <c r="FD29" i="192"/>
  <c r="FC29" i="192"/>
  <c r="EU29" i="192"/>
  <c r="ES29" i="192"/>
  <c r="ER29" i="192"/>
  <c r="EO29" i="192" s="1"/>
  <c r="EQ29" i="192"/>
  <c r="EP29" i="192"/>
  <c r="BS29" i="192"/>
  <c r="BT29" i="192" s="1"/>
  <c r="BQ29" i="192"/>
  <c r="BP29" i="192"/>
  <c r="FA69" i="192" s="1"/>
  <c r="EY69" i="192" s="1"/>
  <c r="BN29" i="192"/>
  <c r="BO29" i="192" s="1"/>
  <c r="BM29" i="192"/>
  <c r="BR29" i="192" s="1"/>
  <c r="BJ29" i="192"/>
  <c r="AA29" i="192"/>
  <c r="GK28" i="192"/>
  <c r="GF28" i="192"/>
  <c r="FQ28" i="192"/>
  <c r="FO28" i="192"/>
  <c r="FE28" i="192"/>
  <c r="FD28" i="192"/>
  <c r="FC28" i="192"/>
  <c r="EU28" i="192"/>
  <c r="ES28" i="192"/>
  <c r="ER28" i="192"/>
  <c r="EO28" i="192" s="1"/>
  <c r="EQ28" i="192"/>
  <c r="EP28" i="192"/>
  <c r="BV28" i="192"/>
  <c r="BU28" i="192"/>
  <c r="BT28" i="192"/>
  <c r="BS28" i="192"/>
  <c r="BQ28" i="192"/>
  <c r="BP28" i="192"/>
  <c r="BN28" i="192"/>
  <c r="BM28" i="192" s="1"/>
  <c r="BK28" i="192"/>
  <c r="BJ28" i="192"/>
  <c r="AA28" i="192"/>
  <c r="GK27" i="192"/>
  <c r="GF27" i="192"/>
  <c r="FQ27" i="192"/>
  <c r="FE27" i="192"/>
  <c r="FD27" i="192"/>
  <c r="FC27" i="192"/>
  <c r="FF27" i="192" s="1"/>
  <c r="EU27" i="192"/>
  <c r="ES27" i="192"/>
  <c r="ER27" i="192"/>
  <c r="EQ27" i="192"/>
  <c r="EP27" i="192"/>
  <c r="BZ27" i="192"/>
  <c r="BU27" i="192"/>
  <c r="BV27" i="192" s="1"/>
  <c r="BT27" i="192"/>
  <c r="BS27" i="192"/>
  <c r="BQ27" i="192"/>
  <c r="BP27" i="192"/>
  <c r="BN27" i="192"/>
  <c r="BO27" i="192" s="1"/>
  <c r="BM27" i="192"/>
  <c r="BR27" i="192" s="1"/>
  <c r="BK27" i="192"/>
  <c r="BJ27" i="192"/>
  <c r="FH67" i="192"/>
  <c r="AA27" i="192"/>
  <c r="GK26" i="192"/>
  <c r="GF26" i="192"/>
  <c r="FQ26" i="192"/>
  <c r="FE26" i="192"/>
  <c r="FD26" i="192"/>
  <c r="FC26" i="192"/>
  <c r="EU26" i="192"/>
  <c r="ES26" i="192"/>
  <c r="ER26" i="192"/>
  <c r="EO26" i="192" s="1"/>
  <c r="EQ26" i="192"/>
  <c r="EP26" i="192"/>
  <c r="BU26" i="192"/>
  <c r="BV26" i="192" s="1"/>
  <c r="BS26" i="192"/>
  <c r="BT26" i="192" s="1"/>
  <c r="BQ26" i="192"/>
  <c r="BP26" i="192"/>
  <c r="BN26" i="192"/>
  <c r="BO26" i="192" s="1"/>
  <c r="FA66" i="192" s="1"/>
  <c r="EY66" i="192" s="1"/>
  <c r="BM26" i="192"/>
  <c r="BK26" i="192"/>
  <c r="BJ26" i="192"/>
  <c r="AA26" i="192"/>
  <c r="GK25" i="192"/>
  <c r="GF25" i="192"/>
  <c r="FQ25" i="192"/>
  <c r="FO25" i="192"/>
  <c r="FE25" i="192"/>
  <c r="FD25" i="192"/>
  <c r="FC25" i="192"/>
  <c r="EU25" i="192"/>
  <c r="ES25" i="192"/>
  <c r="ER25" i="192"/>
  <c r="EO25" i="192" s="1"/>
  <c r="EQ25" i="192"/>
  <c r="EP25" i="192"/>
  <c r="BV25" i="192"/>
  <c r="BU25" i="192"/>
  <c r="BT25" i="192"/>
  <c r="BS25" i="192"/>
  <c r="BQ25" i="192"/>
  <c r="BP25" i="192"/>
  <c r="BN25" i="192"/>
  <c r="BM25" i="192" s="1"/>
  <c r="BK25" i="192"/>
  <c r="BJ25" i="192"/>
  <c r="BG25" i="192"/>
  <c r="BF25" i="192"/>
  <c r="BC25" i="192"/>
  <c r="BB25" i="192"/>
  <c r="AY25" i="192"/>
  <c r="AX25" i="192"/>
  <c r="AA25" i="192"/>
  <c r="GK24" i="192"/>
  <c r="GF24" i="192"/>
  <c r="FO24" i="192"/>
  <c r="FE24" i="192"/>
  <c r="FD24" i="192"/>
  <c r="FC24" i="192"/>
  <c r="EU24" i="192"/>
  <c r="ES24" i="192"/>
  <c r="ER24" i="192"/>
  <c r="EO24" i="192" s="1"/>
  <c r="EQ24" i="192"/>
  <c r="EP24" i="192"/>
  <c r="BU24" i="192"/>
  <c r="BV24" i="192" s="1"/>
  <c r="BS24" i="192"/>
  <c r="BT24" i="192" s="1"/>
  <c r="BQ24" i="192"/>
  <c r="BP24" i="192"/>
  <c r="BN24" i="192"/>
  <c r="BO24" i="192" s="1"/>
  <c r="BM24" i="192"/>
  <c r="BR24" i="192" s="1"/>
  <c r="BJ24" i="192"/>
  <c r="BG24" i="192"/>
  <c r="BF24" i="192"/>
  <c r="BC24" i="192"/>
  <c r="BB24" i="192"/>
  <c r="AY24" i="192"/>
  <c r="AX24" i="192"/>
  <c r="AU24" i="192"/>
  <c r="AT24" i="192"/>
  <c r="AO24" i="192"/>
  <c r="AN24" i="192"/>
  <c r="AM24" i="192"/>
  <c r="AL24" i="192"/>
  <c r="AK24" i="192"/>
  <c r="AB24" i="192"/>
  <c r="EY24" i="192" s="1"/>
  <c r="AA24" i="192"/>
  <c r="GK23" i="192"/>
  <c r="GF23" i="192"/>
  <c r="FQ23" i="192"/>
  <c r="FE23" i="192"/>
  <c r="FD23" i="192"/>
  <c r="FC23" i="192"/>
  <c r="EU23" i="192"/>
  <c r="ES23" i="192"/>
  <c r="ER23" i="192"/>
  <c r="EO23" i="192" s="1"/>
  <c r="EQ23" i="192"/>
  <c r="EP23" i="192"/>
  <c r="BS23" i="192"/>
  <c r="BT23" i="192" s="1"/>
  <c r="BQ23" i="192"/>
  <c r="BP23" i="192"/>
  <c r="BN23" i="192"/>
  <c r="BO23" i="192" s="1"/>
  <c r="BM23" i="192"/>
  <c r="BK23" i="192"/>
  <c r="BJ23" i="192"/>
  <c r="BG23" i="192"/>
  <c r="BF23" i="192"/>
  <c r="BC23" i="192"/>
  <c r="BB23" i="192"/>
  <c r="AY23" i="192"/>
  <c r="AX23" i="192"/>
  <c r="AT23" i="192"/>
  <c r="AL23" i="192"/>
  <c r="AK23" i="192"/>
  <c r="AA23" i="192"/>
  <c r="GM22" i="192"/>
  <c r="GL22" i="192"/>
  <c r="GK22" i="192"/>
  <c r="GF22" i="192"/>
  <c r="FQ22" i="192"/>
  <c r="FO22" i="192"/>
  <c r="FE22" i="192"/>
  <c r="FF22" i="192" s="1"/>
  <c r="FD22" i="192"/>
  <c r="FC22" i="192"/>
  <c r="EU22" i="192"/>
  <c r="ES22" i="192"/>
  <c r="ER22" i="192"/>
  <c r="EO22" i="192" s="1"/>
  <c r="EQ22" i="192"/>
  <c r="EP22" i="192"/>
  <c r="BT22" i="192"/>
  <c r="BS22" i="192"/>
  <c r="BQ22" i="192"/>
  <c r="BP22" i="192"/>
  <c r="BN22" i="192"/>
  <c r="BM22" i="192" s="1"/>
  <c r="BK22" i="192"/>
  <c r="BJ22" i="192"/>
  <c r="BG22" i="192"/>
  <c r="BF22" i="192"/>
  <c r="BC22" i="192"/>
  <c r="BB22" i="192"/>
  <c r="AY22" i="192"/>
  <c r="AX22" i="192"/>
  <c r="AT22" i="192"/>
  <c r="AL22" i="192"/>
  <c r="AK22" i="192"/>
  <c r="AA22" i="192"/>
  <c r="Y22" i="192"/>
  <c r="BU22" i="192"/>
  <c r="BV22" i="192" s="1"/>
  <c r="GK21" i="192"/>
  <c r="GF21" i="192"/>
  <c r="GE21" i="192"/>
  <c r="GL21" i="192" s="1"/>
  <c r="FQ21" i="192"/>
  <c r="FE21" i="192"/>
  <c r="FF21" i="192" s="1"/>
  <c r="FD21" i="192"/>
  <c r="FC21" i="192"/>
  <c r="ES21" i="192"/>
  <c r="ER21" i="192"/>
  <c r="EQ21" i="192"/>
  <c r="EP21" i="192"/>
  <c r="BZ21" i="192"/>
  <c r="BU21" i="192"/>
  <c r="BV21" i="192" s="1"/>
  <c r="BS21" i="192"/>
  <c r="BT21" i="192" s="1"/>
  <c r="BR21" i="192"/>
  <c r="BQ21" i="192"/>
  <c r="BP21" i="192"/>
  <c r="BO21" i="192"/>
  <c r="BN21" i="192"/>
  <c r="BM21" i="192"/>
  <c r="BJ21" i="192"/>
  <c r="BG21" i="192"/>
  <c r="BF21" i="192"/>
  <c r="BC21" i="192"/>
  <c r="BB21" i="192"/>
  <c r="AY21" i="192"/>
  <c r="AX21" i="192"/>
  <c r="AT21" i="192"/>
  <c r="AL21" i="192"/>
  <c r="AK21" i="192"/>
  <c r="AA21" i="192"/>
  <c r="GK20" i="192"/>
  <c r="GF20" i="192"/>
  <c r="FQ20" i="192"/>
  <c r="FO20" i="192"/>
  <c r="FE20" i="192"/>
  <c r="FD20" i="192"/>
  <c r="FC20" i="192"/>
  <c r="EU20" i="192"/>
  <c r="ES20" i="192"/>
  <c r="ER20" i="192"/>
  <c r="EO20" i="192" s="1"/>
  <c r="EQ20" i="192"/>
  <c r="EP20" i="192"/>
  <c r="BU20" i="192"/>
  <c r="BV20" i="192" s="1"/>
  <c r="BQ20" i="192"/>
  <c r="BP20" i="192"/>
  <c r="FA60" i="192" s="1"/>
  <c r="EY60" i="192" s="1"/>
  <c r="BN20" i="192"/>
  <c r="BO20" i="192" s="1"/>
  <c r="EZ60" i="192" s="1"/>
  <c r="BM20" i="192"/>
  <c r="BK20" i="192"/>
  <c r="BJ20" i="192"/>
  <c r="BG20" i="192"/>
  <c r="BF20" i="192"/>
  <c r="BC20" i="192"/>
  <c r="BB20" i="192"/>
  <c r="AX20" i="192"/>
  <c r="AT20" i="192"/>
  <c r="AL20" i="192"/>
  <c r="AK20" i="192"/>
  <c r="AA20" i="192"/>
  <c r="GK19" i="192"/>
  <c r="GM19" i="192" s="1"/>
  <c r="GF19" i="192"/>
  <c r="GE19" i="192" s="1"/>
  <c r="GL19" i="192" s="1"/>
  <c r="FQ19" i="192"/>
  <c r="FO19" i="192"/>
  <c r="FE19" i="192"/>
  <c r="FF19" i="192" s="1"/>
  <c r="FD19" i="192"/>
  <c r="FC19" i="192"/>
  <c r="EU19" i="192"/>
  <c r="ES19" i="192"/>
  <c r="ER19" i="192"/>
  <c r="EQ19" i="192"/>
  <c r="EP19" i="192"/>
  <c r="BZ19" i="192"/>
  <c r="BU19" i="192"/>
  <c r="BV19" i="192" s="1"/>
  <c r="BT19" i="192"/>
  <c r="BS19" i="192"/>
  <c r="BQ19" i="192"/>
  <c r="BP19" i="192"/>
  <c r="BN19" i="192"/>
  <c r="BO19" i="192" s="1"/>
  <c r="BM19" i="192"/>
  <c r="BR19" i="192" s="1"/>
  <c r="BK19" i="192"/>
  <c r="BJ19" i="192"/>
  <c r="BG19" i="192"/>
  <c r="BF19" i="192"/>
  <c r="BC19" i="192"/>
  <c r="BB19" i="192"/>
  <c r="AX19" i="192"/>
  <c r="AT19" i="192"/>
  <c r="AL19" i="192"/>
  <c r="AK19" i="192"/>
  <c r="AA19" i="192"/>
  <c r="GK18" i="192"/>
  <c r="GF18" i="192"/>
  <c r="FQ18" i="192"/>
  <c r="FE18" i="192"/>
  <c r="FD18" i="192"/>
  <c r="FC18" i="192"/>
  <c r="EU18" i="192"/>
  <c r="ES18" i="192"/>
  <c r="ER18" i="192"/>
  <c r="EQ18" i="192"/>
  <c r="EP18" i="192"/>
  <c r="BZ18" i="192"/>
  <c r="BU18" i="192"/>
  <c r="BV18" i="192" s="1"/>
  <c r="BS18" i="192"/>
  <c r="BT18" i="192" s="1"/>
  <c r="BQ18" i="192"/>
  <c r="BP18" i="192"/>
  <c r="BO18" i="192"/>
  <c r="BN18" i="192"/>
  <c r="BM18" i="192"/>
  <c r="BJ18" i="192"/>
  <c r="BG18" i="192"/>
  <c r="BF18" i="192"/>
  <c r="BC18" i="192"/>
  <c r="BB18" i="192"/>
  <c r="AX18" i="192"/>
  <c r="AT18" i="192"/>
  <c r="AL18" i="192"/>
  <c r="AK18" i="192"/>
  <c r="AA18" i="192"/>
  <c r="GK17" i="192"/>
  <c r="GF17" i="192"/>
  <c r="FQ17" i="192"/>
  <c r="FO17" i="192"/>
  <c r="FE17" i="192"/>
  <c r="FD17" i="192"/>
  <c r="FC17" i="192"/>
  <c r="FF17" i="192" s="1"/>
  <c r="ES17" i="192"/>
  <c r="ER17" i="192"/>
  <c r="EO17" i="192" s="1"/>
  <c r="EQ17" i="192"/>
  <c r="EP17" i="192"/>
  <c r="BV17" i="192"/>
  <c r="BU17" i="192"/>
  <c r="BS17" i="192"/>
  <c r="BT17" i="192" s="1"/>
  <c r="BQ17" i="192"/>
  <c r="BP17" i="192"/>
  <c r="BN17" i="192"/>
  <c r="BJ17" i="192"/>
  <c r="BG17" i="192"/>
  <c r="BF17" i="192"/>
  <c r="BC17" i="192"/>
  <c r="BB17" i="192"/>
  <c r="AY17" i="192"/>
  <c r="AX17" i="192"/>
  <c r="AT17" i="192"/>
  <c r="AL17" i="192"/>
  <c r="AK17" i="192"/>
  <c r="AA17" i="192"/>
  <c r="GM16" i="192"/>
  <c r="GL16" i="192"/>
  <c r="GK16" i="192"/>
  <c r="GF16" i="192"/>
  <c r="FQ16" i="192"/>
  <c r="FO16" i="192"/>
  <c r="FE16" i="192"/>
  <c r="FF16" i="192" s="1"/>
  <c r="FD16" i="192"/>
  <c r="FC16" i="192"/>
  <c r="EU16" i="192"/>
  <c r="ES16" i="192"/>
  <c r="ER16" i="192"/>
  <c r="EQ16" i="192"/>
  <c r="EP16" i="192"/>
  <c r="EO16" i="192"/>
  <c r="BV16" i="192"/>
  <c r="BU16" i="192"/>
  <c r="BT16" i="192"/>
  <c r="BS16" i="192"/>
  <c r="BQ16" i="192"/>
  <c r="BP16" i="192"/>
  <c r="BO16" i="192"/>
  <c r="FA56" i="192" s="1"/>
  <c r="EY56" i="192" s="1"/>
  <c r="BN16" i="192"/>
  <c r="BM16" i="192" s="1"/>
  <c r="BK16" i="192"/>
  <c r="BJ16" i="192"/>
  <c r="BG16" i="192"/>
  <c r="BF16" i="192"/>
  <c r="BC16" i="192"/>
  <c r="BB16" i="192"/>
  <c r="AY16" i="192"/>
  <c r="AX16" i="192"/>
  <c r="AT16" i="192"/>
  <c r="AL16" i="192"/>
  <c r="AK16" i="192"/>
  <c r="AA16" i="192"/>
  <c r="JL15" i="192"/>
  <c r="JL16" i="192" s="1"/>
  <c r="JL17" i="192" s="1"/>
  <c r="JL18" i="192" s="1"/>
  <c r="JL19" i="192" s="1"/>
  <c r="JL20" i="192" s="1"/>
  <c r="JL21" i="192" s="1"/>
  <c r="JL22" i="192" s="1"/>
  <c r="JL23" i="192" s="1"/>
  <c r="JL24" i="192" s="1"/>
  <c r="JL25" i="192" s="1"/>
  <c r="JL26" i="192" s="1"/>
  <c r="JL27" i="192" s="1"/>
  <c r="JL28" i="192" s="1"/>
  <c r="JL29" i="192" s="1"/>
  <c r="JL30" i="192" s="1"/>
  <c r="JL31" i="192" s="1"/>
  <c r="JL32" i="192" s="1"/>
  <c r="JL33" i="192" s="1"/>
  <c r="JL34" i="192" s="1"/>
  <c r="JL35" i="192" s="1"/>
  <c r="JL36" i="192" s="1"/>
  <c r="JL37" i="192" s="1"/>
  <c r="JL38" i="192" s="1"/>
  <c r="JL39" i="192" s="1"/>
  <c r="JL40" i="192" s="1"/>
  <c r="JL41" i="192" s="1"/>
  <c r="JL42" i="192" s="1"/>
  <c r="JL43" i="192" s="1"/>
  <c r="JL44" i="192" s="1"/>
  <c r="JL45" i="192" s="1"/>
  <c r="GK15" i="192"/>
  <c r="GF15" i="192"/>
  <c r="FF15" i="192"/>
  <c r="FE15" i="192"/>
  <c r="FD15" i="192"/>
  <c r="FC15" i="192"/>
  <c r="EZ15" i="192"/>
  <c r="EU15" i="192"/>
  <c r="ET15" i="192"/>
  <c r="ES15" i="192"/>
  <c r="ER15" i="192"/>
  <c r="EO15" i="192" s="1"/>
  <c r="EQ15" i="192"/>
  <c r="EP15" i="192"/>
  <c r="BU15" i="192"/>
  <c r="BV15" i="192" s="1"/>
  <c r="BT15" i="192"/>
  <c r="BS15" i="192"/>
  <c r="BQ15" i="192"/>
  <c r="BP15" i="192"/>
  <c r="BO15" i="192"/>
  <c r="BN15" i="192"/>
  <c r="BM15" i="192"/>
  <c r="BJ15" i="192"/>
  <c r="BG15" i="192"/>
  <c r="BF15" i="192"/>
  <c r="BC15" i="192"/>
  <c r="BB15" i="192"/>
  <c r="AY15" i="192"/>
  <c r="AX15" i="192"/>
  <c r="AU15" i="192"/>
  <c r="AT15" i="192"/>
  <c r="AO15" i="192"/>
  <c r="AN15" i="192"/>
  <c r="AM15" i="192"/>
  <c r="AL15" i="192"/>
  <c r="AK15" i="192"/>
  <c r="AB15" i="192"/>
  <c r="FO15" i="192" s="1"/>
  <c r="AA15" i="192"/>
  <c r="JL14" i="192"/>
  <c r="GL14" i="192"/>
  <c r="GK14" i="192"/>
  <c r="GM14" i="192" s="1"/>
  <c r="GF14" i="192"/>
  <c r="FQ14" i="192"/>
  <c r="FO14" i="192"/>
  <c r="FE14" i="192"/>
  <c r="FF14" i="192" s="1"/>
  <c r="FD14" i="192"/>
  <c r="FC14" i="192"/>
  <c r="EU14" i="192"/>
  <c r="ET14" i="192"/>
  <c r="ER14" i="192"/>
  <c r="EO14" i="192" s="1"/>
  <c r="EQ14" i="192"/>
  <c r="EP14" i="192"/>
  <c r="BU14" i="192"/>
  <c r="BV14" i="192" s="1"/>
  <c r="BT14" i="192"/>
  <c r="BS14" i="192"/>
  <c r="BQ14" i="192"/>
  <c r="BP14" i="192"/>
  <c r="BN14" i="192"/>
  <c r="BO14" i="192" s="1"/>
  <c r="BM14" i="192"/>
  <c r="BR14" i="192" s="1"/>
  <c r="BK14" i="192"/>
  <c r="BJ14" i="192"/>
  <c r="BG14" i="192"/>
  <c r="BF14" i="192"/>
  <c r="BC14" i="192"/>
  <c r="BB14" i="192"/>
  <c r="AY14" i="192"/>
  <c r="AX14" i="192"/>
  <c r="AT14" i="192"/>
  <c r="AL14" i="192"/>
  <c r="AK14" i="192"/>
  <c r="AA14" i="192"/>
  <c r="JJ12" i="192"/>
  <c r="JH12" i="192"/>
  <c r="JC12" i="192"/>
  <c r="JB12" i="192"/>
  <c r="IZ12" i="192"/>
  <c r="IU12" i="192"/>
  <c r="IM12" i="192"/>
  <c r="IL12" i="192"/>
  <c r="IC12" i="192"/>
  <c r="HX12" i="192"/>
  <c r="HW12" i="192"/>
  <c r="HU12" i="192"/>
  <c r="HM12" i="192"/>
  <c r="HH12" i="192"/>
  <c r="HG12" i="192"/>
  <c r="HD12" i="192"/>
  <c r="Z10" i="192"/>
  <c r="BE10" i="192" s="1"/>
  <c r="T10" i="192"/>
  <c r="AX10" i="192" s="1"/>
  <c r="C10" i="192"/>
  <c r="AE10" i="192" s="1"/>
  <c r="AE9" i="192"/>
  <c r="T9" i="192"/>
  <c r="AX9" i="192" s="1"/>
  <c r="C9" i="192"/>
  <c r="BB7" i="192"/>
  <c r="X6" i="192"/>
  <c r="BB6" i="192" s="1"/>
  <c r="M6" i="192"/>
  <c r="EX5" i="192"/>
  <c r="FF4" i="192"/>
  <c r="FE4" i="192"/>
  <c r="FD4" i="192"/>
  <c r="FC4" i="192"/>
  <c r="FB4" i="192"/>
  <c r="FA4" i="192"/>
  <c r="EZ4" i="192"/>
  <c r="EY4" i="192"/>
  <c r="FG2" i="192"/>
  <c r="FE2" i="192"/>
  <c r="EU77" i="192" s="1"/>
  <c r="FC2" i="192"/>
  <c r="FA2" i="192"/>
  <c r="HA1" i="192"/>
  <c r="FG1" i="192"/>
  <c r="FA1" i="192"/>
  <c r="FB1" i="192" s="1"/>
  <c r="BK1" i="192"/>
  <c r="BZ43" i="192" s="1"/>
  <c r="BJ1" i="192"/>
  <c r="Q2" i="192" s="1"/>
  <c r="AU2" i="192" s="1"/>
  <c r="HP87" i="191"/>
  <c r="BZ87" i="191"/>
  <c r="BV87" i="191"/>
  <c r="BS87" i="191"/>
  <c r="BQ87" i="191"/>
  <c r="BG87" i="191"/>
  <c r="BF87" i="191"/>
  <c r="BE87" i="191"/>
  <c r="BD87" i="191"/>
  <c r="BC87" i="191"/>
  <c r="BB87" i="191"/>
  <c r="BA87" i="191"/>
  <c r="AZ87" i="191"/>
  <c r="AY87" i="191"/>
  <c r="AX87" i="191"/>
  <c r="AW87" i="191"/>
  <c r="AV87" i="191"/>
  <c r="AU87" i="191"/>
  <c r="AT87" i="191"/>
  <c r="AS87" i="191"/>
  <c r="AR87" i="191"/>
  <c r="AQ87" i="191"/>
  <c r="AP87" i="191"/>
  <c r="AO87" i="191"/>
  <c r="AN87" i="191"/>
  <c r="AM87" i="191"/>
  <c r="AL87" i="191"/>
  <c r="AK87" i="191"/>
  <c r="AJ87" i="191"/>
  <c r="AI87" i="191"/>
  <c r="AH87" i="191"/>
  <c r="AG87" i="191"/>
  <c r="AF87" i="191"/>
  <c r="BW87" i="191" s="1"/>
  <c r="AE87" i="191"/>
  <c r="AD87" i="191"/>
  <c r="AC87" i="191"/>
  <c r="AB87" i="191"/>
  <c r="AA87" i="191"/>
  <c r="Z87" i="191"/>
  <c r="Y87" i="191"/>
  <c r="X87" i="191"/>
  <c r="W87" i="191"/>
  <c r="V87" i="191"/>
  <c r="U87" i="191"/>
  <c r="T87" i="191"/>
  <c r="S87" i="191"/>
  <c r="BT87" i="191" s="1"/>
  <c r="R87" i="191"/>
  <c r="Q87" i="191"/>
  <c r="P87" i="191"/>
  <c r="O87" i="191"/>
  <c r="N87" i="191"/>
  <c r="M87" i="191"/>
  <c r="L87" i="191"/>
  <c r="BU87" i="191" s="1"/>
  <c r="K87" i="191"/>
  <c r="J87" i="191"/>
  <c r="I87" i="191"/>
  <c r="H87" i="191"/>
  <c r="G87" i="191"/>
  <c r="F87" i="191"/>
  <c r="E87" i="191"/>
  <c r="D87" i="191"/>
  <c r="GH87" i="191" s="1"/>
  <c r="C87" i="191"/>
  <c r="B87" i="191"/>
  <c r="A87" i="191"/>
  <c r="GI85" i="191"/>
  <c r="BD45" i="191" s="1"/>
  <c r="FI85" i="191" s="1"/>
  <c r="GH85" i="191"/>
  <c r="BA45" i="191" s="1"/>
  <c r="GG85" i="191"/>
  <c r="AV45" i="191" s="1"/>
  <c r="FG85" i="191" s="1"/>
  <c r="GF85" i="191"/>
  <c r="GE85" i="191"/>
  <c r="AQ45" i="191" s="1"/>
  <c r="GD85" i="191"/>
  <c r="AP45" i="191" s="1"/>
  <c r="FM85" i="191"/>
  <c r="FE85" i="191"/>
  <c r="EZ85" i="191"/>
  <c r="EX85" i="191"/>
  <c r="EQ85" i="191"/>
  <c r="ER85" i="191" s="1"/>
  <c r="ES85" i="191" s="1"/>
  <c r="Y45" i="191" s="1"/>
  <c r="EO85" i="191"/>
  <c r="EJ85" i="191"/>
  <c r="DS85" i="191" s="1"/>
  <c r="EI85" i="191"/>
  <c r="ED85" i="191"/>
  <c r="EB85" i="191"/>
  <c r="EA85" i="191"/>
  <c r="R45" i="191" s="1"/>
  <c r="DE85" i="191"/>
  <c r="DD85" i="191"/>
  <c r="I45" i="191" s="1"/>
  <c r="BS45" i="191" s="1"/>
  <c r="DC85" i="191"/>
  <c r="DA85" i="191"/>
  <c r="CY85" i="191"/>
  <c r="CU85" i="191"/>
  <c r="CT85" i="191"/>
  <c r="EP85" i="191" s="1"/>
  <c r="CS85" i="191"/>
  <c r="CR85" i="191"/>
  <c r="CQ85" i="191"/>
  <c r="CP85" i="191"/>
  <c r="FC85" i="191" s="1"/>
  <c r="CO85" i="191"/>
  <c r="ET85" i="191" s="1"/>
  <c r="CN85" i="191"/>
  <c r="CM85" i="191"/>
  <c r="DI85" i="191" s="1"/>
  <c r="CL85" i="191"/>
  <c r="EH85" i="191" s="1"/>
  <c r="CK85" i="191"/>
  <c r="EK85" i="191" s="1"/>
  <c r="CJ85" i="191"/>
  <c r="CI85" i="191"/>
  <c r="CH85" i="191"/>
  <c r="CG85" i="191"/>
  <c r="DZ85" i="191" s="1"/>
  <c r="P45" i="191" s="1"/>
  <c r="CF85" i="191"/>
  <c r="CE85" i="191"/>
  <c r="CD85" i="191"/>
  <c r="DB85" i="191" s="1"/>
  <c r="CC85" i="191"/>
  <c r="CB85" i="191"/>
  <c r="GI84" i="191"/>
  <c r="BD44" i="191" s="1"/>
  <c r="FI84" i="191" s="1"/>
  <c r="GH84" i="191"/>
  <c r="GG84" i="191"/>
  <c r="AV44" i="191" s="1"/>
  <c r="FG84" i="191" s="1"/>
  <c r="GF84" i="191"/>
  <c r="AR44" i="191" s="1"/>
  <c r="FF84" i="191" s="1"/>
  <c r="GE84" i="191"/>
  <c r="AQ44" i="191" s="1"/>
  <c r="GD84" i="191"/>
  <c r="AP44" i="191" s="1"/>
  <c r="FM84" i="191"/>
  <c r="FD84" i="191"/>
  <c r="FB84" i="191"/>
  <c r="EX84" i="191"/>
  <c r="ET84" i="191"/>
  <c r="EO84" i="191"/>
  <c r="EL84" i="191"/>
  <c r="EM84" i="191" s="1"/>
  <c r="EK84" i="191"/>
  <c r="EI84" i="191"/>
  <c r="ED84" i="191"/>
  <c r="EB84" i="191"/>
  <c r="EA84" i="191"/>
  <c r="R44" i="191" s="1"/>
  <c r="DE84" i="191"/>
  <c r="DF84" i="191" s="1"/>
  <c r="DC84" i="191"/>
  <c r="CY84" i="191"/>
  <c r="CW84" i="191"/>
  <c r="M44" i="191" s="1"/>
  <c r="CU84" i="191"/>
  <c r="CT84" i="191"/>
  <c r="EP84" i="191" s="1"/>
  <c r="EQ84" i="191" s="1"/>
  <c r="ER84" i="191" s="1"/>
  <c r="ES84" i="191" s="1"/>
  <c r="Y44" i="191" s="1"/>
  <c r="CS84" i="191"/>
  <c r="CR84" i="191"/>
  <c r="CQ84" i="191"/>
  <c r="CP84" i="191"/>
  <c r="FC84" i="191" s="1"/>
  <c r="CO84" i="191"/>
  <c r="FE84" i="191" s="1"/>
  <c r="CN84" i="191"/>
  <c r="CM84" i="191"/>
  <c r="CL84" i="191"/>
  <c r="EH84" i="191" s="1"/>
  <c r="EJ84" i="191" s="1"/>
  <c r="DS84" i="191" s="1"/>
  <c r="CK84" i="191"/>
  <c r="CJ84" i="191"/>
  <c r="CI84" i="191"/>
  <c r="CH84" i="191"/>
  <c r="CG84" i="191"/>
  <c r="DZ84" i="191" s="1"/>
  <c r="O44" i="191" s="1"/>
  <c r="CF84" i="191"/>
  <c r="CE84" i="191"/>
  <c r="CD84" i="191"/>
  <c r="DD84" i="191" s="1"/>
  <c r="G44" i="191" s="1"/>
  <c r="CC84" i="191"/>
  <c r="EE84" i="191" s="1"/>
  <c r="EG84" i="191" s="1"/>
  <c r="CB84" i="191"/>
  <c r="GI83" i="191"/>
  <c r="GH83" i="191"/>
  <c r="AZ43" i="191" s="1"/>
  <c r="FH83" i="191" s="1"/>
  <c r="GG83" i="191"/>
  <c r="GF83" i="191"/>
  <c r="AR43" i="191" s="1"/>
  <c r="FF83" i="191" s="1"/>
  <c r="GE83" i="191"/>
  <c r="GD83" i="191"/>
  <c r="AP43" i="191" s="1"/>
  <c r="FM83" i="191"/>
  <c r="FD83" i="191"/>
  <c r="FC83" i="191"/>
  <c r="FA83" i="191"/>
  <c r="EY83" i="191" s="1"/>
  <c r="EX83" i="191"/>
  <c r="EU83" i="191"/>
  <c r="EO83" i="191"/>
  <c r="EK83" i="191"/>
  <c r="ED83" i="191"/>
  <c r="EB83" i="191"/>
  <c r="EA83" i="191"/>
  <c r="DJ83" i="191"/>
  <c r="DI83" i="191"/>
  <c r="DH83" i="191"/>
  <c r="DG83" i="191"/>
  <c r="DE83" i="191"/>
  <c r="DD83" i="191"/>
  <c r="G43" i="191" s="1"/>
  <c r="DA83" i="191"/>
  <c r="CY83" i="191"/>
  <c r="CW83" i="191"/>
  <c r="CV83" i="191"/>
  <c r="DK83" i="191" s="1"/>
  <c r="CU83" i="191"/>
  <c r="EL83" i="191" s="1"/>
  <c r="EM83" i="191" s="1"/>
  <c r="EN83" i="191" s="1"/>
  <c r="X43" i="191" s="1"/>
  <c r="CT83" i="191"/>
  <c r="EP83" i="191" s="1"/>
  <c r="CS83" i="191"/>
  <c r="DF83" i="191" s="1"/>
  <c r="CR83" i="191"/>
  <c r="CQ83" i="191"/>
  <c r="CP83" i="191"/>
  <c r="CO83" i="191"/>
  <c r="CN83" i="191"/>
  <c r="CM83" i="191"/>
  <c r="CL83" i="191"/>
  <c r="EI83" i="191" s="1"/>
  <c r="CK83" i="191"/>
  <c r="CJ83" i="191"/>
  <c r="CI83" i="191"/>
  <c r="CH83" i="191"/>
  <c r="CG83" i="191"/>
  <c r="CF83" i="191"/>
  <c r="CE83" i="191"/>
  <c r="CD83" i="191"/>
  <c r="DC83" i="191" s="1"/>
  <c r="CC83" i="191"/>
  <c r="ET43" i="191" s="1"/>
  <c r="CB83" i="191"/>
  <c r="GI82" i="191"/>
  <c r="BE42" i="191" s="1"/>
  <c r="GH82" i="191"/>
  <c r="BA42" i="191" s="1"/>
  <c r="GG82" i="191"/>
  <c r="AV42" i="191" s="1"/>
  <c r="FG82" i="191" s="1"/>
  <c r="GF82" i="191"/>
  <c r="AS42" i="191" s="1"/>
  <c r="GE82" i="191"/>
  <c r="AQ42" i="191" s="1"/>
  <c r="GD82" i="191"/>
  <c r="AP42" i="191" s="1"/>
  <c r="FM82" i="191"/>
  <c r="FE82" i="191"/>
  <c r="FC82" i="191"/>
  <c r="FB82" i="191"/>
  <c r="EX82" i="191"/>
  <c r="ET82" i="191"/>
  <c r="EO82" i="191"/>
  <c r="ED82" i="191"/>
  <c r="EB82" i="191"/>
  <c r="EA82" i="191"/>
  <c r="DZ82" i="191"/>
  <c r="DJ82" i="191"/>
  <c r="DI82" i="191"/>
  <c r="EW82" i="191" s="1"/>
  <c r="DG82" i="191"/>
  <c r="DE82" i="191"/>
  <c r="CY82" i="191"/>
  <c r="CX82" i="191"/>
  <c r="CU82" i="191"/>
  <c r="EL82" i="191" s="1"/>
  <c r="EM82" i="191" s="1"/>
  <c r="EN82" i="191" s="1"/>
  <c r="X42" i="191" s="1"/>
  <c r="CT82" i="191"/>
  <c r="EP82" i="191" s="1"/>
  <c r="CS82" i="191"/>
  <c r="CR82" i="191"/>
  <c r="CQ82" i="191"/>
  <c r="CP82" i="191"/>
  <c r="CO82" i="191"/>
  <c r="CN82" i="191"/>
  <c r="CM82" i="191"/>
  <c r="DH82" i="191" s="1"/>
  <c r="CL82" i="191"/>
  <c r="EH82" i="191" s="1"/>
  <c r="EJ82" i="191" s="1"/>
  <c r="DS82" i="191" s="1"/>
  <c r="CK82" i="191"/>
  <c r="EK82" i="191" s="1"/>
  <c r="CJ82" i="191"/>
  <c r="CI82" i="191"/>
  <c r="CH82" i="191"/>
  <c r="CG82" i="191"/>
  <c r="CF82" i="191"/>
  <c r="FD82" i="191" s="1"/>
  <c r="CE82" i="191"/>
  <c r="CD82" i="191"/>
  <c r="DA82" i="191" s="1"/>
  <c r="CC82" i="191"/>
  <c r="EF82" i="191" s="1"/>
  <c r="CB82" i="191"/>
  <c r="GI81" i="191"/>
  <c r="BD41" i="191" s="1"/>
  <c r="FI81" i="191" s="1"/>
  <c r="GH81" i="191"/>
  <c r="BA41" i="191" s="1"/>
  <c r="GG81" i="191"/>
  <c r="AW41" i="191" s="1"/>
  <c r="GF81" i="191"/>
  <c r="AR41" i="191" s="1"/>
  <c r="FF81" i="191" s="1"/>
  <c r="GE81" i="191"/>
  <c r="AQ41" i="191" s="1"/>
  <c r="GD81" i="191"/>
  <c r="AP41" i="191" s="1"/>
  <c r="FM81" i="191"/>
  <c r="FE81" i="191"/>
  <c r="EX81" i="191"/>
  <c r="EI81" i="191"/>
  <c r="ED81" i="191"/>
  <c r="EB81" i="191"/>
  <c r="EA81" i="191"/>
  <c r="DI81" i="191"/>
  <c r="EW81" i="191" s="1"/>
  <c r="DE81" i="191"/>
  <c r="DD81" i="191"/>
  <c r="DC81" i="191"/>
  <c r="DA81" i="191"/>
  <c r="CY81" i="191"/>
  <c r="CU81" i="191"/>
  <c r="CT81" i="191"/>
  <c r="EP81" i="191" s="1"/>
  <c r="CS81" i="191"/>
  <c r="CR81" i="191"/>
  <c r="CQ81" i="191"/>
  <c r="CP81" i="191"/>
  <c r="FC81" i="191" s="1"/>
  <c r="CO81" i="191"/>
  <c r="ET81" i="191" s="1"/>
  <c r="CN81" i="191"/>
  <c r="CM81" i="191"/>
  <c r="CV81" i="191" s="1"/>
  <c r="DK81" i="191" s="1"/>
  <c r="CL81" i="191"/>
  <c r="EH81" i="191" s="1"/>
  <c r="EJ81" i="191" s="1"/>
  <c r="DS81" i="191" s="1"/>
  <c r="CK81" i="191"/>
  <c r="EK81" i="191" s="1"/>
  <c r="CJ81" i="191"/>
  <c r="CI81" i="191"/>
  <c r="CH81" i="191"/>
  <c r="CG81" i="191"/>
  <c r="DZ81" i="191" s="1"/>
  <c r="CF81" i="191"/>
  <c r="EO81" i="191" s="1"/>
  <c r="CE81" i="191"/>
  <c r="CD81" i="191"/>
  <c r="DB81" i="191" s="1"/>
  <c r="CC81" i="191"/>
  <c r="ET41" i="191" s="1"/>
  <c r="CB81" i="191"/>
  <c r="GI80" i="191"/>
  <c r="BD40" i="191" s="1"/>
  <c r="FI80" i="191" s="1"/>
  <c r="GH80" i="191"/>
  <c r="GG80" i="191"/>
  <c r="AV40" i="191" s="1"/>
  <c r="FG80" i="191" s="1"/>
  <c r="GF80" i="191"/>
  <c r="AS40" i="191" s="1"/>
  <c r="GE80" i="191"/>
  <c r="AQ40" i="191" s="1"/>
  <c r="GD80" i="191"/>
  <c r="AP40" i="191" s="1"/>
  <c r="FM80" i="191"/>
  <c r="FD80" i="191"/>
  <c r="EX80" i="191"/>
  <c r="EO80" i="191"/>
  <c r="EK80" i="191"/>
  <c r="EL80" i="191" s="1"/>
  <c r="EM80" i="191" s="1"/>
  <c r="EN80" i="191" s="1"/>
  <c r="X40" i="191" s="1"/>
  <c r="EI80" i="191"/>
  <c r="ED80" i="191"/>
  <c r="EB80" i="191"/>
  <c r="DS80" i="191"/>
  <c r="DT80" i="191" s="1"/>
  <c r="DX80" i="191" s="1"/>
  <c r="DE80" i="191"/>
  <c r="DC80" i="191"/>
  <c r="CY80" i="191"/>
  <c r="CW80" i="191"/>
  <c r="CU80" i="191"/>
  <c r="EQ80" i="191" s="1"/>
  <c r="ER80" i="191" s="1"/>
  <c r="ES80" i="191" s="1"/>
  <c r="Y40" i="191" s="1"/>
  <c r="CT80" i="191"/>
  <c r="EP80" i="191" s="1"/>
  <c r="CS80" i="191"/>
  <c r="CR80" i="191"/>
  <c r="CQ80" i="191"/>
  <c r="CP80" i="191"/>
  <c r="FC80" i="191" s="1"/>
  <c r="CO80" i="191"/>
  <c r="FE80" i="191" s="1"/>
  <c r="CN80" i="191"/>
  <c r="CM80" i="191"/>
  <c r="CL80" i="191"/>
  <c r="EH80" i="191" s="1"/>
  <c r="EJ80" i="191" s="1"/>
  <c r="CK80" i="191"/>
  <c r="CJ80" i="191"/>
  <c r="CI80" i="191"/>
  <c r="CH80" i="191"/>
  <c r="CG80" i="191"/>
  <c r="DZ80" i="191" s="1"/>
  <c r="CF80" i="191"/>
  <c r="CE80" i="191"/>
  <c r="CD80" i="191"/>
  <c r="DD80" i="191" s="1"/>
  <c r="CC80" i="191"/>
  <c r="ET40" i="191" s="1"/>
  <c r="CB80" i="191"/>
  <c r="GI79" i="191"/>
  <c r="BE39" i="191" s="1"/>
  <c r="GH79" i="191"/>
  <c r="AZ39" i="191" s="1"/>
  <c r="FH79" i="191" s="1"/>
  <c r="GG79" i="191"/>
  <c r="AW39" i="191" s="1"/>
  <c r="GF79" i="191"/>
  <c r="GE79" i="191"/>
  <c r="AQ39" i="191" s="1"/>
  <c r="GD79" i="191"/>
  <c r="AP39" i="191" s="1"/>
  <c r="FM79" i="191"/>
  <c r="FD79" i="191"/>
  <c r="FC79" i="191"/>
  <c r="EX79" i="191"/>
  <c r="EO79" i="191"/>
  <c r="EK79" i="191"/>
  <c r="ED79" i="191"/>
  <c r="EB79" i="191"/>
  <c r="EA79" i="191"/>
  <c r="DJ79" i="191"/>
  <c r="DI79" i="191"/>
  <c r="EW79" i="191" s="1"/>
  <c r="DH79" i="191"/>
  <c r="DG79" i="191"/>
  <c r="DE79" i="191"/>
  <c r="DD79" i="191"/>
  <c r="DA79" i="191"/>
  <c r="CY79" i="191"/>
  <c r="CW79" i="191"/>
  <c r="CV79" i="191"/>
  <c r="DK79" i="191" s="1"/>
  <c r="CU79" i="191"/>
  <c r="CT79" i="191"/>
  <c r="EP79" i="191" s="1"/>
  <c r="CS79" i="191"/>
  <c r="CR79" i="191"/>
  <c r="CQ79" i="191"/>
  <c r="CP79" i="191"/>
  <c r="CO79" i="191"/>
  <c r="CN79" i="191"/>
  <c r="CM79" i="191"/>
  <c r="CL79" i="191"/>
  <c r="EU39" i="191" s="1"/>
  <c r="CK79" i="191"/>
  <c r="CJ79" i="191"/>
  <c r="CI79" i="191"/>
  <c r="CH79" i="191"/>
  <c r="CG79" i="191"/>
  <c r="CF79" i="191"/>
  <c r="CE79" i="191"/>
  <c r="CD79" i="191"/>
  <c r="DC79" i="191" s="1"/>
  <c r="EV79" i="191" s="1"/>
  <c r="CC79" i="191"/>
  <c r="EE79" i="191" s="1"/>
  <c r="EG79" i="191" s="1"/>
  <c r="DL79" i="191" s="1"/>
  <c r="DN79" i="191" s="1"/>
  <c r="DR79" i="191" s="1"/>
  <c r="CB79" i="191"/>
  <c r="GI78" i="191"/>
  <c r="GH78" i="191"/>
  <c r="BA38" i="191" s="1"/>
  <c r="GG78" i="191"/>
  <c r="AV38" i="191" s="1"/>
  <c r="FG78" i="191" s="1"/>
  <c r="GF78" i="191"/>
  <c r="AS38" i="191" s="1"/>
  <c r="GE78" i="191"/>
  <c r="AQ38" i="191" s="1"/>
  <c r="GD78" i="191"/>
  <c r="AP38" i="191" s="1"/>
  <c r="FM78" i="191"/>
  <c r="FE78" i="191"/>
  <c r="FC78" i="191"/>
  <c r="FB78" i="191"/>
  <c r="EX78" i="191"/>
  <c r="ET78" i="191"/>
  <c r="EO78" i="191"/>
  <c r="ED78" i="191"/>
  <c r="EB78" i="191"/>
  <c r="EA78" i="191"/>
  <c r="DZ78" i="191"/>
  <c r="DG78" i="191"/>
  <c r="DE78" i="191"/>
  <c r="DC78" i="191"/>
  <c r="DB78" i="191"/>
  <c r="CY78" i="191"/>
  <c r="CX78" i="191"/>
  <c r="CU78" i="191"/>
  <c r="CT78" i="191"/>
  <c r="EP78" i="191" s="1"/>
  <c r="EQ78" i="191" s="1"/>
  <c r="ER78" i="191" s="1"/>
  <c r="ES78" i="191" s="1"/>
  <c r="CS78" i="191"/>
  <c r="DF78" i="191" s="1"/>
  <c r="CR78" i="191"/>
  <c r="CQ78" i="191"/>
  <c r="CP78" i="191"/>
  <c r="CO78" i="191"/>
  <c r="CN78" i="191"/>
  <c r="CM78" i="191"/>
  <c r="DH78" i="191" s="1"/>
  <c r="CL78" i="191"/>
  <c r="EH78" i="191" s="1"/>
  <c r="EJ78" i="191" s="1"/>
  <c r="DS78" i="191" s="1"/>
  <c r="CK78" i="191"/>
  <c r="EK78" i="191" s="1"/>
  <c r="CJ78" i="191"/>
  <c r="CI78" i="191"/>
  <c r="CH78" i="191"/>
  <c r="CG78" i="191"/>
  <c r="CF78" i="191"/>
  <c r="FD78" i="191" s="1"/>
  <c r="CE78" i="191"/>
  <c r="CD78" i="191"/>
  <c r="CC78" i="191"/>
  <c r="EF78" i="191" s="1"/>
  <c r="CB78" i="191"/>
  <c r="GI77" i="191"/>
  <c r="BD37" i="191" s="1"/>
  <c r="FI77" i="191" s="1"/>
  <c r="GH77" i="191"/>
  <c r="BA37" i="191" s="1"/>
  <c r="GG77" i="191"/>
  <c r="AW37" i="191" s="1"/>
  <c r="GF77" i="191"/>
  <c r="AR37" i="191" s="1"/>
  <c r="FF77" i="191" s="1"/>
  <c r="GE77" i="191"/>
  <c r="AQ37" i="191" s="1"/>
  <c r="GD77" i="191"/>
  <c r="AP37" i="191" s="1"/>
  <c r="FM77" i="191"/>
  <c r="EZ77" i="191"/>
  <c r="EX77" i="191"/>
  <c r="EI77" i="191"/>
  <c r="ED77" i="191"/>
  <c r="EB77" i="191"/>
  <c r="EA77" i="191"/>
  <c r="DE77" i="191"/>
  <c r="DD77" i="191"/>
  <c r="DC77" i="191"/>
  <c r="DA77" i="191"/>
  <c r="CY77" i="191"/>
  <c r="CU77" i="191"/>
  <c r="EQ77" i="191" s="1"/>
  <c r="ER77" i="191" s="1"/>
  <c r="ES77" i="191" s="1"/>
  <c r="Y37" i="191" s="1"/>
  <c r="CT77" i="191"/>
  <c r="EP77" i="191" s="1"/>
  <c r="CS77" i="191"/>
  <c r="DF77" i="191" s="1"/>
  <c r="CR77" i="191"/>
  <c r="CQ77" i="191"/>
  <c r="CP77" i="191"/>
  <c r="FC77" i="191" s="1"/>
  <c r="CO77" i="191"/>
  <c r="CN77" i="191"/>
  <c r="CM77" i="191"/>
  <c r="CV77" i="191" s="1"/>
  <c r="DK77" i="191" s="1"/>
  <c r="CL77" i="191"/>
  <c r="EH77" i="191" s="1"/>
  <c r="EJ77" i="191" s="1"/>
  <c r="DS77" i="191" s="1"/>
  <c r="CK77" i="191"/>
  <c r="EK77" i="191" s="1"/>
  <c r="CJ77" i="191"/>
  <c r="CI77" i="191"/>
  <c r="CH77" i="191"/>
  <c r="CG77" i="191"/>
  <c r="CF77" i="191"/>
  <c r="FD77" i="191" s="1"/>
  <c r="CE77" i="191"/>
  <c r="CD77" i="191"/>
  <c r="DB77" i="191" s="1"/>
  <c r="CC77" i="191"/>
  <c r="CB77" i="191"/>
  <c r="GI76" i="191"/>
  <c r="GH76" i="191"/>
  <c r="AZ36" i="191" s="1"/>
  <c r="FH76" i="191" s="1"/>
  <c r="GG76" i="191"/>
  <c r="GF76" i="191"/>
  <c r="AR36" i="191" s="1"/>
  <c r="FF76" i="191" s="1"/>
  <c r="GE76" i="191"/>
  <c r="AQ36" i="191" s="1"/>
  <c r="GD76" i="191"/>
  <c r="AP36" i="191" s="1"/>
  <c r="FM76" i="191"/>
  <c r="FD76" i="191"/>
  <c r="FA76" i="191"/>
  <c r="EY76" i="191" s="1"/>
  <c r="EX76" i="191"/>
  <c r="EQ76" i="191"/>
  <c r="ER76" i="191" s="1"/>
  <c r="ES76" i="191" s="1"/>
  <c r="Y36" i="191" s="1"/>
  <c r="EO76" i="191"/>
  <c r="EK76" i="191"/>
  <c r="EI76" i="191"/>
  <c r="ED76" i="191"/>
  <c r="EB76" i="191"/>
  <c r="DG76" i="191"/>
  <c r="DE76" i="191"/>
  <c r="DC76" i="191"/>
  <c r="CY76" i="191"/>
  <c r="CW76" i="191"/>
  <c r="CU76" i="191"/>
  <c r="EL76" i="191" s="1"/>
  <c r="EM76" i="191" s="1"/>
  <c r="EN76" i="191" s="1"/>
  <c r="X36" i="191" s="1"/>
  <c r="CT76" i="191"/>
  <c r="EP76" i="191" s="1"/>
  <c r="CS76" i="191"/>
  <c r="CR76" i="191"/>
  <c r="CQ76" i="191"/>
  <c r="DS76" i="191" s="1"/>
  <c r="CP76" i="191"/>
  <c r="EA76" i="191" s="1"/>
  <c r="CO76" i="191"/>
  <c r="FE76" i="191" s="1"/>
  <c r="CN76" i="191"/>
  <c r="CM76" i="191"/>
  <c r="CL76" i="191"/>
  <c r="EH76" i="191" s="1"/>
  <c r="EJ76" i="191" s="1"/>
  <c r="CK76" i="191"/>
  <c r="CJ76" i="191"/>
  <c r="CI76" i="191"/>
  <c r="CH76" i="191"/>
  <c r="CG76" i="191"/>
  <c r="DZ76" i="191" s="1"/>
  <c r="CF76" i="191"/>
  <c r="CE76" i="191"/>
  <c r="CD76" i="191"/>
  <c r="DD76" i="191" s="1"/>
  <c r="CC76" i="191"/>
  <c r="EF76" i="191" s="1"/>
  <c r="CB76" i="191"/>
  <c r="GI75" i="191"/>
  <c r="BD35" i="191" s="1"/>
  <c r="FI75" i="191" s="1"/>
  <c r="GH75" i="191"/>
  <c r="AZ35" i="191" s="1"/>
  <c r="FH75" i="191" s="1"/>
  <c r="GG75" i="191"/>
  <c r="AV35" i="191" s="1"/>
  <c r="FG75" i="191" s="1"/>
  <c r="GF75" i="191"/>
  <c r="AS35" i="191" s="1"/>
  <c r="GE75" i="191"/>
  <c r="AQ35" i="191" s="1"/>
  <c r="GD75" i="191"/>
  <c r="AP35" i="191" s="1"/>
  <c r="FM75" i="191"/>
  <c r="FD75" i="191"/>
  <c r="FC75" i="191"/>
  <c r="EX75" i="191"/>
  <c r="EU75" i="191"/>
  <c r="EO75" i="191"/>
  <c r="EK75" i="191"/>
  <c r="ED75" i="191"/>
  <c r="EB75" i="191"/>
  <c r="EA75" i="191"/>
  <c r="DJ75" i="191"/>
  <c r="DI75" i="191"/>
  <c r="EW75" i="191" s="1"/>
  <c r="DH75" i="191"/>
  <c r="DG75" i="191"/>
  <c r="DE75" i="191"/>
  <c r="DD75" i="191"/>
  <c r="DA75" i="191"/>
  <c r="CY75" i="191"/>
  <c r="CW75" i="191"/>
  <c r="CV75" i="191"/>
  <c r="DK75" i="191" s="1"/>
  <c r="CU75" i="191"/>
  <c r="EL75" i="191" s="1"/>
  <c r="EM75" i="191" s="1"/>
  <c r="EN75" i="191" s="1"/>
  <c r="X35" i="191" s="1"/>
  <c r="CT75" i="191"/>
  <c r="EP75" i="191" s="1"/>
  <c r="CS75" i="191"/>
  <c r="DF75" i="191" s="1"/>
  <c r="CR75" i="191"/>
  <c r="CQ75" i="191"/>
  <c r="CP75" i="191"/>
  <c r="CO75" i="191"/>
  <c r="CN75" i="191"/>
  <c r="CM75" i="191"/>
  <c r="CL75" i="191"/>
  <c r="EI75" i="191" s="1"/>
  <c r="CK75" i="191"/>
  <c r="CJ75" i="191"/>
  <c r="CI75" i="191"/>
  <c r="CH75" i="191"/>
  <c r="CG75" i="191"/>
  <c r="CF75" i="191"/>
  <c r="CE75" i="191"/>
  <c r="CD75" i="191"/>
  <c r="DC75" i="191" s="1"/>
  <c r="EV75" i="191" s="1"/>
  <c r="CC75" i="191"/>
  <c r="EE75" i="191" s="1"/>
  <c r="EG75" i="191" s="1"/>
  <c r="DL75" i="191" s="1"/>
  <c r="CB75" i="191"/>
  <c r="GI74" i="191"/>
  <c r="BD34" i="191" s="1"/>
  <c r="FI74" i="191" s="1"/>
  <c r="GH74" i="191"/>
  <c r="BA34" i="191" s="1"/>
  <c r="GG74" i="191"/>
  <c r="AV34" i="191" s="1"/>
  <c r="FG74" i="191" s="1"/>
  <c r="GF74" i="191"/>
  <c r="AS34" i="191" s="1"/>
  <c r="GE74" i="191"/>
  <c r="AQ34" i="191" s="1"/>
  <c r="GD74" i="191"/>
  <c r="AP34" i="191" s="1"/>
  <c r="FM74" i="191"/>
  <c r="FE74" i="191"/>
  <c r="FC74" i="191"/>
  <c r="FB74" i="191"/>
  <c r="EX74" i="191"/>
  <c r="ET74" i="191"/>
  <c r="EP74" i="191"/>
  <c r="EQ74" i="191" s="1"/>
  <c r="ER74" i="191" s="1"/>
  <c r="ES74" i="191" s="1"/>
  <c r="Y34" i="191" s="1"/>
  <c r="EO74" i="191"/>
  <c r="ED74" i="191"/>
  <c r="EB74" i="191"/>
  <c r="EA74" i="191"/>
  <c r="DZ74" i="191"/>
  <c r="DJ74" i="191"/>
  <c r="DG74" i="191"/>
  <c r="DE74" i="191"/>
  <c r="DC74" i="191"/>
  <c r="DB74" i="191"/>
  <c r="DA74" i="191"/>
  <c r="CY74" i="191"/>
  <c r="CX74" i="191"/>
  <c r="CU74" i="191"/>
  <c r="CT74" i="191"/>
  <c r="CS74" i="191"/>
  <c r="DF74" i="191" s="1"/>
  <c r="CR74" i="191"/>
  <c r="CQ74" i="191"/>
  <c r="CP74" i="191"/>
  <c r="CO74" i="191"/>
  <c r="CN74" i="191"/>
  <c r="CM74" i="191"/>
  <c r="DH74" i="191" s="1"/>
  <c r="CL74" i="191"/>
  <c r="EU34" i="191" s="1"/>
  <c r="CK74" i="191"/>
  <c r="EK74" i="191" s="1"/>
  <c r="CJ74" i="191"/>
  <c r="CI74" i="191"/>
  <c r="CH74" i="191"/>
  <c r="CG74" i="191"/>
  <c r="CF74" i="191"/>
  <c r="FD74" i="191" s="1"/>
  <c r="CE74" i="191"/>
  <c r="CD74" i="191"/>
  <c r="CC74" i="191"/>
  <c r="EE74" i="191" s="1"/>
  <c r="EG74" i="191" s="1"/>
  <c r="DL74" i="191" s="1"/>
  <c r="CB74" i="191"/>
  <c r="GI73" i="191"/>
  <c r="BD33" i="191" s="1"/>
  <c r="FI73" i="191" s="1"/>
  <c r="GH73" i="191"/>
  <c r="AZ33" i="191" s="1"/>
  <c r="FH73" i="191" s="1"/>
  <c r="GG73" i="191"/>
  <c r="AW33" i="191" s="1"/>
  <c r="GF73" i="191"/>
  <c r="AR33" i="191" s="1"/>
  <c r="FF73" i="191" s="1"/>
  <c r="GE73" i="191"/>
  <c r="AQ33" i="191" s="1"/>
  <c r="GD73" i="191"/>
  <c r="AP33" i="191" s="1"/>
  <c r="FM73" i="191"/>
  <c r="EX73" i="191"/>
  <c r="EI73" i="191"/>
  <c r="ED73" i="191"/>
  <c r="EB73" i="191"/>
  <c r="EA73" i="191"/>
  <c r="DE73" i="191"/>
  <c r="DD73" i="191"/>
  <c r="G33" i="191" s="1"/>
  <c r="DC73" i="191"/>
  <c r="DA73" i="191"/>
  <c r="CY73" i="191"/>
  <c r="CW73" i="191"/>
  <c r="CU73" i="191"/>
  <c r="CT73" i="191"/>
  <c r="EP73" i="191" s="1"/>
  <c r="EQ73" i="191" s="1"/>
  <c r="ER73" i="191" s="1"/>
  <c r="ES73" i="191" s="1"/>
  <c r="Y33" i="191" s="1"/>
  <c r="CS73" i="191"/>
  <c r="DF73" i="191" s="1"/>
  <c r="CR73" i="191"/>
  <c r="CQ73" i="191"/>
  <c r="CP73" i="191"/>
  <c r="FC73" i="191" s="1"/>
  <c r="CO73" i="191"/>
  <c r="CN73" i="191"/>
  <c r="CM73" i="191"/>
  <c r="CL73" i="191"/>
  <c r="EH73" i="191" s="1"/>
  <c r="EJ73" i="191" s="1"/>
  <c r="DS73" i="191" s="1"/>
  <c r="CK73" i="191"/>
  <c r="EK73" i="191" s="1"/>
  <c r="CJ73" i="191"/>
  <c r="CI73" i="191"/>
  <c r="CH73" i="191"/>
  <c r="CG73" i="191"/>
  <c r="CF73" i="191"/>
  <c r="FD73" i="191" s="1"/>
  <c r="CE73" i="191"/>
  <c r="CD73" i="191"/>
  <c r="DB73" i="191" s="1"/>
  <c r="CC73" i="191"/>
  <c r="CB73" i="191"/>
  <c r="GI72" i="191"/>
  <c r="BD32" i="191" s="1"/>
  <c r="FI72" i="191" s="1"/>
  <c r="GH72" i="191"/>
  <c r="AZ32" i="191" s="1"/>
  <c r="FH72" i="191" s="1"/>
  <c r="GG72" i="191"/>
  <c r="AW32" i="191" s="1"/>
  <c r="GF72" i="191"/>
  <c r="AR32" i="191" s="1"/>
  <c r="FF72" i="191" s="1"/>
  <c r="GE72" i="191"/>
  <c r="AQ32" i="191" s="1"/>
  <c r="GD72" i="191"/>
  <c r="AP32" i="191" s="1"/>
  <c r="FM72" i="191"/>
  <c r="FD72" i="191"/>
  <c r="EX72" i="191"/>
  <c r="EO72" i="191"/>
  <c r="EK72" i="191"/>
  <c r="EI72" i="191"/>
  <c r="ED72" i="191"/>
  <c r="EB72" i="191"/>
  <c r="EA72" i="191"/>
  <c r="DG72" i="191"/>
  <c r="DE72" i="191"/>
  <c r="DC72" i="191"/>
  <c r="CY72" i="191"/>
  <c r="CX72" i="191"/>
  <c r="CW72" i="191"/>
  <c r="CU72" i="191"/>
  <c r="EU72" i="191" s="1"/>
  <c r="CT72" i="191"/>
  <c r="EP72" i="191" s="1"/>
  <c r="CS72" i="191"/>
  <c r="CR72" i="191"/>
  <c r="CQ72" i="191"/>
  <c r="CP72" i="191"/>
  <c r="FC72" i="191" s="1"/>
  <c r="CO72" i="191"/>
  <c r="FE72" i="191" s="1"/>
  <c r="CN72" i="191"/>
  <c r="CM72" i="191"/>
  <c r="CL72" i="191"/>
  <c r="EH72" i="191" s="1"/>
  <c r="EJ72" i="191" s="1"/>
  <c r="DS72" i="191" s="1"/>
  <c r="CK72" i="191"/>
  <c r="CJ72" i="191"/>
  <c r="CI72" i="191"/>
  <c r="CH72" i="191"/>
  <c r="CG72" i="191"/>
  <c r="DZ72" i="191" s="1"/>
  <c r="CF72" i="191"/>
  <c r="CE72" i="191"/>
  <c r="CD72" i="191"/>
  <c r="DD72" i="191" s="1"/>
  <c r="G32" i="191" s="1"/>
  <c r="CC72" i="191"/>
  <c r="EF72" i="191" s="1"/>
  <c r="CB72" i="191"/>
  <c r="GI71" i="191"/>
  <c r="BD31" i="191" s="1"/>
  <c r="FI71" i="191" s="1"/>
  <c r="GH71" i="191"/>
  <c r="AZ31" i="191" s="1"/>
  <c r="FH71" i="191" s="1"/>
  <c r="GG71" i="191"/>
  <c r="GF71" i="191"/>
  <c r="AR31" i="191" s="1"/>
  <c r="FF71" i="191" s="1"/>
  <c r="GE71" i="191"/>
  <c r="AQ31" i="191" s="1"/>
  <c r="GD71" i="191"/>
  <c r="AP31" i="191" s="1"/>
  <c r="FM71" i="191"/>
  <c r="FE71" i="191"/>
  <c r="FD71" i="191"/>
  <c r="FC71" i="191"/>
  <c r="EX71" i="191"/>
  <c r="EO71" i="191"/>
  <c r="ED71" i="191"/>
  <c r="EB71" i="191"/>
  <c r="EA71" i="191"/>
  <c r="DJ71" i="191"/>
  <c r="DI71" i="191"/>
  <c r="DH71" i="191"/>
  <c r="DG71" i="191"/>
  <c r="DE71" i="191"/>
  <c r="DD71" i="191"/>
  <c r="DA71" i="191"/>
  <c r="CY71" i="191"/>
  <c r="CW71" i="191"/>
  <c r="CV71" i="191"/>
  <c r="DK71" i="191" s="1"/>
  <c r="CU71" i="191"/>
  <c r="CT71" i="191"/>
  <c r="EP71" i="191" s="1"/>
  <c r="CS71" i="191"/>
  <c r="DF71" i="191" s="1"/>
  <c r="CR71" i="191"/>
  <c r="CQ71" i="191"/>
  <c r="CP71" i="191"/>
  <c r="CO71" i="191"/>
  <c r="CN71" i="191"/>
  <c r="CM71" i="191"/>
  <c r="CL71" i="191"/>
  <c r="EI71" i="191" s="1"/>
  <c r="CK71" i="191"/>
  <c r="EK71" i="191" s="1"/>
  <c r="CJ71" i="191"/>
  <c r="CI71" i="191"/>
  <c r="CH71" i="191"/>
  <c r="CG71" i="191"/>
  <c r="CF71" i="191"/>
  <c r="CE71" i="191"/>
  <c r="CD71" i="191"/>
  <c r="DC71" i="191" s="1"/>
  <c r="EV71" i="191" s="1"/>
  <c r="CC71" i="191"/>
  <c r="ET31" i="191" s="1"/>
  <c r="CB71" i="191"/>
  <c r="GI70" i="191"/>
  <c r="GH70" i="191"/>
  <c r="BA30" i="191" s="1"/>
  <c r="GG70" i="191"/>
  <c r="AW30" i="191" s="1"/>
  <c r="GF70" i="191"/>
  <c r="AS30" i="191" s="1"/>
  <c r="GE70" i="191"/>
  <c r="AQ30" i="191" s="1"/>
  <c r="GD70" i="191"/>
  <c r="AP30" i="191" s="1"/>
  <c r="FM70" i="191"/>
  <c r="FE70" i="191"/>
  <c r="FC70" i="191"/>
  <c r="FB70" i="191"/>
  <c r="EX70" i="191"/>
  <c r="ET70" i="191"/>
  <c r="EP70" i="191"/>
  <c r="EQ70" i="191" s="1"/>
  <c r="ER70" i="191" s="1"/>
  <c r="ES70" i="191" s="1"/>
  <c r="Y30" i="191" s="1"/>
  <c r="EO70" i="191"/>
  <c r="EM70" i="191"/>
  <c r="ED70" i="191"/>
  <c r="EB70" i="191"/>
  <c r="EA70" i="191"/>
  <c r="DZ70" i="191"/>
  <c r="DJ70" i="191"/>
  <c r="DG70" i="191"/>
  <c r="DE70" i="191"/>
  <c r="DB70" i="191"/>
  <c r="DA70" i="191"/>
  <c r="CY70" i="191"/>
  <c r="CX70" i="191"/>
  <c r="CU70" i="191"/>
  <c r="EL70" i="191" s="1"/>
  <c r="CT70" i="191"/>
  <c r="CS70" i="191"/>
  <c r="CR70" i="191"/>
  <c r="CQ70" i="191"/>
  <c r="CP70" i="191"/>
  <c r="CO70" i="191"/>
  <c r="CN70" i="191"/>
  <c r="CM70" i="191"/>
  <c r="DH70" i="191" s="1"/>
  <c r="CL70" i="191"/>
  <c r="EU30" i="191" s="1"/>
  <c r="CK70" i="191"/>
  <c r="EK70" i="191" s="1"/>
  <c r="CJ70" i="191"/>
  <c r="CI70" i="191"/>
  <c r="CH70" i="191"/>
  <c r="CG70" i="191"/>
  <c r="CF70" i="191"/>
  <c r="FD70" i="191" s="1"/>
  <c r="CE70" i="191"/>
  <c r="CD70" i="191"/>
  <c r="DC70" i="191" s="1"/>
  <c r="CC70" i="191"/>
  <c r="EE70" i="191" s="1"/>
  <c r="EG70" i="191" s="1"/>
  <c r="DL70" i="191" s="1"/>
  <c r="CB70" i="191"/>
  <c r="GI69" i="191"/>
  <c r="BD29" i="191" s="1"/>
  <c r="FI69" i="191" s="1"/>
  <c r="GH69" i="191"/>
  <c r="BA29" i="191" s="1"/>
  <c r="GG69" i="191"/>
  <c r="AW29" i="191" s="1"/>
  <c r="GF69" i="191"/>
  <c r="GE69" i="191"/>
  <c r="GD69" i="191"/>
  <c r="AP29" i="191" s="1"/>
  <c r="FM69" i="191"/>
  <c r="EX69" i="191"/>
  <c r="EQ69" i="191"/>
  <c r="ER69" i="191" s="1"/>
  <c r="ES69" i="191" s="1"/>
  <c r="Y29" i="191" s="1"/>
  <c r="EK69" i="191"/>
  <c r="EI69" i="191"/>
  <c r="ED69" i="191"/>
  <c r="EB69" i="191"/>
  <c r="EA69" i="191"/>
  <c r="DE69" i="191"/>
  <c r="DD69" i="191"/>
  <c r="DC69" i="191"/>
  <c r="DA69" i="191"/>
  <c r="CY69" i="191"/>
  <c r="CW69" i="191"/>
  <c r="CU69" i="191"/>
  <c r="CT69" i="191"/>
  <c r="EP69" i="191" s="1"/>
  <c r="CS69" i="191"/>
  <c r="CR69" i="191"/>
  <c r="CQ69" i="191"/>
  <c r="CP69" i="191"/>
  <c r="FC69" i="191" s="1"/>
  <c r="CO69" i="191"/>
  <c r="FE69" i="191" s="1"/>
  <c r="CN69" i="191"/>
  <c r="CM69" i="191"/>
  <c r="CL69" i="191"/>
  <c r="EH69" i="191" s="1"/>
  <c r="EJ69" i="191" s="1"/>
  <c r="DS69" i="191" s="1"/>
  <c r="CK69" i="191"/>
  <c r="CJ69" i="191"/>
  <c r="CI69" i="191"/>
  <c r="CH69" i="191"/>
  <c r="CG69" i="191"/>
  <c r="CF69" i="191"/>
  <c r="FD69" i="191" s="1"/>
  <c r="CE69" i="191"/>
  <c r="CD69" i="191"/>
  <c r="DB69" i="191" s="1"/>
  <c r="CC69" i="191"/>
  <c r="CB69" i="191"/>
  <c r="GI68" i="191"/>
  <c r="BD28" i="191" s="1"/>
  <c r="FI68" i="191" s="1"/>
  <c r="GH68" i="191"/>
  <c r="AZ28" i="191" s="1"/>
  <c r="FH68" i="191" s="1"/>
  <c r="GG68" i="191"/>
  <c r="AW28" i="191" s="1"/>
  <c r="GF68" i="191"/>
  <c r="GE68" i="191"/>
  <c r="GD68" i="191"/>
  <c r="AP28" i="191" s="1"/>
  <c r="FM68" i="191"/>
  <c r="FF68" i="191"/>
  <c r="FD68" i="191"/>
  <c r="EX68" i="191"/>
  <c r="EU68" i="191"/>
  <c r="EO68" i="191"/>
  <c r="EK68" i="191"/>
  <c r="EI68" i="191"/>
  <c r="EF68" i="191"/>
  <c r="EE68" i="191"/>
  <c r="EG68" i="191" s="1"/>
  <c r="DL68" i="191" s="1"/>
  <c r="DN68" i="191" s="1"/>
  <c r="ED68" i="191"/>
  <c r="EB68" i="191"/>
  <c r="EA68" i="191"/>
  <c r="DM68" i="191"/>
  <c r="DQ68" i="191" s="1"/>
  <c r="DG68" i="191"/>
  <c r="DF68" i="191"/>
  <c r="DE68" i="191"/>
  <c r="DC68" i="191"/>
  <c r="CY68" i="191"/>
  <c r="CW68" i="191"/>
  <c r="CU68" i="191"/>
  <c r="EQ68" i="191" s="1"/>
  <c r="ER68" i="191" s="1"/>
  <c r="ES68" i="191" s="1"/>
  <c r="CT68" i="191"/>
  <c r="EP68" i="191" s="1"/>
  <c r="CS68" i="191"/>
  <c r="CR68" i="191"/>
  <c r="CQ68" i="191"/>
  <c r="CP68" i="191"/>
  <c r="FC68" i="191" s="1"/>
  <c r="CO68" i="191"/>
  <c r="FE68" i="191" s="1"/>
  <c r="CN68" i="191"/>
  <c r="CM68" i="191"/>
  <c r="CL68" i="191"/>
  <c r="EH68" i="191" s="1"/>
  <c r="EJ68" i="191" s="1"/>
  <c r="DS68" i="191" s="1"/>
  <c r="CK68" i="191"/>
  <c r="CJ68" i="191"/>
  <c r="CI68" i="191"/>
  <c r="CH68" i="191"/>
  <c r="CG68" i="191"/>
  <c r="DZ68" i="191" s="1"/>
  <c r="CF68" i="191"/>
  <c r="CE68" i="191"/>
  <c r="CD68" i="191"/>
  <c r="DD68" i="191" s="1"/>
  <c r="I28" i="191" s="1"/>
  <c r="BS28" i="191" s="1"/>
  <c r="BT28" i="191" s="1"/>
  <c r="CC68" i="191"/>
  <c r="CB68" i="191"/>
  <c r="GI67" i="191"/>
  <c r="BE27" i="191" s="1"/>
  <c r="GH67" i="191"/>
  <c r="AZ27" i="191" s="1"/>
  <c r="FH67" i="191" s="1"/>
  <c r="GG67" i="191"/>
  <c r="GF67" i="191"/>
  <c r="GE67" i="191"/>
  <c r="GD67" i="191"/>
  <c r="AP27" i="191" s="1"/>
  <c r="FM67" i="191"/>
  <c r="FF67" i="191"/>
  <c r="GI66" i="191"/>
  <c r="BD26" i="191" s="1"/>
  <c r="FI66" i="191" s="1"/>
  <c r="GH66" i="191"/>
  <c r="GG66" i="191"/>
  <c r="AV26" i="191" s="1"/>
  <c r="FG66" i="191" s="1"/>
  <c r="GF66" i="191"/>
  <c r="AR26" i="191" s="1"/>
  <c r="FF66" i="191" s="1"/>
  <c r="GE66" i="191"/>
  <c r="GD66" i="191"/>
  <c r="FM66" i="191"/>
  <c r="GI65" i="191"/>
  <c r="GH65" i="191"/>
  <c r="AZ25" i="191" s="1"/>
  <c r="FH65" i="191" s="1"/>
  <c r="GG65" i="191"/>
  <c r="GF65" i="191"/>
  <c r="AR25" i="191" s="1"/>
  <c r="FF65" i="191" s="1"/>
  <c r="GE65" i="191"/>
  <c r="GD65" i="191"/>
  <c r="FM65" i="191"/>
  <c r="GI64" i="191"/>
  <c r="GH64" i="191"/>
  <c r="AZ24" i="191" s="1"/>
  <c r="FH64" i="191" s="1"/>
  <c r="GG64" i="191"/>
  <c r="GF64" i="191"/>
  <c r="AR24" i="191" s="1"/>
  <c r="FF64" i="191" s="1"/>
  <c r="GE64" i="191"/>
  <c r="GD64" i="191"/>
  <c r="FM64" i="191"/>
  <c r="GI63" i="191"/>
  <c r="BE23" i="191" s="1"/>
  <c r="GH63" i="191"/>
  <c r="BA23" i="191" s="1"/>
  <c r="GG63" i="191"/>
  <c r="AW23" i="191" s="1"/>
  <c r="GF63" i="191"/>
  <c r="GE63" i="191"/>
  <c r="GD63" i="191"/>
  <c r="AP23" i="191" s="1"/>
  <c r="FM63" i="191"/>
  <c r="FF63" i="191"/>
  <c r="GI62" i="191"/>
  <c r="BD22" i="191" s="1"/>
  <c r="FI62" i="191" s="1"/>
  <c r="GH62" i="191"/>
  <c r="BA22" i="191" s="1"/>
  <c r="GG62" i="191"/>
  <c r="AV22" i="191" s="1"/>
  <c r="FG62" i="191" s="1"/>
  <c r="GF62" i="191"/>
  <c r="GE62" i="191"/>
  <c r="GD62" i="191"/>
  <c r="AP22" i="191" s="1"/>
  <c r="FM62" i="191"/>
  <c r="FF62" i="191"/>
  <c r="GI61" i="191"/>
  <c r="GH61" i="191"/>
  <c r="BA21" i="191" s="1"/>
  <c r="GG61" i="191"/>
  <c r="GF61" i="191"/>
  <c r="GE61" i="191"/>
  <c r="GD61" i="191"/>
  <c r="AP21" i="191" s="1"/>
  <c r="FM61" i="191"/>
  <c r="FF61" i="191"/>
  <c r="GI60" i="191"/>
  <c r="GH60" i="191"/>
  <c r="AZ20" i="191" s="1"/>
  <c r="FH60" i="191" s="1"/>
  <c r="GG60" i="191"/>
  <c r="GF60" i="191"/>
  <c r="GE60" i="191"/>
  <c r="GD60" i="191"/>
  <c r="AP20" i="191" s="1"/>
  <c r="FM60" i="191"/>
  <c r="FF60" i="191"/>
  <c r="GI59" i="191"/>
  <c r="BD19" i="191" s="1"/>
  <c r="FI59" i="191" s="1"/>
  <c r="GH59" i="191"/>
  <c r="AZ19" i="191" s="1"/>
  <c r="FH59" i="191" s="1"/>
  <c r="GG59" i="191"/>
  <c r="AV19" i="191" s="1"/>
  <c r="FG59" i="191" s="1"/>
  <c r="GF59" i="191"/>
  <c r="GE59" i="191"/>
  <c r="AQ19" i="191" s="1"/>
  <c r="GD59" i="191"/>
  <c r="AP19" i="191" s="1"/>
  <c r="FM59" i="191"/>
  <c r="FF59" i="191"/>
  <c r="GI58" i="191"/>
  <c r="BD18" i="191" s="1"/>
  <c r="FI58" i="191" s="1"/>
  <c r="GH58" i="191"/>
  <c r="BA18" i="191" s="1"/>
  <c r="GG58" i="191"/>
  <c r="AV18" i="191" s="1"/>
  <c r="FG58" i="191" s="1"/>
  <c r="GF58" i="191"/>
  <c r="AS18" i="191" s="1"/>
  <c r="GE58" i="191"/>
  <c r="GD58" i="191"/>
  <c r="AP18" i="191" s="1"/>
  <c r="FM58" i="191"/>
  <c r="GI57" i="191"/>
  <c r="BD17" i="191" s="1"/>
  <c r="FI57" i="191" s="1"/>
  <c r="GH57" i="191"/>
  <c r="BA17" i="191" s="1"/>
  <c r="GG57" i="191"/>
  <c r="AV17" i="191" s="1"/>
  <c r="FG57" i="191" s="1"/>
  <c r="GF57" i="191"/>
  <c r="AS17" i="191" s="1"/>
  <c r="GE57" i="191"/>
  <c r="GD57" i="191"/>
  <c r="FM57" i="191"/>
  <c r="GI56" i="191"/>
  <c r="GH56" i="191"/>
  <c r="BA16" i="191" s="1"/>
  <c r="GG56" i="191"/>
  <c r="GF56" i="191"/>
  <c r="AR16" i="191" s="1"/>
  <c r="FF56" i="191" s="1"/>
  <c r="GE56" i="191"/>
  <c r="GD56" i="191"/>
  <c r="FM56" i="191"/>
  <c r="GI55" i="191"/>
  <c r="GH55" i="191"/>
  <c r="BA15" i="191" s="1"/>
  <c r="GG55" i="191"/>
  <c r="GF55" i="191"/>
  <c r="AR15" i="191" s="1"/>
  <c r="FF55" i="191" s="1"/>
  <c r="GE55" i="191"/>
  <c r="GD55" i="191"/>
  <c r="FM55" i="191"/>
  <c r="FK55" i="191"/>
  <c r="FJ55" i="191" s="1"/>
  <c r="GI54" i="191"/>
  <c r="BE14" i="191" s="1"/>
  <c r="GH54" i="191"/>
  <c r="BA14" i="191" s="1"/>
  <c r="GG54" i="191"/>
  <c r="AW14" i="191" s="1"/>
  <c r="GF54" i="191"/>
  <c r="AS14" i="191" s="1"/>
  <c r="GE54" i="191"/>
  <c r="GD54" i="191"/>
  <c r="AP14" i="191" s="1"/>
  <c r="GB54" i="191"/>
  <c r="GA54" i="191"/>
  <c r="FY54" i="191"/>
  <c r="FZ54" i="191" s="1"/>
  <c r="FX54" i="191"/>
  <c r="FW54" i="191"/>
  <c r="FV54" i="191" s="1"/>
  <c r="FU54" i="191"/>
  <c r="FT54" i="191"/>
  <c r="FS54" i="191"/>
  <c r="FR54" i="191" s="1"/>
  <c r="FS55" i="191" s="1"/>
  <c r="FQ54" i="191"/>
  <c r="FP54" i="191"/>
  <c r="FO54" i="191"/>
  <c r="FN54" i="191"/>
  <c r="FM54" i="191"/>
  <c r="FK54" i="191"/>
  <c r="IC48" i="191"/>
  <c r="IB48" i="191"/>
  <c r="IA48" i="191"/>
  <c r="HY48" i="191"/>
  <c r="HP48" i="191"/>
  <c r="HO48" i="191"/>
  <c r="HN48" i="191"/>
  <c r="HM48" i="191"/>
  <c r="HL48" i="191"/>
  <c r="HK48" i="191"/>
  <c r="HJ48" i="191"/>
  <c r="HI48" i="191"/>
  <c r="HH48" i="191"/>
  <c r="HG48" i="191"/>
  <c r="HF48" i="191"/>
  <c r="HE48" i="191"/>
  <c r="HD48" i="191"/>
  <c r="HC48" i="191"/>
  <c r="HB48" i="191"/>
  <c r="HA48" i="191"/>
  <c r="GZ48" i="191"/>
  <c r="GY48" i="191"/>
  <c r="GX48" i="191"/>
  <c r="GW48" i="191"/>
  <c r="GV48" i="191"/>
  <c r="GU48" i="191"/>
  <c r="GT48" i="191"/>
  <c r="GS48" i="191"/>
  <c r="GR48" i="191"/>
  <c r="GF48" i="191"/>
  <c r="GE48" i="191" s="1"/>
  <c r="GF45" i="191"/>
  <c r="GA45" i="191" s="1"/>
  <c r="EZ45" i="191"/>
  <c r="EU45" i="191"/>
  <c r="ES45" i="191"/>
  <c r="ER45" i="191"/>
  <c r="EO45" i="191" s="1"/>
  <c r="EQ45" i="191"/>
  <c r="EP45" i="191"/>
  <c r="BZ45" i="191"/>
  <c r="BQ45" i="191"/>
  <c r="BP45" i="191"/>
  <c r="BO45" i="191"/>
  <c r="BM45" i="191"/>
  <c r="BR45" i="191" s="1"/>
  <c r="BK45" i="191"/>
  <c r="BG45" i="191"/>
  <c r="BF45" i="191"/>
  <c r="BC45" i="191"/>
  <c r="BB45" i="191"/>
  <c r="AY45" i="191"/>
  <c r="AX45" i="191"/>
  <c r="AU45" i="191"/>
  <c r="AT45" i="191"/>
  <c r="AO45" i="191"/>
  <c r="AN45" i="191"/>
  <c r="AM45" i="191"/>
  <c r="AL45" i="191"/>
  <c r="AK45" i="191"/>
  <c r="AC45" i="191"/>
  <c r="AB45" i="191"/>
  <c r="EY45" i="191" s="1"/>
  <c r="AA45" i="191"/>
  <c r="Q45" i="191"/>
  <c r="F45" i="191"/>
  <c r="C45" i="191"/>
  <c r="BN45" i="191" s="1"/>
  <c r="A45" i="191"/>
  <c r="EY44" i="191"/>
  <c r="ES44" i="191"/>
  <c r="ER44" i="191"/>
  <c r="EQ44" i="191"/>
  <c r="EP44" i="191"/>
  <c r="BZ44" i="191"/>
  <c r="BQ44" i="191"/>
  <c r="BP44" i="191"/>
  <c r="BN44" i="191"/>
  <c r="BR44" i="191" s="1"/>
  <c r="BM44" i="191"/>
  <c r="BK44" i="191"/>
  <c r="BG44" i="191"/>
  <c r="BF44" i="191"/>
  <c r="BC44" i="191"/>
  <c r="BB44" i="191"/>
  <c r="AY44" i="191"/>
  <c r="AX44" i="191"/>
  <c r="AU44" i="191"/>
  <c r="AT44" i="191"/>
  <c r="AO44" i="191"/>
  <c r="AN44" i="191"/>
  <c r="AM44" i="191"/>
  <c r="AL44" i="191"/>
  <c r="AK44" i="191"/>
  <c r="AC44" i="191"/>
  <c r="AB44" i="191"/>
  <c r="FQ44" i="191" s="1"/>
  <c r="AA44" i="191"/>
  <c r="P44" i="191"/>
  <c r="F44" i="191"/>
  <c r="C44" i="191"/>
  <c r="BO44" i="191" s="1"/>
  <c r="B48" i="191"/>
  <c r="X24" i="191" s="1"/>
  <c r="A44" i="191"/>
  <c r="FQ37" i="191" s="1"/>
  <c r="GL43" i="191"/>
  <c r="GK43" i="191"/>
  <c r="GF43" i="191"/>
  <c r="FO43" i="191"/>
  <c r="EZ43" i="191"/>
  <c r="EY43" i="191"/>
  <c r="EU43" i="191"/>
  <c r="ES43" i="191"/>
  <c r="ER43" i="191"/>
  <c r="EO43" i="191" s="1"/>
  <c r="EQ43" i="191"/>
  <c r="EP43" i="191"/>
  <c r="BZ43" i="191"/>
  <c r="BU43" i="191"/>
  <c r="BV43" i="191" s="1"/>
  <c r="BR43" i="191"/>
  <c r="BQ43" i="191"/>
  <c r="BP43" i="191"/>
  <c r="BN43" i="191"/>
  <c r="BO43" i="191" s="1"/>
  <c r="BM43" i="191"/>
  <c r="BK43" i="191"/>
  <c r="BJ43" i="191"/>
  <c r="BG43" i="191"/>
  <c r="BF43" i="191"/>
  <c r="BC43" i="191"/>
  <c r="BB43" i="191"/>
  <c r="AY43" i="191"/>
  <c r="AX43" i="191"/>
  <c r="AU43" i="191"/>
  <c r="AT43" i="191"/>
  <c r="AQ43" i="191"/>
  <c r="AO43" i="191"/>
  <c r="AN43" i="191"/>
  <c r="AM43" i="191"/>
  <c r="AL43" i="191"/>
  <c r="AK43" i="191"/>
  <c r="AC43" i="191"/>
  <c r="AB43" i="191"/>
  <c r="AA43" i="191"/>
  <c r="GK42" i="191"/>
  <c r="GF42" i="191"/>
  <c r="FO42" i="191"/>
  <c r="EZ42" i="191"/>
  <c r="EY42" i="191"/>
  <c r="ES42" i="191"/>
  <c r="ER42" i="191"/>
  <c r="EO42" i="191" s="1"/>
  <c r="EQ42" i="191"/>
  <c r="EP42" i="191"/>
  <c r="BZ42" i="191"/>
  <c r="BU42" i="191"/>
  <c r="BV42" i="191" s="1"/>
  <c r="BS42" i="191"/>
  <c r="BT42" i="191" s="1"/>
  <c r="BQ42" i="191"/>
  <c r="BP42" i="191"/>
  <c r="BN42" i="191"/>
  <c r="BO42" i="191" s="1"/>
  <c r="BJ42" i="191"/>
  <c r="BG42" i="191"/>
  <c r="BF42" i="191"/>
  <c r="BC42" i="191"/>
  <c r="BB42" i="191"/>
  <c r="AY42" i="191"/>
  <c r="AX42" i="191"/>
  <c r="AU42" i="191"/>
  <c r="AT42" i="191"/>
  <c r="AO42" i="191"/>
  <c r="AN42" i="191"/>
  <c r="AM42" i="191"/>
  <c r="AL42" i="191"/>
  <c r="AK42" i="191"/>
  <c r="AC42" i="191"/>
  <c r="AB42" i="191"/>
  <c r="AA42" i="191"/>
  <c r="GK41" i="191"/>
  <c r="GF41" i="191"/>
  <c r="FO41" i="191"/>
  <c r="EU41" i="191"/>
  <c r="ES41" i="191"/>
  <c r="ER41" i="191"/>
  <c r="EO41" i="191" s="1"/>
  <c r="EQ41" i="191"/>
  <c r="EP41" i="191"/>
  <c r="BU41" i="191"/>
  <c r="BV41" i="191" s="1"/>
  <c r="BS41" i="191"/>
  <c r="BT41" i="191" s="1"/>
  <c r="BQ41" i="191"/>
  <c r="BP41" i="191"/>
  <c r="BN41" i="191"/>
  <c r="BO41" i="191" s="1"/>
  <c r="FA81" i="191" s="1"/>
  <c r="EY81" i="191" s="1"/>
  <c r="BM41" i="191"/>
  <c r="BK41" i="191"/>
  <c r="BJ41" i="191"/>
  <c r="BG41" i="191"/>
  <c r="BF41" i="191"/>
  <c r="BC41" i="191"/>
  <c r="BB41" i="191"/>
  <c r="AY41" i="191"/>
  <c r="AX41" i="191"/>
  <c r="AU41" i="191"/>
  <c r="AT41" i="191"/>
  <c r="AO41" i="191"/>
  <c r="AN41" i="191"/>
  <c r="AM41" i="191"/>
  <c r="AL41" i="191"/>
  <c r="AK41" i="191"/>
  <c r="AC41" i="191"/>
  <c r="AB41" i="191"/>
  <c r="AA41" i="191"/>
  <c r="GL40" i="191"/>
  <c r="GK40" i="191"/>
  <c r="GM40" i="191" s="1"/>
  <c r="GF40" i="191"/>
  <c r="FO40" i="191"/>
  <c r="EY40" i="191"/>
  <c r="ES40" i="191"/>
  <c r="ER40" i="191"/>
  <c r="EQ40" i="191"/>
  <c r="EP40" i="191"/>
  <c r="BZ40" i="191"/>
  <c r="BV40" i="191"/>
  <c r="BU40" i="191"/>
  <c r="BS40" i="191"/>
  <c r="BT40" i="191" s="1"/>
  <c r="BQ40" i="191"/>
  <c r="BP40" i="191"/>
  <c r="BN40" i="191"/>
  <c r="BK40" i="191"/>
  <c r="BJ40" i="191"/>
  <c r="BG40" i="191"/>
  <c r="BF40" i="191"/>
  <c r="BE40" i="191"/>
  <c r="BC40" i="191"/>
  <c r="BB40" i="191"/>
  <c r="AY40" i="191"/>
  <c r="AX40" i="191"/>
  <c r="AU40" i="191"/>
  <c r="AT40" i="191"/>
  <c r="AO40" i="191"/>
  <c r="AN40" i="191"/>
  <c r="AM40" i="191"/>
  <c r="AL40" i="191"/>
  <c r="AK40" i="191"/>
  <c r="AC40" i="191"/>
  <c r="AB40" i="191"/>
  <c r="AA40" i="191"/>
  <c r="GM39" i="191"/>
  <c r="GL39" i="191"/>
  <c r="GK39" i="191"/>
  <c r="GF39" i="191"/>
  <c r="FO39" i="191"/>
  <c r="EZ39" i="191"/>
  <c r="EY39" i="191"/>
  <c r="ES39" i="191"/>
  <c r="ER39" i="191"/>
  <c r="EO39" i="191" s="1"/>
  <c r="EQ39" i="191"/>
  <c r="EP39" i="191"/>
  <c r="BZ39" i="191"/>
  <c r="BV39" i="191"/>
  <c r="BU39" i="191"/>
  <c r="BS39" i="191"/>
  <c r="BT39" i="191" s="1"/>
  <c r="BQ39" i="191"/>
  <c r="BP39" i="191"/>
  <c r="BN39" i="191"/>
  <c r="BM39" i="191" s="1"/>
  <c r="BJ39" i="191"/>
  <c r="BG39" i="191"/>
  <c r="BF39" i="191"/>
  <c r="BC39" i="191"/>
  <c r="BB39" i="191"/>
  <c r="AY39" i="191"/>
  <c r="AX39" i="191"/>
  <c r="AU39" i="191"/>
  <c r="AT39" i="191"/>
  <c r="AO39" i="191"/>
  <c r="AN39" i="191"/>
  <c r="AM39" i="191"/>
  <c r="AL39" i="191"/>
  <c r="AK39" i="191"/>
  <c r="AC39" i="191"/>
  <c r="AB39" i="191"/>
  <c r="AA39" i="191"/>
  <c r="GL38" i="191"/>
  <c r="GM38" i="191" s="1"/>
  <c r="GK38" i="191"/>
  <c r="GF38" i="191"/>
  <c r="FO38" i="191"/>
  <c r="EU38" i="191"/>
  <c r="ES38" i="191"/>
  <c r="ER38" i="191"/>
  <c r="EQ38" i="191"/>
  <c r="EP38" i="191"/>
  <c r="BZ38" i="191"/>
  <c r="BU38" i="191"/>
  <c r="BV38" i="191" s="1"/>
  <c r="BS38" i="191"/>
  <c r="BT38" i="191" s="1"/>
  <c r="BQ38" i="191"/>
  <c r="BP38" i="191"/>
  <c r="BO38" i="191"/>
  <c r="BN38" i="191"/>
  <c r="BM38" i="191"/>
  <c r="BK38" i="191"/>
  <c r="BJ38" i="191"/>
  <c r="BG38" i="191"/>
  <c r="BF38" i="191"/>
  <c r="BC38" i="191"/>
  <c r="BB38" i="191"/>
  <c r="AY38" i="191"/>
  <c r="AX38" i="191"/>
  <c r="AU38" i="191"/>
  <c r="AT38" i="191"/>
  <c r="AO38" i="191"/>
  <c r="AN38" i="191"/>
  <c r="AM38" i="191"/>
  <c r="AL38" i="191"/>
  <c r="AK38" i="191"/>
  <c r="AC38" i="191"/>
  <c r="AB38" i="191"/>
  <c r="AA38" i="191"/>
  <c r="GK37" i="191"/>
  <c r="GF37" i="191"/>
  <c r="FO37" i="191"/>
  <c r="EZ37" i="191"/>
  <c r="EY37" i="191"/>
  <c r="EU37" i="191"/>
  <c r="ES37" i="191"/>
  <c r="ER37" i="191"/>
  <c r="EO37" i="191" s="1"/>
  <c r="EQ37" i="191"/>
  <c r="EP37" i="191"/>
  <c r="BZ37" i="191"/>
  <c r="BV37" i="191"/>
  <c r="BU37" i="191"/>
  <c r="BT37" i="191"/>
  <c r="BS37" i="191"/>
  <c r="BQ37" i="191"/>
  <c r="BP37" i="191"/>
  <c r="FA77" i="191" s="1"/>
  <c r="EY77" i="191" s="1"/>
  <c r="BO37" i="191"/>
  <c r="BN37" i="191"/>
  <c r="BM37" i="191" s="1"/>
  <c r="BK37" i="191"/>
  <c r="BJ37" i="191"/>
  <c r="BG37" i="191"/>
  <c r="BF37" i="191"/>
  <c r="BC37" i="191"/>
  <c r="BB37" i="191"/>
  <c r="AY37" i="191"/>
  <c r="AX37" i="191"/>
  <c r="AU37" i="191"/>
  <c r="AT37" i="191"/>
  <c r="AO37" i="191"/>
  <c r="AN37" i="191"/>
  <c r="AM37" i="191"/>
  <c r="AL37" i="191"/>
  <c r="AK37" i="191"/>
  <c r="AC37" i="191"/>
  <c r="AB37" i="191"/>
  <c r="AA37" i="191"/>
  <c r="GK36" i="191"/>
  <c r="GF36" i="191"/>
  <c r="FO36" i="191"/>
  <c r="EZ36" i="191"/>
  <c r="EY36" i="191"/>
  <c r="EU36" i="191"/>
  <c r="ES36" i="191"/>
  <c r="ER36" i="191"/>
  <c r="EQ36" i="191"/>
  <c r="EP36" i="191"/>
  <c r="BZ36" i="191"/>
  <c r="BU36" i="191"/>
  <c r="BV36" i="191" s="1"/>
  <c r="BT36" i="191"/>
  <c r="BS36" i="191"/>
  <c r="BQ36" i="191"/>
  <c r="BP36" i="191"/>
  <c r="BN36" i="191"/>
  <c r="BO36" i="191" s="1"/>
  <c r="BM36" i="191"/>
  <c r="BR36" i="191" s="1"/>
  <c r="BK36" i="191"/>
  <c r="BJ36" i="191"/>
  <c r="BG36" i="191"/>
  <c r="BF36" i="191"/>
  <c r="BC36" i="191"/>
  <c r="BB36" i="191"/>
  <c r="AY36" i="191"/>
  <c r="AX36" i="191"/>
  <c r="AU36" i="191"/>
  <c r="AT36" i="191"/>
  <c r="AO36" i="191"/>
  <c r="AN36" i="191"/>
  <c r="AM36" i="191"/>
  <c r="AL36" i="191"/>
  <c r="AK36" i="191"/>
  <c r="AC36" i="191"/>
  <c r="AB36" i="191"/>
  <c r="AA36" i="191"/>
  <c r="GK35" i="191"/>
  <c r="GF35" i="191"/>
  <c r="FO35" i="191"/>
  <c r="EU35" i="191"/>
  <c r="ES35" i="191"/>
  <c r="ER35" i="191"/>
  <c r="EQ35" i="191"/>
  <c r="EP35" i="191"/>
  <c r="BZ35" i="191"/>
  <c r="BU35" i="191"/>
  <c r="BV35" i="191" s="1"/>
  <c r="BS35" i="191"/>
  <c r="BT35" i="191" s="1"/>
  <c r="BR35" i="191"/>
  <c r="BQ35" i="191"/>
  <c r="BP35" i="191"/>
  <c r="EZ75" i="191" s="1"/>
  <c r="BO35" i="191"/>
  <c r="BN35" i="191"/>
  <c r="BM35" i="191"/>
  <c r="BK35" i="191"/>
  <c r="BJ35" i="191"/>
  <c r="BG35" i="191"/>
  <c r="BF35" i="191"/>
  <c r="BC35" i="191"/>
  <c r="BB35" i="191"/>
  <c r="AY35" i="191"/>
  <c r="AX35" i="191"/>
  <c r="AU35" i="191"/>
  <c r="AT35" i="191"/>
  <c r="AO35" i="191"/>
  <c r="AN35" i="191"/>
  <c r="AM35" i="191"/>
  <c r="AL35" i="191"/>
  <c r="AK35" i="191"/>
  <c r="AC35" i="191"/>
  <c r="AB35" i="191"/>
  <c r="AA35" i="191"/>
  <c r="GK34" i="191"/>
  <c r="GF34" i="191"/>
  <c r="FO34" i="191"/>
  <c r="EY34" i="191"/>
  <c r="ES34" i="191"/>
  <c r="ER34" i="191"/>
  <c r="EO34" i="191" s="1"/>
  <c r="EQ34" i="191"/>
  <c r="EP34" i="191"/>
  <c r="BZ34" i="191"/>
  <c r="BV34" i="191"/>
  <c r="BU34" i="191"/>
  <c r="BS34" i="191"/>
  <c r="BT34" i="191" s="1"/>
  <c r="BQ34" i="191"/>
  <c r="BP34" i="191"/>
  <c r="BN34" i="191"/>
  <c r="BK34" i="191"/>
  <c r="BJ34" i="191"/>
  <c r="BG34" i="191"/>
  <c r="BF34" i="191"/>
  <c r="BC34" i="191"/>
  <c r="BB34" i="191"/>
  <c r="AY34" i="191"/>
  <c r="AX34" i="191"/>
  <c r="AU34" i="191"/>
  <c r="AT34" i="191"/>
  <c r="AO34" i="191"/>
  <c r="AN34" i="191"/>
  <c r="AM34" i="191"/>
  <c r="AL34" i="191"/>
  <c r="AK34" i="191"/>
  <c r="AC34" i="191"/>
  <c r="AB34" i="191"/>
  <c r="AA34" i="191"/>
  <c r="GK33" i="191"/>
  <c r="GF33" i="191"/>
  <c r="FO33" i="191"/>
  <c r="EZ33" i="191"/>
  <c r="EY33" i="191"/>
  <c r="EU33" i="191"/>
  <c r="ES33" i="191"/>
  <c r="ER33" i="191"/>
  <c r="EO33" i="191" s="1"/>
  <c r="EQ33" i="191"/>
  <c r="EP33" i="191"/>
  <c r="BZ33" i="191"/>
  <c r="BV33" i="191"/>
  <c r="BU33" i="191"/>
  <c r="BQ33" i="191"/>
  <c r="BP33" i="191"/>
  <c r="BN33" i="191"/>
  <c r="BM33" i="191" s="1"/>
  <c r="BK33" i="191"/>
  <c r="BJ33" i="191"/>
  <c r="BG33" i="191"/>
  <c r="BF33" i="191"/>
  <c r="BC33" i="191"/>
  <c r="BB33" i="191"/>
  <c r="AY33" i="191"/>
  <c r="AX33" i="191"/>
  <c r="AU33" i="191"/>
  <c r="AT33" i="191"/>
  <c r="AO33" i="191"/>
  <c r="AN33" i="191"/>
  <c r="AM33" i="191"/>
  <c r="AL33" i="191"/>
  <c r="AK33" i="191"/>
  <c r="AC33" i="191"/>
  <c r="AB33" i="191"/>
  <c r="AA33" i="191"/>
  <c r="GM32" i="191"/>
  <c r="GL32" i="191"/>
  <c r="GK32" i="191"/>
  <c r="GF32" i="191"/>
  <c r="FQ32" i="191"/>
  <c r="FO32" i="191"/>
  <c r="EZ32" i="191"/>
  <c r="EY32" i="191"/>
  <c r="EU32" i="191"/>
  <c r="ES32" i="191"/>
  <c r="ER32" i="191"/>
  <c r="EO32" i="191" s="1"/>
  <c r="EQ32" i="191"/>
  <c r="EP32" i="191"/>
  <c r="BZ32" i="191"/>
  <c r="BV32" i="191"/>
  <c r="BU32" i="191"/>
  <c r="BQ32" i="191"/>
  <c r="BP32" i="191"/>
  <c r="BN32" i="191"/>
  <c r="BM32" i="191" s="1"/>
  <c r="BK32" i="191"/>
  <c r="BJ32" i="191"/>
  <c r="BG32" i="191"/>
  <c r="BF32" i="191"/>
  <c r="BC32" i="191"/>
  <c r="BB32" i="191"/>
  <c r="AY32" i="191"/>
  <c r="AX32" i="191"/>
  <c r="AU32" i="191"/>
  <c r="AT32" i="191"/>
  <c r="AO32" i="191"/>
  <c r="AN32" i="191"/>
  <c r="AM32" i="191"/>
  <c r="AL32" i="191"/>
  <c r="AK32" i="191"/>
  <c r="AC32" i="191"/>
  <c r="AB32" i="191"/>
  <c r="AA32" i="191"/>
  <c r="GM31" i="191"/>
  <c r="GL31" i="191"/>
  <c r="GK31" i="191"/>
  <c r="GF31" i="191"/>
  <c r="FO31" i="191"/>
  <c r="EZ31" i="191"/>
  <c r="EY31" i="191"/>
  <c r="EU31" i="191"/>
  <c r="ES31" i="191"/>
  <c r="ER31" i="191"/>
  <c r="EO31" i="191" s="1"/>
  <c r="EQ31" i="191"/>
  <c r="EP31" i="191"/>
  <c r="BZ31" i="191"/>
  <c r="BV31" i="191"/>
  <c r="BU31" i="191"/>
  <c r="BT31" i="191"/>
  <c r="BS31" i="191"/>
  <c r="BQ31" i="191"/>
  <c r="BP31" i="191"/>
  <c r="FA71" i="191" s="1"/>
  <c r="EY71" i="191" s="1"/>
  <c r="BO31" i="191"/>
  <c r="BN31" i="191"/>
  <c r="BM31" i="191" s="1"/>
  <c r="BK31" i="191"/>
  <c r="BJ31" i="191"/>
  <c r="BG31" i="191"/>
  <c r="BF31" i="191"/>
  <c r="BC31" i="191"/>
  <c r="BB31" i="191"/>
  <c r="AY31" i="191"/>
  <c r="AX31" i="191"/>
  <c r="AU31" i="191"/>
  <c r="AT31" i="191"/>
  <c r="AO31" i="191"/>
  <c r="AN31" i="191"/>
  <c r="AM31" i="191"/>
  <c r="AL31" i="191"/>
  <c r="AK31" i="191"/>
  <c r="AC31" i="191"/>
  <c r="AB31" i="191"/>
  <c r="AA31" i="191"/>
  <c r="GL30" i="191"/>
  <c r="GK30" i="191"/>
  <c r="GM30" i="191" s="1"/>
  <c r="GF30" i="191"/>
  <c r="FQ30" i="191"/>
  <c r="FO30" i="191"/>
  <c r="EZ30" i="191"/>
  <c r="ES30" i="191"/>
  <c r="ER30" i="191"/>
  <c r="EO30" i="191" s="1"/>
  <c r="EQ30" i="191"/>
  <c r="EP30" i="191"/>
  <c r="BZ30" i="191"/>
  <c r="BV30" i="191"/>
  <c r="BU30" i="191"/>
  <c r="BS30" i="191"/>
  <c r="BT30" i="191" s="1"/>
  <c r="BQ30" i="191"/>
  <c r="BP30" i="191"/>
  <c r="BO30" i="191"/>
  <c r="BN30" i="191"/>
  <c r="BM30" i="191" s="1"/>
  <c r="BR30" i="191" s="1"/>
  <c r="BK30" i="191"/>
  <c r="BJ30" i="191"/>
  <c r="BG30" i="191"/>
  <c r="BF30" i="191"/>
  <c r="BC30" i="191"/>
  <c r="BB30" i="191"/>
  <c r="AY30" i="191"/>
  <c r="AX30" i="191"/>
  <c r="AU30" i="191"/>
  <c r="AT30" i="191"/>
  <c r="AO30" i="191"/>
  <c r="AN30" i="191"/>
  <c r="AM30" i="191"/>
  <c r="AL30" i="191"/>
  <c r="AK30" i="191"/>
  <c r="AC30" i="191"/>
  <c r="AB30" i="191"/>
  <c r="AA30" i="191"/>
  <c r="GM29" i="191"/>
  <c r="GL29" i="191"/>
  <c r="GK29" i="191"/>
  <c r="GF29" i="191"/>
  <c r="FQ29" i="191"/>
  <c r="FO29" i="191"/>
  <c r="FE29" i="191"/>
  <c r="FF29" i="191" s="1"/>
  <c r="FD29" i="191"/>
  <c r="FC29" i="191"/>
  <c r="EU29" i="191"/>
  <c r="ES29" i="191"/>
  <c r="ER29" i="191"/>
  <c r="EO29" i="191" s="1"/>
  <c r="EQ29" i="191"/>
  <c r="EP29" i="191"/>
  <c r="BZ29" i="191"/>
  <c r="BV29" i="191"/>
  <c r="BU29" i="191"/>
  <c r="BT29" i="191"/>
  <c r="BS29" i="191"/>
  <c r="BQ29" i="191"/>
  <c r="BP29" i="191"/>
  <c r="BN29" i="191"/>
  <c r="BM29" i="191" s="1"/>
  <c r="BK29" i="191"/>
  <c r="BJ29" i="191"/>
  <c r="BG29" i="191"/>
  <c r="BF29" i="191"/>
  <c r="BC29" i="191"/>
  <c r="BB29" i="191"/>
  <c r="AY29" i="191"/>
  <c r="AX29" i="191"/>
  <c r="AT29" i="191"/>
  <c r="AL29" i="191"/>
  <c r="AK29" i="191"/>
  <c r="AA29" i="191"/>
  <c r="GM28" i="191"/>
  <c r="GL28" i="191"/>
  <c r="GK28" i="191"/>
  <c r="GF28" i="191"/>
  <c r="FQ28" i="191"/>
  <c r="FO28" i="191"/>
  <c r="FE28" i="191"/>
  <c r="FF28" i="191" s="1"/>
  <c r="FD28" i="191"/>
  <c r="FC28" i="191"/>
  <c r="EU28" i="191"/>
  <c r="ET28" i="191"/>
  <c r="ES28" i="191"/>
  <c r="ER28" i="191"/>
  <c r="EQ28" i="191"/>
  <c r="EP28" i="191"/>
  <c r="EO28" i="191"/>
  <c r="BZ28" i="191"/>
  <c r="BV28" i="191"/>
  <c r="BU28" i="191"/>
  <c r="BQ28" i="191"/>
  <c r="BP28" i="191"/>
  <c r="BN28" i="191"/>
  <c r="BM28" i="191" s="1"/>
  <c r="BK28" i="191"/>
  <c r="BJ28" i="191"/>
  <c r="BG28" i="191"/>
  <c r="BF28" i="191"/>
  <c r="BC28" i="191"/>
  <c r="BB28" i="191"/>
  <c r="AY28" i="191"/>
  <c r="AX28" i="191"/>
  <c r="AT28" i="191"/>
  <c r="AL28" i="191"/>
  <c r="AK28" i="191"/>
  <c r="AA28" i="191"/>
  <c r="FQ27" i="191"/>
  <c r="FF27" i="191"/>
  <c r="FE27" i="191"/>
  <c r="FD27" i="191"/>
  <c r="FC27" i="191"/>
  <c r="BZ27" i="191"/>
  <c r="BG27" i="191"/>
  <c r="BF27" i="191"/>
  <c r="BC27" i="191"/>
  <c r="BB27" i="191"/>
  <c r="AY27" i="191"/>
  <c r="AX27" i="191"/>
  <c r="AT27" i="191"/>
  <c r="AL27" i="191"/>
  <c r="AK27" i="191"/>
  <c r="ID26" i="191"/>
  <c r="IB26" i="191"/>
  <c r="IA26" i="191"/>
  <c r="HX26" i="191"/>
  <c r="HW26" i="191"/>
  <c r="HV26" i="191"/>
  <c r="HT26" i="191"/>
  <c r="HS26" i="191"/>
  <c r="HP26" i="191"/>
  <c r="HO26" i="191"/>
  <c r="HN26" i="191"/>
  <c r="HL26" i="191"/>
  <c r="HK26" i="191"/>
  <c r="HH26" i="191"/>
  <c r="HG26" i="191"/>
  <c r="HF26" i="191"/>
  <c r="FQ26" i="191"/>
  <c r="FE26" i="191"/>
  <c r="FD26" i="191"/>
  <c r="FC26" i="191"/>
  <c r="FF26" i="191" s="1"/>
  <c r="BZ26" i="191"/>
  <c r="BG26" i="191"/>
  <c r="BF26" i="191"/>
  <c r="BC26" i="191"/>
  <c r="BB26" i="191"/>
  <c r="AY26" i="191"/>
  <c r="AX26" i="191"/>
  <c r="AU26" i="191"/>
  <c r="AT26" i="191"/>
  <c r="AL26" i="191"/>
  <c r="AK26" i="191"/>
  <c r="FQ25" i="191"/>
  <c r="FE25" i="191"/>
  <c r="FF25" i="191" s="1"/>
  <c r="FD25" i="191"/>
  <c r="FC25" i="191"/>
  <c r="BZ25" i="191"/>
  <c r="BG25" i="191"/>
  <c r="BF25" i="191"/>
  <c r="BC25" i="191"/>
  <c r="BB25" i="191"/>
  <c r="AY25" i="191"/>
  <c r="AX25" i="191"/>
  <c r="AU25" i="191"/>
  <c r="AT25" i="191"/>
  <c r="AL25" i="191"/>
  <c r="AK25" i="191"/>
  <c r="FQ24" i="191"/>
  <c r="FE24" i="191"/>
  <c r="FF24" i="191" s="1"/>
  <c r="FD24" i="191"/>
  <c r="FC24" i="191"/>
  <c r="BZ24" i="191"/>
  <c r="BG24" i="191"/>
  <c r="BF24" i="191"/>
  <c r="BC24" i="191"/>
  <c r="BB24" i="191"/>
  <c r="AY24" i="191"/>
  <c r="AX24" i="191"/>
  <c r="AU24" i="191"/>
  <c r="AT24" i="191"/>
  <c r="AL24" i="191"/>
  <c r="AK24" i="191"/>
  <c r="FQ23" i="191"/>
  <c r="FE23" i="191"/>
  <c r="FF23" i="191" s="1"/>
  <c r="FD23" i="191"/>
  <c r="FC23" i="191"/>
  <c r="BZ23" i="191"/>
  <c r="BG23" i="191"/>
  <c r="BF23" i="191"/>
  <c r="BC23" i="191"/>
  <c r="BB23" i="191"/>
  <c r="AY23" i="191"/>
  <c r="AX23" i="191"/>
  <c r="AT23" i="191"/>
  <c r="AL23" i="191"/>
  <c r="AK23" i="191"/>
  <c r="HC22" i="191"/>
  <c r="HD22" i="191" s="1"/>
  <c r="HE22" i="191" s="1"/>
  <c r="HF22" i="191" s="1"/>
  <c r="HG22" i="191" s="1"/>
  <c r="HH22" i="191" s="1"/>
  <c r="HI22" i="191" s="1"/>
  <c r="HJ22" i="191" s="1"/>
  <c r="HK22" i="191" s="1"/>
  <c r="HL22" i="191" s="1"/>
  <c r="HM22" i="191" s="1"/>
  <c r="HN22" i="191" s="1"/>
  <c r="HO22" i="191" s="1"/>
  <c r="HP22" i="191" s="1"/>
  <c r="HQ22" i="191" s="1"/>
  <c r="HR22" i="191" s="1"/>
  <c r="HS22" i="191" s="1"/>
  <c r="HT22" i="191" s="1"/>
  <c r="HU22" i="191" s="1"/>
  <c r="HV22" i="191" s="1"/>
  <c r="HW22" i="191" s="1"/>
  <c r="HX22" i="191" s="1"/>
  <c r="HY22" i="191" s="1"/>
  <c r="HZ22" i="191" s="1"/>
  <c r="IA22" i="191" s="1"/>
  <c r="IB22" i="191" s="1"/>
  <c r="HB22" i="191"/>
  <c r="FQ22" i="191"/>
  <c r="FE22" i="191"/>
  <c r="FF22" i="191" s="1"/>
  <c r="FD22" i="191"/>
  <c r="FC22" i="191"/>
  <c r="BZ22" i="191"/>
  <c r="BG22" i="191"/>
  <c r="BF22" i="191"/>
  <c r="BC22" i="191"/>
  <c r="BB22" i="191"/>
  <c r="AY22" i="191"/>
  <c r="AX22" i="191"/>
  <c r="AT22" i="191"/>
  <c r="AL22" i="191"/>
  <c r="AK22" i="191"/>
  <c r="HE21" i="191"/>
  <c r="HF21" i="191" s="1"/>
  <c r="HG21" i="191" s="1"/>
  <c r="HH21" i="191" s="1"/>
  <c r="HI21" i="191" s="1"/>
  <c r="HJ21" i="191" s="1"/>
  <c r="HK21" i="191" s="1"/>
  <c r="HL21" i="191" s="1"/>
  <c r="HM21" i="191" s="1"/>
  <c r="HN21" i="191" s="1"/>
  <c r="HO21" i="191" s="1"/>
  <c r="HP21" i="191" s="1"/>
  <c r="HQ21" i="191" s="1"/>
  <c r="HR21" i="191" s="1"/>
  <c r="HS21" i="191" s="1"/>
  <c r="HT21" i="191" s="1"/>
  <c r="HU21" i="191" s="1"/>
  <c r="HV21" i="191" s="1"/>
  <c r="HW21" i="191" s="1"/>
  <c r="HX21" i="191" s="1"/>
  <c r="HY21" i="191" s="1"/>
  <c r="HZ21" i="191" s="1"/>
  <c r="IA21" i="191" s="1"/>
  <c r="IB21" i="191" s="1"/>
  <c r="IC21" i="191" s="1"/>
  <c r="ID21" i="191" s="1"/>
  <c r="IF9" i="191" s="1"/>
  <c r="IG9" i="191" s="1"/>
  <c r="IH9" i="191" s="1"/>
  <c r="II9" i="191" s="1"/>
  <c r="IJ9" i="191" s="1"/>
  <c r="IK9" i="191" s="1"/>
  <c r="IL9" i="191" s="1"/>
  <c r="IM9" i="191" s="1"/>
  <c r="IN9" i="191" s="1"/>
  <c r="IO9" i="191" s="1"/>
  <c r="IP9" i="191" s="1"/>
  <c r="IQ9" i="191" s="1"/>
  <c r="IR9" i="191" s="1"/>
  <c r="IS9" i="191" s="1"/>
  <c r="IT9" i="191" s="1"/>
  <c r="IU9" i="191" s="1"/>
  <c r="IV9" i="191" s="1"/>
  <c r="IW9" i="191" s="1"/>
  <c r="IX9" i="191" s="1"/>
  <c r="IY9" i="191" s="1"/>
  <c r="IZ9" i="191" s="1"/>
  <c r="JA9" i="191" s="1"/>
  <c r="JB9" i="191" s="1"/>
  <c r="JC9" i="191" s="1"/>
  <c r="JD9" i="191" s="1"/>
  <c r="JE9" i="191" s="1"/>
  <c r="JF9" i="191" s="1"/>
  <c r="JG9" i="191" s="1"/>
  <c r="JH9" i="191" s="1"/>
  <c r="HC21" i="191"/>
  <c r="HD21" i="191" s="1"/>
  <c r="HB21" i="191"/>
  <c r="FQ21" i="191"/>
  <c r="FE21" i="191"/>
  <c r="FD21" i="191"/>
  <c r="FC21" i="191"/>
  <c r="BZ21" i="191"/>
  <c r="BG21" i="191"/>
  <c r="BF21" i="191"/>
  <c r="BC21" i="191"/>
  <c r="BB21" i="191"/>
  <c r="AX21" i="191"/>
  <c r="AT21" i="191"/>
  <c r="AL21" i="191"/>
  <c r="AK21" i="191"/>
  <c r="HE20" i="191"/>
  <c r="HF20" i="191" s="1"/>
  <c r="HG20" i="191" s="1"/>
  <c r="HH20" i="191" s="1"/>
  <c r="HI20" i="191" s="1"/>
  <c r="HJ20" i="191" s="1"/>
  <c r="HK20" i="191" s="1"/>
  <c r="HL20" i="191" s="1"/>
  <c r="HM20" i="191" s="1"/>
  <c r="HN20" i="191" s="1"/>
  <c r="HO20" i="191" s="1"/>
  <c r="HP20" i="191" s="1"/>
  <c r="HQ20" i="191" s="1"/>
  <c r="HR20" i="191" s="1"/>
  <c r="HS20" i="191" s="1"/>
  <c r="HT20" i="191" s="1"/>
  <c r="HU20" i="191" s="1"/>
  <c r="HV20" i="191" s="1"/>
  <c r="HW20" i="191" s="1"/>
  <c r="HX20" i="191" s="1"/>
  <c r="HY20" i="191" s="1"/>
  <c r="HZ20" i="191" s="1"/>
  <c r="HC20" i="191"/>
  <c r="HD20" i="191" s="1"/>
  <c r="HB20" i="191"/>
  <c r="FQ20" i="191"/>
  <c r="FE20" i="191"/>
  <c r="FD20" i="191"/>
  <c r="FC20" i="191"/>
  <c r="BZ20" i="191"/>
  <c r="BG20" i="191"/>
  <c r="BF20" i="191"/>
  <c r="BC20" i="191"/>
  <c r="BB20" i="191"/>
  <c r="AY20" i="191"/>
  <c r="AX20" i="191"/>
  <c r="AT20" i="191"/>
  <c r="AL20" i="191"/>
  <c r="AK20" i="191"/>
  <c r="HB19" i="191"/>
  <c r="HC19" i="191" s="1"/>
  <c r="HD19" i="191" s="1"/>
  <c r="HE19" i="191" s="1"/>
  <c r="HF19" i="191" s="1"/>
  <c r="HG19" i="191" s="1"/>
  <c r="HH19" i="191" s="1"/>
  <c r="HI19" i="191" s="1"/>
  <c r="HJ19" i="191" s="1"/>
  <c r="HK19" i="191" s="1"/>
  <c r="HL19" i="191" s="1"/>
  <c r="HM19" i="191" s="1"/>
  <c r="HN19" i="191" s="1"/>
  <c r="HO19" i="191" s="1"/>
  <c r="HP19" i="191" s="1"/>
  <c r="HQ19" i="191" s="1"/>
  <c r="HR19" i="191" s="1"/>
  <c r="HS19" i="191" s="1"/>
  <c r="HT19" i="191" s="1"/>
  <c r="HU19" i="191" s="1"/>
  <c r="HV19" i="191" s="1"/>
  <c r="HW19" i="191" s="1"/>
  <c r="HX19" i="191" s="1"/>
  <c r="HY19" i="191" s="1"/>
  <c r="HZ19" i="191" s="1"/>
  <c r="IA19" i="191" s="1"/>
  <c r="IB19" i="191" s="1"/>
  <c r="IC19" i="191" s="1"/>
  <c r="ID19" i="191" s="1"/>
  <c r="FQ19" i="191"/>
  <c r="FE19" i="191"/>
  <c r="FF19" i="191" s="1"/>
  <c r="FD19" i="191"/>
  <c r="FC19" i="191"/>
  <c r="BZ19" i="191"/>
  <c r="BG19" i="191"/>
  <c r="BF19" i="191"/>
  <c r="BC19" i="191"/>
  <c r="BB19" i="191"/>
  <c r="AY19" i="191"/>
  <c r="AX19" i="191"/>
  <c r="AT19" i="191"/>
  <c r="AL19" i="191"/>
  <c r="AK19" i="191"/>
  <c r="JL18" i="191"/>
  <c r="JL19" i="191" s="1"/>
  <c r="JL20" i="191" s="1"/>
  <c r="JL21" i="191" s="1"/>
  <c r="JL22" i="191" s="1"/>
  <c r="JL23" i="191" s="1"/>
  <c r="JL24" i="191" s="1"/>
  <c r="JL25" i="191" s="1"/>
  <c r="JL26" i="191" s="1"/>
  <c r="JL27" i="191" s="1"/>
  <c r="JL28" i="191" s="1"/>
  <c r="JL29" i="191" s="1"/>
  <c r="JL30" i="191" s="1"/>
  <c r="JL31" i="191" s="1"/>
  <c r="JL32" i="191" s="1"/>
  <c r="JL33" i="191" s="1"/>
  <c r="JL34" i="191" s="1"/>
  <c r="JL35" i="191" s="1"/>
  <c r="JL36" i="191" s="1"/>
  <c r="JL37" i="191" s="1"/>
  <c r="JL38" i="191" s="1"/>
  <c r="JL39" i="191" s="1"/>
  <c r="JL40" i="191" s="1"/>
  <c r="JL41" i="191" s="1"/>
  <c r="JL42" i="191" s="1"/>
  <c r="JL43" i="191" s="1"/>
  <c r="JL44" i="191" s="1"/>
  <c r="JL45" i="191" s="1"/>
  <c r="FQ18" i="191"/>
  <c r="FE18" i="191"/>
  <c r="FF18" i="191" s="1"/>
  <c r="FD18" i="191"/>
  <c r="FC18" i="191"/>
  <c r="BZ18" i="191"/>
  <c r="BG18" i="191"/>
  <c r="BF18" i="191"/>
  <c r="BC18" i="191"/>
  <c r="BB18" i="191"/>
  <c r="AY18" i="191"/>
  <c r="AX18" i="191"/>
  <c r="AU18" i="191"/>
  <c r="AT18" i="191"/>
  <c r="AL18" i="191"/>
  <c r="AK18" i="191"/>
  <c r="FQ17" i="191"/>
  <c r="FE17" i="191"/>
  <c r="FD17" i="191"/>
  <c r="FC17" i="191"/>
  <c r="FF17" i="191" s="1"/>
  <c r="BZ17" i="191"/>
  <c r="BG17" i="191"/>
  <c r="BF17" i="191"/>
  <c r="BC17" i="191"/>
  <c r="BB17" i="191"/>
  <c r="AY17" i="191"/>
  <c r="AX17" i="191"/>
  <c r="AU17" i="191"/>
  <c r="AT17" i="191"/>
  <c r="AL17" i="191"/>
  <c r="AK17" i="191"/>
  <c r="JL16" i="191"/>
  <c r="JL17" i="191" s="1"/>
  <c r="FQ16" i="191"/>
  <c r="FE16" i="191"/>
  <c r="FD16" i="191"/>
  <c r="FC16" i="191"/>
  <c r="BZ16" i="191"/>
  <c r="BG16" i="191"/>
  <c r="BF16" i="191"/>
  <c r="BC16" i="191"/>
  <c r="BB16" i="191"/>
  <c r="AY16" i="191"/>
  <c r="AX16" i="191"/>
  <c r="AU16" i="191"/>
  <c r="AT16" i="191"/>
  <c r="AL16" i="191"/>
  <c r="AK16" i="191"/>
  <c r="JL15" i="191"/>
  <c r="FQ15" i="191"/>
  <c r="FE15" i="191"/>
  <c r="FD15" i="191"/>
  <c r="FC15" i="191"/>
  <c r="BZ15" i="191"/>
  <c r="BG15" i="191"/>
  <c r="BF15" i="191"/>
  <c r="BC15" i="191"/>
  <c r="BB15" i="191"/>
  <c r="AY15" i="191"/>
  <c r="AX15" i="191"/>
  <c r="AU15" i="191"/>
  <c r="AT15" i="191"/>
  <c r="AL15" i="191"/>
  <c r="AK15" i="191"/>
  <c r="JL14" i="191"/>
  <c r="FQ14" i="191"/>
  <c r="FF14" i="191"/>
  <c r="FE14" i="191"/>
  <c r="FD14" i="191"/>
  <c r="FC14" i="191"/>
  <c r="EZ14" i="191"/>
  <c r="EX14" i="191"/>
  <c r="BZ14" i="191"/>
  <c r="BY14" i="191"/>
  <c r="BX14" i="191"/>
  <c r="BG14" i="191"/>
  <c r="BF14" i="191"/>
  <c r="BC14" i="191"/>
  <c r="BB14" i="191"/>
  <c r="AY14" i="191"/>
  <c r="AX14" i="191"/>
  <c r="AU14" i="191"/>
  <c r="AT14" i="191"/>
  <c r="AL14" i="191"/>
  <c r="AK14" i="191"/>
  <c r="JK12" i="191"/>
  <c r="JJ12" i="191"/>
  <c r="JI12" i="191"/>
  <c r="JG12" i="191"/>
  <c r="JF12" i="191"/>
  <c r="JC12" i="191"/>
  <c r="JB12" i="191"/>
  <c r="JA12" i="191"/>
  <c r="IY12" i="191"/>
  <c r="IX12" i="191"/>
  <c r="IU12" i="191"/>
  <c r="IT12" i="191"/>
  <c r="IS12" i="191"/>
  <c r="IQ12" i="191"/>
  <c r="IP12" i="191"/>
  <c r="IM12" i="191"/>
  <c r="IL12" i="191"/>
  <c r="IG10" i="191"/>
  <c r="IH10" i="191" s="1"/>
  <c r="II10" i="191" s="1"/>
  <c r="IJ10" i="191" s="1"/>
  <c r="IK10" i="191" s="1"/>
  <c r="IL10" i="191" s="1"/>
  <c r="IM10" i="191" s="1"/>
  <c r="IN10" i="191" s="1"/>
  <c r="IO10" i="191" s="1"/>
  <c r="IP10" i="191" s="1"/>
  <c r="IQ10" i="191" s="1"/>
  <c r="IR10" i="191" s="1"/>
  <c r="IS10" i="191" s="1"/>
  <c r="IT10" i="191" s="1"/>
  <c r="IU10" i="191" s="1"/>
  <c r="IV10" i="191" s="1"/>
  <c r="IW10" i="191" s="1"/>
  <c r="IX10" i="191" s="1"/>
  <c r="IY10" i="191" s="1"/>
  <c r="IZ10" i="191" s="1"/>
  <c r="JA10" i="191" s="1"/>
  <c r="JB10" i="191" s="1"/>
  <c r="JC10" i="191" s="1"/>
  <c r="JD10" i="191" s="1"/>
  <c r="JE10" i="191" s="1"/>
  <c r="JF10" i="191" s="1"/>
  <c r="JG10" i="191" s="1"/>
  <c r="JH10" i="191" s="1"/>
  <c r="JI10" i="191" s="1"/>
  <c r="JJ10" i="191" s="1"/>
  <c r="JK10" i="191" s="1"/>
  <c r="AX10" i="191"/>
  <c r="Z10" i="191"/>
  <c r="BE10" i="191" s="1"/>
  <c r="T10" i="191"/>
  <c r="C10" i="191"/>
  <c r="AE10" i="191" s="1"/>
  <c r="AX9" i="191"/>
  <c r="AE9" i="191"/>
  <c r="T9" i="191"/>
  <c r="C9" i="191"/>
  <c r="IH7" i="191"/>
  <c r="II7" i="191" s="1"/>
  <c r="IJ7" i="191" s="1"/>
  <c r="IK7" i="191" s="1"/>
  <c r="IL7" i="191" s="1"/>
  <c r="IM7" i="191" s="1"/>
  <c r="IN7" i="191" s="1"/>
  <c r="IO7" i="191" s="1"/>
  <c r="IP7" i="191" s="1"/>
  <c r="IQ7" i="191" s="1"/>
  <c r="IR7" i="191" s="1"/>
  <c r="IS7" i="191" s="1"/>
  <c r="IT7" i="191" s="1"/>
  <c r="IU7" i="191" s="1"/>
  <c r="IV7" i="191" s="1"/>
  <c r="IW7" i="191" s="1"/>
  <c r="IX7" i="191" s="1"/>
  <c r="IY7" i="191" s="1"/>
  <c r="IZ7" i="191" s="1"/>
  <c r="JA7" i="191" s="1"/>
  <c r="JB7" i="191" s="1"/>
  <c r="JC7" i="191" s="1"/>
  <c r="JD7" i="191" s="1"/>
  <c r="JE7" i="191" s="1"/>
  <c r="JF7" i="191" s="1"/>
  <c r="JG7" i="191" s="1"/>
  <c r="JH7" i="191" s="1"/>
  <c r="JI7" i="191" s="1"/>
  <c r="JJ7" i="191" s="1"/>
  <c r="IG7" i="191"/>
  <c r="BB7" i="191"/>
  <c r="IG6" i="191"/>
  <c r="IH6" i="191" s="1"/>
  <c r="II6" i="191" s="1"/>
  <c r="IJ6" i="191" s="1"/>
  <c r="IK6" i="191" s="1"/>
  <c r="IL6" i="191" s="1"/>
  <c r="IM6" i="191" s="1"/>
  <c r="IN6" i="191" s="1"/>
  <c r="IO6" i="191" s="1"/>
  <c r="IP6" i="191" s="1"/>
  <c r="IQ6" i="191" s="1"/>
  <c r="IR6" i="191" s="1"/>
  <c r="IS6" i="191" s="1"/>
  <c r="IT6" i="191" s="1"/>
  <c r="IU6" i="191" s="1"/>
  <c r="IV6" i="191" s="1"/>
  <c r="IW6" i="191" s="1"/>
  <c r="IX6" i="191" s="1"/>
  <c r="IY6" i="191" s="1"/>
  <c r="IZ6" i="191" s="1"/>
  <c r="JA6" i="191" s="1"/>
  <c r="JB6" i="191" s="1"/>
  <c r="JC6" i="191" s="1"/>
  <c r="JD6" i="191" s="1"/>
  <c r="JE6" i="191" s="1"/>
  <c r="JF6" i="191" s="1"/>
  <c r="JG6" i="191" s="1"/>
  <c r="JH6" i="191" s="1"/>
  <c r="X6" i="191"/>
  <c r="BB6" i="191" s="1"/>
  <c r="M6" i="191"/>
  <c r="EX5" i="191"/>
  <c r="FF4" i="191"/>
  <c r="FE4" i="191"/>
  <c r="FD4" i="191"/>
  <c r="FC4" i="191"/>
  <c r="FB4" i="191"/>
  <c r="FA4" i="191"/>
  <c r="EZ4" i="191"/>
  <c r="EY4" i="191"/>
  <c r="FG2" i="191"/>
  <c r="FE2" i="191"/>
  <c r="EU79" i="191" s="1"/>
  <c r="FC2" i="191"/>
  <c r="FA2" i="191"/>
  <c r="HA1" i="191"/>
  <c r="IC26" i="191" s="1"/>
  <c r="FG1" i="191"/>
  <c r="DF72" i="191" s="1"/>
  <c r="FA1" i="191"/>
  <c r="FB1" i="191" s="1"/>
  <c r="BK1" i="191"/>
  <c r="BK42" i="191" s="1"/>
  <c r="BJ1" i="191"/>
  <c r="Q4" i="191" s="1"/>
  <c r="AU4" i="191" s="1"/>
  <c r="Q99" i="190"/>
  <c r="Q98" i="190"/>
  <c r="Q97" i="190"/>
  <c r="Q96" i="190"/>
  <c r="Q95" i="190"/>
  <c r="Q94" i="190"/>
  <c r="Q93" i="190"/>
  <c r="Q92" i="190"/>
  <c r="Q91" i="190"/>
  <c r="Q90" i="190"/>
  <c r="Q89" i="190"/>
  <c r="Q88" i="190"/>
  <c r="Q87" i="190"/>
  <c r="Q86" i="190"/>
  <c r="Q85" i="190"/>
  <c r="Q84" i="190"/>
  <c r="Q83" i="190"/>
  <c r="Q82" i="190"/>
  <c r="Q81" i="190"/>
  <c r="Q80" i="190"/>
  <c r="Q79" i="190"/>
  <c r="Q78" i="190"/>
  <c r="Q77" i="190"/>
  <c r="Q76" i="190"/>
  <c r="Q75" i="190"/>
  <c r="Q74" i="190"/>
  <c r="Q73" i="190"/>
  <c r="Q72" i="190"/>
  <c r="Q71" i="190"/>
  <c r="Q70" i="190"/>
  <c r="Q69" i="190"/>
  <c r="Q68" i="190"/>
  <c r="Q67" i="190"/>
  <c r="Q66" i="190"/>
  <c r="Q65" i="190"/>
  <c r="Q64" i="190"/>
  <c r="Q63" i="190"/>
  <c r="Q62" i="190"/>
  <c r="Q61" i="190"/>
  <c r="Q60" i="190"/>
  <c r="Q59" i="190"/>
  <c r="Q58" i="190"/>
  <c r="Q57" i="190"/>
  <c r="Q56" i="190"/>
  <c r="Q55" i="190"/>
  <c r="Q54" i="190"/>
  <c r="Q53" i="190"/>
  <c r="Q52" i="190"/>
  <c r="Q51" i="190"/>
  <c r="Q50" i="190"/>
  <c r="Q49" i="190"/>
  <c r="Q48" i="190"/>
  <c r="Q47" i="190"/>
  <c r="Q46" i="190"/>
  <c r="Q45" i="190"/>
  <c r="Q44" i="190"/>
  <c r="Q43" i="190"/>
  <c r="Q42" i="190"/>
  <c r="Q41" i="190"/>
  <c r="Q40" i="190"/>
  <c r="Q39" i="190"/>
  <c r="Q38" i="190"/>
  <c r="Q37" i="190"/>
  <c r="Q36" i="190"/>
  <c r="Q35" i="190"/>
  <c r="Q34" i="190"/>
  <c r="Q33" i="190"/>
  <c r="L33" i="190"/>
  <c r="L34" i="190" s="1"/>
  <c r="L35" i="190" s="1"/>
  <c r="L36" i="190" s="1"/>
  <c r="L37" i="190" s="1"/>
  <c r="L38" i="190" s="1"/>
  <c r="L39" i="190" s="1"/>
  <c r="L40" i="190" s="1"/>
  <c r="L41" i="190" s="1"/>
  <c r="L42" i="190" s="1"/>
  <c r="L43" i="190" s="1"/>
  <c r="L44" i="190" s="1"/>
  <c r="L45" i="190" s="1"/>
  <c r="L46" i="190" s="1"/>
  <c r="L47" i="190" s="1"/>
  <c r="L48" i="190" s="1"/>
  <c r="L49" i="190" s="1"/>
  <c r="L50" i="190" s="1"/>
  <c r="L51" i="190" s="1"/>
  <c r="Q32" i="190"/>
  <c r="L32" i="190"/>
  <c r="Q31" i="190"/>
  <c r="L31" i="190"/>
  <c r="Q30" i="190"/>
  <c r="L30" i="190"/>
  <c r="Q29" i="190"/>
  <c r="L29" i="190"/>
  <c r="Q28" i="190"/>
  <c r="L28" i="190"/>
  <c r="Q27" i="190"/>
  <c r="L27" i="190"/>
  <c r="Q26" i="190"/>
  <c r="L26" i="190"/>
  <c r="Q25" i="190"/>
  <c r="L25" i="190"/>
  <c r="Q24" i="190"/>
  <c r="Q23" i="190"/>
  <c r="L23" i="190"/>
  <c r="L24" i="190" s="1"/>
  <c r="Q22" i="190"/>
  <c r="L22" i="190"/>
  <c r="Q21" i="190"/>
  <c r="L21" i="190"/>
  <c r="Q20" i="190"/>
  <c r="Q19" i="190"/>
  <c r="L19" i="190"/>
  <c r="L20" i="190" s="1"/>
  <c r="Q18" i="190"/>
  <c r="L18" i="190"/>
  <c r="Q17" i="190"/>
  <c r="L17" i="190"/>
  <c r="Q16" i="190"/>
  <c r="L16" i="190"/>
  <c r="Q15" i="190"/>
  <c r="L15" i="190"/>
  <c r="Q14" i="190"/>
  <c r="L14" i="190"/>
  <c r="Q13" i="190"/>
  <c r="L13" i="190"/>
  <c r="O10" i="190"/>
  <c r="J10" i="190"/>
  <c r="G10" i="190"/>
  <c r="B10" i="190"/>
  <c r="G9" i="190"/>
  <c r="B9" i="190"/>
  <c r="H6" i="190"/>
  <c r="D2" i="190"/>
  <c r="M1" i="190"/>
  <c r="L1" i="190"/>
  <c r="Q99" i="189"/>
  <c r="Q98" i="189"/>
  <c r="Q97" i="189"/>
  <c r="Q96" i="189"/>
  <c r="Q95" i="189"/>
  <c r="Q94" i="189"/>
  <c r="Q93" i="189"/>
  <c r="Q92" i="189"/>
  <c r="Q91" i="189"/>
  <c r="Q90" i="189"/>
  <c r="Q89" i="189"/>
  <c r="Q88" i="189"/>
  <c r="Q87" i="189"/>
  <c r="Q86" i="189"/>
  <c r="Q85" i="189"/>
  <c r="Q84" i="189"/>
  <c r="Q83" i="189"/>
  <c r="Q82" i="189"/>
  <c r="Q81" i="189"/>
  <c r="Q80" i="189"/>
  <c r="Q79" i="189"/>
  <c r="Q78" i="189"/>
  <c r="Q77" i="189"/>
  <c r="Q76" i="189"/>
  <c r="Q75" i="189"/>
  <c r="Q74" i="189"/>
  <c r="Q73" i="189"/>
  <c r="Q72" i="189"/>
  <c r="Q71" i="189"/>
  <c r="Q70" i="189"/>
  <c r="Q69" i="189"/>
  <c r="Q68" i="189"/>
  <c r="Q67" i="189"/>
  <c r="Q66" i="189"/>
  <c r="Q65" i="189"/>
  <c r="Q64" i="189"/>
  <c r="Q63" i="189"/>
  <c r="Q62" i="189"/>
  <c r="Q61" i="189"/>
  <c r="Q60" i="189"/>
  <c r="Q59" i="189"/>
  <c r="Q58" i="189"/>
  <c r="Q57" i="189"/>
  <c r="Q56" i="189"/>
  <c r="Q55" i="189"/>
  <c r="Q54" i="189"/>
  <c r="Q53" i="189"/>
  <c r="Q52" i="189"/>
  <c r="Q51" i="189"/>
  <c r="Q50" i="189"/>
  <c r="Q49" i="189"/>
  <c r="Q48" i="189"/>
  <c r="Q47" i="189"/>
  <c r="Q46" i="189"/>
  <c r="Q45" i="189"/>
  <c r="L45" i="189"/>
  <c r="L46" i="189" s="1"/>
  <c r="L47" i="189" s="1"/>
  <c r="L48" i="189" s="1"/>
  <c r="L49" i="189" s="1"/>
  <c r="L50" i="189" s="1"/>
  <c r="L51" i="189" s="1"/>
  <c r="Q44" i="189"/>
  <c r="L44" i="189"/>
  <c r="Q43" i="189"/>
  <c r="L43" i="189"/>
  <c r="Q42" i="189"/>
  <c r="L42" i="189"/>
  <c r="Q41" i="189"/>
  <c r="L41" i="189"/>
  <c r="Q40" i="189"/>
  <c r="L40" i="189"/>
  <c r="Q39" i="189"/>
  <c r="L39" i="189"/>
  <c r="Q38" i="189"/>
  <c r="L38" i="189"/>
  <c r="Q37" i="189"/>
  <c r="L37" i="189"/>
  <c r="Q36" i="189"/>
  <c r="L36" i="189"/>
  <c r="Q35" i="189"/>
  <c r="L35" i="189"/>
  <c r="Q34" i="189"/>
  <c r="L34" i="189"/>
  <c r="Q33" i="189"/>
  <c r="L33" i="189"/>
  <c r="Q32" i="189"/>
  <c r="L32" i="189"/>
  <c r="Q31" i="189"/>
  <c r="L31" i="189"/>
  <c r="Q30" i="189"/>
  <c r="L30" i="189"/>
  <c r="Q29" i="189"/>
  <c r="L29" i="189"/>
  <c r="Q28" i="189"/>
  <c r="L28" i="189"/>
  <c r="Q27" i="189"/>
  <c r="L27" i="189"/>
  <c r="Q26" i="189"/>
  <c r="L26" i="189"/>
  <c r="Q25" i="189"/>
  <c r="L25" i="189"/>
  <c r="Q24" i="189"/>
  <c r="L24" i="189"/>
  <c r="Q23" i="189"/>
  <c r="L23" i="189"/>
  <c r="Q22" i="189"/>
  <c r="L22" i="189"/>
  <c r="Q21" i="189"/>
  <c r="L21" i="189"/>
  <c r="Q20" i="189"/>
  <c r="L20" i="189"/>
  <c r="Q19" i="189"/>
  <c r="L19" i="189"/>
  <c r="Q18" i="189"/>
  <c r="L18" i="189"/>
  <c r="Q17" i="189"/>
  <c r="L17" i="189"/>
  <c r="Q16" i="189"/>
  <c r="L16" i="189"/>
  <c r="Q15" i="189"/>
  <c r="L15" i="189"/>
  <c r="Q14" i="189"/>
  <c r="L14" i="189"/>
  <c r="Q13" i="189"/>
  <c r="L13" i="189"/>
  <c r="O10" i="189"/>
  <c r="J10" i="189"/>
  <c r="G10" i="189"/>
  <c r="B10" i="189"/>
  <c r="G9" i="189"/>
  <c r="B9" i="189"/>
  <c r="H6" i="189"/>
  <c r="D4" i="189"/>
  <c r="D2" i="189"/>
  <c r="M1" i="189"/>
  <c r="L1" i="189"/>
  <c r="D1" i="189"/>
  <c r="Q99" i="188"/>
  <c r="Q98" i="188"/>
  <c r="Q97" i="188"/>
  <c r="Q96" i="188"/>
  <c r="Q95" i="188"/>
  <c r="Q94" i="188"/>
  <c r="Q93" i="188"/>
  <c r="Q92" i="188"/>
  <c r="Q91" i="188"/>
  <c r="Q90" i="188"/>
  <c r="Q89" i="188"/>
  <c r="Q88" i="188"/>
  <c r="Q87" i="188"/>
  <c r="Q86" i="188"/>
  <c r="Q85" i="188"/>
  <c r="Q84" i="188"/>
  <c r="Q83" i="188"/>
  <c r="Q82" i="188"/>
  <c r="Q81" i="188"/>
  <c r="Q80" i="188"/>
  <c r="Q79" i="188"/>
  <c r="Q78" i="188"/>
  <c r="Q77" i="188"/>
  <c r="Q76" i="188"/>
  <c r="Q75" i="188"/>
  <c r="Q74" i="188"/>
  <c r="Q73" i="188"/>
  <c r="Q72" i="188"/>
  <c r="Q71" i="188"/>
  <c r="Q70" i="188"/>
  <c r="Q69" i="188"/>
  <c r="Q68" i="188"/>
  <c r="Q67" i="188"/>
  <c r="Q66" i="188"/>
  <c r="Q65" i="188"/>
  <c r="Q64" i="188"/>
  <c r="Q63" i="188"/>
  <c r="Q62" i="188"/>
  <c r="Q61" i="188"/>
  <c r="Q60" i="188"/>
  <c r="Q59" i="188"/>
  <c r="Q58" i="188"/>
  <c r="Q57" i="188"/>
  <c r="Q56" i="188"/>
  <c r="Q55" i="188"/>
  <c r="Q54" i="188"/>
  <c r="Q53" i="188"/>
  <c r="Q52" i="188"/>
  <c r="Q51" i="188"/>
  <c r="Q50" i="188"/>
  <c r="Q49" i="188"/>
  <c r="Q48" i="188"/>
  <c r="Q47" i="188"/>
  <c r="Q46" i="188"/>
  <c r="L46" i="188"/>
  <c r="L47" i="188" s="1"/>
  <c r="L48" i="188" s="1"/>
  <c r="L49" i="188" s="1"/>
  <c r="L50" i="188" s="1"/>
  <c r="L51" i="188" s="1"/>
  <c r="Q45" i="188"/>
  <c r="Q44" i="188"/>
  <c r="L44" i="188"/>
  <c r="L45" i="188" s="1"/>
  <c r="Q43" i="188"/>
  <c r="Q42" i="188"/>
  <c r="L42" i="188"/>
  <c r="L43" i="188" s="1"/>
  <c r="Q41" i="188"/>
  <c r="L41" i="188"/>
  <c r="Q40" i="188"/>
  <c r="L40" i="188"/>
  <c r="Q39" i="188"/>
  <c r="L39" i="188"/>
  <c r="Q38" i="188"/>
  <c r="L38" i="188"/>
  <c r="Q37" i="188"/>
  <c r="L37" i="188"/>
  <c r="Q36" i="188"/>
  <c r="L36" i="188"/>
  <c r="Q35" i="188"/>
  <c r="L35" i="188"/>
  <c r="Q34" i="188"/>
  <c r="L34" i="188"/>
  <c r="Q33" i="188"/>
  <c r="L33" i="188"/>
  <c r="Q32" i="188"/>
  <c r="L32" i="188"/>
  <c r="Q31" i="188"/>
  <c r="L31" i="188"/>
  <c r="Q30" i="188"/>
  <c r="L30" i="188"/>
  <c r="Q29" i="188"/>
  <c r="L29" i="188"/>
  <c r="Q28" i="188"/>
  <c r="L28" i="188"/>
  <c r="Q27" i="188"/>
  <c r="L27" i="188"/>
  <c r="Q26" i="188"/>
  <c r="L26" i="188"/>
  <c r="Q25" i="188"/>
  <c r="L25" i="188"/>
  <c r="Q24" i="188"/>
  <c r="L24" i="188"/>
  <c r="Q23" i="188"/>
  <c r="L23" i="188"/>
  <c r="Q22" i="188"/>
  <c r="L22" i="188"/>
  <c r="Q21" i="188"/>
  <c r="L21" i="188"/>
  <c r="Q20" i="188"/>
  <c r="L20" i="188"/>
  <c r="Q19" i="188"/>
  <c r="L19" i="188"/>
  <c r="Q18" i="188"/>
  <c r="L18" i="188"/>
  <c r="Q17" i="188"/>
  <c r="L17" i="188"/>
  <c r="Q16" i="188"/>
  <c r="L16" i="188"/>
  <c r="Q15" i="188"/>
  <c r="L15" i="188"/>
  <c r="Q14" i="188"/>
  <c r="L14" i="188"/>
  <c r="Q13" i="188"/>
  <c r="L13" i="188"/>
  <c r="O10" i="188"/>
  <c r="J10" i="188"/>
  <c r="G10" i="188"/>
  <c r="B10" i="188"/>
  <c r="G9" i="188"/>
  <c r="B9" i="188"/>
  <c r="H6" i="188"/>
  <c r="D2" i="188"/>
  <c r="M1" i="188"/>
  <c r="L1" i="188"/>
  <c r="D4" i="188" s="1"/>
  <c r="D1" i="188"/>
  <c r="Q99" i="187"/>
  <c r="Q98" i="187"/>
  <c r="Q97" i="187"/>
  <c r="Q96" i="187"/>
  <c r="Q95" i="187"/>
  <c r="Q94" i="187"/>
  <c r="Q93" i="187"/>
  <c r="Q92" i="187"/>
  <c r="Q91" i="187"/>
  <c r="Q90" i="187"/>
  <c r="Q89" i="187"/>
  <c r="Q88" i="187"/>
  <c r="Q87" i="187"/>
  <c r="Q86" i="187"/>
  <c r="Q85" i="187"/>
  <c r="Q84" i="187"/>
  <c r="Q83" i="187"/>
  <c r="Q82" i="187"/>
  <c r="Q81" i="187"/>
  <c r="Q80" i="187"/>
  <c r="Q79" i="187"/>
  <c r="Q78" i="187"/>
  <c r="Q77" i="187"/>
  <c r="Q76" i="187"/>
  <c r="Q75" i="187"/>
  <c r="Q74" i="187"/>
  <c r="Q73" i="187"/>
  <c r="Q72" i="187"/>
  <c r="Q71" i="187"/>
  <c r="Q70" i="187"/>
  <c r="Q69" i="187"/>
  <c r="Q68" i="187"/>
  <c r="Q67" i="187"/>
  <c r="Q66" i="187"/>
  <c r="Q65" i="187"/>
  <c r="Q64" i="187"/>
  <c r="Q63" i="187"/>
  <c r="Q62" i="187"/>
  <c r="Q61" i="187"/>
  <c r="Q60" i="187"/>
  <c r="Q59" i="187"/>
  <c r="Q58" i="187"/>
  <c r="Q57" i="187"/>
  <c r="Q56" i="187"/>
  <c r="Q55" i="187"/>
  <c r="Q54" i="187"/>
  <c r="Q53" i="187"/>
  <c r="Q52" i="187"/>
  <c r="Q51" i="187"/>
  <c r="Q50" i="187"/>
  <c r="Q49" i="187"/>
  <c r="Q48" i="187"/>
  <c r="Q47" i="187"/>
  <c r="Q46" i="187"/>
  <c r="Q45" i="187"/>
  <c r="Q44" i="187"/>
  <c r="L44" i="187"/>
  <c r="L45" i="187" s="1"/>
  <c r="L46" i="187" s="1"/>
  <c r="L47" i="187" s="1"/>
  <c r="L48" i="187" s="1"/>
  <c r="L49" i="187" s="1"/>
  <c r="L50" i="187" s="1"/>
  <c r="L51" i="187" s="1"/>
  <c r="Q43" i="187"/>
  <c r="L43" i="187"/>
  <c r="Q42" i="187"/>
  <c r="L42" i="187"/>
  <c r="Q41" i="187"/>
  <c r="L41" i="187"/>
  <c r="Q40" i="187"/>
  <c r="L40" i="187"/>
  <c r="Q39" i="187"/>
  <c r="L39" i="187"/>
  <c r="Q38" i="187"/>
  <c r="L38" i="187"/>
  <c r="Q37" i="187"/>
  <c r="L37" i="187"/>
  <c r="Q36" i="187"/>
  <c r="L36" i="187"/>
  <c r="Q35" i="187"/>
  <c r="L35" i="187"/>
  <c r="Q34" i="187"/>
  <c r="L34" i="187"/>
  <c r="Q33" i="187"/>
  <c r="L33" i="187"/>
  <c r="Q32" i="187"/>
  <c r="L32" i="187"/>
  <c r="Q31" i="187"/>
  <c r="L31" i="187"/>
  <c r="Q30" i="187"/>
  <c r="L30" i="187"/>
  <c r="Q29" i="187"/>
  <c r="L29" i="187"/>
  <c r="Q28" i="187"/>
  <c r="L28" i="187"/>
  <c r="Q27" i="187"/>
  <c r="L27" i="187"/>
  <c r="Q26" i="187"/>
  <c r="Q25" i="187"/>
  <c r="L25" i="187"/>
  <c r="L26" i="187" s="1"/>
  <c r="Q24" i="187"/>
  <c r="L24" i="187"/>
  <c r="Q23" i="187"/>
  <c r="L23" i="187"/>
  <c r="Q22" i="187"/>
  <c r="L22" i="187"/>
  <c r="Q21" i="187"/>
  <c r="L21" i="187"/>
  <c r="Q20" i="187"/>
  <c r="L20" i="187"/>
  <c r="Q19" i="187"/>
  <c r="L19" i="187"/>
  <c r="Q18" i="187"/>
  <c r="L18" i="187"/>
  <c r="Q17" i="187"/>
  <c r="L17" i="187"/>
  <c r="Q16" i="187"/>
  <c r="L16" i="187"/>
  <c r="Q15" i="187"/>
  <c r="L15" i="187"/>
  <c r="Q14" i="187"/>
  <c r="L14" i="187"/>
  <c r="Q13" i="187"/>
  <c r="L13" i="187"/>
  <c r="O10" i="187"/>
  <c r="J10" i="187"/>
  <c r="G10" i="187"/>
  <c r="B10" i="187"/>
  <c r="G9" i="187"/>
  <c r="B9" i="187"/>
  <c r="H6" i="187"/>
  <c r="D4" i="187"/>
  <c r="M1" i="187"/>
  <c r="L1" i="187"/>
  <c r="Q99" i="186"/>
  <c r="Q98" i="186"/>
  <c r="Q97" i="186"/>
  <c r="Q96" i="186"/>
  <c r="Q95" i="186"/>
  <c r="Q94" i="186"/>
  <c r="Q93" i="186"/>
  <c r="Q92" i="186"/>
  <c r="Q91" i="186"/>
  <c r="Q90" i="186"/>
  <c r="Q89" i="186"/>
  <c r="Q88" i="186"/>
  <c r="Q87" i="186"/>
  <c r="Q86" i="186"/>
  <c r="Q85" i="186"/>
  <c r="Q84" i="186"/>
  <c r="Q83" i="186"/>
  <c r="Q82" i="186"/>
  <c r="Q81" i="186"/>
  <c r="Q80" i="186"/>
  <c r="Q79" i="186"/>
  <c r="Q78" i="186"/>
  <c r="Q77" i="186"/>
  <c r="Q76" i="186"/>
  <c r="Q75" i="186"/>
  <c r="Q74" i="186"/>
  <c r="Q73" i="186"/>
  <c r="Q72" i="186"/>
  <c r="Q71" i="186"/>
  <c r="Q70" i="186"/>
  <c r="Q69" i="186"/>
  <c r="Q68" i="186"/>
  <c r="Q67" i="186"/>
  <c r="Q66" i="186"/>
  <c r="Q65" i="186"/>
  <c r="Q64" i="186"/>
  <c r="Q63" i="186"/>
  <c r="Q62" i="186"/>
  <c r="Q61" i="186"/>
  <c r="Q60" i="186"/>
  <c r="Q59" i="186"/>
  <c r="Q58" i="186"/>
  <c r="Q57" i="186"/>
  <c r="Q56" i="186"/>
  <c r="Q55" i="186"/>
  <c r="Q54" i="186"/>
  <c r="Q53" i="186"/>
  <c r="Q52" i="186"/>
  <c r="Q51" i="186"/>
  <c r="Q50" i="186"/>
  <c r="Q49" i="186"/>
  <c r="Q48" i="186"/>
  <c r="Q47" i="186"/>
  <c r="Q46" i="186"/>
  <c r="Q45" i="186"/>
  <c r="Q44" i="186"/>
  <c r="Q43" i="186"/>
  <c r="L43" i="186"/>
  <c r="L44" i="186" s="1"/>
  <c r="L45" i="186" s="1"/>
  <c r="L46" i="186" s="1"/>
  <c r="L47" i="186" s="1"/>
  <c r="L48" i="186" s="1"/>
  <c r="L49" i="186" s="1"/>
  <c r="L50" i="186" s="1"/>
  <c r="L51" i="186" s="1"/>
  <c r="Q42" i="186"/>
  <c r="L42" i="186"/>
  <c r="Q41" i="186"/>
  <c r="L41" i="186"/>
  <c r="Q40" i="186"/>
  <c r="L40" i="186"/>
  <c r="Q39" i="186"/>
  <c r="L39" i="186"/>
  <c r="Q38" i="186"/>
  <c r="L38" i="186"/>
  <c r="Q37" i="186"/>
  <c r="L37" i="186"/>
  <c r="Q36" i="186"/>
  <c r="L36" i="186"/>
  <c r="Q35" i="186"/>
  <c r="L35" i="186"/>
  <c r="Q34" i="186"/>
  <c r="L34" i="186"/>
  <c r="Q33" i="186"/>
  <c r="L33" i="186"/>
  <c r="Q32" i="186"/>
  <c r="L32" i="186"/>
  <c r="Q31" i="186"/>
  <c r="L31" i="186"/>
  <c r="Q30" i="186"/>
  <c r="L30" i="186"/>
  <c r="Q29" i="186"/>
  <c r="L29" i="186"/>
  <c r="Q28" i="186"/>
  <c r="L28" i="186"/>
  <c r="Q27" i="186"/>
  <c r="L27" i="186"/>
  <c r="Q26" i="186"/>
  <c r="L26" i="186"/>
  <c r="Q25" i="186"/>
  <c r="L25" i="186"/>
  <c r="Q24" i="186"/>
  <c r="L24" i="186"/>
  <c r="Q23" i="186"/>
  <c r="L23" i="186"/>
  <c r="Q22" i="186"/>
  <c r="L22" i="186"/>
  <c r="Q21" i="186"/>
  <c r="L21" i="186"/>
  <c r="Q20" i="186"/>
  <c r="L20" i="186"/>
  <c r="Q19" i="186"/>
  <c r="L19" i="186"/>
  <c r="Q18" i="186"/>
  <c r="L18" i="186"/>
  <c r="Q17" i="186"/>
  <c r="L17" i="186"/>
  <c r="Q16" i="186"/>
  <c r="L16" i="186"/>
  <c r="Q15" i="186"/>
  <c r="L15" i="186"/>
  <c r="Q14" i="186"/>
  <c r="L14" i="186"/>
  <c r="Q13" i="186"/>
  <c r="L13" i="186"/>
  <c r="O10" i="186"/>
  <c r="J10" i="186"/>
  <c r="G10" i="186"/>
  <c r="B10" i="186"/>
  <c r="G9" i="186"/>
  <c r="B9" i="186"/>
  <c r="H6" i="186"/>
  <c r="M1" i="186"/>
  <c r="L1" i="186"/>
  <c r="D1" i="186"/>
  <c r="R55" i="185"/>
  <c r="R54" i="185"/>
  <c r="R53" i="185"/>
  <c r="R52" i="185"/>
  <c r="R51" i="185"/>
  <c r="R50" i="185"/>
  <c r="R49" i="185"/>
  <c r="R48" i="185"/>
  <c r="R47" i="185"/>
  <c r="R46" i="185"/>
  <c r="R45" i="185"/>
  <c r="R44" i="185"/>
  <c r="R43" i="185"/>
  <c r="R42" i="185"/>
  <c r="R41" i="185"/>
  <c r="R40" i="185"/>
  <c r="R39" i="185"/>
  <c r="R38" i="185"/>
  <c r="R37" i="185"/>
  <c r="AO36" i="185"/>
  <c r="AO37" i="185" s="1"/>
  <c r="AO38" i="185" s="1"/>
  <c r="AO39" i="185" s="1"/>
  <c r="AO40" i="185" s="1"/>
  <c r="AO41" i="185" s="1"/>
  <c r="AO42" i="185" s="1"/>
  <c r="AO43" i="185" s="1"/>
  <c r="AO44" i="185" s="1"/>
  <c r="AO45" i="185" s="1"/>
  <c r="AO46" i="185" s="1"/>
  <c r="AO47" i="185" s="1"/>
  <c r="AO48" i="185" s="1"/>
  <c r="AO49" i="185" s="1"/>
  <c r="AO50" i="185" s="1"/>
  <c r="AO51" i="185" s="1"/>
  <c r="AO52" i="185" s="1"/>
  <c r="AO53" i="185" s="1"/>
  <c r="AO54" i="185" s="1"/>
  <c r="AO55" i="185" s="1"/>
  <c r="R36" i="185"/>
  <c r="AO35" i="185"/>
  <c r="R35" i="185"/>
  <c r="R34" i="185"/>
  <c r="R33" i="185"/>
  <c r="AO32" i="185"/>
  <c r="AO33" i="185" s="1"/>
  <c r="AO34" i="185" s="1"/>
  <c r="R32" i="185"/>
  <c r="AO31" i="185"/>
  <c r="R31" i="185"/>
  <c r="AN30" i="185"/>
  <c r="AM30" i="185"/>
  <c r="AL30" i="185"/>
  <c r="AK30" i="185"/>
  <c r="AJ30" i="185"/>
  <c r="AI30" i="185"/>
  <c r="AH30" i="185"/>
  <c r="AG30" i="185"/>
  <c r="AF30" i="185"/>
  <c r="AE30" i="185"/>
  <c r="AD30" i="185"/>
  <c r="AC30" i="185"/>
  <c r="AB30" i="185"/>
  <c r="AA30" i="185"/>
  <c r="Z30" i="185"/>
  <c r="Y30" i="185"/>
  <c r="X30" i="185"/>
  <c r="W30" i="185"/>
  <c r="V30" i="185"/>
  <c r="U30" i="185"/>
  <c r="T30" i="185"/>
  <c r="S30" i="185"/>
  <c r="R30" i="185"/>
  <c r="AO29" i="185"/>
  <c r="AO30" i="185" s="1"/>
  <c r="R29" i="185"/>
  <c r="R28" i="185"/>
  <c r="AO27" i="185"/>
  <c r="AO28" i="185" s="1"/>
  <c r="R27" i="185"/>
  <c r="R26" i="185"/>
  <c r="AO25" i="185"/>
  <c r="AO26" i="185" s="1"/>
  <c r="R25" i="185"/>
  <c r="R24" i="185"/>
  <c r="AO23" i="185"/>
  <c r="AO24" i="185" s="1"/>
  <c r="R23" i="185"/>
  <c r="AO22" i="185"/>
  <c r="R22" i="185"/>
  <c r="R21" i="185"/>
  <c r="R20" i="185"/>
  <c r="AO19" i="185"/>
  <c r="AO20" i="185" s="1"/>
  <c r="AO21" i="185" s="1"/>
  <c r="R19" i="185"/>
  <c r="AO18" i="185"/>
  <c r="R18" i="185"/>
  <c r="R17" i="185"/>
  <c r="R16" i="185"/>
  <c r="AO15" i="185"/>
  <c r="AO16" i="185" s="1"/>
  <c r="AO17" i="185" s="1"/>
  <c r="R15" i="185"/>
  <c r="AO14" i="185"/>
  <c r="R14" i="185"/>
  <c r="N10" i="185"/>
  <c r="K10" i="185"/>
  <c r="B10" i="185"/>
  <c r="K9" i="185"/>
  <c r="B9" i="185"/>
  <c r="N6" i="185"/>
  <c r="I2" i="185"/>
  <c r="T1" i="185"/>
  <c r="S1" i="185"/>
  <c r="I4" i="185" s="1"/>
  <c r="I1" i="185"/>
  <c r="R55" i="184"/>
  <c r="R54" i="184"/>
  <c r="AO53" i="184"/>
  <c r="AO54" i="184" s="1"/>
  <c r="AO55" i="184" s="1"/>
  <c r="R53" i="184"/>
  <c r="R52" i="184"/>
  <c r="R51" i="184"/>
  <c r="R50" i="184"/>
  <c r="AO49" i="184"/>
  <c r="AO50" i="184" s="1"/>
  <c r="AO51" i="184" s="1"/>
  <c r="AO52" i="184" s="1"/>
  <c r="R49" i="184"/>
  <c r="R48" i="184"/>
  <c r="R47" i="184"/>
  <c r="R46" i="184"/>
  <c r="AO45" i="184"/>
  <c r="AO46" i="184" s="1"/>
  <c r="AO47" i="184" s="1"/>
  <c r="AO48" i="184" s="1"/>
  <c r="R45" i="184"/>
  <c r="R44" i="184"/>
  <c r="R43" i="184"/>
  <c r="R42" i="184"/>
  <c r="AO41" i="184"/>
  <c r="AO42" i="184" s="1"/>
  <c r="AO43" i="184" s="1"/>
  <c r="AO44" i="184" s="1"/>
  <c r="R41" i="184"/>
  <c r="R40" i="184"/>
  <c r="R39" i="184"/>
  <c r="R38" i="184"/>
  <c r="AO37" i="184"/>
  <c r="AO38" i="184" s="1"/>
  <c r="AO39" i="184" s="1"/>
  <c r="AO40" i="184" s="1"/>
  <c r="R37" i="184"/>
  <c r="R36" i="184"/>
  <c r="R35" i="184"/>
  <c r="R34" i="184"/>
  <c r="AO33" i="184"/>
  <c r="AO34" i="184" s="1"/>
  <c r="AO35" i="184" s="1"/>
  <c r="AO36" i="184" s="1"/>
  <c r="R33" i="184"/>
  <c r="R32" i="184"/>
  <c r="R31" i="184"/>
  <c r="AN30" i="184"/>
  <c r="AM30" i="184"/>
  <c r="AL30" i="184"/>
  <c r="AK30" i="184"/>
  <c r="AJ30" i="184"/>
  <c r="AI30" i="184"/>
  <c r="AH30" i="184"/>
  <c r="AG30" i="184"/>
  <c r="AF30" i="184"/>
  <c r="AE30" i="184"/>
  <c r="AD30" i="184"/>
  <c r="AC30" i="184"/>
  <c r="AB30" i="184"/>
  <c r="AA30" i="184"/>
  <c r="Z30" i="184"/>
  <c r="Y30" i="184"/>
  <c r="X30" i="184"/>
  <c r="W30" i="184"/>
  <c r="V30" i="184"/>
  <c r="U30" i="184"/>
  <c r="T30" i="184"/>
  <c r="S30" i="184"/>
  <c r="R30" i="184"/>
  <c r="AO29" i="184"/>
  <c r="AO30" i="184" s="1"/>
  <c r="AO31" i="184" s="1"/>
  <c r="AO32" i="184" s="1"/>
  <c r="R29" i="184"/>
  <c r="R28" i="184"/>
  <c r="R27" i="184"/>
  <c r="AO26" i="184"/>
  <c r="AO27" i="184" s="1"/>
  <c r="AO28" i="184" s="1"/>
  <c r="R26" i="184"/>
  <c r="AO25" i="184"/>
  <c r="R25" i="184"/>
  <c r="R24" i="184"/>
  <c r="R23" i="184"/>
  <c r="AO22" i="184"/>
  <c r="AO23" i="184" s="1"/>
  <c r="AO24" i="184" s="1"/>
  <c r="R22" i="184"/>
  <c r="AO21" i="184"/>
  <c r="R21" i="184"/>
  <c r="R20" i="184"/>
  <c r="R19" i="184"/>
  <c r="AO18" i="184"/>
  <c r="AO19" i="184" s="1"/>
  <c r="AO20" i="184" s="1"/>
  <c r="R18" i="184"/>
  <c r="AO17" i="184"/>
  <c r="R17" i="184"/>
  <c r="R16" i="184"/>
  <c r="R15" i="184"/>
  <c r="AO14" i="184"/>
  <c r="AO15" i="184" s="1"/>
  <c r="AO16" i="184" s="1"/>
  <c r="R14" i="184"/>
  <c r="N10" i="184"/>
  <c r="K10" i="184"/>
  <c r="B10" i="184"/>
  <c r="K9" i="184"/>
  <c r="B9" i="184"/>
  <c r="N6" i="184"/>
  <c r="I2" i="184"/>
  <c r="T1" i="184"/>
  <c r="S1" i="184"/>
  <c r="R55" i="183"/>
  <c r="R54" i="183"/>
  <c r="R53" i="183"/>
  <c r="AO52" i="183"/>
  <c r="AO53" i="183" s="1"/>
  <c r="AO54" i="183" s="1"/>
  <c r="AO55" i="183" s="1"/>
  <c r="R52" i="183"/>
  <c r="R51" i="183"/>
  <c r="R50" i="183"/>
  <c r="R49" i="183"/>
  <c r="AO48" i="183"/>
  <c r="AO49" i="183" s="1"/>
  <c r="AO50" i="183" s="1"/>
  <c r="AO51" i="183" s="1"/>
  <c r="R48" i="183"/>
  <c r="R47" i="183"/>
  <c r="AO46" i="183"/>
  <c r="AO47" i="183" s="1"/>
  <c r="R46" i="183"/>
  <c r="R45" i="183"/>
  <c r="AO44" i="183"/>
  <c r="AO45" i="183" s="1"/>
  <c r="R44" i="183"/>
  <c r="R43" i="183"/>
  <c r="R42" i="183"/>
  <c r="R41" i="183"/>
  <c r="AO40" i="183"/>
  <c r="AO41" i="183" s="1"/>
  <c r="AO42" i="183" s="1"/>
  <c r="AO43" i="183" s="1"/>
  <c r="R40" i="183"/>
  <c r="R39" i="183"/>
  <c r="R38" i="183"/>
  <c r="R37" i="183"/>
  <c r="AO36" i="183"/>
  <c r="AO37" i="183" s="1"/>
  <c r="AO38" i="183" s="1"/>
  <c r="AO39" i="183" s="1"/>
  <c r="R36" i="183"/>
  <c r="R35" i="183"/>
  <c r="R34" i="183"/>
  <c r="R33" i="183"/>
  <c r="AO32" i="183"/>
  <c r="AO33" i="183" s="1"/>
  <c r="AO34" i="183" s="1"/>
  <c r="AO35" i="183" s="1"/>
  <c r="R32" i="183"/>
  <c r="R31" i="183"/>
  <c r="AN30" i="183"/>
  <c r="AM30" i="183"/>
  <c r="AL30" i="183"/>
  <c r="AK30" i="183"/>
  <c r="AJ30" i="183"/>
  <c r="AI30" i="183"/>
  <c r="AH30" i="183"/>
  <c r="AG30" i="183"/>
  <c r="AF30" i="183"/>
  <c r="AE30" i="183"/>
  <c r="AD30" i="183"/>
  <c r="AC30" i="183"/>
  <c r="AB30" i="183"/>
  <c r="AA30" i="183"/>
  <c r="Z30" i="183"/>
  <c r="Y30" i="183"/>
  <c r="X30" i="183"/>
  <c r="W30" i="183"/>
  <c r="V30" i="183"/>
  <c r="U30" i="183"/>
  <c r="T30" i="183"/>
  <c r="S30" i="183"/>
  <c r="R30" i="183"/>
  <c r="AO29" i="183"/>
  <c r="AO30" i="183" s="1"/>
  <c r="AO31" i="183" s="1"/>
  <c r="R29" i="183"/>
  <c r="AO28" i="183"/>
  <c r="R28" i="183"/>
  <c r="R27" i="183"/>
  <c r="R26" i="183"/>
  <c r="AO25" i="183"/>
  <c r="AO26" i="183" s="1"/>
  <c r="AO27" i="183" s="1"/>
  <c r="R25" i="183"/>
  <c r="AO24" i="183"/>
  <c r="R24" i="183"/>
  <c r="R23" i="183"/>
  <c r="R22" i="183"/>
  <c r="AO21" i="183"/>
  <c r="AO22" i="183" s="1"/>
  <c r="AO23" i="183" s="1"/>
  <c r="R21" i="183"/>
  <c r="AO20" i="183"/>
  <c r="R20" i="183"/>
  <c r="R19" i="183"/>
  <c r="R18" i="183"/>
  <c r="AO17" i="183"/>
  <c r="AO18" i="183" s="1"/>
  <c r="AO19" i="183" s="1"/>
  <c r="R17" i="183"/>
  <c r="AO16" i="183"/>
  <c r="R16" i="183"/>
  <c r="AO15" i="183"/>
  <c r="R15" i="183"/>
  <c r="AO14" i="183"/>
  <c r="R14" i="183"/>
  <c r="N10" i="183"/>
  <c r="K10" i="183"/>
  <c r="B10" i="183"/>
  <c r="K9" i="183"/>
  <c r="B9" i="183"/>
  <c r="N6" i="183"/>
  <c r="I4" i="183"/>
  <c r="I2" i="183"/>
  <c r="T1" i="183"/>
  <c r="S1" i="183"/>
  <c r="I1" i="183"/>
  <c r="AO55" i="182"/>
  <c r="R55" i="182"/>
  <c r="R54" i="182"/>
  <c r="R53" i="182"/>
  <c r="R52" i="182"/>
  <c r="AO51" i="182"/>
  <c r="AO52" i="182" s="1"/>
  <c r="AO53" i="182" s="1"/>
  <c r="AO54" i="182" s="1"/>
  <c r="R51" i="182"/>
  <c r="R50" i="182"/>
  <c r="R49" i="182"/>
  <c r="R48" i="182"/>
  <c r="AO47" i="182"/>
  <c r="AO48" i="182" s="1"/>
  <c r="AO49" i="182" s="1"/>
  <c r="AO50" i="182" s="1"/>
  <c r="R47" i="182"/>
  <c r="R46" i="182"/>
  <c r="AO45" i="182"/>
  <c r="AO46" i="182" s="1"/>
  <c r="R45" i="182"/>
  <c r="R44" i="182"/>
  <c r="AO43" i="182"/>
  <c r="AO44" i="182" s="1"/>
  <c r="R43" i="182"/>
  <c r="R42" i="182"/>
  <c r="AO41" i="182"/>
  <c r="AO42" i="182" s="1"/>
  <c r="R41" i="182"/>
  <c r="R40" i="182"/>
  <c r="R39" i="182"/>
  <c r="R38" i="182"/>
  <c r="AO37" i="182"/>
  <c r="AO38" i="182" s="1"/>
  <c r="AO39" i="182" s="1"/>
  <c r="AO40" i="182" s="1"/>
  <c r="R37" i="182"/>
  <c r="R36" i="182"/>
  <c r="R35" i="182"/>
  <c r="R34" i="182"/>
  <c r="AO33" i="182"/>
  <c r="AO34" i="182" s="1"/>
  <c r="AO35" i="182" s="1"/>
  <c r="AO36" i="182" s="1"/>
  <c r="R33" i="182"/>
  <c r="R32" i="182"/>
  <c r="AO31" i="182"/>
  <c r="AO32" i="182" s="1"/>
  <c r="R31" i="182"/>
  <c r="AN30" i="182"/>
  <c r="AM30" i="182"/>
  <c r="AL30" i="182"/>
  <c r="AK30" i="182"/>
  <c r="AJ30" i="182"/>
  <c r="AI30" i="182"/>
  <c r="AH30" i="182"/>
  <c r="AG30" i="182"/>
  <c r="AF30" i="182"/>
  <c r="AE30" i="182"/>
  <c r="AD30" i="182"/>
  <c r="AC30" i="182"/>
  <c r="AB30" i="182"/>
  <c r="AA30" i="182"/>
  <c r="Z30" i="182"/>
  <c r="Y30" i="182"/>
  <c r="X30" i="182"/>
  <c r="W30" i="182"/>
  <c r="V30" i="182"/>
  <c r="U30" i="182"/>
  <c r="T30" i="182"/>
  <c r="S30" i="182"/>
  <c r="R30" i="182"/>
  <c r="AO29" i="182"/>
  <c r="AO30" i="182" s="1"/>
  <c r="R29" i="182"/>
  <c r="AO28" i="182"/>
  <c r="R28" i="182"/>
  <c r="AO27" i="182"/>
  <c r="R27" i="182"/>
  <c r="AO26" i="182"/>
  <c r="R26" i="182"/>
  <c r="R25" i="182"/>
  <c r="AO24" i="182"/>
  <c r="AO25" i="182" s="1"/>
  <c r="R24" i="182"/>
  <c r="AO23" i="182"/>
  <c r="R23" i="182"/>
  <c r="AO22" i="182"/>
  <c r="R22" i="182"/>
  <c r="R21" i="182"/>
  <c r="R20" i="182"/>
  <c r="R19" i="182"/>
  <c r="AO18" i="182"/>
  <c r="AO19" i="182" s="1"/>
  <c r="AO20" i="182" s="1"/>
  <c r="AO21" i="182" s="1"/>
  <c r="R18" i="182"/>
  <c r="AO17" i="182"/>
  <c r="R17" i="182"/>
  <c r="R16" i="182"/>
  <c r="R15" i="182"/>
  <c r="AO14" i="182"/>
  <c r="AO15" i="182" s="1"/>
  <c r="AO16" i="182" s="1"/>
  <c r="R14" i="182"/>
  <c r="N10" i="182"/>
  <c r="K10" i="182"/>
  <c r="B10" i="182"/>
  <c r="K9" i="182"/>
  <c r="B9" i="182"/>
  <c r="N6" i="182"/>
  <c r="T1" i="182"/>
  <c r="S1" i="182"/>
  <c r="I1" i="182"/>
  <c r="R55" i="181"/>
  <c r="R54" i="181"/>
  <c r="R53" i="181"/>
  <c r="AO52" i="181"/>
  <c r="AO53" i="181" s="1"/>
  <c r="AO54" i="181" s="1"/>
  <c r="AO55" i="181" s="1"/>
  <c r="R52" i="181"/>
  <c r="R51" i="181"/>
  <c r="AO50" i="181"/>
  <c r="AO51" i="181" s="1"/>
  <c r="R50" i="181"/>
  <c r="R49" i="181"/>
  <c r="R48" i="181"/>
  <c r="R47" i="181"/>
  <c r="R46" i="181"/>
  <c r="R45" i="181"/>
  <c r="AO44" i="181"/>
  <c r="AO45" i="181" s="1"/>
  <c r="AO46" i="181" s="1"/>
  <c r="AO47" i="181" s="1"/>
  <c r="AO48" i="181" s="1"/>
  <c r="AO49" i="181" s="1"/>
  <c r="R44" i="181"/>
  <c r="R43" i="181"/>
  <c r="R42" i="181"/>
  <c r="R41" i="181"/>
  <c r="AO40" i="181"/>
  <c r="AO41" i="181" s="1"/>
  <c r="AO42" i="181" s="1"/>
  <c r="AO43" i="181" s="1"/>
  <c r="R40" i="181"/>
  <c r="R39" i="181"/>
  <c r="AO38" i="181"/>
  <c r="AO39" i="181" s="1"/>
  <c r="R38" i="181"/>
  <c r="R37" i="181"/>
  <c r="AO36" i="181"/>
  <c r="AO37" i="181" s="1"/>
  <c r="R36" i="181"/>
  <c r="R35" i="181"/>
  <c r="AO34" i="181"/>
  <c r="AO35" i="181" s="1"/>
  <c r="R34" i="181"/>
  <c r="R33" i="181"/>
  <c r="AO32" i="181"/>
  <c r="AO33" i="181" s="1"/>
  <c r="R32" i="181"/>
  <c r="R31" i="181"/>
  <c r="AO30" i="181"/>
  <c r="AO31" i="181" s="1"/>
  <c r="AN30" i="181"/>
  <c r="AM30" i="181"/>
  <c r="AL30" i="181"/>
  <c r="AK30" i="181"/>
  <c r="AJ30" i="181"/>
  <c r="AI30" i="181"/>
  <c r="AH30" i="181"/>
  <c r="AG30" i="181"/>
  <c r="AF30" i="181"/>
  <c r="AE30" i="181"/>
  <c r="AD30" i="181"/>
  <c r="AC30" i="181"/>
  <c r="AB30" i="181"/>
  <c r="AA30" i="181"/>
  <c r="Z30" i="181"/>
  <c r="Y30" i="181"/>
  <c r="X30" i="181"/>
  <c r="W30" i="181"/>
  <c r="V30" i="181"/>
  <c r="U30" i="181"/>
  <c r="T30" i="181"/>
  <c r="S30" i="181"/>
  <c r="R30" i="181"/>
  <c r="R29" i="181"/>
  <c r="R28" i="181"/>
  <c r="AO27" i="181"/>
  <c r="AO28" i="181" s="1"/>
  <c r="AO29" i="181" s="1"/>
  <c r="R27" i="181"/>
  <c r="R26" i="181"/>
  <c r="R25" i="181"/>
  <c r="R24" i="181"/>
  <c r="R23" i="181"/>
  <c r="R22" i="181"/>
  <c r="AO21" i="181"/>
  <c r="AO22" i="181" s="1"/>
  <c r="AO23" i="181" s="1"/>
  <c r="AO24" i="181" s="1"/>
  <c r="AO25" i="181" s="1"/>
  <c r="AO26" i="181" s="1"/>
  <c r="R21" i="181"/>
  <c r="R20" i="181"/>
  <c r="AO19" i="181"/>
  <c r="AO20" i="181" s="1"/>
  <c r="R19" i="181"/>
  <c r="R18" i="181"/>
  <c r="R17" i="181"/>
  <c r="R16" i="181"/>
  <c r="AO15" i="181"/>
  <c r="AO16" i="181" s="1"/>
  <c r="AO17" i="181" s="1"/>
  <c r="AO18" i="181" s="1"/>
  <c r="R15" i="181"/>
  <c r="AO14" i="181"/>
  <c r="R14" i="181"/>
  <c r="N10" i="181"/>
  <c r="K10" i="181"/>
  <c r="B10" i="181"/>
  <c r="K9" i="181"/>
  <c r="B9" i="181"/>
  <c r="N6" i="181"/>
  <c r="I2" i="181"/>
  <c r="T1" i="181"/>
  <c r="S1" i="181"/>
  <c r="I4" i="181" s="1"/>
  <c r="AG50" i="180"/>
  <c r="O50" i="180"/>
  <c r="N50" i="180"/>
  <c r="M50" i="180"/>
  <c r="L50" i="180"/>
  <c r="K50" i="180"/>
  <c r="J50" i="180"/>
  <c r="I50" i="180"/>
  <c r="H50" i="180"/>
  <c r="G50" i="180"/>
  <c r="F50" i="180"/>
  <c r="E50" i="180"/>
  <c r="D50" i="180"/>
  <c r="C50" i="180"/>
  <c r="B50" i="180"/>
  <c r="AG49" i="180"/>
  <c r="P49" i="180"/>
  <c r="AG48" i="180"/>
  <c r="P48" i="180"/>
  <c r="AG47" i="180"/>
  <c r="P47" i="180"/>
  <c r="AG46" i="180"/>
  <c r="P46" i="180"/>
  <c r="AG45" i="180"/>
  <c r="P45" i="180"/>
  <c r="AG44" i="180"/>
  <c r="P44" i="180"/>
  <c r="AG43" i="180"/>
  <c r="P43" i="180"/>
  <c r="AG42" i="180"/>
  <c r="P42" i="180"/>
  <c r="AG41" i="180"/>
  <c r="P41" i="180"/>
  <c r="AG40" i="180"/>
  <c r="P40" i="180"/>
  <c r="AG39" i="180"/>
  <c r="P39" i="180"/>
  <c r="AG38" i="180"/>
  <c r="P38" i="180"/>
  <c r="AG37" i="180"/>
  <c r="P37" i="180"/>
  <c r="AG36" i="180"/>
  <c r="P36" i="180"/>
  <c r="AG35" i="180"/>
  <c r="P35" i="180"/>
  <c r="AG34" i="180"/>
  <c r="P34" i="180"/>
  <c r="AG33" i="180"/>
  <c r="P33" i="180"/>
  <c r="AG32" i="180"/>
  <c r="P32" i="180"/>
  <c r="AG31" i="180"/>
  <c r="P31" i="180"/>
  <c r="AG30" i="180"/>
  <c r="P30" i="180"/>
  <c r="AG29" i="180"/>
  <c r="P29" i="180"/>
  <c r="AG28" i="180"/>
  <c r="P28" i="180"/>
  <c r="AG27" i="180"/>
  <c r="P27" i="180"/>
  <c r="AG26" i="180"/>
  <c r="P26" i="180"/>
  <c r="AG25" i="180"/>
  <c r="P25" i="180"/>
  <c r="AG24" i="180"/>
  <c r="P24" i="180"/>
  <c r="AG23" i="180"/>
  <c r="P23" i="180"/>
  <c r="AG22" i="180"/>
  <c r="P22" i="180"/>
  <c r="AG21" i="180"/>
  <c r="P21" i="180"/>
  <c r="AG20" i="180"/>
  <c r="P20" i="180"/>
  <c r="AG19" i="180"/>
  <c r="P19" i="180"/>
  <c r="AG18" i="180"/>
  <c r="P18" i="180"/>
  <c r="AG17" i="180"/>
  <c r="P17" i="180"/>
  <c r="AG16" i="180"/>
  <c r="P16" i="180"/>
  <c r="AG15" i="180"/>
  <c r="P15" i="180"/>
  <c r="AG14" i="180"/>
  <c r="P14" i="180"/>
  <c r="N10" i="180"/>
  <c r="J10" i="180"/>
  <c r="B10" i="180"/>
  <c r="J9" i="180"/>
  <c r="B9" i="180"/>
  <c r="L6" i="180"/>
  <c r="H4" i="180"/>
  <c r="H2" i="180"/>
  <c r="S1" i="180"/>
  <c r="H1" i="180"/>
  <c r="AG50" i="179"/>
  <c r="O50" i="179"/>
  <c r="N50" i="179"/>
  <c r="M50" i="179"/>
  <c r="L50" i="179"/>
  <c r="K50" i="179"/>
  <c r="J50" i="179"/>
  <c r="I50" i="179"/>
  <c r="H50" i="179"/>
  <c r="G50" i="179"/>
  <c r="F50" i="179"/>
  <c r="E50" i="179"/>
  <c r="D50" i="179"/>
  <c r="C50" i="179"/>
  <c r="B50" i="179"/>
  <c r="AG49" i="179"/>
  <c r="P49" i="179"/>
  <c r="AG48" i="179"/>
  <c r="P48" i="179"/>
  <c r="AG47" i="179"/>
  <c r="P47" i="179"/>
  <c r="AG46" i="179"/>
  <c r="P46" i="179"/>
  <c r="AG45" i="179"/>
  <c r="P45" i="179"/>
  <c r="AG44" i="179"/>
  <c r="P44" i="179"/>
  <c r="AG43" i="179"/>
  <c r="P43" i="179"/>
  <c r="AG42" i="179"/>
  <c r="P42" i="179"/>
  <c r="AG41" i="179"/>
  <c r="P41" i="179"/>
  <c r="AG40" i="179"/>
  <c r="P40" i="179"/>
  <c r="AG39" i="179"/>
  <c r="P39" i="179"/>
  <c r="AG38" i="179"/>
  <c r="P38" i="179"/>
  <c r="AG37" i="179"/>
  <c r="P37" i="179"/>
  <c r="AG36" i="179"/>
  <c r="P36" i="179"/>
  <c r="AG35" i="179"/>
  <c r="P35" i="179"/>
  <c r="AG34" i="179"/>
  <c r="P34" i="179"/>
  <c r="AG33" i="179"/>
  <c r="P33" i="179"/>
  <c r="AG32" i="179"/>
  <c r="P32" i="179"/>
  <c r="AG31" i="179"/>
  <c r="P31" i="179"/>
  <c r="AG30" i="179"/>
  <c r="P30" i="179"/>
  <c r="AG29" i="179"/>
  <c r="P29" i="179"/>
  <c r="AG28" i="179"/>
  <c r="P28" i="179"/>
  <c r="AG27" i="179"/>
  <c r="P27" i="179"/>
  <c r="AG26" i="179"/>
  <c r="P26" i="179"/>
  <c r="AG25" i="179"/>
  <c r="P25" i="179"/>
  <c r="AG24" i="179"/>
  <c r="P24" i="179"/>
  <c r="AG23" i="179"/>
  <c r="P23" i="179"/>
  <c r="AG22" i="179"/>
  <c r="P22" i="179"/>
  <c r="AG21" i="179"/>
  <c r="P21" i="179"/>
  <c r="AG20" i="179"/>
  <c r="P20" i="179"/>
  <c r="AG19" i="179"/>
  <c r="P19" i="179"/>
  <c r="AG18" i="179"/>
  <c r="P18" i="179"/>
  <c r="AG17" i="179"/>
  <c r="P17" i="179"/>
  <c r="AG16" i="179"/>
  <c r="P16" i="179"/>
  <c r="AG15" i="179"/>
  <c r="P15" i="179"/>
  <c r="AG14" i="179"/>
  <c r="P14" i="179"/>
  <c r="N10" i="179"/>
  <c r="J10" i="179"/>
  <c r="B10" i="179"/>
  <c r="J9" i="179"/>
  <c r="B9" i="179"/>
  <c r="L6" i="179"/>
  <c r="H4" i="179"/>
  <c r="H2" i="179"/>
  <c r="S1" i="179"/>
  <c r="H1" i="179"/>
  <c r="AG50" i="178"/>
  <c r="O50" i="178"/>
  <c r="N50" i="178"/>
  <c r="M50" i="178"/>
  <c r="L50" i="178"/>
  <c r="K50" i="178"/>
  <c r="J50" i="178"/>
  <c r="I50" i="178"/>
  <c r="H50" i="178"/>
  <c r="G50" i="178"/>
  <c r="F50" i="178"/>
  <c r="E50" i="178"/>
  <c r="D50" i="178"/>
  <c r="C50" i="178"/>
  <c r="B50" i="178"/>
  <c r="AG49" i="178"/>
  <c r="P49" i="178"/>
  <c r="AG48" i="178"/>
  <c r="P48" i="178"/>
  <c r="AG47" i="178"/>
  <c r="P47" i="178"/>
  <c r="AG46" i="178"/>
  <c r="P46" i="178"/>
  <c r="AG45" i="178"/>
  <c r="P45" i="178"/>
  <c r="AG44" i="178"/>
  <c r="P44" i="178"/>
  <c r="AG43" i="178"/>
  <c r="P43" i="178"/>
  <c r="AG42" i="178"/>
  <c r="P42" i="178"/>
  <c r="AG41" i="178"/>
  <c r="P41" i="178"/>
  <c r="AG40" i="178"/>
  <c r="P40" i="178"/>
  <c r="AG39" i="178"/>
  <c r="P39" i="178"/>
  <c r="AG38" i="178"/>
  <c r="P38" i="178"/>
  <c r="AG37" i="178"/>
  <c r="P37" i="178"/>
  <c r="AG36" i="178"/>
  <c r="P36" i="178"/>
  <c r="AG35" i="178"/>
  <c r="P35" i="178"/>
  <c r="AG34" i="178"/>
  <c r="P34" i="178"/>
  <c r="AG33" i="178"/>
  <c r="P33" i="178"/>
  <c r="AG32" i="178"/>
  <c r="P32" i="178"/>
  <c r="AG31" i="178"/>
  <c r="P31" i="178"/>
  <c r="AG30" i="178"/>
  <c r="P30" i="178"/>
  <c r="AG29" i="178"/>
  <c r="P29" i="178"/>
  <c r="AG28" i="178"/>
  <c r="P28" i="178"/>
  <c r="AG27" i="178"/>
  <c r="P27" i="178"/>
  <c r="AG26" i="178"/>
  <c r="P26" i="178"/>
  <c r="AG25" i="178"/>
  <c r="P25" i="178"/>
  <c r="AG24" i="178"/>
  <c r="P24" i="178"/>
  <c r="AG23" i="178"/>
  <c r="P23" i="178"/>
  <c r="AG22" i="178"/>
  <c r="P22" i="178"/>
  <c r="AG21" i="178"/>
  <c r="P21" i="178"/>
  <c r="AG20" i="178"/>
  <c r="P20" i="178"/>
  <c r="AG19" i="178"/>
  <c r="P19" i="178"/>
  <c r="AG18" i="178"/>
  <c r="P18" i="178"/>
  <c r="AG17" i="178"/>
  <c r="P17" i="178"/>
  <c r="AG16" i="178"/>
  <c r="P16" i="178"/>
  <c r="AG15" i="178"/>
  <c r="P15" i="178"/>
  <c r="AG14" i="178"/>
  <c r="P14" i="178"/>
  <c r="N10" i="178"/>
  <c r="J10" i="178"/>
  <c r="B10" i="178"/>
  <c r="J9" i="178"/>
  <c r="B9" i="178"/>
  <c r="L6" i="178"/>
  <c r="H4" i="178"/>
  <c r="H2" i="178"/>
  <c r="S1" i="178"/>
  <c r="H1" i="178"/>
  <c r="AG50" i="177"/>
  <c r="O50" i="177"/>
  <c r="N50" i="177"/>
  <c r="M50" i="177"/>
  <c r="L50" i="177"/>
  <c r="K50" i="177"/>
  <c r="J50" i="177"/>
  <c r="I50" i="177"/>
  <c r="H50" i="177"/>
  <c r="G50" i="177"/>
  <c r="F50" i="177"/>
  <c r="E50" i="177"/>
  <c r="D50" i="177"/>
  <c r="C50" i="177"/>
  <c r="B50" i="177"/>
  <c r="AG49" i="177"/>
  <c r="P49" i="177"/>
  <c r="AG48" i="177"/>
  <c r="P48" i="177"/>
  <c r="AG47" i="177"/>
  <c r="P47" i="177"/>
  <c r="AG46" i="177"/>
  <c r="P46" i="177"/>
  <c r="AG45" i="177"/>
  <c r="P45" i="177"/>
  <c r="AG44" i="177"/>
  <c r="P44" i="177"/>
  <c r="AG43" i="177"/>
  <c r="P43" i="177"/>
  <c r="AG42" i="177"/>
  <c r="P42" i="177"/>
  <c r="AG41" i="177"/>
  <c r="P41" i="177"/>
  <c r="AG40" i="177"/>
  <c r="P40" i="177"/>
  <c r="AG39" i="177"/>
  <c r="P39" i="177"/>
  <c r="AG38" i="177"/>
  <c r="P38" i="177"/>
  <c r="AG37" i="177"/>
  <c r="P37" i="177"/>
  <c r="AG36" i="177"/>
  <c r="P36" i="177"/>
  <c r="AG35" i="177"/>
  <c r="P35" i="177"/>
  <c r="AG34" i="177"/>
  <c r="P34" i="177"/>
  <c r="AG33" i="177"/>
  <c r="P33" i="177"/>
  <c r="AG32" i="177"/>
  <c r="P32" i="177"/>
  <c r="AG31" i="177"/>
  <c r="P31" i="177"/>
  <c r="AG30" i="177"/>
  <c r="P30" i="177"/>
  <c r="AG29" i="177"/>
  <c r="P29" i="177"/>
  <c r="AG28" i="177"/>
  <c r="P28" i="177"/>
  <c r="AG27" i="177"/>
  <c r="P27" i="177"/>
  <c r="AG26" i="177"/>
  <c r="P26" i="177"/>
  <c r="AG25" i="177"/>
  <c r="P25" i="177"/>
  <c r="AG24" i="177"/>
  <c r="P24" i="177"/>
  <c r="AG23" i="177"/>
  <c r="P23" i="177"/>
  <c r="AG22" i="177"/>
  <c r="P22" i="177"/>
  <c r="AG21" i="177"/>
  <c r="P21" i="177"/>
  <c r="AG20" i="177"/>
  <c r="P20" i="177"/>
  <c r="AG19" i="177"/>
  <c r="P19" i="177"/>
  <c r="AG18" i="177"/>
  <c r="P18" i="177"/>
  <c r="AG17" i="177"/>
  <c r="P17" i="177"/>
  <c r="AG16" i="177"/>
  <c r="P16" i="177"/>
  <c r="AG15" i="177"/>
  <c r="P15" i="177"/>
  <c r="AG14" i="177"/>
  <c r="P14" i="177"/>
  <c r="N10" i="177"/>
  <c r="J10" i="177"/>
  <c r="B10" i="177"/>
  <c r="J9" i="177"/>
  <c r="B9" i="177"/>
  <c r="L6" i="177"/>
  <c r="H4" i="177"/>
  <c r="H2" i="177"/>
  <c r="S1" i="177"/>
  <c r="H1" i="177"/>
  <c r="AG50" i="176"/>
  <c r="O50" i="176"/>
  <c r="N50" i="176"/>
  <c r="M50" i="176"/>
  <c r="L50" i="176"/>
  <c r="K50" i="176"/>
  <c r="J50" i="176"/>
  <c r="I50" i="176"/>
  <c r="H50" i="176"/>
  <c r="G50" i="176"/>
  <c r="F50" i="176"/>
  <c r="E50" i="176"/>
  <c r="D50" i="176"/>
  <c r="C50" i="176"/>
  <c r="B50" i="176"/>
  <c r="AG49" i="176"/>
  <c r="P49" i="176"/>
  <c r="AG48" i="176"/>
  <c r="P48" i="176"/>
  <c r="AG47" i="176"/>
  <c r="P47" i="176"/>
  <c r="AG46" i="176"/>
  <c r="P46" i="176"/>
  <c r="AG45" i="176"/>
  <c r="P45" i="176"/>
  <c r="AG44" i="176"/>
  <c r="P44" i="176"/>
  <c r="AG43" i="176"/>
  <c r="P43" i="176"/>
  <c r="AG42" i="176"/>
  <c r="P42" i="176"/>
  <c r="AG41" i="176"/>
  <c r="P41" i="176"/>
  <c r="AG40" i="176"/>
  <c r="P40" i="176"/>
  <c r="AG39" i="176"/>
  <c r="P39" i="176"/>
  <c r="AG38" i="176"/>
  <c r="P38" i="176"/>
  <c r="AG37" i="176"/>
  <c r="P37" i="176"/>
  <c r="AG36" i="176"/>
  <c r="P36" i="176"/>
  <c r="AG35" i="176"/>
  <c r="P35" i="176"/>
  <c r="AG34" i="176"/>
  <c r="P34" i="176"/>
  <c r="AG33" i="176"/>
  <c r="P33" i="176"/>
  <c r="AG32" i="176"/>
  <c r="P32" i="176"/>
  <c r="AG31" i="176"/>
  <c r="P31" i="176"/>
  <c r="AG30" i="176"/>
  <c r="P30" i="176"/>
  <c r="AG29" i="176"/>
  <c r="P29" i="176"/>
  <c r="AG28" i="176"/>
  <c r="P28" i="176"/>
  <c r="AG27" i="176"/>
  <c r="P27" i="176"/>
  <c r="AG26" i="176"/>
  <c r="P26" i="176"/>
  <c r="AG25" i="176"/>
  <c r="P25" i="176"/>
  <c r="AG24" i="176"/>
  <c r="P24" i="176"/>
  <c r="AG23" i="176"/>
  <c r="P23" i="176"/>
  <c r="AG22" i="176"/>
  <c r="P22" i="176"/>
  <c r="AG21" i="176"/>
  <c r="P21" i="176"/>
  <c r="AG20" i="176"/>
  <c r="P20" i="176"/>
  <c r="AG19" i="176"/>
  <c r="P19" i="176"/>
  <c r="AG18" i="176"/>
  <c r="P18" i="176"/>
  <c r="AG17" i="176"/>
  <c r="P17" i="176"/>
  <c r="AG16" i="176"/>
  <c r="P16" i="176"/>
  <c r="AG15" i="176"/>
  <c r="P15" i="176"/>
  <c r="AG14" i="176"/>
  <c r="P14" i="176"/>
  <c r="N10" i="176"/>
  <c r="J10" i="176"/>
  <c r="B10" i="176"/>
  <c r="J9" i="176"/>
  <c r="B9" i="176"/>
  <c r="L6" i="176"/>
  <c r="H4" i="176"/>
  <c r="H2" i="176"/>
  <c r="S1" i="176"/>
  <c r="H1" i="176"/>
  <c r="AG50" i="175"/>
  <c r="O50" i="175"/>
  <c r="N50" i="175"/>
  <c r="M50" i="175"/>
  <c r="L50" i="175"/>
  <c r="K50" i="175"/>
  <c r="J50" i="175"/>
  <c r="I50" i="175"/>
  <c r="H50" i="175"/>
  <c r="G50" i="175"/>
  <c r="F50" i="175"/>
  <c r="E50" i="175"/>
  <c r="D50" i="175"/>
  <c r="C50" i="175"/>
  <c r="B50" i="175"/>
  <c r="AG49" i="175"/>
  <c r="P49" i="175"/>
  <c r="AG48" i="175"/>
  <c r="P48" i="175"/>
  <c r="AG47" i="175"/>
  <c r="P47" i="175"/>
  <c r="AG46" i="175"/>
  <c r="P46" i="175"/>
  <c r="AG45" i="175"/>
  <c r="P45" i="175"/>
  <c r="AG44" i="175"/>
  <c r="P44" i="175"/>
  <c r="AG43" i="175"/>
  <c r="P43" i="175"/>
  <c r="AG42" i="175"/>
  <c r="P42" i="175"/>
  <c r="AG41" i="175"/>
  <c r="P41" i="175"/>
  <c r="AG40" i="175"/>
  <c r="P40" i="175"/>
  <c r="AG39" i="175"/>
  <c r="P39" i="175"/>
  <c r="AG38" i="175"/>
  <c r="P38" i="175"/>
  <c r="AG37" i="175"/>
  <c r="P37" i="175"/>
  <c r="AG36" i="175"/>
  <c r="P36" i="175"/>
  <c r="AG35" i="175"/>
  <c r="P35" i="175"/>
  <c r="AG34" i="175"/>
  <c r="P34" i="175"/>
  <c r="AG33" i="175"/>
  <c r="P33" i="175"/>
  <c r="AG32" i="175"/>
  <c r="P32" i="175"/>
  <c r="AG31" i="175"/>
  <c r="P31" i="175"/>
  <c r="AG30" i="175"/>
  <c r="P30" i="175"/>
  <c r="AG29" i="175"/>
  <c r="P29" i="175"/>
  <c r="AG28" i="175"/>
  <c r="P28" i="175"/>
  <c r="AG27" i="175"/>
  <c r="P27" i="175"/>
  <c r="AG26" i="175"/>
  <c r="P26" i="175"/>
  <c r="AG25" i="175"/>
  <c r="P25" i="175"/>
  <c r="AG24" i="175"/>
  <c r="P24" i="175"/>
  <c r="AG23" i="175"/>
  <c r="P23" i="175"/>
  <c r="AG22" i="175"/>
  <c r="P22" i="175"/>
  <c r="AG21" i="175"/>
  <c r="P21" i="175"/>
  <c r="AG20" i="175"/>
  <c r="P20" i="175"/>
  <c r="AG19" i="175"/>
  <c r="P19" i="175"/>
  <c r="AG18" i="175"/>
  <c r="P18" i="175"/>
  <c r="AG17" i="175"/>
  <c r="P17" i="175"/>
  <c r="AG16" i="175"/>
  <c r="P16" i="175"/>
  <c r="AG15" i="175"/>
  <c r="P15" i="175"/>
  <c r="AG14" i="175"/>
  <c r="P14" i="175"/>
  <c r="N10" i="175"/>
  <c r="J10" i="175"/>
  <c r="B10" i="175"/>
  <c r="J9" i="175"/>
  <c r="B9" i="175"/>
  <c r="L6" i="175"/>
  <c r="H4" i="175"/>
  <c r="H2" i="175"/>
  <c r="S1" i="175"/>
  <c r="H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P49" i="169"/>
  <c r="AH48" i="169"/>
  <c r="AG48" i="169"/>
  <c r="Y48" i="169"/>
  <c r="X48" i="169"/>
  <c r="W48" i="169"/>
  <c r="V48" i="169"/>
  <c r="U48" i="169"/>
  <c r="T48" i="169"/>
  <c r="S48" i="169"/>
  <c r="R48" i="169"/>
  <c r="P48" i="169"/>
  <c r="AH47" i="169"/>
  <c r="AG47" i="169"/>
  <c r="Y47" i="169"/>
  <c r="X47" i="169"/>
  <c r="W47" i="169"/>
  <c r="V47" i="169"/>
  <c r="U47" i="169"/>
  <c r="T47" i="169"/>
  <c r="S47" i="169"/>
  <c r="R47" i="169"/>
  <c r="Z47" i="169" s="1"/>
  <c r="P47" i="169"/>
  <c r="AH46" i="169"/>
  <c r="AG46" i="169"/>
  <c r="Y46" i="169"/>
  <c r="X46" i="169"/>
  <c r="W46" i="169"/>
  <c r="V46" i="169"/>
  <c r="U46" i="169"/>
  <c r="T46" i="169"/>
  <c r="S46" i="169"/>
  <c r="R46" i="169"/>
  <c r="P46" i="169"/>
  <c r="AH45" i="169"/>
  <c r="AG45" i="169"/>
  <c r="Y45" i="169"/>
  <c r="X45" i="169"/>
  <c r="W45" i="169"/>
  <c r="V45" i="169"/>
  <c r="U45" i="169"/>
  <c r="T45" i="169"/>
  <c r="S45" i="169"/>
  <c r="R45" i="169"/>
  <c r="P45" i="169"/>
  <c r="AH44" i="169"/>
  <c r="AG44" i="169"/>
  <c r="Y44" i="169"/>
  <c r="X44" i="169"/>
  <c r="W44" i="169"/>
  <c r="V44" i="169"/>
  <c r="U44" i="169"/>
  <c r="T44" i="169"/>
  <c r="S44" i="169"/>
  <c r="R44" i="169"/>
  <c r="P44" i="169"/>
  <c r="AH43" i="169"/>
  <c r="AG43" i="169"/>
  <c r="Y43" i="169"/>
  <c r="X43" i="169"/>
  <c r="W43" i="169"/>
  <c r="V43" i="169"/>
  <c r="U43" i="169"/>
  <c r="T43" i="169"/>
  <c r="S43" i="169"/>
  <c r="R43" i="169"/>
  <c r="Z43" i="169" s="1"/>
  <c r="P43" i="169"/>
  <c r="AH42" i="169"/>
  <c r="AG42" i="169"/>
  <c r="Y42" i="169"/>
  <c r="X42" i="169"/>
  <c r="W42" i="169"/>
  <c r="V42" i="169"/>
  <c r="U42" i="169"/>
  <c r="T42" i="169"/>
  <c r="S42" i="169"/>
  <c r="R42" i="169"/>
  <c r="P42" i="169"/>
  <c r="AH41" i="169"/>
  <c r="AG41" i="169"/>
  <c r="Y41" i="169"/>
  <c r="X41" i="169"/>
  <c r="W41" i="169"/>
  <c r="V41" i="169"/>
  <c r="U41" i="169"/>
  <c r="T41" i="169"/>
  <c r="S41" i="169"/>
  <c r="R41" i="169"/>
  <c r="P41" i="169"/>
  <c r="AH40" i="169"/>
  <c r="AG40" i="169"/>
  <c r="Y40" i="169"/>
  <c r="X40" i="169"/>
  <c r="W40" i="169"/>
  <c r="V40" i="169"/>
  <c r="U40" i="169"/>
  <c r="T40" i="169"/>
  <c r="S40" i="169"/>
  <c r="R40" i="169"/>
  <c r="P40" i="169"/>
  <c r="AH39" i="169"/>
  <c r="AG39" i="169"/>
  <c r="Y39" i="169"/>
  <c r="X39" i="169"/>
  <c r="W39" i="169"/>
  <c r="V39" i="169"/>
  <c r="U39" i="169"/>
  <c r="T39" i="169"/>
  <c r="S39" i="169"/>
  <c r="R39" i="169"/>
  <c r="Z39" i="169" s="1"/>
  <c r="P39" i="169"/>
  <c r="AH38" i="169"/>
  <c r="AG38" i="169"/>
  <c r="Y38" i="169"/>
  <c r="X38" i="169"/>
  <c r="W38" i="169"/>
  <c r="V38" i="169"/>
  <c r="U38" i="169"/>
  <c r="T38" i="169"/>
  <c r="S38" i="169"/>
  <c r="R38" i="169"/>
  <c r="P38" i="169"/>
  <c r="AH37" i="169"/>
  <c r="AG37" i="169"/>
  <c r="Y37" i="169"/>
  <c r="X37" i="169"/>
  <c r="W37" i="169"/>
  <c r="V37" i="169"/>
  <c r="U37" i="169"/>
  <c r="T37" i="169"/>
  <c r="S37" i="169"/>
  <c r="R37" i="169"/>
  <c r="P37" i="169"/>
  <c r="AH36" i="169"/>
  <c r="AG36" i="169"/>
  <c r="Y36" i="169"/>
  <c r="X36" i="169"/>
  <c r="W36" i="169"/>
  <c r="V36" i="169"/>
  <c r="U36" i="169"/>
  <c r="T36" i="169"/>
  <c r="S36" i="169"/>
  <c r="R36" i="169"/>
  <c r="P36" i="169"/>
  <c r="AH35" i="169"/>
  <c r="AG35" i="169"/>
  <c r="Y35" i="169"/>
  <c r="X35" i="169"/>
  <c r="W35" i="169"/>
  <c r="V35" i="169"/>
  <c r="U35" i="169"/>
  <c r="T35" i="169"/>
  <c r="S35" i="169"/>
  <c r="R35" i="169"/>
  <c r="Z35" i="169" s="1"/>
  <c r="P35" i="169"/>
  <c r="AH34" i="169"/>
  <c r="AG34" i="169"/>
  <c r="Y34" i="169"/>
  <c r="X34" i="169"/>
  <c r="W34" i="169"/>
  <c r="V34" i="169"/>
  <c r="U34" i="169"/>
  <c r="T34" i="169"/>
  <c r="S34" i="169"/>
  <c r="R34" i="169"/>
  <c r="P34" i="169"/>
  <c r="AH33" i="169"/>
  <c r="AG33" i="169"/>
  <c r="Y33" i="169"/>
  <c r="X33" i="169"/>
  <c r="W33" i="169"/>
  <c r="V33" i="169"/>
  <c r="U33" i="169"/>
  <c r="T33" i="169"/>
  <c r="S33" i="169"/>
  <c r="R33" i="169"/>
  <c r="P33" i="169"/>
  <c r="AH32" i="169"/>
  <c r="AG32" i="169"/>
  <c r="Y32" i="169"/>
  <c r="X32" i="169"/>
  <c r="W32" i="169"/>
  <c r="V32" i="169"/>
  <c r="U32" i="169"/>
  <c r="T32" i="169"/>
  <c r="S32" i="169"/>
  <c r="R32" i="169"/>
  <c r="P32" i="169"/>
  <c r="AH31" i="169"/>
  <c r="AG31" i="169"/>
  <c r="Y31" i="169"/>
  <c r="X31" i="169"/>
  <c r="W31" i="169"/>
  <c r="V31" i="169"/>
  <c r="U31" i="169"/>
  <c r="T31" i="169"/>
  <c r="S31" i="169"/>
  <c r="R31" i="169"/>
  <c r="Z31" i="169" s="1"/>
  <c r="P31" i="169"/>
  <c r="AH30" i="169"/>
  <c r="AG30" i="169"/>
  <c r="Y30" i="169"/>
  <c r="X30" i="169"/>
  <c r="W30" i="169"/>
  <c r="V30" i="169"/>
  <c r="U30" i="169"/>
  <c r="T30" i="169"/>
  <c r="S30" i="169"/>
  <c r="R30" i="169"/>
  <c r="P30" i="169"/>
  <c r="AH29" i="169"/>
  <c r="AG29" i="169"/>
  <c r="Y29" i="169"/>
  <c r="X29" i="169"/>
  <c r="W29" i="169"/>
  <c r="V29" i="169"/>
  <c r="U29" i="169"/>
  <c r="T29" i="169"/>
  <c r="S29" i="169"/>
  <c r="R29" i="169"/>
  <c r="P29" i="169"/>
  <c r="AH28" i="169"/>
  <c r="AG28" i="169"/>
  <c r="Y28" i="169"/>
  <c r="X28" i="169"/>
  <c r="W28" i="169"/>
  <c r="V28" i="169"/>
  <c r="U28" i="169"/>
  <c r="T28" i="169"/>
  <c r="S28" i="169"/>
  <c r="R28" i="169"/>
  <c r="P28" i="169"/>
  <c r="AH27" i="169"/>
  <c r="AG27" i="169"/>
  <c r="Y27" i="169"/>
  <c r="X27" i="169"/>
  <c r="W27" i="169"/>
  <c r="V27" i="169"/>
  <c r="U27" i="169"/>
  <c r="T27" i="169"/>
  <c r="S27" i="169"/>
  <c r="R27" i="169"/>
  <c r="Z27" i="169" s="1"/>
  <c r="P27" i="169"/>
  <c r="AH26" i="169"/>
  <c r="AG26" i="169"/>
  <c r="Y26" i="169"/>
  <c r="X26" i="169"/>
  <c r="W26" i="169"/>
  <c r="V26" i="169"/>
  <c r="U26" i="169"/>
  <c r="T26" i="169"/>
  <c r="S26" i="169"/>
  <c r="R26" i="169"/>
  <c r="P26" i="169"/>
  <c r="AH25" i="169"/>
  <c r="AG25" i="169"/>
  <c r="Y25" i="169"/>
  <c r="X25" i="169"/>
  <c r="W25" i="169"/>
  <c r="V25" i="169"/>
  <c r="U25" i="169"/>
  <c r="T25" i="169"/>
  <c r="S25" i="169"/>
  <c r="R25" i="169"/>
  <c r="P25" i="169"/>
  <c r="AH24" i="169"/>
  <c r="AG24" i="169"/>
  <c r="Y24" i="169"/>
  <c r="X24" i="169"/>
  <c r="W24" i="169"/>
  <c r="V24" i="169"/>
  <c r="U24" i="169"/>
  <c r="T24" i="169"/>
  <c r="S24" i="169"/>
  <c r="R24" i="169"/>
  <c r="P24" i="169"/>
  <c r="AH23" i="169"/>
  <c r="AG23" i="169"/>
  <c r="Y23" i="169"/>
  <c r="X23" i="169"/>
  <c r="W23" i="169"/>
  <c r="V23" i="169"/>
  <c r="U23" i="169"/>
  <c r="T23" i="169"/>
  <c r="S23" i="169"/>
  <c r="R23" i="169"/>
  <c r="Z23" i="169" s="1"/>
  <c r="P23" i="169"/>
  <c r="AH22" i="169"/>
  <c r="AG22" i="169"/>
  <c r="Y22" i="169"/>
  <c r="X22" i="169"/>
  <c r="W22" i="169"/>
  <c r="V22" i="169"/>
  <c r="U22" i="169"/>
  <c r="T22" i="169"/>
  <c r="S22" i="169"/>
  <c r="R22" i="169"/>
  <c r="P22" i="169"/>
  <c r="AH21" i="169"/>
  <c r="AG21" i="169"/>
  <c r="Y21" i="169"/>
  <c r="X21" i="169"/>
  <c r="W21" i="169"/>
  <c r="V21" i="169"/>
  <c r="U21" i="169"/>
  <c r="T21" i="169"/>
  <c r="S21" i="169"/>
  <c r="R21" i="169"/>
  <c r="P21" i="169"/>
  <c r="AH20" i="169"/>
  <c r="AG20" i="169"/>
  <c r="Y20" i="169"/>
  <c r="X20" i="169"/>
  <c r="W20" i="169"/>
  <c r="V20" i="169"/>
  <c r="U20" i="169"/>
  <c r="T20" i="169"/>
  <c r="S20" i="169"/>
  <c r="R20" i="169"/>
  <c r="P20" i="169"/>
  <c r="AH19" i="169"/>
  <c r="AG19" i="169"/>
  <c r="Y19" i="169"/>
  <c r="X19" i="169"/>
  <c r="W19" i="169"/>
  <c r="V19" i="169"/>
  <c r="U19" i="169"/>
  <c r="T19" i="169"/>
  <c r="S19" i="169"/>
  <c r="R19" i="169"/>
  <c r="Z19" i="169" s="1"/>
  <c r="P19" i="169"/>
  <c r="AH18" i="169"/>
  <c r="AG18" i="169"/>
  <c r="Y18" i="169"/>
  <c r="X18" i="169"/>
  <c r="W18" i="169"/>
  <c r="V18" i="169"/>
  <c r="U18" i="169"/>
  <c r="T18" i="169"/>
  <c r="S18" i="169"/>
  <c r="R18" i="169"/>
  <c r="P18" i="169"/>
  <c r="AH17" i="169"/>
  <c r="AG17" i="169"/>
  <c r="Y17" i="169"/>
  <c r="X17" i="169"/>
  <c r="W17" i="169"/>
  <c r="V17" i="169"/>
  <c r="U17" i="169"/>
  <c r="T17" i="169"/>
  <c r="S17" i="169"/>
  <c r="R17" i="169"/>
  <c r="P17" i="169"/>
  <c r="AH16" i="169"/>
  <c r="AG16" i="169"/>
  <c r="Y16" i="169"/>
  <c r="X16" i="169"/>
  <c r="W16" i="169"/>
  <c r="V16" i="169"/>
  <c r="U16" i="169"/>
  <c r="T16" i="169"/>
  <c r="S16" i="169"/>
  <c r="R16" i="169"/>
  <c r="P16" i="169"/>
  <c r="AH15" i="169"/>
  <c r="AG15" i="169"/>
  <c r="Y15" i="169"/>
  <c r="X15" i="169"/>
  <c r="W15" i="169"/>
  <c r="V15" i="169"/>
  <c r="U15" i="169"/>
  <c r="T15" i="169"/>
  <c r="S15" i="169"/>
  <c r="R15" i="169"/>
  <c r="Z15" i="169" s="1"/>
  <c r="P15" i="169"/>
  <c r="AH14" i="169"/>
  <c r="AG14" i="169"/>
  <c r="Y14" i="169"/>
  <c r="X14" i="169"/>
  <c r="W14" i="169"/>
  <c r="V14" i="169"/>
  <c r="U14" i="169"/>
  <c r="T14" i="169"/>
  <c r="S14" i="169"/>
  <c r="R14" i="169"/>
  <c r="P14" i="169"/>
  <c r="AH13" i="169"/>
  <c r="AG13" i="169"/>
  <c r="Y13" i="169"/>
  <c r="X13" i="169"/>
  <c r="W13" i="169"/>
  <c r="V13" i="169"/>
  <c r="U13" i="169"/>
  <c r="T13" i="169"/>
  <c r="S13" i="169"/>
  <c r="R13" i="169"/>
  <c r="P13" i="169"/>
  <c r="N10" i="169"/>
  <c r="L10" i="169"/>
  <c r="B10" i="169"/>
  <c r="L9" i="169"/>
  <c r="B9" i="169"/>
  <c r="L6" i="169"/>
  <c r="H4" i="169"/>
  <c r="H2" i="169"/>
  <c r="Q1" i="169"/>
  <c r="P1" i="169"/>
  <c r="H1" i="169"/>
  <c r="FF28" i="193" l="1"/>
  <c r="AW30" i="193"/>
  <c r="BA19" i="191"/>
  <c r="AZ21" i="191"/>
  <c r="FH61" i="191" s="1"/>
  <c r="AD41" i="200"/>
  <c r="AZ14" i="191"/>
  <c r="FH54" i="191" s="1"/>
  <c r="H34" i="193"/>
  <c r="AV33" i="191"/>
  <c r="FG73" i="191" s="1"/>
  <c r="AW27" i="193"/>
  <c r="AS45" i="193"/>
  <c r="AZ18" i="193"/>
  <c r="FH58" i="193" s="1"/>
  <c r="ET23" i="193"/>
  <c r="EL41" i="200"/>
  <c r="GL41" i="200"/>
  <c r="AS43" i="193"/>
  <c r="BA36" i="191"/>
  <c r="AW38" i="191"/>
  <c r="H36" i="192"/>
  <c r="AV42" i="193"/>
  <c r="FG82" i="193" s="1"/>
  <c r="EV59" i="193"/>
  <c r="EE64" i="193"/>
  <c r="EG64" i="193" s="1"/>
  <c r="DL64" i="193" s="1"/>
  <c r="ET31" i="193"/>
  <c r="BA35" i="191"/>
  <c r="AZ41" i="191"/>
  <c r="FH81" i="191" s="1"/>
  <c r="ET42" i="193"/>
  <c r="BA28" i="191"/>
  <c r="AS33" i="191"/>
  <c r="AZ15" i="191"/>
  <c r="FH55" i="191" s="1"/>
  <c r="AZ45" i="191"/>
  <c r="FH85" i="191" s="1"/>
  <c r="I45" i="192"/>
  <c r="BS45" i="192" s="1"/>
  <c r="AS43" i="192"/>
  <c r="BE29" i="191"/>
  <c r="BD14" i="192"/>
  <c r="FI54" i="192" s="1"/>
  <c r="FF54" i="192"/>
  <c r="AR34" i="191"/>
  <c r="FF74" i="191" s="1"/>
  <c r="EF80" i="191"/>
  <c r="BA25" i="192"/>
  <c r="AW26" i="191"/>
  <c r="BD43" i="193"/>
  <c r="FI83" i="193" s="1"/>
  <c r="EE80" i="191"/>
  <c r="EG80" i="191" s="1"/>
  <c r="DL80" i="191" s="1"/>
  <c r="CZ83" i="192"/>
  <c r="AR42" i="191"/>
  <c r="FF82" i="191" s="1"/>
  <c r="BD32" i="193"/>
  <c r="FI72" i="193" s="1"/>
  <c r="ET18" i="192"/>
  <c r="AS31" i="191"/>
  <c r="AS32" i="191"/>
  <c r="AS43" i="191"/>
  <c r="AV26" i="192"/>
  <c r="FG66" i="192" s="1"/>
  <c r="AW26" i="192"/>
  <c r="AZ35" i="192"/>
  <c r="FH75" i="192" s="1"/>
  <c r="BA35" i="192"/>
  <c r="BE36" i="192"/>
  <c r="BD36" i="192"/>
  <c r="FI76" i="192" s="1"/>
  <c r="AV37" i="192"/>
  <c r="FG77" i="192" s="1"/>
  <c r="AW37" i="192"/>
  <c r="FG76" i="193"/>
  <c r="ET24" i="192"/>
  <c r="BA26" i="192"/>
  <c r="AZ26" i="192"/>
  <c r="FH66" i="192" s="1"/>
  <c r="BE35" i="192"/>
  <c r="BD35" i="192"/>
  <c r="FI75" i="192" s="1"/>
  <c r="BA37" i="192"/>
  <c r="AZ37" i="192"/>
  <c r="FH77" i="192" s="1"/>
  <c r="FG78" i="192"/>
  <c r="BA36" i="193"/>
  <c r="AZ36" i="193"/>
  <c r="FH76" i="193" s="1"/>
  <c r="AZ37" i="193"/>
  <c r="FH77" i="193" s="1"/>
  <c r="AV38" i="193"/>
  <c r="FG78" i="193" s="1"/>
  <c r="AW38" i="193"/>
  <c r="G36" i="192"/>
  <c r="BD26" i="192"/>
  <c r="FI66" i="192" s="1"/>
  <c r="BE26" i="192"/>
  <c r="BD37" i="192"/>
  <c r="FI77" i="192" s="1"/>
  <c r="BE37" i="192"/>
  <c r="AZ38" i="192"/>
  <c r="FH78" i="192" s="1"/>
  <c r="BA38" i="192"/>
  <c r="AR41" i="192"/>
  <c r="FF81" i="192" s="1"/>
  <c r="AS41" i="192"/>
  <c r="AV33" i="193"/>
  <c r="FG73" i="193" s="1"/>
  <c r="AW33" i="193"/>
  <c r="BA38" i="193"/>
  <c r="AZ38" i="193"/>
  <c r="FH78" i="193" s="1"/>
  <c r="AV28" i="192"/>
  <c r="FG68" i="192" s="1"/>
  <c r="AW28" i="192"/>
  <c r="AW40" i="192"/>
  <c r="AV40" i="192"/>
  <c r="FG80" i="192" s="1"/>
  <c r="AW34" i="193"/>
  <c r="AV34" i="193"/>
  <c r="FG74" i="193" s="1"/>
  <c r="BA28" i="192"/>
  <c r="AZ28" i="192"/>
  <c r="FH68" i="192" s="1"/>
  <c r="BD30" i="192"/>
  <c r="FI70" i="192" s="1"/>
  <c r="BE30" i="192"/>
  <c r="AV32" i="192"/>
  <c r="FG72" i="192" s="1"/>
  <c r="AW32" i="192"/>
  <c r="AZ40" i="192"/>
  <c r="FH80" i="192" s="1"/>
  <c r="BA40" i="192"/>
  <c r="BA41" i="192"/>
  <c r="AZ41" i="192"/>
  <c r="FH81" i="192" s="1"/>
  <c r="FF54" i="193"/>
  <c r="BA34" i="193"/>
  <c r="AZ34" i="193"/>
  <c r="FH74" i="193" s="1"/>
  <c r="H40" i="192"/>
  <c r="G45" i="192"/>
  <c r="EF58" i="192"/>
  <c r="BD27" i="192"/>
  <c r="FI67" i="192" s="1"/>
  <c r="BE27" i="192"/>
  <c r="BD28" i="192"/>
  <c r="FI68" i="192" s="1"/>
  <c r="BE28" i="192"/>
  <c r="AZ31" i="192"/>
  <c r="FH71" i="192" s="1"/>
  <c r="BA31" i="192"/>
  <c r="BA32" i="192"/>
  <c r="AZ32" i="192"/>
  <c r="FH72" i="192" s="1"/>
  <c r="FG73" i="192"/>
  <c r="AR36" i="192"/>
  <c r="FF76" i="192" s="1"/>
  <c r="AS36" i="192"/>
  <c r="FG79" i="192"/>
  <c r="BE40" i="192"/>
  <c r="BD40" i="192"/>
  <c r="FI80" i="192" s="1"/>
  <c r="BD41" i="192"/>
  <c r="FI81" i="192" s="1"/>
  <c r="BE41" i="192"/>
  <c r="AZ19" i="193"/>
  <c r="FH59" i="193" s="1"/>
  <c r="G34" i="193"/>
  <c r="BD35" i="193"/>
  <c r="FI75" i="193" s="1"/>
  <c r="FG72" i="193"/>
  <c r="AW32" i="193"/>
  <c r="BD38" i="192"/>
  <c r="FI78" i="192" s="1"/>
  <c r="BE38" i="192"/>
  <c r="BA33" i="193"/>
  <c r="AZ33" i="193"/>
  <c r="FH73" i="193" s="1"/>
  <c r="AS15" i="191"/>
  <c r="AW40" i="191"/>
  <c r="BA29" i="192"/>
  <c r="AZ29" i="192"/>
  <c r="FH69" i="192" s="1"/>
  <c r="BD31" i="192"/>
  <c r="FI71" i="192" s="1"/>
  <c r="BE31" i="192"/>
  <c r="BE32" i="192"/>
  <c r="BD32" i="192"/>
  <c r="AZ33" i="192"/>
  <c r="FH73" i="192" s="1"/>
  <c r="BA33" i="192"/>
  <c r="AZ34" i="192"/>
  <c r="FH74" i="192" s="1"/>
  <c r="BA34" i="192"/>
  <c r="AW36" i="192"/>
  <c r="AV36" i="192"/>
  <c r="FG76" i="192" s="1"/>
  <c r="AZ39" i="192"/>
  <c r="FH79" i="192" s="1"/>
  <c r="BA39" i="192"/>
  <c r="AW15" i="193"/>
  <c r="BD44" i="193"/>
  <c r="FI84" i="193" s="1"/>
  <c r="BA32" i="193"/>
  <c r="AZ32" i="193"/>
  <c r="FH72" i="193" s="1"/>
  <c r="AZ30" i="192"/>
  <c r="FH70" i="192" s="1"/>
  <c r="BA30" i="192"/>
  <c r="AV41" i="192"/>
  <c r="FG81" i="192" s="1"/>
  <c r="AW41" i="192"/>
  <c r="AR14" i="191"/>
  <c r="FF54" i="191" s="1"/>
  <c r="BD29" i="192"/>
  <c r="FI69" i="192" s="1"/>
  <c r="BE29" i="192"/>
  <c r="BE33" i="192"/>
  <c r="BD33" i="192"/>
  <c r="FI73" i="192" s="1"/>
  <c r="BD34" i="192"/>
  <c r="FI74" i="192" s="1"/>
  <c r="BE34" i="192"/>
  <c r="AZ36" i="192"/>
  <c r="FH76" i="192" s="1"/>
  <c r="BA36" i="192"/>
  <c r="BD39" i="192"/>
  <c r="FI79" i="192" s="1"/>
  <c r="BE39" i="192"/>
  <c r="FF32" i="193"/>
  <c r="FF31" i="193" s="1"/>
  <c r="FF30" i="193" s="1"/>
  <c r="FF29" i="193"/>
  <c r="FF33" i="193"/>
  <c r="FF35" i="193"/>
  <c r="FF19" i="193"/>
  <c r="FF25" i="192"/>
  <c r="FF37" i="192"/>
  <c r="FF32" i="192"/>
  <c r="FF28" i="192"/>
  <c r="FF40" i="192"/>
  <c r="FF34" i="192"/>
  <c r="FF31" i="192"/>
  <c r="FF24" i="192"/>
  <c r="FF23" i="192" s="1"/>
  <c r="AZ15" i="193"/>
  <c r="FH55" i="193" s="1"/>
  <c r="H37" i="192"/>
  <c r="AW35" i="191"/>
  <c r="I37" i="192"/>
  <c r="BS37" i="192" s="1"/>
  <c r="BT37" i="192" s="1"/>
  <c r="ET24" i="193"/>
  <c r="BD25" i="193"/>
  <c r="FI65" i="193" s="1"/>
  <c r="EV84" i="193"/>
  <c r="AZ22" i="192"/>
  <c r="FH62" i="192" s="1"/>
  <c r="BD19" i="193"/>
  <c r="FI59" i="193" s="1"/>
  <c r="AR26" i="193"/>
  <c r="FF66" i="193" s="1"/>
  <c r="BE22" i="191"/>
  <c r="BE34" i="191"/>
  <c r="AZ42" i="191"/>
  <c r="FH82" i="191" s="1"/>
  <c r="AZ18" i="192"/>
  <c r="FH58" i="192" s="1"/>
  <c r="ET23" i="192"/>
  <c r="BA42" i="192"/>
  <c r="BD43" i="192"/>
  <c r="FI83" i="192" s="1"/>
  <c r="BD27" i="193"/>
  <c r="FI67" i="193" s="1"/>
  <c r="BE45" i="193"/>
  <c r="AS37" i="191"/>
  <c r="BE44" i="191"/>
  <c r="AS17" i="193"/>
  <c r="AZ17" i="191"/>
  <c r="FH57" i="191" s="1"/>
  <c r="AS36" i="191"/>
  <c r="BE45" i="191"/>
  <c r="FF61" i="192"/>
  <c r="AR42" i="192"/>
  <c r="FF82" i="192" s="1"/>
  <c r="AZ28" i="193"/>
  <c r="FH68" i="193" s="1"/>
  <c r="EE57" i="193"/>
  <c r="EG57" i="193" s="1"/>
  <c r="DL57" i="193" s="1"/>
  <c r="DN57" i="193" s="1"/>
  <c r="AS24" i="191"/>
  <c r="BD23" i="192"/>
  <c r="FI63" i="192" s="1"/>
  <c r="FF80" i="192"/>
  <c r="EF62" i="192"/>
  <c r="ET45" i="193"/>
  <c r="AD23" i="203"/>
  <c r="AD23" i="199"/>
  <c r="FF72" i="193"/>
  <c r="FG63" i="193"/>
  <c r="FG56" i="193"/>
  <c r="FG59" i="192"/>
  <c r="FG70" i="192"/>
  <c r="AD37" i="199"/>
  <c r="AD27" i="196"/>
  <c r="AD32" i="208"/>
  <c r="AD19" i="208"/>
  <c r="AD24" i="206"/>
  <c r="AD36" i="205"/>
  <c r="AD38" i="205"/>
  <c r="AD32" i="199"/>
  <c r="AD38" i="206"/>
  <c r="AD20" i="203"/>
  <c r="AD17" i="203"/>
  <c r="AD33" i="201"/>
  <c r="AD38" i="200"/>
  <c r="AD36" i="200"/>
  <c r="AD33" i="199"/>
  <c r="AD29" i="199"/>
  <c r="AD17" i="199"/>
  <c r="AD28" i="198"/>
  <c r="AD23" i="198"/>
  <c r="AD25" i="196"/>
  <c r="AD28" i="208"/>
  <c r="AD34" i="207"/>
  <c r="AD38" i="204"/>
  <c r="AD24" i="204"/>
  <c r="AD34" i="203"/>
  <c r="AD27" i="200"/>
  <c r="AD38" i="199"/>
  <c r="AD20" i="199"/>
  <c r="AD27" i="198"/>
  <c r="AD18" i="198"/>
  <c r="AD33" i="197"/>
  <c r="AD29" i="197"/>
  <c r="AD20" i="197"/>
  <c r="ET42" i="191"/>
  <c r="AZ15" i="192"/>
  <c r="FH55" i="192" s="1"/>
  <c r="EO33" i="193"/>
  <c r="BA31" i="191"/>
  <c r="BE33" i="191"/>
  <c r="EO40" i="191"/>
  <c r="BD42" i="191"/>
  <c r="FI82" i="191" s="1"/>
  <c r="CZ83" i="191"/>
  <c r="ET17" i="192"/>
  <c r="BA19" i="192"/>
  <c r="ET29" i="192"/>
  <c r="G40" i="192"/>
  <c r="FG60" i="193"/>
  <c r="FG61" i="193"/>
  <c r="BD33" i="193"/>
  <c r="FI73" i="193" s="1"/>
  <c r="AZ42" i="193"/>
  <c r="FH82" i="193" s="1"/>
  <c r="EE58" i="193"/>
  <c r="EG58" i="193" s="1"/>
  <c r="DL58" i="193" s="1"/>
  <c r="AS16" i="191"/>
  <c r="AZ18" i="191"/>
  <c r="FH58" i="191" s="1"/>
  <c r="AV37" i="191"/>
  <c r="FG77" i="191" s="1"/>
  <c r="BA43" i="191"/>
  <c r="EE82" i="191"/>
  <c r="EG82" i="191" s="1"/>
  <c r="DL82" i="191" s="1"/>
  <c r="DN82" i="191" s="1"/>
  <c r="FF62" i="192"/>
  <c r="BD22" i="192"/>
  <c r="FI62" i="192" s="1"/>
  <c r="ET22" i="192"/>
  <c r="EE69" i="192"/>
  <c r="EG69" i="192" s="1"/>
  <c r="DL69" i="192" s="1"/>
  <c r="DN69" i="192" s="1"/>
  <c r="AV14" i="193"/>
  <c r="FG54" i="193" s="1"/>
  <c r="BE34" i="193"/>
  <c r="AV40" i="193"/>
  <c r="FG80" i="193" s="1"/>
  <c r="AV41" i="193"/>
  <c r="FG81" i="193" s="1"/>
  <c r="ET43" i="193"/>
  <c r="EF58" i="193"/>
  <c r="AV44" i="192"/>
  <c r="FG84" i="192" s="1"/>
  <c r="EE57" i="192"/>
  <c r="EG57" i="192" s="1"/>
  <c r="DL57" i="192" s="1"/>
  <c r="DN57" i="192" s="1"/>
  <c r="DP57" i="192" s="1"/>
  <c r="FF55" i="193"/>
  <c r="AR17" i="191"/>
  <c r="FF57" i="191" s="1"/>
  <c r="BE31" i="191"/>
  <c r="BA32" i="191"/>
  <c r="EO35" i="191"/>
  <c r="AW45" i="191"/>
  <c r="BD15" i="192"/>
  <c r="FI55" i="192" s="1"/>
  <c r="BD20" i="192"/>
  <c r="FI60" i="192" s="1"/>
  <c r="AZ21" i="192"/>
  <c r="FH61" i="192" s="1"/>
  <c r="ET25" i="192"/>
  <c r="AV43" i="192"/>
  <c r="FG83" i="192" s="1"/>
  <c r="BD15" i="193"/>
  <c r="FI55" i="193" s="1"/>
  <c r="BD16" i="193"/>
  <c r="FI56" i="193" s="1"/>
  <c r="BA20" i="193"/>
  <c r="AW26" i="193"/>
  <c r="AZ39" i="193"/>
  <c r="FH79" i="193" s="1"/>
  <c r="EO40" i="193"/>
  <c r="FG71" i="192"/>
  <c r="AW22" i="191"/>
  <c r="BA25" i="191"/>
  <c r="EE65" i="192"/>
  <c r="EG65" i="192" s="1"/>
  <c r="DL65" i="192" s="1"/>
  <c r="DM65" i="192" s="1"/>
  <c r="CZ71" i="192"/>
  <c r="ET17" i="193"/>
  <c r="AZ37" i="191"/>
  <c r="FH77" i="191" s="1"/>
  <c r="AV16" i="192"/>
  <c r="FG56" i="192" s="1"/>
  <c r="EV67" i="193"/>
  <c r="BE18" i="191"/>
  <c r="AZ22" i="191"/>
  <c r="FH62" i="191" s="1"/>
  <c r="AV29" i="191"/>
  <c r="FG69" i="191" s="1"/>
  <c r="AR30" i="191"/>
  <c r="FF70" i="191" s="1"/>
  <c r="AV32" i="191"/>
  <c r="FG72" i="191" s="1"/>
  <c r="BE37" i="191"/>
  <c r="AR40" i="191"/>
  <c r="FF80" i="191" s="1"/>
  <c r="EE72" i="191"/>
  <c r="EG72" i="191" s="1"/>
  <c r="DL72" i="191" s="1"/>
  <c r="EF79" i="191"/>
  <c r="ET43" i="192"/>
  <c r="H44" i="192"/>
  <c r="AR44" i="192"/>
  <c r="FF84" i="192" s="1"/>
  <c r="G27" i="193"/>
  <c r="BD29" i="193"/>
  <c r="FI69" i="193" s="1"/>
  <c r="AW31" i="193"/>
  <c r="BA37" i="193"/>
  <c r="AS42" i="193"/>
  <c r="AR44" i="193"/>
  <c r="FF84" i="193" s="1"/>
  <c r="BA44" i="193"/>
  <c r="ET36" i="192"/>
  <c r="AW42" i="192"/>
  <c r="I44" i="192"/>
  <c r="BS44" i="192" s="1"/>
  <c r="CZ58" i="192"/>
  <c r="EE83" i="192"/>
  <c r="EG83" i="192" s="1"/>
  <c r="DL83" i="192" s="1"/>
  <c r="DN83" i="192" s="1"/>
  <c r="AV19" i="193"/>
  <c r="FG59" i="193" s="1"/>
  <c r="BE23" i="193"/>
  <c r="FG64" i="193"/>
  <c r="I27" i="193"/>
  <c r="BS27" i="193" s="1"/>
  <c r="BT27" i="193" s="1"/>
  <c r="AZ45" i="193"/>
  <c r="FH85" i="193" s="1"/>
  <c r="EE67" i="193"/>
  <c r="EG67" i="193" s="1"/>
  <c r="DL67" i="193" s="1"/>
  <c r="CZ73" i="193"/>
  <c r="AV39" i="191"/>
  <c r="FG79" i="191" s="1"/>
  <c r="FF79" i="192"/>
  <c r="EV72" i="191"/>
  <c r="EO44" i="192"/>
  <c r="EF83" i="191"/>
  <c r="AZ29" i="193"/>
  <c r="FH69" i="193" s="1"/>
  <c r="AV44" i="193"/>
  <c r="FG84" i="193" s="1"/>
  <c r="BD27" i="191"/>
  <c r="FI67" i="191" s="1"/>
  <c r="EV77" i="191"/>
  <c r="CZ79" i="191"/>
  <c r="AZ14" i="192"/>
  <c r="FH54" i="192" s="1"/>
  <c r="FG58" i="192"/>
  <c r="BA20" i="192"/>
  <c r="BA43" i="192"/>
  <c r="BD17" i="193"/>
  <c r="FI57" i="193" s="1"/>
  <c r="AR19" i="193"/>
  <c r="FF59" i="193" s="1"/>
  <c r="AZ23" i="193"/>
  <c r="FH63" i="193" s="1"/>
  <c r="BE28" i="193"/>
  <c r="AZ41" i="193"/>
  <c r="FH81" i="193" s="1"/>
  <c r="EE62" i="193"/>
  <c r="EG62" i="193" s="1"/>
  <c r="DL62" i="193" s="1"/>
  <c r="BD14" i="191"/>
  <c r="FI54" i="191" s="1"/>
  <c r="AS26" i="191"/>
  <c r="AZ38" i="191"/>
  <c r="FH78" i="191" s="1"/>
  <c r="AS41" i="191"/>
  <c r="AS44" i="191"/>
  <c r="G45" i="191"/>
  <c r="AV23" i="192"/>
  <c r="FG63" i="192" s="1"/>
  <c r="EO27" i="192"/>
  <c r="EE73" i="192"/>
  <c r="EG73" i="192" s="1"/>
  <c r="DL73" i="192" s="1"/>
  <c r="AZ21" i="193"/>
  <c r="FH61" i="193" s="1"/>
  <c r="BD24" i="193"/>
  <c r="FI64" i="193" s="1"/>
  <c r="BE26" i="193"/>
  <c r="FF70" i="193"/>
  <c r="FG75" i="193"/>
  <c r="BE36" i="193"/>
  <c r="BD40" i="193"/>
  <c r="FI80" i="193" s="1"/>
  <c r="AV43" i="193"/>
  <c r="FG83" i="193" s="1"/>
  <c r="AW45" i="193"/>
  <c r="EF62" i="193"/>
  <c r="EE71" i="193"/>
  <c r="EG71" i="193" s="1"/>
  <c r="DL71" i="193" s="1"/>
  <c r="DN71" i="193" s="1"/>
  <c r="EE83" i="193"/>
  <c r="EG83" i="193" s="1"/>
  <c r="DL83" i="193" s="1"/>
  <c r="DN83" i="193" s="1"/>
  <c r="EO22" i="193"/>
  <c r="AV30" i="191"/>
  <c r="FG70" i="191" s="1"/>
  <c r="EV78" i="191"/>
  <c r="EO42" i="192"/>
  <c r="FF69" i="191"/>
  <c r="ET32" i="191"/>
  <c r="AW34" i="191"/>
  <c r="EV73" i="191"/>
  <c r="ET21" i="192"/>
  <c r="AW22" i="192"/>
  <c r="AV24" i="192"/>
  <c r="FG64" i="192" s="1"/>
  <c r="ET33" i="192"/>
  <c r="AV45" i="192"/>
  <c r="FG85" i="192" s="1"/>
  <c r="BD14" i="193"/>
  <c r="FI54" i="193" s="1"/>
  <c r="BD20" i="193"/>
  <c r="FI60" i="193" s="1"/>
  <c r="AW17" i="191"/>
  <c r="AZ30" i="191"/>
  <c r="FH70" i="191" s="1"/>
  <c r="BA33" i="191"/>
  <c r="ET39" i="191"/>
  <c r="BE41" i="191"/>
  <c r="H45" i="191"/>
  <c r="EE61" i="192"/>
  <c r="EG61" i="192" s="1"/>
  <c r="DL61" i="192" s="1"/>
  <c r="ET27" i="193"/>
  <c r="FF73" i="193"/>
  <c r="AS41" i="193"/>
  <c r="FF71" i="192"/>
  <c r="H38" i="192"/>
  <c r="I38" i="192"/>
  <c r="BS38" i="192" s="1"/>
  <c r="G38" i="192"/>
  <c r="BA26" i="191"/>
  <c r="AZ26" i="191"/>
  <c r="FH66" i="191" s="1"/>
  <c r="BE31" i="193"/>
  <c r="BD30" i="193"/>
  <c r="FI70" i="193" s="1"/>
  <c r="BE30" i="193"/>
  <c r="BA23" i="192"/>
  <c r="AZ23" i="192"/>
  <c r="FH63" i="192" s="1"/>
  <c r="BA20" i="191"/>
  <c r="AS25" i="191"/>
  <c r="BA27" i="191"/>
  <c r="BD38" i="191"/>
  <c r="FI78" i="191" s="1"/>
  <c r="BE38" i="191"/>
  <c r="EV84" i="191"/>
  <c r="AZ45" i="192"/>
  <c r="FH85" i="192" s="1"/>
  <c r="BE45" i="192"/>
  <c r="BD45" i="192"/>
  <c r="FI85" i="192" s="1"/>
  <c r="AZ27" i="193"/>
  <c r="FH67" i="193" s="1"/>
  <c r="AS39" i="193"/>
  <c r="EE74" i="193"/>
  <c r="EG74" i="193" s="1"/>
  <c r="DL74" i="193" s="1"/>
  <c r="EF74" i="193"/>
  <c r="ET34" i="193"/>
  <c r="BE39" i="193"/>
  <c r="BD39" i="193"/>
  <c r="FI79" i="193" s="1"/>
  <c r="I42" i="193"/>
  <c r="BS42" i="193" s="1"/>
  <c r="H42" i="193"/>
  <c r="ET36" i="191"/>
  <c r="EE76" i="191"/>
  <c r="EG76" i="191" s="1"/>
  <c r="DL76" i="191" s="1"/>
  <c r="BE18" i="192"/>
  <c r="BD18" i="192"/>
  <c r="FI58" i="192" s="1"/>
  <c r="BE17" i="192"/>
  <c r="AV21" i="192"/>
  <c r="FG61" i="192" s="1"/>
  <c r="EF81" i="192"/>
  <c r="ET41" i="192"/>
  <c r="EE81" i="192"/>
  <c r="EG81" i="192" s="1"/>
  <c r="DL81" i="192" s="1"/>
  <c r="DM81" i="192" s="1"/>
  <c r="EF66" i="193"/>
  <c r="EE66" i="193"/>
  <c r="EG66" i="193" s="1"/>
  <c r="DL66" i="193" s="1"/>
  <c r="BA43" i="193"/>
  <c r="AZ43" i="193"/>
  <c r="FH83" i="193" s="1"/>
  <c r="AZ16" i="192"/>
  <c r="FH56" i="192" s="1"/>
  <c r="BA44" i="192"/>
  <c r="AZ44" i="192"/>
  <c r="FH84" i="192" s="1"/>
  <c r="AZ29" i="191"/>
  <c r="FH69" i="191" s="1"/>
  <c r="AR35" i="191"/>
  <c r="FF75" i="191" s="1"/>
  <c r="BA39" i="191"/>
  <c r="EV81" i="191"/>
  <c r="ET44" i="191"/>
  <c r="EF84" i="191"/>
  <c r="BA24" i="192"/>
  <c r="EE72" i="192"/>
  <c r="EG72" i="192" s="1"/>
  <c r="DL72" i="192" s="1"/>
  <c r="DM72" i="192" s="1"/>
  <c r="EF72" i="192"/>
  <c r="EF77" i="192"/>
  <c r="EE77" i="192"/>
  <c r="EG77" i="192" s="1"/>
  <c r="DL77" i="192" s="1"/>
  <c r="DN77" i="192" s="1"/>
  <c r="DR77" i="192" s="1"/>
  <c r="FF78" i="193"/>
  <c r="BA40" i="193"/>
  <c r="AZ24" i="193"/>
  <c r="FH64" i="193" s="1"/>
  <c r="BA24" i="193"/>
  <c r="AW29" i="193"/>
  <c r="AV29" i="193"/>
  <c r="FG69" i="193" s="1"/>
  <c r="G38" i="193"/>
  <c r="I38" i="193"/>
  <c r="BS38" i="193" s="1"/>
  <c r="EF79" i="193"/>
  <c r="EE79" i="193"/>
  <c r="EG79" i="193" s="1"/>
  <c r="DL79" i="193" s="1"/>
  <c r="DM79" i="193" s="1"/>
  <c r="DQ79" i="193" s="1"/>
  <c r="BA31" i="193"/>
  <c r="AZ31" i="193"/>
  <c r="FH71" i="193" s="1"/>
  <c r="AW27" i="191"/>
  <c r="AV27" i="191"/>
  <c r="FG67" i="191" s="1"/>
  <c r="AS15" i="192"/>
  <c r="AR15" i="192"/>
  <c r="FF55" i="192" s="1"/>
  <c r="EF84" i="192"/>
  <c r="EE84" i="192"/>
  <c r="EG84" i="192" s="1"/>
  <c r="DL84" i="192" s="1"/>
  <c r="DN84" i="192" s="1"/>
  <c r="ET44" i="192"/>
  <c r="EV69" i="191"/>
  <c r="FG75" i="192"/>
  <c r="ET19" i="192"/>
  <c r="EF59" i="192"/>
  <c r="EF70" i="191"/>
  <c r="ET30" i="191"/>
  <c r="AV31" i="191"/>
  <c r="FG71" i="191" s="1"/>
  <c r="AW31" i="191"/>
  <c r="I43" i="191"/>
  <c r="BS43" i="191" s="1"/>
  <c r="BT43" i="191" s="1"/>
  <c r="H43" i="191"/>
  <c r="BD41" i="193"/>
  <c r="FI81" i="193" s="1"/>
  <c r="AZ16" i="191"/>
  <c r="FH56" i="191" s="1"/>
  <c r="AZ23" i="191"/>
  <c r="FH63" i="191" s="1"/>
  <c r="BE26" i="191"/>
  <c r="AW42" i="191"/>
  <c r="AV15" i="192"/>
  <c r="FG55" i="192" s="1"/>
  <c r="BE16" i="192"/>
  <c r="AR24" i="192"/>
  <c r="FF64" i="192" s="1"/>
  <c r="AS45" i="192"/>
  <c r="AV17" i="192"/>
  <c r="FG57" i="192" s="1"/>
  <c r="AW17" i="192"/>
  <c r="EV60" i="192"/>
  <c r="EF68" i="192"/>
  <c r="EF85" i="192"/>
  <c r="ET45" i="192"/>
  <c r="EE85" i="192"/>
  <c r="EG85" i="192" s="1"/>
  <c r="DL85" i="192" s="1"/>
  <c r="DN85" i="192" s="1"/>
  <c r="DP85" i="192" s="1"/>
  <c r="BE37" i="193"/>
  <c r="FF71" i="193"/>
  <c r="EF75" i="193"/>
  <c r="EE75" i="193"/>
  <c r="EG75" i="193" s="1"/>
  <c r="DL75" i="193" s="1"/>
  <c r="I43" i="193"/>
  <c r="BS43" i="193" s="1"/>
  <c r="H43" i="193"/>
  <c r="BE30" i="191"/>
  <c r="BD30" i="191"/>
  <c r="FI70" i="191" s="1"/>
  <c r="CZ75" i="191"/>
  <c r="EF75" i="191"/>
  <c r="ET35" i="191"/>
  <c r="BE25" i="192"/>
  <c r="BE42" i="192"/>
  <c r="EF67" i="192"/>
  <c r="EE67" i="192"/>
  <c r="EG67" i="192" s="1"/>
  <c r="DL67" i="192" s="1"/>
  <c r="DN67" i="192" s="1"/>
  <c r="EF75" i="192"/>
  <c r="EE75" i="192"/>
  <c r="EG75" i="192" s="1"/>
  <c r="DL75" i="192" s="1"/>
  <c r="DM75" i="192" s="1"/>
  <c r="ET35" i="192"/>
  <c r="AW28" i="193"/>
  <c r="AW39" i="193"/>
  <c r="AV39" i="193"/>
  <c r="FG79" i="193" s="1"/>
  <c r="BA24" i="191"/>
  <c r="AR38" i="191"/>
  <c r="FF78" i="191" s="1"/>
  <c r="AS39" i="191"/>
  <c r="AR39" i="191"/>
  <c r="FF79" i="191" s="1"/>
  <c r="BD19" i="192"/>
  <c r="FI59" i="192" s="1"/>
  <c r="FG69" i="192"/>
  <c r="FF56" i="192"/>
  <c r="I41" i="192"/>
  <c r="BS41" i="192" s="1"/>
  <c r="H41" i="192"/>
  <c r="AV17" i="193"/>
  <c r="FG57" i="193" s="1"/>
  <c r="BE38" i="193"/>
  <c r="ET41" i="193"/>
  <c r="BA22" i="193"/>
  <c r="AZ22" i="193"/>
  <c r="FH62" i="193" s="1"/>
  <c r="EO44" i="191"/>
  <c r="EE78" i="191"/>
  <c r="EG78" i="191" s="1"/>
  <c r="DL78" i="191" s="1"/>
  <c r="DM78" i="191" s="1"/>
  <c r="EO18" i="192"/>
  <c r="EO21" i="192"/>
  <c r="CZ60" i="192"/>
  <c r="CZ62" i="192"/>
  <c r="EE64" i="192"/>
  <c r="EG64" i="192" s="1"/>
  <c r="DL64" i="192" s="1"/>
  <c r="DN64" i="192" s="1"/>
  <c r="CZ76" i="192"/>
  <c r="EV57" i="193"/>
  <c r="CZ60" i="193"/>
  <c r="EO36" i="191"/>
  <c r="CZ68" i="192"/>
  <c r="EE71" i="192"/>
  <c r="EG71" i="192" s="1"/>
  <c r="DL71" i="192" s="1"/>
  <c r="DN71" i="192" s="1"/>
  <c r="EV74" i="193"/>
  <c r="EO38" i="191"/>
  <c r="EE83" i="191"/>
  <c r="EG83" i="191" s="1"/>
  <c r="DL83" i="191" s="1"/>
  <c r="DN83" i="191" s="1"/>
  <c r="DR83" i="191" s="1"/>
  <c r="EO32" i="192"/>
  <c r="EF76" i="192"/>
  <c r="EO36" i="193"/>
  <c r="BJ87" i="191"/>
  <c r="EO19" i="192"/>
  <c r="EV57" i="192"/>
  <c r="CZ67" i="192"/>
  <c r="EV72" i="192"/>
  <c r="EV61" i="193"/>
  <c r="EF63" i="193"/>
  <c r="EV76" i="193"/>
  <c r="EV79" i="193"/>
  <c r="EE82" i="193"/>
  <c r="EG82" i="193" s="1"/>
  <c r="DL82" i="193" s="1"/>
  <c r="DM82" i="193" s="1"/>
  <c r="DQ82" i="193" s="1"/>
  <c r="AD34" i="208"/>
  <c r="AD33" i="208"/>
  <c r="AD30" i="208"/>
  <c r="AD29" i="208"/>
  <c r="AD22" i="208"/>
  <c r="AD32" i="207"/>
  <c r="AD23" i="207"/>
  <c r="AD20" i="207"/>
  <c r="AD40" i="205"/>
  <c r="AD32" i="205"/>
  <c r="AD28" i="205"/>
  <c r="AD27" i="205"/>
  <c r="AD25" i="205"/>
  <c r="AD23" i="205"/>
  <c r="AD18" i="205"/>
  <c r="AD17" i="205"/>
  <c r="AD39" i="204"/>
  <c r="AD33" i="204"/>
  <c r="AD19" i="204"/>
  <c r="AD40" i="203"/>
  <c r="AD36" i="203"/>
  <c r="AD29" i="203"/>
  <c r="AD27" i="203"/>
  <c r="AD40" i="202"/>
  <c r="AD34" i="202"/>
  <c r="AD33" i="202"/>
  <c r="AD31" i="202"/>
  <c r="AD31" i="201"/>
  <c r="AD23" i="200"/>
  <c r="AD19" i="200"/>
  <c r="AD16" i="200"/>
  <c r="AD30" i="199"/>
  <c r="AD26" i="199"/>
  <c r="AD21" i="198"/>
  <c r="AD16" i="198"/>
  <c r="AD30" i="197"/>
  <c r="AD37" i="196"/>
  <c r="AD36" i="196"/>
  <c r="AD35" i="208"/>
  <c r="AD31" i="208"/>
  <c r="AD27" i="208"/>
  <c r="AD26" i="208"/>
  <c r="AD21" i="208"/>
  <c r="AD20" i="208"/>
  <c r="AD39" i="207"/>
  <c r="AD37" i="207"/>
  <c r="AD30" i="207"/>
  <c r="AD29" i="207"/>
  <c r="AD27" i="207"/>
  <c r="AD26" i="207"/>
  <c r="AD22" i="207"/>
  <c r="AD36" i="206"/>
  <c r="AD35" i="206"/>
  <c r="AD33" i="206"/>
  <c r="AD31" i="206"/>
  <c r="AD29" i="206"/>
  <c r="AD26" i="206"/>
  <c r="AD21" i="206"/>
  <c r="AD19" i="206"/>
  <c r="AD17" i="206"/>
  <c r="AD16" i="206"/>
  <c r="AD39" i="205"/>
  <c r="AD37" i="205"/>
  <c r="AD35" i="205"/>
  <c r="AD34" i="205"/>
  <c r="AD30" i="205"/>
  <c r="AD21" i="205"/>
  <c r="AD20" i="205"/>
  <c r="AD37" i="204"/>
  <c r="AD36" i="204"/>
  <c r="AD31" i="204"/>
  <c r="AD29" i="204"/>
  <c r="AD28" i="204"/>
  <c r="AD27" i="204"/>
  <c r="AD26" i="204"/>
  <c r="AD23" i="204"/>
  <c r="AD21" i="204"/>
  <c r="AD17" i="204"/>
  <c r="AD16" i="204"/>
  <c r="AD38" i="203"/>
  <c r="AD32" i="203"/>
  <c r="AD31" i="203"/>
  <c r="AD24" i="203"/>
  <c r="AD21" i="203"/>
  <c r="AD19" i="203"/>
  <c r="AD38" i="202"/>
  <c r="AD36" i="202"/>
  <c r="AD30" i="202"/>
  <c r="AD29" i="202"/>
  <c r="AD28" i="202"/>
  <c r="AD16" i="202"/>
  <c r="AD39" i="201"/>
  <c r="AD38" i="201"/>
  <c r="AD36" i="201"/>
  <c r="AD35" i="201"/>
  <c r="AD32" i="201"/>
  <c r="AD21" i="201"/>
  <c r="AD20" i="201"/>
  <c r="AD19" i="201"/>
  <c r="AD18" i="201"/>
  <c r="AD33" i="200"/>
  <c r="AD31" i="200"/>
  <c r="AD29" i="200"/>
  <c r="AD26" i="200"/>
  <c r="AD22" i="200"/>
  <c r="AD20" i="200"/>
  <c r="AD40" i="199"/>
  <c r="AD36" i="199"/>
  <c r="AD28" i="199"/>
  <c r="AD24" i="199"/>
  <c r="AD22" i="199"/>
  <c r="AD18" i="199"/>
  <c r="AD38" i="198"/>
  <c r="AD35" i="198"/>
  <c r="AD34" i="198"/>
  <c r="AD31" i="198"/>
  <c r="AD26" i="198"/>
  <c r="AD25" i="198"/>
  <c r="AD22" i="198"/>
  <c r="AD40" i="197"/>
  <c r="AD35" i="197"/>
  <c r="AD34" i="197"/>
  <c r="AD32" i="197"/>
  <c r="AD31" i="197"/>
  <c r="AD27" i="197"/>
  <c r="AD24" i="197"/>
  <c r="AD23" i="197"/>
  <c r="AD18" i="197"/>
  <c r="AD29" i="196"/>
  <c r="AD26" i="196"/>
  <c r="AD24" i="196"/>
  <c r="AD23" i="208"/>
  <c r="AD17" i="208"/>
  <c r="AD40" i="207"/>
  <c r="AD36" i="207"/>
  <c r="AD35" i="207"/>
  <c r="AD33" i="207"/>
  <c r="AD31" i="207"/>
  <c r="AD28" i="207"/>
  <c r="AD25" i="207"/>
  <c r="AD24" i="207"/>
  <c r="AD21" i="207"/>
  <c r="AD19" i="207"/>
  <c r="AD17" i="207"/>
  <c r="AD40" i="206"/>
  <c r="AD39" i="206"/>
  <c r="AD37" i="206"/>
  <c r="AD30" i="206"/>
  <c r="AD28" i="206"/>
  <c r="AD27" i="206"/>
  <c r="AD25" i="206"/>
  <c r="AD23" i="206"/>
  <c r="AD22" i="206"/>
  <c r="AD18" i="206"/>
  <c r="AD31" i="205"/>
  <c r="AD26" i="205"/>
  <c r="AD24" i="205"/>
  <c r="AD39" i="203"/>
  <c r="AD37" i="203"/>
  <c r="AD35" i="203"/>
  <c r="AD30" i="203"/>
  <c r="AD28" i="203"/>
  <c r="AD25" i="203"/>
  <c r="AD22" i="203"/>
  <c r="AD39" i="202"/>
  <c r="AD37" i="202"/>
  <c r="AD25" i="202"/>
  <c r="AD23" i="202"/>
  <c r="AD20" i="202"/>
  <c r="AD18" i="202"/>
  <c r="AD40" i="201"/>
  <c r="AD30" i="201"/>
  <c r="AD29" i="201"/>
  <c r="AD25" i="201"/>
  <c r="AD39" i="200"/>
  <c r="AD35" i="200"/>
  <c r="AD32" i="200"/>
  <c r="AD30" i="200"/>
  <c r="AD28" i="200"/>
  <c r="AD24" i="200"/>
  <c r="AD39" i="199"/>
  <c r="AD31" i="199"/>
  <c r="AD27" i="199"/>
  <c r="AD25" i="199"/>
  <c r="AD21" i="199"/>
  <c r="AD36" i="198"/>
  <c r="AD33" i="198"/>
  <c r="AD30" i="198"/>
  <c r="AD29" i="198"/>
  <c r="AD20" i="198"/>
  <c r="AD17" i="198"/>
  <c r="AD39" i="197"/>
  <c r="AD36" i="197"/>
  <c r="AD21" i="197"/>
  <c r="AD17" i="197"/>
  <c r="AD35" i="196"/>
  <c r="AD34" i="196"/>
  <c r="AD33" i="196"/>
  <c r="AD32" i="196"/>
  <c r="AD31" i="196"/>
  <c r="AD30" i="196"/>
  <c r="AB22" i="169"/>
  <c r="AB18" i="169"/>
  <c r="AE25" i="169"/>
  <c r="AB26" i="169"/>
  <c r="AB34" i="169"/>
  <c r="AB42" i="169"/>
  <c r="AC47" i="169"/>
  <c r="AA33" i="169"/>
  <c r="AA49" i="169"/>
  <c r="AD13" i="169"/>
  <c r="AE29" i="169"/>
  <c r="AE37" i="169"/>
  <c r="AE16" i="169"/>
  <c r="AE48" i="169"/>
  <c r="AA35" i="169"/>
  <c r="AA45" i="169"/>
  <c r="AF49" i="169"/>
  <c r="AA21" i="169"/>
  <c r="AF25" i="169"/>
  <c r="AE46" i="169"/>
  <c r="AE28" i="169"/>
  <c r="AE36" i="169"/>
  <c r="AB25" i="169"/>
  <c r="AC13" i="169"/>
  <c r="AC19" i="169"/>
  <c r="AA26" i="169"/>
  <c r="AF41" i="169"/>
  <c r="AE44" i="169"/>
  <c r="AB13" i="169"/>
  <c r="AB17" i="169"/>
  <c r="AD22" i="169"/>
  <c r="AD33" i="169"/>
  <c r="AC33" i="169"/>
  <c r="AA38" i="169"/>
  <c r="AD45" i="169"/>
  <c r="AC45" i="169"/>
  <c r="AA47" i="169"/>
  <c r="AD49" i="169"/>
  <c r="AC49" i="169"/>
  <c r="AA42" i="169"/>
  <c r="AF21" i="169"/>
  <c r="AA22" i="169"/>
  <c r="AC26" i="169"/>
  <c r="AA31" i="169"/>
  <c r="AE34" i="169"/>
  <c r="AC37" i="169"/>
  <c r="AD41" i="169"/>
  <c r="AC41" i="169"/>
  <c r="AB14" i="169"/>
  <c r="AA14" i="169"/>
  <c r="AC18" i="169"/>
  <c r="AA20" i="169"/>
  <c r="AE22" i="169"/>
  <c r="AD26" i="169"/>
  <c r="AA27" i="169"/>
  <c r="AA29" i="169"/>
  <c r="AF29" i="169"/>
  <c r="AB33" i="169"/>
  <c r="AF33" i="169"/>
  <c r="AA37" i="169"/>
  <c r="AA39" i="169"/>
  <c r="AA41" i="169"/>
  <c r="AE41" i="169"/>
  <c r="AB45" i="169"/>
  <c r="AB49" i="169"/>
  <c r="AA34" i="169"/>
  <c r="AA13" i="169"/>
  <c r="AB15" i="169"/>
  <c r="AD30" i="169"/>
  <c r="AC34" i="169"/>
  <c r="AD34" i="169"/>
  <c r="AE42" i="169"/>
  <c r="AF13" i="169"/>
  <c r="AE26" i="169"/>
  <c r="AE30" i="169"/>
  <c r="AE33" i="169"/>
  <c r="AD37" i="169"/>
  <c r="AD14" i="169"/>
  <c r="AF17" i="169"/>
  <c r="AA23" i="169"/>
  <c r="AA25" i="169"/>
  <c r="AB29" i="169"/>
  <c r="AC31" i="169"/>
  <c r="AB37" i="169"/>
  <c r="AF37" i="169"/>
  <c r="AE40" i="169"/>
  <c r="AB41" i="169"/>
  <c r="AF45" i="169"/>
  <c r="AE49" i="169"/>
  <c r="AA19" i="169"/>
  <c r="AA15" i="169"/>
  <c r="AB21" i="169"/>
  <c r="AA17" i="169"/>
  <c r="AE17" i="169"/>
  <c r="AA18" i="169"/>
  <c r="AC23" i="169"/>
  <c r="AC29" i="169"/>
  <c r="AC39" i="169"/>
  <c r="AB46" i="169"/>
  <c r="AA46" i="169"/>
  <c r="GK54" i="191"/>
  <c r="DT68" i="191"/>
  <c r="DU68" i="191"/>
  <c r="FQ55" i="192"/>
  <c r="FY55" i="192" s="1"/>
  <c r="FP55" i="192"/>
  <c r="GA55" i="192" s="1"/>
  <c r="FR55" i="192"/>
  <c r="FS56" i="192" s="1"/>
  <c r="FO55" i="192"/>
  <c r="FN55" i="192"/>
  <c r="FW55" i="192" s="1"/>
  <c r="FV55" i="192" s="1"/>
  <c r="FU55" i="192"/>
  <c r="FT55" i="192" s="1"/>
  <c r="FR55" i="191"/>
  <c r="FS56" i="191" s="1"/>
  <c r="FP55" i="191"/>
  <c r="GA55" i="191" s="1"/>
  <c r="FO55" i="191"/>
  <c r="FN55" i="191"/>
  <c r="FW55" i="191" s="1"/>
  <c r="FV55" i="191" s="1"/>
  <c r="FQ55" i="191"/>
  <c r="FY55" i="191" s="1"/>
  <c r="FU55" i="191"/>
  <c r="FT55" i="191" s="1"/>
  <c r="DU58" i="193"/>
  <c r="DT58" i="193"/>
  <c r="DU69" i="191"/>
  <c r="DT69" i="191"/>
  <c r="DT72" i="191"/>
  <c r="DU72" i="191"/>
  <c r="DN74" i="191"/>
  <c r="DM74" i="191"/>
  <c r="DT77" i="191"/>
  <c r="DU77" i="191"/>
  <c r="DU78" i="191"/>
  <c r="DT78" i="191"/>
  <c r="DU73" i="191"/>
  <c r="DT73" i="191"/>
  <c r="DU82" i="191"/>
  <c r="DT82" i="191"/>
  <c r="FA73" i="191"/>
  <c r="EY73" i="191" s="1"/>
  <c r="DR68" i="191"/>
  <c r="DP68" i="191"/>
  <c r="DN70" i="191"/>
  <c r="DM70" i="191"/>
  <c r="DN75" i="191"/>
  <c r="DM75" i="191"/>
  <c r="DT76" i="191"/>
  <c r="DU76" i="191"/>
  <c r="GE38" i="192"/>
  <c r="GD38" i="192"/>
  <c r="GC38" i="192"/>
  <c r="GB38" i="192"/>
  <c r="GA38" i="192"/>
  <c r="DT81" i="192"/>
  <c r="DU81" i="192"/>
  <c r="DU81" i="191"/>
  <c r="DT81" i="191"/>
  <c r="DT84" i="191"/>
  <c r="DU84" i="191"/>
  <c r="DU85" i="191"/>
  <c r="DT85" i="191"/>
  <c r="DM56" i="192"/>
  <c r="DN56" i="192"/>
  <c r="DT58" i="192"/>
  <c r="DU58" i="192"/>
  <c r="DU83" i="192"/>
  <c r="DT83" i="192"/>
  <c r="AF24" i="169"/>
  <c r="AD24" i="169"/>
  <c r="AC24" i="169"/>
  <c r="AB24" i="169"/>
  <c r="AF43" i="169"/>
  <c r="AE43" i="169"/>
  <c r="AD43" i="169"/>
  <c r="FA58" i="192"/>
  <c r="EY58" i="192" s="1"/>
  <c r="EZ58" i="192"/>
  <c r="FQ35" i="192"/>
  <c r="GD42" i="192"/>
  <c r="GB42" i="192"/>
  <c r="GA42" i="192"/>
  <c r="EF82" i="192"/>
  <c r="EE82" i="192"/>
  <c r="EG82" i="192" s="1"/>
  <c r="DL82" i="192" s="1"/>
  <c r="ET42" i="192"/>
  <c r="DU71" i="193"/>
  <c r="DT71" i="193"/>
  <c r="FS26" i="196"/>
  <c r="CD26" i="196"/>
  <c r="EQ26" i="196"/>
  <c r="AE20" i="169"/>
  <c r="BR32" i="191"/>
  <c r="AW25" i="191"/>
  <c r="AV25" i="191"/>
  <c r="FG65" i="191" s="1"/>
  <c r="FB79" i="191"/>
  <c r="DZ79" i="191"/>
  <c r="BA44" i="191"/>
  <c r="AZ44" i="191"/>
  <c r="FH84" i="191" s="1"/>
  <c r="FF18" i="192"/>
  <c r="FO34" i="192"/>
  <c r="EW57" i="192"/>
  <c r="CZ59" i="192"/>
  <c r="EV59" i="192"/>
  <c r="DN76" i="192"/>
  <c r="DM76" i="192"/>
  <c r="FD54" i="193"/>
  <c r="EO54" i="193"/>
  <c r="EW61" i="193"/>
  <c r="DF61" i="193"/>
  <c r="CD25" i="196"/>
  <c r="CD29" i="196"/>
  <c r="FS29" i="196"/>
  <c r="AB19" i="169"/>
  <c r="AF32" i="169"/>
  <c r="AD32" i="169"/>
  <c r="AC32" i="169"/>
  <c r="AB32" i="169"/>
  <c r="AC46" i="169"/>
  <c r="FF20" i="191"/>
  <c r="FQ38" i="191"/>
  <c r="EZ38" i="191"/>
  <c r="EY38" i="191"/>
  <c r="AW16" i="191"/>
  <c r="AV16" i="191"/>
  <c r="FG56" i="191" s="1"/>
  <c r="DJ68" i="191"/>
  <c r="DI68" i="191"/>
  <c r="DH68" i="191"/>
  <c r="EV74" i="191"/>
  <c r="ET75" i="191"/>
  <c r="CX75" i="191"/>
  <c r="FF35" i="192"/>
  <c r="FA79" i="192"/>
  <c r="EY79" i="192" s="1"/>
  <c r="EZ79" i="192"/>
  <c r="BR39" i="192"/>
  <c r="EI70" i="192"/>
  <c r="EU30" i="192"/>
  <c r="EH70" i="192"/>
  <c r="EJ70" i="192" s="1"/>
  <c r="DS70" i="192" s="1"/>
  <c r="DZ54" i="193"/>
  <c r="FB54" i="193"/>
  <c r="CW54" i="193"/>
  <c r="DT76" i="193"/>
  <c r="DU76" i="193"/>
  <c r="FS19" i="199"/>
  <c r="CD19" i="199"/>
  <c r="EB44" i="202"/>
  <c r="EC44" i="202"/>
  <c r="FP44" i="202" s="1"/>
  <c r="EA44" i="202"/>
  <c r="ED44" i="202"/>
  <c r="AD46" i="169"/>
  <c r="GE36" i="191"/>
  <c r="GL36" i="191" s="1"/>
  <c r="GM36" i="191" s="1"/>
  <c r="Q44" i="191"/>
  <c r="FB72" i="191"/>
  <c r="EF74" i="191"/>
  <c r="ET34" i="191"/>
  <c r="EU74" i="191"/>
  <c r="DI77" i="191"/>
  <c r="EW77" i="191" s="1"/>
  <c r="EU84" i="191"/>
  <c r="EV85" i="191"/>
  <c r="EZ54" i="192"/>
  <c r="BO31" i="192"/>
  <c r="FA71" i="192" s="1"/>
  <c r="EY71" i="192" s="1"/>
  <c r="BR32" i="192"/>
  <c r="FF36" i="192"/>
  <c r="BP43" i="192"/>
  <c r="BO43" i="192"/>
  <c r="BM43" i="192"/>
  <c r="BR43" i="192" s="1"/>
  <c r="BN43" i="192"/>
  <c r="EU70" i="192"/>
  <c r="EL70" i="192"/>
  <c r="EM70" i="192" s="1"/>
  <c r="EN70" i="192" s="1"/>
  <c r="X30" i="192" s="1"/>
  <c r="GE30" i="192" s="1"/>
  <c r="GL30" i="192" s="1"/>
  <c r="GM30" i="192" s="1"/>
  <c r="DO55" i="193"/>
  <c r="DQ55" i="193"/>
  <c r="EL15" i="193" s="1"/>
  <c r="EE65" i="193"/>
  <c r="EG65" i="193" s="1"/>
  <c r="DL65" i="193" s="1"/>
  <c r="EF65" i="193"/>
  <c r="ET25" i="193"/>
  <c r="EW65" i="193"/>
  <c r="DF65" i="193"/>
  <c r="DU69" i="193"/>
  <c r="DT69" i="193"/>
  <c r="DY75" i="193"/>
  <c r="DW75" i="193"/>
  <c r="CZ78" i="193"/>
  <c r="H28" i="197"/>
  <c r="AQ28" i="197" s="1"/>
  <c r="AR28" i="197" s="1"/>
  <c r="G28" i="197"/>
  <c r="F28" i="197"/>
  <c r="AD17" i="169"/>
  <c r="AF27" i="169"/>
  <c r="AE27" i="169"/>
  <c r="AD27" i="169"/>
  <c r="AB27" i="169"/>
  <c r="AF40" i="169"/>
  <c r="AD40" i="169"/>
  <c r="AC40" i="169"/>
  <c r="AB40" i="169"/>
  <c r="AE45" i="169"/>
  <c r="FF15" i="191"/>
  <c r="FF21" i="191"/>
  <c r="AV28" i="191"/>
  <c r="BE28" i="191"/>
  <c r="FA70" i="191"/>
  <c r="EY70" i="191" s="1"/>
  <c r="EZ70" i="191"/>
  <c r="FQ31" i="191"/>
  <c r="BE32" i="191"/>
  <c r="FQ33" i="191"/>
  <c r="FQ34" i="191"/>
  <c r="EZ76" i="191"/>
  <c r="FQ41" i="191"/>
  <c r="EZ41" i="191"/>
  <c r="EY41" i="191"/>
  <c r="GC48" i="191"/>
  <c r="FK56" i="191"/>
  <c r="BE16" i="191"/>
  <c r="BD16" i="191"/>
  <c r="FI56" i="191" s="1"/>
  <c r="CX68" i="191"/>
  <c r="FB68" i="191"/>
  <c r="EF69" i="191"/>
  <c r="ET29" i="191"/>
  <c r="EE69" i="191"/>
  <c r="EG69" i="191" s="1"/>
  <c r="DL69" i="191" s="1"/>
  <c r="DF69" i="191"/>
  <c r="EV70" i="191"/>
  <c r="FB71" i="191"/>
  <c r="DZ71" i="191"/>
  <c r="ET71" i="191"/>
  <c r="CX71" i="191"/>
  <c r="EW71" i="191"/>
  <c r="EQ72" i="191"/>
  <c r="ER72" i="191" s="1"/>
  <c r="ES72" i="191" s="1"/>
  <c r="Y32" i="191" s="1"/>
  <c r="DJ73" i="191"/>
  <c r="DH73" i="191"/>
  <c r="DG73" i="191"/>
  <c r="EU73" i="191"/>
  <c r="EL73" i="191"/>
  <c r="EM73" i="191" s="1"/>
  <c r="EN73" i="191" s="1"/>
  <c r="X33" i="191" s="1"/>
  <c r="GE33" i="191" s="1"/>
  <c r="GL33" i="191" s="1"/>
  <c r="GM33" i="191" s="1"/>
  <c r="DI73" i="191"/>
  <c r="EW73" i="191" s="1"/>
  <c r="EZ73" i="191"/>
  <c r="DD74" i="191"/>
  <c r="CV74" i="191"/>
  <c r="DK74" i="191" s="1"/>
  <c r="EH74" i="191"/>
  <c r="EJ74" i="191" s="1"/>
  <c r="DS74" i="191" s="1"/>
  <c r="FA75" i="191"/>
  <c r="EY75" i="191" s="1"/>
  <c r="EV76" i="191"/>
  <c r="ET76" i="191"/>
  <c r="EO77" i="191"/>
  <c r="EL78" i="191"/>
  <c r="EM78" i="191" s="1"/>
  <c r="EN78" i="191" s="1"/>
  <c r="DI78" i="191"/>
  <c r="EI78" i="191"/>
  <c r="EW80" i="191"/>
  <c r="DF80" i="191"/>
  <c r="BA40" i="191"/>
  <c r="AZ40" i="191"/>
  <c r="FH80" i="191" s="1"/>
  <c r="AW43" i="191"/>
  <c r="AV43" i="191"/>
  <c r="FG83" i="191" s="1"/>
  <c r="DL84" i="191"/>
  <c r="EF85" i="191"/>
  <c r="EE85" i="191"/>
  <c r="EG85" i="191" s="1"/>
  <c r="DL85" i="191" s="1"/>
  <c r="ET45" i="191"/>
  <c r="DF85" i="191"/>
  <c r="BP87" i="191"/>
  <c r="BN87" i="191"/>
  <c r="BM87" i="191"/>
  <c r="JI12" i="192"/>
  <c r="JA12" i="192"/>
  <c r="IS12" i="192"/>
  <c r="ID12" i="192"/>
  <c r="HV12" i="192"/>
  <c r="HN12" i="192"/>
  <c r="HF12" i="192"/>
  <c r="JG12" i="192"/>
  <c r="IY12" i="192"/>
  <c r="IQ12" i="192"/>
  <c r="IB12" i="192"/>
  <c r="HT12" i="192"/>
  <c r="HL12" i="192"/>
  <c r="JD12" i="192"/>
  <c r="IN12" i="192"/>
  <c r="HQ12" i="192"/>
  <c r="JF12" i="192"/>
  <c r="IX12" i="192"/>
  <c r="IP12" i="192"/>
  <c r="IA12" i="192"/>
  <c r="HS12" i="192"/>
  <c r="HK12" i="192"/>
  <c r="HI12" i="192"/>
  <c r="JE12" i="192"/>
  <c r="IW12" i="192"/>
  <c r="IO12" i="192"/>
  <c r="HZ12" i="192"/>
  <c r="HR12" i="192"/>
  <c r="HJ12" i="192"/>
  <c r="IV12" i="192"/>
  <c r="HY12" i="192"/>
  <c r="Q4" i="192"/>
  <c r="AU4" i="192" s="1"/>
  <c r="HO12" i="192"/>
  <c r="IR12" i="192"/>
  <c r="JK12" i="192"/>
  <c r="BR15" i="192"/>
  <c r="FQ15" i="192"/>
  <c r="EZ62" i="192"/>
  <c r="BO25" i="192"/>
  <c r="GE26" i="192"/>
  <c r="GL26" i="192" s="1"/>
  <c r="GM26" i="192" s="1"/>
  <c r="EZ70" i="192"/>
  <c r="EZ77" i="192"/>
  <c r="FF39" i="192"/>
  <c r="BR42" i="192"/>
  <c r="BQ44" i="192"/>
  <c r="BO44" i="192"/>
  <c r="BN44" i="192"/>
  <c r="BM44" i="192"/>
  <c r="IT48" i="192"/>
  <c r="IL48" i="192"/>
  <c r="ID48" i="192"/>
  <c r="HV48" i="192"/>
  <c r="IS48" i="192"/>
  <c r="IK48" i="192"/>
  <c r="IC48" i="192"/>
  <c r="HU48" i="192"/>
  <c r="IP48" i="192"/>
  <c r="IF48" i="192"/>
  <c r="HT48" i="192"/>
  <c r="IO48" i="192"/>
  <c r="IE48" i="192"/>
  <c r="HS48" i="192"/>
  <c r="IN48" i="192"/>
  <c r="IB48" i="192"/>
  <c r="HR48" i="192"/>
  <c r="IM48" i="192"/>
  <c r="IA48" i="192"/>
  <c r="HQ48" i="192"/>
  <c r="HY48" i="192"/>
  <c r="IJ48" i="192"/>
  <c r="HZ48" i="192"/>
  <c r="II48" i="192"/>
  <c r="FB58" i="192"/>
  <c r="DZ58" i="192"/>
  <c r="ET58" i="192"/>
  <c r="CX58" i="192"/>
  <c r="FE58" i="192"/>
  <c r="EF60" i="192"/>
  <c r="EE60" i="192"/>
  <c r="EG60" i="192" s="1"/>
  <c r="DL60" i="192" s="1"/>
  <c r="EW60" i="192"/>
  <c r="DF60" i="192"/>
  <c r="DU67" i="192"/>
  <c r="DT67" i="192"/>
  <c r="EW68" i="192"/>
  <c r="DU73" i="192"/>
  <c r="DT73" i="192"/>
  <c r="EV76" i="192"/>
  <c r="DB79" i="192"/>
  <c r="FO37" i="193"/>
  <c r="GF37" i="193"/>
  <c r="BJ37" i="193"/>
  <c r="FK57" i="193"/>
  <c r="FJ56" i="193"/>
  <c r="DU55" i="193"/>
  <c r="DT55" i="193"/>
  <c r="DU60" i="193"/>
  <c r="DT60" i="193"/>
  <c r="FD66" i="193"/>
  <c r="EO66" i="193"/>
  <c r="DU73" i="193"/>
  <c r="DT73" i="193"/>
  <c r="CZ74" i="193"/>
  <c r="U27" i="196"/>
  <c r="T27" i="196"/>
  <c r="AR27" i="196" s="1"/>
  <c r="EN31" i="196"/>
  <c r="EM31" i="196"/>
  <c r="FR42" i="198"/>
  <c r="FB42" i="198"/>
  <c r="FA42" i="198"/>
  <c r="DZ42" i="198"/>
  <c r="FP42" i="198"/>
  <c r="EG25" i="199"/>
  <c r="EF25" i="199"/>
  <c r="AL53" i="200"/>
  <c r="AL49" i="200"/>
  <c r="H20" i="201"/>
  <c r="AQ20" i="201" s="1"/>
  <c r="G20" i="201"/>
  <c r="F20" i="201"/>
  <c r="FQ37" i="201"/>
  <c r="EY37" i="201"/>
  <c r="EX37" i="201"/>
  <c r="DT37" i="201"/>
  <c r="EM37" i="201"/>
  <c r="EN37" i="201"/>
  <c r="EM41" i="203"/>
  <c r="EN41" i="203"/>
  <c r="FM40" i="204"/>
  <c r="FV40" i="204"/>
  <c r="AB43" i="169"/>
  <c r="FA74" i="191"/>
  <c r="EY74" i="191" s="1"/>
  <c r="EZ74" i="191"/>
  <c r="EW68" i="191"/>
  <c r="CX80" i="191"/>
  <c r="DC82" i="191"/>
  <c r="EV82" i="191" s="1"/>
  <c r="DD82" i="191"/>
  <c r="CV82" i="191"/>
  <c r="DK82" i="191" s="1"/>
  <c r="EN84" i="191"/>
  <c r="X44" i="191" s="1"/>
  <c r="BR38" i="192"/>
  <c r="EA55" i="192"/>
  <c r="FC55" i="192"/>
  <c r="GC54" i="192"/>
  <c r="GC55" i="192" s="1"/>
  <c r="GC56" i="192" s="1"/>
  <c r="GC57" i="192" s="1"/>
  <c r="GC58" i="192" s="1"/>
  <c r="GC59" i="192" s="1"/>
  <c r="GC60" i="192" s="1"/>
  <c r="GC61" i="192" s="1"/>
  <c r="GC62" i="192" s="1"/>
  <c r="GC63" i="192" s="1"/>
  <c r="GC64" i="192" s="1"/>
  <c r="GC65" i="192" s="1"/>
  <c r="GC66" i="192" s="1"/>
  <c r="GC67" i="192" s="1"/>
  <c r="GC68" i="192" s="1"/>
  <c r="GC69" i="192" s="1"/>
  <c r="GC70" i="192" s="1"/>
  <c r="GC71" i="192" s="1"/>
  <c r="GC72" i="192" s="1"/>
  <c r="GC73" i="192" s="1"/>
  <c r="GC74" i="192" s="1"/>
  <c r="GC75" i="192" s="1"/>
  <c r="GC76" i="192" s="1"/>
  <c r="GC77" i="192" s="1"/>
  <c r="GC78" i="192" s="1"/>
  <c r="GC79" i="192" s="1"/>
  <c r="GC80" i="192" s="1"/>
  <c r="GC81" i="192" s="1"/>
  <c r="GC82" i="192" s="1"/>
  <c r="GC83" i="192" s="1"/>
  <c r="GC84" i="192" s="1"/>
  <c r="GC85" i="192" s="1"/>
  <c r="DN58" i="192"/>
  <c r="DM58" i="192"/>
  <c r="DH74" i="192"/>
  <c r="DG74" i="192"/>
  <c r="DJ74" i="192"/>
  <c r="DI74" i="192"/>
  <c r="EW74" i="192" s="1"/>
  <c r="EU74" i="192"/>
  <c r="EL74" i="192"/>
  <c r="EM74" i="192" s="1"/>
  <c r="EN74" i="192" s="1"/>
  <c r="X34" i="192" s="1"/>
  <c r="FD78" i="192"/>
  <c r="EO78" i="192"/>
  <c r="EV56" i="193"/>
  <c r="CZ56" i="193"/>
  <c r="EG25" i="196"/>
  <c r="EF25" i="196"/>
  <c r="FO41" i="197"/>
  <c r="FN41" i="197"/>
  <c r="DP41" i="197"/>
  <c r="FQ41" i="197"/>
  <c r="DW41" i="197"/>
  <c r="DV41" i="197"/>
  <c r="DX41" i="197"/>
  <c r="DU41" i="197"/>
  <c r="EQ26" i="199"/>
  <c r="EO26" i="199"/>
  <c r="EF41" i="200"/>
  <c r="EG41" i="200"/>
  <c r="EG38" i="202"/>
  <c r="EF38" i="202"/>
  <c r="AK49" i="204"/>
  <c r="AK53" i="204"/>
  <c r="AK54" i="204"/>
  <c r="AK52" i="204"/>
  <c r="AF15" i="169"/>
  <c r="AE15" i="169"/>
  <c r="AD15" i="169"/>
  <c r="Z28" i="169"/>
  <c r="AC42" i="169"/>
  <c r="AB47" i="169"/>
  <c r="BE20" i="191"/>
  <c r="BD20" i="191"/>
  <c r="FI60" i="191" s="1"/>
  <c r="DJ72" i="191"/>
  <c r="DI72" i="191"/>
  <c r="EW72" i="191" s="1"/>
  <c r="DH72" i="191"/>
  <c r="EL72" i="191"/>
  <c r="EM72" i="191" s="1"/>
  <c r="EN72" i="191" s="1"/>
  <c r="X32" i="191" s="1"/>
  <c r="FB76" i="191"/>
  <c r="ET79" i="191"/>
  <c r="CX79" i="191"/>
  <c r="DU80" i="191"/>
  <c r="EU81" i="191"/>
  <c r="EL81" i="191"/>
  <c r="EM81" i="191" s="1"/>
  <c r="EN81" i="191" s="1"/>
  <c r="X41" i="191" s="1"/>
  <c r="GE41" i="191" s="1"/>
  <c r="GL41" i="191" s="1"/>
  <c r="GM41" i="191" s="1"/>
  <c r="EV83" i="191"/>
  <c r="EW84" i="191"/>
  <c r="GE23" i="192"/>
  <c r="GL23" i="192" s="1"/>
  <c r="GM23" i="192" s="1"/>
  <c r="FO43" i="192"/>
  <c r="GF43" i="192"/>
  <c r="DU55" i="192"/>
  <c r="DT55" i="192"/>
  <c r="ET78" i="192"/>
  <c r="CX78" i="192"/>
  <c r="N38" i="192" s="1"/>
  <c r="FO38" i="193"/>
  <c r="GF38" i="193"/>
  <c r="BJ38" i="193"/>
  <c r="FA84" i="193"/>
  <c r="EY84" i="193" s="1"/>
  <c r="FL54" i="193"/>
  <c r="FL55" i="193" s="1"/>
  <c r="FL56" i="193" s="1"/>
  <c r="FL57" i="193" s="1"/>
  <c r="FL58" i="193" s="1"/>
  <c r="FL59" i="193" s="1"/>
  <c r="FL60" i="193" s="1"/>
  <c r="FL61" i="193" s="1"/>
  <c r="FL62" i="193" s="1"/>
  <c r="FL63" i="193" s="1"/>
  <c r="FL64" i="193" s="1"/>
  <c r="FL65" i="193" s="1"/>
  <c r="FL66" i="193" s="1"/>
  <c r="FL67" i="193" s="1"/>
  <c r="FL68" i="193" s="1"/>
  <c r="FL69" i="193" s="1"/>
  <c r="FL70" i="193" s="1"/>
  <c r="FL71" i="193" s="1"/>
  <c r="FL72" i="193" s="1"/>
  <c r="FL73" i="193" s="1"/>
  <c r="FL74" i="193" s="1"/>
  <c r="FL75" i="193" s="1"/>
  <c r="FL76" i="193" s="1"/>
  <c r="FL77" i="193" s="1"/>
  <c r="FL78" i="193" s="1"/>
  <c r="FL79" i="193" s="1"/>
  <c r="FL80" i="193" s="1"/>
  <c r="FL81" i="193" s="1"/>
  <c r="FL82" i="193" s="1"/>
  <c r="FL83" i="193" s="1"/>
  <c r="FL84" i="193" s="1"/>
  <c r="FL85" i="193" s="1"/>
  <c r="EF61" i="193"/>
  <c r="EE61" i="193"/>
  <c r="EG61" i="193" s="1"/>
  <c r="DL61" i="193" s="1"/>
  <c r="ET21" i="193"/>
  <c r="FD68" i="193"/>
  <c r="CW68" i="193"/>
  <c r="EO68" i="193"/>
  <c r="EJ29" i="196"/>
  <c r="FB26" i="197"/>
  <c r="FR26" i="197"/>
  <c r="FA26" i="197"/>
  <c r="ER25" i="198"/>
  <c r="FV29" i="198"/>
  <c r="FM29" i="198"/>
  <c r="AU38" i="198"/>
  <c r="AP38" i="198"/>
  <c r="ER26" i="199"/>
  <c r="EJ32" i="199"/>
  <c r="CH32" i="199" s="1"/>
  <c r="AO36" i="199"/>
  <c r="AN36" i="199"/>
  <c r="AM36" i="199"/>
  <c r="AJ36" i="199"/>
  <c r="AQ36" i="199"/>
  <c r="EF17" i="203"/>
  <c r="EG17" i="203"/>
  <c r="AU21" i="203"/>
  <c r="AZ21" i="203"/>
  <c r="EK45" i="203"/>
  <c r="AE24" i="169"/>
  <c r="Z32" i="169"/>
  <c r="AE38" i="169"/>
  <c r="D4" i="186"/>
  <c r="D2" i="186"/>
  <c r="AV14" i="191"/>
  <c r="FG54" i="191" s="1"/>
  <c r="GF44" i="191"/>
  <c r="BJ44" i="191"/>
  <c r="FQ43" i="191"/>
  <c r="FQ36" i="191"/>
  <c r="EL68" i="191"/>
  <c r="EM68" i="191" s="1"/>
  <c r="EN68" i="191" s="1"/>
  <c r="EE71" i="191"/>
  <c r="EG71" i="191" s="1"/>
  <c r="DL71" i="191" s="1"/>
  <c r="EU71" i="191"/>
  <c r="FB75" i="191"/>
  <c r="DZ75" i="191"/>
  <c r="EU82" i="191"/>
  <c r="BR18" i="192"/>
  <c r="GM21" i="192"/>
  <c r="FF26" i="192"/>
  <c r="FA78" i="192"/>
  <c r="EY78" i="192" s="1"/>
  <c r="EZ78" i="192"/>
  <c r="BE44" i="192"/>
  <c r="DU57" i="192"/>
  <c r="DT57" i="192"/>
  <c r="DN62" i="192"/>
  <c r="DM62" i="192"/>
  <c r="FE69" i="192"/>
  <c r="ET69" i="192"/>
  <c r="DC70" i="192"/>
  <c r="EV70" i="192" s="1"/>
  <c r="DB70" i="192"/>
  <c r="DA70" i="192"/>
  <c r="CV70" i="192"/>
  <c r="DK70" i="192" s="1"/>
  <c r="FE54" i="193"/>
  <c r="ET54" i="193"/>
  <c r="CX54" i="193"/>
  <c r="DU62" i="193"/>
  <c r="DT62" i="193"/>
  <c r="CZ65" i="193"/>
  <c r="EV65" i="193"/>
  <c r="P2" i="196"/>
  <c r="P4" i="196"/>
  <c r="P1" i="196"/>
  <c r="ER37" i="196"/>
  <c r="AM22" i="197"/>
  <c r="AL22" i="197"/>
  <c r="AS22" i="197"/>
  <c r="AT22" i="197" s="1"/>
  <c r="AO22" i="197"/>
  <c r="AJ22" i="197"/>
  <c r="AN22" i="197"/>
  <c r="FH23" i="197"/>
  <c r="FU23" i="197"/>
  <c r="EC23" i="197"/>
  <c r="EB23" i="197"/>
  <c r="EA23" i="197"/>
  <c r="FN23" i="197"/>
  <c r="ED23" i="197"/>
  <c r="DP23" i="197"/>
  <c r="EQ28" i="197"/>
  <c r="CI28" i="197" s="1"/>
  <c r="EO28" i="197"/>
  <c r="EQ35" i="197"/>
  <c r="N23" i="198"/>
  <c r="P23" i="198"/>
  <c r="O23" i="198"/>
  <c r="FJ19" i="199"/>
  <c r="FK19" i="199" s="1"/>
  <c r="FL19" i="199" s="1"/>
  <c r="Z19" i="199" s="1"/>
  <c r="FE19" i="199"/>
  <c r="FF19" i="199" s="1"/>
  <c r="FG19" i="199" s="1"/>
  <c r="Y19" i="199" s="1"/>
  <c r="AL36" i="199"/>
  <c r="AJ39" i="199"/>
  <c r="AQ39" i="199"/>
  <c r="AN39" i="199"/>
  <c r="AM39" i="199"/>
  <c r="AL39" i="199"/>
  <c r="AO39" i="199"/>
  <c r="AS39" i="199"/>
  <c r="EQ44" i="200"/>
  <c r="EN21" i="201"/>
  <c r="EM21" i="201"/>
  <c r="EG38" i="201"/>
  <c r="EF38" i="201"/>
  <c r="FU44" i="202"/>
  <c r="FH44" i="202"/>
  <c r="CE17" i="203"/>
  <c r="FT17" i="203"/>
  <c r="AF23" i="169"/>
  <c r="AE23" i="169"/>
  <c r="AD23" i="169"/>
  <c r="Z36" i="169"/>
  <c r="I32" i="191"/>
  <c r="BS32" i="191" s="1"/>
  <c r="BT32" i="191" s="1"/>
  <c r="BE25" i="191"/>
  <c r="BD25" i="191"/>
  <c r="FI65" i="191" s="1"/>
  <c r="EL28" i="191"/>
  <c r="DD78" i="191"/>
  <c r="CV78" i="191"/>
  <c r="DK78" i="191" s="1"/>
  <c r="FB80" i="191"/>
  <c r="DJ84" i="191"/>
  <c r="DG84" i="191"/>
  <c r="DI84" i="191"/>
  <c r="DH84" i="191"/>
  <c r="BO22" i="192"/>
  <c r="BR22" i="192" s="1"/>
  <c r="BR25" i="192"/>
  <c r="BO30" i="192"/>
  <c r="FA70" i="192" s="1"/>
  <c r="EY70" i="192" s="1"/>
  <c r="BM30" i="192"/>
  <c r="FF77" i="192"/>
  <c r="BO37" i="192"/>
  <c r="FQ43" i="192"/>
  <c r="EZ43" i="192"/>
  <c r="EY43" i="192"/>
  <c r="FQ44" i="192"/>
  <c r="EZ44" i="192"/>
  <c r="EY44" i="192"/>
  <c r="FO45" i="192"/>
  <c r="GF45" i="192"/>
  <c r="BJ45" i="192"/>
  <c r="DM59" i="192"/>
  <c r="DN59" i="192"/>
  <c r="BO30" i="193"/>
  <c r="EZ70" i="193" s="1"/>
  <c r="BM30" i="193"/>
  <c r="R45" i="193"/>
  <c r="DU59" i="193"/>
  <c r="DT59" i="193"/>
  <c r="EA62" i="193"/>
  <c r="DX68" i="193"/>
  <c r="EM28" i="193" s="1"/>
  <c r="DV68" i="193"/>
  <c r="DF78" i="193"/>
  <c r="EG38" i="196"/>
  <c r="EF38" i="196"/>
  <c r="ER38" i="196"/>
  <c r="EQ40" i="197"/>
  <c r="CI40" i="197" s="1"/>
  <c r="DZ45" i="198"/>
  <c r="FP45" i="198"/>
  <c r="AS17" i="199"/>
  <c r="AT17" i="199" s="1"/>
  <c r="AJ17" i="199"/>
  <c r="AQ17" i="199"/>
  <c r="AR17" i="199" s="1"/>
  <c r="AN17" i="199"/>
  <c r="AM17" i="199"/>
  <c r="AO17" i="199"/>
  <c r="AL17" i="199"/>
  <c r="DZ37" i="201"/>
  <c r="AE13" i="169"/>
  <c r="AE14" i="169"/>
  <c r="AC17" i="169"/>
  <c r="AD18" i="169"/>
  <c r="AC22" i="169"/>
  <c r="AE32" i="169"/>
  <c r="AA36" i="169"/>
  <c r="Z40" i="169"/>
  <c r="AE18" i="169"/>
  <c r="AD21" i="169"/>
  <c r="AC21" i="169"/>
  <c r="AC27" i="169"/>
  <c r="AB30" i="169"/>
  <c r="AA30" i="169"/>
  <c r="AF31" i="169"/>
  <c r="AE31" i="169"/>
  <c r="AD31" i="169"/>
  <c r="AB31" i="169"/>
  <c r="AA40" i="169"/>
  <c r="AF44" i="169"/>
  <c r="AD44" i="169"/>
  <c r="AC44" i="169"/>
  <c r="AB44" i="169"/>
  <c r="Z44" i="169"/>
  <c r="I1" i="181"/>
  <c r="FF16" i="191"/>
  <c r="BE17" i="191"/>
  <c r="BR31" i="191"/>
  <c r="BR37" i="191"/>
  <c r="BM42" i="191"/>
  <c r="BR42" i="191" s="1"/>
  <c r="FQ42" i="191"/>
  <c r="EZ84" i="191"/>
  <c r="FO45" i="191"/>
  <c r="BJ45" i="191"/>
  <c r="FQ45" i="191"/>
  <c r="GC54" i="191"/>
  <c r="GC55" i="191" s="1"/>
  <c r="GC56" i="191" s="1"/>
  <c r="GC57" i="191" s="1"/>
  <c r="GC58" i="191" s="1"/>
  <c r="GC59" i="191" s="1"/>
  <c r="GC60" i="191" s="1"/>
  <c r="GC61" i="191" s="1"/>
  <c r="GC62" i="191" s="1"/>
  <c r="GC63" i="191" s="1"/>
  <c r="GC64" i="191" s="1"/>
  <c r="GC65" i="191" s="1"/>
  <c r="GC66" i="191" s="1"/>
  <c r="GC67" i="191" s="1"/>
  <c r="GC68" i="191" s="1"/>
  <c r="GC69" i="191" s="1"/>
  <c r="GC70" i="191" s="1"/>
  <c r="GC71" i="191" s="1"/>
  <c r="GC72" i="191" s="1"/>
  <c r="GC73" i="191" s="1"/>
  <c r="GC74" i="191" s="1"/>
  <c r="GC75" i="191" s="1"/>
  <c r="GC76" i="191" s="1"/>
  <c r="GC77" i="191" s="1"/>
  <c r="GC78" i="191" s="1"/>
  <c r="GC79" i="191" s="1"/>
  <c r="GC80" i="191" s="1"/>
  <c r="GC81" i="191" s="1"/>
  <c r="GC82" i="191" s="1"/>
  <c r="GC83" i="191" s="1"/>
  <c r="GC84" i="191" s="1"/>
  <c r="GC85" i="191" s="1"/>
  <c r="FG61" i="191"/>
  <c r="AW24" i="191"/>
  <c r="AV24" i="191"/>
  <c r="FG64" i="191" s="1"/>
  <c r="DO68" i="191"/>
  <c r="DF70" i="191"/>
  <c r="EU70" i="191"/>
  <c r="CV73" i="191"/>
  <c r="DK73" i="191" s="1"/>
  <c r="EO73" i="191"/>
  <c r="EL74" i="191"/>
  <c r="EM74" i="191" s="1"/>
  <c r="EN74" i="191" s="1"/>
  <c r="X34" i="191" s="1"/>
  <c r="GE34" i="191" s="1"/>
  <c r="GL34" i="191" s="1"/>
  <c r="GM34" i="191" s="1"/>
  <c r="DI74" i="191"/>
  <c r="EW74" i="191" s="1"/>
  <c r="EI74" i="191"/>
  <c r="DF76" i="191"/>
  <c r="EU76" i="191"/>
  <c r="AW36" i="191"/>
  <c r="AV36" i="191"/>
  <c r="FG76" i="191" s="1"/>
  <c r="DZ77" i="191"/>
  <c r="FB77" i="191"/>
  <c r="ET77" i="191"/>
  <c r="CX77" i="191"/>
  <c r="CW77" i="191"/>
  <c r="FE77" i="191"/>
  <c r="DJ78" i="191"/>
  <c r="DF79" i="191"/>
  <c r="DP79" i="191"/>
  <c r="DB82" i="191"/>
  <c r="FB83" i="191"/>
  <c r="DZ83" i="191"/>
  <c r="ET83" i="191"/>
  <c r="CX83" i="191"/>
  <c r="FE83" i="191"/>
  <c r="CX84" i="191"/>
  <c r="N44" i="191" s="1"/>
  <c r="EW85" i="191"/>
  <c r="AS45" i="191"/>
  <c r="AR45" i="191"/>
  <c r="FF85" i="191" s="1"/>
  <c r="BX87" i="191"/>
  <c r="BY87" i="191" s="1"/>
  <c r="BO87" i="191"/>
  <c r="HP12" i="192"/>
  <c r="IT12" i="192"/>
  <c r="GM18" i="192"/>
  <c r="BR23" i="192"/>
  <c r="FA65" i="192"/>
  <c r="EY65" i="192" s="1"/>
  <c r="GE32" i="192"/>
  <c r="GL32" i="192" s="1"/>
  <c r="GM32" i="192" s="1"/>
  <c r="BR33" i="192"/>
  <c r="BO34" i="192"/>
  <c r="BM34" i="192"/>
  <c r="BR34" i="192" s="1"/>
  <c r="BM40" i="192"/>
  <c r="BR40" i="192" s="1"/>
  <c r="BP40" i="192"/>
  <c r="BQ40" i="192"/>
  <c r="GE41" i="192"/>
  <c r="GC41" i="192"/>
  <c r="GB41" i="192"/>
  <c r="GA41" i="192"/>
  <c r="BJ43" i="192"/>
  <c r="GL44" i="192"/>
  <c r="GM44" i="192" s="1"/>
  <c r="EV54" i="192"/>
  <c r="DL55" i="192"/>
  <c r="FJ56" i="192"/>
  <c r="BA17" i="192"/>
  <c r="AZ17" i="192"/>
  <c r="FH57" i="192" s="1"/>
  <c r="CZ63" i="192"/>
  <c r="EV63" i="192"/>
  <c r="DZ65" i="192"/>
  <c r="FB65" i="192"/>
  <c r="FE65" i="192"/>
  <c r="ET65" i="192"/>
  <c r="CX65" i="192"/>
  <c r="DC66" i="192"/>
  <c r="EV66" i="192" s="1"/>
  <c r="DB66" i="192"/>
  <c r="DA66" i="192"/>
  <c r="CV66" i="192"/>
  <c r="DK66" i="192" s="1"/>
  <c r="EI66" i="192"/>
  <c r="EH66" i="192"/>
  <c r="EJ66" i="192" s="1"/>
  <c r="DS66" i="192" s="1"/>
  <c r="DD70" i="192"/>
  <c r="EW76" i="192"/>
  <c r="EA77" i="192"/>
  <c r="K38" i="192"/>
  <c r="L38" i="192"/>
  <c r="BU38" i="192" s="1"/>
  <c r="EF80" i="192"/>
  <c r="ET40" i="192"/>
  <c r="EE80" i="192"/>
  <c r="EG80" i="192" s="1"/>
  <c r="DL80" i="192" s="1"/>
  <c r="EW80" i="192"/>
  <c r="DF80" i="192"/>
  <c r="EH82" i="192"/>
  <c r="EJ82" i="192" s="1"/>
  <c r="DS82" i="192" s="1"/>
  <c r="BE21" i="193"/>
  <c r="B48" i="193"/>
  <c r="BN39" i="193"/>
  <c r="BM39" i="193"/>
  <c r="BQ39" i="193"/>
  <c r="BP39" i="193"/>
  <c r="BO39" i="193"/>
  <c r="EY39" i="193"/>
  <c r="EZ39" i="193"/>
  <c r="DU54" i="193"/>
  <c r="DT54" i="193"/>
  <c r="DU56" i="193"/>
  <c r="DT56" i="193"/>
  <c r="DU61" i="193"/>
  <c r="DT61" i="193"/>
  <c r="ET66" i="193"/>
  <c r="CX66" i="193"/>
  <c r="FE66" i="193"/>
  <c r="CW66" i="193"/>
  <c r="DT75" i="193"/>
  <c r="FS25" i="196"/>
  <c r="FB27" i="196"/>
  <c r="FA27" i="196"/>
  <c r="FR27" i="196"/>
  <c r="DZ27" i="196"/>
  <c r="EN29" i="196"/>
  <c r="EM29" i="196"/>
  <c r="GM16" i="197"/>
  <c r="DX34" i="197"/>
  <c r="DP34" i="197"/>
  <c r="DV34" i="197"/>
  <c r="FN34" i="197"/>
  <c r="DW34" i="197"/>
  <c r="DU34" i="197"/>
  <c r="FU17" i="198"/>
  <c r="FH17" i="198"/>
  <c r="ED17" i="198"/>
  <c r="FR17" i="198"/>
  <c r="EC17" i="198"/>
  <c r="FP17" i="198" s="1"/>
  <c r="EA17" i="198"/>
  <c r="AU33" i="198"/>
  <c r="FM16" i="199"/>
  <c r="FV16" i="199"/>
  <c r="EG37" i="199"/>
  <c r="EF37" i="199"/>
  <c r="FR39" i="200"/>
  <c r="FB39" i="200"/>
  <c r="FA39" i="200"/>
  <c r="FP39" i="200"/>
  <c r="DZ39" i="200"/>
  <c r="AU18" i="201"/>
  <c r="EK39" i="201"/>
  <c r="CE39" i="201"/>
  <c r="FT39" i="201"/>
  <c r="ER42" i="202"/>
  <c r="CI42" i="202" s="1"/>
  <c r="FS32" i="205"/>
  <c r="CD32" i="205"/>
  <c r="FJ32" i="205"/>
  <c r="FK32" i="205" s="1"/>
  <c r="FL32" i="205" s="1"/>
  <c r="Z32" i="205" s="1"/>
  <c r="FE32" i="205"/>
  <c r="FF32" i="205" s="1"/>
  <c r="FG32" i="205" s="1"/>
  <c r="Y32" i="205" s="1"/>
  <c r="Z24" i="169"/>
  <c r="AC38" i="169"/>
  <c r="FQ35" i="191"/>
  <c r="EZ35" i="191"/>
  <c r="EY35" i="191"/>
  <c r="BE15" i="191"/>
  <c r="BD15" i="191"/>
  <c r="FI55" i="191" s="1"/>
  <c r="ET69" i="191"/>
  <c r="CX69" i="191"/>
  <c r="EZ56" i="192"/>
  <c r="DU69" i="192"/>
  <c r="DT69" i="192"/>
  <c r="E38" i="192"/>
  <c r="DK78" i="192"/>
  <c r="D38" i="192"/>
  <c r="GK38" i="192" s="1"/>
  <c r="H43" i="192"/>
  <c r="G43" i="192"/>
  <c r="DR85" i="192"/>
  <c r="AO25" i="196"/>
  <c r="AN25" i="196"/>
  <c r="AQ25" i="196"/>
  <c r="AR25" i="196" s="1"/>
  <c r="AL25" i="196"/>
  <c r="AM25" i="196"/>
  <c r="AJ25" i="196"/>
  <c r="K25" i="196"/>
  <c r="AS25" i="196" s="1"/>
  <c r="AT25" i="196" s="1"/>
  <c r="J25" i="196"/>
  <c r="FE26" i="196"/>
  <c r="FF26" i="196" s="1"/>
  <c r="FG26" i="196" s="1"/>
  <c r="Y26" i="196" s="1"/>
  <c r="FJ26" i="196"/>
  <c r="FK26" i="196" s="1"/>
  <c r="FL26" i="196" s="1"/>
  <c r="Z26" i="196" s="1"/>
  <c r="AF28" i="169"/>
  <c r="AD28" i="169"/>
  <c r="AC28" i="169"/>
  <c r="AB28" i="169"/>
  <c r="AC43" i="169"/>
  <c r="BO39" i="191"/>
  <c r="CX76" i="191"/>
  <c r="EF77" i="191"/>
  <c r="ET37" i="191"/>
  <c r="EE77" i="191"/>
  <c r="EG77" i="191" s="1"/>
  <c r="DL77" i="191" s="1"/>
  <c r="DJ81" i="191"/>
  <c r="DH81" i="191"/>
  <c r="DG81" i="191"/>
  <c r="DU77" i="192"/>
  <c r="DT77" i="192"/>
  <c r="FB78" i="192"/>
  <c r="DZ78" i="192"/>
  <c r="DD82" i="192"/>
  <c r="CV82" i="192"/>
  <c r="DC82" i="192"/>
  <c r="EV82" i="192" s="1"/>
  <c r="DB82" i="192"/>
  <c r="DA82" i="192"/>
  <c r="FE25" i="196"/>
  <c r="FF25" i="196" s="1"/>
  <c r="FG25" i="196" s="1"/>
  <c r="Y25" i="196" s="1"/>
  <c r="FJ25" i="196"/>
  <c r="FK25" i="196" s="1"/>
  <c r="FL25" i="196" s="1"/>
  <c r="Z25" i="196" s="1"/>
  <c r="AC14" i="169"/>
  <c r="AA28" i="169"/>
  <c r="AD42" i="169"/>
  <c r="BO28" i="191"/>
  <c r="BR28" i="191" s="1"/>
  <c r="BO32" i="191"/>
  <c r="FA72" i="191" s="1"/>
  <c r="EY72" i="191" s="1"/>
  <c r="BO40" i="191"/>
  <c r="BM40" i="191"/>
  <c r="BR40" i="191" s="1"/>
  <c r="EF73" i="191"/>
  <c r="ET33" i="191"/>
  <c r="EE73" i="191"/>
  <c r="EG73" i="191" s="1"/>
  <c r="DL73" i="191" s="1"/>
  <c r="FC76" i="191"/>
  <c r="EU78" i="191"/>
  <c r="BO17" i="192"/>
  <c r="EZ57" i="192" s="1"/>
  <c r="BM17" i="192"/>
  <c r="BR37" i="192"/>
  <c r="FE78" i="192"/>
  <c r="BO33" i="193"/>
  <c r="BM33" i="193"/>
  <c r="BR33" i="193" s="1"/>
  <c r="GC35" i="193"/>
  <c r="GB35" i="193"/>
  <c r="GA35" i="193"/>
  <c r="GD35" i="193"/>
  <c r="FO55" i="193"/>
  <c r="FN55" i="193"/>
  <c r="FW55" i="193" s="1"/>
  <c r="FV55" i="193" s="1"/>
  <c r="FU55" i="193"/>
  <c r="FT55" i="193" s="1"/>
  <c r="FR55" i="193"/>
  <c r="FS56" i="193" s="1"/>
  <c r="FQ55" i="193"/>
  <c r="FY55" i="193" s="1"/>
  <c r="FP55" i="193"/>
  <c r="GA55" i="193" s="1"/>
  <c r="EW76" i="193"/>
  <c r="DU79" i="193"/>
  <c r="DT79" i="193"/>
  <c r="I25" i="196"/>
  <c r="AA32" i="169"/>
  <c r="I4" i="182"/>
  <c r="I2" i="182"/>
  <c r="BD39" i="191"/>
  <c r="FI79" i="191" s="1"/>
  <c r="FA85" i="191"/>
  <c r="EY85" i="191" s="1"/>
  <c r="EF71" i="191"/>
  <c r="DJ77" i="191"/>
  <c r="DH77" i="191"/>
  <c r="DG77" i="191"/>
  <c r="EW78" i="191"/>
  <c r="EV80" i="191"/>
  <c r="EA80" i="191"/>
  <c r="EZ81" i="191"/>
  <c r="FO38" i="192"/>
  <c r="BJ38" i="192"/>
  <c r="FQ42" i="192"/>
  <c r="GD40" i="192"/>
  <c r="GC40" i="192"/>
  <c r="GA40" i="192"/>
  <c r="GB40" i="192"/>
  <c r="EV68" i="192"/>
  <c r="DH70" i="192"/>
  <c r="DG70" i="192"/>
  <c r="DI70" i="192"/>
  <c r="DJ70" i="192"/>
  <c r="AD25" i="169"/>
  <c r="AC25" i="169"/>
  <c r="AC30" i="169"/>
  <c r="AF35" i="169"/>
  <c r="AE35" i="169"/>
  <c r="AD35" i="169"/>
  <c r="AB35" i="169"/>
  <c r="AA44" i="169"/>
  <c r="AF48" i="169"/>
  <c r="AD48" i="169"/>
  <c r="AC48" i="169"/>
  <c r="AB48" i="169"/>
  <c r="Z48" i="169"/>
  <c r="D1" i="190"/>
  <c r="D4" i="190"/>
  <c r="BE19" i="191"/>
  <c r="AV23" i="191"/>
  <c r="FG63" i="191" s="1"/>
  <c r="BD23" i="191"/>
  <c r="FI63" i="191" s="1"/>
  <c r="G28" i="191"/>
  <c r="H33" i="191"/>
  <c r="BR33" i="191"/>
  <c r="BE35" i="191"/>
  <c r="H44" i="191"/>
  <c r="FO44" i="191"/>
  <c r="O45" i="191"/>
  <c r="GD48" i="191"/>
  <c r="GB48" i="191"/>
  <c r="GA48" i="191"/>
  <c r="FL54" i="191"/>
  <c r="FL55" i="191" s="1"/>
  <c r="FL56" i="191" s="1"/>
  <c r="FL57" i="191" s="1"/>
  <c r="FL58" i="191" s="1"/>
  <c r="FL59" i="191" s="1"/>
  <c r="FL60" i="191" s="1"/>
  <c r="FL61" i="191" s="1"/>
  <c r="FL62" i="191" s="1"/>
  <c r="FL63" i="191" s="1"/>
  <c r="FL64" i="191" s="1"/>
  <c r="FL65" i="191" s="1"/>
  <c r="FL66" i="191" s="1"/>
  <c r="FL67" i="191" s="1"/>
  <c r="FL68" i="191" s="1"/>
  <c r="FL69" i="191" s="1"/>
  <c r="FL70" i="191" s="1"/>
  <c r="FL71" i="191" s="1"/>
  <c r="FL72" i="191" s="1"/>
  <c r="FL73" i="191" s="1"/>
  <c r="FL74" i="191" s="1"/>
  <c r="FL75" i="191" s="1"/>
  <c r="FL76" i="191" s="1"/>
  <c r="FL77" i="191" s="1"/>
  <c r="FL78" i="191" s="1"/>
  <c r="FL79" i="191" s="1"/>
  <c r="FL80" i="191" s="1"/>
  <c r="FL81" i="191" s="1"/>
  <c r="FL82" i="191" s="1"/>
  <c r="FL83" i="191" s="1"/>
  <c r="FL84" i="191" s="1"/>
  <c r="FL85" i="191" s="1"/>
  <c r="AW15" i="191"/>
  <c r="AV15" i="191"/>
  <c r="FG55" i="191" s="1"/>
  <c r="DJ69" i="191"/>
  <c r="DH69" i="191"/>
  <c r="DG69" i="191"/>
  <c r="EU69" i="191"/>
  <c r="EL69" i="191"/>
  <c r="EM69" i="191" s="1"/>
  <c r="EN69" i="191" s="1"/>
  <c r="X29" i="191" s="1"/>
  <c r="DI69" i="191"/>
  <c r="EW69" i="191" s="1"/>
  <c r="EZ69" i="191"/>
  <c r="DD70" i="191"/>
  <c r="CV70" i="191"/>
  <c r="DK70" i="191" s="1"/>
  <c r="EH70" i="191"/>
  <c r="EJ70" i="191" s="1"/>
  <c r="DS70" i="191" s="1"/>
  <c r="CZ71" i="191"/>
  <c r="ET72" i="191"/>
  <c r="DZ73" i="191"/>
  <c r="FB73" i="191"/>
  <c r="ET73" i="191"/>
  <c r="CX73" i="191"/>
  <c r="FE73" i="191"/>
  <c r="FE79" i="191"/>
  <c r="DJ80" i="191"/>
  <c r="DI80" i="191"/>
  <c r="DH80" i="191"/>
  <c r="DG80" i="191"/>
  <c r="EU80" i="191"/>
  <c r="EQ81" i="191"/>
  <c r="ER81" i="191" s="1"/>
  <c r="ES81" i="191" s="1"/>
  <c r="Y41" i="191" s="1"/>
  <c r="BE43" i="191"/>
  <c r="BD43" i="191"/>
  <c r="FI83" i="191" s="1"/>
  <c r="DJ85" i="191"/>
  <c r="DH85" i="191"/>
  <c r="DG85" i="191"/>
  <c r="EU85" i="191"/>
  <c r="EL85" i="191"/>
  <c r="EM85" i="191" s="1"/>
  <c r="EN85" i="191" s="1"/>
  <c r="X45" i="191" s="1"/>
  <c r="Q1" i="192"/>
  <c r="AU1" i="192" s="1"/>
  <c r="BR20" i="192"/>
  <c r="FA61" i="192"/>
  <c r="EY61" i="192" s="1"/>
  <c r="EZ61" i="192"/>
  <c r="K23" i="192"/>
  <c r="FQ24" i="192"/>
  <c r="FO27" i="192"/>
  <c r="FO23" i="192"/>
  <c r="FO32" i="192"/>
  <c r="EZ24" i="192"/>
  <c r="BR28" i="192"/>
  <c r="EZ74" i="192"/>
  <c r="FO37" i="192"/>
  <c r="EU42" i="192"/>
  <c r="GC42" i="192"/>
  <c r="I43" i="192"/>
  <c r="BS43" i="192" s="1"/>
  <c r="EZ84" i="192"/>
  <c r="FA84" i="192"/>
  <c r="EY84" i="192" s="1"/>
  <c r="FK58" i="192"/>
  <c r="FJ57" i="192"/>
  <c r="EW63" i="192"/>
  <c r="DF63" i="192"/>
  <c r="BD24" i="192"/>
  <c r="FI64" i="192" s="1"/>
  <c r="BE24" i="192"/>
  <c r="FC65" i="192"/>
  <c r="EA65" i="192"/>
  <c r="DH66" i="192"/>
  <c r="DG66" i="192"/>
  <c r="DI66" i="192"/>
  <c r="EW66" i="192" s="1"/>
  <c r="DJ66" i="192"/>
  <c r="EU66" i="192"/>
  <c r="EL66" i="192"/>
  <c r="EM66" i="192" s="1"/>
  <c r="EN66" i="192" s="1"/>
  <c r="X26" i="192" s="1"/>
  <c r="EW70" i="192"/>
  <c r="DZ73" i="192"/>
  <c r="FB73" i="192"/>
  <c r="FE73" i="192"/>
  <c r="ET73" i="192"/>
  <c r="CX73" i="192"/>
  <c r="DU75" i="192"/>
  <c r="DT75" i="192"/>
  <c r="DX78" i="192"/>
  <c r="DV78" i="192"/>
  <c r="CZ79" i="192"/>
  <c r="EF79" i="192"/>
  <c r="EE79" i="192"/>
  <c r="EG79" i="192" s="1"/>
  <c r="DL79" i="192" s="1"/>
  <c r="DZ85" i="192"/>
  <c r="FB85" i="192"/>
  <c r="FE85" i="192"/>
  <c r="ET85" i="192"/>
  <c r="CX85" i="192"/>
  <c r="N45" i="192" s="1"/>
  <c r="GM20" i="193"/>
  <c r="GE25" i="193"/>
  <c r="GL25" i="193" s="1"/>
  <c r="GM25" i="193" s="1"/>
  <c r="FQ37" i="193"/>
  <c r="BQ45" i="193"/>
  <c r="BR45" i="193" s="1"/>
  <c r="BP45" i="193"/>
  <c r="BN45" i="193"/>
  <c r="BO45" i="193"/>
  <c r="BE18" i="193"/>
  <c r="BD18" i="193"/>
  <c r="FI58" i="193" s="1"/>
  <c r="FC59" i="193"/>
  <c r="EA59" i="193"/>
  <c r="FC60" i="193"/>
  <c r="EA60" i="193"/>
  <c r="DU65" i="193"/>
  <c r="DT65" i="193"/>
  <c r="BA25" i="193"/>
  <c r="AZ25" i="193"/>
  <c r="FH65" i="193" s="1"/>
  <c r="DW68" i="193"/>
  <c r="R35" i="193"/>
  <c r="Q35" i="193"/>
  <c r="BA35" i="193"/>
  <c r="FH75" i="193"/>
  <c r="DU83" i="193"/>
  <c r="DT83" i="193"/>
  <c r="G44" i="193"/>
  <c r="I44" i="193"/>
  <c r="BS44" i="193" s="1"/>
  <c r="FH27" i="196"/>
  <c r="FU27" i="196"/>
  <c r="EA27" i="196"/>
  <c r="ED27" i="196"/>
  <c r="EB27" i="196"/>
  <c r="EC27" i="196"/>
  <c r="FP27" i="196" s="1"/>
  <c r="CE32" i="196"/>
  <c r="FT32" i="196"/>
  <c r="EN35" i="196"/>
  <c r="EM35" i="196"/>
  <c r="EG69" i="196"/>
  <c r="EF69" i="196"/>
  <c r="K43" i="197"/>
  <c r="AS43" i="197" s="1"/>
  <c r="J43" i="197"/>
  <c r="I43" i="197"/>
  <c r="EJ44" i="198"/>
  <c r="ER16" i="199"/>
  <c r="CI16" i="199" s="1"/>
  <c r="AL23" i="201"/>
  <c r="AS23" i="201"/>
  <c r="AJ23" i="201"/>
  <c r="AQ23" i="201"/>
  <c r="AO23" i="201"/>
  <c r="AN23" i="201"/>
  <c r="AM23" i="201"/>
  <c r="FV27" i="201"/>
  <c r="FM27" i="201"/>
  <c r="EJ39" i="201"/>
  <c r="AP20" i="202"/>
  <c r="AZ20" i="202"/>
  <c r="AU20" i="202"/>
  <c r="FA82" i="191"/>
  <c r="EY82" i="191" s="1"/>
  <c r="GE45" i="191"/>
  <c r="GD45" i="191"/>
  <c r="GC45" i="191"/>
  <c r="DZ69" i="191"/>
  <c r="FB69" i="191"/>
  <c r="EN70" i="191"/>
  <c r="X30" i="191" s="1"/>
  <c r="EU42" i="191"/>
  <c r="EI82" i="191"/>
  <c r="DM63" i="192"/>
  <c r="DN63" i="192"/>
  <c r="DN68" i="192"/>
  <c r="DM68" i="192"/>
  <c r="DU71" i="192"/>
  <c r="DT71" i="192"/>
  <c r="DF82" i="192"/>
  <c r="EW82" i="192"/>
  <c r="DU85" i="192"/>
  <c r="DT85" i="192"/>
  <c r="EZ68" i="193"/>
  <c r="FA68" i="193"/>
  <c r="EY68" i="193" s="1"/>
  <c r="DX41" i="198"/>
  <c r="DP41" i="198"/>
  <c r="DW41" i="198"/>
  <c r="FO41" i="198" s="1"/>
  <c r="DV41" i="198"/>
  <c r="FN41" i="198"/>
  <c r="DU41" i="198"/>
  <c r="FQ41" i="198"/>
  <c r="AA24" i="169"/>
  <c r="AD38" i="169"/>
  <c r="AF47" i="169"/>
  <c r="AE47" i="169"/>
  <c r="AD47" i="169"/>
  <c r="Q2" i="191"/>
  <c r="AU2" i="191" s="1"/>
  <c r="Q1" i="191"/>
  <c r="AU1" i="191" s="1"/>
  <c r="FA78" i="191"/>
  <c r="EY78" i="191" s="1"/>
  <c r="EZ78" i="191"/>
  <c r="FF20" i="192"/>
  <c r="EZ66" i="192"/>
  <c r="FF67" i="193"/>
  <c r="FN24" i="196"/>
  <c r="DX24" i="196"/>
  <c r="DP24" i="196"/>
  <c r="DW24" i="196"/>
  <c r="FO24" i="196" s="1"/>
  <c r="DV24" i="196"/>
  <c r="DU24" i="196"/>
  <c r="FE29" i="196"/>
  <c r="FF29" i="196" s="1"/>
  <c r="FG29" i="196" s="1"/>
  <c r="Y29" i="196" s="1"/>
  <c r="FJ29" i="196"/>
  <c r="FK29" i="196" s="1"/>
  <c r="FL29" i="196" s="1"/>
  <c r="Z29" i="196" s="1"/>
  <c r="DZ26" i="197"/>
  <c r="FM32" i="199"/>
  <c r="FV32" i="199"/>
  <c r="AC15" i="169"/>
  <c r="AF19" i="169"/>
  <c r="AE19" i="169"/>
  <c r="AD19" i="169"/>
  <c r="H32" i="191"/>
  <c r="AW44" i="191"/>
  <c r="EL71" i="191"/>
  <c r="EM71" i="191" s="1"/>
  <c r="EN71" i="191" s="1"/>
  <c r="DV80" i="191"/>
  <c r="FD81" i="191"/>
  <c r="CW81" i="191"/>
  <c r="GM17" i="192"/>
  <c r="BR31" i="192"/>
  <c r="BO41" i="192"/>
  <c r="BR41" i="192" s="1"/>
  <c r="BQ41" i="192"/>
  <c r="BP41" i="192"/>
  <c r="DU54" i="192"/>
  <c r="DT54" i="192"/>
  <c r="DR57" i="192"/>
  <c r="I20" i="192"/>
  <c r="BS20" i="192" s="1"/>
  <c r="BT20" i="192" s="1"/>
  <c r="G20" i="192"/>
  <c r="H20" i="192"/>
  <c r="DZ69" i="192"/>
  <c r="FB69" i="192"/>
  <c r="EQ81" i="192"/>
  <c r="ER81" i="192" s="1"/>
  <c r="ES81" i="192" s="1"/>
  <c r="Y41" i="192" s="1"/>
  <c r="AB23" i="169"/>
  <c r="AF36" i="169"/>
  <c r="AD36" i="169"/>
  <c r="AC36" i="169"/>
  <c r="AB36" i="169"/>
  <c r="EZ72" i="191"/>
  <c r="BR38" i="191"/>
  <c r="EU77" i="191"/>
  <c r="EL77" i="191"/>
  <c r="EM77" i="191" s="1"/>
  <c r="EN77" i="191" s="1"/>
  <c r="X37" i="191" s="1"/>
  <c r="GE37" i="191" s="1"/>
  <c r="GL37" i="191" s="1"/>
  <c r="GM37" i="191" s="1"/>
  <c r="DM79" i="191"/>
  <c r="DU65" i="192"/>
  <c r="DT65" i="192"/>
  <c r="FC69" i="192"/>
  <c r="EA69" i="192"/>
  <c r="R39" i="192"/>
  <c r="Q39" i="192"/>
  <c r="AF16" i="169"/>
  <c r="AD16" i="169"/>
  <c r="AC16" i="169"/>
  <c r="AB16" i="169"/>
  <c r="Z16" i="169"/>
  <c r="AE21" i="169"/>
  <c r="AA16" i="169"/>
  <c r="AF20" i="169"/>
  <c r="AD20" i="169"/>
  <c r="AC20" i="169"/>
  <c r="AB20" i="169"/>
  <c r="Z20" i="169"/>
  <c r="AD29" i="169"/>
  <c r="AC35" i="169"/>
  <c r="AB38" i="169"/>
  <c r="AF39" i="169"/>
  <c r="AE39" i="169"/>
  <c r="AD39" i="169"/>
  <c r="AB39" i="169"/>
  <c r="AA43" i="169"/>
  <c r="AA48" i="169"/>
  <c r="I1" i="184"/>
  <c r="I4" i="184"/>
  <c r="D1" i="187"/>
  <c r="D2" i="187"/>
  <c r="AW18" i="191"/>
  <c r="AW19" i="191"/>
  <c r="H28" i="191"/>
  <c r="BO29" i="191"/>
  <c r="FA69" i="191" s="1"/>
  <c r="EY69" i="191" s="1"/>
  <c r="EY30" i="191"/>
  <c r="EZ71" i="191"/>
  <c r="I33" i="191"/>
  <c r="BS33" i="191" s="1"/>
  <c r="BT33" i="191" s="1"/>
  <c r="BO33" i="191"/>
  <c r="BO34" i="191"/>
  <c r="BM34" i="191"/>
  <c r="BR34" i="191" s="1"/>
  <c r="ET38" i="191"/>
  <c r="FQ39" i="191"/>
  <c r="FQ40" i="191"/>
  <c r="BR41" i="191"/>
  <c r="EZ83" i="191"/>
  <c r="GM43" i="191"/>
  <c r="I44" i="191"/>
  <c r="BS44" i="191" s="1"/>
  <c r="GB45" i="191"/>
  <c r="GL45" i="191" s="1"/>
  <c r="HZ48" i="191"/>
  <c r="HX48" i="191"/>
  <c r="HW48" i="191"/>
  <c r="ID48" i="191"/>
  <c r="HV48" i="191"/>
  <c r="AW20" i="191"/>
  <c r="AV20" i="191"/>
  <c r="FG60" i="191" s="1"/>
  <c r="BE21" i="191"/>
  <c r="BD21" i="191"/>
  <c r="FI61" i="191" s="1"/>
  <c r="BE24" i="191"/>
  <c r="BD24" i="191"/>
  <c r="FI64" i="191" s="1"/>
  <c r="EV68" i="191"/>
  <c r="ET68" i="191"/>
  <c r="CV69" i="191"/>
  <c r="DK69" i="191" s="1"/>
  <c r="EO69" i="191"/>
  <c r="DI70" i="191"/>
  <c r="EW70" i="191" s="1"/>
  <c r="EI70" i="191"/>
  <c r="FE75" i="191"/>
  <c r="DJ76" i="191"/>
  <c r="DI76" i="191"/>
  <c r="EW76" i="191" s="1"/>
  <c r="DH76" i="191"/>
  <c r="BE36" i="191"/>
  <c r="BD36" i="191"/>
  <c r="FI76" i="191" s="1"/>
  <c r="DA78" i="191"/>
  <c r="EL79" i="191"/>
  <c r="EM79" i="191" s="1"/>
  <c r="EN79" i="191" s="1"/>
  <c r="X39" i="191" s="1"/>
  <c r="ET80" i="191"/>
  <c r="EF81" i="191"/>
  <c r="EE81" i="191"/>
  <c r="EG81" i="191" s="1"/>
  <c r="DL81" i="191" s="1"/>
  <c r="DF81" i="191"/>
  <c r="DF82" i="191"/>
  <c r="FA84" i="191"/>
  <c r="EY84" i="191" s="1"/>
  <c r="FD85" i="191"/>
  <c r="CW85" i="191"/>
  <c r="M45" i="191" s="1"/>
  <c r="CV85" i="191"/>
  <c r="FA55" i="192"/>
  <c r="EY55" i="192" s="1"/>
  <c r="EZ55" i="192"/>
  <c r="BR16" i="192"/>
  <c r="BE21" i="192"/>
  <c r="L23" i="192"/>
  <c r="BU23" i="192" s="1"/>
  <c r="BV23" i="192" s="1"/>
  <c r="BR26" i="192"/>
  <c r="BO28" i="192"/>
  <c r="FO30" i="192"/>
  <c r="FO31" i="192"/>
  <c r="FA73" i="192"/>
  <c r="EY73" i="192" s="1"/>
  <c r="FF33" i="192"/>
  <c r="BR35" i="192"/>
  <c r="FQ41" i="192"/>
  <c r="GE42" i="192"/>
  <c r="BQ43" i="192"/>
  <c r="DN54" i="192"/>
  <c r="DM54" i="192"/>
  <c r="CZ56" i="192"/>
  <c r="EV58" i="192"/>
  <c r="DA61" i="192"/>
  <c r="DB61" i="192"/>
  <c r="CV61" i="192"/>
  <c r="DK61" i="192" s="1"/>
  <c r="EH61" i="192"/>
  <c r="EJ61" i="192" s="1"/>
  <c r="DS61" i="192" s="1"/>
  <c r="DF61" i="192"/>
  <c r="EU21" i="192"/>
  <c r="DU63" i="192"/>
  <c r="DT63" i="192"/>
  <c r="EF63" i="192"/>
  <c r="CZ64" i="192"/>
  <c r="EQ70" i="192"/>
  <c r="ER70" i="192" s="1"/>
  <c r="ES70" i="192" s="1"/>
  <c r="Y30" i="192" s="1"/>
  <c r="FI72" i="192"/>
  <c r="FC73" i="192"/>
  <c r="EA73" i="192"/>
  <c r="DC74" i="192"/>
  <c r="EV74" i="192" s="1"/>
  <c r="DB74" i="192"/>
  <c r="DA74" i="192"/>
  <c r="CV74" i="192"/>
  <c r="DK74" i="192" s="1"/>
  <c r="EI74" i="192"/>
  <c r="EU34" i="192"/>
  <c r="EH74" i="192"/>
  <c r="EJ74" i="192" s="1"/>
  <c r="DS74" i="192" s="1"/>
  <c r="CZ75" i="192"/>
  <c r="DW78" i="192"/>
  <c r="DY78" i="192"/>
  <c r="DD79" i="192"/>
  <c r="CV79" i="192"/>
  <c r="DA79" i="192"/>
  <c r="DU79" i="192"/>
  <c r="DT79" i="192"/>
  <c r="DF83" i="192"/>
  <c r="EW83" i="192"/>
  <c r="EQ84" i="192"/>
  <c r="ER84" i="192" s="1"/>
  <c r="ES84" i="192" s="1"/>
  <c r="Y44" i="192" s="1"/>
  <c r="BR16" i="193"/>
  <c r="DN54" i="193"/>
  <c r="DP55" i="193"/>
  <c r="FE62" i="193"/>
  <c r="ET62" i="193"/>
  <c r="CZ63" i="193"/>
  <c r="DU64" i="193"/>
  <c r="DT64" i="193"/>
  <c r="DT67" i="193"/>
  <c r="DU67" i="193"/>
  <c r="DY68" i="193"/>
  <c r="I39" i="193"/>
  <c r="BS39" i="193" s="1"/>
  <c r="H39" i="193"/>
  <c r="G39" i="193"/>
  <c r="ER40" i="196"/>
  <c r="ER29" i="197"/>
  <c r="AL31" i="197"/>
  <c r="AJ31" i="197"/>
  <c r="AS31" i="197"/>
  <c r="AO31" i="197"/>
  <c r="AN31" i="197"/>
  <c r="AM31" i="197"/>
  <c r="EJ41" i="197"/>
  <c r="CH41" i="197" s="1"/>
  <c r="DZ34" i="198"/>
  <c r="FP34" i="198"/>
  <c r="FP33" i="199"/>
  <c r="DZ33" i="199"/>
  <c r="AU22" i="200"/>
  <c r="FS29" i="200"/>
  <c r="CD29" i="200"/>
  <c r="FJ29" i="200"/>
  <c r="FK29" i="200" s="1"/>
  <c r="FL29" i="200" s="1"/>
  <c r="Z29" i="200" s="1"/>
  <c r="FE29" i="200"/>
  <c r="FF29" i="200" s="1"/>
  <c r="FG29" i="200" s="1"/>
  <c r="Y29" i="200" s="1"/>
  <c r="ER16" i="201"/>
  <c r="EG22" i="201"/>
  <c r="EF22" i="201"/>
  <c r="EN31" i="201"/>
  <c r="EM31" i="201"/>
  <c r="CE22" i="203"/>
  <c r="FT22" i="203"/>
  <c r="EW83" i="191"/>
  <c r="BZ17" i="192"/>
  <c r="BK44" i="192"/>
  <c r="GE48" i="192"/>
  <c r="GD48" i="192"/>
  <c r="DJ54" i="192"/>
  <c r="DD57" i="192"/>
  <c r="DJ58" i="192"/>
  <c r="DI61" i="192"/>
  <c r="EW61" i="192" s="1"/>
  <c r="DH61" i="192"/>
  <c r="EU61" i="192"/>
  <c r="FE68" i="192"/>
  <c r="DJ81" i="192"/>
  <c r="DI81" i="192"/>
  <c r="EW81" i="192" s="1"/>
  <c r="DH81" i="192"/>
  <c r="EU82" i="192"/>
  <c r="EL82" i="192"/>
  <c r="EM82" i="192" s="1"/>
  <c r="EN82" i="192" s="1"/>
  <c r="X42" i="192" s="1"/>
  <c r="DH83" i="192"/>
  <c r="EU85" i="192"/>
  <c r="GE22" i="193"/>
  <c r="GL22" i="193" s="1"/>
  <c r="GM22" i="193" s="1"/>
  <c r="BP37" i="193"/>
  <c r="BO37" i="193"/>
  <c r="BN37" i="193"/>
  <c r="BR37" i="193" s="1"/>
  <c r="GM43" i="193"/>
  <c r="DU57" i="193"/>
  <c r="DT57" i="193"/>
  <c r="EU58" i="193"/>
  <c r="EF69" i="193"/>
  <c r="ET29" i="193"/>
  <c r="EE69" i="193"/>
  <c r="EG69" i="193" s="1"/>
  <c r="DL69" i="193" s="1"/>
  <c r="EF78" i="193"/>
  <c r="EE78" i="193"/>
  <c r="EG78" i="193" s="1"/>
  <c r="DL78" i="193" s="1"/>
  <c r="ET38" i="193"/>
  <c r="EY36" i="196"/>
  <c r="EX36" i="196"/>
  <c r="FQ36" i="196"/>
  <c r="CD23" i="197"/>
  <c r="FS23" i="197"/>
  <c r="AN27" i="197"/>
  <c r="AS27" i="197"/>
  <c r="AJ27" i="197"/>
  <c r="AO27" i="197"/>
  <c r="AM27" i="197"/>
  <c r="AL27" i="197"/>
  <c r="EF34" i="197"/>
  <c r="EG34" i="197"/>
  <c r="EG19" i="198"/>
  <c r="EF19" i="198"/>
  <c r="EN36" i="198"/>
  <c r="EM36" i="198"/>
  <c r="EJ27" i="199"/>
  <c r="CH27" i="199" s="1"/>
  <c r="AU28" i="199"/>
  <c r="EP28" i="199" s="1"/>
  <c r="FS33" i="199"/>
  <c r="CD33" i="199"/>
  <c r="FO16" i="200"/>
  <c r="FU21" i="200"/>
  <c r="FH21" i="200"/>
  <c r="FR21" i="200"/>
  <c r="ED21" i="200"/>
  <c r="EC21" i="200"/>
  <c r="FP21" i="200" s="1"/>
  <c r="EB21" i="200"/>
  <c r="EA21" i="200"/>
  <c r="FL21" i="200"/>
  <c r="Z21" i="200" s="1"/>
  <c r="DR21" i="200"/>
  <c r="EN21" i="200"/>
  <c r="EM21" i="200"/>
  <c r="EN22" i="200"/>
  <c r="EM22" i="200"/>
  <c r="EY24" i="200"/>
  <c r="EX24" i="200"/>
  <c r="FQ24" i="200"/>
  <c r="DT24" i="200"/>
  <c r="EM24" i="200"/>
  <c r="EN24" i="200"/>
  <c r="EG23" i="201"/>
  <c r="EF23" i="201"/>
  <c r="FH35" i="201"/>
  <c r="FU35" i="201"/>
  <c r="EB35" i="201"/>
  <c r="EA35" i="201"/>
  <c r="FN35" i="201"/>
  <c r="ED35" i="201"/>
  <c r="EC35" i="201"/>
  <c r="DP35" i="201"/>
  <c r="EJ35" i="201"/>
  <c r="CH35" i="201" s="1"/>
  <c r="FH44" i="201"/>
  <c r="FU44" i="201"/>
  <c r="EC44" i="201"/>
  <c r="FP44" i="201" s="1"/>
  <c r="EB44" i="201"/>
  <c r="EA44" i="201"/>
  <c r="FN44" i="201"/>
  <c r="ED44" i="201"/>
  <c r="DP44" i="201"/>
  <c r="Z13" i="169"/>
  <c r="AF14" i="169"/>
  <c r="Z17" i="169"/>
  <c r="AF18" i="169"/>
  <c r="Z21" i="169"/>
  <c r="AF22" i="169"/>
  <c r="Z25" i="169"/>
  <c r="AF26" i="169"/>
  <c r="Z29" i="169"/>
  <c r="AF30" i="169"/>
  <c r="Z33" i="169"/>
  <c r="AF34" i="169"/>
  <c r="Z37" i="169"/>
  <c r="AF38" i="169"/>
  <c r="Z41" i="169"/>
  <c r="AF42" i="169"/>
  <c r="Z45" i="169"/>
  <c r="AF46" i="169"/>
  <c r="Z49" i="169"/>
  <c r="IN12" i="191"/>
  <c r="IV12" i="191"/>
  <c r="JD12" i="191"/>
  <c r="AR18" i="191"/>
  <c r="FF58" i="191" s="1"/>
  <c r="HI26" i="191"/>
  <c r="HQ26" i="191"/>
  <c r="HY26" i="191"/>
  <c r="AZ34" i="191"/>
  <c r="FH74" i="191" s="1"/>
  <c r="CZ68" i="191"/>
  <c r="DB71" i="191"/>
  <c r="EH71" i="191"/>
  <c r="EJ71" i="191" s="1"/>
  <c r="DS71" i="191" s="1"/>
  <c r="CZ72" i="191"/>
  <c r="DB75" i="191"/>
  <c r="EH75" i="191"/>
  <c r="EJ75" i="191" s="1"/>
  <c r="DS75" i="191" s="1"/>
  <c r="CZ76" i="191"/>
  <c r="DB79" i="191"/>
  <c r="EH79" i="191"/>
  <c r="EJ79" i="191" s="1"/>
  <c r="DS79" i="191" s="1"/>
  <c r="CZ80" i="191"/>
  <c r="CX81" i="191"/>
  <c r="FB81" i="191"/>
  <c r="DB83" i="191"/>
  <c r="EH83" i="191"/>
  <c r="EJ83" i="191" s="1"/>
  <c r="DS83" i="191" s="1"/>
  <c r="CZ84" i="191"/>
  <c r="CX85" i="191"/>
  <c r="N45" i="191" s="1"/>
  <c r="FB85" i="191"/>
  <c r="BK87" i="191"/>
  <c r="BZ15" i="192"/>
  <c r="EZ64" i="192"/>
  <c r="FO26" i="192"/>
  <c r="FO33" i="192"/>
  <c r="FO35" i="192"/>
  <c r="FO36" i="192"/>
  <c r="BZ38" i="192"/>
  <c r="O42" i="192"/>
  <c r="BK45" i="192"/>
  <c r="FL54" i="192"/>
  <c r="FL55" i="192" s="1"/>
  <c r="FL56" i="192" s="1"/>
  <c r="FL57" i="192" s="1"/>
  <c r="FL58" i="192" s="1"/>
  <c r="FL59" i="192" s="1"/>
  <c r="FL60" i="192" s="1"/>
  <c r="FL61" i="192" s="1"/>
  <c r="FL62" i="192" s="1"/>
  <c r="FL63" i="192" s="1"/>
  <c r="FL64" i="192" s="1"/>
  <c r="FL65" i="192" s="1"/>
  <c r="FL66" i="192" s="1"/>
  <c r="FL67" i="192" s="1"/>
  <c r="FL68" i="192" s="1"/>
  <c r="FL69" i="192" s="1"/>
  <c r="FL70" i="192" s="1"/>
  <c r="FL71" i="192" s="1"/>
  <c r="FL72" i="192" s="1"/>
  <c r="FL73" i="192" s="1"/>
  <c r="FL74" i="192" s="1"/>
  <c r="FL75" i="192" s="1"/>
  <c r="FL76" i="192" s="1"/>
  <c r="FL77" i="192" s="1"/>
  <c r="FL78" i="192" s="1"/>
  <c r="FL79" i="192" s="1"/>
  <c r="FL80" i="192" s="1"/>
  <c r="FL81" i="192" s="1"/>
  <c r="FL82" i="192" s="1"/>
  <c r="FL83" i="192" s="1"/>
  <c r="FL84" i="192" s="1"/>
  <c r="FL85" i="192" s="1"/>
  <c r="ET56" i="192"/>
  <c r="DI57" i="192"/>
  <c r="DH57" i="192"/>
  <c r="EU57" i="192"/>
  <c r="DD59" i="192"/>
  <c r="CV59" i="192"/>
  <c r="DK59" i="192" s="1"/>
  <c r="EH59" i="192"/>
  <c r="EJ59" i="192" s="1"/>
  <c r="DS59" i="192" s="1"/>
  <c r="EO61" i="192"/>
  <c r="FD61" i="192"/>
  <c r="DF62" i="192"/>
  <c r="FA62" i="192"/>
  <c r="EY62" i="192" s="1"/>
  <c r="EL63" i="192"/>
  <c r="EM63" i="192" s="1"/>
  <c r="EN63" i="192" s="1"/>
  <c r="X23" i="192" s="1"/>
  <c r="EI63" i="192"/>
  <c r="EU64" i="192"/>
  <c r="EV65" i="192"/>
  <c r="EZ65" i="192"/>
  <c r="ET66" i="192"/>
  <c r="CX66" i="192"/>
  <c r="CW66" i="192"/>
  <c r="DD67" i="192"/>
  <c r="CV67" i="192"/>
  <c r="DK67" i="192" s="1"/>
  <c r="DC67" i="192"/>
  <c r="EV67" i="192" s="1"/>
  <c r="EW67" i="192"/>
  <c r="DS68" i="192"/>
  <c r="EV69" i="192"/>
  <c r="EZ69" i="192"/>
  <c r="ET70" i="192"/>
  <c r="CX70" i="192"/>
  <c r="CW70" i="192"/>
  <c r="DD71" i="192"/>
  <c r="CV71" i="192"/>
  <c r="DK71" i="192" s="1"/>
  <c r="DC71" i="192"/>
  <c r="EV71" i="192" s="1"/>
  <c r="EW71" i="192"/>
  <c r="DS72" i="192"/>
  <c r="EV73" i="192"/>
  <c r="EZ73" i="192"/>
  <c r="ET74" i="192"/>
  <c r="CX74" i="192"/>
  <c r="CW74" i="192"/>
  <c r="DD75" i="192"/>
  <c r="CV75" i="192"/>
  <c r="DK75" i="192" s="1"/>
  <c r="DC75" i="192"/>
  <c r="EV75" i="192" s="1"/>
  <c r="EW75" i="192"/>
  <c r="DS76" i="192"/>
  <c r="FA77" i="192"/>
  <c r="EY77" i="192" s="1"/>
  <c r="DA78" i="192"/>
  <c r="DG79" i="192"/>
  <c r="EO81" i="192"/>
  <c r="FD81" i="192"/>
  <c r="CV81" i="192"/>
  <c r="DI83" i="192"/>
  <c r="EV85" i="192"/>
  <c r="BR14" i="193"/>
  <c r="BR17" i="193"/>
  <c r="BO18" i="193"/>
  <c r="BM18" i="193"/>
  <c r="FF21" i="193"/>
  <c r="BU24" i="193"/>
  <c r="BV24" i="193" s="1"/>
  <c r="GM26" i="193"/>
  <c r="FF27" i="193"/>
  <c r="BR32" i="193"/>
  <c r="EZ41" i="193"/>
  <c r="FQ41" i="193"/>
  <c r="EY41" i="193"/>
  <c r="IN48" i="193"/>
  <c r="IF48" i="193"/>
  <c r="HX48" i="193"/>
  <c r="IP48" i="193"/>
  <c r="IG48" i="193"/>
  <c r="HW48" i="193"/>
  <c r="IO48" i="193"/>
  <c r="IE48" i="193"/>
  <c r="HV48" i="193"/>
  <c r="IM48" i="193"/>
  <c r="ID48" i="193"/>
  <c r="HU48" i="193"/>
  <c r="IT48" i="193"/>
  <c r="IK48" i="193"/>
  <c r="IB48" i="193"/>
  <c r="HS48" i="193"/>
  <c r="H14" i="193"/>
  <c r="G14" i="193"/>
  <c r="EL55" i="193"/>
  <c r="EM55" i="193" s="1"/>
  <c r="EN55" i="193" s="1"/>
  <c r="X15" i="193" s="1"/>
  <c r="GE15" i="193" s="1"/>
  <c r="GL15" i="193" s="1"/>
  <c r="GM15" i="193" s="1"/>
  <c r="EW55" i="193"/>
  <c r="DF56" i="193"/>
  <c r="BA16" i="193"/>
  <c r="AZ16" i="193"/>
  <c r="FB57" i="193"/>
  <c r="DZ57" i="193"/>
  <c r="CW57" i="193"/>
  <c r="EO58" i="193"/>
  <c r="FD58" i="193"/>
  <c r="EE59" i="193"/>
  <c r="EG59" i="193" s="1"/>
  <c r="DL59" i="193" s="1"/>
  <c r="EF59" i="193"/>
  <c r="ET19" i="193"/>
  <c r="EV60" i="193"/>
  <c r="DD63" i="193"/>
  <c r="CV63" i="193"/>
  <c r="DK63" i="193" s="1"/>
  <c r="DC63" i="193"/>
  <c r="EV63" i="193" s="1"/>
  <c r="DA63" i="193"/>
  <c r="EI63" i="193"/>
  <c r="EH63" i="193"/>
  <c r="EJ63" i="193" s="1"/>
  <c r="DS63" i="193" s="1"/>
  <c r="DF63" i="193"/>
  <c r="EA64" i="193"/>
  <c r="FC64" i="193"/>
  <c r="CZ64" i="193"/>
  <c r="I28" i="193"/>
  <c r="BS28" i="193" s="1"/>
  <c r="BT28" i="193" s="1"/>
  <c r="G28" i="193"/>
  <c r="DD69" i="193"/>
  <c r="CV69" i="193"/>
  <c r="DK69" i="193" s="1"/>
  <c r="DC69" i="193"/>
  <c r="EV69" i="193" s="1"/>
  <c r="DB69" i="193"/>
  <c r="DA69" i="193"/>
  <c r="CZ70" i="193"/>
  <c r="EV70" i="193"/>
  <c r="EE73" i="193"/>
  <c r="EG73" i="193" s="1"/>
  <c r="DL73" i="193" s="1"/>
  <c r="EF73" i="193"/>
  <c r="DF73" i="193"/>
  <c r="I35" i="193"/>
  <c r="BS35" i="193" s="1"/>
  <c r="G35" i="193"/>
  <c r="DI77" i="193"/>
  <c r="EW79" i="193"/>
  <c r="EF80" i="193"/>
  <c r="EE80" i="193"/>
  <c r="EG80" i="193" s="1"/>
  <c r="DL80" i="193" s="1"/>
  <c r="ET40" i="193"/>
  <c r="DF80" i="193"/>
  <c r="FD84" i="193"/>
  <c r="CW84" i="193"/>
  <c r="M44" i="193" s="1"/>
  <c r="EO84" i="193"/>
  <c r="DK84" i="193"/>
  <c r="E44" i="193"/>
  <c r="EK23" i="196"/>
  <c r="AQ27" i="196"/>
  <c r="AO27" i="196"/>
  <c r="AN27" i="196"/>
  <c r="AL27" i="196"/>
  <c r="AJ27" i="196"/>
  <c r="EK30" i="196"/>
  <c r="FT33" i="196"/>
  <c r="CE33" i="196"/>
  <c r="FO35" i="196"/>
  <c r="AO36" i="196"/>
  <c r="AN36" i="196"/>
  <c r="AS36" i="196"/>
  <c r="AM36" i="196"/>
  <c r="AL36" i="196"/>
  <c r="AJ36" i="196"/>
  <c r="FN36" i="196"/>
  <c r="DX36" i="196"/>
  <c r="DP36" i="196"/>
  <c r="DU36" i="196"/>
  <c r="DW36" i="196"/>
  <c r="DV36" i="196"/>
  <c r="FV39" i="196"/>
  <c r="FM39" i="196"/>
  <c r="E39" i="196"/>
  <c r="D39" i="196"/>
  <c r="GK39" i="196" s="1"/>
  <c r="EJ39" i="196"/>
  <c r="AN49" i="197"/>
  <c r="AN53" i="197"/>
  <c r="AN54" i="197"/>
  <c r="AN52" i="197"/>
  <c r="ER17" i="197"/>
  <c r="FT19" i="197"/>
  <c r="CE19" i="197"/>
  <c r="FN21" i="197"/>
  <c r="DX21" i="197"/>
  <c r="DP21" i="197"/>
  <c r="DW21" i="197"/>
  <c r="FO21" i="197" s="1"/>
  <c r="DU21" i="197"/>
  <c r="FQ21" i="197"/>
  <c r="EQ23" i="197"/>
  <c r="EJ26" i="197"/>
  <c r="CH26" i="197" s="1"/>
  <c r="DV28" i="197"/>
  <c r="DP28" i="197"/>
  <c r="DU28" i="197"/>
  <c r="FN28" i="197"/>
  <c r="EQ30" i="197"/>
  <c r="FS31" i="197"/>
  <c r="CD31" i="197"/>
  <c r="FE31" i="197"/>
  <c r="FF31" i="197" s="1"/>
  <c r="FG31" i="197" s="1"/>
  <c r="Y31" i="197" s="1"/>
  <c r="FN31" i="197"/>
  <c r="EF38" i="197"/>
  <c r="EG38" i="197"/>
  <c r="FT43" i="197"/>
  <c r="CE43" i="197"/>
  <c r="EG17" i="198"/>
  <c r="EF17" i="198"/>
  <c r="AD19" i="198"/>
  <c r="EQ19" i="198"/>
  <c r="CI19" i="198" s="1"/>
  <c r="AU28" i="198"/>
  <c r="AZ28" i="198"/>
  <c r="W29" i="198"/>
  <c r="V29" i="198"/>
  <c r="AT29" i="198" s="1"/>
  <c r="AL37" i="198"/>
  <c r="AS37" i="198"/>
  <c r="AT37" i="198" s="1"/>
  <c r="AJ37" i="198"/>
  <c r="AO37" i="198"/>
  <c r="AN37" i="198"/>
  <c r="AM37" i="198"/>
  <c r="ES38" i="198"/>
  <c r="FN40" i="198"/>
  <c r="DX40" i="198"/>
  <c r="DP40" i="198"/>
  <c r="DW40" i="198"/>
  <c r="DU40" i="198"/>
  <c r="F16" i="199"/>
  <c r="H16" i="199"/>
  <c r="G16" i="199"/>
  <c r="F19" i="199"/>
  <c r="AZ19" i="199" s="1"/>
  <c r="H19" i="199"/>
  <c r="AQ19" i="199" s="1"/>
  <c r="G19" i="199"/>
  <c r="EF21" i="199"/>
  <c r="EN22" i="199"/>
  <c r="EM22" i="199"/>
  <c r="FA24" i="199"/>
  <c r="FB24" i="199"/>
  <c r="FP24" i="199"/>
  <c r="DZ24" i="199"/>
  <c r="AS25" i="199"/>
  <c r="AT25" i="199" s="1"/>
  <c r="AJ25" i="199"/>
  <c r="AQ25" i="199"/>
  <c r="AR25" i="199" s="1"/>
  <c r="AO25" i="199"/>
  <c r="AN25" i="199"/>
  <c r="AM25" i="199"/>
  <c r="AL25" i="199"/>
  <c r="AN43" i="199"/>
  <c r="AM43" i="199"/>
  <c r="AL43" i="199"/>
  <c r="AJ43" i="199"/>
  <c r="AS43" i="199"/>
  <c r="AO43" i="199"/>
  <c r="K44" i="199"/>
  <c r="J44" i="199"/>
  <c r="I44" i="199"/>
  <c r="AH45" i="199"/>
  <c r="AG45" i="199"/>
  <c r="AW45" i="199"/>
  <c r="AV45" i="199"/>
  <c r="AK45" i="199" s="1"/>
  <c r="AF45" i="199"/>
  <c r="AE45" i="199"/>
  <c r="AD45" i="199"/>
  <c r="FS45" i="199"/>
  <c r="CD45" i="199"/>
  <c r="FJ45" i="199"/>
  <c r="FK45" i="199" s="1"/>
  <c r="FL45" i="199" s="1"/>
  <c r="Z45" i="199" s="1"/>
  <c r="FE45" i="199"/>
  <c r="FF45" i="199" s="1"/>
  <c r="FG45" i="199" s="1"/>
  <c r="Y45" i="199" s="1"/>
  <c r="FN45" i="199"/>
  <c r="EQ19" i="200"/>
  <c r="CI19" i="200" s="1"/>
  <c r="AM20" i="200"/>
  <c r="AL20" i="200"/>
  <c r="AS20" i="200"/>
  <c r="AO20" i="200"/>
  <c r="AN20" i="200"/>
  <c r="AQ20" i="200"/>
  <c r="AJ20" i="200"/>
  <c r="ER44" i="200"/>
  <c r="FS31" i="201"/>
  <c r="CD31" i="201"/>
  <c r="FE31" i="201"/>
  <c r="FF31" i="201" s="1"/>
  <c r="FG31" i="201" s="1"/>
  <c r="Y31" i="201" s="1"/>
  <c r="FJ31" i="201"/>
  <c r="FK31" i="201" s="1"/>
  <c r="FL31" i="201" s="1"/>
  <c r="Z31" i="201" s="1"/>
  <c r="EN32" i="201"/>
  <c r="EM32" i="201"/>
  <c r="AJ33" i="201"/>
  <c r="AQ33" i="201"/>
  <c r="AO33" i="201"/>
  <c r="AN33" i="201"/>
  <c r="AM33" i="201"/>
  <c r="AS33" i="201"/>
  <c r="AL33" i="201"/>
  <c r="EJ33" i="201"/>
  <c r="EX22" i="202"/>
  <c r="EY22" i="202"/>
  <c r="DT22" i="202"/>
  <c r="EM22" i="202"/>
  <c r="EN22" i="202"/>
  <c r="DZ22" i="202"/>
  <c r="CD30" i="203"/>
  <c r="FS30" i="203"/>
  <c r="FJ30" i="203"/>
  <c r="FK30" i="203" s="1"/>
  <c r="FL30" i="203" s="1"/>
  <c r="Z30" i="203" s="1"/>
  <c r="FE30" i="203"/>
  <c r="FF30" i="203" s="1"/>
  <c r="FG30" i="203" s="1"/>
  <c r="Y30" i="203" s="1"/>
  <c r="EJ32" i="203"/>
  <c r="CH32" i="203" s="1"/>
  <c r="W41" i="204"/>
  <c r="V41" i="204"/>
  <c r="AT41" i="204" s="1"/>
  <c r="GL41" i="204"/>
  <c r="BK21" i="192"/>
  <c r="BQ38" i="192"/>
  <c r="FB56" i="192"/>
  <c r="EL69" i="192"/>
  <c r="EM69" i="192" s="1"/>
  <c r="EN69" i="192" s="1"/>
  <c r="X29" i="192" s="1"/>
  <c r="FE72" i="192"/>
  <c r="EI78" i="192"/>
  <c r="DH82" i="192"/>
  <c r="DG82" i="192"/>
  <c r="EL83" i="192"/>
  <c r="EM83" i="192" s="1"/>
  <c r="EN83" i="192" s="1"/>
  <c r="X43" i="192" s="1"/>
  <c r="FA55" i="193"/>
  <c r="EY55" i="193" s="1"/>
  <c r="GF41" i="193"/>
  <c r="BJ41" i="193"/>
  <c r="FO41" i="193"/>
  <c r="AJ30" i="196"/>
  <c r="AQ30" i="196"/>
  <c r="AN30" i="196"/>
  <c r="AM30" i="196"/>
  <c r="AO30" i="196"/>
  <c r="AL30" i="196"/>
  <c r="DQ35" i="196"/>
  <c r="CR35" i="196"/>
  <c r="EU35" i="196"/>
  <c r="ES35" i="196"/>
  <c r="CS35" i="196"/>
  <c r="FO36" i="196"/>
  <c r="DT36" i="196"/>
  <c r="GB39" i="196"/>
  <c r="GA39" i="196"/>
  <c r="GE39" i="196"/>
  <c r="GD39" i="196"/>
  <c r="AL24" i="197"/>
  <c r="AS24" i="197"/>
  <c r="AJ24" i="197"/>
  <c r="AO24" i="197"/>
  <c r="AM24" i="197"/>
  <c r="AQ24" i="197"/>
  <c r="AN24" i="197"/>
  <c r="EM24" i="198"/>
  <c r="EN24" i="198"/>
  <c r="EG30" i="198"/>
  <c r="EF30" i="198"/>
  <c r="DT36" i="198"/>
  <c r="EK44" i="198"/>
  <c r="EV44" i="198" s="1"/>
  <c r="EK21" i="199"/>
  <c r="FJ33" i="199"/>
  <c r="FK33" i="199" s="1"/>
  <c r="FL33" i="199" s="1"/>
  <c r="Z33" i="199" s="1"/>
  <c r="FE33" i="199"/>
  <c r="FF33" i="199" s="1"/>
  <c r="FG33" i="199" s="1"/>
  <c r="Y33" i="199" s="1"/>
  <c r="FN33" i="199"/>
  <c r="J42" i="199"/>
  <c r="I42" i="199"/>
  <c r="K42" i="199"/>
  <c r="IO12" i="191"/>
  <c r="IW12" i="191"/>
  <c r="JE12" i="191"/>
  <c r="HJ26" i="191"/>
  <c r="HR26" i="191"/>
  <c r="HZ26" i="191"/>
  <c r="EU40" i="191"/>
  <c r="AV41" i="191"/>
  <c r="FG81" i="191" s="1"/>
  <c r="EU44" i="191"/>
  <c r="DA68" i="191"/>
  <c r="CW70" i="191"/>
  <c r="EQ71" i="191"/>
  <c r="ER71" i="191" s="1"/>
  <c r="ES71" i="191" s="1"/>
  <c r="DA72" i="191"/>
  <c r="CW74" i="191"/>
  <c r="EQ75" i="191"/>
  <c r="ER75" i="191" s="1"/>
  <c r="ES75" i="191" s="1"/>
  <c r="Y35" i="191" s="1"/>
  <c r="GE35" i="191" s="1"/>
  <c r="GL35" i="191" s="1"/>
  <c r="GM35" i="191" s="1"/>
  <c r="DA76" i="191"/>
  <c r="CW78" i="191"/>
  <c r="EI79" i="191"/>
  <c r="EQ79" i="191"/>
  <c r="ER79" i="191" s="1"/>
  <c r="ES79" i="191" s="1"/>
  <c r="Y39" i="191" s="1"/>
  <c r="DA80" i="191"/>
  <c r="CW82" i="191"/>
  <c r="EQ83" i="191"/>
  <c r="ER83" i="191" s="1"/>
  <c r="ES83" i="191" s="1"/>
  <c r="Y43" i="191" s="1"/>
  <c r="DA84" i="191"/>
  <c r="AV14" i="192"/>
  <c r="FG54" i="192" s="1"/>
  <c r="BZ16" i="192"/>
  <c r="BK17" i="192"/>
  <c r="EU17" i="192"/>
  <c r="FO18" i="192"/>
  <c r="FA59" i="192"/>
  <c r="EY59" i="192" s="1"/>
  <c r="EZ59" i="192"/>
  <c r="FG60" i="192"/>
  <c r="FO21" i="192"/>
  <c r="BZ22" i="192"/>
  <c r="BZ25" i="192"/>
  <c r="FA67" i="192"/>
  <c r="EY67" i="192" s="1"/>
  <c r="EZ67" i="192"/>
  <c r="BZ28" i="192"/>
  <c r="BK30" i="192"/>
  <c r="BZ31" i="192"/>
  <c r="EZ72" i="192"/>
  <c r="BK34" i="192"/>
  <c r="BZ37" i="192"/>
  <c r="J39" i="192"/>
  <c r="BZ40" i="192"/>
  <c r="Q41" i="192"/>
  <c r="EZ82" i="192"/>
  <c r="FO44" i="192"/>
  <c r="DF54" i="192"/>
  <c r="EQ54" i="192"/>
  <c r="ER54" i="192" s="1"/>
  <c r="ES54" i="192" s="1"/>
  <c r="Y14" i="192" s="1"/>
  <c r="EQ55" i="192"/>
  <c r="ER55" i="192" s="1"/>
  <c r="ES55" i="192" s="1"/>
  <c r="Y15" i="192" s="1"/>
  <c r="GE15" i="192" s="1"/>
  <c r="GL15" i="192" s="1"/>
  <c r="GM15" i="192" s="1"/>
  <c r="EQ56" i="192"/>
  <c r="ER56" i="192" s="1"/>
  <c r="ES56" i="192" s="1"/>
  <c r="Y16" i="192" s="1"/>
  <c r="EU56" i="192"/>
  <c r="EO57" i="192"/>
  <c r="FD57" i="192"/>
  <c r="CV57" i="192"/>
  <c r="DK57" i="192" s="1"/>
  <c r="EL57" i="192"/>
  <c r="EM57" i="192" s="1"/>
  <c r="EN57" i="192" s="1"/>
  <c r="X17" i="192" s="1"/>
  <c r="GE17" i="192" s="1"/>
  <c r="GL17" i="192" s="1"/>
  <c r="DF58" i="192"/>
  <c r="EU59" i="192"/>
  <c r="CW61" i="192"/>
  <c r="DG61" i="192"/>
  <c r="DC62" i="192"/>
  <c r="EV62" i="192" s="1"/>
  <c r="EH62" i="192"/>
  <c r="EJ62" i="192" s="1"/>
  <c r="DS62" i="192" s="1"/>
  <c r="FD62" i="192"/>
  <c r="DS64" i="192"/>
  <c r="EV64" i="192"/>
  <c r="EW65" i="192"/>
  <c r="EQ65" i="192"/>
  <c r="ER65" i="192" s="1"/>
  <c r="ES65" i="192" s="1"/>
  <c r="Y25" i="192" s="1"/>
  <c r="GE25" i="192" s="1"/>
  <c r="GL25" i="192" s="1"/>
  <c r="GM25" i="192" s="1"/>
  <c r="EL67" i="192"/>
  <c r="EM67" i="192" s="1"/>
  <c r="EN67" i="192" s="1"/>
  <c r="X27" i="192" s="1"/>
  <c r="GE27" i="192" s="1"/>
  <c r="GL27" i="192" s="1"/>
  <c r="GM27" i="192" s="1"/>
  <c r="EQ68" i="192"/>
  <c r="ER68" i="192" s="1"/>
  <c r="ES68" i="192" s="1"/>
  <c r="Y28" i="192" s="1"/>
  <c r="GE28" i="192" s="1"/>
  <c r="GL28" i="192" s="1"/>
  <c r="GM28" i="192" s="1"/>
  <c r="EL71" i="192"/>
  <c r="EM71" i="192" s="1"/>
  <c r="EN71" i="192" s="1"/>
  <c r="X31" i="192" s="1"/>
  <c r="EQ72" i="192"/>
  <c r="ER72" i="192" s="1"/>
  <c r="ES72" i="192" s="1"/>
  <c r="Y32" i="192" s="1"/>
  <c r="EQ73" i="192"/>
  <c r="ER73" i="192" s="1"/>
  <c r="ES73" i="192" s="1"/>
  <c r="Y33" i="192" s="1"/>
  <c r="EL75" i="192"/>
  <c r="EM75" i="192" s="1"/>
  <c r="EN75" i="192" s="1"/>
  <c r="X35" i="192" s="1"/>
  <c r="EQ76" i="192"/>
  <c r="ER76" i="192" s="1"/>
  <c r="ES76" i="192" s="1"/>
  <c r="DB78" i="192"/>
  <c r="DH79" i="192"/>
  <c r="EU80" i="192"/>
  <c r="DZ81" i="192"/>
  <c r="FB81" i="192"/>
  <c r="FE81" i="192"/>
  <c r="ET81" i="192"/>
  <c r="CX81" i="192"/>
  <c r="N41" i="192" s="1"/>
  <c r="CW81" i="192"/>
  <c r="M41" i="192" s="1"/>
  <c r="ET82" i="192"/>
  <c r="CX82" i="192"/>
  <c r="N42" i="192" s="1"/>
  <c r="CX84" i="192"/>
  <c r="N44" i="192" s="1"/>
  <c r="FB84" i="192"/>
  <c r="EW85" i="192"/>
  <c r="DF71" i="193"/>
  <c r="CZ85" i="193"/>
  <c r="DF67" i="193"/>
  <c r="FA63" i="193"/>
  <c r="EY63" i="193" s="1"/>
  <c r="FQ36" i="193"/>
  <c r="BJ42" i="193"/>
  <c r="FO42" i="193"/>
  <c r="BE42" i="193"/>
  <c r="FO44" i="193"/>
  <c r="BJ44" i="193"/>
  <c r="GF44" i="193"/>
  <c r="GE48" i="193"/>
  <c r="GD48" i="193"/>
  <c r="GC48" i="193"/>
  <c r="GA48" i="193"/>
  <c r="IH48" i="193"/>
  <c r="EW54" i="193"/>
  <c r="DF55" i="193"/>
  <c r="EZ55" i="193"/>
  <c r="EW56" i="193"/>
  <c r="EU56" i="193"/>
  <c r="CX57" i="193"/>
  <c r="EO57" i="193"/>
  <c r="BA17" i="193"/>
  <c r="AZ17" i="193"/>
  <c r="FH57" i="193" s="1"/>
  <c r="CW58" i="193"/>
  <c r="DZ58" i="193"/>
  <c r="EF60" i="193"/>
  <c r="EE60" i="193"/>
  <c r="EG60" i="193" s="1"/>
  <c r="DL60" i="193" s="1"/>
  <c r="ET20" i="193"/>
  <c r="EO65" i="193"/>
  <c r="FD65" i="193"/>
  <c r="CW65" i="193"/>
  <c r="BA26" i="193"/>
  <c r="AZ26" i="193"/>
  <c r="FH66" i="193" s="1"/>
  <c r="DJ69" i="193"/>
  <c r="DI69" i="193"/>
  <c r="EW69" i="193" s="1"/>
  <c r="EL69" i="193"/>
  <c r="EM69" i="193" s="1"/>
  <c r="EN69" i="193" s="1"/>
  <c r="X29" i="193" s="1"/>
  <c r="EQ69" i="193"/>
  <c r="ER69" i="193" s="1"/>
  <c r="ES69" i="193" s="1"/>
  <c r="Y29" i="193" s="1"/>
  <c r="EU69" i="193"/>
  <c r="EF70" i="193"/>
  <c r="ET30" i="193"/>
  <c r="DF70" i="193"/>
  <c r="EW70" i="193"/>
  <c r="DZ71" i="193"/>
  <c r="FB71" i="193"/>
  <c r="DD73" i="193"/>
  <c r="CV73" i="193"/>
  <c r="DK73" i="193" s="1"/>
  <c r="DB73" i="193"/>
  <c r="DA73" i="193"/>
  <c r="EW73" i="193"/>
  <c r="EF77" i="193"/>
  <c r="EE77" i="193"/>
  <c r="EG77" i="193" s="1"/>
  <c r="DL77" i="193" s="1"/>
  <c r="DF77" i="193"/>
  <c r="EW77" i="193"/>
  <c r="DJ77" i="193"/>
  <c r="CV80" i="193"/>
  <c r="DD80" i="193"/>
  <c r="DC80" i="193"/>
  <c r="EV80" i="193" s="1"/>
  <c r="DB80" i="193"/>
  <c r="EH80" i="193"/>
  <c r="EJ80" i="193" s="1"/>
  <c r="DS80" i="193" s="1"/>
  <c r="EU40" i="193"/>
  <c r="EI80" i="193"/>
  <c r="EE81" i="193"/>
  <c r="EG81" i="193" s="1"/>
  <c r="DL81" i="193" s="1"/>
  <c r="EF81" i="193"/>
  <c r="DF81" i="193"/>
  <c r="EW81" i="193"/>
  <c r="DZ82" i="193"/>
  <c r="FB82" i="193"/>
  <c r="CX82" i="193"/>
  <c r="N42" i="193" s="1"/>
  <c r="AU26" i="196"/>
  <c r="EP26" i="196" s="1"/>
  <c r="AN34" i="196"/>
  <c r="AM34" i="196"/>
  <c r="AL34" i="196"/>
  <c r="AS34" i="196"/>
  <c r="AO34" i="196"/>
  <c r="AJ34" i="196"/>
  <c r="FA34" i="196"/>
  <c r="FB34" i="196"/>
  <c r="FP34" i="196"/>
  <c r="DZ34" i="196"/>
  <c r="FR36" i="196"/>
  <c r="FB36" i="196"/>
  <c r="FA36" i="196"/>
  <c r="DZ36" i="196"/>
  <c r="FP36" i="196"/>
  <c r="EG36" i="196"/>
  <c r="EF36" i="196"/>
  <c r="ER39" i="196"/>
  <c r="AM53" i="197"/>
  <c r="AM49" i="197"/>
  <c r="FT16" i="197"/>
  <c r="CE16" i="197"/>
  <c r="EJ17" i="197"/>
  <c r="CE17" i="197"/>
  <c r="FT17" i="197"/>
  <c r="EG17" i="197"/>
  <c r="FS18" i="197"/>
  <c r="CD18" i="197"/>
  <c r="FJ18" i="197"/>
  <c r="FK18" i="197" s="1"/>
  <c r="FL18" i="197" s="1"/>
  <c r="Z18" i="197" s="1"/>
  <c r="FE18" i="197"/>
  <c r="FF18" i="197" s="1"/>
  <c r="FG18" i="197" s="1"/>
  <c r="Y18" i="197" s="1"/>
  <c r="ER19" i="197"/>
  <c r="CI19" i="197" s="1"/>
  <c r="AN20" i="197"/>
  <c r="AM20" i="197"/>
  <c r="AL20" i="197"/>
  <c r="AS20" i="197"/>
  <c r="AO20" i="197"/>
  <c r="AJ20" i="197"/>
  <c r="FV22" i="197"/>
  <c r="FM22" i="197"/>
  <c r="AS23" i="197"/>
  <c r="AT23" i="197" s="1"/>
  <c r="AJ23" i="197"/>
  <c r="AM23" i="197"/>
  <c r="AL23" i="197"/>
  <c r="AO23" i="197"/>
  <c r="AN23" i="197"/>
  <c r="EN23" i="197"/>
  <c r="FH32" i="197"/>
  <c r="FU32" i="197"/>
  <c r="EB32" i="197"/>
  <c r="EA32" i="197"/>
  <c r="EC32" i="197"/>
  <c r="EN36" i="197"/>
  <c r="EM36" i="197"/>
  <c r="CD41" i="197"/>
  <c r="FS41" i="197"/>
  <c r="FJ41" i="197"/>
  <c r="FK41" i="197" s="1"/>
  <c r="FL41" i="197" s="1"/>
  <c r="Z41" i="197" s="1"/>
  <c r="FE41" i="197"/>
  <c r="FF41" i="197" s="1"/>
  <c r="FG41" i="197" s="1"/>
  <c r="Y41" i="197" s="1"/>
  <c r="EN41" i="197"/>
  <c r="EM41" i="197"/>
  <c r="AH42" i="197"/>
  <c r="AW42" i="197"/>
  <c r="AV42" i="197"/>
  <c r="AK42" i="197" s="1"/>
  <c r="AG42" i="197"/>
  <c r="AF42" i="197"/>
  <c r="AD42" i="197"/>
  <c r="FP25" i="198"/>
  <c r="DZ25" i="198"/>
  <c r="EN27" i="198"/>
  <c r="EM27" i="198"/>
  <c r="EQ31" i="198"/>
  <c r="CI31" i="198" s="1"/>
  <c r="DW32" i="198"/>
  <c r="DV32" i="198"/>
  <c r="DU32" i="198"/>
  <c r="DX32" i="198"/>
  <c r="FN32" i="198"/>
  <c r="DP32" i="198"/>
  <c r="EJ37" i="198"/>
  <c r="AN53" i="198"/>
  <c r="FU22" i="199"/>
  <c r="FH22" i="199"/>
  <c r="ED22" i="199"/>
  <c r="EC22" i="199"/>
  <c r="EB22" i="199"/>
  <c r="EA22" i="199"/>
  <c r="FH24" i="199"/>
  <c r="FU24" i="199"/>
  <c r="EB24" i="199"/>
  <c r="EA24" i="199"/>
  <c r="FN24" i="199"/>
  <c r="ED24" i="199"/>
  <c r="EC24" i="199"/>
  <c r="DP24" i="199"/>
  <c r="EG24" i="199"/>
  <c r="EF24" i="199"/>
  <c r="FR24" i="199"/>
  <c r="FH38" i="199"/>
  <c r="FU38" i="199"/>
  <c r="EA38" i="199"/>
  <c r="EB38" i="199"/>
  <c r="DP38" i="199"/>
  <c r="ED38" i="199"/>
  <c r="EC38" i="199"/>
  <c r="CJ38" i="199"/>
  <c r="X38" i="199"/>
  <c r="CD44" i="199"/>
  <c r="FS44" i="199"/>
  <c r="FE44" i="199"/>
  <c r="FF44" i="199" s="1"/>
  <c r="FG44" i="199" s="1"/>
  <c r="Y44" i="199" s="1"/>
  <c r="FJ44" i="199"/>
  <c r="FK44" i="199" s="1"/>
  <c r="FL44" i="199" s="1"/>
  <c r="Z44" i="199" s="1"/>
  <c r="ER19" i="200"/>
  <c r="AU27" i="200"/>
  <c r="FB34" i="200"/>
  <c r="FA34" i="200"/>
  <c r="FR34" i="200"/>
  <c r="FP34" i="200"/>
  <c r="DZ34" i="200"/>
  <c r="EN37" i="200"/>
  <c r="EM37" i="200"/>
  <c r="EN43" i="200"/>
  <c r="EM43" i="200"/>
  <c r="EL84" i="200"/>
  <c r="AD16" i="201"/>
  <c r="FR18" i="201"/>
  <c r="FB18" i="201"/>
  <c r="DZ18" i="201"/>
  <c r="CD20" i="201"/>
  <c r="FS20" i="201"/>
  <c r="EK29" i="201"/>
  <c r="EQ82" i="191"/>
  <c r="ER82" i="191" s="1"/>
  <c r="ES82" i="191" s="1"/>
  <c r="Y42" i="191" s="1"/>
  <c r="GE42" i="191" s="1"/>
  <c r="GL42" i="191" s="1"/>
  <c r="GM42" i="191" s="1"/>
  <c r="BK18" i="192"/>
  <c r="EZ68" i="192"/>
  <c r="BZ30" i="192"/>
  <c r="BZ34" i="192"/>
  <c r="BO45" i="192"/>
  <c r="BN45" i="192"/>
  <c r="FQ45" i="192"/>
  <c r="EZ45" i="192"/>
  <c r="EY45" i="192"/>
  <c r="DJ55" i="192"/>
  <c r="EQ60" i="192"/>
  <c r="ER60" i="192" s="1"/>
  <c r="ES60" i="192" s="1"/>
  <c r="Y20" i="192" s="1"/>
  <c r="GE20" i="192" s="1"/>
  <c r="GL20" i="192" s="1"/>
  <c r="GM20" i="192" s="1"/>
  <c r="DD63" i="192"/>
  <c r="CV63" i="192"/>
  <c r="DK63" i="192" s="1"/>
  <c r="FE76" i="192"/>
  <c r="EV77" i="192"/>
  <c r="EL79" i="192"/>
  <c r="EM79" i="192" s="1"/>
  <c r="EN79" i="192" s="1"/>
  <c r="X39" i="192" s="1"/>
  <c r="EQ80" i="192"/>
  <c r="ER80" i="192" s="1"/>
  <c r="ES80" i="192" s="1"/>
  <c r="Y40" i="192" s="1"/>
  <c r="EL81" i="192"/>
  <c r="EM81" i="192" s="1"/>
  <c r="EN81" i="192" s="1"/>
  <c r="X41" i="192" s="1"/>
  <c r="DJ82" i="192"/>
  <c r="EU70" i="193"/>
  <c r="EU82" i="193"/>
  <c r="EU78" i="193"/>
  <c r="EU65" i="193"/>
  <c r="EU74" i="193"/>
  <c r="EU66" i="193"/>
  <c r="EU57" i="193"/>
  <c r="EU81" i="193"/>
  <c r="EU71" i="193"/>
  <c r="BO22" i="193"/>
  <c r="BM22" i="193"/>
  <c r="BR22" i="193" s="1"/>
  <c r="GD43" i="193"/>
  <c r="GE43" i="193"/>
  <c r="DN63" i="193"/>
  <c r="DM63" i="193"/>
  <c r="EO67" i="193"/>
  <c r="FD67" i="193"/>
  <c r="CW67" i="193"/>
  <c r="CV72" i="193"/>
  <c r="DK72" i="193" s="1"/>
  <c r="DD72" i="193"/>
  <c r="EI72" i="193"/>
  <c r="EH72" i="193"/>
  <c r="EJ72" i="193" s="1"/>
  <c r="DS72" i="193" s="1"/>
  <c r="EU32" i="193"/>
  <c r="EU73" i="193"/>
  <c r="FR23" i="196"/>
  <c r="FB23" i="196"/>
  <c r="EB24" i="196"/>
  <c r="EA24" i="196"/>
  <c r="ED24" i="196"/>
  <c r="FM30" i="196"/>
  <c r="FV30" i="196"/>
  <c r="EJ30" i="196"/>
  <c r="CH30" i="196" s="1"/>
  <c r="CE31" i="196"/>
  <c r="EQ32" i="196"/>
  <c r="W33" i="196"/>
  <c r="V33" i="196"/>
  <c r="FV33" i="196"/>
  <c r="FM33" i="196"/>
  <c r="EO69" i="196"/>
  <c r="EQ69" i="196"/>
  <c r="FJ23" i="197"/>
  <c r="FK23" i="197" s="1"/>
  <c r="FL23" i="197" s="1"/>
  <c r="Z23" i="197" s="1"/>
  <c r="FE23" i="197"/>
  <c r="FF23" i="197" s="1"/>
  <c r="FG23" i="197" s="1"/>
  <c r="Y23" i="197" s="1"/>
  <c r="EJ23" i="197"/>
  <c r="CI29" i="197"/>
  <c r="ER35" i="197"/>
  <c r="FO39" i="197"/>
  <c r="FN39" i="197"/>
  <c r="DX39" i="197"/>
  <c r="DW39" i="197"/>
  <c r="DU39" i="197"/>
  <c r="DP39" i="197"/>
  <c r="FQ39" i="197"/>
  <c r="DV39" i="197"/>
  <c r="K41" i="198"/>
  <c r="J41" i="198"/>
  <c r="I41" i="198"/>
  <c r="EG42" i="198"/>
  <c r="EF42" i="198"/>
  <c r="Z14" i="169"/>
  <c r="Z18" i="169"/>
  <c r="Z22" i="169"/>
  <c r="Z26" i="169"/>
  <c r="Z30" i="169"/>
  <c r="Z34" i="169"/>
  <c r="Z38" i="169"/>
  <c r="Z42" i="169"/>
  <c r="Z46" i="169"/>
  <c r="DB68" i="191"/>
  <c r="CZ69" i="191"/>
  <c r="DB72" i="191"/>
  <c r="CZ73" i="191"/>
  <c r="DB76" i="191"/>
  <c r="CZ77" i="191"/>
  <c r="DB80" i="191"/>
  <c r="CZ81" i="191"/>
  <c r="DB84" i="191"/>
  <c r="CZ85" i="191"/>
  <c r="DF85" i="192"/>
  <c r="DF81" i="192"/>
  <c r="FA54" i="192"/>
  <c r="EY54" i="192" s="1"/>
  <c r="BK15" i="192"/>
  <c r="FA63" i="192"/>
  <c r="EY63" i="192" s="1"/>
  <c r="EZ63" i="192"/>
  <c r="BZ24" i="192"/>
  <c r="ET28" i="192"/>
  <c r="BZ29" i="192"/>
  <c r="ET31" i="192"/>
  <c r="FA75" i="192"/>
  <c r="EY75" i="192" s="1"/>
  <c r="EZ75" i="192"/>
  <c r="EZ76" i="192"/>
  <c r="BK38" i="192"/>
  <c r="GA39" i="192"/>
  <c r="GL39" i="192" s="1"/>
  <c r="BJ40" i="192"/>
  <c r="BZ41" i="192"/>
  <c r="BP45" i="192"/>
  <c r="BR45" i="192" s="1"/>
  <c r="BZ45" i="192"/>
  <c r="FD54" i="192"/>
  <c r="DD55" i="192"/>
  <c r="CV55" i="192"/>
  <c r="DK55" i="192" s="1"/>
  <c r="FE56" i="192"/>
  <c r="CW57" i="192"/>
  <c r="DG57" i="192"/>
  <c r="DG59" i="192"/>
  <c r="CX61" i="192"/>
  <c r="DJ61" i="192"/>
  <c r="EU62" i="192"/>
  <c r="EL62" i="192"/>
  <c r="EM62" i="192" s="1"/>
  <c r="EN62" i="192" s="1"/>
  <c r="X22" i="192" s="1"/>
  <c r="DZ62" i="192"/>
  <c r="DG63" i="192"/>
  <c r="EQ64" i="192"/>
  <c r="ER64" i="192" s="1"/>
  <c r="ES64" i="192" s="1"/>
  <c r="Y24" i="192" s="1"/>
  <c r="GE24" i="192" s="1"/>
  <c r="GL24" i="192" s="1"/>
  <c r="GM24" i="192" s="1"/>
  <c r="EW64" i="192"/>
  <c r="DZ66" i="192"/>
  <c r="DG67" i="192"/>
  <c r="DZ70" i="192"/>
  <c r="DG71" i="192"/>
  <c r="DZ74" i="192"/>
  <c r="DG75" i="192"/>
  <c r="DJ77" i="192"/>
  <c r="DI77" i="192"/>
  <c r="EW77" i="192" s="1"/>
  <c r="DH77" i="192"/>
  <c r="DF77" i="192"/>
  <c r="EF78" i="192"/>
  <c r="EE78" i="192"/>
  <c r="EG78" i="192" s="1"/>
  <c r="DL78" i="192" s="1"/>
  <c r="DF78" i="192"/>
  <c r="DC78" i="192"/>
  <c r="EV78" i="192" s="1"/>
  <c r="EQ79" i="192"/>
  <c r="ER79" i="192" s="1"/>
  <c r="ES79" i="192" s="1"/>
  <c r="Y39" i="192" s="1"/>
  <c r="EQ82" i="192"/>
  <c r="ER82" i="192" s="1"/>
  <c r="ES82" i="192" s="1"/>
  <c r="Y42" i="192" s="1"/>
  <c r="FC84" i="192"/>
  <c r="JE12" i="193"/>
  <c r="IW12" i="193"/>
  <c r="IO12" i="193"/>
  <c r="HZ12" i="193"/>
  <c r="HR12" i="193"/>
  <c r="HJ12" i="193"/>
  <c r="JD12" i="193"/>
  <c r="IV12" i="193"/>
  <c r="IN12" i="193"/>
  <c r="HY12" i="193"/>
  <c r="HQ12" i="193"/>
  <c r="HI12" i="193"/>
  <c r="JK12" i="193"/>
  <c r="JC12" i="193"/>
  <c r="IU12" i="193"/>
  <c r="IM12" i="193"/>
  <c r="HX12" i="193"/>
  <c r="HP12" i="193"/>
  <c r="HH12" i="193"/>
  <c r="JI12" i="193"/>
  <c r="JA12" i="193"/>
  <c r="IS12" i="193"/>
  <c r="ID12" i="193"/>
  <c r="HV12" i="193"/>
  <c r="HN12" i="193"/>
  <c r="HF12" i="193"/>
  <c r="HD12" i="193"/>
  <c r="HU12" i="193"/>
  <c r="IR12" i="193"/>
  <c r="JH12" i="193"/>
  <c r="BO20" i="193"/>
  <c r="FA69" i="193"/>
  <c r="EY69" i="193" s="1"/>
  <c r="EZ69" i="193"/>
  <c r="BM31" i="193"/>
  <c r="BR31" i="193" s="1"/>
  <c r="FQ43" i="193"/>
  <c r="FQ40" i="193"/>
  <c r="BJ34" i="193"/>
  <c r="FQ19" i="193"/>
  <c r="BQ36" i="193"/>
  <c r="BP36" i="193"/>
  <c r="BO36" i="193"/>
  <c r="BM36" i="193"/>
  <c r="ET37" i="193"/>
  <c r="H38" i="193"/>
  <c r="FA80" i="193"/>
  <c r="EY80" i="193" s="1"/>
  <c r="EZ80" i="193"/>
  <c r="FQ42" i="193"/>
  <c r="EY42" i="193"/>
  <c r="GF42" i="193"/>
  <c r="EY44" i="193"/>
  <c r="J45" i="193"/>
  <c r="HQ48" i="193"/>
  <c r="II48" i="193"/>
  <c r="DF54" i="193"/>
  <c r="FE55" i="193"/>
  <c r="ET55" i="193"/>
  <c r="CW55" i="193"/>
  <c r="FB55" i="193"/>
  <c r="CW56" i="193"/>
  <c r="FD56" i="193"/>
  <c r="CX58" i="193"/>
  <c r="EL59" i="193"/>
  <c r="EM59" i="193" s="1"/>
  <c r="EN59" i="193" s="1"/>
  <c r="X19" i="193" s="1"/>
  <c r="GE19" i="193" s="1"/>
  <c r="GL19" i="193" s="1"/>
  <c r="GM19" i="193" s="1"/>
  <c r="EU60" i="193"/>
  <c r="FE61" i="193"/>
  <c r="ET61" i="193"/>
  <c r="EU67" i="193"/>
  <c r="EA71" i="193"/>
  <c r="FC71" i="193"/>
  <c r="CX71" i="193"/>
  <c r="DA72" i="193"/>
  <c r="EW75" i="193"/>
  <c r="DF75" i="193"/>
  <c r="I36" i="193"/>
  <c r="BS36" i="193" s="1"/>
  <c r="H36" i="193"/>
  <c r="G36" i="193"/>
  <c r="DD77" i="193"/>
  <c r="CV77" i="193"/>
  <c r="DC77" i="193"/>
  <c r="EV77" i="193" s="1"/>
  <c r="DB77" i="193"/>
  <c r="DA77" i="193"/>
  <c r="EI77" i="193"/>
  <c r="EU37" i="193"/>
  <c r="EH77" i="193"/>
  <c r="EJ77" i="193" s="1"/>
  <c r="DS77" i="193" s="1"/>
  <c r="DH80" i="193"/>
  <c r="DG80" i="193"/>
  <c r="DJ80" i="193"/>
  <c r="DI80" i="193"/>
  <c r="EW80" i="193" s="1"/>
  <c r="EU80" i="193"/>
  <c r="EL80" i="193"/>
  <c r="EM80" i="193" s="1"/>
  <c r="EN80" i="193" s="1"/>
  <c r="X40" i="193" s="1"/>
  <c r="EU85" i="193"/>
  <c r="FO29" i="196"/>
  <c r="AQ34" i="196"/>
  <c r="FR34" i="196"/>
  <c r="ET35" i="196"/>
  <c r="EL36" i="196"/>
  <c r="FV37" i="196"/>
  <c r="FM37" i="196"/>
  <c r="CK38" i="196"/>
  <c r="EQ38" i="196"/>
  <c r="EM39" i="196"/>
  <c r="GL40" i="196"/>
  <c r="GM40" i="196" s="1"/>
  <c r="EM17" i="197"/>
  <c r="AK18" i="197"/>
  <c r="FT22" i="197"/>
  <c r="CE22" i="197"/>
  <c r="EG24" i="197"/>
  <c r="EF24" i="197"/>
  <c r="FQ27" i="197"/>
  <c r="EY27" i="197"/>
  <c r="FO27" i="197"/>
  <c r="DT27" i="197"/>
  <c r="EN27" i="197"/>
  <c r="EM27" i="197"/>
  <c r="FA29" i="197"/>
  <c r="FR29" i="197"/>
  <c r="FB29" i="197"/>
  <c r="DZ29" i="197"/>
  <c r="FP29" i="197"/>
  <c r="F29" i="197"/>
  <c r="H29" i="197"/>
  <c r="AQ29" i="197" s="1"/>
  <c r="AR29" i="197" s="1"/>
  <c r="G29" i="197"/>
  <c r="FJ31" i="197"/>
  <c r="FK31" i="197" s="1"/>
  <c r="FL31" i="197" s="1"/>
  <c r="Z31" i="197" s="1"/>
  <c r="AO32" i="197"/>
  <c r="AM32" i="197"/>
  <c r="AJ32" i="197"/>
  <c r="AS32" i="197"/>
  <c r="AL32" i="197"/>
  <c r="FP35" i="197"/>
  <c r="DZ35" i="197"/>
  <c r="FT38" i="197"/>
  <c r="CE38" i="197"/>
  <c r="ER39" i="197"/>
  <c r="FA40" i="197"/>
  <c r="FR40" i="197"/>
  <c r="FB40" i="197"/>
  <c r="DZ40" i="197"/>
  <c r="E42" i="197"/>
  <c r="D42" i="197"/>
  <c r="GK42" i="197" s="1"/>
  <c r="I42" i="197"/>
  <c r="J42" i="197"/>
  <c r="EG24" i="198"/>
  <c r="EF24" i="198"/>
  <c r="EY26" i="198"/>
  <c r="EX26" i="198"/>
  <c r="FQ26" i="198"/>
  <c r="FO26" i="198"/>
  <c r="DT26" i="198"/>
  <c r="EN26" i="198"/>
  <c r="EM26" i="198"/>
  <c r="EG29" i="198"/>
  <c r="EF29" i="198"/>
  <c r="FQ36" i="198"/>
  <c r="EG37" i="198"/>
  <c r="FL39" i="198"/>
  <c r="Z39" i="198" s="1"/>
  <c r="DR39" i="198"/>
  <c r="GL41" i="198"/>
  <c r="FA43" i="198"/>
  <c r="FB43" i="198"/>
  <c r="FR43" i="198"/>
  <c r="DZ43" i="198"/>
  <c r="GC43" i="198"/>
  <c r="GB43" i="198"/>
  <c r="GA43" i="198"/>
  <c r="GE43" i="198"/>
  <c r="GD43" i="198"/>
  <c r="EJ31" i="199"/>
  <c r="CH31" i="199" s="1"/>
  <c r="FH40" i="199"/>
  <c r="FU40" i="199"/>
  <c r="EC40" i="199"/>
  <c r="EB40" i="199"/>
  <c r="EA40" i="199"/>
  <c r="ED40" i="199"/>
  <c r="DP40" i="199"/>
  <c r="FN40" i="199"/>
  <c r="EJ40" i="199"/>
  <c r="GC45" i="199"/>
  <c r="GB45" i="199"/>
  <c r="GA45" i="199"/>
  <c r="GL45" i="199" s="1"/>
  <c r="GD45" i="199"/>
  <c r="GE45" i="199"/>
  <c r="FG25" i="200"/>
  <c r="Y25" i="200" s="1"/>
  <c r="DQ25" i="200"/>
  <c r="CR25" i="200"/>
  <c r="DT45" i="200"/>
  <c r="EG19" i="201"/>
  <c r="EF19" i="201"/>
  <c r="FV20" i="201"/>
  <c r="FM20" i="201"/>
  <c r="EM39" i="201"/>
  <c r="EN39" i="201"/>
  <c r="ER17" i="202"/>
  <c r="FU20" i="202"/>
  <c r="FH20" i="202"/>
  <c r="ED20" i="202"/>
  <c r="EC20" i="202"/>
  <c r="FP20" i="202" s="1"/>
  <c r="EB20" i="202"/>
  <c r="EA20" i="202"/>
  <c r="FR20" i="202"/>
  <c r="FH24" i="202"/>
  <c r="FU24" i="202"/>
  <c r="EC24" i="202"/>
  <c r="EB24" i="202"/>
  <c r="EA24" i="202"/>
  <c r="ED24" i="202"/>
  <c r="DP24" i="202"/>
  <c r="FN24" i="202"/>
  <c r="EN24" i="202"/>
  <c r="EM24" i="202"/>
  <c r="EN34" i="202"/>
  <c r="EM34" i="202"/>
  <c r="H42" i="202"/>
  <c r="G42" i="202"/>
  <c r="F42" i="202"/>
  <c r="AS16" i="205"/>
  <c r="AT16" i="205" s="1"/>
  <c r="AJ16" i="205"/>
  <c r="AQ16" i="205"/>
  <c r="AR16" i="205" s="1"/>
  <c r="AO16" i="205"/>
  <c r="AN16" i="205"/>
  <c r="AM16" i="205"/>
  <c r="AL16" i="205"/>
  <c r="EG16" i="205"/>
  <c r="EF16" i="205"/>
  <c r="EQ16" i="205"/>
  <c r="EM42" i="205"/>
  <c r="EN42" i="205"/>
  <c r="EU54" i="192"/>
  <c r="EU55" i="192"/>
  <c r="EU58" i="192"/>
  <c r="EL58" i="192"/>
  <c r="EM58" i="192" s="1"/>
  <c r="EN58" i="192" s="1"/>
  <c r="X18" i="192" s="1"/>
  <c r="GE18" i="192" s="1"/>
  <c r="GL18" i="192" s="1"/>
  <c r="DJ65" i="192"/>
  <c r="DI65" i="192"/>
  <c r="DH65" i="192"/>
  <c r="FA68" i="192"/>
  <c r="EY68" i="192" s="1"/>
  <c r="DJ69" i="192"/>
  <c r="DI69" i="192"/>
  <c r="EW69" i="192" s="1"/>
  <c r="DH69" i="192"/>
  <c r="DJ73" i="192"/>
  <c r="DI73" i="192"/>
  <c r="EW73" i="192" s="1"/>
  <c r="DH73" i="192"/>
  <c r="EO77" i="192"/>
  <c r="FD77" i="192"/>
  <c r="EV84" i="192"/>
  <c r="DJ85" i="192"/>
  <c r="DI85" i="192"/>
  <c r="DH85" i="192"/>
  <c r="FA54" i="193"/>
  <c r="EY54" i="193" s="1"/>
  <c r="FA60" i="193"/>
  <c r="EY60" i="193" s="1"/>
  <c r="BO27" i="193"/>
  <c r="FA67" i="193" s="1"/>
  <c r="EY67" i="193" s="1"/>
  <c r="BM27" i="193"/>
  <c r="FA72" i="193"/>
  <c r="EY72" i="193" s="1"/>
  <c r="FA82" i="193"/>
  <c r="EY82" i="193" s="1"/>
  <c r="BA14" i="193"/>
  <c r="AZ14" i="193"/>
  <c r="FH54" i="193" s="1"/>
  <c r="EA55" i="193"/>
  <c r="CZ57" i="193"/>
  <c r="FA59" i="193"/>
  <c r="EY59" i="193" s="1"/>
  <c r="EA61" i="193"/>
  <c r="FC61" i="193"/>
  <c r="EW64" i="193"/>
  <c r="EF68" i="193"/>
  <c r="EE68" i="193"/>
  <c r="EG68" i="193" s="1"/>
  <c r="DL68" i="193" s="1"/>
  <c r="DF68" i="193"/>
  <c r="EW68" i="193"/>
  <c r="DB72" i="193"/>
  <c r="EL77" i="193"/>
  <c r="EM77" i="193" s="1"/>
  <c r="EN77" i="193" s="1"/>
  <c r="X37" i="193" s="1"/>
  <c r="EU77" i="193"/>
  <c r="EQ77" i="193"/>
  <c r="ER77" i="193" s="1"/>
  <c r="ES77" i="193" s="1"/>
  <c r="Y37" i="193" s="1"/>
  <c r="EO79" i="193"/>
  <c r="FD79" i="193"/>
  <c r="CW79" i="193"/>
  <c r="M39" i="193" s="1"/>
  <c r="E39" i="193"/>
  <c r="D39" i="193"/>
  <c r="GK39" i="193" s="1"/>
  <c r="DD85" i="193"/>
  <c r="CV85" i="193"/>
  <c r="DC85" i="193"/>
  <c r="EV85" i="193" s="1"/>
  <c r="DB85" i="193"/>
  <c r="EU45" i="193"/>
  <c r="EI85" i="193"/>
  <c r="EH85" i="193"/>
  <c r="EJ85" i="193" s="1"/>
  <c r="DS85" i="193" s="1"/>
  <c r="K26" i="196"/>
  <c r="AS26" i="196" s="1"/>
  <c r="J26" i="196"/>
  <c r="I26" i="196"/>
  <c r="AZ26" i="196" s="1"/>
  <c r="EE32" i="196"/>
  <c r="FN35" i="196"/>
  <c r="DX35" i="196"/>
  <c r="DP35" i="196"/>
  <c r="DW35" i="196"/>
  <c r="DU35" i="196"/>
  <c r="FQ35" i="196"/>
  <c r="FT38" i="196"/>
  <c r="EY16" i="197"/>
  <c r="FQ16" i="197"/>
  <c r="EX16" i="197"/>
  <c r="DT16" i="197"/>
  <c r="EM16" i="197"/>
  <c r="EN16" i="197"/>
  <c r="EG18" i="197"/>
  <c r="EF18" i="197"/>
  <c r="DZ24" i="197"/>
  <c r="FP24" i="197"/>
  <c r="FS35" i="197"/>
  <c r="CD35" i="197"/>
  <c r="FJ35" i="197"/>
  <c r="FK35" i="197" s="1"/>
  <c r="FL35" i="197" s="1"/>
  <c r="FE35" i="197"/>
  <c r="FF35" i="197" s="1"/>
  <c r="FG35" i="197" s="1"/>
  <c r="FN35" i="197"/>
  <c r="EG36" i="197"/>
  <c r="EF36" i="197"/>
  <c r="EY37" i="197"/>
  <c r="EX37" i="197"/>
  <c r="FO37" i="197"/>
  <c r="DT37" i="197"/>
  <c r="EM37" i="197"/>
  <c r="EN37" i="197"/>
  <c r="EG42" i="197"/>
  <c r="EF42" i="197"/>
  <c r="FT42" i="197"/>
  <c r="CE42" i="197"/>
  <c r="AN54" i="198"/>
  <c r="AN52" i="198"/>
  <c r="ER22" i="198"/>
  <c r="EN23" i="198"/>
  <c r="EM23" i="198"/>
  <c r="FV25" i="198"/>
  <c r="FM25" i="198"/>
  <c r="AZ26" i="198"/>
  <c r="AU26" i="198"/>
  <c r="EF33" i="198"/>
  <c r="EG33" i="198"/>
  <c r="EX36" i="198"/>
  <c r="FQ37" i="198"/>
  <c r="EY37" i="198"/>
  <c r="EX37" i="198"/>
  <c r="DT37" i="198"/>
  <c r="FO37" i="198"/>
  <c r="EM37" i="198"/>
  <c r="EN37" i="198"/>
  <c r="FG39" i="198"/>
  <c r="Y39" i="198" s="1"/>
  <c r="CR39" i="198"/>
  <c r="DQ39" i="198"/>
  <c r="AN41" i="198"/>
  <c r="AM41" i="198"/>
  <c r="AL41" i="198"/>
  <c r="AO41" i="198"/>
  <c r="AJ41" i="198"/>
  <c r="AS41" i="198"/>
  <c r="K43" i="198"/>
  <c r="J43" i="198"/>
  <c r="I43" i="198"/>
  <c r="EN17" i="199"/>
  <c r="EM17" i="199"/>
  <c r="AJ24" i="199"/>
  <c r="AQ24" i="199"/>
  <c r="AS24" i="199"/>
  <c r="AO24" i="199"/>
  <c r="AN24" i="199"/>
  <c r="AM24" i="199"/>
  <c r="AL24" i="199"/>
  <c r="FT35" i="199"/>
  <c r="CE35" i="199"/>
  <c r="ET35" i="199" s="1"/>
  <c r="EN36" i="199"/>
  <c r="EM36" i="199"/>
  <c r="CS21" i="200"/>
  <c r="FH23" i="200"/>
  <c r="FU23" i="200"/>
  <c r="EC23" i="200"/>
  <c r="EB23" i="200"/>
  <c r="EA23" i="200"/>
  <c r="FN23" i="200"/>
  <c r="ED23" i="200"/>
  <c r="DP23" i="200"/>
  <c r="CI23" i="200"/>
  <c r="EN35" i="200"/>
  <c r="EM35" i="200"/>
  <c r="FH36" i="200"/>
  <c r="FU36" i="200"/>
  <c r="EC36" i="200"/>
  <c r="EB36" i="200"/>
  <c r="EA36" i="200"/>
  <c r="ED36" i="200"/>
  <c r="FN36" i="200"/>
  <c r="DP36" i="200"/>
  <c r="FN40" i="200"/>
  <c r="DX40" i="200"/>
  <c r="DP40" i="200"/>
  <c r="DW40" i="200"/>
  <c r="DV40" i="200"/>
  <c r="DU40" i="200"/>
  <c r="FR42" i="200"/>
  <c r="FB42" i="200"/>
  <c r="FA42" i="200"/>
  <c r="DZ42" i="200"/>
  <c r="AO20" i="201"/>
  <c r="AS20" i="201"/>
  <c r="AL20" i="201"/>
  <c r="AJ20" i="201"/>
  <c r="AN20" i="201"/>
  <c r="AM20" i="201"/>
  <c r="EQ20" i="201"/>
  <c r="CI20" i="201" s="1"/>
  <c r="EJ30" i="201"/>
  <c r="AU42" i="201"/>
  <c r="AZ42" i="201"/>
  <c r="EJ43" i="201"/>
  <c r="CH43" i="201" s="1"/>
  <c r="FA17" i="202"/>
  <c r="FR17" i="202"/>
  <c r="FB17" i="202"/>
  <c r="FP17" i="202"/>
  <c r="DZ17" i="202"/>
  <c r="EN33" i="202"/>
  <c r="EM33" i="202"/>
  <c r="FR39" i="202"/>
  <c r="FB39" i="202"/>
  <c r="FA39" i="202"/>
  <c r="FP39" i="202"/>
  <c r="DZ39" i="202"/>
  <c r="IR12" i="191"/>
  <c r="IZ12" i="191"/>
  <c r="JH12" i="191"/>
  <c r="HD26" i="191"/>
  <c r="HM26" i="191"/>
  <c r="HU26" i="191"/>
  <c r="EZ34" i="191"/>
  <c r="BK39" i="191"/>
  <c r="EZ40" i="191"/>
  <c r="BZ41" i="191"/>
  <c r="EZ44" i="191"/>
  <c r="CV68" i="191"/>
  <c r="DK68" i="191" s="1"/>
  <c r="CZ70" i="191"/>
  <c r="CV72" i="191"/>
  <c r="DK72" i="191" s="1"/>
  <c r="CZ74" i="191"/>
  <c r="CV76" i="191"/>
  <c r="DK76" i="191" s="1"/>
  <c r="CZ78" i="191"/>
  <c r="CV80" i="191"/>
  <c r="DK80" i="191" s="1"/>
  <c r="CZ82" i="191"/>
  <c r="CV84" i="191"/>
  <c r="BZ14" i="192"/>
  <c r="EY15" i="192"/>
  <c r="BZ20" i="192"/>
  <c r="BZ23" i="192"/>
  <c r="BK24" i="192"/>
  <c r="BZ26" i="192"/>
  <c r="ET27" i="192"/>
  <c r="BK29" i="192"/>
  <c r="ET32" i="192"/>
  <c r="BZ33" i="192"/>
  <c r="BZ35" i="192"/>
  <c r="BZ36" i="192"/>
  <c r="BZ39" i="192"/>
  <c r="BK41" i="192"/>
  <c r="GA48" i="192"/>
  <c r="CV54" i="192"/>
  <c r="DK54" i="192" s="1"/>
  <c r="CV58" i="192"/>
  <c r="DK58" i="192" s="1"/>
  <c r="EV61" i="192"/>
  <c r="ET62" i="192"/>
  <c r="CX62" i="192"/>
  <c r="EW62" i="192"/>
  <c r="FA64" i="192"/>
  <c r="EY64" i="192" s="1"/>
  <c r="EO65" i="192"/>
  <c r="FD65" i="192"/>
  <c r="CV65" i="192"/>
  <c r="DK65" i="192" s="1"/>
  <c r="DG65" i="192"/>
  <c r="EF66" i="192"/>
  <c r="EE66" i="192"/>
  <c r="EG66" i="192" s="1"/>
  <c r="DL66" i="192" s="1"/>
  <c r="DF66" i="192"/>
  <c r="EO66" i="192"/>
  <c r="EQ67" i="192"/>
  <c r="ER67" i="192" s="1"/>
  <c r="ES67" i="192" s="1"/>
  <c r="Y27" i="192" s="1"/>
  <c r="FB68" i="192"/>
  <c r="EO69" i="192"/>
  <c r="FD69" i="192"/>
  <c r="CV69" i="192"/>
  <c r="DK69" i="192" s="1"/>
  <c r="DG69" i="192"/>
  <c r="EF70" i="192"/>
  <c r="EE70" i="192"/>
  <c r="EG70" i="192" s="1"/>
  <c r="DL70" i="192" s="1"/>
  <c r="DF70" i="192"/>
  <c r="EO70" i="192"/>
  <c r="EQ71" i="192"/>
  <c r="ER71" i="192" s="1"/>
  <c r="ES71" i="192" s="1"/>
  <c r="Y31" i="192" s="1"/>
  <c r="FB72" i="192"/>
  <c r="EO73" i="192"/>
  <c r="FD73" i="192"/>
  <c r="CV73" i="192"/>
  <c r="DK73" i="192" s="1"/>
  <c r="DG73" i="192"/>
  <c r="EF74" i="192"/>
  <c r="EE74" i="192"/>
  <c r="EG74" i="192" s="1"/>
  <c r="DL74" i="192" s="1"/>
  <c r="DF74" i="192"/>
  <c r="EO74" i="192"/>
  <c r="EQ75" i="192"/>
  <c r="ER75" i="192" s="1"/>
  <c r="ES75" i="192" s="1"/>
  <c r="Y35" i="192" s="1"/>
  <c r="FB76" i="192"/>
  <c r="CW77" i="192"/>
  <c r="DH78" i="192"/>
  <c r="DG78" i="192"/>
  <c r="EU78" i="192"/>
  <c r="EL78" i="192"/>
  <c r="EM78" i="192" s="1"/>
  <c r="EN78" i="192" s="1"/>
  <c r="X38" i="192" s="1"/>
  <c r="EQ78" i="192"/>
  <c r="ER78" i="192" s="1"/>
  <c r="ES78" i="192" s="1"/>
  <c r="Y38" i="192" s="1"/>
  <c r="EU79" i="192"/>
  <c r="EV80" i="192"/>
  <c r="CZ80" i="192"/>
  <c r="EV81" i="192"/>
  <c r="EQ83" i="192"/>
  <c r="ER83" i="192" s="1"/>
  <c r="ES83" i="192" s="1"/>
  <c r="Y43" i="192" s="1"/>
  <c r="ET84" i="192"/>
  <c r="EO85" i="192"/>
  <c r="FD85" i="192"/>
  <c r="CV85" i="192"/>
  <c r="EQ85" i="192"/>
  <c r="ER85" i="192" s="1"/>
  <c r="ES85" i="192" s="1"/>
  <c r="Y45" i="192" s="1"/>
  <c r="I14" i="193"/>
  <c r="BS14" i="193" s="1"/>
  <c r="BT14" i="193" s="1"/>
  <c r="FF22" i="193"/>
  <c r="BR24" i="193"/>
  <c r="BO26" i="193"/>
  <c r="BR26" i="193" s="1"/>
  <c r="EZ67" i="193"/>
  <c r="BR28" i="193"/>
  <c r="ET28" i="193"/>
  <c r="BA30" i="193"/>
  <c r="GF34" i="193"/>
  <c r="BN36" i="193"/>
  <c r="FO39" i="193"/>
  <c r="GF39" i="193"/>
  <c r="BM42" i="193"/>
  <c r="BR42" i="193" s="1"/>
  <c r="BJ43" i="193"/>
  <c r="FO43" i="193"/>
  <c r="GA43" i="193"/>
  <c r="GL43" i="193" s="1"/>
  <c r="D44" i="193"/>
  <c r="GK44" i="193" s="1"/>
  <c r="BR44" i="193"/>
  <c r="EY45" i="193"/>
  <c r="HT48" i="193"/>
  <c r="IL48" i="193"/>
  <c r="DH54" i="193"/>
  <c r="DJ54" i="193"/>
  <c r="DG54" i="193"/>
  <c r="EU54" i="193"/>
  <c r="EL54" i="193"/>
  <c r="EM54" i="193" s="1"/>
  <c r="EN54" i="193" s="1"/>
  <c r="X14" i="193" s="1"/>
  <c r="GE14" i="193" s="1"/>
  <c r="GL14" i="193" s="1"/>
  <c r="GM14" i="193" s="1"/>
  <c r="FZ54" i="193"/>
  <c r="DN56" i="193"/>
  <c r="ET57" i="193"/>
  <c r="CZ58" i="193"/>
  <c r="ET58" i="193"/>
  <c r="DF60" i="193"/>
  <c r="BE22" i="193"/>
  <c r="BD22" i="193"/>
  <c r="FI62" i="193" s="1"/>
  <c r="DD64" i="193"/>
  <c r="CV64" i="193"/>
  <c r="DK64" i="193" s="1"/>
  <c r="DC64" i="193"/>
  <c r="EV64" i="193" s="1"/>
  <c r="DB68" i="193"/>
  <c r="DA68" i="193"/>
  <c r="DC68" i="193"/>
  <c r="EV68" i="193" s="1"/>
  <c r="EE70" i="193"/>
  <c r="EG70" i="193" s="1"/>
  <c r="DL70" i="193" s="1"/>
  <c r="DC72" i="193"/>
  <c r="EV72" i="193" s="1"/>
  <c r="EA74" i="193"/>
  <c r="FC74" i="193"/>
  <c r="DA80" i="193"/>
  <c r="CZ82" i="193"/>
  <c r="EW82" i="193"/>
  <c r="ET82" i="193"/>
  <c r="DZ23" i="196"/>
  <c r="EX24" i="196"/>
  <c r="EY24" i="196"/>
  <c r="FQ24" i="196"/>
  <c r="DT24" i="196"/>
  <c r="FR25" i="196"/>
  <c r="FA25" i="196"/>
  <c r="DZ25" i="196"/>
  <c r="FP25" i="196"/>
  <c r="EG26" i="196"/>
  <c r="EF26" i="196"/>
  <c r="FN27" i="196"/>
  <c r="FQ27" i="196"/>
  <c r="DU27" i="196"/>
  <c r="DP27" i="196"/>
  <c r="DX27" i="196"/>
  <c r="DW27" i="196"/>
  <c r="FO27" i="196" s="1"/>
  <c r="DV27" i="196"/>
  <c r="AZ29" i="196"/>
  <c r="EG31" i="196"/>
  <c r="CK32" i="196"/>
  <c r="FM32" i="196"/>
  <c r="FV32" i="196"/>
  <c r="CE38" i="196"/>
  <c r="FN39" i="196"/>
  <c r="DX39" i="196"/>
  <c r="DW39" i="196"/>
  <c r="FO39" i="196" s="1"/>
  <c r="DU39" i="196"/>
  <c r="FQ39" i="196"/>
  <c r="CI40" i="196"/>
  <c r="EX69" i="196"/>
  <c r="EY69" i="196"/>
  <c r="FQ69" i="196"/>
  <c r="FO69" i="196"/>
  <c r="DT69" i="196"/>
  <c r="P2" i="197"/>
  <c r="P1" i="197"/>
  <c r="P4" i="197"/>
  <c r="AM19" i="197"/>
  <c r="AL19" i="197"/>
  <c r="AS19" i="197"/>
  <c r="AT19" i="197" s="1"/>
  <c r="AO19" i="197"/>
  <c r="AJ19" i="197"/>
  <c r="AN19" i="197"/>
  <c r="DX20" i="197"/>
  <c r="DP20" i="197"/>
  <c r="DW20" i="197"/>
  <c r="FO20" i="197" s="1"/>
  <c r="DV20" i="197"/>
  <c r="FN20" i="197"/>
  <c r="DU20" i="197"/>
  <c r="DV25" i="197"/>
  <c r="DX25" i="197"/>
  <c r="DW25" i="197"/>
  <c r="FO25" i="197" s="1"/>
  <c r="DU25" i="197"/>
  <c r="DP25" i="197"/>
  <c r="FN25" i="197"/>
  <c r="EG29" i="197"/>
  <c r="EF29" i="197"/>
  <c r="DU30" i="197"/>
  <c r="DP30" i="197"/>
  <c r="DX30" i="197"/>
  <c r="DW30" i="197"/>
  <c r="FO30" i="197" s="1"/>
  <c r="EY31" i="197"/>
  <c r="FQ31" i="197"/>
  <c r="EX31" i="197"/>
  <c r="DT31" i="197"/>
  <c r="EN31" i="197"/>
  <c r="EM31" i="197"/>
  <c r="FA33" i="197"/>
  <c r="FR33" i="197"/>
  <c r="FB33" i="197"/>
  <c r="DZ33" i="197"/>
  <c r="FU36" i="197"/>
  <c r="FH36" i="197"/>
  <c r="ED36" i="197"/>
  <c r="EC36" i="197"/>
  <c r="FP36" i="197" s="1"/>
  <c r="EB36" i="197"/>
  <c r="EA36" i="197"/>
  <c r="DW37" i="197"/>
  <c r="DV37" i="197"/>
  <c r="DU37" i="197"/>
  <c r="DX37" i="197"/>
  <c r="FN37" i="197"/>
  <c r="DP37" i="197"/>
  <c r="FQ37" i="197"/>
  <c r="AJ40" i="197"/>
  <c r="AQ40" i="197"/>
  <c r="AR40" i="197" s="1"/>
  <c r="AS40" i="197"/>
  <c r="AT40" i="197" s="1"/>
  <c r="AO40" i="197"/>
  <c r="AM40" i="197"/>
  <c r="AL40" i="197"/>
  <c r="AN40" i="197"/>
  <c r="EQ42" i="197"/>
  <c r="CI42" i="197" s="1"/>
  <c r="CK45" i="197"/>
  <c r="AU18" i="198"/>
  <c r="AZ18" i="198"/>
  <c r="FL23" i="198"/>
  <c r="Z23" i="198" s="1"/>
  <c r="DR23" i="198"/>
  <c r="FB26" i="198"/>
  <c r="FA26" i="198"/>
  <c r="FR26" i="198"/>
  <c r="DZ26" i="198"/>
  <c r="FP26" i="198"/>
  <c r="FU27" i="198"/>
  <c r="FH27" i="198"/>
  <c r="ED27" i="198"/>
  <c r="FR27" i="198"/>
  <c r="EC27" i="198"/>
  <c r="FP27" i="198" s="1"/>
  <c r="FL27" i="198"/>
  <c r="Z27" i="198" s="1"/>
  <c r="DR27" i="198"/>
  <c r="CS27" i="198"/>
  <c r="EB27" i="198"/>
  <c r="DZ29" i="198"/>
  <c r="DX33" i="198"/>
  <c r="DP33" i="198"/>
  <c r="DW33" i="198"/>
  <c r="FO33" i="198" s="1"/>
  <c r="DV33" i="198"/>
  <c r="FQ33" i="198"/>
  <c r="FN33" i="198"/>
  <c r="DU33" i="198"/>
  <c r="EF39" i="198"/>
  <c r="EG39" i="198"/>
  <c r="EJ43" i="198"/>
  <c r="EQ30" i="199"/>
  <c r="EF34" i="199"/>
  <c r="EG34" i="199"/>
  <c r="K43" i="199"/>
  <c r="J43" i="199"/>
  <c r="I43" i="199"/>
  <c r="DW20" i="200"/>
  <c r="FO20" i="200" s="1"/>
  <c r="DV20" i="200"/>
  <c r="DU20" i="200"/>
  <c r="FN20" i="200"/>
  <c r="DP20" i="200"/>
  <c r="DX20" i="200"/>
  <c r="ER23" i="200"/>
  <c r="FT33" i="200"/>
  <c r="CE33" i="200"/>
  <c r="FN37" i="200"/>
  <c r="DX37" i="200"/>
  <c r="DP37" i="200"/>
  <c r="DW37" i="200"/>
  <c r="DV37" i="200"/>
  <c r="DU37" i="200"/>
  <c r="K42" i="200"/>
  <c r="J42" i="200"/>
  <c r="I42" i="200"/>
  <c r="EG27" i="201"/>
  <c r="EF27" i="201"/>
  <c r="FA33" i="201"/>
  <c r="FB33" i="201"/>
  <c r="FR33" i="201"/>
  <c r="FP33" i="201"/>
  <c r="DZ33" i="201"/>
  <c r="EN33" i="201"/>
  <c r="EM33" i="201"/>
  <c r="AQ36" i="201"/>
  <c r="AR36" i="201" s="1"/>
  <c r="AO36" i="201"/>
  <c r="AJ36" i="201"/>
  <c r="AS36" i="201"/>
  <c r="AT36" i="201" s="1"/>
  <c r="AN36" i="201"/>
  <c r="AM36" i="201"/>
  <c r="AL36" i="201"/>
  <c r="AQ38" i="201"/>
  <c r="AO38" i="201"/>
  <c r="AN38" i="201"/>
  <c r="AM38" i="201"/>
  <c r="AL38" i="201"/>
  <c r="AJ38" i="201"/>
  <c r="AS38" i="201"/>
  <c r="EG42" i="201"/>
  <c r="EF42" i="201"/>
  <c r="H44" i="201"/>
  <c r="G44" i="201"/>
  <c r="F44" i="201"/>
  <c r="EN32" i="202"/>
  <c r="EM32" i="202"/>
  <c r="FB44" i="202"/>
  <c r="FA44" i="202"/>
  <c r="FR44" i="202"/>
  <c r="DZ44" i="202"/>
  <c r="CI21" i="203"/>
  <c r="AZ23" i="203"/>
  <c r="DB83" i="192"/>
  <c r="CZ84" i="192"/>
  <c r="FA56" i="193"/>
  <c r="EY56" i="193" s="1"/>
  <c r="EZ74" i="193"/>
  <c r="BP41" i="193"/>
  <c r="BR41" i="193" s="1"/>
  <c r="EZ83" i="193"/>
  <c r="BO44" i="193"/>
  <c r="EZ84" i="193" s="1"/>
  <c r="FJ55" i="193"/>
  <c r="CZ59" i="193"/>
  <c r="CZ61" i="193"/>
  <c r="CZ62" i="193"/>
  <c r="DJ67" i="193"/>
  <c r="DI67" i="193"/>
  <c r="EW67" i="193" s="1"/>
  <c r="DH67" i="193"/>
  <c r="DH68" i="193"/>
  <c r="DG68" i="193"/>
  <c r="EU68" i="193"/>
  <c r="EL68" i="193"/>
  <c r="EM68" i="193" s="1"/>
  <c r="EN68" i="193" s="1"/>
  <c r="X28" i="193" s="1"/>
  <c r="DJ68" i="193"/>
  <c r="EQ70" i="193"/>
  <c r="ER70" i="193" s="1"/>
  <c r="ES70" i="193" s="1"/>
  <c r="Y30" i="193" s="1"/>
  <c r="EF72" i="193"/>
  <c r="EE72" i="193"/>
  <c r="EG72" i="193" s="1"/>
  <c r="DL72" i="193" s="1"/>
  <c r="DF72" i="193"/>
  <c r="EV75" i="193"/>
  <c r="DJ79" i="193"/>
  <c r="DI79" i="193"/>
  <c r="DH79" i="193"/>
  <c r="DG79" i="193"/>
  <c r="EQ79" i="193"/>
  <c r="ER79" i="193" s="1"/>
  <c r="ES79" i="193" s="1"/>
  <c r="Y39" i="193" s="1"/>
  <c r="J23" i="196"/>
  <c r="I23" i="196"/>
  <c r="FP24" i="196"/>
  <c r="AQ26" i="196"/>
  <c r="AM33" i="196"/>
  <c r="AL33" i="196"/>
  <c r="AS33" i="196"/>
  <c r="AO33" i="196"/>
  <c r="AJ33" i="196"/>
  <c r="AO37" i="196"/>
  <c r="AM37" i="196"/>
  <c r="AL37" i="196"/>
  <c r="AJ37" i="196"/>
  <c r="EQ37" i="196"/>
  <c r="CI37" i="196" s="1"/>
  <c r="AS38" i="196"/>
  <c r="GD40" i="196"/>
  <c r="GC40" i="196"/>
  <c r="GB40" i="196"/>
  <c r="AK16" i="197"/>
  <c r="AD19" i="197"/>
  <c r="F19" i="197"/>
  <c r="H19" i="197"/>
  <c r="AQ19" i="197" s="1"/>
  <c r="AR19" i="197" s="1"/>
  <c r="G19" i="197"/>
  <c r="GM19" i="197"/>
  <c r="FQ20" i="197"/>
  <c r="EN20" i="197"/>
  <c r="EM20" i="197"/>
  <c r="CK23" i="197"/>
  <c r="EK23" i="197"/>
  <c r="FQ25" i="197"/>
  <c r="EY25" i="197"/>
  <c r="EX25" i="197"/>
  <c r="EN25" i="197"/>
  <c r="EM25" i="197"/>
  <c r="FV26" i="197"/>
  <c r="FM26" i="197"/>
  <c r="EK26" i="197"/>
  <c r="GM27" i="197"/>
  <c r="FQ28" i="197"/>
  <c r="DT28" i="197"/>
  <c r="FO28" i="197"/>
  <c r="EX28" i="197"/>
  <c r="EG39" i="197"/>
  <c r="EF39" i="197"/>
  <c r="EQ39" i="197"/>
  <c r="CI39" i="197" s="1"/>
  <c r="ER40" i="197"/>
  <c r="ER42" i="197"/>
  <c r="AQ57" i="197"/>
  <c r="AO57" i="197"/>
  <c r="AS57" i="197"/>
  <c r="AN57" i="197"/>
  <c r="AM57" i="197"/>
  <c r="AL57" i="197"/>
  <c r="AJ57" i="197"/>
  <c r="AK21" i="198"/>
  <c r="CD24" i="198"/>
  <c r="FS24" i="198"/>
  <c r="FJ24" i="198"/>
  <c r="FK24" i="198" s="1"/>
  <c r="FL24" i="198" s="1"/>
  <c r="Z24" i="198" s="1"/>
  <c r="FE24" i="198"/>
  <c r="FF24" i="198" s="1"/>
  <c r="FG24" i="198" s="1"/>
  <c r="Y24" i="198" s="1"/>
  <c r="FS25" i="198"/>
  <c r="CD25" i="198"/>
  <c r="FJ25" i="198"/>
  <c r="FK25" i="198" s="1"/>
  <c r="FL25" i="198" s="1"/>
  <c r="Z25" i="198" s="1"/>
  <c r="FE25" i="198"/>
  <c r="FF25" i="198" s="1"/>
  <c r="FG25" i="198" s="1"/>
  <c r="Y25" i="198" s="1"/>
  <c r="FN26" i="198"/>
  <c r="DX26" i="198"/>
  <c r="DP26" i="198"/>
  <c r="DU26" i="198"/>
  <c r="CE29" i="198"/>
  <c r="FT29" i="198"/>
  <c r="EC30" i="198"/>
  <c r="FP30" i="198" s="1"/>
  <c r="EB30" i="198"/>
  <c r="EA30" i="198"/>
  <c r="ED30" i="198"/>
  <c r="DP30" i="198"/>
  <c r="FN30" i="198"/>
  <c r="FU30" i="198"/>
  <c r="FS34" i="198"/>
  <c r="CD34" i="198"/>
  <c r="FJ34" i="198"/>
  <c r="FK34" i="198" s="1"/>
  <c r="FL34" i="198" s="1"/>
  <c r="Z34" i="198" s="1"/>
  <c r="FN34" i="198"/>
  <c r="FE34" i="198"/>
  <c r="FF34" i="198" s="1"/>
  <c r="FG34" i="198" s="1"/>
  <c r="Y34" i="198" s="1"/>
  <c r="F38" i="198"/>
  <c r="AZ38" i="198" s="1"/>
  <c r="G38" i="198"/>
  <c r="EX40" i="198"/>
  <c r="FQ40" i="198"/>
  <c r="EY40" i="198"/>
  <c r="FO40" i="198"/>
  <c r="DT40" i="198"/>
  <c r="EN40" i="198"/>
  <c r="EM40" i="198"/>
  <c r="FB41" i="198"/>
  <c r="FA41" i="198"/>
  <c r="EF41" i="198"/>
  <c r="EG41" i="198"/>
  <c r="FN42" i="198"/>
  <c r="DX42" i="198"/>
  <c r="DP42" i="198"/>
  <c r="DW42" i="198"/>
  <c r="DV42" i="198"/>
  <c r="AH43" i="198"/>
  <c r="AH46" i="198" s="1"/>
  <c r="AG43" i="198"/>
  <c r="AW43" i="198"/>
  <c r="AK43" i="198" s="1"/>
  <c r="AF43" i="198"/>
  <c r="AE43" i="198"/>
  <c r="EK43" i="198"/>
  <c r="W44" i="198"/>
  <c r="V44" i="198"/>
  <c r="AY38" i="199"/>
  <c r="AY30" i="199"/>
  <c r="AY28" i="199"/>
  <c r="AY26" i="199"/>
  <c r="AY23" i="199"/>
  <c r="AY20" i="199"/>
  <c r="AY57" i="199"/>
  <c r="AY45" i="199"/>
  <c r="AY41" i="199"/>
  <c r="AY39" i="199"/>
  <c r="AY31" i="199"/>
  <c r="AY27" i="199"/>
  <c r="AY24" i="199"/>
  <c r="AY21" i="199"/>
  <c r="AY40" i="199"/>
  <c r="AY32" i="199"/>
  <c r="AY25" i="199"/>
  <c r="AY37" i="199"/>
  <c r="AY35" i="199"/>
  <c r="AY22" i="199"/>
  <c r="AY17" i="199"/>
  <c r="AY29" i="199"/>
  <c r="AY19" i="199"/>
  <c r="AY42" i="199"/>
  <c r="AY36" i="199"/>
  <c r="AY16" i="199"/>
  <c r="AY33" i="199"/>
  <c r="CD17" i="199"/>
  <c r="FJ17" i="199"/>
  <c r="FK17" i="199" s="1"/>
  <c r="FL17" i="199" s="1"/>
  <c r="Z17" i="199" s="1"/>
  <c r="FE17" i="199"/>
  <c r="FF17" i="199" s="1"/>
  <c r="FG17" i="199" s="1"/>
  <c r="Y17" i="199" s="1"/>
  <c r="ER20" i="199"/>
  <c r="FV23" i="199"/>
  <c r="FM23" i="199"/>
  <c r="EJ23" i="199"/>
  <c r="CH23" i="199" s="1"/>
  <c r="CK30" i="199"/>
  <c r="EJ30" i="199"/>
  <c r="AM34" i="199"/>
  <c r="AL34" i="199"/>
  <c r="AS34" i="199"/>
  <c r="AN34" i="199"/>
  <c r="AJ34" i="199"/>
  <c r="AO34" i="199"/>
  <c r="AY43" i="199"/>
  <c r="DT43" i="200"/>
  <c r="DT30" i="200"/>
  <c r="DT19" i="200"/>
  <c r="DT17" i="200"/>
  <c r="DT36" i="200"/>
  <c r="DT31" i="200"/>
  <c r="DT23" i="200"/>
  <c r="DT27" i="200"/>
  <c r="DT22" i="200"/>
  <c r="DT16" i="200"/>
  <c r="DZ40" i="200"/>
  <c r="DZ37" i="200"/>
  <c r="DT33" i="200"/>
  <c r="DZ31" i="200"/>
  <c r="DZ28" i="200"/>
  <c r="DZ24" i="200"/>
  <c r="DZ20" i="200"/>
  <c r="DZ44" i="200"/>
  <c r="DT42" i="200"/>
  <c r="DZ32" i="200"/>
  <c r="DZ23" i="200"/>
  <c r="DZ33" i="200"/>
  <c r="DT29" i="200"/>
  <c r="DT21" i="200"/>
  <c r="CK23" i="200"/>
  <c r="FS32" i="200"/>
  <c r="CD32" i="200"/>
  <c r="FJ32" i="200"/>
  <c r="FK32" i="200" s="1"/>
  <c r="FL32" i="200" s="1"/>
  <c r="Z32" i="200" s="1"/>
  <c r="FE32" i="200"/>
  <c r="FF32" i="200" s="1"/>
  <c r="FG32" i="200" s="1"/>
  <c r="Y32" i="200" s="1"/>
  <c r="FN32" i="200"/>
  <c r="EF32" i="200"/>
  <c r="EG32" i="200"/>
  <c r="AN39" i="200"/>
  <c r="AM39" i="200"/>
  <c r="AL39" i="200"/>
  <c r="AS39" i="200"/>
  <c r="AT39" i="200" s="1"/>
  <c r="AO39" i="200"/>
  <c r="AJ39" i="200"/>
  <c r="AQ43" i="200"/>
  <c r="AO43" i="200"/>
  <c r="AN43" i="200"/>
  <c r="EY45" i="200"/>
  <c r="EX45" i="200"/>
  <c r="FQ45" i="200"/>
  <c r="EN45" i="200"/>
  <c r="EM45" i="200"/>
  <c r="CE22" i="201"/>
  <c r="FT22" i="201"/>
  <c r="W22" i="201"/>
  <c r="V22" i="201"/>
  <c r="AT22" i="201" s="1"/>
  <c r="ER25" i="201"/>
  <c r="W26" i="201"/>
  <c r="V26" i="201"/>
  <c r="AL29" i="201"/>
  <c r="AS29" i="201"/>
  <c r="AT29" i="201" s="1"/>
  <c r="AJ29" i="201"/>
  <c r="AO29" i="201"/>
  <c r="AN29" i="201"/>
  <c r="CH29" i="201"/>
  <c r="EK30" i="201"/>
  <c r="AO31" i="201"/>
  <c r="AN31" i="201"/>
  <c r="AS31" i="201"/>
  <c r="AT31" i="201" s="1"/>
  <c r="AM31" i="201"/>
  <c r="AL31" i="201"/>
  <c r="AJ31" i="201"/>
  <c r="AZ32" i="201"/>
  <c r="FT34" i="201"/>
  <c r="CE34" i="201"/>
  <c r="EK35" i="201"/>
  <c r="ER36" i="201"/>
  <c r="EV36" i="201" s="1"/>
  <c r="CJ36" i="201" s="1"/>
  <c r="AU40" i="201"/>
  <c r="AZ40" i="201"/>
  <c r="AM41" i="201"/>
  <c r="AL41" i="201"/>
  <c r="AO41" i="201"/>
  <c r="AN41" i="201"/>
  <c r="AJ41" i="201"/>
  <c r="GF42" i="201"/>
  <c r="AX42" i="201"/>
  <c r="FO43" i="201"/>
  <c r="FN43" i="201"/>
  <c r="FQ43" i="201"/>
  <c r="DP43" i="201"/>
  <c r="DX43" i="201"/>
  <c r="DV43" i="201"/>
  <c r="DU43" i="201"/>
  <c r="AH44" i="201"/>
  <c r="AW44" i="201"/>
  <c r="AV44" i="201"/>
  <c r="AG44" i="201"/>
  <c r="AM53" i="202"/>
  <c r="AM49" i="202"/>
  <c r="AM52" i="202"/>
  <c r="AM54" i="202"/>
  <c r="AS24" i="202"/>
  <c r="AT24" i="202" s="1"/>
  <c r="AJ24" i="202"/>
  <c r="AQ24" i="202"/>
  <c r="AR24" i="202" s="1"/>
  <c r="AM24" i="202"/>
  <c r="AL24" i="202"/>
  <c r="AO24" i="202"/>
  <c r="AN24" i="202"/>
  <c r="EF25" i="202"/>
  <c r="EG25" i="202"/>
  <c r="EF27" i="202"/>
  <c r="EG27" i="202"/>
  <c r="EM35" i="202"/>
  <c r="EN35" i="202"/>
  <c r="FT43" i="202"/>
  <c r="CE43" i="202"/>
  <c r="FU37" i="203"/>
  <c r="FH37" i="203"/>
  <c r="ED37" i="203"/>
  <c r="EC37" i="203"/>
  <c r="EA37" i="203"/>
  <c r="EB37" i="203"/>
  <c r="FP37" i="203"/>
  <c r="AU27" i="204"/>
  <c r="AZ27" i="204"/>
  <c r="EG44" i="204"/>
  <c r="EF44" i="204"/>
  <c r="ES26" i="205"/>
  <c r="FS26" i="205"/>
  <c r="CD26" i="205"/>
  <c r="FE26" i="205"/>
  <c r="FF26" i="205" s="1"/>
  <c r="FG26" i="205" s="1"/>
  <c r="Y26" i="205" s="1"/>
  <c r="FJ26" i="205"/>
  <c r="FK26" i="205" s="1"/>
  <c r="FL26" i="205" s="1"/>
  <c r="Z26" i="205" s="1"/>
  <c r="AU35" i="205"/>
  <c r="AZ35" i="205"/>
  <c r="AN28" i="207"/>
  <c r="AM28" i="207"/>
  <c r="AL28" i="207"/>
  <c r="AJ28" i="207"/>
  <c r="AS28" i="207"/>
  <c r="AO28" i="207"/>
  <c r="DB56" i="192"/>
  <c r="EH56" i="192"/>
  <c r="EJ56" i="192" s="1"/>
  <c r="DS56" i="192" s="1"/>
  <c r="CZ57" i="192"/>
  <c r="DB60" i="192"/>
  <c r="EH60" i="192"/>
  <c r="EJ60" i="192" s="1"/>
  <c r="DS60" i="192" s="1"/>
  <c r="CZ61" i="192"/>
  <c r="CZ65" i="192"/>
  <c r="CZ69" i="192"/>
  <c r="CZ73" i="192"/>
  <c r="CZ77" i="192"/>
  <c r="DB80" i="192"/>
  <c r="EH80" i="192"/>
  <c r="EJ80" i="192" s="1"/>
  <c r="DS80" i="192" s="1"/>
  <c r="CZ81" i="192"/>
  <c r="CV83" i="192"/>
  <c r="DB84" i="192"/>
  <c r="EH84" i="192"/>
  <c r="EJ84" i="192" s="1"/>
  <c r="DS84" i="192" s="1"/>
  <c r="CZ85" i="192"/>
  <c r="BZ14" i="193"/>
  <c r="BK15" i="193"/>
  <c r="BZ16" i="193"/>
  <c r="BZ17" i="193"/>
  <c r="FA64" i="193"/>
  <c r="EY64" i="193" s="1"/>
  <c r="EZ64" i="193"/>
  <c r="FA65" i="193"/>
  <c r="EY65" i="193" s="1"/>
  <c r="EZ65" i="193"/>
  <c r="BK28" i="193"/>
  <c r="BZ32" i="193"/>
  <c r="BZ34" i="193"/>
  <c r="BP35" i="193"/>
  <c r="BM38" i="193"/>
  <c r="BR38" i="193" s="1"/>
  <c r="BK39" i="193"/>
  <c r="BJ40" i="193"/>
  <c r="GF40" i="193"/>
  <c r="GE45" i="193"/>
  <c r="GL45" i="193" s="1"/>
  <c r="EV54" i="193"/>
  <c r="DA54" i="193"/>
  <c r="DA55" i="193"/>
  <c r="DJ55" i="193"/>
  <c r="DB56" i="193"/>
  <c r="DJ56" i="193"/>
  <c r="EL56" i="193"/>
  <c r="EM56" i="193" s="1"/>
  <c r="EN56" i="193" s="1"/>
  <c r="X16" i="193" s="1"/>
  <c r="DA57" i="193"/>
  <c r="EW58" i="193"/>
  <c r="DB58" i="193"/>
  <c r="EL58" i="193"/>
  <c r="EM58" i="193" s="1"/>
  <c r="EN58" i="193" s="1"/>
  <c r="X18" i="193" s="1"/>
  <c r="GE18" i="193" s="1"/>
  <c r="GL18" i="193" s="1"/>
  <c r="GM18" i="193" s="1"/>
  <c r="DB61" i="193"/>
  <c r="DC62" i="193"/>
  <c r="EV62" i="193" s="1"/>
  <c r="EU63" i="193"/>
  <c r="EL63" i="193"/>
  <c r="EM63" i="193" s="1"/>
  <c r="EN63" i="193" s="1"/>
  <c r="X23" i="193" s="1"/>
  <c r="GE23" i="193" s="1"/>
  <c r="GL23" i="193" s="1"/>
  <c r="GM23" i="193" s="1"/>
  <c r="EQ63" i="193"/>
  <c r="ER63" i="193" s="1"/>
  <c r="ES63" i="193" s="1"/>
  <c r="Y23" i="193" s="1"/>
  <c r="DF64" i="193"/>
  <c r="EV66" i="193"/>
  <c r="DZ67" i="193"/>
  <c r="FB67" i="193"/>
  <c r="FB68" i="193"/>
  <c r="DZ68" i="193"/>
  <c r="ET68" i="193"/>
  <c r="CX68" i="193"/>
  <c r="FE70" i="193"/>
  <c r="ET70" i="193"/>
  <c r="CX70" i="193"/>
  <c r="FB70" i="193"/>
  <c r="DH72" i="193"/>
  <c r="DG72" i="193"/>
  <c r="DJ72" i="193"/>
  <c r="EU72" i="193"/>
  <c r="EL72" i="193"/>
  <c r="EM72" i="193" s="1"/>
  <c r="EN72" i="193" s="1"/>
  <c r="X32" i="193" s="1"/>
  <c r="GE32" i="193" s="1"/>
  <c r="GL32" i="193" s="1"/>
  <c r="GM32" i="193" s="1"/>
  <c r="DI72" i="193"/>
  <c r="EW72" i="193" s="1"/>
  <c r="DF74" i="193"/>
  <c r="DH76" i="193"/>
  <c r="DG76" i="193"/>
  <c r="EU76" i="193"/>
  <c r="EL76" i="193"/>
  <c r="EM76" i="193" s="1"/>
  <c r="EN76" i="193" s="1"/>
  <c r="X36" i="193" s="1"/>
  <c r="DI76" i="193"/>
  <c r="CX78" i="193"/>
  <c r="N38" i="193" s="1"/>
  <c r="FE79" i="193"/>
  <c r="CX79" i="193"/>
  <c r="N39" i="193" s="1"/>
  <c r="DS81" i="193"/>
  <c r="DJ83" i="193"/>
  <c r="DI83" i="193"/>
  <c r="EW83" i="193" s="1"/>
  <c r="DH83" i="193"/>
  <c r="EL83" i="193"/>
  <c r="EM83" i="193" s="1"/>
  <c r="EN83" i="193" s="1"/>
  <c r="X43" i="193" s="1"/>
  <c r="EU83" i="193"/>
  <c r="DG83" i="193"/>
  <c r="EF84" i="193"/>
  <c r="EE84" i="193"/>
  <c r="EG84" i="193" s="1"/>
  <c r="DL84" i="193" s="1"/>
  <c r="DF84" i="193"/>
  <c r="EW84" i="193"/>
  <c r="AN23" i="196"/>
  <c r="AM23" i="196"/>
  <c r="AL23" i="196"/>
  <c r="AJ23" i="196"/>
  <c r="EJ23" i="196"/>
  <c r="CH23" i="196" s="1"/>
  <c r="AU24" i="196"/>
  <c r="EG24" i="196"/>
  <c r="EF24" i="196"/>
  <c r="DV25" i="196"/>
  <c r="EM25" i="196"/>
  <c r="FS27" i="196"/>
  <c r="FN29" i="196"/>
  <c r="DP29" i="196"/>
  <c r="DX29" i="196"/>
  <c r="DW29" i="196"/>
  <c r="EQ30" i="196"/>
  <c r="ER32" i="196"/>
  <c r="GM34" i="196"/>
  <c r="FP37" i="196"/>
  <c r="DZ37" i="196"/>
  <c r="AD38" i="196"/>
  <c r="FA38" i="196"/>
  <c r="FR38" i="196"/>
  <c r="FP38" i="196"/>
  <c r="DZ38" i="196"/>
  <c r="AH40" i="196"/>
  <c r="AW40" i="196"/>
  <c r="AV40" i="196"/>
  <c r="AK40" i="196" s="1"/>
  <c r="AG40" i="196"/>
  <c r="AD40" i="196"/>
  <c r="FM40" i="196"/>
  <c r="FH69" i="196"/>
  <c r="AY57" i="197"/>
  <c r="AY45" i="197"/>
  <c r="AY41" i="197"/>
  <c r="AY39" i="197"/>
  <c r="AY40" i="197"/>
  <c r="AY42" i="197"/>
  <c r="AY37" i="197"/>
  <c r="AY34" i="197"/>
  <c r="AY31" i="197"/>
  <c r="AY23" i="197"/>
  <c r="AY17" i="197"/>
  <c r="AY35" i="197"/>
  <c r="AY44" i="197"/>
  <c r="AY33" i="197"/>
  <c r="AY28" i="197"/>
  <c r="AY18" i="197"/>
  <c r="AY16" i="197"/>
  <c r="AY36" i="197"/>
  <c r="AY32" i="197"/>
  <c r="AY30" i="197"/>
  <c r="AY27" i="197"/>
  <c r="AY25" i="197"/>
  <c r="AY20" i="197"/>
  <c r="AK52" i="197"/>
  <c r="AK54" i="197"/>
  <c r="FQ18" i="197"/>
  <c r="EY18" i="197"/>
  <c r="DT18" i="197"/>
  <c r="FO18" i="197"/>
  <c r="EN18" i="197"/>
  <c r="EM18" i="197"/>
  <c r="AY19" i="197"/>
  <c r="EE19" i="197"/>
  <c r="FP20" i="197"/>
  <c r="DZ20" i="197"/>
  <c r="EX20" i="197"/>
  <c r="FE21" i="197"/>
  <c r="FF21" i="197" s="1"/>
  <c r="FG21" i="197" s="1"/>
  <c r="Y21" i="197" s="1"/>
  <c r="AD22" i="197"/>
  <c r="H22" i="197"/>
  <c r="AQ22" i="197" s="1"/>
  <c r="AR22" i="197" s="1"/>
  <c r="G22" i="197"/>
  <c r="GM22" i="197"/>
  <c r="CE24" i="197"/>
  <c r="FT24" i="197"/>
  <c r="ER26" i="197"/>
  <c r="DX27" i="197"/>
  <c r="DP27" i="197"/>
  <c r="DW27" i="197"/>
  <c r="DV27" i="197"/>
  <c r="FN27" i="197"/>
  <c r="FB28" i="197"/>
  <c r="FR28" i="197"/>
  <c r="FA28" i="197"/>
  <c r="DZ28" i="197"/>
  <c r="EJ28" i="197"/>
  <c r="CH28" i="197" s="1"/>
  <c r="EH28" i="197"/>
  <c r="FV29" i="197"/>
  <c r="FM29" i="197"/>
  <c r="AK30" i="197"/>
  <c r="FM31" i="197"/>
  <c r="FV31" i="197"/>
  <c r="CE34" i="197"/>
  <c r="FT34" i="197"/>
  <c r="CK35" i="197"/>
  <c r="FM37" i="197"/>
  <c r="FV37" i="197"/>
  <c r="AN38" i="197"/>
  <c r="AM38" i="197"/>
  <c r="AL38" i="197"/>
  <c r="AJ38" i="197"/>
  <c r="AS38" i="197"/>
  <c r="AT38" i="197" s="1"/>
  <c r="AQ38" i="197"/>
  <c r="AR38" i="197" s="1"/>
  <c r="AP39" i="197"/>
  <c r="AZ39" i="197"/>
  <c r="EG40" i="197"/>
  <c r="EF40" i="197"/>
  <c r="AY43" i="197"/>
  <c r="W43" i="197"/>
  <c r="V43" i="197"/>
  <c r="AT43" i="197" s="1"/>
  <c r="FH45" i="197"/>
  <c r="FU45" i="197"/>
  <c r="EA45" i="197"/>
  <c r="FR45" i="197"/>
  <c r="ED45" i="197"/>
  <c r="DP45" i="197"/>
  <c r="EC45" i="197"/>
  <c r="FP45" i="197" s="1"/>
  <c r="EJ21" i="198"/>
  <c r="CH21" i="198" s="1"/>
  <c r="EK22" i="198"/>
  <c r="CK25" i="198"/>
  <c r="EM25" i="198"/>
  <c r="FS31" i="198"/>
  <c r="CD31" i="198"/>
  <c r="FJ31" i="198"/>
  <c r="FK31" i="198" s="1"/>
  <c r="FL31" i="198" s="1"/>
  <c r="Z31" i="198" s="1"/>
  <c r="FN31" i="198"/>
  <c r="EJ34" i="198"/>
  <c r="EG38" i="198"/>
  <c r="EF38" i="198"/>
  <c r="FB40" i="198"/>
  <c r="FA40" i="198"/>
  <c r="FR40" i="198"/>
  <c r="ED42" i="198"/>
  <c r="EC42" i="198"/>
  <c r="EB42" i="198"/>
  <c r="DW16" i="199"/>
  <c r="DV16" i="199"/>
  <c r="DU16" i="199"/>
  <c r="FO16" i="199"/>
  <c r="FN16" i="199"/>
  <c r="EG17" i="199"/>
  <c r="EF17" i="199"/>
  <c r="CE18" i="199"/>
  <c r="FT18" i="199"/>
  <c r="FN20" i="199"/>
  <c r="DP20" i="199"/>
  <c r="DX20" i="199"/>
  <c r="DU20" i="199"/>
  <c r="FS22" i="199"/>
  <c r="CD22" i="199"/>
  <c r="ES22" i="199" s="1"/>
  <c r="GM22" i="199"/>
  <c r="ER30" i="199"/>
  <c r="H32" i="199"/>
  <c r="AQ32" i="199" s="1"/>
  <c r="G32" i="199"/>
  <c r="EN37" i="199"/>
  <c r="EM37" i="199"/>
  <c r="FT41" i="199"/>
  <c r="CE41" i="199"/>
  <c r="J41" i="199"/>
  <c r="I41" i="199"/>
  <c r="GC41" i="199"/>
  <c r="GB41" i="199"/>
  <c r="GA41" i="199"/>
  <c r="GD41" i="199"/>
  <c r="GE41" i="199"/>
  <c r="AY44" i="199"/>
  <c r="E45" i="199"/>
  <c r="D45" i="199"/>
  <c r="GK45" i="199" s="1"/>
  <c r="FM45" i="199"/>
  <c r="AJ19" i="200"/>
  <c r="AQ19" i="200"/>
  <c r="AS19" i="200"/>
  <c r="AN19" i="200"/>
  <c r="AM19" i="200"/>
  <c r="DT20" i="200"/>
  <c r="DZ21" i="200"/>
  <c r="DT25" i="200"/>
  <c r="DZ25" i="200"/>
  <c r="EH27" i="200"/>
  <c r="EJ27" i="200"/>
  <c r="CH27" i="200" s="1"/>
  <c r="DZ36" i="200"/>
  <c r="FS38" i="200"/>
  <c r="CD38" i="200"/>
  <c r="ES38" i="200" s="1"/>
  <c r="FE38" i="200"/>
  <c r="FF38" i="200" s="1"/>
  <c r="FG38" i="200" s="1"/>
  <c r="Y38" i="200" s="1"/>
  <c r="FJ38" i="200"/>
  <c r="FK38" i="200" s="1"/>
  <c r="FL38" i="200" s="1"/>
  <c r="Z38" i="200" s="1"/>
  <c r="EN38" i="200"/>
  <c r="EM38" i="200"/>
  <c r="EF39" i="200"/>
  <c r="EG39" i="200"/>
  <c r="FR41" i="200"/>
  <c r="FB41" i="200"/>
  <c r="FA41" i="200"/>
  <c r="H43" i="200"/>
  <c r="G43" i="200"/>
  <c r="F43" i="200"/>
  <c r="AK44" i="200"/>
  <c r="GE44" i="200"/>
  <c r="GD44" i="200"/>
  <c r="GC44" i="200"/>
  <c r="GB44" i="200"/>
  <c r="GA44" i="200"/>
  <c r="DX17" i="201"/>
  <c r="DP17" i="201"/>
  <c r="DW17" i="201"/>
  <c r="DV17" i="201"/>
  <c r="FN17" i="201"/>
  <c r="FU18" i="201"/>
  <c r="FH18" i="201"/>
  <c r="ED18" i="201"/>
  <c r="EC18" i="201"/>
  <c r="FP18" i="201" s="1"/>
  <c r="ER24" i="201"/>
  <c r="CI24" i="201" s="1"/>
  <c r="EQ30" i="201"/>
  <c r="EK33" i="201"/>
  <c r="AD44" i="201"/>
  <c r="CH23" i="202"/>
  <c r="EK35" i="202"/>
  <c r="G41" i="202"/>
  <c r="F41" i="202"/>
  <c r="H41" i="202"/>
  <c r="GF44" i="202"/>
  <c r="AX44" i="202"/>
  <c r="FH29" i="203"/>
  <c r="FU29" i="203"/>
  <c r="EB29" i="203"/>
  <c r="EA29" i="203"/>
  <c r="FN29" i="203"/>
  <c r="ED29" i="203"/>
  <c r="EC29" i="203"/>
  <c r="DP29" i="203"/>
  <c r="FT35" i="203"/>
  <c r="CE35" i="203"/>
  <c r="AO34" i="204"/>
  <c r="AN34" i="204"/>
  <c r="AM34" i="204"/>
  <c r="AL34" i="204"/>
  <c r="AS34" i="204"/>
  <c r="AQ34" i="204"/>
  <c r="AJ34" i="204"/>
  <c r="AM21" i="205"/>
  <c r="AL21" i="205"/>
  <c r="AS21" i="205"/>
  <c r="AT21" i="205" s="1"/>
  <c r="AJ21" i="205"/>
  <c r="AN21" i="205"/>
  <c r="AO21" i="205"/>
  <c r="FA16" i="207"/>
  <c r="FB16" i="207"/>
  <c r="FR16" i="207"/>
  <c r="DZ16" i="207"/>
  <c r="AN17" i="207"/>
  <c r="AS17" i="207"/>
  <c r="AJ17" i="207"/>
  <c r="AQ17" i="207"/>
  <c r="AO17" i="207"/>
  <c r="AM17" i="207"/>
  <c r="AL17" i="207"/>
  <c r="CX54" i="192"/>
  <c r="DA65" i="192"/>
  <c r="DA69" i="192"/>
  <c r="DA73" i="192"/>
  <c r="DA77" i="192"/>
  <c r="DA81" i="192"/>
  <c r="DA85" i="192"/>
  <c r="BZ44" i="193"/>
  <c r="BK42" i="193"/>
  <c r="BZ19" i="193"/>
  <c r="BK20" i="193"/>
  <c r="BZ23" i="193"/>
  <c r="BK26" i="193"/>
  <c r="BZ29" i="193"/>
  <c r="BZ30" i="193"/>
  <c r="BZ31" i="193"/>
  <c r="ET32" i="193"/>
  <c r="FA73" i="193"/>
  <c r="EY73" i="193" s="1"/>
  <c r="EZ73" i="193"/>
  <c r="GA36" i="193"/>
  <c r="GL36" i="193" s="1"/>
  <c r="GM36" i="193" s="1"/>
  <c r="BN38" i="193"/>
  <c r="BK40" i="193"/>
  <c r="DB54" i="193"/>
  <c r="DB57" i="193"/>
  <c r="DC58" i="193"/>
  <c r="EV58" i="193" s="1"/>
  <c r="EU59" i="193"/>
  <c r="EQ61" i="193"/>
  <c r="ER61" i="193" s="1"/>
  <c r="ES61" i="193" s="1"/>
  <c r="Y21" i="193" s="1"/>
  <c r="GE21" i="193" s="1"/>
  <c r="GL21" i="193" s="1"/>
  <c r="GM21" i="193" s="1"/>
  <c r="EW66" i="193"/>
  <c r="DJ71" i="193"/>
  <c r="DI71" i="193"/>
  <c r="EW71" i="193" s="1"/>
  <c r="DH71" i="193"/>
  <c r="EN71" i="193"/>
  <c r="X31" i="193" s="1"/>
  <c r="FD72" i="193"/>
  <c r="CW72" i="193"/>
  <c r="DJ75" i="193"/>
  <c r="DI75" i="193"/>
  <c r="DH75" i="193"/>
  <c r="DG75" i="193"/>
  <c r="CV75" i="193"/>
  <c r="EU75" i="193"/>
  <c r="FD76" i="193"/>
  <c r="EO76" i="193"/>
  <c r="DZ76" i="193"/>
  <c r="EA78" i="193"/>
  <c r="FC78" i="193"/>
  <c r="EO83" i="193"/>
  <c r="FD83" i="193"/>
  <c r="EI84" i="193"/>
  <c r="EH84" i="193"/>
  <c r="EJ84" i="193" s="1"/>
  <c r="DS84" i="193" s="1"/>
  <c r="EL24" i="196"/>
  <c r="EY25" i="196"/>
  <c r="EX25" i="196"/>
  <c r="FQ25" i="196"/>
  <c r="FO25" i="196"/>
  <c r="DT25" i="196"/>
  <c r="ER25" i="196"/>
  <c r="FN26" i="196"/>
  <c r="DX26" i="196"/>
  <c r="DP26" i="196"/>
  <c r="DV26" i="196"/>
  <c r="ER26" i="196"/>
  <c r="CD27" i="196"/>
  <c r="EQ27" i="196"/>
  <c r="AD28" i="196"/>
  <c r="AM28" i="196"/>
  <c r="AL28" i="196"/>
  <c r="AS28" i="196"/>
  <c r="AT28" i="196" s="1"/>
  <c r="AJ28" i="196"/>
  <c r="ER30" i="196"/>
  <c r="FR31" i="196"/>
  <c r="EE33" i="196"/>
  <c r="FQ34" i="196"/>
  <c r="EN34" i="196"/>
  <c r="EM34" i="196"/>
  <c r="AS37" i="196"/>
  <c r="AJ38" i="196"/>
  <c r="AQ38" i="196"/>
  <c r="AN38" i="196"/>
  <c r="AM38" i="196"/>
  <c r="CE40" i="196"/>
  <c r="I40" i="196"/>
  <c r="K40" i="196"/>
  <c r="GB57" i="196"/>
  <c r="GA57" i="196"/>
  <c r="GE57" i="196"/>
  <c r="GC57" i="196"/>
  <c r="EB69" i="196"/>
  <c r="AL53" i="197"/>
  <c r="AL49" i="197"/>
  <c r="EY20" i="197"/>
  <c r="G23" i="197"/>
  <c r="F23" i="197"/>
  <c r="H23" i="197"/>
  <c r="AQ23" i="197" s="1"/>
  <c r="AR23" i="197" s="1"/>
  <c r="CI26" i="197"/>
  <c r="AD28" i="197"/>
  <c r="CK29" i="197"/>
  <c r="GM30" i="197"/>
  <c r="CK31" i="197"/>
  <c r="EY33" i="197"/>
  <c r="EX33" i="197"/>
  <c r="FQ33" i="197"/>
  <c r="FO33" i="197"/>
  <c r="DT33" i="197"/>
  <c r="AN34" i="197"/>
  <c r="AL34" i="197"/>
  <c r="AQ34" i="197"/>
  <c r="AJ34" i="197"/>
  <c r="AS34" i="197"/>
  <c r="CE35" i="197"/>
  <c r="FT35" i="197"/>
  <c r="AM37" i="197"/>
  <c r="AL37" i="197"/>
  <c r="AS37" i="197"/>
  <c r="AO37" i="197"/>
  <c r="AN37" i="197"/>
  <c r="AJ37" i="197"/>
  <c r="AH41" i="197"/>
  <c r="AG41" i="197"/>
  <c r="AW41" i="197"/>
  <c r="AK41" i="197" s="1"/>
  <c r="AJ41" i="197" s="1"/>
  <c r="AF41" i="197"/>
  <c r="AE41" i="197"/>
  <c r="FP43" i="197"/>
  <c r="EN44" i="197"/>
  <c r="EM44" i="197"/>
  <c r="CD16" i="198"/>
  <c r="FS16" i="198"/>
  <c r="FR20" i="198"/>
  <c r="EG20" i="198"/>
  <c r="EF20" i="198"/>
  <c r="EK21" i="198"/>
  <c r="AD24" i="198"/>
  <c r="FN25" i="198"/>
  <c r="EG27" i="198"/>
  <c r="EF27" i="198"/>
  <c r="FV31" i="198"/>
  <c r="EK34" i="198"/>
  <c r="EV34" i="198" s="1"/>
  <c r="CJ34" i="198" s="1"/>
  <c r="FS44" i="198"/>
  <c r="CD44" i="198"/>
  <c r="FJ44" i="198"/>
  <c r="FK44" i="198" s="1"/>
  <c r="FL44" i="198" s="1"/>
  <c r="Z44" i="198" s="1"/>
  <c r="FN44" i="198"/>
  <c r="FE44" i="198"/>
  <c r="FF44" i="198" s="1"/>
  <c r="FG44" i="198" s="1"/>
  <c r="Y44" i="198" s="1"/>
  <c r="FS17" i="199"/>
  <c r="AJ27" i="199"/>
  <c r="AQ27" i="199"/>
  <c r="AR27" i="199" s="1"/>
  <c r="AS27" i="199"/>
  <c r="AT27" i="199" s="1"/>
  <c r="AO27" i="199"/>
  <c r="AN27" i="199"/>
  <c r="AM27" i="199"/>
  <c r="ER28" i="199"/>
  <c r="EV28" i="199" s="1"/>
  <c r="CJ28" i="199" s="1"/>
  <c r="FR29" i="199"/>
  <c r="ED29" i="199"/>
  <c r="FP29" i="199"/>
  <c r="EA29" i="199"/>
  <c r="AY34" i="199"/>
  <c r="EG39" i="199"/>
  <c r="EF39" i="199"/>
  <c r="CE39" i="199"/>
  <c r="FT39" i="199"/>
  <c r="EK41" i="199"/>
  <c r="EG45" i="199"/>
  <c r="EF45" i="199"/>
  <c r="AU16" i="200"/>
  <c r="AQ27" i="200"/>
  <c r="AO27" i="200"/>
  <c r="AN27" i="200"/>
  <c r="AP27" i="200" s="1"/>
  <c r="AM27" i="200"/>
  <c r="AL27" i="200"/>
  <c r="GM33" i="200"/>
  <c r="AU34" i="200"/>
  <c r="DT37" i="200"/>
  <c r="AU40" i="200"/>
  <c r="FQ44" i="200"/>
  <c r="EY44" i="200"/>
  <c r="EX44" i="200"/>
  <c r="DT44" i="200"/>
  <c r="FO44" i="200"/>
  <c r="EG44" i="200"/>
  <c r="EF44" i="200"/>
  <c r="GM16" i="201"/>
  <c r="EN19" i="201"/>
  <c r="EM19" i="201"/>
  <c r="FN20" i="201"/>
  <c r="DU20" i="201"/>
  <c r="FQ20" i="201"/>
  <c r="DV20" i="201"/>
  <c r="DW20" i="201"/>
  <c r="FT28" i="201"/>
  <c r="CE28" i="201"/>
  <c r="EY31" i="201"/>
  <c r="EX31" i="201"/>
  <c r="FQ31" i="201"/>
  <c r="FO31" i="201"/>
  <c r="DT31" i="201"/>
  <c r="U37" i="201"/>
  <c r="T37" i="201"/>
  <c r="AR37" i="201" s="1"/>
  <c r="DW41" i="201"/>
  <c r="DV41" i="201"/>
  <c r="DU41" i="201"/>
  <c r="FN41" i="201"/>
  <c r="DP41" i="201"/>
  <c r="FQ41" i="201"/>
  <c r="DX41" i="201"/>
  <c r="FU42" i="201"/>
  <c r="FH42" i="201"/>
  <c r="EC42" i="201"/>
  <c r="FP42" i="201" s="1"/>
  <c r="EB42" i="201"/>
  <c r="EA42" i="201"/>
  <c r="ED42" i="201"/>
  <c r="FJ43" i="201"/>
  <c r="FK43" i="201" s="1"/>
  <c r="FL43" i="201" s="1"/>
  <c r="Z43" i="201" s="1"/>
  <c r="AE44" i="201"/>
  <c r="AE46" i="201" s="1"/>
  <c r="ER44" i="201"/>
  <c r="CI44" i="201" s="1"/>
  <c r="GC57" i="201"/>
  <c r="GB57" i="201"/>
  <c r="GA57" i="201"/>
  <c r="GE57" i="201"/>
  <c r="GD57" i="201"/>
  <c r="CD19" i="202"/>
  <c r="ES19" i="202" s="1"/>
  <c r="FJ19" i="202"/>
  <c r="FK19" i="202" s="1"/>
  <c r="FL19" i="202" s="1"/>
  <c r="Z19" i="202" s="1"/>
  <c r="FE19" i="202"/>
  <c r="FF19" i="202" s="1"/>
  <c r="FG19" i="202" s="1"/>
  <c r="Y19" i="202" s="1"/>
  <c r="EJ19" i="202"/>
  <c r="CH19" i="202" s="1"/>
  <c r="EH19" i="202"/>
  <c r="EK23" i="202"/>
  <c r="EG31" i="202"/>
  <c r="EF31" i="202"/>
  <c r="EQ31" i="202"/>
  <c r="FV36" i="202"/>
  <c r="FM36" i="202"/>
  <c r="FB38" i="202"/>
  <c r="FR38" i="202"/>
  <c r="DZ38" i="202"/>
  <c r="FP38" i="202"/>
  <c r="FS45" i="202"/>
  <c r="CD45" i="202"/>
  <c r="FE45" i="202"/>
  <c r="FF45" i="202" s="1"/>
  <c r="FG45" i="202" s="1"/>
  <c r="Y45" i="202" s="1"/>
  <c r="FN45" i="202"/>
  <c r="FJ45" i="202"/>
  <c r="FK45" i="202" s="1"/>
  <c r="FL45" i="202" s="1"/>
  <c r="Z45" i="202" s="1"/>
  <c r="EJ18" i="203"/>
  <c r="CH18" i="203" s="1"/>
  <c r="AO31" i="203"/>
  <c r="AN31" i="203"/>
  <c r="AM31" i="203"/>
  <c r="AL31" i="203"/>
  <c r="AS31" i="203"/>
  <c r="AT31" i="203" s="1"/>
  <c r="AJ31" i="203"/>
  <c r="AM35" i="203"/>
  <c r="AL35" i="203"/>
  <c r="AS35" i="203"/>
  <c r="AN35" i="203"/>
  <c r="AJ35" i="203"/>
  <c r="AQ35" i="203"/>
  <c r="AO35" i="203"/>
  <c r="AU36" i="203"/>
  <c r="ER35" i="204"/>
  <c r="EF39" i="205"/>
  <c r="EG39" i="205"/>
  <c r="FT39" i="205"/>
  <c r="CE39" i="205"/>
  <c r="FP31" i="206"/>
  <c r="CZ66" i="192"/>
  <c r="CZ70" i="192"/>
  <c r="CZ74" i="192"/>
  <c r="CZ78" i="192"/>
  <c r="CZ82" i="192"/>
  <c r="BK32" i="193"/>
  <c r="BK34" i="193"/>
  <c r="BZ35" i="193"/>
  <c r="BK43" i="193"/>
  <c r="EU55" i="193"/>
  <c r="EQ57" i="193"/>
  <c r="ER57" i="193" s="1"/>
  <c r="ES57" i="193" s="1"/>
  <c r="Y17" i="193" s="1"/>
  <c r="EO60" i="193"/>
  <c r="DZ63" i="193"/>
  <c r="FE63" i="193"/>
  <c r="CZ69" i="193"/>
  <c r="EO71" i="193"/>
  <c r="FD71" i="193"/>
  <c r="ES74" i="193"/>
  <c r="Y34" i="193" s="1"/>
  <c r="ET76" i="193"/>
  <c r="CX76" i="193"/>
  <c r="N36" i="193" s="1"/>
  <c r="EU79" i="193"/>
  <c r="ES82" i="193"/>
  <c r="Y42" i="193" s="1"/>
  <c r="FE83" i="193"/>
  <c r="CX83" i="193"/>
  <c r="N43" i="193" s="1"/>
  <c r="FN25" i="196"/>
  <c r="DX25" i="196"/>
  <c r="DP25" i="196"/>
  <c r="ER27" i="196"/>
  <c r="EV27" i="196" s="1"/>
  <c r="EK29" i="196"/>
  <c r="FA30" i="196"/>
  <c r="FB30" i="196"/>
  <c r="FP30" i="196"/>
  <c r="DZ30" i="196"/>
  <c r="EC31" i="196"/>
  <c r="EB31" i="196"/>
  <c r="EA31" i="196"/>
  <c r="FN31" i="196"/>
  <c r="DP31" i="196"/>
  <c r="ED31" i="196"/>
  <c r="FS32" i="196"/>
  <c r="CD32" i="196"/>
  <c r="FJ32" i="196"/>
  <c r="FK32" i="196" s="1"/>
  <c r="FL32" i="196" s="1"/>
  <c r="Z32" i="196" s="1"/>
  <c r="FE32" i="196"/>
  <c r="FF32" i="196" s="1"/>
  <c r="FG32" i="196" s="1"/>
  <c r="Y32" i="196" s="1"/>
  <c r="DX34" i="196"/>
  <c r="DP34" i="196"/>
  <c r="DW34" i="196"/>
  <c r="FO34" i="196" s="1"/>
  <c r="DV34" i="196"/>
  <c r="FN34" i="196"/>
  <c r="FE35" i="196"/>
  <c r="FF35" i="196" s="1"/>
  <c r="FG35" i="196" s="1"/>
  <c r="Y35" i="196" s="1"/>
  <c r="FS39" i="196"/>
  <c r="FE39" i="196"/>
  <c r="FF39" i="196" s="1"/>
  <c r="FG39" i="196" s="1"/>
  <c r="Y39" i="196" s="1"/>
  <c r="EG40" i="196"/>
  <c r="EF40" i="196"/>
  <c r="EC69" i="196"/>
  <c r="FP69" i="196" s="1"/>
  <c r="CD17" i="197"/>
  <c r="FJ17" i="197"/>
  <c r="FK17" i="197" s="1"/>
  <c r="FL17" i="197" s="1"/>
  <c r="Z17" i="197" s="1"/>
  <c r="FN17" i="197"/>
  <c r="EN21" i="197"/>
  <c r="EM21" i="197"/>
  <c r="EE22" i="197"/>
  <c r="FP23" i="197"/>
  <c r="FQ24" i="197"/>
  <c r="EY24" i="197"/>
  <c r="EX24" i="197"/>
  <c r="DT24" i="197"/>
  <c r="FO24" i="197"/>
  <c r="CI24" i="197"/>
  <c r="AK25" i="197"/>
  <c r="F26" i="197"/>
  <c r="AZ26" i="197" s="1"/>
  <c r="H26" i="197"/>
  <c r="AQ26" i="197" s="1"/>
  <c r="AR26" i="197" s="1"/>
  <c r="EI28" i="197"/>
  <c r="AY29" i="197"/>
  <c r="EG30" i="197"/>
  <c r="EF30" i="197"/>
  <c r="FT30" i="197"/>
  <c r="CE30" i="197"/>
  <c r="ER30" i="197"/>
  <c r="FR32" i="197"/>
  <c r="FA32" i="197"/>
  <c r="DZ32" i="197"/>
  <c r="FP32" i="197"/>
  <c r="FB32" i="197"/>
  <c r="DX33" i="197"/>
  <c r="DP33" i="197"/>
  <c r="DV33" i="197"/>
  <c r="DU33" i="197"/>
  <c r="FN33" i="197"/>
  <c r="AT34" i="197"/>
  <c r="FQ34" i="197"/>
  <c r="FR36" i="197"/>
  <c r="FB36" i="197"/>
  <c r="DZ36" i="197"/>
  <c r="AY38" i="197"/>
  <c r="CD42" i="197"/>
  <c r="FS42" i="197"/>
  <c r="FJ42" i="197"/>
  <c r="FK42" i="197" s="1"/>
  <c r="FL42" i="197" s="1"/>
  <c r="Z42" i="197" s="1"/>
  <c r="FE42" i="197"/>
  <c r="FF42" i="197" s="1"/>
  <c r="FG42" i="197" s="1"/>
  <c r="Y42" i="197" s="1"/>
  <c r="EN45" i="197"/>
  <c r="EM45" i="197"/>
  <c r="AS17" i="198"/>
  <c r="AQ19" i="198"/>
  <c r="AQ17" i="198"/>
  <c r="AQ18" i="198"/>
  <c r="AR18" i="198" s="1"/>
  <c r="EN17" i="198"/>
  <c r="EM17" i="198"/>
  <c r="CE19" i="198"/>
  <c r="FT19" i="198"/>
  <c r="EC20" i="198"/>
  <c r="FP20" i="198" s="1"/>
  <c r="EB20" i="198"/>
  <c r="EA20" i="198"/>
  <c r="ED20" i="198"/>
  <c r="DP20" i="198"/>
  <c r="FN20" i="198"/>
  <c r="FU20" i="198"/>
  <c r="CD22" i="198"/>
  <c r="FS22" i="198"/>
  <c r="EQ22" i="198"/>
  <c r="CI22" i="198" s="1"/>
  <c r="FN24" i="198"/>
  <c r="FQ25" i="198"/>
  <c r="EX25" i="198"/>
  <c r="DT25" i="198"/>
  <c r="FO25" i="198"/>
  <c r="CK31" i="198"/>
  <c r="CE31" i="198"/>
  <c r="EY32" i="198"/>
  <c r="EX32" i="198"/>
  <c r="FO32" i="198"/>
  <c r="EM32" i="198"/>
  <c r="EN32" i="198"/>
  <c r="FE33" i="198"/>
  <c r="FF33" i="198" s="1"/>
  <c r="FG33" i="198" s="1"/>
  <c r="Y33" i="198" s="1"/>
  <c r="EQ34" i="198"/>
  <c r="CI34" i="198" s="1"/>
  <c r="AM35" i="198"/>
  <c r="AL35" i="198"/>
  <c r="AS35" i="198"/>
  <c r="AO35" i="198"/>
  <c r="AN35" i="198"/>
  <c r="AJ35" i="198"/>
  <c r="FN19" i="199"/>
  <c r="DU19" i="199"/>
  <c r="DW19" i="199"/>
  <c r="FQ19" i="199"/>
  <c r="DV19" i="199"/>
  <c r="DP19" i="199"/>
  <c r="EQ20" i="199"/>
  <c r="CI20" i="199" s="1"/>
  <c r="FT21" i="199"/>
  <c r="CE21" i="199"/>
  <c r="EQ28" i="199"/>
  <c r="CI28" i="199" s="1"/>
  <c r="EN31" i="199"/>
  <c r="EM31" i="199"/>
  <c r="AO37" i="199"/>
  <c r="AN37" i="199"/>
  <c r="AQ37" i="199"/>
  <c r="AM37" i="199"/>
  <c r="AL37" i="199"/>
  <c r="AJ37" i="199"/>
  <c r="EJ41" i="199"/>
  <c r="CH41" i="199" s="1"/>
  <c r="EL81" i="199"/>
  <c r="FL18" i="200"/>
  <c r="Z18" i="200" s="1"/>
  <c r="CS18" i="200"/>
  <c r="DR18" i="200"/>
  <c r="FS19" i="200"/>
  <c r="AQ22" i="200"/>
  <c r="AO22" i="200"/>
  <c r="AN22" i="200"/>
  <c r="AM22" i="200"/>
  <c r="AL22" i="200"/>
  <c r="AP22" i="200" s="1"/>
  <c r="EN27" i="200"/>
  <c r="EM27" i="200"/>
  <c r="AP29" i="200"/>
  <c r="AU29" i="200"/>
  <c r="EO29" i="200" s="1"/>
  <c r="AZ29" i="200"/>
  <c r="AJ30" i="200"/>
  <c r="AQ30" i="200"/>
  <c r="AO30" i="200"/>
  <c r="AN30" i="200"/>
  <c r="AM30" i="200"/>
  <c r="AS30" i="200"/>
  <c r="AL30" i="200"/>
  <c r="EX35" i="200"/>
  <c r="EY35" i="200"/>
  <c r="FQ35" i="200"/>
  <c r="FO35" i="200"/>
  <c r="EG36" i="200"/>
  <c r="EF36" i="200"/>
  <c r="FT36" i="200"/>
  <c r="ER36" i="200"/>
  <c r="CI36" i="200" s="1"/>
  <c r="DX39" i="200"/>
  <c r="DP39" i="200"/>
  <c r="DW39" i="200"/>
  <c r="DV39" i="200"/>
  <c r="FQ39" i="200"/>
  <c r="DU39" i="200"/>
  <c r="FO39" i="200"/>
  <c r="FN39" i="200"/>
  <c r="EG21" i="201"/>
  <c r="EF21" i="201"/>
  <c r="EM25" i="201"/>
  <c r="AF44" i="201"/>
  <c r="GL44" i="201"/>
  <c r="P2" i="202"/>
  <c r="P1" i="202"/>
  <c r="P4" i="202"/>
  <c r="ER23" i="202"/>
  <c r="CI23" i="202" s="1"/>
  <c r="ER31" i="202"/>
  <c r="FN37" i="202"/>
  <c r="DX37" i="202"/>
  <c r="DP37" i="202"/>
  <c r="DW37" i="202"/>
  <c r="DU37" i="202"/>
  <c r="DV37" i="202"/>
  <c r="FQ37" i="202"/>
  <c r="AJ40" i="202"/>
  <c r="AQ40" i="202"/>
  <c r="AS40" i="202"/>
  <c r="AO40" i="202"/>
  <c r="AL40" i="202"/>
  <c r="AM40" i="202"/>
  <c r="AN40" i="202"/>
  <c r="FQ18" i="203"/>
  <c r="EY18" i="203"/>
  <c r="EX18" i="203"/>
  <c r="DT18" i="203"/>
  <c r="FO18" i="203"/>
  <c r="EN18" i="203"/>
  <c r="EM18" i="203"/>
  <c r="EK18" i="203"/>
  <c r="ER40" i="203"/>
  <c r="EV40" i="203" s="1"/>
  <c r="CJ40" i="203" s="1"/>
  <c r="AS17" i="204"/>
  <c r="AT17" i="204" s="1"/>
  <c r="AJ17" i="204"/>
  <c r="AQ17" i="204"/>
  <c r="AR17" i="204" s="1"/>
  <c r="AN17" i="204"/>
  <c r="AM17" i="204"/>
  <c r="AL17" i="204"/>
  <c r="AO17" i="204"/>
  <c r="EF17" i="204"/>
  <c r="EG17" i="204"/>
  <c r="EM44" i="204"/>
  <c r="EN44" i="204"/>
  <c r="AQ29" i="196"/>
  <c r="AO29" i="196"/>
  <c r="FP29" i="196"/>
  <c r="DZ29" i="196"/>
  <c r="EB30" i="196"/>
  <c r="EA30" i="196"/>
  <c r="FU30" i="196"/>
  <c r="CD31" i="196"/>
  <c r="FJ31" i="196"/>
  <c r="FK31" i="196" s="1"/>
  <c r="FL31" i="196" s="1"/>
  <c r="Z31" i="196" s="1"/>
  <c r="FP31" i="196"/>
  <c r="J34" i="196"/>
  <c r="I34" i="196"/>
  <c r="DT35" i="196"/>
  <c r="K35" i="196"/>
  <c r="AS35" i="196" s="1"/>
  <c r="J35" i="196"/>
  <c r="AZ35" i="196" s="1"/>
  <c r="I35" i="196"/>
  <c r="EA36" i="196"/>
  <c r="DT38" i="196"/>
  <c r="DT39" i="196"/>
  <c r="DT40" i="196"/>
  <c r="DX69" i="196"/>
  <c r="DP69" i="196"/>
  <c r="DU69" i="196"/>
  <c r="DW16" i="197"/>
  <c r="FO16" i="197" s="1"/>
  <c r="DV16" i="197"/>
  <c r="DU16" i="197"/>
  <c r="CE31" i="197"/>
  <c r="U32" i="197"/>
  <c r="T32" i="197"/>
  <c r="AR32" i="197" s="1"/>
  <c r="ED33" i="197"/>
  <c r="EC33" i="197"/>
  <c r="FP33" i="197" s="1"/>
  <c r="EB33" i="197"/>
  <c r="AO36" i="197"/>
  <c r="AN36" i="197"/>
  <c r="AM36" i="197"/>
  <c r="AJ36" i="197"/>
  <c r="AS36" i="197"/>
  <c r="AT36" i="197" s="1"/>
  <c r="AD37" i="197"/>
  <c r="FJ39" i="197"/>
  <c r="FK39" i="197" s="1"/>
  <c r="FL39" i="197" s="1"/>
  <c r="FJ43" i="197"/>
  <c r="FK43" i="197" s="1"/>
  <c r="FL43" i="197" s="1"/>
  <c r="Z43" i="197" s="1"/>
  <c r="EE43" i="197"/>
  <c r="G45" i="197"/>
  <c r="F45" i="197"/>
  <c r="AM54" i="198"/>
  <c r="AM52" i="198"/>
  <c r="FP16" i="198"/>
  <c r="EG18" i="198"/>
  <c r="EF18" i="198"/>
  <c r="AS20" i="198"/>
  <c r="AT20" i="198" s="1"/>
  <c r="AJ20" i="198"/>
  <c r="AQ20" i="198"/>
  <c r="AR20" i="198" s="1"/>
  <c r="AO20" i="198"/>
  <c r="FP22" i="198"/>
  <c r="CE25" i="198"/>
  <c r="FT25" i="198"/>
  <c r="EG28" i="198"/>
  <c r="EF28" i="198"/>
  <c r="AS30" i="198"/>
  <c r="AT30" i="198" s="1"/>
  <c r="AJ30" i="198"/>
  <c r="AQ30" i="198"/>
  <c r="AR30" i="198" s="1"/>
  <c r="AO30" i="198"/>
  <c r="AM32" i="198"/>
  <c r="AL32" i="198"/>
  <c r="AS32" i="198"/>
  <c r="AO32" i="198"/>
  <c r="AN32" i="198"/>
  <c r="AJ32" i="198"/>
  <c r="AN33" i="198"/>
  <c r="AM33" i="198"/>
  <c r="AP33" i="198" s="1"/>
  <c r="AL33" i="198"/>
  <c r="AS33" i="198"/>
  <c r="FM35" i="198"/>
  <c r="FV35" i="198"/>
  <c r="AU36" i="198"/>
  <c r="FT36" i="198"/>
  <c r="CE36" i="198"/>
  <c r="FT38" i="198"/>
  <c r="ET38" i="198"/>
  <c r="CE38" i="198"/>
  <c r="O39" i="198"/>
  <c r="N39" i="198"/>
  <c r="EC40" i="198"/>
  <c r="FP40" i="198" s="1"/>
  <c r="EB40" i="198"/>
  <c r="EA40" i="198"/>
  <c r="ED40" i="198"/>
  <c r="GD57" i="198"/>
  <c r="GC57" i="198"/>
  <c r="GB57" i="198"/>
  <c r="AK54" i="199"/>
  <c r="AK52" i="199"/>
  <c r="AP19" i="199"/>
  <c r="FA19" i="199"/>
  <c r="FR19" i="199"/>
  <c r="FB19" i="199"/>
  <c r="DZ19" i="199"/>
  <c r="EK19" i="199"/>
  <c r="AJ21" i="199"/>
  <c r="AQ21" i="199"/>
  <c r="AR21" i="199" s="1"/>
  <c r="AN21" i="199"/>
  <c r="AM21" i="199"/>
  <c r="AL21" i="199"/>
  <c r="DR22" i="199"/>
  <c r="CS22" i="199"/>
  <c r="DQ22" i="199"/>
  <c r="CR22" i="199"/>
  <c r="EJ81" i="199"/>
  <c r="EU22" i="199"/>
  <c r="ET22" i="199"/>
  <c r="EN25" i="199"/>
  <c r="EM25" i="199"/>
  <c r="EN27" i="199"/>
  <c r="EM27" i="199"/>
  <c r="AQ28" i="199"/>
  <c r="AR28" i="199" s="1"/>
  <c r="AO28" i="199"/>
  <c r="AS28" i="199"/>
  <c r="AT28" i="199" s="1"/>
  <c r="AN28" i="199"/>
  <c r="AP28" i="199" s="1"/>
  <c r="FN28" i="199"/>
  <c r="DU28" i="199"/>
  <c r="FQ28" i="199"/>
  <c r="DX28" i="199"/>
  <c r="FN30" i="199"/>
  <c r="DX30" i="199"/>
  <c r="DW30" i="199"/>
  <c r="FO30" i="199" s="1"/>
  <c r="FQ30" i="199"/>
  <c r="DP30" i="199"/>
  <c r="AJ31" i="199"/>
  <c r="AQ31" i="199"/>
  <c r="AS31" i="199"/>
  <c r="AO31" i="199"/>
  <c r="AN31" i="199"/>
  <c r="EQ32" i="199"/>
  <c r="CI32" i="199" s="1"/>
  <c r="AS37" i="199"/>
  <c r="FS38" i="199"/>
  <c r="CD38" i="199"/>
  <c r="FE38" i="199"/>
  <c r="FF38" i="199" s="1"/>
  <c r="FG38" i="199" s="1"/>
  <c r="Y38" i="199" s="1"/>
  <c r="FJ38" i="199"/>
  <c r="FK38" i="199" s="1"/>
  <c r="FL38" i="199" s="1"/>
  <c r="Z38" i="199" s="1"/>
  <c r="EQ42" i="199"/>
  <c r="AL54" i="199"/>
  <c r="EN16" i="200"/>
  <c r="EM16" i="200"/>
  <c r="EN17" i="200"/>
  <c r="EM17" i="200"/>
  <c r="FA19" i="200"/>
  <c r="FR19" i="200"/>
  <c r="FB19" i="200"/>
  <c r="FP19" i="200"/>
  <c r="DZ19" i="200"/>
  <c r="FN22" i="200"/>
  <c r="FQ22" i="200"/>
  <c r="DP22" i="200"/>
  <c r="DX22" i="200"/>
  <c r="AU24" i="200"/>
  <c r="AZ24" i="200"/>
  <c r="DW24" i="200"/>
  <c r="FO24" i="200" s="1"/>
  <c r="DV24" i="200"/>
  <c r="DU24" i="200"/>
  <c r="FN24" i="200"/>
  <c r="DP24" i="200"/>
  <c r="EY28" i="200"/>
  <c r="EX28" i="200"/>
  <c r="EM28" i="200"/>
  <c r="EN28" i="200"/>
  <c r="EJ30" i="200"/>
  <c r="CH30" i="200" s="1"/>
  <c r="EN30" i="200"/>
  <c r="EM30" i="200"/>
  <c r="EQ32" i="200"/>
  <c r="CI33" i="200"/>
  <c r="AN34" i="200"/>
  <c r="AM34" i="200"/>
  <c r="AL34" i="200"/>
  <c r="AS34" i="200"/>
  <c r="AQ34" i="200"/>
  <c r="FQ34" i="200"/>
  <c r="EY34" i="200"/>
  <c r="FO34" i="200"/>
  <c r="DT34" i="200"/>
  <c r="EN34" i="200"/>
  <c r="EM34" i="200"/>
  <c r="EX34" i="200"/>
  <c r="CD36" i="200"/>
  <c r="FS36" i="200"/>
  <c r="FJ36" i="200"/>
  <c r="FK36" i="200" s="1"/>
  <c r="FL36" i="200" s="1"/>
  <c r="Z36" i="200" s="1"/>
  <c r="FE36" i="200"/>
  <c r="FF36" i="200" s="1"/>
  <c r="FG36" i="200" s="1"/>
  <c r="Y36" i="200" s="1"/>
  <c r="AD37" i="200"/>
  <c r="EN40" i="200"/>
  <c r="EM40" i="200"/>
  <c r="FU42" i="200"/>
  <c r="FH42" i="200"/>
  <c r="AX57" i="200"/>
  <c r="GF57" i="200"/>
  <c r="EY19" i="201"/>
  <c r="EX19" i="201"/>
  <c r="FO19" i="201"/>
  <c r="AD26" i="201"/>
  <c r="FP26" i="201"/>
  <c r="AU28" i="201"/>
  <c r="ET28" i="201" s="1"/>
  <c r="FQ29" i="201"/>
  <c r="EY29" i="201"/>
  <c r="EX29" i="201"/>
  <c r="DT29" i="201"/>
  <c r="FO29" i="201"/>
  <c r="EN29" i="201"/>
  <c r="EM29" i="201"/>
  <c r="EE34" i="201"/>
  <c r="AJ35" i="201"/>
  <c r="AQ35" i="201"/>
  <c r="AS35" i="201"/>
  <c r="AO35" i="201"/>
  <c r="DW37" i="201"/>
  <c r="FO37" i="201" s="1"/>
  <c r="DV37" i="201"/>
  <c r="DU37" i="201"/>
  <c r="FN37" i="201"/>
  <c r="DP37" i="201"/>
  <c r="FN38" i="201"/>
  <c r="DP38" i="201"/>
  <c r="DX38" i="201"/>
  <c r="FQ38" i="201"/>
  <c r="DW38" i="201"/>
  <c r="FO38" i="201" s="1"/>
  <c r="EN43" i="201"/>
  <c r="EM43" i="201"/>
  <c r="CD44" i="201"/>
  <c r="FS44" i="201"/>
  <c r="FJ44" i="201"/>
  <c r="FK44" i="201" s="1"/>
  <c r="FL44" i="201" s="1"/>
  <c r="Z44" i="201" s="1"/>
  <c r="FE44" i="201"/>
  <c r="FF44" i="201" s="1"/>
  <c r="FG44" i="201" s="1"/>
  <c r="Y44" i="201" s="1"/>
  <c r="EX18" i="202"/>
  <c r="EY18" i="202"/>
  <c r="FQ18" i="202"/>
  <c r="FO18" i="202"/>
  <c r="EN19" i="202"/>
  <c r="EM19" i="202"/>
  <c r="EF20" i="202"/>
  <c r="EG20" i="202"/>
  <c r="AU27" i="202"/>
  <c r="EF45" i="202"/>
  <c r="EG45" i="202"/>
  <c r="AZ26" i="203"/>
  <c r="EK33" i="203"/>
  <c r="CI35" i="203"/>
  <c r="I41" i="203"/>
  <c r="K41" i="203"/>
  <c r="J41" i="203"/>
  <c r="FN16" i="204"/>
  <c r="DX16" i="204"/>
  <c r="DP16" i="204"/>
  <c r="DV16" i="204"/>
  <c r="DU16" i="204"/>
  <c r="DW16" i="204"/>
  <c r="FO16" i="204" s="1"/>
  <c r="FQ16" i="204"/>
  <c r="AO22" i="204"/>
  <c r="AN22" i="204"/>
  <c r="AM22" i="204"/>
  <c r="AL22" i="204"/>
  <c r="AS22" i="204"/>
  <c r="AQ22" i="204"/>
  <c r="AJ22" i="204"/>
  <c r="EN31" i="204"/>
  <c r="EM31" i="204"/>
  <c r="FM32" i="204"/>
  <c r="FV32" i="204"/>
  <c r="AU38" i="204"/>
  <c r="AZ38" i="204"/>
  <c r="FS20" i="205"/>
  <c r="CD20" i="205"/>
  <c r="FJ20" i="205"/>
  <c r="FK20" i="205" s="1"/>
  <c r="FL20" i="205" s="1"/>
  <c r="Z20" i="205" s="1"/>
  <c r="FN20" i="205"/>
  <c r="FE20" i="205"/>
  <c r="FF20" i="205" s="1"/>
  <c r="FG20" i="205" s="1"/>
  <c r="Y20" i="205" s="1"/>
  <c r="EG26" i="208"/>
  <c r="EF26" i="208"/>
  <c r="DH84" i="193"/>
  <c r="DG84" i="193"/>
  <c r="EU84" i="193"/>
  <c r="EL84" i="193"/>
  <c r="EM84" i="193" s="1"/>
  <c r="EN84" i="193" s="1"/>
  <c r="X44" i="193" s="1"/>
  <c r="EQ84" i="193"/>
  <c r="ER84" i="193" s="1"/>
  <c r="ES84" i="193" s="1"/>
  <c r="Y44" i="193" s="1"/>
  <c r="DF85" i="193"/>
  <c r="FT23" i="196"/>
  <c r="CE23" i="196"/>
  <c r="AO24" i="196"/>
  <c r="AN24" i="196"/>
  <c r="AM24" i="196"/>
  <c r="AP24" i="196" s="1"/>
  <c r="EA25" i="196"/>
  <c r="EY26" i="196"/>
  <c r="EX26" i="196"/>
  <c r="FO26" i="196"/>
  <c r="FT28" i="196"/>
  <c r="CE28" i="196"/>
  <c r="AL29" i="196"/>
  <c r="AP29" i="196" s="1"/>
  <c r="DZ31" i="196"/>
  <c r="AL32" i="196"/>
  <c r="AS32" i="196"/>
  <c r="AJ32" i="196"/>
  <c r="DT32" i="196"/>
  <c r="DW33" i="196"/>
  <c r="FO33" i="196" s="1"/>
  <c r="DV33" i="196"/>
  <c r="DU33" i="196"/>
  <c r="FQ33" i="196"/>
  <c r="FE34" i="196"/>
  <c r="FF34" i="196" s="1"/>
  <c r="FG34" i="196" s="1"/>
  <c r="Y34" i="196" s="1"/>
  <c r="FE36" i="196"/>
  <c r="FF36" i="196" s="1"/>
  <c r="FG36" i="196" s="1"/>
  <c r="Y36" i="196" s="1"/>
  <c r="EB36" i="196"/>
  <c r="FO37" i="196"/>
  <c r="FN37" i="196"/>
  <c r="DV37" i="196"/>
  <c r="EF37" i="196"/>
  <c r="FQ37" i="196"/>
  <c r="DV69" i="196"/>
  <c r="DX16" i="197"/>
  <c r="AK17" i="197"/>
  <c r="F18" i="197"/>
  <c r="DW19" i="197"/>
  <c r="FO19" i="197" s="1"/>
  <c r="DV19" i="197"/>
  <c r="DU19" i="197"/>
  <c r="FQ19" i="197"/>
  <c r="FE20" i="197"/>
  <c r="FF20" i="197" s="1"/>
  <c r="FG20" i="197" s="1"/>
  <c r="Y20" i="197" s="1"/>
  <c r="DW22" i="197"/>
  <c r="FO22" i="197" s="1"/>
  <c r="DV22" i="197"/>
  <c r="DU22" i="197"/>
  <c r="FQ22" i="197"/>
  <c r="DW26" i="197"/>
  <c r="FN26" i="197"/>
  <c r="DV26" i="197"/>
  <c r="FO26" i="197"/>
  <c r="DR28" i="197"/>
  <c r="CS28" i="197"/>
  <c r="DQ28" i="197"/>
  <c r="CR28" i="197"/>
  <c r="EL87" i="197"/>
  <c r="FS28" i="197"/>
  <c r="ES28" i="197"/>
  <c r="AN33" i="197"/>
  <c r="AJ33" i="197"/>
  <c r="AS33" i="197"/>
  <c r="FS33" i="197"/>
  <c r="CD33" i="197"/>
  <c r="FE33" i="197"/>
  <c r="FF33" i="197" s="1"/>
  <c r="FG33" i="197" s="1"/>
  <c r="Y33" i="197" s="1"/>
  <c r="FJ33" i="197"/>
  <c r="FK33" i="197" s="1"/>
  <c r="FL33" i="197" s="1"/>
  <c r="Z33" i="197" s="1"/>
  <c r="EG33" i="197"/>
  <c r="FO34" i="197"/>
  <c r="DT34" i="197"/>
  <c r="AL36" i="197"/>
  <c r="GM37" i="197"/>
  <c r="FM39" i="197"/>
  <c r="GB41" i="197"/>
  <c r="GA41" i="197"/>
  <c r="GE41" i="197"/>
  <c r="GD41" i="197"/>
  <c r="GC41" i="197"/>
  <c r="FU44" i="197"/>
  <c r="FH44" i="197"/>
  <c r="K44" i="197"/>
  <c r="AS44" i="197" s="1"/>
  <c r="I44" i="197"/>
  <c r="EB44" i="197"/>
  <c r="EG44" i="197"/>
  <c r="EF44" i="197"/>
  <c r="AR57" i="197"/>
  <c r="EC16" i="198"/>
  <c r="EB16" i="198"/>
  <c r="EA16" i="198"/>
  <c r="FN16" i="198"/>
  <c r="ED16" i="198"/>
  <c r="DP16" i="198"/>
  <c r="EK16" i="198"/>
  <c r="EN18" i="198"/>
  <c r="EM18" i="198"/>
  <c r="DT19" i="198"/>
  <c r="EY19" i="198"/>
  <c r="FO19" i="198"/>
  <c r="FQ21" i="198"/>
  <c r="EY21" i="198"/>
  <c r="EX21" i="198"/>
  <c r="DT21" i="198"/>
  <c r="EC22" i="198"/>
  <c r="EB22" i="198"/>
  <c r="EA22" i="198"/>
  <c r="FN22" i="198"/>
  <c r="ED22" i="198"/>
  <c r="CE24" i="198"/>
  <c r="FT24" i="198"/>
  <c r="FM24" i="198"/>
  <c r="EG26" i="198"/>
  <c r="EF26" i="198"/>
  <c r="EN28" i="198"/>
  <c r="EM28" i="198"/>
  <c r="DT29" i="198"/>
  <c r="EY29" i="198"/>
  <c r="FO29" i="198"/>
  <c r="AD32" i="198"/>
  <c r="AO33" i="198"/>
  <c r="GM33" i="198"/>
  <c r="H34" i="198"/>
  <c r="AQ34" i="198" s="1"/>
  <c r="AR34" i="198" s="1"/>
  <c r="G34" i="198"/>
  <c r="F34" i="198"/>
  <c r="FT35" i="198"/>
  <c r="CE35" i="198"/>
  <c r="AN36" i="198"/>
  <c r="AM36" i="198"/>
  <c r="AL36" i="198"/>
  <c r="AP36" i="198" s="1"/>
  <c r="AO36" i="198"/>
  <c r="AD39" i="198"/>
  <c r="FT39" i="198"/>
  <c r="ET39" i="198"/>
  <c r="CE39" i="198"/>
  <c r="EG40" i="198"/>
  <c r="EF40" i="198"/>
  <c r="AX42" i="198"/>
  <c r="GF42" i="198"/>
  <c r="J44" i="198"/>
  <c r="I44" i="198"/>
  <c r="K45" i="198"/>
  <c r="J45" i="198"/>
  <c r="EF45" i="198"/>
  <c r="EG45" i="198"/>
  <c r="EL98" i="198"/>
  <c r="AL53" i="199"/>
  <c r="AL49" i="199"/>
  <c r="FJ16" i="199"/>
  <c r="FK16" i="199" s="1"/>
  <c r="FL16" i="199" s="1"/>
  <c r="Z16" i="199" s="1"/>
  <c r="G17" i="199"/>
  <c r="F17" i="199"/>
  <c r="H17" i="199"/>
  <c r="EE18" i="199"/>
  <c r="ED19" i="199"/>
  <c r="EC19" i="199"/>
  <c r="FP19" i="199" s="1"/>
  <c r="EB19" i="199"/>
  <c r="EF19" i="199"/>
  <c r="EK23" i="199"/>
  <c r="AL28" i="199"/>
  <c r="EO29" i="199"/>
  <c r="AU30" i="199"/>
  <c r="AL31" i="199"/>
  <c r="EG33" i="199"/>
  <c r="EF33" i="199"/>
  <c r="GM36" i="199"/>
  <c r="FR40" i="199"/>
  <c r="FP40" i="199"/>
  <c r="EK40" i="199"/>
  <c r="ER42" i="199"/>
  <c r="EN44" i="199"/>
  <c r="EM44" i="199"/>
  <c r="ER45" i="199"/>
  <c r="CI45" i="199" s="1"/>
  <c r="IC14" i="200"/>
  <c r="HU14" i="200"/>
  <c r="HM14" i="200"/>
  <c r="HD14" i="200"/>
  <c r="IB14" i="200"/>
  <c r="HT14" i="200"/>
  <c r="HL14" i="200"/>
  <c r="IA14" i="200"/>
  <c r="HS14" i="200"/>
  <c r="HK14" i="200"/>
  <c r="ID14" i="200"/>
  <c r="HP14" i="200"/>
  <c r="HZ14" i="200"/>
  <c r="HO14" i="200"/>
  <c r="HY14" i="200"/>
  <c r="HN14" i="200"/>
  <c r="HR14" i="200"/>
  <c r="HQ14" i="200"/>
  <c r="HJ14" i="200"/>
  <c r="AN54" i="200"/>
  <c r="AN52" i="200"/>
  <c r="HG14" i="200"/>
  <c r="EB19" i="200"/>
  <c r="EA19" i="200"/>
  <c r="FN19" i="200"/>
  <c r="ED19" i="200"/>
  <c r="DP19" i="200"/>
  <c r="EC19" i="200"/>
  <c r="EY20" i="200"/>
  <c r="EX20" i="200"/>
  <c r="EM20" i="200"/>
  <c r="EN20" i="200"/>
  <c r="FB22" i="200"/>
  <c r="FA22" i="200"/>
  <c r="FR22" i="200"/>
  <c r="DZ22" i="200"/>
  <c r="DW28" i="200"/>
  <c r="FO28" i="200" s="1"/>
  <c r="DV28" i="200"/>
  <c r="DU28" i="200"/>
  <c r="FN28" i="200"/>
  <c r="DP28" i="200"/>
  <c r="EG29" i="200"/>
  <c r="EF29" i="200"/>
  <c r="ER32" i="200"/>
  <c r="AO34" i="200"/>
  <c r="DX34" i="200"/>
  <c r="DP34" i="200"/>
  <c r="DW34" i="200"/>
  <c r="DV34" i="200"/>
  <c r="FN34" i="200"/>
  <c r="EX37" i="200"/>
  <c r="EY37" i="200"/>
  <c r="FQ37" i="200"/>
  <c r="FO37" i="200"/>
  <c r="FS42" i="200"/>
  <c r="CD42" i="200"/>
  <c r="FE42" i="200"/>
  <c r="FF42" i="200" s="1"/>
  <c r="FG42" i="200" s="1"/>
  <c r="Y42" i="200" s="1"/>
  <c r="FJ42" i="200"/>
  <c r="FK42" i="200" s="1"/>
  <c r="FL42" i="200" s="1"/>
  <c r="Z42" i="200" s="1"/>
  <c r="GA42" i="200"/>
  <c r="GC42" i="200"/>
  <c r="GB42" i="200"/>
  <c r="H44" i="200"/>
  <c r="G44" i="200"/>
  <c r="F44" i="200"/>
  <c r="HY14" i="201"/>
  <c r="HQ14" i="201"/>
  <c r="HI14" i="201"/>
  <c r="IF14" i="201"/>
  <c r="HX14" i="201"/>
  <c r="HP14" i="201"/>
  <c r="HH14" i="201"/>
  <c r="IE14" i="201"/>
  <c r="HW14" i="201"/>
  <c r="HO14" i="201"/>
  <c r="HG14" i="201"/>
  <c r="IC14" i="201"/>
  <c r="HR14" i="201"/>
  <c r="IB14" i="201"/>
  <c r="HN14" i="201"/>
  <c r="IA14" i="201"/>
  <c r="HM14" i="201"/>
  <c r="HZ14" i="201"/>
  <c r="HF14" i="201"/>
  <c r="HV14" i="201"/>
  <c r="HD14" i="201"/>
  <c r="HU14" i="201"/>
  <c r="AL54" i="201"/>
  <c r="AL52" i="201"/>
  <c r="ID14" i="201"/>
  <c r="CI16" i="201"/>
  <c r="AN17" i="201"/>
  <c r="AP17" i="201" s="1"/>
  <c r="AM17" i="201"/>
  <c r="AL17" i="201"/>
  <c r="AU17" i="201" s="1"/>
  <c r="AS17" i="201"/>
  <c r="FQ17" i="201"/>
  <c r="EY17" i="201"/>
  <c r="FO17" i="201"/>
  <c r="DT17" i="201"/>
  <c r="EN17" i="201"/>
  <c r="EM17" i="201"/>
  <c r="EX17" i="201"/>
  <c r="AU19" i="201"/>
  <c r="FN19" i="201"/>
  <c r="DX19" i="201"/>
  <c r="DP19" i="201"/>
  <c r="DW19" i="201"/>
  <c r="FQ19" i="201"/>
  <c r="ER20" i="201"/>
  <c r="EV20" i="201" s="1"/>
  <c r="AD23" i="201"/>
  <c r="FJ24" i="201"/>
  <c r="FK24" i="201" s="1"/>
  <c r="FL24" i="201" s="1"/>
  <c r="Z24" i="201" s="1"/>
  <c r="FN24" i="201"/>
  <c r="EG25" i="201"/>
  <c r="EF25" i="201"/>
  <c r="FT25" i="201"/>
  <c r="CE25" i="201"/>
  <c r="EG26" i="201"/>
  <c r="EF26" i="201"/>
  <c r="CE26" i="201"/>
  <c r="FT26" i="201"/>
  <c r="DZ26" i="201"/>
  <c r="AN28" i="201"/>
  <c r="AM28" i="201"/>
  <c r="AL28" i="201"/>
  <c r="AP28" i="201" s="1"/>
  <c r="AO28" i="201"/>
  <c r="AS28" i="201"/>
  <c r="EN28" i="201"/>
  <c r="EM28" i="201"/>
  <c r="AL35" i="201"/>
  <c r="FA35" i="201"/>
  <c r="FR35" i="201"/>
  <c r="FB35" i="201"/>
  <c r="FP35" i="201"/>
  <c r="DZ35" i="201"/>
  <c r="EQ36" i="201"/>
  <c r="AU37" i="201"/>
  <c r="ET37" i="201" s="1"/>
  <c r="FP38" i="201"/>
  <c r="DZ38" i="201"/>
  <c r="ER38" i="201"/>
  <c r="FR38" i="201"/>
  <c r="AJ39" i="201"/>
  <c r="AQ39" i="201"/>
  <c r="AR39" i="201" s="1"/>
  <c r="AN39" i="201"/>
  <c r="AM39" i="201"/>
  <c r="AL39" i="201"/>
  <c r="AO39" i="201"/>
  <c r="FO41" i="201"/>
  <c r="GD44" i="201"/>
  <c r="GC44" i="201"/>
  <c r="GB44" i="201"/>
  <c r="AM45" i="201"/>
  <c r="AL45" i="201"/>
  <c r="AN45" i="201"/>
  <c r="AJ45" i="201"/>
  <c r="AQ45" i="201"/>
  <c r="AO45" i="201"/>
  <c r="GL45" i="201"/>
  <c r="EJ75" i="202"/>
  <c r="EL75" i="202" s="1"/>
  <c r="EU16" i="202"/>
  <c r="ES16" i="202"/>
  <c r="CS16" i="202"/>
  <c r="EO16" i="202"/>
  <c r="DR16" i="202"/>
  <c r="CR16" i="202"/>
  <c r="DQ16" i="202"/>
  <c r="DW18" i="202"/>
  <c r="DU18" i="202"/>
  <c r="FN18" i="202"/>
  <c r="DP18" i="202"/>
  <c r="EJ24" i="202"/>
  <c r="EG26" i="202"/>
  <c r="EF26" i="202"/>
  <c r="AN27" i="202"/>
  <c r="AM27" i="202"/>
  <c r="AL27" i="202"/>
  <c r="AP27" i="202" s="1"/>
  <c r="AQ27" i="202"/>
  <c r="AS27" i="202"/>
  <c r="AO29" i="202"/>
  <c r="AN29" i="202"/>
  <c r="AS29" i="202"/>
  <c r="AJ29" i="202"/>
  <c r="AQ29" i="202"/>
  <c r="AM29" i="202"/>
  <c r="AL29" i="202"/>
  <c r="EN30" i="202"/>
  <c r="EM30" i="202"/>
  <c r="AS39" i="202"/>
  <c r="FH40" i="202"/>
  <c r="FU40" i="202"/>
  <c r="EB40" i="202"/>
  <c r="EA40" i="202"/>
  <c r="FN40" i="202"/>
  <c r="ED40" i="202"/>
  <c r="EC40" i="202"/>
  <c r="DP40" i="202"/>
  <c r="FR40" i="202"/>
  <c r="EG40" i="202"/>
  <c r="EF40" i="202"/>
  <c r="AT43" i="202"/>
  <c r="EK32" i="203"/>
  <c r="EJ33" i="203"/>
  <c r="CE33" i="203"/>
  <c r="FT33" i="203"/>
  <c r="FG39" i="203"/>
  <c r="CR39" i="203"/>
  <c r="E44" i="203"/>
  <c r="D44" i="203"/>
  <c r="GK44" i="203" s="1"/>
  <c r="GB44" i="203"/>
  <c r="GA44" i="203"/>
  <c r="GE44" i="203"/>
  <c r="GC44" i="203"/>
  <c r="EJ45" i="203"/>
  <c r="CH45" i="203" s="1"/>
  <c r="AO16" i="204"/>
  <c r="AN16" i="204"/>
  <c r="AS16" i="204"/>
  <c r="AJ16" i="204"/>
  <c r="AQ16" i="204"/>
  <c r="AM16" i="204"/>
  <c r="FT32" i="204"/>
  <c r="CE32" i="204"/>
  <c r="DZ21" i="206"/>
  <c r="DB65" i="193"/>
  <c r="CZ66" i="193"/>
  <c r="ET72" i="193"/>
  <c r="CX72" i="193"/>
  <c r="EL73" i="193"/>
  <c r="EM73" i="193" s="1"/>
  <c r="EN73" i="193" s="1"/>
  <c r="X33" i="193" s="1"/>
  <c r="GE33" i="193" s="1"/>
  <c r="GL33" i="193" s="1"/>
  <c r="GM33" i="193" s="1"/>
  <c r="DG73" i="193"/>
  <c r="EO75" i="193"/>
  <c r="FD75" i="193"/>
  <c r="EF76" i="193"/>
  <c r="EE76" i="193"/>
  <c r="EG76" i="193" s="1"/>
  <c r="DL76" i="193" s="1"/>
  <c r="DF76" i="193"/>
  <c r="EQ78" i="193"/>
  <c r="ER78" i="193" s="1"/>
  <c r="ES78" i="193" s="1"/>
  <c r="Y38" i="193" s="1"/>
  <c r="DD81" i="193"/>
  <c r="CV81" i="193"/>
  <c r="EV83" i="193"/>
  <c r="ET84" i="193"/>
  <c r="CX84" i="193"/>
  <c r="N44" i="193" s="1"/>
  <c r="DJ84" i="193"/>
  <c r="EL85" i="193"/>
  <c r="EM85" i="193" s="1"/>
  <c r="EN85" i="193" s="1"/>
  <c r="X45" i="193" s="1"/>
  <c r="DH85" i="193"/>
  <c r="EE85" i="193"/>
  <c r="EG85" i="193" s="1"/>
  <c r="DL85" i="193" s="1"/>
  <c r="HZ21" i="196"/>
  <c r="HR21" i="196"/>
  <c r="HJ21" i="196"/>
  <c r="HY21" i="196"/>
  <c r="HQ21" i="196"/>
  <c r="HI21" i="196"/>
  <c r="IF21" i="196"/>
  <c r="HX21" i="196"/>
  <c r="HP21" i="196"/>
  <c r="HH21" i="196"/>
  <c r="HO21" i="196"/>
  <c r="IC21" i="196"/>
  <c r="EN23" i="196"/>
  <c r="EM23" i="196"/>
  <c r="FE24" i="196"/>
  <c r="FF24" i="196" s="1"/>
  <c r="FG24" i="196" s="1"/>
  <c r="Y24" i="196" s="1"/>
  <c r="FA24" i="196"/>
  <c r="EC25" i="196"/>
  <c r="AO26" i="196"/>
  <c r="AN26" i="196"/>
  <c r="AP26" i="196" s="1"/>
  <c r="DZ26" i="196"/>
  <c r="DT27" i="196"/>
  <c r="FM27" i="196"/>
  <c r="EF28" i="196"/>
  <c r="AN29" i="196"/>
  <c r="EB29" i="196"/>
  <c r="ED30" i="196"/>
  <c r="AM32" i="196"/>
  <c r="FO32" i="196"/>
  <c r="EX33" i="196"/>
  <c r="FT34" i="196"/>
  <c r="CE34" i="196"/>
  <c r="AO35" i="196"/>
  <c r="AN35" i="196"/>
  <c r="AM35" i="196"/>
  <c r="AP35" i="196" s="1"/>
  <c r="EY35" i="196"/>
  <c r="DX37" i="196"/>
  <c r="EK37" i="196"/>
  <c r="EB38" i="196"/>
  <c r="EA38" i="196"/>
  <c r="FU38" i="196"/>
  <c r="AH39" i="196"/>
  <c r="AG39" i="196"/>
  <c r="AW39" i="196"/>
  <c r="AK39" i="196" s="1"/>
  <c r="AJ39" i="196" s="1"/>
  <c r="AF39" i="196"/>
  <c r="AF41" i="196" s="1"/>
  <c r="AA17" i="196" s="1"/>
  <c r="AE39" i="196"/>
  <c r="AE41" i="196" s="1"/>
  <c r="AA16" i="196" s="1"/>
  <c r="FP39" i="196"/>
  <c r="DZ39" i="196"/>
  <c r="EC40" i="196"/>
  <c r="EB40" i="196"/>
  <c r="EA40" i="196"/>
  <c r="H40" i="196"/>
  <c r="G40" i="196"/>
  <c r="FU40" i="196"/>
  <c r="DO69" i="196"/>
  <c r="HY14" i="197"/>
  <c r="HQ14" i="197"/>
  <c r="HI14" i="197"/>
  <c r="IF14" i="197"/>
  <c r="HX14" i="197"/>
  <c r="HP14" i="197"/>
  <c r="HH14" i="197"/>
  <c r="IE14" i="197"/>
  <c r="HW14" i="197"/>
  <c r="HO14" i="197"/>
  <c r="HG14" i="197"/>
  <c r="HJ14" i="197"/>
  <c r="HU14" i="197"/>
  <c r="EX19" i="197"/>
  <c r="FT20" i="197"/>
  <c r="CE20" i="197"/>
  <c r="AO21" i="197"/>
  <c r="AN21" i="197"/>
  <c r="AM21" i="197"/>
  <c r="EY21" i="197"/>
  <c r="EX22" i="197"/>
  <c r="G24" i="197"/>
  <c r="FS24" i="197"/>
  <c r="CD24" i="197"/>
  <c r="AD25" i="197"/>
  <c r="AU26" i="197"/>
  <c r="EB26" i="197"/>
  <c r="EA26" i="197"/>
  <c r="FQ26" i="197"/>
  <c r="EF27" i="197"/>
  <c r="EG27" i="197"/>
  <c r="FT27" i="197"/>
  <c r="EU28" i="197"/>
  <c r="AJ29" i="197"/>
  <c r="AO29" i="197"/>
  <c r="AN29" i="197"/>
  <c r="AM29" i="197"/>
  <c r="EB29" i="197"/>
  <c r="FN29" i="197"/>
  <c r="EC29" i="197"/>
  <c r="EA29" i="197"/>
  <c r="H31" i="197"/>
  <c r="AQ31" i="197" s="1"/>
  <c r="G31" i="197"/>
  <c r="F31" i="197"/>
  <c r="EE31" i="197"/>
  <c r="EX32" i="197"/>
  <c r="EY32" i="197"/>
  <c r="FQ32" i="197"/>
  <c r="EL32" i="197"/>
  <c r="AL33" i="197"/>
  <c r="EJ33" i="197"/>
  <c r="FP34" i="197"/>
  <c r="EE35" i="197"/>
  <c r="AQ36" i="197"/>
  <c r="AR36" i="197" s="1"/>
  <c r="FT37" i="197"/>
  <c r="CE37" i="197"/>
  <c r="EB40" i="197"/>
  <c r="EA40" i="197"/>
  <c r="FN40" i="197"/>
  <c r="ED40" i="197"/>
  <c r="EC40" i="197"/>
  <c r="FP40" i="197" s="1"/>
  <c r="DP40" i="197"/>
  <c r="FB41" i="197"/>
  <c r="FA41" i="197"/>
  <c r="FP41" i="197"/>
  <c r="DZ41" i="197"/>
  <c r="H42" i="197"/>
  <c r="G42" i="197"/>
  <c r="F42" i="197"/>
  <c r="GL44" i="197"/>
  <c r="AO44" i="197"/>
  <c r="AN44" i="197"/>
  <c r="AM44" i="197"/>
  <c r="AJ44" i="197"/>
  <c r="FB44" i="197"/>
  <c r="FS45" i="197"/>
  <c r="FE45" i="197"/>
  <c r="FF45" i="197" s="1"/>
  <c r="FG45" i="197" s="1"/>
  <c r="Y45" i="197" s="1"/>
  <c r="AS16" i="198"/>
  <c r="AJ16" i="198"/>
  <c r="AQ16" i="198"/>
  <c r="ER16" i="198"/>
  <c r="EY18" i="198"/>
  <c r="EX18" i="198"/>
  <c r="AL19" i="198"/>
  <c r="AS19" i="198"/>
  <c r="AJ19" i="198"/>
  <c r="AO19" i="198"/>
  <c r="AN19" i="198"/>
  <c r="AM19" i="198"/>
  <c r="EN20" i="198"/>
  <c r="EM20" i="198"/>
  <c r="EN21" i="198"/>
  <c r="DP22" i="198"/>
  <c r="EX23" i="198"/>
  <c r="EY23" i="198"/>
  <c r="AL25" i="198"/>
  <c r="AS25" i="198"/>
  <c r="AT25" i="198" s="1"/>
  <c r="AJ25" i="198"/>
  <c r="AN25" i="198"/>
  <c r="AM25" i="198"/>
  <c r="EE25" i="198"/>
  <c r="AO26" i="198"/>
  <c r="AN26" i="198"/>
  <c r="AQ26" i="198"/>
  <c r="AM26" i="198"/>
  <c r="AL26" i="198"/>
  <c r="AP26" i="198" s="1"/>
  <c r="EY28" i="198"/>
  <c r="EX28" i="198"/>
  <c r="FO28" i="198"/>
  <c r="AL29" i="198"/>
  <c r="AS29" i="198"/>
  <c r="AJ29" i="198"/>
  <c r="AO29" i="198"/>
  <c r="AN29" i="198"/>
  <c r="AM29" i="198"/>
  <c r="EN30" i="198"/>
  <c r="EM30" i="198"/>
  <c r="FM32" i="198"/>
  <c r="FV32" i="198"/>
  <c r="FP33" i="198"/>
  <c r="EY35" i="198"/>
  <c r="EX35" i="198"/>
  <c r="EM35" i="198"/>
  <c r="EN35" i="198"/>
  <c r="FQ35" i="198"/>
  <c r="AS36" i="198"/>
  <c r="AT36" i="198" s="1"/>
  <c r="DX36" i="198"/>
  <c r="DP36" i="198"/>
  <c r="DW36" i="198"/>
  <c r="FO36" i="198" s="1"/>
  <c r="DV36" i="198"/>
  <c r="FN36" i="198"/>
  <c r="EP38" i="198"/>
  <c r="DT39" i="198"/>
  <c r="AU40" i="198"/>
  <c r="AP40" i="198"/>
  <c r="AG42" i="198"/>
  <c r="AW42" i="198"/>
  <c r="AF42" i="198"/>
  <c r="AV42" i="198"/>
  <c r="AK42" i="198" s="1"/>
  <c r="AJ42" i="198" s="1"/>
  <c r="AE42" i="198"/>
  <c r="EN42" i="198"/>
  <c r="EM42" i="198"/>
  <c r="EN43" i="198"/>
  <c r="EM43" i="198"/>
  <c r="FT43" i="198"/>
  <c r="E44" i="198"/>
  <c r="D44" i="198"/>
  <c r="GK44" i="198" s="1"/>
  <c r="EU45" i="198"/>
  <c r="ES45" i="198"/>
  <c r="CS45" i="198"/>
  <c r="AZ45" i="198"/>
  <c r="DQ45" i="198"/>
  <c r="L45" i="198" s="1"/>
  <c r="FB45" i="198"/>
  <c r="HY14" i="199"/>
  <c r="HQ14" i="199"/>
  <c r="HI14" i="199"/>
  <c r="IF14" i="199"/>
  <c r="HX14" i="199"/>
  <c r="HP14" i="199"/>
  <c r="HH14" i="199"/>
  <c r="IE14" i="199"/>
  <c r="HW14" i="199"/>
  <c r="HO14" i="199"/>
  <c r="HG14" i="199"/>
  <c r="IA14" i="199"/>
  <c r="HM14" i="199"/>
  <c r="HZ14" i="199"/>
  <c r="HL14" i="199"/>
  <c r="HV14" i="199"/>
  <c r="HK14" i="199"/>
  <c r="HR14" i="199"/>
  <c r="EG16" i="199"/>
  <c r="EF16" i="199"/>
  <c r="FS18" i="199"/>
  <c r="CD18" i="199"/>
  <c r="FJ18" i="199"/>
  <c r="FK18" i="199" s="1"/>
  <c r="FL18" i="199" s="1"/>
  <c r="Z18" i="199" s="1"/>
  <c r="FE18" i="199"/>
  <c r="FF18" i="199" s="1"/>
  <c r="FG18" i="199" s="1"/>
  <c r="Y18" i="199" s="1"/>
  <c r="FN18" i="199"/>
  <c r="EQ18" i="199"/>
  <c r="AM19" i="199"/>
  <c r="AL19" i="199"/>
  <c r="AU19" i="199" s="1"/>
  <c r="AS19" i="199"/>
  <c r="AO19" i="199"/>
  <c r="AN19" i="199"/>
  <c r="FH19" i="199"/>
  <c r="AP20" i="199"/>
  <c r="EK20" i="199"/>
  <c r="EV20" i="199" s="1"/>
  <c r="AP22" i="199"/>
  <c r="EH28" i="199"/>
  <c r="EB31" i="199"/>
  <c r="EA31" i="199"/>
  <c r="FN31" i="199"/>
  <c r="ED31" i="199"/>
  <c r="EC31" i="199"/>
  <c r="DP31" i="199"/>
  <c r="EC32" i="199"/>
  <c r="FP32" i="199" s="1"/>
  <c r="EB32" i="199"/>
  <c r="EA32" i="199"/>
  <c r="FN32" i="199"/>
  <c r="ED32" i="199"/>
  <c r="ER39" i="199"/>
  <c r="CI39" i="199" s="1"/>
  <c r="EN40" i="199"/>
  <c r="EM40" i="199"/>
  <c r="EG44" i="199"/>
  <c r="EF44" i="199"/>
  <c r="GF57" i="199"/>
  <c r="AX57" i="199"/>
  <c r="HI14" i="200"/>
  <c r="AQ16" i="200"/>
  <c r="AO16" i="200"/>
  <c r="AN16" i="200"/>
  <c r="FN16" i="200"/>
  <c r="FQ16" i="200"/>
  <c r="DP16" i="200"/>
  <c r="DX16" i="200"/>
  <c r="AJ17" i="200"/>
  <c r="AQ17" i="200"/>
  <c r="AR17" i="200" s="1"/>
  <c r="AO17" i="200"/>
  <c r="AN17" i="200"/>
  <c r="FA17" i="200"/>
  <c r="FB17" i="200"/>
  <c r="FR17" i="200"/>
  <c r="DZ17" i="200"/>
  <c r="FG18" i="200"/>
  <c r="Y18" i="200" s="1"/>
  <c r="CR18" i="200"/>
  <c r="DQ18" i="200"/>
  <c r="CD23" i="200"/>
  <c r="FS23" i="200"/>
  <c r="FJ23" i="200"/>
  <c r="FK23" i="200" s="1"/>
  <c r="FL23" i="200" s="1"/>
  <c r="Z23" i="200" s="1"/>
  <c r="FE23" i="200"/>
  <c r="FF23" i="200" s="1"/>
  <c r="FG23" i="200" s="1"/>
  <c r="AM24" i="200"/>
  <c r="AP24" i="200" s="1"/>
  <c r="AL24" i="200"/>
  <c r="AS24" i="200"/>
  <c r="AO24" i="200"/>
  <c r="AN24" i="200"/>
  <c r="EM26" i="200"/>
  <c r="FS27" i="200"/>
  <c r="FQ28" i="200"/>
  <c r="EN31" i="200"/>
  <c r="EM31" i="200"/>
  <c r="J34" i="200"/>
  <c r="I34" i="200"/>
  <c r="AZ34" i="200" s="1"/>
  <c r="K34" i="200"/>
  <c r="DT41" i="200"/>
  <c r="FA43" i="200"/>
  <c r="FR43" i="200"/>
  <c r="DZ43" i="200"/>
  <c r="FS44" i="200"/>
  <c r="CD44" i="200"/>
  <c r="FJ44" i="200"/>
  <c r="FK44" i="200" s="1"/>
  <c r="FL44" i="200" s="1"/>
  <c r="Z44" i="200" s="1"/>
  <c r="FE44" i="200"/>
  <c r="FF44" i="200" s="1"/>
  <c r="FG44" i="200" s="1"/>
  <c r="Y44" i="200" s="1"/>
  <c r="FN44" i="200"/>
  <c r="FB17" i="201"/>
  <c r="FA17" i="201"/>
  <c r="FR17" i="201"/>
  <c r="FP17" i="201"/>
  <c r="FR20" i="201"/>
  <c r="FB20" i="201"/>
  <c r="FA20" i="201"/>
  <c r="DZ20" i="201"/>
  <c r="AJ24" i="201"/>
  <c r="AQ24" i="201"/>
  <c r="AR24" i="201" s="1"/>
  <c r="AM24" i="201"/>
  <c r="AL24" i="201"/>
  <c r="AS24" i="201"/>
  <c r="AT24" i="201" s="1"/>
  <c r="AO24" i="201"/>
  <c r="EK24" i="201"/>
  <c r="EF24" i="201"/>
  <c r="EG32" i="201"/>
  <c r="EF32" i="201"/>
  <c r="AN35" i="201"/>
  <c r="FH36" i="201"/>
  <c r="FU36" i="201"/>
  <c r="EA36" i="201"/>
  <c r="ED36" i="201"/>
  <c r="FB38" i="201"/>
  <c r="AN40" i="201"/>
  <c r="AM40" i="201"/>
  <c r="AL40" i="201"/>
  <c r="AP40" i="201" s="1"/>
  <c r="AS40" i="201"/>
  <c r="AQ40" i="201"/>
  <c r="AO40" i="201"/>
  <c r="EF40" i="201"/>
  <c r="EG40" i="201"/>
  <c r="EN42" i="201"/>
  <c r="EM42" i="201"/>
  <c r="CI45" i="201"/>
  <c r="FP16" i="202"/>
  <c r="FH17" i="202"/>
  <c r="FU17" i="202"/>
  <c r="EC17" i="202"/>
  <c r="EB17" i="202"/>
  <c r="EA17" i="202"/>
  <c r="FV19" i="202"/>
  <c r="FM19" i="202"/>
  <c r="CD24" i="202"/>
  <c r="FS24" i="202"/>
  <c r="FJ24" i="202"/>
  <c r="FK24" i="202" s="1"/>
  <c r="FL24" i="202" s="1"/>
  <c r="Z24" i="202" s="1"/>
  <c r="FE24" i="202"/>
  <c r="FF24" i="202" s="1"/>
  <c r="FG24" i="202" s="1"/>
  <c r="Y24" i="202" s="1"/>
  <c r="N28" i="202"/>
  <c r="O28" i="202"/>
  <c r="EN29" i="202"/>
  <c r="EM29" i="202"/>
  <c r="FN30" i="202"/>
  <c r="DX30" i="202"/>
  <c r="DW30" i="202"/>
  <c r="FO30" i="202" s="1"/>
  <c r="DP30" i="202"/>
  <c r="DV30" i="202"/>
  <c r="DU30" i="202"/>
  <c r="FQ30" i="202"/>
  <c r="AQ33" i="202"/>
  <c r="AR33" i="202" s="1"/>
  <c r="AO33" i="202"/>
  <c r="AL33" i="202"/>
  <c r="AJ33" i="202"/>
  <c r="AN33" i="202"/>
  <c r="AM33" i="202"/>
  <c r="AU36" i="202"/>
  <c r="EI36" i="202" s="1"/>
  <c r="AZ37" i="202"/>
  <c r="FA37" i="202"/>
  <c r="FR37" i="202"/>
  <c r="FB37" i="202"/>
  <c r="DZ37" i="202"/>
  <c r="FP37" i="202"/>
  <c r="EN26" i="203"/>
  <c r="EM26" i="203"/>
  <c r="AJ29" i="203"/>
  <c r="AQ29" i="203"/>
  <c r="AS29" i="203"/>
  <c r="AO29" i="203"/>
  <c r="AL29" i="203"/>
  <c r="AN29" i="203"/>
  <c r="FM44" i="203"/>
  <c r="AQ45" i="203"/>
  <c r="AO45" i="203"/>
  <c r="AN45" i="203"/>
  <c r="AM45" i="203"/>
  <c r="AL45" i="203"/>
  <c r="FQ32" i="204"/>
  <c r="EY32" i="204"/>
  <c r="EX32" i="204"/>
  <c r="DT32" i="204"/>
  <c r="FO32" i="204"/>
  <c r="EM32" i="204"/>
  <c r="EN32" i="204"/>
  <c r="K17" i="205"/>
  <c r="AS17" i="205" s="1"/>
  <c r="AT17" i="205" s="1"/>
  <c r="J17" i="205"/>
  <c r="I17" i="205"/>
  <c r="EM18" i="205"/>
  <c r="EN18" i="205"/>
  <c r="FP19" i="205"/>
  <c r="AU26" i="205"/>
  <c r="AZ26" i="205"/>
  <c r="CZ54" i="193"/>
  <c r="GC54" i="193"/>
  <c r="GC55" i="193" s="1"/>
  <c r="GC56" i="193" s="1"/>
  <c r="GC57" i="193" s="1"/>
  <c r="GC58" i="193" s="1"/>
  <c r="GC59" i="193" s="1"/>
  <c r="GC60" i="193" s="1"/>
  <c r="GC61" i="193" s="1"/>
  <c r="GC62" i="193" s="1"/>
  <c r="GC63" i="193" s="1"/>
  <c r="GC64" i="193" s="1"/>
  <c r="GC65" i="193" s="1"/>
  <c r="GC66" i="193" s="1"/>
  <c r="GC67" i="193" s="1"/>
  <c r="GC68" i="193" s="1"/>
  <c r="GC69" i="193" s="1"/>
  <c r="GC70" i="193" s="1"/>
  <c r="GC71" i="193" s="1"/>
  <c r="GC72" i="193" s="1"/>
  <c r="GC73" i="193" s="1"/>
  <c r="GC74" i="193" s="1"/>
  <c r="GC75" i="193" s="1"/>
  <c r="GC76" i="193" s="1"/>
  <c r="GC77" i="193" s="1"/>
  <c r="GC78" i="193" s="1"/>
  <c r="GC79" i="193" s="1"/>
  <c r="GC80" i="193" s="1"/>
  <c r="GC81" i="193" s="1"/>
  <c r="GC82" i="193" s="1"/>
  <c r="GC83" i="193" s="1"/>
  <c r="GC84" i="193" s="1"/>
  <c r="GC85" i="193" s="1"/>
  <c r="EV71" i="193"/>
  <c r="CW75" i="193"/>
  <c r="M35" i="193" s="1"/>
  <c r="ET80" i="193"/>
  <c r="CX80" i="193"/>
  <c r="N40" i="193" s="1"/>
  <c r="CW80" i="193"/>
  <c r="M40" i="193" s="1"/>
  <c r="EL81" i="193"/>
  <c r="EM81" i="193" s="1"/>
  <c r="EN81" i="193" s="1"/>
  <c r="X41" i="193" s="1"/>
  <c r="EQ85" i="193"/>
  <c r="ER85" i="193" s="1"/>
  <c r="ES85" i="193" s="1"/>
  <c r="Y45" i="193" s="1"/>
  <c r="HD21" i="196"/>
  <c r="HS21" i="196"/>
  <c r="ID21" i="196"/>
  <c r="DX23" i="196"/>
  <c r="DP23" i="196"/>
  <c r="DW23" i="196"/>
  <c r="FO23" i="196" s="1"/>
  <c r="DV23" i="196"/>
  <c r="DU23" i="196"/>
  <c r="AQ24" i="196"/>
  <c r="AL26" i="196"/>
  <c r="DW28" i="196"/>
  <c r="FO28" i="196" s="1"/>
  <c r="DV28" i="196"/>
  <c r="DU28" i="196"/>
  <c r="CK29" i="196"/>
  <c r="EC29" i="196"/>
  <c r="FN30" i="196"/>
  <c r="AJ31" i="196"/>
  <c r="AQ31" i="196"/>
  <c r="DT31" i="196"/>
  <c r="AN32" i="196"/>
  <c r="K33" i="196"/>
  <c r="EG34" i="196"/>
  <c r="AL35" i="196"/>
  <c r="EG35" i="196"/>
  <c r="EF35" i="196"/>
  <c r="CD36" i="196"/>
  <c r="FH36" i="196"/>
  <c r="EK39" i="196"/>
  <c r="EV39" i="196" s="1"/>
  <c r="CD40" i="196"/>
  <c r="FJ40" i="196"/>
  <c r="FK40" i="196" s="1"/>
  <c r="FL40" i="196" s="1"/>
  <c r="Z40" i="196" s="1"/>
  <c r="FP40" i="196"/>
  <c r="HK14" i="197"/>
  <c r="HV14" i="197"/>
  <c r="AD16" i="197"/>
  <c r="DP16" i="197"/>
  <c r="EE16" i="197"/>
  <c r="EC17" i="197"/>
  <c r="FP17" i="197" s="1"/>
  <c r="EB17" i="197"/>
  <c r="EA17" i="197"/>
  <c r="G17" i="197"/>
  <c r="F17" i="197"/>
  <c r="FU17" i="197"/>
  <c r="CE18" i="197"/>
  <c r="EG20" i="197"/>
  <c r="AL21" i="197"/>
  <c r="AP21" i="197" s="1"/>
  <c r="EG21" i="197"/>
  <c r="EF21" i="197"/>
  <c r="FR23" i="197"/>
  <c r="EG25" i="197"/>
  <c r="EF25" i="197"/>
  <c r="CE25" i="197"/>
  <c r="FT25" i="197"/>
  <c r="AM26" i="197"/>
  <c r="AO26" i="197"/>
  <c r="AN26" i="197"/>
  <c r="AL26" i="197"/>
  <c r="AP26" i="197" s="1"/>
  <c r="EC26" i="197"/>
  <c r="FP26" i="197" s="1"/>
  <c r="AP28" i="197"/>
  <c r="AZ28" i="197"/>
  <c r="AL29" i="197"/>
  <c r="ED29" i="197"/>
  <c r="FQ30" i="197"/>
  <c r="EY30" i="197"/>
  <c r="FN32" i="197"/>
  <c r="DW32" i="197"/>
  <c r="FO32" i="197" s="1"/>
  <c r="DP32" i="197"/>
  <c r="DX32" i="197"/>
  <c r="AM33" i="197"/>
  <c r="EL33" i="197"/>
  <c r="AD38" i="197"/>
  <c r="DT38" i="197"/>
  <c r="FS40" i="197"/>
  <c r="EA41" i="197"/>
  <c r="ED41" i="197"/>
  <c r="EC41" i="197"/>
  <c r="EB41" i="197"/>
  <c r="EC42" i="197"/>
  <c r="FP42" i="197" s="1"/>
  <c r="EB42" i="197"/>
  <c r="EA42" i="197"/>
  <c r="FN42" i="197"/>
  <c r="AL44" i="197"/>
  <c r="GB44" i="197"/>
  <c r="AL54" i="197"/>
  <c r="AY43" i="198"/>
  <c r="AY30" i="198"/>
  <c r="AY24" i="198"/>
  <c r="AY22" i="198"/>
  <c r="AY20" i="198"/>
  <c r="AY16" i="198"/>
  <c r="AY26" i="198"/>
  <c r="AY25" i="198"/>
  <c r="AY42" i="198"/>
  <c r="AY35" i="198"/>
  <c r="AY32" i="198"/>
  <c r="AY29" i="198"/>
  <c r="AY19" i="198"/>
  <c r="AY40" i="198"/>
  <c r="AY36" i="198"/>
  <c r="EM16" i="198"/>
  <c r="FN18" i="198"/>
  <c r="DX18" i="198"/>
  <c r="DP18" i="198"/>
  <c r="DW18" i="198"/>
  <c r="FO18" i="198" s="1"/>
  <c r="AL20" i="198"/>
  <c r="CK22" i="198"/>
  <c r="AS24" i="198"/>
  <c r="AJ24" i="198"/>
  <c r="AQ24" i="198"/>
  <c r="AN24" i="198"/>
  <c r="AM24" i="198"/>
  <c r="AL24" i="198"/>
  <c r="FN28" i="198"/>
  <c r="DX28" i="198"/>
  <c r="DP28" i="198"/>
  <c r="DW28" i="198"/>
  <c r="AL30" i="198"/>
  <c r="EE31" i="198"/>
  <c r="FT32" i="198"/>
  <c r="CE32" i="198"/>
  <c r="CE34" i="198"/>
  <c r="FV34" i="198"/>
  <c r="DW35" i="198"/>
  <c r="FO35" i="198" s="1"/>
  <c r="DV35" i="198"/>
  <c r="DU35" i="198"/>
  <c r="DX35" i="198"/>
  <c r="FB36" i="198"/>
  <c r="FA36" i="198"/>
  <c r="DZ36" i="198"/>
  <c r="AD37" i="198"/>
  <c r="DZ38" i="198"/>
  <c r="GM38" i="198"/>
  <c r="AO40" i="198"/>
  <c r="AN40" i="198"/>
  <c r="AM40" i="198"/>
  <c r="FH40" i="198"/>
  <c r="EN41" i="198"/>
  <c r="EM41" i="198"/>
  <c r="AD42" i="198"/>
  <c r="EY42" i="198"/>
  <c r="EX42" i="198"/>
  <c r="FQ42" i="198"/>
  <c r="FO42" i="198"/>
  <c r="DT42" i="198"/>
  <c r="F44" i="198"/>
  <c r="CK44" i="198"/>
  <c r="FV44" i="198"/>
  <c r="AN45" i="198"/>
  <c r="AM45" i="198"/>
  <c r="AL45" i="198"/>
  <c r="AP45" i="198" s="1"/>
  <c r="AS45" i="198"/>
  <c r="FT45" i="198"/>
  <c r="CE45" i="198"/>
  <c r="ET45" i="198" s="1"/>
  <c r="DR45" i="198"/>
  <c r="M45" i="198" s="1"/>
  <c r="AK49" i="198"/>
  <c r="AY57" i="198"/>
  <c r="HS14" i="199"/>
  <c r="EC17" i="199"/>
  <c r="FP17" i="199" s="1"/>
  <c r="EB17" i="199"/>
  <c r="EA17" i="199"/>
  <c r="FN17" i="199"/>
  <c r="ED17" i="199"/>
  <c r="DP17" i="199"/>
  <c r="ER18" i="199"/>
  <c r="AD19" i="199"/>
  <c r="AO20" i="199"/>
  <c r="AN20" i="199"/>
  <c r="AM20" i="199"/>
  <c r="AL20" i="199"/>
  <c r="AU20" i="199" s="1"/>
  <c r="EF20" i="199"/>
  <c r="AO21" i="199"/>
  <c r="CK21" i="199"/>
  <c r="CK26" i="199"/>
  <c r="EV26" i="199"/>
  <c r="EB27" i="199"/>
  <c r="EA27" i="199"/>
  <c r="FN27" i="199"/>
  <c r="ED27" i="199"/>
  <c r="EC27" i="199"/>
  <c r="DP27" i="199"/>
  <c r="FV28" i="199"/>
  <c r="FM28" i="199"/>
  <c r="DP28" i="199"/>
  <c r="EJ28" i="199"/>
  <c r="CH28" i="199" s="1"/>
  <c r="EI30" i="199"/>
  <c r="EK30" i="199"/>
  <c r="EV30" i="199" s="1"/>
  <c r="CJ30" i="199" s="1"/>
  <c r="CD32" i="199"/>
  <c r="FS32" i="199"/>
  <c r="FJ32" i="199"/>
  <c r="FK32" i="199" s="1"/>
  <c r="FL32" i="199" s="1"/>
  <c r="Z32" i="199" s="1"/>
  <c r="G33" i="199"/>
  <c r="F33" i="199"/>
  <c r="F34" i="199"/>
  <c r="H34" i="199"/>
  <c r="AQ34" i="199" s="1"/>
  <c r="AU35" i="199"/>
  <c r="EY37" i="199"/>
  <c r="EX37" i="199"/>
  <c r="FQ37" i="199"/>
  <c r="FO37" i="199"/>
  <c r="AJ40" i="199"/>
  <c r="AQ40" i="199"/>
  <c r="AO40" i="199"/>
  <c r="CK41" i="199"/>
  <c r="FQ42" i="199"/>
  <c r="EY42" i="199"/>
  <c r="DT42" i="199"/>
  <c r="FO42" i="199"/>
  <c r="EX42" i="199"/>
  <c r="FO43" i="199"/>
  <c r="HV14" i="200"/>
  <c r="AL16" i="200"/>
  <c r="AP16" i="200" s="1"/>
  <c r="FQ20" i="200"/>
  <c r="FT25" i="200"/>
  <c r="CE25" i="200"/>
  <c r="ET25" i="200" s="1"/>
  <c r="EY26" i="200"/>
  <c r="EX26" i="200"/>
  <c r="FQ26" i="200"/>
  <c r="FO26" i="200"/>
  <c r="AK28" i="200"/>
  <c r="FA30" i="200"/>
  <c r="FB30" i="200"/>
  <c r="FR30" i="200"/>
  <c r="FP30" i="200"/>
  <c r="DZ30" i="200"/>
  <c r="K35" i="200"/>
  <c r="AS35" i="200" s="1"/>
  <c r="J35" i="200"/>
  <c r="I35" i="200"/>
  <c r="AU37" i="200"/>
  <c r="AZ37" i="200"/>
  <c r="AO38" i="200"/>
  <c r="AN38" i="200"/>
  <c r="AS38" i="200"/>
  <c r="AM38" i="200"/>
  <c r="AL38" i="200"/>
  <c r="AU38" i="200" s="1"/>
  <c r="FU38" i="200"/>
  <c r="FH38" i="200"/>
  <c r="ED38" i="200"/>
  <c r="EC38" i="200"/>
  <c r="FP38" i="200" s="1"/>
  <c r="EB38" i="200"/>
  <c r="EA38" i="200"/>
  <c r="EX40" i="200"/>
  <c r="EY40" i="200"/>
  <c r="FQ40" i="200"/>
  <c r="FO40" i="200"/>
  <c r="DT40" i="200"/>
  <c r="EG42" i="200"/>
  <c r="EF42" i="200"/>
  <c r="EB43" i="200"/>
  <c r="EA43" i="200"/>
  <c r="FN43" i="200"/>
  <c r="ED43" i="200"/>
  <c r="DP43" i="200"/>
  <c r="EC43" i="200"/>
  <c r="FP43" i="200" s="1"/>
  <c r="FT45" i="200"/>
  <c r="ET45" i="200"/>
  <c r="CE45" i="200"/>
  <c r="HJ14" i="201"/>
  <c r="FN18" i="201"/>
  <c r="DX18" i="201"/>
  <c r="DP18" i="201"/>
  <c r="DW18" i="201"/>
  <c r="FO18" i="201" s="1"/>
  <c r="DU18" i="201"/>
  <c r="DV18" i="201"/>
  <c r="EG18" i="201"/>
  <c r="EF18" i="201"/>
  <c r="FH20" i="201"/>
  <c r="FU20" i="201"/>
  <c r="EA20" i="201"/>
  <c r="ED20" i="201"/>
  <c r="EC20" i="201"/>
  <c r="FP20" i="201" s="1"/>
  <c r="EB20" i="201"/>
  <c r="FT21" i="201"/>
  <c r="AD24" i="201"/>
  <c r="ER30" i="201"/>
  <c r="FM32" i="201"/>
  <c r="AN34" i="201"/>
  <c r="AM34" i="201"/>
  <c r="AL34" i="201"/>
  <c r="AJ34" i="201"/>
  <c r="AS34" i="201"/>
  <c r="EQ35" i="201"/>
  <c r="CI35" i="201" s="1"/>
  <c r="FS36" i="201"/>
  <c r="CD36" i="201"/>
  <c r="EB36" i="201"/>
  <c r="EQ38" i="201"/>
  <c r="FB42" i="201"/>
  <c r="FA42" i="201"/>
  <c r="AH43" i="201"/>
  <c r="AG43" i="201"/>
  <c r="AW43" i="201"/>
  <c r="AK43" i="201" s="1"/>
  <c r="AF43" i="201"/>
  <c r="EY45" i="201"/>
  <c r="EX45" i="201"/>
  <c r="DT45" i="201"/>
  <c r="FO45" i="201"/>
  <c r="AZ16" i="202"/>
  <c r="EF16" i="202"/>
  <c r="EG16" i="202"/>
  <c r="AD17" i="202"/>
  <c r="FS17" i="202"/>
  <c r="CD17" i="202"/>
  <c r="FJ17" i="202"/>
  <c r="FK17" i="202" s="1"/>
  <c r="FL17" i="202" s="1"/>
  <c r="Z17" i="202" s="1"/>
  <c r="AD21" i="202"/>
  <c r="FQ21" i="202"/>
  <c r="EX21" i="202"/>
  <c r="DT21" i="202"/>
  <c r="FO21" i="202"/>
  <c r="EN21" i="202"/>
  <c r="EM21" i="202"/>
  <c r="AD32" i="202"/>
  <c r="EG34" i="202"/>
  <c r="EF34" i="202"/>
  <c r="CE34" i="202"/>
  <c r="FT34" i="202"/>
  <c r="ES36" i="202"/>
  <c r="J37" i="202"/>
  <c r="GB41" i="202"/>
  <c r="GA41" i="202"/>
  <c r="GD41" i="202"/>
  <c r="GC41" i="202"/>
  <c r="GE41" i="202"/>
  <c r="EG44" i="202"/>
  <c r="EF44" i="202"/>
  <c r="AM29" i="203"/>
  <c r="EG31" i="203"/>
  <c r="EF31" i="203"/>
  <c r="ER32" i="203"/>
  <c r="CI32" i="203" s="1"/>
  <c r="EY36" i="203"/>
  <c r="EX36" i="203"/>
  <c r="FQ36" i="203"/>
  <c r="FO36" i="203"/>
  <c r="EN36" i="203"/>
  <c r="EM36" i="203"/>
  <c r="AU43" i="203"/>
  <c r="AP43" i="203"/>
  <c r="AZ43" i="203"/>
  <c r="EQ30" i="204"/>
  <c r="EK36" i="204"/>
  <c r="FV16" i="205"/>
  <c r="FM16" i="205"/>
  <c r="ER16" i="205"/>
  <c r="AL25" i="205"/>
  <c r="AJ25" i="205"/>
  <c r="AQ25" i="205"/>
  <c r="AR25" i="205" s="1"/>
  <c r="AO25" i="205"/>
  <c r="AN25" i="205"/>
  <c r="AS25" i="205"/>
  <c r="AT25" i="205" s="1"/>
  <c r="AM25" i="205"/>
  <c r="EG25" i="205"/>
  <c r="EF25" i="205"/>
  <c r="CE25" i="205"/>
  <c r="FT25" i="205"/>
  <c r="DB66" i="193"/>
  <c r="EH66" i="193"/>
  <c r="EJ66" i="193" s="1"/>
  <c r="DS66" i="193" s="1"/>
  <c r="CZ67" i="193"/>
  <c r="DB70" i="193"/>
  <c r="EH70" i="193"/>
  <c r="EJ70" i="193" s="1"/>
  <c r="DS70" i="193" s="1"/>
  <c r="CZ71" i="193"/>
  <c r="DB74" i="193"/>
  <c r="EH74" i="193"/>
  <c r="EJ74" i="193" s="1"/>
  <c r="DS74" i="193" s="1"/>
  <c r="CZ75" i="193"/>
  <c r="DB78" i="193"/>
  <c r="EH78" i="193"/>
  <c r="EJ78" i="193" s="1"/>
  <c r="DS78" i="193" s="1"/>
  <c r="CZ79" i="193"/>
  <c r="DB82" i="193"/>
  <c r="EH82" i="193"/>
  <c r="EJ82" i="193" s="1"/>
  <c r="DS82" i="193" s="1"/>
  <c r="CZ83" i="193"/>
  <c r="FM25" i="196"/>
  <c r="FM26" i="196"/>
  <c r="FB28" i="196"/>
  <c r="AY31" i="196"/>
  <c r="FB33" i="196"/>
  <c r="FM36" i="196"/>
  <c r="AY40" i="196"/>
  <c r="FB16" i="197"/>
  <c r="FB19" i="197"/>
  <c r="FB22" i="197"/>
  <c r="AL35" i="197"/>
  <c r="AJ35" i="197"/>
  <c r="DT35" i="197"/>
  <c r="DT36" i="197"/>
  <c r="EN38" i="197"/>
  <c r="EM38" i="197"/>
  <c r="AQ39" i="197"/>
  <c r="AR39" i="197" s="1"/>
  <c r="AO39" i="197"/>
  <c r="FP39" i="197"/>
  <c r="DZ39" i="197"/>
  <c r="GD42" i="197"/>
  <c r="GL42" i="197" s="1"/>
  <c r="GC42" i="197"/>
  <c r="GB42" i="197"/>
  <c r="AM43" i="197"/>
  <c r="AL43" i="197"/>
  <c r="FQ43" i="197"/>
  <c r="DT44" i="197"/>
  <c r="GF45" i="197"/>
  <c r="AO18" i="198"/>
  <c r="AN18" i="198"/>
  <c r="AP18" i="198" s="1"/>
  <c r="DZ18" i="198"/>
  <c r="CD20" i="198"/>
  <c r="FJ20" i="198"/>
  <c r="FK20" i="198" s="1"/>
  <c r="FL20" i="198" s="1"/>
  <c r="Z20" i="198" s="1"/>
  <c r="FS21" i="198"/>
  <c r="CD21" i="198"/>
  <c r="FJ21" i="198"/>
  <c r="FK21" i="198" s="1"/>
  <c r="FL21" i="198" s="1"/>
  <c r="Z21" i="198" s="1"/>
  <c r="DQ23" i="198"/>
  <c r="CR23" i="198"/>
  <c r="EJ82" i="198"/>
  <c r="EL82" i="198" s="1"/>
  <c r="EU23" i="198"/>
  <c r="FN23" i="198"/>
  <c r="DX23" i="198"/>
  <c r="DP23" i="198"/>
  <c r="DW23" i="198"/>
  <c r="FO23" i="198" s="1"/>
  <c r="DV23" i="198"/>
  <c r="ET23" i="198"/>
  <c r="EA26" i="198"/>
  <c r="AO28" i="198"/>
  <c r="AN28" i="198"/>
  <c r="DZ28" i="198"/>
  <c r="CD30" i="198"/>
  <c r="FJ30" i="198"/>
  <c r="FK30" i="198" s="1"/>
  <c r="FL30" i="198" s="1"/>
  <c r="Z30" i="198" s="1"/>
  <c r="FT33" i="198"/>
  <c r="CE33" i="198"/>
  <c r="ET33" i="198" s="1"/>
  <c r="EE36" i="198"/>
  <c r="FS37" i="198"/>
  <c r="CD37" i="198"/>
  <c r="FJ37" i="198"/>
  <c r="FK37" i="198" s="1"/>
  <c r="FL37" i="198" s="1"/>
  <c r="Z37" i="198" s="1"/>
  <c r="H37" i="198"/>
  <c r="AQ37" i="198" s="1"/>
  <c r="AR37" i="198" s="1"/>
  <c r="G37" i="198"/>
  <c r="F37" i="198"/>
  <c r="EN39" i="198"/>
  <c r="EM39" i="198"/>
  <c r="FE41" i="198"/>
  <c r="FF41" i="198" s="1"/>
  <c r="FG41" i="198" s="1"/>
  <c r="Y41" i="198" s="1"/>
  <c r="FE42" i="198"/>
  <c r="FF42" i="198" s="1"/>
  <c r="FG42" i="198" s="1"/>
  <c r="Y42" i="198" s="1"/>
  <c r="EB43" i="198"/>
  <c r="EA43" i="198"/>
  <c r="H43" i="198"/>
  <c r="G43" i="198"/>
  <c r="F43" i="198"/>
  <c r="AE44" i="198"/>
  <c r="CE44" i="198"/>
  <c r="AD16" i="199"/>
  <c r="FT16" i="199"/>
  <c r="CE16" i="199"/>
  <c r="AK18" i="199"/>
  <c r="DT18" i="199"/>
  <c r="FP20" i="199"/>
  <c r="DZ20" i="199"/>
  <c r="EN21" i="199"/>
  <c r="AO22" i="199"/>
  <c r="AN22" i="199"/>
  <c r="AS22" i="199"/>
  <c r="AT22" i="199" s="1"/>
  <c r="EY22" i="199"/>
  <c r="EX22" i="199"/>
  <c r="FQ22" i="199"/>
  <c r="FO22" i="199"/>
  <c r="DT22" i="199"/>
  <c r="EQ23" i="199"/>
  <c r="EC26" i="199"/>
  <c r="FR28" i="199"/>
  <c r="FB28" i="199"/>
  <c r="FP28" i="199"/>
  <c r="DZ28" i="199"/>
  <c r="FE29" i="199"/>
  <c r="FF29" i="199" s="1"/>
  <c r="FG29" i="199" s="1"/>
  <c r="Y29" i="199" s="1"/>
  <c r="FJ29" i="199"/>
  <c r="FK29" i="199" s="1"/>
  <c r="FL29" i="199" s="1"/>
  <c r="Z29" i="199" s="1"/>
  <c r="CK32" i="199"/>
  <c r="EK32" i="199"/>
  <c r="FO34" i="199"/>
  <c r="EQ34" i="199"/>
  <c r="EN34" i="199"/>
  <c r="AQ35" i="199"/>
  <c r="FO35" i="199"/>
  <c r="DZ36" i="199"/>
  <c r="FN37" i="199"/>
  <c r="DX37" i="199"/>
  <c r="DP37" i="199"/>
  <c r="DW37" i="199"/>
  <c r="FS42" i="199"/>
  <c r="CD42" i="199"/>
  <c r="FJ42" i="199"/>
  <c r="FK42" i="199" s="1"/>
  <c r="FL42" i="199" s="1"/>
  <c r="Z42" i="199" s="1"/>
  <c r="FE42" i="199"/>
  <c r="FF42" i="199" s="1"/>
  <c r="FG42" i="199" s="1"/>
  <c r="Y42" i="199" s="1"/>
  <c r="FN42" i="199"/>
  <c r="EG42" i="199"/>
  <c r="AM54" i="200"/>
  <c r="AM52" i="200"/>
  <c r="FB16" i="200"/>
  <c r="FA16" i="200"/>
  <c r="DZ16" i="200"/>
  <c r="EB17" i="200"/>
  <c r="EA17" i="200"/>
  <c r="FN17" i="200"/>
  <c r="ED17" i="200"/>
  <c r="EC17" i="200"/>
  <c r="FP17" i="200" s="1"/>
  <c r="DP17" i="200"/>
  <c r="AD18" i="200"/>
  <c r="EE18" i="200"/>
  <c r="EJ19" i="200"/>
  <c r="EG21" i="200"/>
  <c r="EF21" i="200"/>
  <c r="EA22" i="200"/>
  <c r="ED22" i="200"/>
  <c r="EC22" i="200"/>
  <c r="FP22" i="200" s="1"/>
  <c r="EB22" i="200"/>
  <c r="EG23" i="200"/>
  <c r="EF23" i="200"/>
  <c r="FT23" i="200"/>
  <c r="AZ25" i="200"/>
  <c r="FN27" i="200"/>
  <c r="FQ27" i="200"/>
  <c r="DP27" i="200"/>
  <c r="DX27" i="200"/>
  <c r="K30" i="200"/>
  <c r="J30" i="200"/>
  <c r="EC31" i="200"/>
  <c r="FP31" i="200" s="1"/>
  <c r="EB31" i="200"/>
  <c r="EA31" i="200"/>
  <c r="FN31" i="200"/>
  <c r="ED31" i="200"/>
  <c r="DP31" i="200"/>
  <c r="CK32" i="200"/>
  <c r="I33" i="200"/>
  <c r="K33" i="200"/>
  <c r="J33" i="200"/>
  <c r="FM33" i="200"/>
  <c r="DZ35" i="200"/>
  <c r="DT38" i="200"/>
  <c r="AN41" i="200"/>
  <c r="AM41" i="200"/>
  <c r="AL41" i="200"/>
  <c r="AJ41" i="200"/>
  <c r="AS41" i="200"/>
  <c r="FS43" i="200"/>
  <c r="AV57" i="200"/>
  <c r="AK57" i="200" s="1"/>
  <c r="AJ57" i="200" s="1"/>
  <c r="FJ16" i="201"/>
  <c r="FK16" i="201" s="1"/>
  <c r="FL16" i="201" s="1"/>
  <c r="Z16" i="201" s="1"/>
  <c r="FM16" i="201"/>
  <c r="AO18" i="201"/>
  <c r="AN18" i="201"/>
  <c r="AM18" i="201"/>
  <c r="AP18" i="201" s="1"/>
  <c r="AS18" i="201"/>
  <c r="AT18" i="201" s="1"/>
  <c r="H21" i="201"/>
  <c r="FQ23" i="201"/>
  <c r="EY23" i="201"/>
  <c r="EX23" i="201"/>
  <c r="DT23" i="201"/>
  <c r="EN23" i="201"/>
  <c r="EM23" i="201"/>
  <c r="CE24" i="201"/>
  <c r="CK24" i="201"/>
  <c r="FM24" i="201"/>
  <c r="EC25" i="201"/>
  <c r="EB25" i="201"/>
  <c r="EA25" i="201"/>
  <c r="FQ26" i="201"/>
  <c r="EX26" i="201"/>
  <c r="DT26" i="201"/>
  <c r="FO26" i="201"/>
  <c r="DX28" i="201"/>
  <c r="DP28" i="201"/>
  <c r="DW28" i="201"/>
  <c r="FO28" i="201" s="1"/>
  <c r="DV28" i="201"/>
  <c r="FN28" i="201"/>
  <c r="AJ30" i="201"/>
  <c r="AQ30" i="201"/>
  <c r="AR30" i="201" s="1"/>
  <c r="AM30" i="201"/>
  <c r="AL30" i="201"/>
  <c r="FN31" i="201"/>
  <c r="DX31" i="201"/>
  <c r="DP31" i="201"/>
  <c r="DU31" i="201"/>
  <c r="AD34" i="201"/>
  <c r="FS35" i="201"/>
  <c r="GM40" i="201"/>
  <c r="FT41" i="201"/>
  <c r="CE41" i="201"/>
  <c r="EX41" i="201"/>
  <c r="AO42" i="201"/>
  <c r="AN42" i="201"/>
  <c r="AM42" i="201"/>
  <c r="AP42" i="201" s="1"/>
  <c r="FB43" i="201"/>
  <c r="FA43" i="201"/>
  <c r="DZ43" i="201"/>
  <c r="FT44" i="201"/>
  <c r="EE45" i="201"/>
  <c r="AS18" i="202"/>
  <c r="AL18" i="202"/>
  <c r="AO18" i="202"/>
  <c r="AN18" i="202"/>
  <c r="AJ18" i="202"/>
  <c r="EJ78" i="202"/>
  <c r="EL78" i="202" s="1"/>
  <c r="DQ19" i="202"/>
  <c r="CR19" i="202"/>
  <c r="CS19" i="202"/>
  <c r="DR19" i="202"/>
  <c r="ET19" i="202"/>
  <c r="AN20" i="202"/>
  <c r="AM20" i="202"/>
  <c r="AS20" i="202"/>
  <c r="AT20" i="202" s="1"/>
  <c r="EN20" i="202"/>
  <c r="EM20" i="202"/>
  <c r="EQ25" i="202"/>
  <c r="AD26" i="202"/>
  <c r="FM26" i="202"/>
  <c r="FV26" i="202"/>
  <c r="K28" i="202"/>
  <c r="AS28" i="202" s="1"/>
  <c r="J28" i="202"/>
  <c r="I28" i="202"/>
  <c r="FL28" i="202"/>
  <c r="Z28" i="202" s="1"/>
  <c r="CS28" i="202"/>
  <c r="EY29" i="202"/>
  <c r="EX29" i="202"/>
  <c r="FQ29" i="202"/>
  <c r="FO29" i="202"/>
  <c r="DT29" i="202"/>
  <c r="CK31" i="202"/>
  <c r="AS32" i="202"/>
  <c r="AJ32" i="202"/>
  <c r="AQ32" i="202"/>
  <c r="AN32" i="202"/>
  <c r="AM32" i="202"/>
  <c r="AL32" i="202"/>
  <c r="AO32" i="202"/>
  <c r="EK32" i="202"/>
  <c r="FA34" i="202"/>
  <c r="FB34" i="202"/>
  <c r="FR34" i="202"/>
  <c r="DZ34" i="202"/>
  <c r="FH39" i="202"/>
  <c r="FU39" i="202"/>
  <c r="EA39" i="202"/>
  <c r="EB39" i="202"/>
  <c r="ED39" i="202"/>
  <c r="CD40" i="202"/>
  <c r="FS40" i="202"/>
  <c r="FJ40" i="202"/>
  <c r="FK40" i="202" s="1"/>
  <c r="FL40" i="202" s="1"/>
  <c r="Z40" i="202" s="1"/>
  <c r="FE40" i="202"/>
  <c r="FF40" i="202" s="1"/>
  <c r="FG40" i="202" s="1"/>
  <c r="Y40" i="202" s="1"/>
  <c r="FH41" i="202"/>
  <c r="FU41" i="202"/>
  <c r="EA41" i="202"/>
  <c r="EC41" i="202"/>
  <c r="EB41" i="202"/>
  <c r="FR41" i="202"/>
  <c r="ED41" i="202"/>
  <c r="EG24" i="203"/>
  <c r="EF24" i="203"/>
  <c r="H30" i="203"/>
  <c r="FT39" i="203"/>
  <c r="CE39" i="203"/>
  <c r="ET39" i="203" s="1"/>
  <c r="FO39" i="203"/>
  <c r="FL39" i="203"/>
  <c r="CS39" i="203"/>
  <c r="FN22" i="204"/>
  <c r="DX22" i="204"/>
  <c r="DP22" i="204"/>
  <c r="DW22" i="204"/>
  <c r="FO22" i="204" s="1"/>
  <c r="DV22" i="204"/>
  <c r="DU22" i="204"/>
  <c r="FQ22" i="204"/>
  <c r="EN24" i="204"/>
  <c r="EM24" i="204"/>
  <c r="EJ26" i="204"/>
  <c r="CH26" i="204" s="1"/>
  <c r="FM41" i="204"/>
  <c r="FV41" i="204"/>
  <c r="E41" i="204"/>
  <c r="D41" i="204"/>
  <c r="GK41" i="204" s="1"/>
  <c r="FP37" i="205"/>
  <c r="FA38" i="205"/>
  <c r="FR38" i="205"/>
  <c r="FB38" i="205"/>
  <c r="FP38" i="205"/>
  <c r="DZ38" i="205"/>
  <c r="EJ42" i="205"/>
  <c r="CH42" i="205" s="1"/>
  <c r="DA67" i="193"/>
  <c r="DA71" i="193"/>
  <c r="DA75" i="193"/>
  <c r="DC78" i="193"/>
  <c r="EV78" i="193" s="1"/>
  <c r="DA79" i="193"/>
  <c r="DC82" i="193"/>
  <c r="EV82" i="193" s="1"/>
  <c r="DA83" i="193"/>
  <c r="AD23" i="196"/>
  <c r="FM24" i="196"/>
  <c r="AY30" i="196"/>
  <c r="DU32" i="196"/>
  <c r="FB32" i="196"/>
  <c r="FM35" i="196"/>
  <c r="AY38" i="196"/>
  <c r="FM69" i="196"/>
  <c r="DU18" i="197"/>
  <c r="FB18" i="197"/>
  <c r="FM21" i="197"/>
  <c r="DU24" i="197"/>
  <c r="FB24" i="197"/>
  <c r="FR27" i="197"/>
  <c r="AM28" i="197"/>
  <c r="ET28" i="197"/>
  <c r="CE28" i="197"/>
  <c r="FT28" i="197"/>
  <c r="CD30" i="197"/>
  <c r="FJ30" i="197"/>
  <c r="FK30" i="197" s="1"/>
  <c r="FL30" i="197" s="1"/>
  <c r="Z30" i="197" s="1"/>
  <c r="FS30" i="197"/>
  <c r="DU31" i="197"/>
  <c r="AM35" i="197"/>
  <c r="FO35" i="197"/>
  <c r="DX38" i="197"/>
  <c r="DP38" i="197"/>
  <c r="DW38" i="197"/>
  <c r="FO38" i="197" s="1"/>
  <c r="DV38" i="197"/>
  <c r="DU38" i="197"/>
  <c r="EX38" i="197"/>
  <c r="AL39" i="197"/>
  <c r="AU39" i="197" s="1"/>
  <c r="DW43" i="197"/>
  <c r="FO43" i="197" s="1"/>
  <c r="DV43" i="197"/>
  <c r="DU43" i="197"/>
  <c r="FO45" i="197"/>
  <c r="FN45" i="197"/>
  <c r="DV45" i="197"/>
  <c r="EF45" i="197"/>
  <c r="DT30" i="198"/>
  <c r="DT24" i="198"/>
  <c r="DT22" i="198"/>
  <c r="DT20" i="198"/>
  <c r="DT16" i="198"/>
  <c r="AU17" i="198"/>
  <c r="FN17" i="198"/>
  <c r="DX17" i="198"/>
  <c r="DP17" i="198"/>
  <c r="DW17" i="198"/>
  <c r="FO17" i="198" s="1"/>
  <c r="DV17" i="198"/>
  <c r="AL18" i="198"/>
  <c r="EA18" i="198"/>
  <c r="FA18" i="198"/>
  <c r="DZ20" i="198"/>
  <c r="AO23" i="198"/>
  <c r="AN23" i="198"/>
  <c r="AM23" i="198"/>
  <c r="FP24" i="198"/>
  <c r="FE26" i="198"/>
  <c r="FF26" i="198" s="1"/>
  <c r="FG26" i="198" s="1"/>
  <c r="Y26" i="198" s="1"/>
  <c r="EB26" i="198"/>
  <c r="DQ27" i="198"/>
  <c r="CR27" i="198"/>
  <c r="EU27" i="198"/>
  <c r="FN27" i="198"/>
  <c r="DX27" i="198"/>
  <c r="DP27" i="198"/>
  <c r="DW27" i="198"/>
  <c r="FO27" i="198" s="1"/>
  <c r="DV27" i="198"/>
  <c r="ET27" i="198"/>
  <c r="AL28" i="198"/>
  <c r="AP28" i="198" s="1"/>
  <c r="EA28" i="198"/>
  <c r="FA28" i="198"/>
  <c r="DZ30" i="198"/>
  <c r="AL31" i="198"/>
  <c r="AS31" i="198"/>
  <c r="AJ31" i="198"/>
  <c r="DT31" i="198"/>
  <c r="AL34" i="198"/>
  <c r="AS34" i="198"/>
  <c r="AT34" i="198" s="1"/>
  <c r="AJ34" i="198"/>
  <c r="DT34" i="198"/>
  <c r="FE36" i="198"/>
  <c r="FF36" i="198" s="1"/>
  <c r="FG36" i="198" s="1"/>
  <c r="Y36" i="198" s="1"/>
  <c r="AM38" i="198"/>
  <c r="AL38" i="198"/>
  <c r="AS38" i="198"/>
  <c r="EU39" i="198"/>
  <c r="EJ98" i="198"/>
  <c r="DX39" i="198"/>
  <c r="DP39" i="198"/>
  <c r="DW39" i="198"/>
  <c r="FO39" i="198" s="1"/>
  <c r="DV39" i="198"/>
  <c r="DU39" i="198"/>
  <c r="EX39" i="198"/>
  <c r="AD40" i="198"/>
  <c r="GC41" i="198"/>
  <c r="AF44" i="198"/>
  <c r="EN45" i="198"/>
  <c r="EM45" i="198"/>
  <c r="AW57" i="198"/>
  <c r="AK57" i="198" s="1"/>
  <c r="AN53" i="199"/>
  <c r="AN49" i="199"/>
  <c r="FN22" i="199"/>
  <c r="DX22" i="199"/>
  <c r="DP22" i="199"/>
  <c r="DU22" i="199"/>
  <c r="AU23" i="199"/>
  <c r="EO23" i="199" s="1"/>
  <c r="FN23" i="199"/>
  <c r="DX23" i="199"/>
  <c r="DW23" i="199"/>
  <c r="FO23" i="199" s="1"/>
  <c r="DV23" i="199"/>
  <c r="FS26" i="199"/>
  <c r="ES26" i="199"/>
  <c r="FE26" i="199"/>
  <c r="FF26" i="199" s="1"/>
  <c r="FG26" i="199" s="1"/>
  <c r="EA28" i="199"/>
  <c r="ED28" i="199"/>
  <c r="EC28" i="199"/>
  <c r="EB28" i="199"/>
  <c r="EG29" i="199"/>
  <c r="EF29" i="199"/>
  <c r="CE33" i="199"/>
  <c r="FT33" i="199"/>
  <c r="DW34" i="199"/>
  <c r="DV34" i="199"/>
  <c r="DU34" i="199"/>
  <c r="FN34" i="199"/>
  <c r="DP34" i="199"/>
  <c r="AD35" i="199"/>
  <c r="EN35" i="199"/>
  <c r="EM35" i="199"/>
  <c r="FB37" i="199"/>
  <c r="FA37" i="199"/>
  <c r="DZ37" i="199"/>
  <c r="FP37" i="199"/>
  <c r="EQ38" i="199"/>
  <c r="CI38" i="199" s="1"/>
  <c r="ER41" i="199"/>
  <c r="CI41" i="199" s="1"/>
  <c r="AL42" i="199"/>
  <c r="AS42" i="199"/>
  <c r="AQ42" i="199"/>
  <c r="GF43" i="199"/>
  <c r="AX43" i="199"/>
  <c r="EJ43" i="199"/>
  <c r="CH43" i="199" s="1"/>
  <c r="EY44" i="199"/>
  <c r="EX44" i="199"/>
  <c r="FO44" i="199"/>
  <c r="GA44" i="199"/>
  <c r="GD44" i="199"/>
  <c r="GC44" i="199"/>
  <c r="GB44" i="199"/>
  <c r="EA16" i="200"/>
  <c r="ED16" i="200"/>
  <c r="EC16" i="200"/>
  <c r="FP16" i="200" s="1"/>
  <c r="EB16" i="200"/>
  <c r="EJ17" i="200"/>
  <c r="CH17" i="200" s="1"/>
  <c r="FT18" i="200"/>
  <c r="CE18" i="200"/>
  <c r="ET18" i="200" s="1"/>
  <c r="FE26" i="200"/>
  <c r="FF26" i="200" s="1"/>
  <c r="FG26" i="200" s="1"/>
  <c r="FJ26" i="200"/>
  <c r="FK26" i="200" s="1"/>
  <c r="FL26" i="200" s="1"/>
  <c r="Z26" i="200" s="1"/>
  <c r="AS26" i="200"/>
  <c r="AT26" i="200" s="1"/>
  <c r="AZ26" i="200"/>
  <c r="FB27" i="200"/>
  <c r="FA27" i="200"/>
  <c r="DZ27" i="200"/>
  <c r="EQ29" i="200"/>
  <c r="CI29" i="200" s="1"/>
  <c r="CD31" i="200"/>
  <c r="CE32" i="200"/>
  <c r="FJ33" i="200"/>
  <c r="FK33" i="200" s="1"/>
  <c r="FL33" i="200" s="1"/>
  <c r="Z33" i="200" s="1"/>
  <c r="EF34" i="200"/>
  <c r="EG34" i="200"/>
  <c r="AU35" i="200"/>
  <c r="FN38" i="200"/>
  <c r="DX38" i="200"/>
  <c r="DP38" i="200"/>
  <c r="DV38" i="200"/>
  <c r="DU38" i="200"/>
  <c r="EG38" i="200"/>
  <c r="EF38" i="200"/>
  <c r="FQ38" i="200"/>
  <c r="AD40" i="200"/>
  <c r="AG42" i="200"/>
  <c r="AW42" i="200"/>
  <c r="AF42" i="200"/>
  <c r="AF46" i="200" s="1"/>
  <c r="AV42" i="200"/>
  <c r="AE42" i="200"/>
  <c r="EJ43" i="200"/>
  <c r="CH43" i="200" s="1"/>
  <c r="CE44" i="200"/>
  <c r="FT44" i="200"/>
  <c r="DZ45" i="200"/>
  <c r="EF17" i="201"/>
  <c r="EG17" i="201"/>
  <c r="U20" i="201"/>
  <c r="T20" i="201"/>
  <c r="AR20" i="201" s="1"/>
  <c r="FH21" i="201"/>
  <c r="FU21" i="201"/>
  <c r="EB21" i="201"/>
  <c r="EA21" i="201"/>
  <c r="AD22" i="201"/>
  <c r="AS22" i="201"/>
  <c r="AJ22" i="201"/>
  <c r="AQ22" i="201"/>
  <c r="AO22" i="201"/>
  <c r="AN22" i="201"/>
  <c r="AM22" i="201"/>
  <c r="CD25" i="201"/>
  <c r="FS25" i="201"/>
  <c r="FJ25" i="201"/>
  <c r="FK25" i="201" s="1"/>
  <c r="FL25" i="201" s="1"/>
  <c r="Z25" i="201" s="1"/>
  <c r="FE25" i="201"/>
  <c r="FF25" i="201" s="1"/>
  <c r="FG25" i="201" s="1"/>
  <c r="Y25" i="201" s="1"/>
  <c r="H25" i="201"/>
  <c r="G25" i="201"/>
  <c r="ER27" i="201"/>
  <c r="CI27" i="201" s="1"/>
  <c r="FB28" i="201"/>
  <c r="FA28" i="201"/>
  <c r="DZ28" i="201"/>
  <c r="DZ31" i="201"/>
  <c r="EG31" i="201"/>
  <c r="EF31" i="201"/>
  <c r="AM37" i="201"/>
  <c r="AL37" i="201"/>
  <c r="AP37" i="201" s="1"/>
  <c r="AS37" i="201"/>
  <c r="AQ37" i="201"/>
  <c r="DX40" i="201"/>
  <c r="DP40" i="201"/>
  <c r="DW40" i="201"/>
  <c r="FO40" i="201" s="1"/>
  <c r="DV40" i="201"/>
  <c r="FQ40" i="201"/>
  <c r="EX42" i="201"/>
  <c r="FQ42" i="201"/>
  <c r="FO42" i="201"/>
  <c r="AX43" i="201"/>
  <c r="GF43" i="201"/>
  <c r="EA43" i="201"/>
  <c r="ED43" i="201"/>
  <c r="EC43" i="201"/>
  <c r="FP43" i="201" s="1"/>
  <c r="EB43" i="201"/>
  <c r="EG44" i="201"/>
  <c r="EF44" i="201"/>
  <c r="FT45" i="201"/>
  <c r="CE45" i="201"/>
  <c r="ET16" i="202"/>
  <c r="CE16" i="202"/>
  <c r="FT16" i="202"/>
  <c r="EG17" i="202"/>
  <c r="EF17" i="202"/>
  <c r="AL21" i="202"/>
  <c r="AS21" i="202"/>
  <c r="AJ21" i="202"/>
  <c r="AM21" i="202"/>
  <c r="AO21" i="202"/>
  <c r="AN21" i="202"/>
  <c r="ER25" i="202"/>
  <c r="FT26" i="202"/>
  <c r="CE26" i="202"/>
  <c r="FN29" i="202"/>
  <c r="DX29" i="202"/>
  <c r="DP29" i="202"/>
  <c r="DU29" i="202"/>
  <c r="DV29" i="202"/>
  <c r="EJ89" i="202"/>
  <c r="DR30" i="202"/>
  <c r="CS30" i="202"/>
  <c r="DQ30" i="202"/>
  <c r="CR30" i="202"/>
  <c r="EU30" i="202"/>
  <c r="ET30" i="202"/>
  <c r="FT31" i="202"/>
  <c r="K31" i="202"/>
  <c r="AS31" i="202" s="1"/>
  <c r="AT31" i="202" s="1"/>
  <c r="J31" i="202"/>
  <c r="EG39" i="202"/>
  <c r="EF39" i="202"/>
  <c r="CD41" i="202"/>
  <c r="FS41" i="202"/>
  <c r="EL89" i="202"/>
  <c r="DT45" i="203"/>
  <c r="DT41" i="203"/>
  <c r="DT33" i="203"/>
  <c r="DT30" i="203"/>
  <c r="DT25" i="203"/>
  <c r="DT17" i="203"/>
  <c r="DZ43" i="203"/>
  <c r="DZ42" i="203"/>
  <c r="DZ33" i="203"/>
  <c r="DZ45" i="203"/>
  <c r="DZ36" i="203"/>
  <c r="DZ18" i="203"/>
  <c r="DZ40" i="203"/>
  <c r="DZ34" i="203"/>
  <c r="DZ16" i="203"/>
  <c r="DZ41" i="203"/>
  <c r="DZ39" i="203"/>
  <c r="DZ35" i="203"/>
  <c r="DZ20" i="203"/>
  <c r="DT44" i="203"/>
  <c r="DT28" i="203"/>
  <c r="DZ24" i="203"/>
  <c r="DZ25" i="203"/>
  <c r="DT19" i="203"/>
  <c r="DZ37" i="203"/>
  <c r="DZ17" i="203"/>
  <c r="DZ30" i="203"/>
  <c r="DT24" i="203"/>
  <c r="DT26" i="203"/>
  <c r="EN23" i="203"/>
  <c r="EM23" i="203"/>
  <c r="H28" i="203"/>
  <c r="G28" i="203"/>
  <c r="F28" i="203"/>
  <c r="AZ28" i="203" s="1"/>
  <c r="ER35" i="203"/>
  <c r="DT38" i="203"/>
  <c r="EG41" i="203"/>
  <c r="EF41" i="203"/>
  <c r="FM21" i="204"/>
  <c r="FV21" i="204"/>
  <c r="EK26" i="204"/>
  <c r="AQ33" i="205"/>
  <c r="AR33" i="205" s="1"/>
  <c r="AQ37" i="205"/>
  <c r="AR37" i="205" s="1"/>
  <c r="ER25" i="205"/>
  <c r="AU38" i="205"/>
  <c r="AZ38" i="205"/>
  <c r="FH38" i="205"/>
  <c r="FU38" i="205"/>
  <c r="EA38" i="205"/>
  <c r="ED38" i="205"/>
  <c r="EB38" i="205"/>
  <c r="FN38" i="205"/>
  <c r="DP38" i="205"/>
  <c r="AJ42" i="205"/>
  <c r="AH42" i="205"/>
  <c r="AV42" i="205"/>
  <c r="AK42" i="205" s="1"/>
  <c r="AF42" i="205"/>
  <c r="AE42" i="205"/>
  <c r="AW42" i="205"/>
  <c r="AD42" i="205"/>
  <c r="AG42" i="205"/>
  <c r="CZ68" i="193"/>
  <c r="CZ72" i="193"/>
  <c r="CZ76" i="193"/>
  <c r="CX77" i="193"/>
  <c r="N37" i="193" s="1"/>
  <c r="CV78" i="193"/>
  <c r="CZ80" i="193"/>
  <c r="CX81" i="193"/>
  <c r="N41" i="193" s="1"/>
  <c r="CV82" i="193"/>
  <c r="CZ84" i="193"/>
  <c r="CX85" i="193"/>
  <c r="N45" i="193" s="1"/>
  <c r="AY27" i="196"/>
  <c r="AY29" i="196"/>
  <c r="FB31" i="196"/>
  <c r="AY37" i="196"/>
  <c r="FB40" i="196"/>
  <c r="AK53" i="197"/>
  <c r="AK49" i="197"/>
  <c r="FB17" i="197"/>
  <c r="FB23" i="197"/>
  <c r="AD26" i="197"/>
  <c r="ET26" i="197"/>
  <c r="FE27" i="197"/>
  <c r="FF27" i="197" s="1"/>
  <c r="FG27" i="197" s="1"/>
  <c r="Y27" i="197" s="1"/>
  <c r="FJ27" i="197"/>
  <c r="FK27" i="197" s="1"/>
  <c r="FL27" i="197" s="1"/>
  <c r="Z27" i="197" s="1"/>
  <c r="AN28" i="197"/>
  <c r="DT29" i="197"/>
  <c r="DW31" i="197"/>
  <c r="FO31" i="197" s="1"/>
  <c r="FE34" i="197"/>
  <c r="FF34" i="197" s="1"/>
  <c r="FG34" i="197" s="1"/>
  <c r="DZ34" i="197"/>
  <c r="AN35" i="197"/>
  <c r="FN36" i="197"/>
  <c r="DX36" i="197"/>
  <c r="DP36" i="197"/>
  <c r="DW36" i="197"/>
  <c r="FO36" i="197" s="1"/>
  <c r="DV36" i="197"/>
  <c r="FJ37" i="197"/>
  <c r="FK37" i="197" s="1"/>
  <c r="FL37" i="197" s="1"/>
  <c r="DZ37" i="197"/>
  <c r="EE37" i="197"/>
  <c r="AM39" i="197"/>
  <c r="FU39" i="197"/>
  <c r="DT41" i="197"/>
  <c r="FM41" i="197"/>
  <c r="AJ43" i="197"/>
  <c r="DX43" i="197"/>
  <c r="FN44" i="197"/>
  <c r="DX44" i="197"/>
  <c r="DP44" i="197"/>
  <c r="DW44" i="197"/>
  <c r="FO44" i="197" s="1"/>
  <c r="DV44" i="197"/>
  <c r="AH45" i="197"/>
  <c r="AG45" i="197"/>
  <c r="AW45" i="197"/>
  <c r="AK45" i="197" s="1"/>
  <c r="AF45" i="197"/>
  <c r="AE45" i="197"/>
  <c r="DZ45" i="197"/>
  <c r="DW45" i="197"/>
  <c r="AO17" i="198"/>
  <c r="AN17" i="198"/>
  <c r="AM17" i="198"/>
  <c r="AP17" i="198" s="1"/>
  <c r="EY17" i="198"/>
  <c r="AM18" i="198"/>
  <c r="FE18" i="198"/>
  <c r="FF18" i="198" s="1"/>
  <c r="FG18" i="198" s="1"/>
  <c r="Y18" i="198" s="1"/>
  <c r="FP18" i="198"/>
  <c r="FS19" i="198"/>
  <c r="CD19" i="198"/>
  <c r="FJ19" i="198"/>
  <c r="FK19" i="198" s="1"/>
  <c r="FL19" i="198" s="1"/>
  <c r="Z19" i="198" s="1"/>
  <c r="CE21" i="198"/>
  <c r="DZ21" i="198"/>
  <c r="AK22" i="198"/>
  <c r="AL23" i="198"/>
  <c r="EG23" i="198"/>
  <c r="EF23" i="198"/>
  <c r="EC24" i="198"/>
  <c r="EB24" i="198"/>
  <c r="EA24" i="198"/>
  <c r="FU24" i="198"/>
  <c r="AO27" i="198"/>
  <c r="AN27" i="198"/>
  <c r="AM27" i="198"/>
  <c r="AP27" i="198" s="1"/>
  <c r="EY27" i="198"/>
  <c r="AM28" i="198"/>
  <c r="FE28" i="198"/>
  <c r="FF28" i="198" s="1"/>
  <c r="FG28" i="198" s="1"/>
  <c r="Y28" i="198" s="1"/>
  <c r="FP28" i="198"/>
  <c r="FS29" i="198"/>
  <c r="CD29" i="198"/>
  <c r="FJ29" i="198"/>
  <c r="FK29" i="198" s="1"/>
  <c r="FL29" i="198" s="1"/>
  <c r="Z29" i="198" s="1"/>
  <c r="FO31" i="198"/>
  <c r="FJ32" i="198"/>
  <c r="FK32" i="198" s="1"/>
  <c r="FL32" i="198" s="1"/>
  <c r="Z32" i="198" s="1"/>
  <c r="DZ32" i="198"/>
  <c r="EE32" i="198"/>
  <c r="EN33" i="198"/>
  <c r="EM33" i="198"/>
  <c r="FO34" i="198"/>
  <c r="FJ35" i="198"/>
  <c r="FK35" i="198" s="1"/>
  <c r="FL35" i="198" s="1"/>
  <c r="Z35" i="198" s="1"/>
  <c r="DZ35" i="198"/>
  <c r="EE35" i="198"/>
  <c r="CE37" i="198"/>
  <c r="DZ37" i="198"/>
  <c r="DW38" i="198"/>
  <c r="FO38" i="198" s="1"/>
  <c r="DV38" i="198"/>
  <c r="DU38" i="198"/>
  <c r="AN39" i="198"/>
  <c r="AM39" i="198"/>
  <c r="AL39" i="198"/>
  <c r="FT41" i="198"/>
  <c r="CE41" i="198"/>
  <c r="GD41" i="198"/>
  <c r="CK43" i="198"/>
  <c r="DP43" i="198"/>
  <c r="EC43" i="198"/>
  <c r="FP43" i="198" s="1"/>
  <c r="AG44" i="198"/>
  <c r="AV44" i="198"/>
  <c r="AK44" i="198" s="1"/>
  <c r="AJ44" i="198" s="1"/>
  <c r="DT44" i="198"/>
  <c r="GE44" i="198"/>
  <c r="GD44" i="198"/>
  <c r="GC44" i="198"/>
  <c r="GL44" i="198" s="1"/>
  <c r="DX45" i="198"/>
  <c r="DP45" i="198"/>
  <c r="DW45" i="198"/>
  <c r="FO45" i="198" s="1"/>
  <c r="DV45" i="198"/>
  <c r="DU45" i="198"/>
  <c r="AJ57" i="198"/>
  <c r="AM53" i="199"/>
  <c r="AM49" i="199"/>
  <c r="AK16" i="199"/>
  <c r="EN19" i="199"/>
  <c r="EM19" i="199"/>
  <c r="FJ20" i="199"/>
  <c r="FK20" i="199" s="1"/>
  <c r="FL20" i="199" s="1"/>
  <c r="Z20" i="199" s="1"/>
  <c r="FR22" i="199"/>
  <c r="DZ22" i="199"/>
  <c r="EG22" i="199"/>
  <c r="EF22" i="199"/>
  <c r="FP22" i="199"/>
  <c r="ER23" i="199"/>
  <c r="EN24" i="199"/>
  <c r="EM24" i="199"/>
  <c r="FA27" i="199"/>
  <c r="FB27" i="199"/>
  <c r="FP27" i="199"/>
  <c r="DZ27" i="199"/>
  <c r="CD28" i="199"/>
  <c r="EP29" i="199"/>
  <c r="F31" i="199"/>
  <c r="FA31" i="199"/>
  <c r="FB31" i="199"/>
  <c r="FP31" i="199"/>
  <c r="DZ31" i="199"/>
  <c r="ER32" i="199"/>
  <c r="DX35" i="199"/>
  <c r="DP35" i="199"/>
  <c r="DW35" i="199"/>
  <c r="DV35" i="199"/>
  <c r="FN35" i="199"/>
  <c r="DU35" i="199"/>
  <c r="FQ35" i="199"/>
  <c r="FU36" i="199"/>
  <c r="FH36" i="199"/>
  <c r="AS36" i="199"/>
  <c r="EB36" i="199"/>
  <c r="EG36" i="199"/>
  <c r="EF36" i="199"/>
  <c r="FR38" i="199"/>
  <c r="EP38" i="199"/>
  <c r="AH41" i="199"/>
  <c r="AG41" i="199"/>
  <c r="AW41" i="199"/>
  <c r="AV41" i="199"/>
  <c r="FT43" i="199"/>
  <c r="CE43" i="199"/>
  <c r="EK43" i="199"/>
  <c r="EF16" i="200"/>
  <c r="FR16" i="200"/>
  <c r="EK19" i="200"/>
  <c r="EV19" i="200" s="1"/>
  <c r="FT20" i="200"/>
  <c r="CE20" i="200"/>
  <c r="AD21" i="200"/>
  <c r="EJ22" i="200"/>
  <c r="CH22" i="200" s="1"/>
  <c r="FS22" i="200"/>
  <c r="FT24" i="200"/>
  <c r="CE24" i="200"/>
  <c r="ET24" i="200" s="1"/>
  <c r="AD25" i="200"/>
  <c r="EE25" i="200"/>
  <c r="AU26" i="200"/>
  <c r="EG26" i="200"/>
  <c r="EF26" i="200"/>
  <c r="EA27" i="200"/>
  <c r="ED27" i="200"/>
  <c r="EC27" i="200"/>
  <c r="FP27" i="200" s="1"/>
  <c r="EB27" i="200"/>
  <c r="EI27" i="200"/>
  <c r="FT28" i="200"/>
  <c r="CE28" i="200"/>
  <c r="EP29" i="200"/>
  <c r="FO30" i="200"/>
  <c r="AK31" i="200"/>
  <c r="EK31" i="200"/>
  <c r="EE33" i="200"/>
  <c r="FR38" i="200"/>
  <c r="DZ38" i="200"/>
  <c r="FA38" i="200"/>
  <c r="DT39" i="200"/>
  <c r="GM39" i="200"/>
  <c r="FT41" i="200"/>
  <c r="CE41" i="200"/>
  <c r="AD42" i="200"/>
  <c r="EM42" i="200"/>
  <c r="AW44" i="200"/>
  <c r="AH44" i="200"/>
  <c r="EU45" i="200"/>
  <c r="EL104" i="200"/>
  <c r="EJ104" i="200"/>
  <c r="ES45" i="200"/>
  <c r="AK54" i="201"/>
  <c r="AK52" i="201"/>
  <c r="FT16" i="201"/>
  <c r="CE16" i="201"/>
  <c r="EE16" i="201"/>
  <c r="EN18" i="201"/>
  <c r="EM18" i="201"/>
  <c r="FJ21" i="201"/>
  <c r="FK21" i="201" s="1"/>
  <c r="FL21" i="201" s="1"/>
  <c r="Z21" i="201" s="1"/>
  <c r="FE21" i="201"/>
  <c r="FF21" i="201" s="1"/>
  <c r="FG21" i="201" s="1"/>
  <c r="Y21" i="201" s="1"/>
  <c r="AK26" i="201"/>
  <c r="DW27" i="201"/>
  <c r="FO27" i="201" s="1"/>
  <c r="DV27" i="201"/>
  <c r="DU27" i="201"/>
  <c r="GM27" i="201"/>
  <c r="FU31" i="201"/>
  <c r="FH31" i="201"/>
  <c r="ED31" i="201"/>
  <c r="EC31" i="201"/>
  <c r="FP31" i="201" s="1"/>
  <c r="FA31" i="201"/>
  <c r="FJ32" i="201"/>
  <c r="FK32" i="201" s="1"/>
  <c r="FL32" i="201" s="1"/>
  <c r="Z32" i="201" s="1"/>
  <c r="FE32" i="201"/>
  <c r="FF32" i="201" s="1"/>
  <c r="FG32" i="201" s="1"/>
  <c r="Y32" i="201" s="1"/>
  <c r="FO33" i="201"/>
  <c r="ER35" i="201"/>
  <c r="FR36" i="201"/>
  <c r="FP36" i="201"/>
  <c r="DZ36" i="201"/>
  <c r="CK39" i="201"/>
  <c r="EM41" i="201"/>
  <c r="EN41" i="201"/>
  <c r="DT41" i="201"/>
  <c r="FN42" i="201"/>
  <c r="DX42" i="201"/>
  <c r="DP42" i="201"/>
  <c r="DW42" i="201"/>
  <c r="GM45" i="201"/>
  <c r="DT42" i="202"/>
  <c r="DT35" i="202"/>
  <c r="DT32" i="202"/>
  <c r="DT24" i="202"/>
  <c r="DT43" i="202"/>
  <c r="DT33" i="202"/>
  <c r="DT36" i="202"/>
  <c r="DT30" i="202"/>
  <c r="DT19" i="202"/>
  <c r="DT44" i="202"/>
  <c r="DT41" i="202"/>
  <c r="DT37" i="202"/>
  <c r="DZ35" i="202"/>
  <c r="DZ28" i="202"/>
  <c r="DZ26" i="202"/>
  <c r="DZ23" i="202"/>
  <c r="DZ18" i="202"/>
  <c r="DT17" i="202"/>
  <c r="DZ42" i="202"/>
  <c r="DT38" i="202"/>
  <c r="DZ24" i="202"/>
  <c r="DZ25" i="202"/>
  <c r="DZ21" i="202"/>
  <c r="DZ43" i="202"/>
  <c r="DZ32" i="202"/>
  <c r="DZ27" i="202"/>
  <c r="DZ45" i="202"/>
  <c r="DT39" i="202"/>
  <c r="AN54" i="202"/>
  <c r="AN52" i="202"/>
  <c r="FN17" i="202"/>
  <c r="DP17" i="202"/>
  <c r="DU17" i="202"/>
  <c r="DV17" i="202"/>
  <c r="FO17" i="202"/>
  <c r="EQ17" i="202"/>
  <c r="CI17" i="202" s="1"/>
  <c r="EL18" i="202"/>
  <c r="DT27" i="202"/>
  <c r="FR29" i="202"/>
  <c r="FA29" i="202"/>
  <c r="DZ29" i="202"/>
  <c r="FP29" i="202"/>
  <c r="FS30" i="202"/>
  <c r="CD30" i="202"/>
  <c r="FE30" i="202"/>
  <c r="FF30" i="202" s="1"/>
  <c r="FG30" i="202" s="1"/>
  <c r="Y30" i="202" s="1"/>
  <c r="ES30" i="202"/>
  <c r="CE31" i="202"/>
  <c r="AQ39" i="202"/>
  <c r="AO39" i="202"/>
  <c r="AN39" i="202"/>
  <c r="AM39" i="202"/>
  <c r="AJ39" i="202"/>
  <c r="AL39" i="202"/>
  <c r="FJ41" i="202"/>
  <c r="FK41" i="202" s="1"/>
  <c r="FL41" i="202" s="1"/>
  <c r="Z41" i="202" s="1"/>
  <c r="AN53" i="203"/>
  <c r="AN49" i="203"/>
  <c r="AN52" i="203"/>
  <c r="AN54" i="203"/>
  <c r="DT16" i="203"/>
  <c r="FP16" i="203"/>
  <c r="AS17" i="203"/>
  <c r="AT17" i="203" s="1"/>
  <c r="AO17" i="203"/>
  <c r="AJ17" i="203"/>
  <c r="AN17" i="203"/>
  <c r="AM17" i="203"/>
  <c r="DT27" i="203"/>
  <c r="FA29" i="203"/>
  <c r="FR29" i="203"/>
  <c r="FB29" i="203"/>
  <c r="FP29" i="203"/>
  <c r="DZ29" i="203"/>
  <c r="EQ31" i="203"/>
  <c r="CI31" i="203" s="1"/>
  <c r="FT32" i="203"/>
  <c r="CE32" i="203"/>
  <c r="FV35" i="203"/>
  <c r="FM35" i="203"/>
  <c r="FT36" i="203"/>
  <c r="ET36" i="203"/>
  <c r="CE36" i="203"/>
  <c r="AU38" i="203"/>
  <c r="EJ40" i="203"/>
  <c r="CH40" i="203" s="1"/>
  <c r="AK41" i="203"/>
  <c r="DT42" i="203"/>
  <c r="EG44" i="203"/>
  <c r="EF44" i="203"/>
  <c r="EQ44" i="203"/>
  <c r="CI44" i="203" s="1"/>
  <c r="DZ18" i="204"/>
  <c r="FP18" i="204"/>
  <c r="EN29" i="204"/>
  <c r="EM29" i="204"/>
  <c r="AZ33" i="204"/>
  <c r="AU33" i="204"/>
  <c r="FN33" i="204"/>
  <c r="DX33" i="204"/>
  <c r="DP33" i="204"/>
  <c r="FQ33" i="204"/>
  <c r="DV33" i="204"/>
  <c r="DU33" i="204"/>
  <c r="DW33" i="204"/>
  <c r="FQ35" i="204"/>
  <c r="EY35" i="204"/>
  <c r="EX35" i="204"/>
  <c r="DT35" i="204"/>
  <c r="FO35" i="204"/>
  <c r="EQ35" i="204"/>
  <c r="CI35" i="204" s="1"/>
  <c r="EN36" i="204"/>
  <c r="EM36" i="204"/>
  <c r="DZ45" i="204"/>
  <c r="AK53" i="205"/>
  <c r="AK49" i="205"/>
  <c r="AK52" i="205"/>
  <c r="AK54" i="205"/>
  <c r="DV36" i="205"/>
  <c r="DU36" i="205"/>
  <c r="DP36" i="205"/>
  <c r="FQ36" i="205"/>
  <c r="FO36" i="205"/>
  <c r="DX36" i="205"/>
  <c r="FN36" i="205"/>
  <c r="DW36" i="205"/>
  <c r="FB30" i="197"/>
  <c r="EB35" i="197"/>
  <c r="FA35" i="197"/>
  <c r="CD37" i="197"/>
  <c r="EC37" i="197"/>
  <c r="FP37" i="197" s="1"/>
  <c r="FB37" i="197"/>
  <c r="EY40" i="197"/>
  <c r="FO40" i="197"/>
  <c r="CD43" i="197"/>
  <c r="EC43" i="197"/>
  <c r="FB43" i="197"/>
  <c r="P1" i="198"/>
  <c r="HJ14" i="198"/>
  <c r="HR14" i="198"/>
  <c r="EB19" i="198"/>
  <c r="FA19" i="198"/>
  <c r="EB21" i="198"/>
  <c r="FA21" i="198"/>
  <c r="EB25" i="198"/>
  <c r="FA25" i="198"/>
  <c r="EB29" i="198"/>
  <c r="FA29" i="198"/>
  <c r="EB31" i="198"/>
  <c r="FA31" i="198"/>
  <c r="CD32" i="198"/>
  <c r="EC32" i="198"/>
  <c r="FP32" i="198" s="1"/>
  <c r="FB32" i="198"/>
  <c r="EB34" i="198"/>
  <c r="FA34" i="198"/>
  <c r="CD35" i="198"/>
  <c r="EC35" i="198"/>
  <c r="FP35" i="198" s="1"/>
  <c r="FB35" i="198"/>
  <c r="EB37" i="198"/>
  <c r="FA37" i="198"/>
  <c r="CD38" i="198"/>
  <c r="EC38" i="198"/>
  <c r="FP38" i="198" s="1"/>
  <c r="FB38" i="198"/>
  <c r="EY43" i="198"/>
  <c r="FO43" i="198"/>
  <c r="EB44" i="198"/>
  <c r="FA44" i="198"/>
  <c r="AL52" i="198"/>
  <c r="CD16" i="199"/>
  <c r="EC16" i="199"/>
  <c r="FP16" i="199" s="1"/>
  <c r="FB16" i="199"/>
  <c r="EB18" i="199"/>
  <c r="FA18" i="199"/>
  <c r="CK19" i="199"/>
  <c r="FU20" i="199"/>
  <c r="FP21" i="199"/>
  <c r="DZ21" i="199"/>
  <c r="AO23" i="199"/>
  <c r="AP23" i="199" s="1"/>
  <c r="FP23" i="199"/>
  <c r="DZ23" i="199"/>
  <c r="EC25" i="199"/>
  <c r="EB25" i="199"/>
  <c r="EA25" i="199"/>
  <c r="FV25" i="199"/>
  <c r="FO26" i="199"/>
  <c r="EI26" i="199"/>
  <c r="CK28" i="199"/>
  <c r="EY29" i="199"/>
  <c r="EX29" i="199"/>
  <c r="AO30" i="199"/>
  <c r="AP30" i="199" s="1"/>
  <c r="FP30" i="199"/>
  <c r="DZ30" i="199"/>
  <c r="AL33" i="199"/>
  <c r="AS33" i="199"/>
  <c r="AJ33" i="199"/>
  <c r="DT33" i="199"/>
  <c r="AN35" i="199"/>
  <c r="AM35" i="199"/>
  <c r="AL35" i="199"/>
  <c r="AP35" i="199" s="1"/>
  <c r="FO38" i="199"/>
  <c r="FP39" i="199"/>
  <c r="DZ39" i="199"/>
  <c r="FU39" i="199"/>
  <c r="CD40" i="199"/>
  <c r="FJ40" i="199"/>
  <c r="FK40" i="199" s="1"/>
  <c r="FL40" i="199" s="1"/>
  <c r="Z40" i="199" s="1"/>
  <c r="FV40" i="199"/>
  <c r="FP41" i="199"/>
  <c r="DZ41" i="199"/>
  <c r="FU41" i="199"/>
  <c r="GE42" i="199"/>
  <c r="GD42" i="199"/>
  <c r="GC42" i="199"/>
  <c r="GL42" i="199" s="1"/>
  <c r="GM42" i="199" s="1"/>
  <c r="EN43" i="199"/>
  <c r="EM43" i="199"/>
  <c r="FN44" i="199"/>
  <c r="DX44" i="199"/>
  <c r="DP44" i="199"/>
  <c r="DW44" i="199"/>
  <c r="AD17" i="200"/>
  <c r="EN18" i="200"/>
  <c r="EM18" i="200"/>
  <c r="ES18" i="200"/>
  <c r="AJ23" i="200"/>
  <c r="AQ23" i="200"/>
  <c r="EN25" i="200"/>
  <c r="EM25" i="200"/>
  <c r="FN26" i="200"/>
  <c r="DX26" i="200"/>
  <c r="DP26" i="200"/>
  <c r="DW26" i="200"/>
  <c r="FN29" i="200"/>
  <c r="DV29" i="200"/>
  <c r="EB30" i="200"/>
  <c r="EA30" i="200"/>
  <c r="FV30" i="200"/>
  <c r="AK33" i="200"/>
  <c r="AD34" i="200"/>
  <c r="FN35" i="200"/>
  <c r="DX35" i="200"/>
  <c r="DP35" i="200"/>
  <c r="DW35" i="200"/>
  <c r="DV35" i="200"/>
  <c r="AK36" i="200"/>
  <c r="AO37" i="200"/>
  <c r="AP37" i="200" s="1"/>
  <c r="AN37" i="200"/>
  <c r="AM37" i="200"/>
  <c r="FT39" i="200"/>
  <c r="CE39" i="200"/>
  <c r="AO40" i="200"/>
  <c r="AN40" i="200"/>
  <c r="AM40" i="200"/>
  <c r="AP40" i="200" s="1"/>
  <c r="FQ41" i="200"/>
  <c r="GF43" i="200"/>
  <c r="DX45" i="200"/>
  <c r="DP45" i="200"/>
  <c r="DW45" i="200"/>
  <c r="FO45" i="200" s="1"/>
  <c r="DV45" i="200"/>
  <c r="DU45" i="200"/>
  <c r="AK16" i="201"/>
  <c r="AD17" i="201"/>
  <c r="FQ18" i="201"/>
  <c r="AO19" i="201"/>
  <c r="AN19" i="201"/>
  <c r="AP19" i="201" s="1"/>
  <c r="DZ19" i="201"/>
  <c r="CK20" i="201"/>
  <c r="FO21" i="201"/>
  <c r="FR22" i="201"/>
  <c r="FP22" i="201"/>
  <c r="FS23" i="201"/>
  <c r="CD23" i="201"/>
  <c r="FJ23" i="201"/>
  <c r="FK23" i="201" s="1"/>
  <c r="FL23" i="201" s="1"/>
  <c r="Z23" i="201" s="1"/>
  <c r="FV23" i="201"/>
  <c r="AK25" i="201"/>
  <c r="AD27" i="201"/>
  <c r="FT27" i="201"/>
  <c r="CE27" i="201"/>
  <c r="AY28" i="201"/>
  <c r="EE28" i="201"/>
  <c r="FS29" i="201"/>
  <c r="CD29" i="201"/>
  <c r="FJ29" i="201"/>
  <c r="FK29" i="201" s="1"/>
  <c r="FL29" i="201" s="1"/>
  <c r="Z29" i="201" s="1"/>
  <c r="H29" i="201"/>
  <c r="AQ29" i="201" s="1"/>
  <c r="AR29" i="201" s="1"/>
  <c r="G29" i="201"/>
  <c r="F29" i="201"/>
  <c r="FV29" i="201"/>
  <c r="AY31" i="201"/>
  <c r="FN32" i="201"/>
  <c r="DV32" i="201"/>
  <c r="EB33" i="201"/>
  <c r="EA33" i="201"/>
  <c r="FV33" i="201"/>
  <c r="FQ34" i="201"/>
  <c r="CK35" i="201"/>
  <c r="FU38" i="201"/>
  <c r="FP39" i="201"/>
  <c r="DZ39" i="201"/>
  <c r="FU39" i="201"/>
  <c r="FT40" i="201"/>
  <c r="CE40" i="201"/>
  <c r="ET40" i="201" s="1"/>
  <c r="AY41" i="201"/>
  <c r="K41" i="201"/>
  <c r="AS41" i="201" s="1"/>
  <c r="J41" i="201"/>
  <c r="I41" i="201"/>
  <c r="F45" i="201"/>
  <c r="DW45" i="201"/>
  <c r="DV45" i="201"/>
  <c r="DU45" i="201"/>
  <c r="AY41" i="202"/>
  <c r="AY39" i="202"/>
  <c r="AY36" i="202"/>
  <c r="AY33" i="202"/>
  <c r="AY30" i="202"/>
  <c r="AY19" i="202"/>
  <c r="AY45" i="202"/>
  <c r="AY40" i="202"/>
  <c r="AY34" i="202"/>
  <c r="AY31" i="202"/>
  <c r="AY42" i="202"/>
  <c r="AY35" i="202"/>
  <c r="AY32" i="202"/>
  <c r="AY24" i="202"/>
  <c r="AY37" i="202"/>
  <c r="AY38" i="202"/>
  <c r="AY57" i="202"/>
  <c r="AY26" i="202"/>
  <c r="AY23" i="202"/>
  <c r="AY18" i="202"/>
  <c r="AY16" i="202"/>
  <c r="AY44" i="202"/>
  <c r="AY21" i="202"/>
  <c r="FN43" i="202"/>
  <c r="FN22" i="202"/>
  <c r="FN34" i="202"/>
  <c r="AN16" i="202"/>
  <c r="AP16" i="202" s="1"/>
  <c r="AQ16" i="202"/>
  <c r="AR16" i="202" s="1"/>
  <c r="AO16" i="202"/>
  <c r="EA16" i="202"/>
  <c r="AY17" i="202"/>
  <c r="AD19" i="202"/>
  <c r="FN21" i="202"/>
  <c r="AM22" i="202"/>
  <c r="AL22" i="202"/>
  <c r="AS22" i="202"/>
  <c r="AT22" i="202" s="1"/>
  <c r="AJ22" i="202"/>
  <c r="AQ22" i="202"/>
  <c r="AR22" i="202" s="1"/>
  <c r="EK24" i="202"/>
  <c r="FS25" i="202"/>
  <c r="CD25" i="202"/>
  <c r="FJ25" i="202"/>
  <c r="FK25" i="202" s="1"/>
  <c r="FL25" i="202" s="1"/>
  <c r="Z25" i="202" s="1"/>
  <c r="FE25" i="202"/>
  <c r="FF25" i="202" s="1"/>
  <c r="FG25" i="202" s="1"/>
  <c r="Y25" i="202" s="1"/>
  <c r="EX26" i="202"/>
  <c r="FQ26" i="202"/>
  <c r="DT26" i="202"/>
  <c r="EQ26" i="202"/>
  <c r="EN26" i="202"/>
  <c r="FO27" i="202"/>
  <c r="EN27" i="202"/>
  <c r="EM27" i="202"/>
  <c r="DT28" i="202"/>
  <c r="AP30" i="202"/>
  <c r="FU38" i="202"/>
  <c r="FH38" i="202"/>
  <c r="DT40" i="202"/>
  <c r="FU42" i="202"/>
  <c r="AX45" i="202"/>
  <c r="GF45" i="202"/>
  <c r="ER17" i="203"/>
  <c r="CI17" i="203" s="1"/>
  <c r="EP21" i="203"/>
  <c r="FH25" i="203"/>
  <c r="FU25" i="203"/>
  <c r="EC25" i="203"/>
  <c r="EB25" i="203"/>
  <c r="EA25" i="203"/>
  <c r="DP25" i="203"/>
  <c r="ED25" i="203"/>
  <c r="EP27" i="203"/>
  <c r="ER27" i="203"/>
  <c r="AP28" i="203"/>
  <c r="CE41" i="203"/>
  <c r="FT41" i="203"/>
  <c r="K43" i="203"/>
  <c r="AS43" i="203" s="1"/>
  <c r="J43" i="203"/>
  <c r="I43" i="203"/>
  <c r="EN45" i="203"/>
  <c r="EM45" i="203"/>
  <c r="FU16" i="204"/>
  <c r="FH16" i="204"/>
  <c r="FO31" i="204"/>
  <c r="FP41" i="204"/>
  <c r="DZ41" i="204"/>
  <c r="EY42" i="204"/>
  <c r="EX42" i="204"/>
  <c r="FQ42" i="204"/>
  <c r="FO42" i="204"/>
  <c r="DT42" i="204"/>
  <c r="EN42" i="204"/>
  <c r="EM42" i="204"/>
  <c r="FU43" i="204"/>
  <c r="FH43" i="204"/>
  <c r="EA43" i="204"/>
  <c r="ED43" i="204"/>
  <c r="FP43" i="204"/>
  <c r="AX44" i="204"/>
  <c r="GF44" i="204"/>
  <c r="FH18" i="205"/>
  <c r="FU18" i="205"/>
  <c r="EB18" i="205"/>
  <c r="EA18" i="205"/>
  <c r="ED18" i="205"/>
  <c r="DP18" i="205"/>
  <c r="EC18" i="205"/>
  <c r="FP18" i="205" s="1"/>
  <c r="AD19" i="205"/>
  <c r="EQ19" i="205"/>
  <c r="CI19" i="205" s="1"/>
  <c r="FM20" i="205"/>
  <c r="FV20" i="205"/>
  <c r="ER20" i="205"/>
  <c r="CI20" i="205" s="1"/>
  <c r="FR35" i="205"/>
  <c r="FB35" i="205"/>
  <c r="FA35" i="205"/>
  <c r="DZ35" i="205"/>
  <c r="DV43" i="205"/>
  <c r="DU43" i="205"/>
  <c r="FN43" i="205"/>
  <c r="DX43" i="205"/>
  <c r="DW43" i="205"/>
  <c r="FO43" i="205" s="1"/>
  <c r="DP43" i="205"/>
  <c r="FQ43" i="205"/>
  <c r="EX44" i="205"/>
  <c r="FQ44" i="205"/>
  <c r="EY44" i="205"/>
  <c r="DT44" i="205"/>
  <c r="EN44" i="205"/>
  <c r="EM44" i="205"/>
  <c r="EN45" i="205"/>
  <c r="EM45" i="205"/>
  <c r="FT35" i="206"/>
  <c r="CE35" i="206"/>
  <c r="FB35" i="197"/>
  <c r="FM36" i="197"/>
  <c r="FQ42" i="197"/>
  <c r="FM44" i="197"/>
  <c r="FQ16" i="198"/>
  <c r="FM17" i="198"/>
  <c r="FB19" i="198"/>
  <c r="FQ20" i="198"/>
  <c r="FB21" i="198"/>
  <c r="FQ22" i="198"/>
  <c r="FM23" i="198"/>
  <c r="FQ24" i="198"/>
  <c r="FB25" i="198"/>
  <c r="FM27" i="198"/>
  <c r="FB29" i="198"/>
  <c r="FQ30" i="198"/>
  <c r="FB31" i="198"/>
  <c r="FB34" i="198"/>
  <c r="FB37" i="198"/>
  <c r="FM40" i="198"/>
  <c r="AD41" i="198"/>
  <c r="FB44" i="198"/>
  <c r="AD45" i="198"/>
  <c r="DT45" i="199"/>
  <c r="DT31" i="199"/>
  <c r="DT40" i="199"/>
  <c r="DT17" i="199"/>
  <c r="FQ17" i="199"/>
  <c r="FB18" i="199"/>
  <c r="DT19" i="199"/>
  <c r="EB21" i="199"/>
  <c r="EA21" i="199"/>
  <c r="FU21" i="199"/>
  <c r="FU23" i="199"/>
  <c r="CD25" i="199"/>
  <c r="FP25" i="199"/>
  <c r="AU26" i="199"/>
  <c r="FN26" i="199"/>
  <c r="DV26" i="199"/>
  <c r="EH26" i="199"/>
  <c r="DT28" i="199"/>
  <c r="AU29" i="199"/>
  <c r="FN29" i="199"/>
  <c r="DX29" i="199"/>
  <c r="DP29" i="199"/>
  <c r="DW29" i="199"/>
  <c r="FO29" i="199" s="1"/>
  <c r="FU30" i="199"/>
  <c r="AD34" i="199"/>
  <c r="FT34" i="199"/>
  <c r="CE34" i="199"/>
  <c r="AZ35" i="199"/>
  <c r="DZ35" i="199"/>
  <c r="EE35" i="199"/>
  <c r="FE37" i="199"/>
  <c r="FF37" i="199" s="1"/>
  <c r="FG37" i="199" s="1"/>
  <c r="Y37" i="199" s="1"/>
  <c r="AU38" i="199"/>
  <c r="EO38" i="199" s="1"/>
  <c r="FN38" i="199"/>
  <c r="DV38" i="199"/>
  <c r="EH38" i="199"/>
  <c r="EB39" i="199"/>
  <c r="EA39" i="199"/>
  <c r="DZ40" i="199"/>
  <c r="EB41" i="199"/>
  <c r="EA41" i="199"/>
  <c r="H41" i="199"/>
  <c r="G41" i="199"/>
  <c r="F41" i="199"/>
  <c r="AJ42" i="199"/>
  <c r="AE42" i="199"/>
  <c r="CE42" i="199"/>
  <c r="DX43" i="199"/>
  <c r="DP43" i="199"/>
  <c r="DW43" i="199"/>
  <c r="DV43" i="199"/>
  <c r="DU43" i="199"/>
  <c r="DZ44" i="199"/>
  <c r="FP45" i="199"/>
  <c r="DZ45" i="199"/>
  <c r="AJ57" i="199"/>
  <c r="AQ57" i="199"/>
  <c r="DX18" i="200"/>
  <c r="DP18" i="200"/>
  <c r="DW18" i="200"/>
  <c r="FO18" i="200" s="1"/>
  <c r="DV18" i="200"/>
  <c r="DU18" i="200"/>
  <c r="EE20" i="200"/>
  <c r="DQ21" i="200"/>
  <c r="CR21" i="200"/>
  <c r="EU21" i="200"/>
  <c r="FN21" i="200"/>
  <c r="DX21" i="200"/>
  <c r="DP21" i="200"/>
  <c r="DW21" i="200"/>
  <c r="FO21" i="200" s="1"/>
  <c r="DV21" i="200"/>
  <c r="ET21" i="200"/>
  <c r="EE24" i="200"/>
  <c r="EJ84" i="200"/>
  <c r="EU25" i="200"/>
  <c r="DX25" i="200"/>
  <c r="DP25" i="200"/>
  <c r="DW25" i="200"/>
  <c r="FO25" i="200" s="1"/>
  <c r="DV25" i="200"/>
  <c r="DU25" i="200"/>
  <c r="AO26" i="200"/>
  <c r="AN26" i="200"/>
  <c r="DZ26" i="200"/>
  <c r="EE28" i="200"/>
  <c r="AQ29" i="200"/>
  <c r="AO29" i="200"/>
  <c r="FP29" i="200"/>
  <c r="DZ29" i="200"/>
  <c r="AL32" i="200"/>
  <c r="AS32" i="200"/>
  <c r="AJ32" i="200"/>
  <c r="DT32" i="200"/>
  <c r="FO32" i="200"/>
  <c r="DW33" i="200"/>
  <c r="FO33" i="200" s="1"/>
  <c r="DV33" i="200"/>
  <c r="DU33" i="200"/>
  <c r="FT34" i="200"/>
  <c r="CE34" i="200"/>
  <c r="ET34" i="200" s="1"/>
  <c r="AO35" i="200"/>
  <c r="AP35" i="200" s="1"/>
  <c r="AN35" i="200"/>
  <c r="AM35" i="200"/>
  <c r="EG37" i="200"/>
  <c r="EF37" i="200"/>
  <c r="EG40" i="200"/>
  <c r="EF40" i="200"/>
  <c r="EN41" i="200"/>
  <c r="EM41" i="200"/>
  <c r="EY42" i="200"/>
  <c r="EX42" i="200"/>
  <c r="AN45" i="200"/>
  <c r="AM45" i="200"/>
  <c r="AL45" i="200"/>
  <c r="EL77" i="200"/>
  <c r="AY43" i="201"/>
  <c r="AY38" i="201"/>
  <c r="AY36" i="201"/>
  <c r="AY32" i="201"/>
  <c r="AY20" i="201"/>
  <c r="AY39" i="201"/>
  <c r="AY35" i="201"/>
  <c r="AY33" i="201"/>
  <c r="AY30" i="201"/>
  <c r="AY24" i="201"/>
  <c r="AY21" i="201"/>
  <c r="AY44" i="201"/>
  <c r="AY25" i="201"/>
  <c r="AY22" i="201"/>
  <c r="DW16" i="201"/>
  <c r="FO16" i="201" s="1"/>
  <c r="DV16" i="201"/>
  <c r="DU16" i="201"/>
  <c r="FT17" i="201"/>
  <c r="CE17" i="201"/>
  <c r="EA19" i="201"/>
  <c r="AJ21" i="201"/>
  <c r="AQ21" i="201"/>
  <c r="EC22" i="201"/>
  <c r="EB22" i="201"/>
  <c r="EA22" i="201"/>
  <c r="FU22" i="201"/>
  <c r="FP24" i="201"/>
  <c r="DZ24" i="201"/>
  <c r="AY26" i="201"/>
  <c r="FE28" i="201"/>
  <c r="FF28" i="201" s="1"/>
  <c r="FG28" i="201" s="1"/>
  <c r="Y28" i="201" s="1"/>
  <c r="FP30" i="201"/>
  <c r="DZ30" i="201"/>
  <c r="AQ32" i="201"/>
  <c r="AO32" i="201"/>
  <c r="FP32" i="201"/>
  <c r="DZ32" i="201"/>
  <c r="EN34" i="201"/>
  <c r="EM34" i="201"/>
  <c r="FO36" i="201"/>
  <c r="AD37" i="201"/>
  <c r="FT37" i="201"/>
  <c r="CE37" i="201"/>
  <c r="EB39" i="201"/>
  <c r="EA39" i="201"/>
  <c r="EE41" i="201"/>
  <c r="AK57" i="201"/>
  <c r="EL101" i="201"/>
  <c r="EB16" i="202"/>
  <c r="FB19" i="202"/>
  <c r="FA19" i="202"/>
  <c r="DX27" i="202"/>
  <c r="DP27" i="202"/>
  <c r="DW27" i="202"/>
  <c r="DV27" i="202"/>
  <c r="EX28" i="202"/>
  <c r="EY28" i="202"/>
  <c r="EN28" i="202"/>
  <c r="EM28" i="202"/>
  <c r="FH31" i="202"/>
  <c r="FU31" i="202"/>
  <c r="EB31" i="202"/>
  <c r="EA31" i="202"/>
  <c r="FR31" i="202"/>
  <c r="FN31" i="202"/>
  <c r="FO33" i="202"/>
  <c r="FN33" i="202"/>
  <c r="DX33" i="202"/>
  <c r="DP33" i="202"/>
  <c r="FQ33" i="202"/>
  <c r="DT34" i="202"/>
  <c r="AQ36" i="202"/>
  <c r="AR36" i="202" s="1"/>
  <c r="AO36" i="202"/>
  <c r="AM36" i="202"/>
  <c r="FE38" i="202"/>
  <c r="FF38" i="202" s="1"/>
  <c r="FG38" i="202" s="1"/>
  <c r="Y38" i="202" s="1"/>
  <c r="FJ38" i="202"/>
  <c r="FK38" i="202" s="1"/>
  <c r="FL38" i="202" s="1"/>
  <c r="Z38" i="202" s="1"/>
  <c r="FN41" i="202"/>
  <c r="DP41" i="202"/>
  <c r="DW41" i="202"/>
  <c r="FO41" i="202" s="1"/>
  <c r="DU41" i="202"/>
  <c r="K43" i="202"/>
  <c r="J43" i="202"/>
  <c r="I43" i="202"/>
  <c r="EN44" i="202"/>
  <c r="EM44" i="202"/>
  <c r="AD18" i="203"/>
  <c r="H18" i="203"/>
  <c r="G18" i="203"/>
  <c r="F18" i="203"/>
  <c r="FS19" i="203"/>
  <c r="CD19" i="203"/>
  <c r="FE19" i="203"/>
  <c r="FF19" i="203" s="1"/>
  <c r="FG19" i="203" s="1"/>
  <c r="Y19" i="203" s="1"/>
  <c r="FJ19" i="203"/>
  <c r="FK19" i="203" s="1"/>
  <c r="FL19" i="203" s="1"/>
  <c r="Z19" i="203" s="1"/>
  <c r="EN19" i="203"/>
  <c r="EM19" i="203"/>
  <c r="FS21" i="203"/>
  <c r="CD21" i="203"/>
  <c r="ES21" i="203" s="1"/>
  <c r="FE21" i="203"/>
  <c r="FF21" i="203" s="1"/>
  <c r="FG21" i="203" s="1"/>
  <c r="Y21" i="203" s="1"/>
  <c r="FJ21" i="203"/>
  <c r="FK21" i="203" s="1"/>
  <c r="FL21" i="203" s="1"/>
  <c r="Z21" i="203" s="1"/>
  <c r="EN24" i="203"/>
  <c r="EM24" i="203"/>
  <c r="CD27" i="203"/>
  <c r="FS27" i="203"/>
  <c r="FE27" i="203"/>
  <c r="FF27" i="203" s="1"/>
  <c r="FG27" i="203" s="1"/>
  <c r="Y27" i="203" s="1"/>
  <c r="FJ27" i="203"/>
  <c r="FK27" i="203" s="1"/>
  <c r="FL27" i="203" s="1"/>
  <c r="Z27" i="203" s="1"/>
  <c r="EO27" i="203"/>
  <c r="EQ27" i="203"/>
  <c r="FO28" i="203"/>
  <c r="FN28" i="203"/>
  <c r="DP28" i="203"/>
  <c r="DU28" i="203"/>
  <c r="FQ28" i="203"/>
  <c r="FP30" i="203"/>
  <c r="FN37" i="203"/>
  <c r="DX37" i="203"/>
  <c r="DP37" i="203"/>
  <c r="DW37" i="203"/>
  <c r="FO37" i="203" s="1"/>
  <c r="DU37" i="203"/>
  <c r="DV37" i="203"/>
  <c r="EN37" i="203"/>
  <c r="EM37" i="203"/>
  <c r="EN38" i="203"/>
  <c r="EM38" i="203"/>
  <c r="FH45" i="203"/>
  <c r="FU45" i="203"/>
  <c r="EC45" i="203"/>
  <c r="EB45" i="203"/>
  <c r="EA45" i="203"/>
  <c r="ED45" i="203"/>
  <c r="DP45" i="203"/>
  <c r="FN45" i="203"/>
  <c r="GA57" i="203"/>
  <c r="GC57" i="203"/>
  <c r="GB57" i="203"/>
  <c r="GE57" i="203"/>
  <c r="GD57" i="203"/>
  <c r="AO19" i="204"/>
  <c r="AN19" i="204"/>
  <c r="AM19" i="204"/>
  <c r="AS19" i="204"/>
  <c r="AT19" i="204" s="1"/>
  <c r="AL19" i="204"/>
  <c r="AJ19" i="204"/>
  <c r="FV30" i="204"/>
  <c r="FM30" i="204"/>
  <c r="FN31" i="204"/>
  <c r="DX31" i="204"/>
  <c r="DP31" i="204"/>
  <c r="DU31" i="204"/>
  <c r="AL37" i="204"/>
  <c r="AS37" i="204"/>
  <c r="AT37" i="204" s="1"/>
  <c r="AJ37" i="204"/>
  <c r="AQ37" i="204"/>
  <c r="AR37" i="204" s="1"/>
  <c r="AN37" i="204"/>
  <c r="AM37" i="204"/>
  <c r="AO37" i="204"/>
  <c r="EF37" i="204"/>
  <c r="EG37" i="204"/>
  <c r="ED38" i="204"/>
  <c r="EC38" i="204"/>
  <c r="FP38" i="204" s="1"/>
  <c r="EB38" i="204"/>
  <c r="EA38" i="204"/>
  <c r="DZ39" i="204"/>
  <c r="EG43" i="204"/>
  <c r="EF43" i="204"/>
  <c r="EJ18" i="205"/>
  <c r="CH18" i="205" s="1"/>
  <c r="EJ24" i="205"/>
  <c r="DX28" i="205"/>
  <c r="DP28" i="205"/>
  <c r="FN28" i="205"/>
  <c r="DW28" i="205"/>
  <c r="DV28" i="205"/>
  <c r="DU28" i="205"/>
  <c r="FH35" i="205"/>
  <c r="FU35" i="205"/>
  <c r="ED35" i="205"/>
  <c r="EC35" i="205"/>
  <c r="FP35" i="205" s="1"/>
  <c r="EB35" i="205"/>
  <c r="EA35" i="205"/>
  <c r="F41" i="205"/>
  <c r="H41" i="205"/>
  <c r="G41" i="205"/>
  <c r="EG18" i="206"/>
  <c r="EF18" i="206"/>
  <c r="FA20" i="206"/>
  <c r="FR20" i="206"/>
  <c r="FB20" i="206"/>
  <c r="FP20" i="206"/>
  <c r="DZ20" i="206"/>
  <c r="FB42" i="197"/>
  <c r="FB16" i="198"/>
  <c r="FB20" i="198"/>
  <c r="FB22" i="198"/>
  <c r="FB24" i="198"/>
  <c r="FB30" i="198"/>
  <c r="AE41" i="198"/>
  <c r="AE45" i="198"/>
  <c r="FB17" i="199"/>
  <c r="EY19" i="199"/>
  <c r="EX19" i="199"/>
  <c r="FO19" i="199"/>
  <c r="DZ25" i="199"/>
  <c r="AQ26" i="199"/>
  <c r="AO26" i="199"/>
  <c r="AP26" i="199" s="1"/>
  <c r="FP26" i="199"/>
  <c r="DZ26" i="199"/>
  <c r="DW26" i="199"/>
  <c r="EJ26" i="199"/>
  <c r="CH26" i="199" s="1"/>
  <c r="FO28" i="199"/>
  <c r="AO29" i="199"/>
  <c r="AN29" i="199"/>
  <c r="AP29" i="199" s="1"/>
  <c r="DZ29" i="199"/>
  <c r="AS32" i="199"/>
  <c r="AJ32" i="199"/>
  <c r="DT32" i="199"/>
  <c r="FE35" i="199"/>
  <c r="FF35" i="199" s="1"/>
  <c r="FG35" i="199" s="1"/>
  <c r="Y35" i="199" s="1"/>
  <c r="FN36" i="199"/>
  <c r="DX36" i="199"/>
  <c r="DP36" i="199"/>
  <c r="DW36" i="199"/>
  <c r="FO36" i="199" s="1"/>
  <c r="DV36" i="199"/>
  <c r="AQ38" i="199"/>
  <c r="AO38" i="199"/>
  <c r="AP38" i="199" s="1"/>
  <c r="FP38" i="199"/>
  <c r="DZ38" i="199"/>
  <c r="DW38" i="199"/>
  <c r="EJ38" i="199"/>
  <c r="CH38" i="199" s="1"/>
  <c r="AF42" i="199"/>
  <c r="AG44" i="199"/>
  <c r="AW44" i="199"/>
  <c r="AF44" i="199"/>
  <c r="AV44" i="199"/>
  <c r="AE44" i="199"/>
  <c r="AH44" i="199"/>
  <c r="EB45" i="199"/>
  <c r="EA45" i="199"/>
  <c r="H45" i="199"/>
  <c r="G45" i="199"/>
  <c r="F45" i="199"/>
  <c r="AL57" i="199"/>
  <c r="AN18" i="200"/>
  <c r="AM18" i="200"/>
  <c r="AL18" i="200"/>
  <c r="FO19" i="200"/>
  <c r="AO21" i="200"/>
  <c r="AN21" i="200"/>
  <c r="AM21" i="200"/>
  <c r="FR23" i="200"/>
  <c r="FP23" i="200"/>
  <c r="AN25" i="200"/>
  <c r="AM25" i="200"/>
  <c r="AL25" i="200"/>
  <c r="AP25" i="200" s="1"/>
  <c r="AL26" i="200"/>
  <c r="AP26" i="200" s="1"/>
  <c r="AL29" i="200"/>
  <c r="FU29" i="200"/>
  <c r="CK30" i="200"/>
  <c r="DX33" i="200"/>
  <c r="AL35" i="200"/>
  <c r="EG35" i="200"/>
  <c r="EF35" i="200"/>
  <c r="FR36" i="200"/>
  <c r="FP36" i="200"/>
  <c r="EY38" i="200"/>
  <c r="EX38" i="200"/>
  <c r="FO38" i="200"/>
  <c r="EN39" i="200"/>
  <c r="EM39" i="200"/>
  <c r="DX41" i="200"/>
  <c r="DP41" i="200"/>
  <c r="DW41" i="200"/>
  <c r="FO41" i="200" s="1"/>
  <c r="DV41" i="200"/>
  <c r="DU41" i="200"/>
  <c r="FN42" i="200"/>
  <c r="DX42" i="200"/>
  <c r="DP42" i="200"/>
  <c r="DW42" i="200"/>
  <c r="FO42" i="200" s="1"/>
  <c r="AJ43" i="200"/>
  <c r="AH43" i="200"/>
  <c r="AG43" i="200"/>
  <c r="AE43" i="200"/>
  <c r="FO43" i="200"/>
  <c r="J44" i="200"/>
  <c r="I44" i="200"/>
  <c r="AO45" i="200"/>
  <c r="K45" i="200"/>
  <c r="AS45" i="200" s="1"/>
  <c r="J45" i="200"/>
  <c r="EE45" i="200"/>
  <c r="GA45" i="200"/>
  <c r="GL45" i="200" s="1"/>
  <c r="DX16" i="201"/>
  <c r="FE19" i="201"/>
  <c r="FF19" i="201" s="1"/>
  <c r="FG19" i="201" s="1"/>
  <c r="Y19" i="201" s="1"/>
  <c r="EB19" i="201"/>
  <c r="FO20" i="201"/>
  <c r="AL21" i="201"/>
  <c r="FP21" i="201"/>
  <c r="DZ21" i="201"/>
  <c r="CD22" i="201"/>
  <c r="FJ22" i="201"/>
  <c r="FK22" i="201" s="1"/>
  <c r="FL22" i="201" s="1"/>
  <c r="Z22" i="201" s="1"/>
  <c r="CE23" i="201"/>
  <c r="EB24" i="201"/>
  <c r="EA24" i="201"/>
  <c r="FR25" i="201"/>
  <c r="FP25" i="201"/>
  <c r="FS26" i="201"/>
  <c r="CD26" i="201"/>
  <c r="FJ26" i="201"/>
  <c r="FK26" i="201" s="1"/>
  <c r="FL26" i="201" s="1"/>
  <c r="Z26" i="201" s="1"/>
  <c r="AK27" i="201"/>
  <c r="AD28" i="201"/>
  <c r="CE29" i="201"/>
  <c r="EB30" i="201"/>
  <c r="EA30" i="201"/>
  <c r="AL32" i="201"/>
  <c r="AU32" i="201" s="1"/>
  <c r="FU32" i="201"/>
  <c r="CK33" i="201"/>
  <c r="DX34" i="201"/>
  <c r="DP34" i="201"/>
  <c r="DW34" i="201"/>
  <c r="FO34" i="201" s="1"/>
  <c r="DV34" i="201"/>
  <c r="DU34" i="201"/>
  <c r="FN36" i="201"/>
  <c r="DV36" i="201"/>
  <c r="EF36" i="201"/>
  <c r="EN40" i="201"/>
  <c r="EM40" i="201"/>
  <c r="FR44" i="201"/>
  <c r="AY45" i="201"/>
  <c r="K45" i="201"/>
  <c r="AS45" i="201" s="1"/>
  <c r="J45" i="201"/>
  <c r="I45" i="201"/>
  <c r="ED16" i="202"/>
  <c r="FH16" i="202"/>
  <c r="FH19" i="202"/>
  <c r="FU19" i="202"/>
  <c r="EA19" i="202"/>
  <c r="ED19" i="202"/>
  <c r="EC19" i="202"/>
  <c r="FP19" i="202" s="1"/>
  <c r="EB19" i="202"/>
  <c r="DZ19" i="202"/>
  <c r="FB20" i="202"/>
  <c r="FA20" i="202"/>
  <c r="DZ20" i="202"/>
  <c r="CE21" i="202"/>
  <c r="FT21" i="202"/>
  <c r="AD24" i="202"/>
  <c r="CE25" i="202"/>
  <c r="AM26" i="202"/>
  <c r="AL26" i="202"/>
  <c r="AS26" i="202"/>
  <c r="AT26" i="202" s="1"/>
  <c r="AJ26" i="202"/>
  <c r="AO26" i="202"/>
  <c r="AN26" i="202"/>
  <c r="GM26" i="202"/>
  <c r="FN27" i="202"/>
  <c r="EG28" i="202"/>
  <c r="EF28" i="202"/>
  <c r="FQ28" i="202"/>
  <c r="FE31" i="202"/>
  <c r="FF31" i="202" s="1"/>
  <c r="FG31" i="202" s="1"/>
  <c r="Y31" i="202" s="1"/>
  <c r="CD32" i="202"/>
  <c r="FJ32" i="202"/>
  <c r="FK32" i="202" s="1"/>
  <c r="FL32" i="202" s="1"/>
  <c r="Z32" i="202" s="1"/>
  <c r="FN32" i="202"/>
  <c r="FS32" i="202"/>
  <c r="FB33" i="202"/>
  <c r="FA33" i="202"/>
  <c r="FR33" i="202"/>
  <c r="DZ33" i="202"/>
  <c r="AD35" i="202"/>
  <c r="AL36" i="202"/>
  <c r="AP36" i="202" s="1"/>
  <c r="AU37" i="202"/>
  <c r="EG41" i="202"/>
  <c r="EF41" i="202"/>
  <c r="EC42" i="202"/>
  <c r="FP42" i="202" s="1"/>
  <c r="EB42" i="202"/>
  <c r="EA42" i="202"/>
  <c r="FN42" i="202"/>
  <c r="ED42" i="202"/>
  <c r="DP42" i="202"/>
  <c r="AY43" i="202"/>
  <c r="FJ43" i="202"/>
  <c r="FK43" i="202" s="1"/>
  <c r="FL43" i="202" s="1"/>
  <c r="Z43" i="202" s="1"/>
  <c r="EE43" i="202"/>
  <c r="AN57" i="202"/>
  <c r="AL57" i="202"/>
  <c r="AS57" i="202"/>
  <c r="AO57" i="202"/>
  <c r="AM57" i="202"/>
  <c r="EY16" i="203"/>
  <c r="EX16" i="203"/>
  <c r="FQ16" i="203"/>
  <c r="FO16" i="203"/>
  <c r="F16" i="203"/>
  <c r="H16" i="203"/>
  <c r="G16" i="203"/>
  <c r="T20" i="203"/>
  <c r="AR20" i="203" s="1"/>
  <c r="U20" i="203"/>
  <c r="EO21" i="203"/>
  <c r="ES27" i="203"/>
  <c r="FH30" i="203"/>
  <c r="FU30" i="203"/>
  <c r="EC30" i="203"/>
  <c r="EB30" i="203"/>
  <c r="EA30" i="203"/>
  <c r="FN30" i="203"/>
  <c r="ED30" i="203"/>
  <c r="DP30" i="203"/>
  <c r="EG34" i="203"/>
  <c r="EF34" i="203"/>
  <c r="AQ19" i="204"/>
  <c r="AR19" i="204" s="1"/>
  <c r="FU19" i="204"/>
  <c r="FH19" i="204"/>
  <c r="EA19" i="204"/>
  <c r="FP19" i="204"/>
  <c r="EB19" i="204"/>
  <c r="AU23" i="204"/>
  <c r="AZ23" i="204"/>
  <c r="AD25" i="204"/>
  <c r="FQ25" i="204"/>
  <c r="EX25" i="204"/>
  <c r="EY25" i="204"/>
  <c r="DT25" i="204"/>
  <c r="FO25" i="204"/>
  <c r="EM25" i="204"/>
  <c r="EN25" i="204"/>
  <c r="FP25" i="204"/>
  <c r="EN27" i="204"/>
  <c r="EM27" i="204"/>
  <c r="EG30" i="204"/>
  <c r="EF30" i="204"/>
  <c r="CE30" i="204"/>
  <c r="FT30" i="204"/>
  <c r="FO34" i="204"/>
  <c r="FH38" i="204"/>
  <c r="FT21" i="205"/>
  <c r="CE21" i="205"/>
  <c r="EN32" i="205"/>
  <c r="EM32" i="205"/>
  <c r="EQ33" i="205"/>
  <c r="EX20" i="199"/>
  <c r="FM22" i="199"/>
  <c r="EX23" i="199"/>
  <c r="EY24" i="199"/>
  <c r="FO24" i="199"/>
  <c r="EX26" i="199"/>
  <c r="EY27" i="199"/>
  <c r="FO27" i="199"/>
  <c r="EX28" i="199"/>
  <c r="FM29" i="199"/>
  <c r="EX30" i="199"/>
  <c r="EY31" i="199"/>
  <c r="EB33" i="199"/>
  <c r="FA33" i="199"/>
  <c r="CD34" i="199"/>
  <c r="EC34" i="199"/>
  <c r="FP34" i="199" s="1"/>
  <c r="FB34" i="199"/>
  <c r="FM37" i="199"/>
  <c r="EX38" i="199"/>
  <c r="EY39" i="199"/>
  <c r="FO39" i="199"/>
  <c r="EY41" i="199"/>
  <c r="FO41" i="199"/>
  <c r="EB42" i="199"/>
  <c r="FA42" i="199"/>
  <c r="FM44" i="199"/>
  <c r="EX16" i="200"/>
  <c r="CD20" i="200"/>
  <c r="EC20" i="200"/>
  <c r="FP20" i="200" s="1"/>
  <c r="FB20" i="200"/>
  <c r="EX22" i="200"/>
  <c r="AY23" i="200"/>
  <c r="CD24" i="200"/>
  <c r="EC24" i="200"/>
  <c r="FP24" i="200" s="1"/>
  <c r="ES24" i="200"/>
  <c r="FB24" i="200"/>
  <c r="EX27" i="200"/>
  <c r="CD28" i="200"/>
  <c r="EC28" i="200"/>
  <c r="FP28" i="200" s="1"/>
  <c r="FB28" i="200"/>
  <c r="EX29" i="200"/>
  <c r="AY31" i="200"/>
  <c r="EB32" i="200"/>
  <c r="FA32" i="200"/>
  <c r="CD33" i="200"/>
  <c r="EC33" i="200"/>
  <c r="FP33" i="200" s="1"/>
  <c r="FB33" i="200"/>
  <c r="AY36" i="200"/>
  <c r="EB44" i="200"/>
  <c r="FA44" i="200"/>
  <c r="AL52" i="200"/>
  <c r="CD16" i="201"/>
  <c r="EC16" i="201"/>
  <c r="FP16" i="201" s="1"/>
  <c r="FB16" i="201"/>
  <c r="EX20" i="201"/>
  <c r="EB23" i="201"/>
  <c r="FA23" i="201"/>
  <c r="EB26" i="201"/>
  <c r="FA26" i="201"/>
  <c r="CD27" i="201"/>
  <c r="EC27" i="201"/>
  <c r="FP27" i="201" s="1"/>
  <c r="FB27" i="201"/>
  <c r="EB29" i="201"/>
  <c r="FA29" i="201"/>
  <c r="EY30" i="201"/>
  <c r="FO30" i="201"/>
  <c r="EX32" i="201"/>
  <c r="EY33" i="201"/>
  <c r="EY35" i="201"/>
  <c r="FO35" i="201"/>
  <c r="EX36" i="201"/>
  <c r="CD37" i="201"/>
  <c r="EC37" i="201"/>
  <c r="FP37" i="201" s="1"/>
  <c r="ES37" i="201"/>
  <c r="FB37" i="201"/>
  <c r="EX38" i="201"/>
  <c r="CD41" i="201"/>
  <c r="EC41" i="201"/>
  <c r="FP41" i="201" s="1"/>
  <c r="FB41" i="201"/>
  <c r="GD41" i="201"/>
  <c r="GL41" i="201" s="1"/>
  <c r="EX43" i="201"/>
  <c r="CD45" i="201"/>
  <c r="EC45" i="201"/>
  <c r="FP45" i="201" s="1"/>
  <c r="FB45" i="201"/>
  <c r="HF14" i="202"/>
  <c r="HO14" i="202"/>
  <c r="AJ17" i="202"/>
  <c r="FQ17" i="202"/>
  <c r="EC18" i="202"/>
  <c r="FP18" i="202" s="1"/>
  <c r="EA18" i="202"/>
  <c r="FE20" i="202"/>
  <c r="FF20" i="202" s="1"/>
  <c r="FG20" i="202" s="1"/>
  <c r="Y20" i="202" s="1"/>
  <c r="EE21" i="202"/>
  <c r="FS23" i="202"/>
  <c r="CD23" i="202"/>
  <c r="FJ23" i="202"/>
  <c r="FK23" i="202" s="1"/>
  <c r="FL23" i="202" s="1"/>
  <c r="Z23" i="202" s="1"/>
  <c r="FN23" i="202"/>
  <c r="AL25" i="202"/>
  <c r="AS25" i="202"/>
  <c r="AT25" i="202" s="1"/>
  <c r="AJ25" i="202"/>
  <c r="AM25" i="202"/>
  <c r="DT25" i="202"/>
  <c r="FO25" i="202"/>
  <c r="FP27" i="202"/>
  <c r="FU29" i="202"/>
  <c r="FH29" i="202"/>
  <c r="K29" i="202"/>
  <c r="J29" i="202"/>
  <c r="EC29" i="202"/>
  <c r="K30" i="202"/>
  <c r="AS30" i="202" s="1"/>
  <c r="J30" i="202"/>
  <c r="I30" i="202"/>
  <c r="AZ30" i="202" s="1"/>
  <c r="CK32" i="202"/>
  <c r="J32" i="202"/>
  <c r="I32" i="202"/>
  <c r="EB34" i="202"/>
  <c r="EA34" i="202"/>
  <c r="EC34" i="202"/>
  <c r="FP34" i="202" s="1"/>
  <c r="DP34" i="202"/>
  <c r="FO36" i="202"/>
  <c r="FN36" i="202"/>
  <c r="FQ36" i="202"/>
  <c r="DU36" i="202"/>
  <c r="DX36" i="202"/>
  <c r="FA36" i="202"/>
  <c r="AO37" i="202"/>
  <c r="AN37" i="202"/>
  <c r="AM37" i="202"/>
  <c r="AP37" i="202" s="1"/>
  <c r="AL37" i="202"/>
  <c r="AH42" i="202"/>
  <c r="AV42" i="202"/>
  <c r="AG42" i="202"/>
  <c r="AF42" i="202"/>
  <c r="AW42" i="202"/>
  <c r="G43" i="202"/>
  <c r="AO44" i="202"/>
  <c r="AN44" i="202"/>
  <c r="AM44" i="202"/>
  <c r="AJ44" i="202"/>
  <c r="AD16" i="203"/>
  <c r="FU16" i="203"/>
  <c r="FH16" i="203"/>
  <c r="EC16" i="203"/>
  <c r="EB16" i="203"/>
  <c r="EA16" i="203"/>
  <c r="EJ16" i="203"/>
  <c r="CH16" i="203" s="1"/>
  <c r="AO19" i="203"/>
  <c r="AN19" i="203"/>
  <c r="AJ19" i="203"/>
  <c r="AS19" i="203"/>
  <c r="AQ19" i="203"/>
  <c r="AM19" i="203"/>
  <c r="CE20" i="203"/>
  <c r="EY21" i="203"/>
  <c r="EX21" i="203"/>
  <c r="DT21" i="203"/>
  <c r="DT22" i="203"/>
  <c r="FO22" i="203"/>
  <c r="ER22" i="203"/>
  <c r="AU24" i="203"/>
  <c r="FU24" i="203"/>
  <c r="FH24" i="203"/>
  <c r="ED24" i="203"/>
  <c r="CD25" i="203"/>
  <c r="FS25" i="203"/>
  <c r="FJ25" i="203"/>
  <c r="FK25" i="203" s="1"/>
  <c r="FL25" i="203" s="1"/>
  <c r="Z25" i="203" s="1"/>
  <c r="FE25" i="203"/>
  <c r="FF25" i="203" s="1"/>
  <c r="FG25" i="203" s="1"/>
  <c r="Y25" i="203" s="1"/>
  <c r="EB27" i="203"/>
  <c r="FA28" i="203"/>
  <c r="FR28" i="203"/>
  <c r="DZ28" i="203"/>
  <c r="EN30" i="203"/>
  <c r="EM30" i="203"/>
  <c r="FO31" i="203"/>
  <c r="FN31" i="203"/>
  <c r="DP31" i="203"/>
  <c r="DX31" i="203"/>
  <c r="DV31" i="203"/>
  <c r="FQ31" i="203"/>
  <c r="DU31" i="203"/>
  <c r="AJ32" i="203"/>
  <c r="AQ32" i="203"/>
  <c r="AR32" i="203" s="1"/>
  <c r="AM32" i="203"/>
  <c r="AL32" i="203"/>
  <c r="AO32" i="203"/>
  <c r="AN32" i="203"/>
  <c r="EG38" i="203"/>
  <c r="EF38" i="203"/>
  <c r="DT43" i="203"/>
  <c r="EN43" i="203"/>
  <c r="EM43" i="203"/>
  <c r="FN44" i="203"/>
  <c r="DX44" i="203"/>
  <c r="DW44" i="203"/>
  <c r="FO44" i="203" s="1"/>
  <c r="DU44" i="203"/>
  <c r="GD45" i="203"/>
  <c r="GC45" i="203"/>
  <c r="GB45" i="203"/>
  <c r="GE45" i="203"/>
  <c r="GA45" i="203"/>
  <c r="EG19" i="204"/>
  <c r="EF19" i="204"/>
  <c r="FA20" i="204"/>
  <c r="FR20" i="204"/>
  <c r="FP20" i="204"/>
  <c r="DZ20" i="204"/>
  <c r="AO23" i="204"/>
  <c r="AN23" i="204"/>
  <c r="AM23" i="204"/>
  <c r="AP23" i="204" s="1"/>
  <c r="AS23" i="204"/>
  <c r="AT23" i="204" s="1"/>
  <c r="AQ23" i="204"/>
  <c r="AR23" i="204" s="1"/>
  <c r="CE26" i="204"/>
  <c r="FT26" i="204"/>
  <c r="FR27" i="204"/>
  <c r="FB27" i="204"/>
  <c r="FA27" i="204"/>
  <c r="DZ27" i="204"/>
  <c r="FS39" i="204"/>
  <c r="CD39" i="204"/>
  <c r="FJ39" i="204"/>
  <c r="FK39" i="204" s="1"/>
  <c r="FL39" i="204" s="1"/>
  <c r="Z39" i="204" s="1"/>
  <c r="FE39" i="204"/>
  <c r="FF39" i="204" s="1"/>
  <c r="FG39" i="204" s="1"/>
  <c r="Y39" i="204" s="1"/>
  <c r="EF42" i="204"/>
  <c r="EG42" i="204"/>
  <c r="J45" i="204"/>
  <c r="I45" i="204"/>
  <c r="K45" i="204"/>
  <c r="DT42" i="205"/>
  <c r="DT39" i="205"/>
  <c r="DT32" i="205"/>
  <c r="DT38" i="205"/>
  <c r="DT45" i="205"/>
  <c r="DZ31" i="205"/>
  <c r="DZ24" i="205"/>
  <c r="DT18" i="205"/>
  <c r="DT35" i="205"/>
  <c r="DZ36" i="205"/>
  <c r="DZ43" i="205"/>
  <c r="DT34" i="205"/>
  <c r="DZ21" i="205"/>
  <c r="DT43" i="205"/>
  <c r="DT24" i="205"/>
  <c r="DT40" i="205"/>
  <c r="DZ22" i="205"/>
  <c r="DT17" i="205"/>
  <c r="DT26" i="205"/>
  <c r="DZ39" i="205"/>
  <c r="DZ20" i="205"/>
  <c r="DZ25" i="205"/>
  <c r="AL53" i="205"/>
  <c r="AL49" i="205"/>
  <c r="AL54" i="205"/>
  <c r="AL52" i="205"/>
  <c r="EF19" i="205"/>
  <c r="EG19" i="205"/>
  <c r="EG20" i="205"/>
  <c r="EF20" i="205"/>
  <c r="CE22" i="205"/>
  <c r="FT22" i="205"/>
  <c r="FQ23" i="205"/>
  <c r="EY23" i="205"/>
  <c r="EX23" i="205"/>
  <c r="DT23" i="205"/>
  <c r="FO23" i="205"/>
  <c r="EN23" i="205"/>
  <c r="EN31" i="205"/>
  <c r="EM31" i="205"/>
  <c r="AO38" i="205"/>
  <c r="AN38" i="205"/>
  <c r="AL38" i="205"/>
  <c r="AP38" i="205" s="1"/>
  <c r="AS38" i="205"/>
  <c r="AQ38" i="205"/>
  <c r="AM38" i="205"/>
  <c r="AP16" i="206"/>
  <c r="AU16" i="206"/>
  <c r="AZ16" i="206"/>
  <c r="FA25" i="199"/>
  <c r="FA32" i="199"/>
  <c r="EC33" i="199"/>
  <c r="FB33" i="199"/>
  <c r="FM36" i="199"/>
  <c r="DU42" i="199"/>
  <c r="EC42" i="199"/>
  <c r="FP42" i="199" s="1"/>
  <c r="FB42" i="199"/>
  <c r="AD43" i="199"/>
  <c r="AY17" i="200"/>
  <c r="AY19" i="200"/>
  <c r="FA23" i="200"/>
  <c r="AY30" i="200"/>
  <c r="FA31" i="200"/>
  <c r="EC32" i="200"/>
  <c r="FP32" i="200" s="1"/>
  <c r="FB32" i="200"/>
  <c r="FA36" i="200"/>
  <c r="AY43" i="200"/>
  <c r="EC44" i="200"/>
  <c r="FP44" i="200" s="1"/>
  <c r="FB44" i="200"/>
  <c r="DT22" i="201"/>
  <c r="FA22" i="201"/>
  <c r="EC23" i="201"/>
  <c r="FP23" i="201" s="1"/>
  <c r="FB23" i="201"/>
  <c r="DT25" i="201"/>
  <c r="FA25" i="201"/>
  <c r="EC26" i="201"/>
  <c r="FB26" i="201"/>
  <c r="EC29" i="201"/>
  <c r="FP29" i="201" s="1"/>
  <c r="FB29" i="201"/>
  <c r="FM42" i="201"/>
  <c r="DT44" i="201"/>
  <c r="FQ44" i="201"/>
  <c r="IA14" i="202"/>
  <c r="HS14" i="202"/>
  <c r="HK14" i="202"/>
  <c r="HG14" i="202"/>
  <c r="HP14" i="202"/>
  <c r="HY14" i="202"/>
  <c r="DX16" i="202"/>
  <c r="DP16" i="202"/>
  <c r="DV16" i="202"/>
  <c r="FJ18" i="202"/>
  <c r="FK18" i="202" s="1"/>
  <c r="FL18" i="202" s="1"/>
  <c r="Z18" i="202" s="1"/>
  <c r="FS21" i="202"/>
  <c r="CD21" i="202"/>
  <c r="FJ21" i="202"/>
  <c r="FK21" i="202" s="1"/>
  <c r="FL21" i="202" s="1"/>
  <c r="Z21" i="202" s="1"/>
  <c r="FE21" i="202"/>
  <c r="FF21" i="202" s="1"/>
  <c r="FG21" i="202" s="1"/>
  <c r="Y21" i="202" s="1"/>
  <c r="FT22" i="202"/>
  <c r="CE22" i="202"/>
  <c r="J27" i="202"/>
  <c r="I27" i="202"/>
  <c r="AZ27" i="202" s="1"/>
  <c r="DQ28" i="202"/>
  <c r="CR28" i="202"/>
  <c r="EJ87" i="202"/>
  <c r="EU28" i="202"/>
  <c r="ET28" i="202"/>
  <c r="FS29" i="202"/>
  <c r="CD29" i="202"/>
  <c r="FE29" i="202"/>
  <c r="FF29" i="202" s="1"/>
  <c r="FG29" i="202" s="1"/>
  <c r="Y29" i="202" s="1"/>
  <c r="EG29" i="202"/>
  <c r="EF29" i="202"/>
  <c r="EI30" i="202"/>
  <c r="EK30" i="202"/>
  <c r="CE32" i="202"/>
  <c r="FT32" i="202"/>
  <c r="EF32" i="202"/>
  <c r="EK33" i="202"/>
  <c r="FP36" i="202"/>
  <c r="DZ36" i="202"/>
  <c r="EQ36" i="202"/>
  <c r="EO36" i="202"/>
  <c r="EN37" i="202"/>
  <c r="EM37" i="202"/>
  <c r="AO38" i="202"/>
  <c r="AN38" i="202"/>
  <c r="AJ38" i="202"/>
  <c r="EQ38" i="202"/>
  <c r="CI38" i="202" s="1"/>
  <c r="ER40" i="202"/>
  <c r="GL43" i="202"/>
  <c r="GM43" i="202" s="1"/>
  <c r="CE45" i="202"/>
  <c r="W45" i="202"/>
  <c r="V45" i="202"/>
  <c r="AT45" i="202" s="1"/>
  <c r="EL16" i="203"/>
  <c r="EG25" i="203"/>
  <c r="EF25" i="203"/>
  <c r="AO26" i="203"/>
  <c r="AN26" i="203"/>
  <c r="AM26" i="203"/>
  <c r="AP26" i="203" s="1"/>
  <c r="AQ26" i="203"/>
  <c r="AL26" i="203"/>
  <c r="AU26" i="203" s="1"/>
  <c r="AS26" i="203"/>
  <c r="AQ28" i="203"/>
  <c r="AO28" i="203"/>
  <c r="AN28" i="203"/>
  <c r="AM28" i="203"/>
  <c r="AL28" i="203"/>
  <c r="AU28" i="203" s="1"/>
  <c r="EG28" i="203"/>
  <c r="EF28" i="203"/>
  <c r="ER29" i="203"/>
  <c r="EV29" i="203" s="1"/>
  <c r="EG30" i="203"/>
  <c r="EF30" i="203"/>
  <c r="CE30" i="203"/>
  <c r="FR31" i="203"/>
  <c r="FA31" i="203"/>
  <c r="FP31" i="203"/>
  <c r="DZ31" i="203"/>
  <c r="EY35" i="203"/>
  <c r="EX35" i="203"/>
  <c r="DT35" i="203"/>
  <c r="EE35" i="203"/>
  <c r="EG37" i="203"/>
  <c r="EF37" i="203"/>
  <c r="ES38" i="203"/>
  <c r="FE38" i="203"/>
  <c r="FF38" i="203" s="1"/>
  <c r="FG38" i="203" s="1"/>
  <c r="Y38" i="203" s="1"/>
  <c r="FJ38" i="203"/>
  <c r="FK38" i="203" s="1"/>
  <c r="FL38" i="203" s="1"/>
  <c r="Z38" i="203" s="1"/>
  <c r="EY42" i="203"/>
  <c r="EX42" i="203"/>
  <c r="FO42" i="203"/>
  <c r="EM42" i="203"/>
  <c r="EN42" i="203"/>
  <c r="FQ42" i="203"/>
  <c r="EG16" i="204"/>
  <c r="EF16" i="204"/>
  <c r="EN17" i="204"/>
  <c r="EM17" i="204"/>
  <c r="FH21" i="204"/>
  <c r="FU21" i="204"/>
  <c r="EC21" i="204"/>
  <c r="EB21" i="204"/>
  <c r="EA21" i="204"/>
  <c r="FN21" i="204"/>
  <c r="ED21" i="204"/>
  <c r="EC27" i="204"/>
  <c r="FP27" i="204" s="1"/>
  <c r="EB27" i="204"/>
  <c r="EJ28" i="204"/>
  <c r="AU29" i="204"/>
  <c r="AM35" i="204"/>
  <c r="AL35" i="204"/>
  <c r="AS35" i="204"/>
  <c r="AJ35" i="204"/>
  <c r="AN35" i="204"/>
  <c r="AO35" i="204"/>
  <c r="EF36" i="204"/>
  <c r="EN37" i="204"/>
  <c r="EM37" i="204"/>
  <c r="EG39" i="204"/>
  <c r="EF39" i="204"/>
  <c r="FT42" i="204"/>
  <c r="CE42" i="204"/>
  <c r="FS45" i="204"/>
  <c r="CD45" i="204"/>
  <c r="FJ45" i="204"/>
  <c r="FK45" i="204" s="1"/>
  <c r="FL45" i="204" s="1"/>
  <c r="Z45" i="204" s="1"/>
  <c r="FE45" i="204"/>
  <c r="FF45" i="204" s="1"/>
  <c r="FG45" i="204" s="1"/>
  <c r="Y45" i="204" s="1"/>
  <c r="AK19" i="205"/>
  <c r="DT30" i="205"/>
  <c r="DZ34" i="205"/>
  <c r="EG37" i="205"/>
  <c r="EF37" i="205"/>
  <c r="FO40" i="205"/>
  <c r="EK42" i="205"/>
  <c r="FN36" i="206"/>
  <c r="FN35" i="206"/>
  <c r="FN44" i="206"/>
  <c r="FN32" i="206"/>
  <c r="FN29" i="206"/>
  <c r="FN27" i="206"/>
  <c r="FN21" i="206"/>
  <c r="FN39" i="206"/>
  <c r="FN17" i="206"/>
  <c r="EG23" i="206"/>
  <c r="EF23" i="206"/>
  <c r="FL26" i="206"/>
  <c r="Z26" i="206" s="1"/>
  <c r="DR26" i="206"/>
  <c r="CS26" i="206"/>
  <c r="W27" i="206"/>
  <c r="V27" i="206"/>
  <c r="FS43" i="206"/>
  <c r="CD43" i="206"/>
  <c r="FE43" i="206"/>
  <c r="FF43" i="206" s="1"/>
  <c r="FG43" i="206" s="1"/>
  <c r="Y43" i="206" s="1"/>
  <c r="FJ43" i="206"/>
  <c r="FK43" i="206" s="1"/>
  <c r="FL43" i="206" s="1"/>
  <c r="Z43" i="206" s="1"/>
  <c r="FB25" i="199"/>
  <c r="FB32" i="199"/>
  <c r="FB40" i="199"/>
  <c r="AY16" i="200"/>
  <c r="AY22" i="200"/>
  <c r="FB23" i="200"/>
  <c r="AY27" i="200"/>
  <c r="FB31" i="200"/>
  <c r="FB36" i="200"/>
  <c r="DT21" i="201"/>
  <c r="FB22" i="201"/>
  <c r="DT24" i="201"/>
  <c r="FB25" i="201"/>
  <c r="DT33" i="201"/>
  <c r="FB44" i="201"/>
  <c r="AM52" i="201"/>
  <c r="HH14" i="202"/>
  <c r="HQ14" i="202"/>
  <c r="HZ14" i="202"/>
  <c r="DW16" i="202"/>
  <c r="FO16" i="202" s="1"/>
  <c r="FN16" i="202"/>
  <c r="AM17" i="202"/>
  <c r="EY17" i="202"/>
  <c r="GM18" i="202"/>
  <c r="AQ19" i="202"/>
  <c r="AO19" i="202"/>
  <c r="AM19" i="202"/>
  <c r="AP19" i="202" s="1"/>
  <c r="EI19" i="202"/>
  <c r="AD22" i="202"/>
  <c r="EE22" i="202"/>
  <c r="GM22" i="202"/>
  <c r="CE23" i="202"/>
  <c r="FT23" i="202"/>
  <c r="FJ26" i="202"/>
  <c r="FK26" i="202" s="1"/>
  <c r="FL26" i="202" s="1"/>
  <c r="Z26" i="202" s="1"/>
  <c r="FE27" i="202"/>
  <c r="FF27" i="202" s="1"/>
  <c r="FG27" i="202" s="1"/>
  <c r="Y27" i="202" s="1"/>
  <c r="FH28" i="202"/>
  <c r="EF30" i="202"/>
  <c r="FP31" i="202"/>
  <c r="DZ31" i="202"/>
  <c r="FV33" i="202"/>
  <c r="FM33" i="202"/>
  <c r="EF33" i="202"/>
  <c r="FS33" i="202"/>
  <c r="J34" i="202"/>
  <c r="CE35" i="202"/>
  <c r="FH36" i="202"/>
  <c r="FU36" i="202"/>
  <c r="EA36" i="202"/>
  <c r="ED36" i="202"/>
  <c r="EB36" i="202"/>
  <c r="EP36" i="202"/>
  <c r="ER36" i="202"/>
  <c r="EV36" i="202" s="1"/>
  <c r="CJ36" i="202" s="1"/>
  <c r="FO37" i="202"/>
  <c r="AL38" i="202"/>
  <c r="ER39" i="202"/>
  <c r="EQ39" i="202"/>
  <c r="CI39" i="202" s="1"/>
  <c r="EM40" i="202"/>
  <c r="EN41" i="202"/>
  <c r="EM41" i="202"/>
  <c r="EG42" i="202"/>
  <c r="GF57" i="202"/>
  <c r="AX57" i="202"/>
  <c r="FU19" i="203"/>
  <c r="FH19" i="203"/>
  <c r="EC19" i="203"/>
  <c r="FP19" i="203" s="1"/>
  <c r="EB19" i="203"/>
  <c r="ER20" i="203"/>
  <c r="EQ22" i="203"/>
  <c r="EY23" i="203"/>
  <c r="EX23" i="203"/>
  <c r="FQ23" i="203"/>
  <c r="FO23" i="203"/>
  <c r="DT23" i="203"/>
  <c r="FT25" i="203"/>
  <c r="EN25" i="203"/>
  <c r="FB26" i="203"/>
  <c r="FA26" i="203"/>
  <c r="FR26" i="203"/>
  <c r="FP26" i="203"/>
  <c r="DZ26" i="203"/>
  <c r="FU27" i="203"/>
  <c r="FH27" i="203"/>
  <c r="ED27" i="203"/>
  <c r="FJ28" i="203"/>
  <c r="FK28" i="203" s="1"/>
  <c r="FL28" i="203" s="1"/>
  <c r="Z28" i="203" s="1"/>
  <c r="EN28" i="203"/>
  <c r="EM28" i="203"/>
  <c r="DT29" i="203"/>
  <c r="EM29" i="203"/>
  <c r="FB31" i="203"/>
  <c r="AN36" i="203"/>
  <c r="AM36" i="203"/>
  <c r="AL36" i="203"/>
  <c r="AP36" i="203" s="1"/>
  <c r="AO36" i="203"/>
  <c r="AS36" i="203"/>
  <c r="AT36" i="203" s="1"/>
  <c r="AU37" i="203"/>
  <c r="DT37" i="203"/>
  <c r="EJ98" i="203"/>
  <c r="EL98" i="203" s="1"/>
  <c r="EU39" i="203"/>
  <c r="ES39" i="203"/>
  <c r="DQ39" i="203"/>
  <c r="DW42" i="203"/>
  <c r="DV42" i="203"/>
  <c r="DU42" i="203"/>
  <c r="DX42" i="203"/>
  <c r="FN42" i="203"/>
  <c r="DP42" i="203"/>
  <c r="AK57" i="203"/>
  <c r="CD21" i="204"/>
  <c r="FS21" i="204"/>
  <c r="FJ21" i="204"/>
  <c r="FK21" i="204" s="1"/>
  <c r="FL21" i="204" s="1"/>
  <c r="Z21" i="204" s="1"/>
  <c r="FE21" i="204"/>
  <c r="FF21" i="204" s="1"/>
  <c r="FG21" i="204" s="1"/>
  <c r="Y21" i="204" s="1"/>
  <c r="EG21" i="204"/>
  <c r="EF21" i="204"/>
  <c r="EG25" i="204"/>
  <c r="EF25" i="204"/>
  <c r="EN26" i="204"/>
  <c r="EM26" i="204"/>
  <c r="ER28" i="204"/>
  <c r="E45" i="204"/>
  <c r="D45" i="204"/>
  <c r="GK45" i="204" s="1"/>
  <c r="EQ45" i="204"/>
  <c r="CI45" i="204" s="1"/>
  <c r="FM45" i="204"/>
  <c r="EQ23" i="205"/>
  <c r="FM25" i="205"/>
  <c r="FV25" i="205"/>
  <c r="AL36" i="205"/>
  <c r="AS36" i="205"/>
  <c r="AQ36" i="205"/>
  <c r="AO36" i="205"/>
  <c r="AM36" i="205"/>
  <c r="AJ36" i="205"/>
  <c r="AN36" i="205"/>
  <c r="EG36" i="205"/>
  <c r="EF36" i="205"/>
  <c r="DT36" i="205"/>
  <c r="AJ39" i="205"/>
  <c r="AQ39" i="205"/>
  <c r="AR39" i="205" s="1"/>
  <c r="AS39" i="205"/>
  <c r="AT39" i="205" s="1"/>
  <c r="AO39" i="205"/>
  <c r="AN39" i="205"/>
  <c r="AM39" i="205"/>
  <c r="AL39" i="205"/>
  <c r="EN40" i="205"/>
  <c r="EM40" i="205"/>
  <c r="AJ34" i="202"/>
  <c r="AQ34" i="202"/>
  <c r="AR34" i="202" s="1"/>
  <c r="AS35" i="202"/>
  <c r="AT35" i="202" s="1"/>
  <c r="AJ35" i="202"/>
  <c r="AQ35" i="202"/>
  <c r="AR35" i="202" s="1"/>
  <c r="FO39" i="202"/>
  <c r="FN39" i="202"/>
  <c r="DV39" i="202"/>
  <c r="FP40" i="202"/>
  <c r="DZ40" i="202"/>
  <c r="AH41" i="202"/>
  <c r="AG41" i="202"/>
  <c r="AW41" i="202"/>
  <c r="AK41" i="202" s="1"/>
  <c r="AF41" i="202"/>
  <c r="AE41" i="202"/>
  <c r="FP41" i="202"/>
  <c r="DZ41" i="202"/>
  <c r="CD42" i="202"/>
  <c r="FJ42" i="202"/>
  <c r="FK42" i="202" s="1"/>
  <c r="FL42" i="202" s="1"/>
  <c r="Z42" i="202" s="1"/>
  <c r="AM53" i="203"/>
  <c r="AM49" i="203"/>
  <c r="DW16" i="203"/>
  <c r="DU16" i="203"/>
  <c r="DP16" i="203"/>
  <c r="GM16" i="203"/>
  <c r="AL22" i="203"/>
  <c r="AS22" i="203"/>
  <c r="AJ22" i="203"/>
  <c r="AN22" i="203"/>
  <c r="AM22" i="203"/>
  <c r="EE22" i="203"/>
  <c r="AO23" i="203"/>
  <c r="AN23" i="203"/>
  <c r="AQ23" i="203"/>
  <c r="AM23" i="203"/>
  <c r="AP23" i="203" s="1"/>
  <c r="AL23" i="203"/>
  <c r="AU23" i="203" s="1"/>
  <c r="EG23" i="203"/>
  <c r="EF23" i="203"/>
  <c r="AP27" i="203"/>
  <c r="AU27" i="203"/>
  <c r="EG27" i="203"/>
  <c r="EF27" i="203"/>
  <c r="FH28" i="203"/>
  <c r="FU28" i="203"/>
  <c r="EA28" i="203"/>
  <c r="EC28" i="203"/>
  <c r="FP28" i="203" s="1"/>
  <c r="EB28" i="203"/>
  <c r="CK30" i="203"/>
  <c r="FJ31" i="203"/>
  <c r="FK31" i="203" s="1"/>
  <c r="FL31" i="203" s="1"/>
  <c r="Z31" i="203" s="1"/>
  <c r="FS34" i="203"/>
  <c r="CD34" i="203"/>
  <c r="FJ34" i="203"/>
  <c r="FK34" i="203" s="1"/>
  <c r="FL34" i="203" s="1"/>
  <c r="Z34" i="203" s="1"/>
  <c r="FN34" i="203"/>
  <c r="DX36" i="203"/>
  <c r="DP36" i="203"/>
  <c r="DW36" i="203"/>
  <c r="DV36" i="203"/>
  <c r="FN36" i="203"/>
  <c r="DU36" i="203"/>
  <c r="FR37" i="203"/>
  <c r="EE39" i="203"/>
  <c r="AJ41" i="203"/>
  <c r="AH41" i="203"/>
  <c r="AW41" i="203"/>
  <c r="AK42" i="203"/>
  <c r="AY43" i="203"/>
  <c r="FJ44" i="203"/>
  <c r="FK44" i="203" s="1"/>
  <c r="FL44" i="203" s="1"/>
  <c r="Z44" i="203" s="1"/>
  <c r="FR16" i="204"/>
  <c r="DZ16" i="204"/>
  <c r="AU20" i="204"/>
  <c r="AZ20" i="204"/>
  <c r="FN20" i="204"/>
  <c r="DX20" i="204"/>
  <c r="DP20" i="204"/>
  <c r="DW20" i="204"/>
  <c r="FO20" i="204" s="1"/>
  <c r="DV20" i="204"/>
  <c r="DU20" i="204"/>
  <c r="FQ20" i="204"/>
  <c r="CK21" i="204"/>
  <c r="AU24" i="204"/>
  <c r="FO24" i="204"/>
  <c r="FS28" i="204"/>
  <c r="CD28" i="204"/>
  <c r="FJ28" i="204"/>
  <c r="FK28" i="204" s="1"/>
  <c r="FL28" i="204" s="1"/>
  <c r="Z28" i="204" s="1"/>
  <c r="FN28" i="204"/>
  <c r="EY29" i="204"/>
  <c r="EX29" i="204"/>
  <c r="FO29" i="204"/>
  <c r="DT29" i="204"/>
  <c r="ER30" i="204"/>
  <c r="EN33" i="204"/>
  <c r="EM33" i="204"/>
  <c r="AD35" i="204"/>
  <c r="FT40" i="204"/>
  <c r="CE40" i="204"/>
  <c r="FR43" i="204"/>
  <c r="AJ45" i="204"/>
  <c r="AH45" i="204"/>
  <c r="AV45" i="204"/>
  <c r="AK45" i="204" s="1"/>
  <c r="AE45" i="204"/>
  <c r="AD45" i="204"/>
  <c r="AG45" i="204"/>
  <c r="EG45" i="204"/>
  <c r="EF45" i="204"/>
  <c r="CE45" i="204"/>
  <c r="EN17" i="205"/>
  <c r="EM17" i="205"/>
  <c r="FQ21" i="205"/>
  <c r="EY21" i="205"/>
  <c r="EX21" i="205"/>
  <c r="DT21" i="205"/>
  <c r="EM21" i="205"/>
  <c r="EN21" i="205"/>
  <c r="ET26" i="205"/>
  <c r="FT26" i="205"/>
  <c r="CE26" i="205"/>
  <c r="EK28" i="205"/>
  <c r="AM29" i="205"/>
  <c r="AL29" i="205"/>
  <c r="AJ29" i="205"/>
  <c r="AQ29" i="205"/>
  <c r="AO29" i="205"/>
  <c r="AN29" i="205"/>
  <c r="CD33" i="205"/>
  <c r="FS33" i="205"/>
  <c r="FJ33" i="205"/>
  <c r="FK33" i="205" s="1"/>
  <c r="FL33" i="205" s="1"/>
  <c r="Z33" i="205" s="1"/>
  <c r="FE33" i="205"/>
  <c r="FF33" i="205" s="1"/>
  <c r="FG33" i="205" s="1"/>
  <c r="Y33" i="205" s="1"/>
  <c r="AL34" i="205"/>
  <c r="AS34" i="205"/>
  <c r="AT34" i="205" s="1"/>
  <c r="AQ34" i="205"/>
  <c r="AR34" i="205" s="1"/>
  <c r="AO34" i="205"/>
  <c r="AN34" i="205"/>
  <c r="AM34" i="205"/>
  <c r="AJ34" i="205"/>
  <c r="AO35" i="205"/>
  <c r="AM35" i="205"/>
  <c r="AP35" i="205" s="1"/>
  <c r="AS35" i="205"/>
  <c r="AQ35" i="205"/>
  <c r="AN35" i="205"/>
  <c r="FN35" i="205"/>
  <c r="DW35" i="205"/>
  <c r="FO35" i="205" s="1"/>
  <c r="DU35" i="205"/>
  <c r="FQ35" i="205"/>
  <c r="DP35" i="205"/>
  <c r="DV35" i="205"/>
  <c r="DX35" i="205"/>
  <c r="CD38" i="205"/>
  <c r="FS38" i="205"/>
  <c r="ES38" i="205"/>
  <c r="FJ38" i="205"/>
  <c r="FK38" i="205" s="1"/>
  <c r="FL38" i="205" s="1"/>
  <c r="Z38" i="205" s="1"/>
  <c r="AM21" i="206"/>
  <c r="AL21" i="206"/>
  <c r="AS21" i="206"/>
  <c r="AT21" i="206" s="1"/>
  <c r="AJ21" i="206"/>
  <c r="AQ21" i="206"/>
  <c r="AR21" i="206" s="1"/>
  <c r="AN21" i="206"/>
  <c r="AO21" i="206"/>
  <c r="EG27" i="206"/>
  <c r="EF27" i="206"/>
  <c r="CE27" i="206"/>
  <c r="FT27" i="206"/>
  <c r="FQ45" i="206"/>
  <c r="EY45" i="206"/>
  <c r="EX45" i="206"/>
  <c r="DT45" i="206"/>
  <c r="FO45" i="206"/>
  <c r="EN45" i="206"/>
  <c r="EM45" i="206"/>
  <c r="AL54" i="202"/>
  <c r="AL52" i="202"/>
  <c r="DT16" i="202"/>
  <c r="FN19" i="202"/>
  <c r="DU19" i="202"/>
  <c r="DX20" i="202"/>
  <c r="DP20" i="202"/>
  <c r="DV20" i="202"/>
  <c r="FN20" i="202"/>
  <c r="DW22" i="202"/>
  <c r="FO22" i="202" s="1"/>
  <c r="DV22" i="202"/>
  <c r="DU22" i="202"/>
  <c r="DW26" i="202"/>
  <c r="FO26" i="202" s="1"/>
  <c r="DV26" i="202"/>
  <c r="DU26" i="202"/>
  <c r="FN28" i="202"/>
  <c r="DX28" i="202"/>
  <c r="DP28" i="202"/>
  <c r="DW28" i="202"/>
  <c r="FO28" i="202" s="1"/>
  <c r="DV28" i="202"/>
  <c r="AQ30" i="202"/>
  <c r="AO30" i="202"/>
  <c r="FP30" i="202"/>
  <c r="DZ30" i="202"/>
  <c r="DT31" i="202"/>
  <c r="FR32" i="202"/>
  <c r="CK33" i="202"/>
  <c r="EC33" i="202"/>
  <c r="FP33" i="202" s="1"/>
  <c r="AN34" i="202"/>
  <c r="AN35" i="202"/>
  <c r="EC35" i="202"/>
  <c r="FP35" i="202" s="1"/>
  <c r="EB35" i="202"/>
  <c r="EA35" i="202"/>
  <c r="FU35" i="202"/>
  <c r="EG37" i="202"/>
  <c r="EF37" i="202"/>
  <c r="EY38" i="202"/>
  <c r="EX38" i="202"/>
  <c r="FO38" i="202"/>
  <c r="CK40" i="202"/>
  <c r="FB40" i="202"/>
  <c r="GD42" i="202"/>
  <c r="GC42" i="202"/>
  <c r="GB42" i="202"/>
  <c r="GL42" i="202" s="1"/>
  <c r="AK43" i="202"/>
  <c r="FO45" i="202"/>
  <c r="DT45" i="202"/>
  <c r="P2" i="203"/>
  <c r="P1" i="203"/>
  <c r="P4" i="203"/>
  <c r="FJ16" i="203"/>
  <c r="FK16" i="203" s="1"/>
  <c r="FL16" i="203" s="1"/>
  <c r="Z16" i="203" s="1"/>
  <c r="FS18" i="203"/>
  <c r="CD18" i="203"/>
  <c r="FJ18" i="203"/>
  <c r="FK18" i="203" s="1"/>
  <c r="FL18" i="203" s="1"/>
  <c r="Z18" i="203" s="1"/>
  <c r="EG19" i="203"/>
  <c r="EF19" i="203"/>
  <c r="FS20" i="203"/>
  <c r="CD20" i="203"/>
  <c r="FJ20" i="203"/>
  <c r="FK20" i="203" s="1"/>
  <c r="FL20" i="203" s="1"/>
  <c r="Z20" i="203" s="1"/>
  <c r="FN20" i="203"/>
  <c r="EG21" i="203"/>
  <c r="EF21" i="203"/>
  <c r="FS22" i="203"/>
  <c r="CD22" i="203"/>
  <c r="FJ22" i="203"/>
  <c r="FK22" i="203" s="1"/>
  <c r="FL22" i="203" s="1"/>
  <c r="Z22" i="203" s="1"/>
  <c r="FE22" i="203"/>
  <c r="FF22" i="203" s="1"/>
  <c r="FG22" i="203" s="1"/>
  <c r="Y22" i="203" s="1"/>
  <c r="FN23" i="203"/>
  <c r="DX23" i="203"/>
  <c r="DP23" i="203"/>
  <c r="DW23" i="203"/>
  <c r="FO26" i="203"/>
  <c r="F29" i="203"/>
  <c r="EJ29" i="203"/>
  <c r="CH29" i="203" s="1"/>
  <c r="AY34" i="203"/>
  <c r="FB37" i="203"/>
  <c r="EB38" i="203"/>
  <c r="FP38" i="203"/>
  <c r="DT39" i="203"/>
  <c r="FS40" i="203"/>
  <c r="CD40" i="203"/>
  <c r="FJ40" i="203"/>
  <c r="FK40" i="203" s="1"/>
  <c r="FL40" i="203" s="1"/>
  <c r="FN40" i="203"/>
  <c r="AF41" i="203"/>
  <c r="CD41" i="203"/>
  <c r="FS41" i="203"/>
  <c r="FJ41" i="203"/>
  <c r="FK41" i="203" s="1"/>
  <c r="FL41" i="203" s="1"/>
  <c r="Z41" i="203" s="1"/>
  <c r="FE41" i="203"/>
  <c r="FF41" i="203" s="1"/>
  <c r="FG41" i="203" s="1"/>
  <c r="Y41" i="203" s="1"/>
  <c r="GD41" i="203"/>
  <c r="GC41" i="203"/>
  <c r="GB41" i="203"/>
  <c r="GL41" i="203" s="1"/>
  <c r="GM41" i="203" s="1"/>
  <c r="FM42" i="203"/>
  <c r="FV42" i="203"/>
  <c r="H45" i="203"/>
  <c r="G45" i="203"/>
  <c r="AL49" i="204"/>
  <c r="AL53" i="204"/>
  <c r="CI16" i="204"/>
  <c r="FE20" i="204"/>
  <c r="FF20" i="204" s="1"/>
  <c r="FG20" i="204" s="1"/>
  <c r="Y20" i="204" s="1"/>
  <c r="CE21" i="204"/>
  <c r="FT21" i="204"/>
  <c r="FE28" i="204"/>
  <c r="FF28" i="204" s="1"/>
  <c r="FG28" i="204" s="1"/>
  <c r="Y28" i="204" s="1"/>
  <c r="AQ33" i="204"/>
  <c r="AO33" i="204"/>
  <c r="AN33" i="204"/>
  <c r="AS33" i="204"/>
  <c r="AM33" i="204"/>
  <c r="AP33" i="204" s="1"/>
  <c r="FP33" i="204"/>
  <c r="DZ33" i="204"/>
  <c r="FA44" i="204"/>
  <c r="FR44" i="204"/>
  <c r="FP44" i="204"/>
  <c r="DZ44" i="204"/>
  <c r="H44" i="204"/>
  <c r="G44" i="204"/>
  <c r="F44" i="204"/>
  <c r="EG17" i="205"/>
  <c r="EF17" i="205"/>
  <c r="ER19" i="205"/>
  <c r="FO21" i="205"/>
  <c r="EJ23" i="205"/>
  <c r="CH23" i="205" s="1"/>
  <c r="J24" i="205"/>
  <c r="I24" i="205"/>
  <c r="ER27" i="205"/>
  <c r="EK27" i="205"/>
  <c r="FR28" i="205"/>
  <c r="FB28" i="205"/>
  <c r="FA28" i="205"/>
  <c r="DZ28" i="205"/>
  <c r="AQ30" i="205"/>
  <c r="AN30" i="205"/>
  <c r="AS30" i="205"/>
  <c r="AO30" i="205"/>
  <c r="AM30" i="205"/>
  <c r="AL30" i="205"/>
  <c r="AJ30" i="205"/>
  <c r="FV32" i="205"/>
  <c r="FM32" i="205"/>
  <c r="AD33" i="205"/>
  <c r="ER33" i="205"/>
  <c r="FU37" i="205"/>
  <c r="FH37" i="205"/>
  <c r="EC37" i="205"/>
  <c r="EB37" i="205"/>
  <c r="ED37" i="205"/>
  <c r="EA37" i="205"/>
  <c r="DP37" i="205"/>
  <c r="FN37" i="205"/>
  <c r="FN41" i="205"/>
  <c r="DU41" i="205"/>
  <c r="DP41" i="205"/>
  <c r="FQ41" i="205"/>
  <c r="GB45" i="205"/>
  <c r="GA45" i="205"/>
  <c r="GE45" i="205"/>
  <c r="GD45" i="205"/>
  <c r="EC33" i="206"/>
  <c r="FP33" i="206" s="1"/>
  <c r="EB33" i="206"/>
  <c r="EA33" i="206"/>
  <c r="FN33" i="206"/>
  <c r="ED33" i="206"/>
  <c r="DP33" i="206"/>
  <c r="EQ33" i="206"/>
  <c r="CI33" i="206" s="1"/>
  <c r="AL23" i="202"/>
  <c r="AS23" i="202"/>
  <c r="AT23" i="202" s="1"/>
  <c r="AJ23" i="202"/>
  <c r="DT23" i="202"/>
  <c r="FR24" i="202"/>
  <c r="FP24" i="202"/>
  <c r="AD27" i="202"/>
  <c r="FT27" i="202"/>
  <c r="CE27" i="202"/>
  <c r="AO28" i="202"/>
  <c r="AN28" i="202"/>
  <c r="AM28" i="202"/>
  <c r="AJ31" i="202"/>
  <c r="AQ31" i="202"/>
  <c r="AR31" i="202" s="1"/>
  <c r="EC32" i="202"/>
  <c r="FP32" i="202" s="1"/>
  <c r="EB32" i="202"/>
  <c r="EA32" i="202"/>
  <c r="FU32" i="202"/>
  <c r="ED33" i="202"/>
  <c r="AO34" i="202"/>
  <c r="CK34" i="202"/>
  <c r="AO35" i="202"/>
  <c r="CD35" i="202"/>
  <c r="FN38" i="202"/>
  <c r="DX38" i="202"/>
  <c r="DP38" i="202"/>
  <c r="DW38" i="202"/>
  <c r="DP39" i="202"/>
  <c r="CK41" i="202"/>
  <c r="DW43" i="202"/>
  <c r="FO43" i="202" s="1"/>
  <c r="DV43" i="202"/>
  <c r="DU43" i="202"/>
  <c r="FN44" i="202"/>
  <c r="DX44" i="202"/>
  <c r="DP44" i="202"/>
  <c r="DW44" i="202"/>
  <c r="FO44" i="202" s="1"/>
  <c r="DV44" i="202"/>
  <c r="AV45" i="202"/>
  <c r="AK45" i="202" s="1"/>
  <c r="AH45" i="202"/>
  <c r="AG45" i="202"/>
  <c r="AF45" i="202"/>
  <c r="AE45" i="202"/>
  <c r="AT57" i="202"/>
  <c r="EL87" i="202"/>
  <c r="AY44" i="203"/>
  <c r="AY31" i="203"/>
  <c r="AY28" i="203"/>
  <c r="AY32" i="203"/>
  <c r="AY29" i="203"/>
  <c r="AY57" i="203"/>
  <c r="AY45" i="203"/>
  <c r="AY41" i="203"/>
  <c r="AY33" i="203"/>
  <c r="AY30" i="203"/>
  <c r="AY25" i="203"/>
  <c r="AY17" i="203"/>
  <c r="AY35" i="203"/>
  <c r="AY23" i="203"/>
  <c r="AY22" i="203"/>
  <c r="AY42" i="203"/>
  <c r="AY36" i="203"/>
  <c r="AY26" i="203"/>
  <c r="AK18" i="203"/>
  <c r="DZ19" i="203"/>
  <c r="FA19" i="203"/>
  <c r="AY20" i="203"/>
  <c r="CK20" i="203"/>
  <c r="FV20" i="203"/>
  <c r="AY21" i="203"/>
  <c r="AO22" i="203"/>
  <c r="FB23" i="203"/>
  <c r="FA23" i="203"/>
  <c r="DZ23" i="203"/>
  <c r="FP23" i="203"/>
  <c r="FN26" i="203"/>
  <c r="DX26" i="203"/>
  <c r="DP26" i="203"/>
  <c r="DW26" i="203"/>
  <c r="CK32" i="203"/>
  <c r="FM32" i="203"/>
  <c r="AD33" i="203"/>
  <c r="AK33" i="203"/>
  <c r="EN33" i="203"/>
  <c r="EM33" i="203"/>
  <c r="AO37" i="203"/>
  <c r="AN37" i="203"/>
  <c r="AM37" i="203"/>
  <c r="AP37" i="203" s="1"/>
  <c r="AS37" i="203"/>
  <c r="AG41" i="203"/>
  <c r="FT42" i="203"/>
  <c r="CE42" i="203"/>
  <c r="EX43" i="203"/>
  <c r="EY43" i="203"/>
  <c r="FR45" i="203"/>
  <c r="FP45" i="203"/>
  <c r="AO18" i="204"/>
  <c r="AN18" i="204"/>
  <c r="AM18" i="204"/>
  <c r="AL18" i="204"/>
  <c r="AQ18" i="204"/>
  <c r="AJ18" i="204"/>
  <c r="FN18" i="204"/>
  <c r="DX18" i="204"/>
  <c r="DP18" i="204"/>
  <c r="DW18" i="204"/>
  <c r="DV18" i="204"/>
  <c r="DU18" i="204"/>
  <c r="ES24" i="204"/>
  <c r="EG24" i="204"/>
  <c r="EF24" i="204"/>
  <c r="AL26" i="204"/>
  <c r="AS26" i="204"/>
  <c r="AT26" i="204" s="1"/>
  <c r="AJ26" i="204"/>
  <c r="AQ26" i="204"/>
  <c r="AR26" i="204" s="1"/>
  <c r="AM26" i="204"/>
  <c r="AO27" i="204"/>
  <c r="AN27" i="204"/>
  <c r="AM27" i="204"/>
  <c r="AQ27" i="204"/>
  <c r="AL27" i="204"/>
  <c r="AP27" i="204" s="1"/>
  <c r="FN27" i="204"/>
  <c r="DX27" i="204"/>
  <c r="DP27" i="204"/>
  <c r="DW27" i="204"/>
  <c r="FO27" i="204" s="1"/>
  <c r="DV27" i="204"/>
  <c r="FQ27" i="204"/>
  <c r="DU27" i="204"/>
  <c r="CI28" i="204"/>
  <c r="FH33" i="204"/>
  <c r="FU33" i="204"/>
  <c r="FB34" i="204"/>
  <c r="FA34" i="204"/>
  <c r="CE36" i="204"/>
  <c r="FT36" i="204"/>
  <c r="EN38" i="204"/>
  <c r="EM38" i="204"/>
  <c r="CE39" i="204"/>
  <c r="FT39" i="204"/>
  <c r="AH41" i="204"/>
  <c r="AG41" i="204"/>
  <c r="AW41" i="204"/>
  <c r="AF41" i="204"/>
  <c r="AV41" i="204"/>
  <c r="AE41" i="204"/>
  <c r="AD41" i="204"/>
  <c r="FS41" i="204"/>
  <c r="CD41" i="204"/>
  <c r="FJ41" i="204"/>
  <c r="FK41" i="204" s="1"/>
  <c r="FL41" i="204" s="1"/>
  <c r="Z41" i="204" s="1"/>
  <c r="FN41" i="204"/>
  <c r="FT45" i="204"/>
  <c r="FS17" i="205"/>
  <c r="FE17" i="205"/>
  <c r="FF17" i="205" s="1"/>
  <c r="FG17" i="205" s="1"/>
  <c r="Y17" i="205" s="1"/>
  <c r="FJ17" i="205"/>
  <c r="FK17" i="205" s="1"/>
  <c r="FL17" i="205" s="1"/>
  <c r="Z17" i="205" s="1"/>
  <c r="AJ18" i="205"/>
  <c r="AQ18" i="205"/>
  <c r="AO18" i="205"/>
  <c r="AN18" i="205"/>
  <c r="EK23" i="205"/>
  <c r="DU24" i="205"/>
  <c r="FQ24" i="205"/>
  <c r="FO24" i="205"/>
  <c r="DP24" i="205"/>
  <c r="FN24" i="205"/>
  <c r="DX24" i="205"/>
  <c r="DW24" i="205"/>
  <c r="DV24" i="205"/>
  <c r="EK24" i="205"/>
  <c r="EV24" i="205" s="1"/>
  <c r="EE26" i="205"/>
  <c r="EN38" i="205"/>
  <c r="EM38" i="205"/>
  <c r="FA42" i="205"/>
  <c r="FR42" i="205"/>
  <c r="FP42" i="205"/>
  <c r="DZ42" i="205"/>
  <c r="FB42" i="205"/>
  <c r="EG17" i="206"/>
  <c r="EF17" i="206"/>
  <c r="FH19" i="206"/>
  <c r="FU19" i="206"/>
  <c r="EA19" i="206"/>
  <c r="EC19" i="206"/>
  <c r="ED19" i="206"/>
  <c r="FU24" i="206"/>
  <c r="FH24" i="206"/>
  <c r="ED24" i="206"/>
  <c r="EC24" i="206"/>
  <c r="EB24" i="206"/>
  <c r="EA24" i="206"/>
  <c r="CD18" i="202"/>
  <c r="FB18" i="202"/>
  <c r="EB21" i="202"/>
  <c r="FA21" i="202"/>
  <c r="CD22" i="202"/>
  <c r="EC22" i="202"/>
  <c r="FP22" i="202" s="1"/>
  <c r="FB22" i="202"/>
  <c r="EB23" i="202"/>
  <c r="FA23" i="202"/>
  <c r="EB25" i="202"/>
  <c r="FA25" i="202"/>
  <c r="CD26" i="202"/>
  <c r="EC26" i="202"/>
  <c r="FP26" i="202" s="1"/>
  <c r="FB26" i="202"/>
  <c r="EY31" i="202"/>
  <c r="FO31" i="202"/>
  <c r="EY34" i="202"/>
  <c r="FO34" i="202"/>
  <c r="EY40" i="202"/>
  <c r="FO40" i="202"/>
  <c r="CD43" i="202"/>
  <c r="EC43" i="202"/>
  <c r="FP43" i="202" s="1"/>
  <c r="FB43" i="202"/>
  <c r="DX45" i="202"/>
  <c r="DP45" i="202"/>
  <c r="DV45" i="202"/>
  <c r="DU45" i="202"/>
  <c r="AK54" i="203"/>
  <c r="AK52" i="203"/>
  <c r="HL14" i="203"/>
  <c r="H17" i="203"/>
  <c r="AQ17" i="203" s="1"/>
  <c r="AR17" i="203" s="1"/>
  <c r="FR17" i="203"/>
  <c r="FP17" i="203"/>
  <c r="DU19" i="203"/>
  <c r="FN21" i="203"/>
  <c r="DX21" i="203"/>
  <c r="DP21" i="203"/>
  <c r="DW21" i="203"/>
  <c r="FO21" i="203" s="1"/>
  <c r="AK25" i="203"/>
  <c r="EG26" i="203"/>
  <c r="EF26" i="203"/>
  <c r="EY27" i="203"/>
  <c r="EX27" i="203"/>
  <c r="CK29" i="203"/>
  <c r="EC33" i="203"/>
  <c r="FP33" i="203" s="1"/>
  <c r="EB33" i="203"/>
  <c r="EA33" i="203"/>
  <c r="FU33" i="203"/>
  <c r="CE34" i="203"/>
  <c r="EM34" i="203"/>
  <c r="EY34" i="203"/>
  <c r="DW35" i="203"/>
  <c r="FO35" i="203" s="1"/>
  <c r="DV35" i="203"/>
  <c r="DU35" i="203"/>
  <c r="FQ37" i="203"/>
  <c r="EY38" i="203"/>
  <c r="EX38" i="203"/>
  <c r="EN39" i="203"/>
  <c r="EM39" i="203"/>
  <c r="CE40" i="203"/>
  <c r="EM40" i="203"/>
  <c r="EY40" i="203"/>
  <c r="FN43" i="203"/>
  <c r="DX43" i="203"/>
  <c r="DP43" i="203"/>
  <c r="DW43" i="203"/>
  <c r="FO43" i="203" s="1"/>
  <c r="DV43" i="203"/>
  <c r="GA43" i="203"/>
  <c r="AH44" i="203"/>
  <c r="AG44" i="203"/>
  <c r="AW44" i="203"/>
  <c r="AK44" i="203" s="1"/>
  <c r="AF44" i="203"/>
  <c r="AE44" i="203"/>
  <c r="FP44" i="203"/>
  <c r="DZ44" i="203"/>
  <c r="FE44" i="203"/>
  <c r="FF44" i="203" s="1"/>
  <c r="FG44" i="203" s="1"/>
  <c r="Y44" i="203" s="1"/>
  <c r="CD45" i="203"/>
  <c r="FJ45" i="203"/>
  <c r="FK45" i="203" s="1"/>
  <c r="FL45" i="203" s="1"/>
  <c r="Z45" i="203" s="1"/>
  <c r="DT44" i="204"/>
  <c r="DT36" i="204"/>
  <c r="DT21" i="204"/>
  <c r="DT17" i="204"/>
  <c r="DZ36" i="204"/>
  <c r="DZ21" i="204"/>
  <c r="DZ17" i="204"/>
  <c r="DZ40" i="204"/>
  <c r="DZ32" i="204"/>
  <c r="DZ26" i="204"/>
  <c r="DT22" i="204"/>
  <c r="DT20" i="204"/>
  <c r="DZ35" i="204"/>
  <c r="DT33" i="204"/>
  <c r="HP14" i="204"/>
  <c r="FS16" i="204"/>
  <c r="CD16" i="204"/>
  <c r="FE16" i="204"/>
  <c r="FF16" i="204" s="1"/>
  <c r="FG16" i="204" s="1"/>
  <c r="CD17" i="204"/>
  <c r="EN21" i="204"/>
  <c r="EM21" i="204"/>
  <c r="FP22" i="204"/>
  <c r="FB22" i="204"/>
  <c r="FR23" i="204"/>
  <c r="EC23" i="204"/>
  <c r="FP23" i="204" s="1"/>
  <c r="EG23" i="204"/>
  <c r="EF23" i="204"/>
  <c r="FN24" i="204"/>
  <c r="DX24" i="204"/>
  <c r="DP24" i="204"/>
  <c r="DW24" i="204"/>
  <c r="FE27" i="204"/>
  <c r="FF27" i="204" s="1"/>
  <c r="FG27" i="204" s="1"/>
  <c r="Y27" i="204" s="1"/>
  <c r="DZ28" i="204"/>
  <c r="FN29" i="204"/>
  <c r="DX29" i="204"/>
  <c r="DP29" i="204"/>
  <c r="DW29" i="204"/>
  <c r="EA29" i="204"/>
  <c r="FA29" i="204"/>
  <c r="FE33" i="204"/>
  <c r="FF33" i="204" s="1"/>
  <c r="FG33" i="204" s="1"/>
  <c r="Y33" i="204" s="1"/>
  <c r="EE35" i="204"/>
  <c r="AS36" i="204"/>
  <c r="AT36" i="204" s="1"/>
  <c r="AJ36" i="204"/>
  <c r="AQ36" i="204"/>
  <c r="AR36" i="204" s="1"/>
  <c r="AM36" i="204"/>
  <c r="AL36" i="204"/>
  <c r="EY38" i="204"/>
  <c r="EX38" i="204"/>
  <c r="FQ38" i="204"/>
  <c r="FO38" i="204"/>
  <c r="DT38" i="204"/>
  <c r="DT40" i="204"/>
  <c r="FO40" i="204"/>
  <c r="EM40" i="204"/>
  <c r="EN40" i="204"/>
  <c r="CE41" i="204"/>
  <c r="DX42" i="204"/>
  <c r="DP42" i="204"/>
  <c r="DW42" i="204"/>
  <c r="DV42" i="204"/>
  <c r="DU42" i="204"/>
  <c r="DZ42" i="204"/>
  <c r="FN42" i="204"/>
  <c r="J44" i="204"/>
  <c r="EB44" i="204"/>
  <c r="EA44" i="204"/>
  <c r="FN44" i="204"/>
  <c r="GE45" i="204"/>
  <c r="GD45" i="204"/>
  <c r="GC45" i="204"/>
  <c r="GB45" i="204"/>
  <c r="GA45" i="204"/>
  <c r="GL45" i="204" s="1"/>
  <c r="AT57" i="204"/>
  <c r="GB57" i="204"/>
  <c r="GA57" i="204"/>
  <c r="IE14" i="205"/>
  <c r="HW14" i="205"/>
  <c r="HO14" i="205"/>
  <c r="HG14" i="205"/>
  <c r="ID14" i="205"/>
  <c r="HV14" i="205"/>
  <c r="HN14" i="205"/>
  <c r="HF14" i="205"/>
  <c r="IC14" i="205"/>
  <c r="HU14" i="205"/>
  <c r="HM14" i="205"/>
  <c r="HD14" i="205"/>
  <c r="IB14" i="205"/>
  <c r="HT14" i="205"/>
  <c r="HL14" i="205"/>
  <c r="HZ14" i="205"/>
  <c r="HJ14" i="205"/>
  <c r="HY14" i="205"/>
  <c r="HI14" i="205"/>
  <c r="HX14" i="205"/>
  <c r="HH14" i="205"/>
  <c r="AS28" i="205"/>
  <c r="AS27" i="205"/>
  <c r="IA14" i="205"/>
  <c r="FR16" i="205"/>
  <c r="FP16" i="205"/>
  <c r="AU17" i="205"/>
  <c r="FH19" i="205"/>
  <c r="FU19" i="205"/>
  <c r="EC19" i="205"/>
  <c r="EB19" i="205"/>
  <c r="EA19" i="205"/>
  <c r="ED19" i="205"/>
  <c r="DP19" i="205"/>
  <c r="CE20" i="205"/>
  <c r="FA27" i="205"/>
  <c r="FR27" i="205"/>
  <c r="FB27" i="205"/>
  <c r="FP27" i="205"/>
  <c r="DZ27" i="205"/>
  <c r="EJ28" i="205"/>
  <c r="CH28" i="205" s="1"/>
  <c r="CD37" i="205"/>
  <c r="FS37" i="205"/>
  <c r="FJ37" i="205"/>
  <c r="FK37" i="205" s="1"/>
  <c r="FL37" i="205" s="1"/>
  <c r="Z37" i="205" s="1"/>
  <c r="FE37" i="205"/>
  <c r="FF37" i="205" s="1"/>
  <c r="FG37" i="205" s="1"/>
  <c r="Y37" i="205" s="1"/>
  <c r="CI37" i="205"/>
  <c r="FO45" i="205"/>
  <c r="CE17" i="206"/>
  <c r="FT17" i="206"/>
  <c r="EN30" i="206"/>
  <c r="EM30" i="206"/>
  <c r="FV33" i="206"/>
  <c r="EJ44" i="206"/>
  <c r="CH44" i="206" s="1"/>
  <c r="FS23" i="207"/>
  <c r="CD23" i="207"/>
  <c r="FE23" i="207"/>
  <c r="FF23" i="207" s="1"/>
  <c r="FG23" i="207" s="1"/>
  <c r="Y23" i="207" s="1"/>
  <c r="FJ23" i="207"/>
  <c r="FK23" i="207" s="1"/>
  <c r="FL23" i="207" s="1"/>
  <c r="Z23" i="207" s="1"/>
  <c r="FN23" i="207"/>
  <c r="EK23" i="207"/>
  <c r="CH23" i="207" s="1"/>
  <c r="FB21" i="202"/>
  <c r="FB23" i="202"/>
  <c r="FQ24" i="202"/>
  <c r="FB25" i="202"/>
  <c r="FM28" i="202"/>
  <c r="FQ32" i="202"/>
  <c r="FQ35" i="202"/>
  <c r="FM37" i="202"/>
  <c r="FQ42" i="202"/>
  <c r="FM44" i="202"/>
  <c r="HY14" i="203"/>
  <c r="HQ14" i="203"/>
  <c r="HI14" i="203"/>
  <c r="IE14" i="203"/>
  <c r="HW14" i="203"/>
  <c r="HO14" i="203"/>
  <c r="HG14" i="203"/>
  <c r="HM14" i="203"/>
  <c r="HX14" i="203"/>
  <c r="EC17" i="203"/>
  <c r="EB17" i="203"/>
  <c r="EA17" i="203"/>
  <c r="FU17" i="203"/>
  <c r="CE18" i="203"/>
  <c r="EY19" i="203"/>
  <c r="EX19" i="203"/>
  <c r="AL20" i="203"/>
  <c r="AS20" i="203"/>
  <c r="AJ20" i="203"/>
  <c r="DT20" i="203"/>
  <c r="AO21" i="203"/>
  <c r="AN21" i="203"/>
  <c r="AP21" i="203" s="1"/>
  <c r="DZ21" i="203"/>
  <c r="FE23" i="203"/>
  <c r="FF23" i="203" s="1"/>
  <c r="FG23" i="203" s="1"/>
  <c r="Y23" i="203" s="1"/>
  <c r="FN24" i="203"/>
  <c r="DX24" i="203"/>
  <c r="DP24" i="203"/>
  <c r="DW24" i="203"/>
  <c r="FO24" i="203" s="1"/>
  <c r="DV24" i="203"/>
  <c r="FN27" i="203"/>
  <c r="DX27" i="203"/>
  <c r="DP27" i="203"/>
  <c r="DW27" i="203"/>
  <c r="FO27" i="203" s="1"/>
  <c r="AK30" i="203"/>
  <c r="FP32" i="203"/>
  <c r="DZ32" i="203"/>
  <c r="FU32" i="203"/>
  <c r="CD33" i="203"/>
  <c r="EE36" i="203"/>
  <c r="FN38" i="203"/>
  <c r="DX38" i="203"/>
  <c r="DP38" i="203"/>
  <c r="DW38" i="203"/>
  <c r="FO38" i="203" s="1"/>
  <c r="DX39" i="203"/>
  <c r="DP39" i="203"/>
  <c r="DW39" i="203"/>
  <c r="DV39" i="203"/>
  <c r="DU39" i="203"/>
  <c r="FR41" i="203"/>
  <c r="FP41" i="203"/>
  <c r="K42" i="203"/>
  <c r="J42" i="203"/>
  <c r="I42" i="203"/>
  <c r="AO43" i="203"/>
  <c r="AN43" i="203"/>
  <c r="AM43" i="203"/>
  <c r="GB43" i="203"/>
  <c r="ER16" i="204"/>
  <c r="FU23" i="204"/>
  <c r="FH23" i="204"/>
  <c r="ED23" i="204"/>
  <c r="FP24" i="204"/>
  <c r="DZ24" i="204"/>
  <c r="AM25" i="204"/>
  <c r="AL25" i="204"/>
  <c r="AS25" i="204"/>
  <c r="AJ25" i="204"/>
  <c r="AQ25" i="204"/>
  <c r="AO25" i="204"/>
  <c r="CE28" i="204"/>
  <c r="DZ29" i="204"/>
  <c r="FP29" i="204"/>
  <c r="EG31" i="204"/>
  <c r="EF31" i="204"/>
  <c r="FT35" i="204"/>
  <c r="CE35" i="204"/>
  <c r="FN38" i="204"/>
  <c r="DX38" i="204"/>
  <c r="DP38" i="204"/>
  <c r="DW38" i="204"/>
  <c r="DU38" i="204"/>
  <c r="FB38" i="204"/>
  <c r="EK41" i="204"/>
  <c r="EV41" i="204" s="1"/>
  <c r="GE42" i="204"/>
  <c r="GD42" i="204"/>
  <c r="GA42" i="204"/>
  <c r="AN42" i="204"/>
  <c r="AM42" i="204"/>
  <c r="AL42" i="204"/>
  <c r="AS42" i="204"/>
  <c r="AO42" i="204"/>
  <c r="AJ42" i="204"/>
  <c r="EC16" i="205"/>
  <c r="EB16" i="205"/>
  <c r="EA16" i="205"/>
  <c r="FV18" i="205"/>
  <c r="FM18" i="205"/>
  <c r="CD19" i="205"/>
  <c r="FJ19" i="205"/>
  <c r="FK19" i="205" s="1"/>
  <c r="FL19" i="205" s="1"/>
  <c r="Z19" i="205" s="1"/>
  <c r="FE19" i="205"/>
  <c r="FF19" i="205" s="1"/>
  <c r="FG19" i="205" s="1"/>
  <c r="Y19" i="205" s="1"/>
  <c r="AJ23" i="205"/>
  <c r="AL23" i="205"/>
  <c r="AS23" i="205"/>
  <c r="AT23" i="205" s="1"/>
  <c r="AQ23" i="205"/>
  <c r="AR23" i="205" s="1"/>
  <c r="FA23" i="205"/>
  <c r="FR23" i="205"/>
  <c r="FB23" i="205"/>
  <c r="DZ23" i="205"/>
  <c r="FP23" i="205"/>
  <c r="AN26" i="205"/>
  <c r="AQ26" i="205"/>
  <c r="AO26" i="205"/>
  <c r="AM26" i="205"/>
  <c r="AL26" i="205"/>
  <c r="AP26" i="205" s="1"/>
  <c r="AQ27" i="205"/>
  <c r="EG33" i="205"/>
  <c r="EF33" i="205"/>
  <c r="EG34" i="205"/>
  <c r="EF34" i="205"/>
  <c r="EG35" i="205"/>
  <c r="EF35" i="205"/>
  <c r="ER37" i="205"/>
  <c r="EF40" i="205"/>
  <c r="EG40" i="205"/>
  <c r="CE40" i="205"/>
  <c r="FT40" i="205"/>
  <c r="EN41" i="205"/>
  <c r="EM41" i="205"/>
  <c r="FN45" i="205"/>
  <c r="DP45" i="205"/>
  <c r="DX45" i="205"/>
  <c r="FQ45" i="205"/>
  <c r="FN19" i="206"/>
  <c r="DX19" i="206"/>
  <c r="DP19" i="206"/>
  <c r="DU19" i="206"/>
  <c r="FQ19" i="206"/>
  <c r="DW19" i="206"/>
  <c r="DV19" i="206"/>
  <c r="AS23" i="206"/>
  <c r="AQ23" i="206"/>
  <c r="AJ23" i="206"/>
  <c r="AM23" i="206"/>
  <c r="AL23" i="206"/>
  <c r="AO23" i="206"/>
  <c r="AN23" i="206"/>
  <c r="EN41" i="206"/>
  <c r="EM41" i="206"/>
  <c r="EG43" i="206"/>
  <c r="EF43" i="206"/>
  <c r="EK44" i="206"/>
  <c r="EV44" i="206" s="1"/>
  <c r="FB24" i="202"/>
  <c r="FB32" i="202"/>
  <c r="FB35" i="202"/>
  <c r="FB42" i="202"/>
  <c r="AJ57" i="202"/>
  <c r="HN14" i="203"/>
  <c r="HZ14" i="203"/>
  <c r="AK16" i="203"/>
  <c r="CD17" i="203"/>
  <c r="FJ17" i="203"/>
  <c r="FK17" i="203" s="1"/>
  <c r="FL17" i="203" s="1"/>
  <c r="Z17" i="203" s="1"/>
  <c r="FN19" i="203"/>
  <c r="DX19" i="203"/>
  <c r="DP19" i="203"/>
  <c r="DW19" i="203"/>
  <c r="FO19" i="203" s="1"/>
  <c r="AO24" i="203"/>
  <c r="AN24" i="203"/>
  <c r="AM24" i="203"/>
  <c r="AP24" i="203" s="1"/>
  <c r="FR25" i="203"/>
  <c r="FP25" i="203"/>
  <c r="AD26" i="203"/>
  <c r="AO27" i="203"/>
  <c r="AN27" i="203"/>
  <c r="DZ27" i="203"/>
  <c r="CK28" i="203"/>
  <c r="EB32" i="203"/>
  <c r="EA32" i="203"/>
  <c r="AK34" i="203"/>
  <c r="DT34" i="203"/>
  <c r="FE36" i="203"/>
  <c r="FF36" i="203" s="1"/>
  <c r="FG36" i="203" s="1"/>
  <c r="Y36" i="203" s="1"/>
  <c r="AO38" i="203"/>
  <c r="AN38" i="203"/>
  <c r="AP38" i="203" s="1"/>
  <c r="DZ38" i="203"/>
  <c r="AN39" i="203"/>
  <c r="AM39" i="203"/>
  <c r="AL39" i="203"/>
  <c r="AL40" i="203"/>
  <c r="AS40" i="203"/>
  <c r="AT40" i="203" s="1"/>
  <c r="AJ40" i="203"/>
  <c r="DT40" i="203"/>
  <c r="EC41" i="203"/>
  <c r="EB41" i="203"/>
  <c r="EA41" i="203"/>
  <c r="H41" i="203"/>
  <c r="G41" i="203"/>
  <c r="FU41" i="203"/>
  <c r="EE42" i="203"/>
  <c r="AX43" i="203"/>
  <c r="EG43" i="203"/>
  <c r="EF43" i="203"/>
  <c r="AJ45" i="203"/>
  <c r="AH45" i="203"/>
  <c r="AE45" i="203"/>
  <c r="IE14" i="204"/>
  <c r="HW14" i="204"/>
  <c r="HO14" i="204"/>
  <c r="HG14" i="204"/>
  <c r="ID14" i="204"/>
  <c r="HV14" i="204"/>
  <c r="HN14" i="204"/>
  <c r="HF14" i="204"/>
  <c r="IC14" i="204"/>
  <c r="HU14" i="204"/>
  <c r="HM14" i="204"/>
  <c r="HD14" i="204"/>
  <c r="HZ14" i="204"/>
  <c r="HL14" i="204"/>
  <c r="HY14" i="204"/>
  <c r="HK14" i="204"/>
  <c r="HX14" i="204"/>
  <c r="HJ14" i="204"/>
  <c r="HR14" i="204"/>
  <c r="EX18" i="204"/>
  <c r="EY18" i="204"/>
  <c r="FO18" i="204"/>
  <c r="DT18" i="204"/>
  <c r="EN18" i="204"/>
  <c r="EM18" i="204"/>
  <c r="AO20" i="204"/>
  <c r="AN20" i="204"/>
  <c r="AM20" i="204"/>
  <c r="AL20" i="204"/>
  <c r="AS20" i="204"/>
  <c r="AT20" i="204" s="1"/>
  <c r="AQ20" i="204"/>
  <c r="AR20" i="204" s="1"/>
  <c r="FE22" i="204"/>
  <c r="FF22" i="204" s="1"/>
  <c r="FG22" i="204" s="1"/>
  <c r="Y22" i="204" s="1"/>
  <c r="EK28" i="204"/>
  <c r="ED29" i="204"/>
  <c r="EC29" i="204"/>
  <c r="AD30" i="204"/>
  <c r="FS30" i="204"/>
  <c r="CD30" i="204"/>
  <c r="FN30" i="204"/>
  <c r="AP31" i="204"/>
  <c r="AU31" i="204"/>
  <c r="CE37" i="204"/>
  <c r="DZ37" i="204"/>
  <c r="DZ38" i="204"/>
  <c r="DT41" i="204"/>
  <c r="EJ41" i="204"/>
  <c r="CH41" i="204" s="1"/>
  <c r="AX43" i="204"/>
  <c r="GF43" i="204"/>
  <c r="DT43" i="204"/>
  <c r="FV44" i="204"/>
  <c r="FM44" i="204"/>
  <c r="E44" i="204"/>
  <c r="D44" i="204"/>
  <c r="GK44" i="204" s="1"/>
  <c r="H45" i="204"/>
  <c r="G45" i="204"/>
  <c r="F45" i="204"/>
  <c r="CD16" i="205"/>
  <c r="AZ17" i="205"/>
  <c r="CK18" i="205"/>
  <c r="EK18" i="205"/>
  <c r="DT20" i="205"/>
  <c r="EE22" i="205"/>
  <c r="AK24" i="205"/>
  <c r="EQ25" i="205"/>
  <c r="FS27" i="205"/>
  <c r="FN27" i="205"/>
  <c r="FE27" i="205"/>
  <c r="FF27" i="205" s="1"/>
  <c r="FG27" i="205" s="1"/>
  <c r="Y27" i="205" s="1"/>
  <c r="EY28" i="205"/>
  <c r="DT28" i="205"/>
  <c r="FQ28" i="205"/>
  <c r="FO28" i="205"/>
  <c r="EG30" i="205"/>
  <c r="AN31" i="205"/>
  <c r="AM31" i="205"/>
  <c r="AS31" i="205"/>
  <c r="AO31" i="205"/>
  <c r="AL31" i="205"/>
  <c r="AJ31" i="205"/>
  <c r="AQ31" i="205"/>
  <c r="EQ43" i="205"/>
  <c r="CI43" i="205" s="1"/>
  <c r="FB45" i="205"/>
  <c r="FA45" i="205"/>
  <c r="FR45" i="205"/>
  <c r="FP45" i="205"/>
  <c r="DZ45" i="205"/>
  <c r="ER17" i="206"/>
  <c r="EM17" i="206"/>
  <c r="FR19" i="206"/>
  <c r="FB19" i="206"/>
  <c r="FA19" i="206"/>
  <c r="FP19" i="206"/>
  <c r="DZ19" i="206"/>
  <c r="FM22" i="206"/>
  <c r="FV22" i="206"/>
  <c r="FR24" i="206"/>
  <c r="FB24" i="206"/>
  <c r="FA24" i="206"/>
  <c r="DZ24" i="206"/>
  <c r="FP24" i="206"/>
  <c r="W29" i="206"/>
  <c r="V29" i="206"/>
  <c r="AT29" i="206" s="1"/>
  <c r="CD16" i="203"/>
  <c r="FB16" i="203"/>
  <c r="EB18" i="203"/>
  <c r="FA18" i="203"/>
  <c r="EB20" i="203"/>
  <c r="FA20" i="203"/>
  <c r="EB22" i="203"/>
  <c r="FA22" i="203"/>
  <c r="EY29" i="203"/>
  <c r="FO29" i="203"/>
  <c r="EY32" i="203"/>
  <c r="FO32" i="203"/>
  <c r="EB34" i="203"/>
  <c r="FA34" i="203"/>
  <c r="CD35" i="203"/>
  <c r="EC35" i="203"/>
  <c r="FP35" i="203" s="1"/>
  <c r="FB35" i="203"/>
  <c r="EB40" i="203"/>
  <c r="FA40" i="203"/>
  <c r="CD42" i="203"/>
  <c r="EC42" i="203"/>
  <c r="FP42" i="203" s="1"/>
  <c r="FB42" i="203"/>
  <c r="P1" i="204"/>
  <c r="AL54" i="204"/>
  <c r="AL52" i="204"/>
  <c r="EY19" i="204"/>
  <c r="EX19" i="204"/>
  <c r="FB19" i="204"/>
  <c r="EY20" i="204"/>
  <c r="EY22" i="204"/>
  <c r="EY23" i="204"/>
  <c r="EX23" i="204"/>
  <c r="FB23" i="204"/>
  <c r="FH24" i="204"/>
  <c r="FU24" i="204"/>
  <c r="EB24" i="204"/>
  <c r="EG27" i="204"/>
  <c r="EF27" i="204"/>
  <c r="AL28" i="204"/>
  <c r="AS28" i="204"/>
  <c r="AJ28" i="204"/>
  <c r="AQ28" i="204"/>
  <c r="FE29" i="204"/>
  <c r="FF29" i="204" s="1"/>
  <c r="FG29" i="204" s="1"/>
  <c r="Y29" i="204" s="1"/>
  <c r="FP31" i="204"/>
  <c r="DZ31" i="204"/>
  <c r="FS31" i="204"/>
  <c r="AD32" i="204"/>
  <c r="AM32" i="204"/>
  <c r="AL32" i="204"/>
  <c r="AS32" i="204"/>
  <c r="AT32" i="204" s="1"/>
  <c r="AJ32" i="204"/>
  <c r="EE32" i="204"/>
  <c r="EG33" i="204"/>
  <c r="EF33" i="204"/>
  <c r="AD34" i="204"/>
  <c r="DT34" i="204"/>
  <c r="EG34" i="204"/>
  <c r="EF34" i="204"/>
  <c r="EC36" i="204"/>
  <c r="FP36" i="204" s="1"/>
  <c r="EB36" i="204"/>
  <c r="EA36" i="204"/>
  <c r="AO38" i="204"/>
  <c r="AN38" i="204"/>
  <c r="AM38" i="204"/>
  <c r="AP38" i="204" s="1"/>
  <c r="DT39" i="204"/>
  <c r="AD40" i="204"/>
  <c r="AM40" i="204"/>
  <c r="AL40" i="204"/>
  <c r="AS40" i="204"/>
  <c r="AT40" i="204" s="1"/>
  <c r="AJ40" i="204"/>
  <c r="EE40" i="204"/>
  <c r="K42" i="204"/>
  <c r="J42" i="204"/>
  <c r="I42" i="204"/>
  <c r="EY43" i="204"/>
  <c r="EX43" i="204"/>
  <c r="FO43" i="204"/>
  <c r="FB43" i="204"/>
  <c r="FN17" i="205"/>
  <c r="DX17" i="205"/>
  <c r="DP17" i="205"/>
  <c r="DW17" i="205"/>
  <c r="FO17" i="205" s="1"/>
  <c r="FB17" i="205"/>
  <c r="FO18" i="205"/>
  <c r="CE19" i="205"/>
  <c r="CK19" i="205"/>
  <c r="AK20" i="205"/>
  <c r="AD22" i="205"/>
  <c r="EX25" i="205"/>
  <c r="EP26" i="205"/>
  <c r="ER26" i="205"/>
  <c r="CI26" i="205" s="1"/>
  <c r="FH28" i="205"/>
  <c r="FU28" i="205"/>
  <c r="EA28" i="205"/>
  <c r="ED28" i="205"/>
  <c r="EC28" i="205"/>
  <c r="FP28" i="205" s="1"/>
  <c r="EB28" i="205"/>
  <c r="FQ29" i="205"/>
  <c r="EY29" i="205"/>
  <c r="EX29" i="205"/>
  <c r="DT29" i="205"/>
  <c r="EM29" i="205"/>
  <c r="EN29" i="205"/>
  <c r="FO30" i="205"/>
  <c r="CK33" i="205"/>
  <c r="FP36" i="205"/>
  <c r="AQ40" i="205"/>
  <c r="AR40" i="205" s="1"/>
  <c r="AS40" i="205"/>
  <c r="AT40" i="205" s="1"/>
  <c r="AN40" i="205"/>
  <c r="AL40" i="205"/>
  <c r="AJ40" i="205"/>
  <c r="AL43" i="205"/>
  <c r="AS43" i="205"/>
  <c r="AO43" i="205"/>
  <c r="AM43" i="205"/>
  <c r="AN43" i="205"/>
  <c r="AJ43" i="205"/>
  <c r="ER43" i="205"/>
  <c r="EV43" i="205" s="1"/>
  <c r="FN44" i="205"/>
  <c r="DX44" i="205"/>
  <c r="DP44" i="205"/>
  <c r="DW44" i="205"/>
  <c r="FO44" i="205" s="1"/>
  <c r="DU44" i="205"/>
  <c r="AQ57" i="205"/>
  <c r="AO57" i="205"/>
  <c r="AM57" i="205"/>
  <c r="AL57" i="205"/>
  <c r="AJ57" i="205"/>
  <c r="EN16" i="206"/>
  <c r="EM16" i="206"/>
  <c r="DR19" i="206"/>
  <c r="CS19" i="206"/>
  <c r="EL78" i="206"/>
  <c r="EU19" i="206"/>
  <c r="ET19" i="206"/>
  <c r="EX26" i="206"/>
  <c r="EY26" i="206"/>
  <c r="DT26" i="206"/>
  <c r="EN38" i="206"/>
  <c r="EM38" i="206"/>
  <c r="EF26" i="207"/>
  <c r="EG26" i="207"/>
  <c r="FQ17" i="203"/>
  <c r="FB18" i="203"/>
  <c r="FB20" i="203"/>
  <c r="FB22" i="203"/>
  <c r="FM24" i="203"/>
  <c r="FQ25" i="203"/>
  <c r="FM26" i="203"/>
  <c r="FQ30" i="203"/>
  <c r="FQ33" i="203"/>
  <c r="FB34" i="203"/>
  <c r="FM37" i="203"/>
  <c r="FB40" i="203"/>
  <c r="FQ41" i="203"/>
  <c r="FM43" i="203"/>
  <c r="FQ45" i="203"/>
  <c r="FN19" i="204"/>
  <c r="DX19" i="204"/>
  <c r="DP19" i="204"/>
  <c r="DW19" i="204"/>
  <c r="FO19" i="204" s="1"/>
  <c r="EN19" i="204"/>
  <c r="EM19" i="204"/>
  <c r="AD20" i="204"/>
  <c r="EG20" i="204"/>
  <c r="EF20" i="204"/>
  <c r="AD22" i="204"/>
  <c r="EG22" i="204"/>
  <c r="EF22" i="204"/>
  <c r="FN23" i="204"/>
  <c r="DX23" i="204"/>
  <c r="DP23" i="204"/>
  <c r="DW23" i="204"/>
  <c r="FO23" i="204" s="1"/>
  <c r="EN23" i="204"/>
  <c r="EM23" i="204"/>
  <c r="AQ24" i="204"/>
  <c r="AR24" i="204" s="1"/>
  <c r="AO24" i="204"/>
  <c r="AP24" i="204" s="1"/>
  <c r="AN24" i="204"/>
  <c r="FE24" i="204"/>
  <c r="FF24" i="204" s="1"/>
  <c r="FG24" i="204" s="1"/>
  <c r="Y24" i="204" s="1"/>
  <c r="FT25" i="204"/>
  <c r="CE25" i="204"/>
  <c r="FP26" i="204"/>
  <c r="AO29" i="204"/>
  <c r="AN29" i="204"/>
  <c r="AP29" i="204" s="1"/>
  <c r="AM29" i="204"/>
  <c r="DT30" i="204"/>
  <c r="FH31" i="204"/>
  <c r="FU31" i="204"/>
  <c r="EB31" i="204"/>
  <c r="EN34" i="204"/>
  <c r="EM34" i="204"/>
  <c r="CD36" i="204"/>
  <c r="FS37" i="204"/>
  <c r="CD37" i="204"/>
  <c r="EG38" i="204"/>
  <c r="EF38" i="204"/>
  <c r="AL39" i="204"/>
  <c r="AS39" i="204"/>
  <c r="AJ39" i="204"/>
  <c r="AQ39" i="204"/>
  <c r="GE41" i="204"/>
  <c r="GD41" i="204"/>
  <c r="GC41" i="204"/>
  <c r="GB41" i="204"/>
  <c r="FN43" i="204"/>
  <c r="DX43" i="204"/>
  <c r="DP43" i="204"/>
  <c r="DW43" i="204"/>
  <c r="EN43" i="204"/>
  <c r="EM43" i="204"/>
  <c r="AH44" i="204"/>
  <c r="AG44" i="204"/>
  <c r="AW44" i="204"/>
  <c r="AK44" i="204" s="1"/>
  <c r="AF44" i="204"/>
  <c r="FO44" i="204"/>
  <c r="DT45" i="204"/>
  <c r="AK57" i="204"/>
  <c r="AJ57" i="204" s="1"/>
  <c r="AD16" i="205"/>
  <c r="FP17" i="205"/>
  <c r="DZ17" i="205"/>
  <c r="EE21" i="205"/>
  <c r="AK22" i="205"/>
  <c r="FQ22" i="205"/>
  <c r="EY22" i="205"/>
  <c r="EX22" i="205"/>
  <c r="EN22" i="205"/>
  <c r="EM22" i="205"/>
  <c r="DT22" i="205"/>
  <c r="CI24" i="205"/>
  <c r="DT25" i="205"/>
  <c r="EY25" i="205"/>
  <c r="DX30" i="205"/>
  <c r="DP30" i="205"/>
  <c r="FQ30" i="205"/>
  <c r="FN30" i="205"/>
  <c r="DW30" i="205"/>
  <c r="FT31" i="205"/>
  <c r="FT33" i="205"/>
  <c r="CE34" i="205"/>
  <c r="FT34" i="205"/>
  <c r="EM35" i="205"/>
  <c r="EN35" i="205"/>
  <c r="FT37" i="205"/>
  <c r="AX41" i="205"/>
  <c r="GF41" i="205"/>
  <c r="GC42" i="205"/>
  <c r="GB42" i="205"/>
  <c r="GD42" i="205"/>
  <c r="GA42" i="205"/>
  <c r="GL42" i="205" s="1"/>
  <c r="FB44" i="205"/>
  <c r="FA44" i="205"/>
  <c r="FR44" i="205"/>
  <c r="FP44" i="205"/>
  <c r="DZ44" i="205"/>
  <c r="CD18" i="206"/>
  <c r="FS18" i="206"/>
  <c r="FJ18" i="206"/>
  <c r="FK18" i="206" s="1"/>
  <c r="FL18" i="206" s="1"/>
  <c r="Z18" i="206" s="1"/>
  <c r="FN18" i="206"/>
  <c r="ER25" i="206"/>
  <c r="AU28" i="206"/>
  <c r="AZ28" i="206"/>
  <c r="FN28" i="206"/>
  <c r="DX28" i="206"/>
  <c r="DP28" i="206"/>
  <c r="DW28" i="206"/>
  <c r="FO28" i="206" s="1"/>
  <c r="DV28" i="206"/>
  <c r="FQ28" i="206"/>
  <c r="DU28" i="206"/>
  <c r="EN28" i="206"/>
  <c r="EM28" i="206"/>
  <c r="FT32" i="206"/>
  <c r="CE32" i="206"/>
  <c r="AU42" i="206"/>
  <c r="ET42" i="206" s="1"/>
  <c r="AZ42" i="206"/>
  <c r="FM42" i="206"/>
  <c r="FV42" i="206"/>
  <c r="E42" i="206"/>
  <c r="D42" i="206"/>
  <c r="GK42" i="206" s="1"/>
  <c r="AN26" i="207"/>
  <c r="AL26" i="207"/>
  <c r="AS26" i="207"/>
  <c r="AJ26" i="207"/>
  <c r="AO26" i="207"/>
  <c r="AQ26" i="207"/>
  <c r="AM26" i="207"/>
  <c r="FB17" i="203"/>
  <c r="FB25" i="203"/>
  <c r="FB30" i="203"/>
  <c r="FB33" i="203"/>
  <c r="FB41" i="203"/>
  <c r="FB45" i="203"/>
  <c r="EY16" i="204"/>
  <c r="EX16" i="204"/>
  <c r="EC17" i="204"/>
  <c r="FP17" i="204" s="1"/>
  <c r="EB17" i="204"/>
  <c r="EA17" i="204"/>
  <c r="FN17" i="204"/>
  <c r="AD18" i="204"/>
  <c r="EG18" i="204"/>
  <c r="EF18" i="204"/>
  <c r="DZ19" i="204"/>
  <c r="EN20" i="204"/>
  <c r="EM20" i="204"/>
  <c r="AS21" i="204"/>
  <c r="AJ21" i="204"/>
  <c r="AQ21" i="204"/>
  <c r="FR21" i="204"/>
  <c r="FP21" i="204"/>
  <c r="EN22" i="204"/>
  <c r="EM22" i="204"/>
  <c r="DZ23" i="204"/>
  <c r="AL24" i="204"/>
  <c r="FJ24" i="204"/>
  <c r="FK24" i="204" s="1"/>
  <c r="FL24" i="204" s="1"/>
  <c r="Z24" i="204" s="1"/>
  <c r="FS26" i="204"/>
  <c r="CD26" i="204"/>
  <c r="FJ26" i="204"/>
  <c r="FK26" i="204" s="1"/>
  <c r="FL26" i="204" s="1"/>
  <c r="Z26" i="204" s="1"/>
  <c r="EY27" i="204"/>
  <c r="EX27" i="204"/>
  <c r="EG29" i="204"/>
  <c r="EF29" i="204"/>
  <c r="AL30" i="204"/>
  <c r="AS30" i="204"/>
  <c r="AJ30" i="204"/>
  <c r="AQ30" i="204"/>
  <c r="AQ31" i="204"/>
  <c r="AO31" i="204"/>
  <c r="AN31" i="204"/>
  <c r="FE31" i="204"/>
  <c r="FF31" i="204" s="1"/>
  <c r="FG31" i="204" s="1"/>
  <c r="Y31" i="204" s="1"/>
  <c r="EC31" i="204"/>
  <c r="FO33" i="204"/>
  <c r="FN34" i="204"/>
  <c r="DX34" i="204"/>
  <c r="DP34" i="204"/>
  <c r="DW34" i="204"/>
  <c r="DV34" i="204"/>
  <c r="FQ34" i="204"/>
  <c r="CK36" i="204"/>
  <c r="J36" i="204"/>
  <c r="I36" i="204"/>
  <c r="FP37" i="204"/>
  <c r="J41" i="204"/>
  <c r="I41" i="204"/>
  <c r="H41" i="204"/>
  <c r="G41" i="204"/>
  <c r="DZ43" i="204"/>
  <c r="DT16" i="205"/>
  <c r="AQ17" i="205"/>
  <c r="AR17" i="205" s="1"/>
  <c r="AO17" i="205"/>
  <c r="AP17" i="205" s="1"/>
  <c r="AN17" i="205"/>
  <c r="FH17" i="205"/>
  <c r="FU17" i="205"/>
  <c r="EB17" i="205"/>
  <c r="DZ18" i="205"/>
  <c r="FB18" i="205"/>
  <c r="FR18" i="205"/>
  <c r="DX22" i="205"/>
  <c r="DP22" i="205"/>
  <c r="DW22" i="205"/>
  <c r="FO22" i="205" s="1"/>
  <c r="DV22" i="205"/>
  <c r="FN22" i="205"/>
  <c r="DU22" i="205"/>
  <c r="EN28" i="205"/>
  <c r="EM28" i="205"/>
  <c r="FA29" i="205"/>
  <c r="FR29" i="205"/>
  <c r="DZ29" i="205"/>
  <c r="FP29" i="205"/>
  <c r="FB30" i="205"/>
  <c r="FA30" i="205"/>
  <c r="FP30" i="205"/>
  <c r="DZ30" i="205"/>
  <c r="FR30" i="205"/>
  <c r="ER39" i="205"/>
  <c r="FU16" i="206"/>
  <c r="FH16" i="206"/>
  <c r="ED16" i="206"/>
  <c r="EC16" i="206"/>
  <c r="FP16" i="206" s="1"/>
  <c r="EB16" i="206"/>
  <c r="EA16" i="206"/>
  <c r="EN19" i="206"/>
  <c r="EM19" i="206"/>
  <c r="EQ23" i="206"/>
  <c r="CI23" i="206" s="1"/>
  <c r="AO28" i="206"/>
  <c r="AP28" i="206" s="1"/>
  <c r="AN28" i="206"/>
  <c r="AM28" i="206"/>
  <c r="AS28" i="206"/>
  <c r="AQ28" i="206"/>
  <c r="FR28" i="206"/>
  <c r="FB28" i="206"/>
  <c r="FA28" i="206"/>
  <c r="DZ28" i="206"/>
  <c r="FP28" i="206"/>
  <c r="AD32" i="206"/>
  <c r="FR33" i="206"/>
  <c r="DZ33" i="206"/>
  <c r="G33" i="206"/>
  <c r="F33" i="206"/>
  <c r="H33" i="206"/>
  <c r="AD34" i="206"/>
  <c r="EK34" i="206"/>
  <c r="EV34" i="206" s="1"/>
  <c r="AM42" i="206"/>
  <c r="AQ42" i="206"/>
  <c r="AO42" i="206"/>
  <c r="AN42" i="206"/>
  <c r="AL42" i="206"/>
  <c r="AP42" i="206" s="1"/>
  <c r="CE17" i="207"/>
  <c r="FT17" i="207"/>
  <c r="FM24" i="204"/>
  <c r="AY26" i="204"/>
  <c r="AY28" i="204"/>
  <c r="AY30" i="204"/>
  <c r="FM31" i="204"/>
  <c r="FM33" i="204"/>
  <c r="AY37" i="204"/>
  <c r="AY39" i="204"/>
  <c r="AY41" i="204"/>
  <c r="FB42" i="204"/>
  <c r="AD43" i="204"/>
  <c r="AY45" i="204"/>
  <c r="AM49" i="204"/>
  <c r="AY57" i="204"/>
  <c r="DZ16" i="205"/>
  <c r="FM17" i="205"/>
  <c r="FN18" i="205"/>
  <c r="DZ19" i="205"/>
  <c r="AY20" i="205"/>
  <c r="EA20" i="205"/>
  <c r="CE24" i="205"/>
  <c r="EC24" i="205"/>
  <c r="FP24" i="205" s="1"/>
  <c r="EA24" i="205"/>
  <c r="FO26" i="205"/>
  <c r="FE28" i="205"/>
  <c r="FF28" i="205" s="1"/>
  <c r="FG28" i="205" s="1"/>
  <c r="Y28" i="205" s="1"/>
  <c r="AY29" i="205"/>
  <c r="FH30" i="205"/>
  <c r="FU30" i="205"/>
  <c r="FQ33" i="205"/>
  <c r="EY33" i="205"/>
  <c r="DT33" i="205"/>
  <c r="FO33" i="205"/>
  <c r="DV34" i="205"/>
  <c r="DU34" i="205"/>
  <c r="FS36" i="205"/>
  <c r="CD36" i="205"/>
  <c r="FQ40" i="205"/>
  <c r="DP40" i="205"/>
  <c r="FN40" i="205"/>
  <c r="DX40" i="205"/>
  <c r="DV40" i="205"/>
  <c r="DW40" i="205"/>
  <c r="AG41" i="205"/>
  <c r="AW41" i="205"/>
  <c r="AF41" i="205"/>
  <c r="AH41" i="205"/>
  <c r="AE41" i="205"/>
  <c r="FA41" i="205"/>
  <c r="FR41" i="205"/>
  <c r="DZ41" i="205"/>
  <c r="EB42" i="205"/>
  <c r="EA42" i="205"/>
  <c r="EC42" i="205"/>
  <c r="FN42" i="205"/>
  <c r="AY44" i="206"/>
  <c r="AY45" i="206"/>
  <c r="AY42" i="206"/>
  <c r="AY41" i="206"/>
  <c r="AY33" i="206"/>
  <c r="AY57" i="206"/>
  <c r="AY34" i="206"/>
  <c r="AY31" i="206"/>
  <c r="AY29" i="206"/>
  <c r="AY27" i="206"/>
  <c r="AY25" i="206"/>
  <c r="AY23" i="206"/>
  <c r="AY36" i="206"/>
  <c r="AY26" i="206"/>
  <c r="AY22" i="206"/>
  <c r="AY19" i="206"/>
  <c r="AY38" i="206"/>
  <c r="AY30" i="206"/>
  <c r="AY40" i="206"/>
  <c r="AY32" i="206"/>
  <c r="AY18" i="206"/>
  <c r="AY43" i="206"/>
  <c r="AY37" i="206"/>
  <c r="AY28" i="206"/>
  <c r="AY17" i="206"/>
  <c r="AY35" i="206"/>
  <c r="AY39" i="206"/>
  <c r="AY24" i="206"/>
  <c r="AY16" i="206"/>
  <c r="AY20" i="206"/>
  <c r="EJ21" i="206"/>
  <c r="CH21" i="206" s="1"/>
  <c r="ED28" i="206"/>
  <c r="EA28" i="206"/>
  <c r="EY30" i="206"/>
  <c r="EX30" i="206"/>
  <c r="FQ30" i="206"/>
  <c r="DT30" i="206"/>
  <c r="FQ32" i="206"/>
  <c r="EY32" i="206"/>
  <c r="EX32" i="206"/>
  <c r="DT32" i="206"/>
  <c r="FO32" i="206"/>
  <c r="EM32" i="206"/>
  <c r="EN32" i="206"/>
  <c r="DZ38" i="206"/>
  <c r="FP38" i="206"/>
  <c r="FO41" i="206"/>
  <c r="G41" i="206"/>
  <c r="F41" i="206"/>
  <c r="AM53" i="206"/>
  <c r="EQ21" i="207"/>
  <c r="AY17" i="204"/>
  <c r="AY21" i="204"/>
  <c r="FM23" i="204"/>
  <c r="EX24" i="204"/>
  <c r="DU25" i="204"/>
  <c r="EC25" i="204"/>
  <c r="FB25" i="204"/>
  <c r="EB26" i="204"/>
  <c r="FA26" i="204"/>
  <c r="FM27" i="204"/>
  <c r="EB28" i="204"/>
  <c r="FA28" i="204"/>
  <c r="FM29" i="204"/>
  <c r="EB30" i="204"/>
  <c r="FA30" i="204"/>
  <c r="EX31" i="204"/>
  <c r="CD32" i="204"/>
  <c r="DU32" i="204"/>
  <c r="EC32" i="204"/>
  <c r="FP32" i="204" s="1"/>
  <c r="FB32" i="204"/>
  <c r="EX33" i="204"/>
  <c r="CD35" i="204"/>
  <c r="DU35" i="204"/>
  <c r="EC35" i="204"/>
  <c r="FP35" i="204" s="1"/>
  <c r="FB35" i="204"/>
  <c r="AY36" i="204"/>
  <c r="EB37" i="204"/>
  <c r="FA37" i="204"/>
  <c r="FM38" i="204"/>
  <c r="EB39" i="204"/>
  <c r="FA39" i="204"/>
  <c r="CD40" i="204"/>
  <c r="DU40" i="204"/>
  <c r="EC40" i="204"/>
  <c r="FP40" i="204" s="1"/>
  <c r="FB40" i="204"/>
  <c r="EB41" i="204"/>
  <c r="FA41" i="204"/>
  <c r="AE43" i="204"/>
  <c r="AV43" i="204"/>
  <c r="AK43" i="204" s="1"/>
  <c r="FM43" i="204"/>
  <c r="EB45" i="204"/>
  <c r="FA45" i="204"/>
  <c r="AN49" i="204"/>
  <c r="AY57" i="205"/>
  <c r="AY45" i="205"/>
  <c r="AY40" i="205"/>
  <c r="AY42" i="205"/>
  <c r="AY39" i="205"/>
  <c r="AY30" i="205"/>
  <c r="AY43" i="205"/>
  <c r="AY32" i="205"/>
  <c r="AY36" i="205"/>
  <c r="AY34" i="205"/>
  <c r="AY24" i="205"/>
  <c r="AN49" i="205"/>
  <c r="AN53" i="205"/>
  <c r="AY16" i="205"/>
  <c r="EX17" i="205"/>
  <c r="AY19" i="205"/>
  <c r="EB20" i="205"/>
  <c r="CD21" i="205"/>
  <c r="DU21" i="205"/>
  <c r="FB21" i="205"/>
  <c r="CE23" i="205"/>
  <c r="CD24" i="205"/>
  <c r="FJ24" i="205"/>
  <c r="FK24" i="205" s="1"/>
  <c r="FL24" i="205" s="1"/>
  <c r="Z24" i="205" s="1"/>
  <c r="AY25" i="205"/>
  <c r="FB25" i="205"/>
  <c r="DX26" i="205"/>
  <c r="DP26" i="205"/>
  <c r="DV26" i="205"/>
  <c r="FN26" i="205"/>
  <c r="CE27" i="205"/>
  <c r="CD28" i="205"/>
  <c r="FE30" i="205"/>
  <c r="FF30" i="205" s="1"/>
  <c r="FG30" i="205" s="1"/>
  <c r="Y30" i="205" s="1"/>
  <c r="EB30" i="205"/>
  <c r="EM30" i="205"/>
  <c r="DX31" i="205"/>
  <c r="DP31" i="205"/>
  <c r="DW31" i="205"/>
  <c r="FO31" i="205" s="1"/>
  <c r="DU31" i="205"/>
  <c r="DV31" i="205"/>
  <c r="EX31" i="205"/>
  <c r="AJ32" i="205"/>
  <c r="AQ32" i="205"/>
  <c r="AO32" i="205"/>
  <c r="EF32" i="205"/>
  <c r="AS33" i="205"/>
  <c r="AT33" i="205" s="1"/>
  <c r="AJ33" i="205"/>
  <c r="FP34" i="205"/>
  <c r="DW34" i="205"/>
  <c r="FO34" i="205" s="1"/>
  <c r="FQ34" i="205"/>
  <c r="FV36" i="205"/>
  <c r="FQ37" i="205"/>
  <c r="EY37" i="205"/>
  <c r="DT37" i="205"/>
  <c r="FO37" i="205"/>
  <c r="EI38" i="205"/>
  <c r="FU40" i="205"/>
  <c r="FU41" i="205"/>
  <c r="FH41" i="205"/>
  <c r="ED41" i="205"/>
  <c r="EC41" i="205"/>
  <c r="EA41" i="205"/>
  <c r="ED42" i="205"/>
  <c r="FU42" i="205"/>
  <c r="FS43" i="205"/>
  <c r="CD43" i="205"/>
  <c r="AY44" i="205"/>
  <c r="FJ45" i="205"/>
  <c r="FK45" i="205" s="1"/>
  <c r="FL45" i="205" s="1"/>
  <c r="Z45" i="205" s="1"/>
  <c r="J45" i="205"/>
  <c r="I45" i="205"/>
  <c r="EG16" i="206"/>
  <c r="EF16" i="206"/>
  <c r="AP19" i="206"/>
  <c r="AZ19" i="206"/>
  <c r="AY21" i="206"/>
  <c r="FT21" i="206"/>
  <c r="CE21" i="206"/>
  <c r="R22" i="206"/>
  <c r="CD25" i="206"/>
  <c r="FS25" i="206"/>
  <c r="FJ25" i="206"/>
  <c r="FK25" i="206" s="1"/>
  <c r="FL25" i="206" s="1"/>
  <c r="Z25" i="206" s="1"/>
  <c r="FE25" i="206"/>
  <c r="FF25" i="206" s="1"/>
  <c r="FG25" i="206" s="1"/>
  <c r="Y25" i="206" s="1"/>
  <c r="EL26" i="206"/>
  <c r="EG29" i="206"/>
  <c r="EF29" i="206"/>
  <c r="FN30" i="206"/>
  <c r="DX30" i="206"/>
  <c r="DP30" i="206"/>
  <c r="DW30" i="206"/>
  <c r="FO30" i="206" s="1"/>
  <c r="DU30" i="206"/>
  <c r="DV30" i="206"/>
  <c r="EG31" i="206"/>
  <c r="EF31" i="206"/>
  <c r="FN37" i="206"/>
  <c r="DX37" i="206"/>
  <c r="DP37" i="206"/>
  <c r="DW37" i="206"/>
  <c r="DV37" i="206"/>
  <c r="DU37" i="206"/>
  <c r="FQ37" i="206"/>
  <c r="FU38" i="206"/>
  <c r="FH38" i="206"/>
  <c r="ED38" i="206"/>
  <c r="EC38" i="206"/>
  <c r="EB38" i="206"/>
  <c r="EA38" i="206"/>
  <c r="FT39" i="206"/>
  <c r="CE39" i="206"/>
  <c r="FO39" i="206"/>
  <c r="EG40" i="206"/>
  <c r="EF40" i="206"/>
  <c r="FQ20" i="207"/>
  <c r="EY20" i="207"/>
  <c r="EX20" i="207"/>
  <c r="DT20" i="207"/>
  <c r="EN20" i="207"/>
  <c r="EM20" i="207"/>
  <c r="EM25" i="207"/>
  <c r="EN25" i="207"/>
  <c r="EJ27" i="207"/>
  <c r="FQ39" i="207"/>
  <c r="EX39" i="207"/>
  <c r="EY39" i="207"/>
  <c r="DT39" i="207"/>
  <c r="FO39" i="207"/>
  <c r="EN39" i="207"/>
  <c r="EM39" i="207"/>
  <c r="AZ40" i="207"/>
  <c r="AP40" i="207"/>
  <c r="EX18" i="208"/>
  <c r="EY18" i="208"/>
  <c r="FQ18" i="208"/>
  <c r="FO18" i="208"/>
  <c r="DT18" i="208"/>
  <c r="FQ17" i="204"/>
  <c r="FM18" i="204"/>
  <c r="FM20" i="204"/>
  <c r="FA21" i="204"/>
  <c r="FM22" i="204"/>
  <c r="DV25" i="204"/>
  <c r="DU26" i="204"/>
  <c r="EC26" i="204"/>
  <c r="FB26" i="204"/>
  <c r="EC28" i="204"/>
  <c r="FP28" i="204" s="1"/>
  <c r="FB28" i="204"/>
  <c r="EC30" i="204"/>
  <c r="FP30" i="204" s="1"/>
  <c r="FB30" i="204"/>
  <c r="DV32" i="204"/>
  <c r="DV35" i="204"/>
  <c r="FA36" i="204"/>
  <c r="EC37" i="204"/>
  <c r="FB37" i="204"/>
  <c r="EC39" i="204"/>
  <c r="FP39" i="204" s="1"/>
  <c r="FB39" i="204"/>
  <c r="DV40" i="204"/>
  <c r="EC41" i="204"/>
  <c r="FB41" i="204"/>
  <c r="AF43" i="204"/>
  <c r="AW43" i="204"/>
  <c r="AY44" i="204"/>
  <c r="EC45" i="204"/>
  <c r="FP45" i="204" s="1"/>
  <c r="FB45" i="204"/>
  <c r="AM53" i="205"/>
  <c r="AM49" i="205"/>
  <c r="FA16" i="205"/>
  <c r="AY18" i="205"/>
  <c r="FA19" i="205"/>
  <c r="EC20" i="205"/>
  <c r="FP20" i="205" s="1"/>
  <c r="FB20" i="205"/>
  <c r="DP23" i="205"/>
  <c r="EA23" i="205"/>
  <c r="FE24" i="205"/>
  <c r="FF24" i="205" s="1"/>
  <c r="FG24" i="205" s="1"/>
  <c r="Y24" i="205" s="1"/>
  <c r="CD25" i="205"/>
  <c r="DZ26" i="205"/>
  <c r="FP26" i="205"/>
  <c r="AL27" i="205"/>
  <c r="AJ27" i="205"/>
  <c r="EM27" i="205"/>
  <c r="EX27" i="205"/>
  <c r="AP28" i="205"/>
  <c r="EC30" i="205"/>
  <c r="AY31" i="205"/>
  <c r="AL32" i="205"/>
  <c r="FP32" i="205"/>
  <c r="AL33" i="205"/>
  <c r="DZ33" i="205"/>
  <c r="DX34" i="205"/>
  <c r="CE36" i="205"/>
  <c r="AS37" i="205"/>
  <c r="AT37" i="205" s="1"/>
  <c r="AJ37" i="205"/>
  <c r="EJ38" i="205"/>
  <c r="CH38" i="205" s="1"/>
  <c r="EB39" i="205"/>
  <c r="EA39" i="205"/>
  <c r="DP39" i="205"/>
  <c r="FN39" i="205"/>
  <c r="EM39" i="205"/>
  <c r="FR39" i="205"/>
  <c r="EB40" i="205"/>
  <c r="FJ41" i="205"/>
  <c r="FK41" i="205" s="1"/>
  <c r="FL41" i="205" s="1"/>
  <c r="Z41" i="205" s="1"/>
  <c r="EF41" i="205"/>
  <c r="DP42" i="205"/>
  <c r="FM43" i="205"/>
  <c r="FV43" i="205"/>
  <c r="AU44" i="205"/>
  <c r="AZ44" i="205"/>
  <c r="EK45" i="205"/>
  <c r="DZ45" i="206"/>
  <c r="DT44" i="206"/>
  <c r="DT34" i="206"/>
  <c r="DT31" i="206"/>
  <c r="DT29" i="206"/>
  <c r="DT27" i="206"/>
  <c r="DT25" i="206"/>
  <c r="DZ39" i="206"/>
  <c r="DZ32" i="206"/>
  <c r="DZ29" i="206"/>
  <c r="DZ23" i="206"/>
  <c r="DT22" i="206"/>
  <c r="DT37" i="206"/>
  <c r="DZ36" i="206"/>
  <c r="DZ26" i="206"/>
  <c r="DT18" i="206"/>
  <c r="DZ41" i="206"/>
  <c r="DT28" i="206"/>
  <c r="DZ34" i="206"/>
  <c r="DZ18" i="206"/>
  <c r="DZ25" i="206"/>
  <c r="DZ35" i="206"/>
  <c r="DZ31" i="206"/>
  <c r="DT20" i="206"/>
  <c r="DT19" i="206"/>
  <c r="AN53" i="206"/>
  <c r="AN49" i="206"/>
  <c r="AN54" i="206"/>
  <c r="AN52" i="206"/>
  <c r="FN16" i="206"/>
  <c r="DX16" i="206"/>
  <c r="DP16" i="206"/>
  <c r="DW16" i="206"/>
  <c r="DV16" i="206"/>
  <c r="FQ16" i="206"/>
  <c r="DU16" i="206"/>
  <c r="FS17" i="206"/>
  <c r="CD17" i="206"/>
  <c r="FJ17" i="206"/>
  <c r="FK17" i="206" s="1"/>
  <c r="FL17" i="206" s="1"/>
  <c r="Z17" i="206" s="1"/>
  <c r="FE17" i="206"/>
  <c r="FF17" i="206" s="1"/>
  <c r="FG17" i="206" s="1"/>
  <c r="Y17" i="206" s="1"/>
  <c r="FP17" i="206"/>
  <c r="EN18" i="206"/>
  <c r="EM18" i="206"/>
  <c r="AU20" i="206"/>
  <c r="AZ20" i="206"/>
  <c r="S22" i="206"/>
  <c r="EM22" i="206"/>
  <c r="EN22" i="206"/>
  <c r="EM25" i="206"/>
  <c r="DZ27" i="206"/>
  <c r="FA30" i="206"/>
  <c r="FR30" i="206"/>
  <c r="DZ30" i="206"/>
  <c r="FV31" i="206"/>
  <c r="FM31" i="206"/>
  <c r="ER33" i="206"/>
  <c r="F34" i="206"/>
  <c r="H34" i="206"/>
  <c r="G34" i="206"/>
  <c r="EJ36" i="206"/>
  <c r="CH36" i="206" s="1"/>
  <c r="AU37" i="206"/>
  <c r="ET37" i="206" s="1"/>
  <c r="FR37" i="206"/>
  <c r="FN40" i="206"/>
  <c r="DX40" i="206"/>
  <c r="DP40" i="206"/>
  <c r="DW40" i="206"/>
  <c r="FO40" i="206" s="1"/>
  <c r="DV40" i="206"/>
  <c r="DZ40" i="206"/>
  <c r="FU42" i="206"/>
  <c r="FH42" i="206"/>
  <c r="EB42" i="206"/>
  <c r="FN42" i="206"/>
  <c r="ED42" i="206"/>
  <c r="EC42" i="206"/>
  <c r="FP42" i="206" s="1"/>
  <c r="FR42" i="206"/>
  <c r="DZ42" i="206"/>
  <c r="FR43" i="206"/>
  <c r="FB43" i="206"/>
  <c r="FP43" i="206"/>
  <c r="DZ43" i="206"/>
  <c r="GF57" i="206"/>
  <c r="AX57" i="206"/>
  <c r="F16" i="207"/>
  <c r="H16" i="207"/>
  <c r="G16" i="207"/>
  <c r="H20" i="207"/>
  <c r="AQ20" i="207" s="1"/>
  <c r="AR20" i="207" s="1"/>
  <c r="G20" i="207"/>
  <c r="F20" i="207"/>
  <c r="FO20" i="207"/>
  <c r="FB17" i="204"/>
  <c r="FB21" i="204"/>
  <c r="AY24" i="204"/>
  <c r="AY31" i="204"/>
  <c r="FB36" i="204"/>
  <c r="FB16" i="205"/>
  <c r="FB19" i="205"/>
  <c r="AY26" i="205"/>
  <c r="DT27" i="205"/>
  <c r="EY27" i="205"/>
  <c r="AU28" i="205"/>
  <c r="AD29" i="205"/>
  <c r="FT29" i="205"/>
  <c r="CE29" i="205"/>
  <c r="EE29" i="205"/>
  <c r="ED30" i="205"/>
  <c r="ER30" i="205"/>
  <c r="EE31" i="205"/>
  <c r="FN31" i="205"/>
  <c r="AM32" i="205"/>
  <c r="EB32" i="205"/>
  <c r="EA32" i="205"/>
  <c r="EK32" i="205"/>
  <c r="FU32" i="205"/>
  <c r="AM33" i="205"/>
  <c r="EC33" i="205"/>
  <c r="FP33" i="205" s="1"/>
  <c r="EB33" i="205"/>
  <c r="EX33" i="205"/>
  <c r="FS34" i="205"/>
  <c r="CD34" i="205"/>
  <c r="FJ34" i="205"/>
  <c r="FK34" i="205" s="1"/>
  <c r="FL34" i="205" s="1"/>
  <c r="Z34" i="205" s="1"/>
  <c r="EY35" i="205"/>
  <c r="EX35" i="205"/>
  <c r="AL37" i="205"/>
  <c r="FR37" i="205"/>
  <c r="DZ37" i="205"/>
  <c r="EK38" i="205"/>
  <c r="EC40" i="205"/>
  <c r="AD41" i="205"/>
  <c r="AV41" i="205"/>
  <c r="AK41" i="205" s="1"/>
  <c r="FP41" i="205"/>
  <c r="FT43" i="205"/>
  <c r="CE43" i="205"/>
  <c r="EF43" i="205"/>
  <c r="AO44" i="205"/>
  <c r="AN44" i="205"/>
  <c r="AM44" i="205"/>
  <c r="AL44" i="205"/>
  <c r="AH45" i="205"/>
  <c r="AG45" i="205"/>
  <c r="AW45" i="205"/>
  <c r="AF45" i="205"/>
  <c r="AV45" i="205"/>
  <c r="EF45" i="205"/>
  <c r="AM52" i="206"/>
  <c r="AM54" i="206"/>
  <c r="FR16" i="206"/>
  <c r="FB16" i="206"/>
  <c r="FA16" i="206"/>
  <c r="DZ16" i="206"/>
  <c r="CK17" i="206"/>
  <c r="DZ17" i="206"/>
  <c r="FM17" i="206"/>
  <c r="FO19" i="206"/>
  <c r="AO20" i="206"/>
  <c r="AN20" i="206"/>
  <c r="AP20" i="206" s="1"/>
  <c r="AM20" i="206"/>
  <c r="AL20" i="206"/>
  <c r="AS20" i="206"/>
  <c r="FN20" i="206"/>
  <c r="DX20" i="206"/>
  <c r="DP20" i="206"/>
  <c r="DW20" i="206"/>
  <c r="FO20" i="206" s="1"/>
  <c r="DV20" i="206"/>
  <c r="DU20" i="206"/>
  <c r="CK25" i="206"/>
  <c r="EG25" i="206"/>
  <c r="EF25" i="206"/>
  <c r="O26" i="206"/>
  <c r="N26" i="206"/>
  <c r="FH28" i="206"/>
  <c r="FM29" i="206"/>
  <c r="FV29" i="206"/>
  <c r="CE31" i="206"/>
  <c r="FT31" i="206"/>
  <c r="EQ31" i="206"/>
  <c r="CI31" i="206" s="1"/>
  <c r="FP34" i="206"/>
  <c r="FB38" i="206"/>
  <c r="DT39" i="206"/>
  <c r="AM54" i="207"/>
  <c r="AM52" i="207"/>
  <c r="FO18" i="207"/>
  <c r="EK33" i="207"/>
  <c r="FB31" i="205"/>
  <c r="FN32" i="205"/>
  <c r="EA34" i="205"/>
  <c r="EA36" i="205"/>
  <c r="FP39" i="205"/>
  <c r="FB39" i="205"/>
  <c r="FP40" i="205"/>
  <c r="DZ40" i="205"/>
  <c r="H42" i="205"/>
  <c r="G42" i="205"/>
  <c r="AX44" i="205"/>
  <c r="EG44" i="205"/>
  <c r="EF44" i="205"/>
  <c r="GB44" i="205"/>
  <c r="GL44" i="205" s="1"/>
  <c r="FU45" i="205"/>
  <c r="AO16" i="206"/>
  <c r="AN16" i="206"/>
  <c r="AM16" i="206"/>
  <c r="AQ19" i="206"/>
  <c r="AO19" i="206"/>
  <c r="AN19" i="206"/>
  <c r="FE19" i="206"/>
  <c r="FF19" i="206" s="1"/>
  <c r="FG19" i="206" s="1"/>
  <c r="ES19" i="206"/>
  <c r="AU24" i="206"/>
  <c r="EN24" i="206"/>
  <c r="EM24" i="206"/>
  <c r="ED30" i="206"/>
  <c r="EC30" i="206"/>
  <c r="FP30" i="206" s="1"/>
  <c r="CD33" i="206"/>
  <c r="FJ33" i="206"/>
  <c r="FK33" i="206" s="1"/>
  <c r="FL33" i="206" s="1"/>
  <c r="Z33" i="206" s="1"/>
  <c r="F35" i="206"/>
  <c r="H35" i="206"/>
  <c r="AQ35" i="206" s="1"/>
  <c r="G35" i="206"/>
  <c r="ER35" i="206"/>
  <c r="CI35" i="206" s="1"/>
  <c r="GM36" i="206"/>
  <c r="EX40" i="206"/>
  <c r="EY40" i="206"/>
  <c r="EN40" i="206"/>
  <c r="EM40" i="206"/>
  <c r="AQ41" i="206"/>
  <c r="AO41" i="206"/>
  <c r="AN41" i="206"/>
  <c r="AM41" i="206"/>
  <c r="AL41" i="206"/>
  <c r="AJ41" i="206"/>
  <c r="J43" i="206"/>
  <c r="K43" i="206"/>
  <c r="I43" i="206"/>
  <c r="GM19" i="207"/>
  <c r="F22" i="207"/>
  <c r="H22" i="207"/>
  <c r="G22" i="207"/>
  <c r="EX24" i="207"/>
  <c r="FQ24" i="207"/>
  <c r="EY24" i="207"/>
  <c r="EM24" i="207"/>
  <c r="EN24" i="207"/>
  <c r="EN30" i="207"/>
  <c r="EM30" i="207"/>
  <c r="FQ35" i="207"/>
  <c r="EY35" i="207"/>
  <c r="EX35" i="207"/>
  <c r="DT35" i="207"/>
  <c r="FO35" i="207"/>
  <c r="EN35" i="207"/>
  <c r="EM35" i="207"/>
  <c r="EF39" i="207"/>
  <c r="EG39" i="207"/>
  <c r="FB24" i="205"/>
  <c r="FA33" i="205"/>
  <c r="EC34" i="205"/>
  <c r="FB34" i="205"/>
  <c r="EC36" i="205"/>
  <c r="FB36" i="205"/>
  <c r="FA37" i="205"/>
  <c r="FO38" i="205"/>
  <c r="AL17" i="206"/>
  <c r="AS17" i="206"/>
  <c r="AJ17" i="206"/>
  <c r="AQ17" i="206"/>
  <c r="AS18" i="206"/>
  <c r="AT18" i="206" s="1"/>
  <c r="AJ18" i="206"/>
  <c r="AQ18" i="206"/>
  <c r="AR18" i="206" s="1"/>
  <c r="EG19" i="206"/>
  <c r="EF19" i="206"/>
  <c r="AD20" i="206"/>
  <c r="EG20" i="206"/>
  <c r="EF20" i="206"/>
  <c r="FU22" i="206"/>
  <c r="FH22" i="206"/>
  <c r="EC22" i="206"/>
  <c r="FP22" i="206" s="1"/>
  <c r="ED22" i="206"/>
  <c r="EB22" i="206"/>
  <c r="EA22" i="206"/>
  <c r="CE29" i="206"/>
  <c r="AS33" i="206"/>
  <c r="AT33" i="206" s="1"/>
  <c r="AJ33" i="206"/>
  <c r="AQ33" i="206"/>
  <c r="AR33" i="206" s="1"/>
  <c r="AO33" i="206"/>
  <c r="AN33" i="206"/>
  <c r="EG33" i="206"/>
  <c r="EF33" i="206"/>
  <c r="CH34" i="206"/>
  <c r="EQ34" i="206"/>
  <c r="CI34" i="206" s="1"/>
  <c r="FT36" i="206"/>
  <c r="CE36" i="206"/>
  <c r="FO37" i="206"/>
  <c r="EY38" i="206"/>
  <c r="EX38" i="206"/>
  <c r="FQ38" i="206"/>
  <c r="FO38" i="206"/>
  <c r="DT38" i="206"/>
  <c r="FA40" i="206"/>
  <c r="FR40" i="206"/>
  <c r="AK43" i="206"/>
  <c r="FV43" i="206"/>
  <c r="FM43" i="206"/>
  <c r="E43" i="206"/>
  <c r="D43" i="206"/>
  <c r="GK43" i="206" s="1"/>
  <c r="AM16" i="207"/>
  <c r="AJ16" i="207"/>
  <c r="AQ16" i="207"/>
  <c r="AS16" i="207"/>
  <c r="AO16" i="207"/>
  <c r="AN16" i="207"/>
  <c r="EB16" i="207"/>
  <c r="EA16" i="207"/>
  <c r="ED16" i="207"/>
  <c r="FN16" i="207"/>
  <c r="EC16" i="207"/>
  <c r="FP16" i="207" s="1"/>
  <c r="DP16" i="207"/>
  <c r="CD17" i="207"/>
  <c r="FS17" i="207"/>
  <c r="FE17" i="207"/>
  <c r="FF17" i="207" s="1"/>
  <c r="FG17" i="207" s="1"/>
  <c r="Y17" i="207" s="1"/>
  <c r="FJ17" i="207"/>
  <c r="FK17" i="207" s="1"/>
  <c r="FL17" i="207" s="1"/>
  <c r="Z17" i="207" s="1"/>
  <c r="AL21" i="207"/>
  <c r="AJ21" i="207"/>
  <c r="AQ21" i="207"/>
  <c r="AR21" i="207" s="1"/>
  <c r="AS21" i="207"/>
  <c r="AT21" i="207" s="1"/>
  <c r="AO21" i="207"/>
  <c r="AM21" i="207"/>
  <c r="AN21" i="207"/>
  <c r="EJ21" i="207"/>
  <c r="CE21" i="207"/>
  <c r="FT21" i="207"/>
  <c r="FH34" i="207"/>
  <c r="FU34" i="207"/>
  <c r="EC34" i="207"/>
  <c r="EB34" i="207"/>
  <c r="EA34" i="207"/>
  <c r="FN34" i="207"/>
  <c r="ED34" i="207"/>
  <c r="DP34" i="207"/>
  <c r="EM45" i="207"/>
  <c r="EN45" i="207"/>
  <c r="FB33" i="205"/>
  <c r="FB37" i="205"/>
  <c r="CK40" i="205"/>
  <c r="EY41" i="205"/>
  <c r="EX41" i="205"/>
  <c r="FO41" i="205"/>
  <c r="J43" i="205"/>
  <c r="I43" i="205"/>
  <c r="CK45" i="205"/>
  <c r="EC45" i="205"/>
  <c r="FM45" i="205"/>
  <c r="EY16" i="206"/>
  <c r="EX16" i="206"/>
  <c r="FO16" i="206"/>
  <c r="EC18" i="206"/>
  <c r="FP18" i="206" s="1"/>
  <c r="EB18" i="206"/>
  <c r="EA18" i="206"/>
  <c r="EN20" i="206"/>
  <c r="EM20" i="206"/>
  <c r="DT21" i="206"/>
  <c r="EY21" i="206"/>
  <c r="O22" i="206"/>
  <c r="N22" i="206"/>
  <c r="FJ22" i="206"/>
  <c r="FK22" i="206" s="1"/>
  <c r="FL22" i="206" s="1"/>
  <c r="DU23" i="206"/>
  <c r="FQ23" i="206"/>
  <c r="DP23" i="206"/>
  <c r="FN23" i="206"/>
  <c r="DX23" i="206"/>
  <c r="DW23" i="206"/>
  <c r="FO23" i="206" s="1"/>
  <c r="DT24" i="206"/>
  <c r="EG24" i="206"/>
  <c r="EF24" i="206"/>
  <c r="EC25" i="206"/>
  <c r="FP25" i="206" s="1"/>
  <c r="EB25" i="206"/>
  <c r="EA25" i="206"/>
  <c r="FN25" i="206"/>
  <c r="ED25" i="206"/>
  <c r="AS27" i="206"/>
  <c r="AJ27" i="206"/>
  <c r="AQ27" i="206"/>
  <c r="AO27" i="206"/>
  <c r="AN27" i="206"/>
  <c r="AM27" i="206"/>
  <c r="AL27" i="206"/>
  <c r="FS31" i="206"/>
  <c r="CD31" i="206"/>
  <c r="FJ31" i="206"/>
  <c r="FK31" i="206" s="1"/>
  <c r="FL31" i="206" s="1"/>
  <c r="Z31" i="206" s="1"/>
  <c r="FE31" i="206"/>
  <c r="FF31" i="206" s="1"/>
  <c r="FG31" i="206" s="1"/>
  <c r="Y31" i="206" s="1"/>
  <c r="FN31" i="206"/>
  <c r="AK32" i="206"/>
  <c r="FS33" i="206"/>
  <c r="AK34" i="206"/>
  <c r="EE35" i="206"/>
  <c r="FN38" i="206"/>
  <c r="DX38" i="206"/>
  <c r="DP38" i="206"/>
  <c r="DW38" i="206"/>
  <c r="DU38" i="206"/>
  <c r="CE42" i="206"/>
  <c r="AL16" i="207"/>
  <c r="EG21" i="207"/>
  <c r="EK27" i="207"/>
  <c r="EN29" i="207"/>
  <c r="EM29" i="207"/>
  <c r="AK53" i="206"/>
  <c r="AK49" i="206"/>
  <c r="FM19" i="206"/>
  <c r="EL81" i="206"/>
  <c r="EJ81" i="206"/>
  <c r="EU22" i="206"/>
  <c r="AM22" i="206"/>
  <c r="AS22" i="206"/>
  <c r="CR22" i="206"/>
  <c r="DQ22" i="206"/>
  <c r="CE23" i="206"/>
  <c r="EC23" i="206"/>
  <c r="FP23" i="206" s="1"/>
  <c r="EA23" i="206"/>
  <c r="FQ24" i="206"/>
  <c r="EJ85" i="206"/>
  <c r="EL85" i="206" s="1"/>
  <c r="DQ26" i="206"/>
  <c r="CR26" i="206"/>
  <c r="EU26" i="206"/>
  <c r="FN26" i="206"/>
  <c r="DX26" i="206"/>
  <c r="DP26" i="206"/>
  <c r="DW26" i="206"/>
  <c r="FO26" i="206" s="1"/>
  <c r="DV26" i="206"/>
  <c r="ET26" i="206"/>
  <c r="AL29" i="206"/>
  <c r="AS29" i="206"/>
  <c r="AJ29" i="206"/>
  <c r="AQ29" i="206"/>
  <c r="AU30" i="206"/>
  <c r="FS34" i="206"/>
  <c r="CD34" i="206"/>
  <c r="AN36" i="206"/>
  <c r="AM36" i="206"/>
  <c r="AL36" i="206"/>
  <c r="AS36" i="206"/>
  <c r="EN36" i="206"/>
  <c r="EM36" i="206"/>
  <c r="AO37" i="206"/>
  <c r="AP37" i="206" s="1"/>
  <c r="AN37" i="206"/>
  <c r="AM37" i="206"/>
  <c r="AL37" i="206"/>
  <c r="AU38" i="206"/>
  <c r="EE39" i="206"/>
  <c r="EC41" i="206"/>
  <c r="FP41" i="206" s="1"/>
  <c r="ED41" i="206"/>
  <c r="FN41" i="206"/>
  <c r="EB41" i="206"/>
  <c r="EA41" i="206"/>
  <c r="GD41" i="206"/>
  <c r="GC41" i="206"/>
  <c r="GB41" i="206"/>
  <c r="GA41" i="206"/>
  <c r="FS44" i="206"/>
  <c r="CD44" i="206"/>
  <c r="GF44" i="206"/>
  <c r="H45" i="206"/>
  <c r="F45" i="206"/>
  <c r="GD45" i="206"/>
  <c r="GC45" i="206"/>
  <c r="GE45" i="206"/>
  <c r="GA45" i="206"/>
  <c r="GL45" i="206" s="1"/>
  <c r="FN40" i="207"/>
  <c r="FN38" i="207"/>
  <c r="FN43" i="207"/>
  <c r="FN39" i="207"/>
  <c r="FN35" i="207"/>
  <c r="FN28" i="207"/>
  <c r="AK54" i="207"/>
  <c r="AK52" i="207"/>
  <c r="FP25" i="207"/>
  <c r="EG29" i="207"/>
  <c r="EF29" i="207"/>
  <c r="FS32" i="207"/>
  <c r="CD32" i="207"/>
  <c r="FJ32" i="207"/>
  <c r="FK32" i="207" s="1"/>
  <c r="FL32" i="207" s="1"/>
  <c r="Z32" i="207" s="1"/>
  <c r="FE32" i="207"/>
  <c r="FF32" i="207" s="1"/>
  <c r="FG32" i="207" s="1"/>
  <c r="Y32" i="207" s="1"/>
  <c r="AP33" i="207"/>
  <c r="AW57" i="207"/>
  <c r="AV57" i="207"/>
  <c r="AK57" i="207" s="1"/>
  <c r="AJ57" i="207" s="1"/>
  <c r="EC43" i="205"/>
  <c r="FP43" i="205" s="1"/>
  <c r="FB43" i="205"/>
  <c r="GD43" i="205"/>
  <c r="GL43" i="205" s="1"/>
  <c r="EX45" i="205"/>
  <c r="P1" i="206"/>
  <c r="P4" i="206"/>
  <c r="AK54" i="206"/>
  <c r="AK52" i="206"/>
  <c r="HJ14" i="206"/>
  <c r="HR14" i="206"/>
  <c r="EB17" i="206"/>
  <c r="FA17" i="206"/>
  <c r="EX19" i="206"/>
  <c r="CD21" i="206"/>
  <c r="DU21" i="206"/>
  <c r="EC21" i="206"/>
  <c r="FP21" i="206" s="1"/>
  <c r="FB21" i="206"/>
  <c r="AL22" i="206"/>
  <c r="CD23" i="206"/>
  <c r="FJ23" i="206"/>
  <c r="FK23" i="206" s="1"/>
  <c r="FL23" i="206" s="1"/>
  <c r="AS24" i="206"/>
  <c r="AO26" i="206"/>
  <c r="AN26" i="206"/>
  <c r="AM26" i="206"/>
  <c r="FR27" i="206"/>
  <c r="EG28" i="206"/>
  <c r="EF28" i="206"/>
  <c r="AO30" i="206"/>
  <c r="AN30" i="206"/>
  <c r="AP30" i="206" s="1"/>
  <c r="AM30" i="206"/>
  <c r="FN34" i="206"/>
  <c r="AM35" i="206"/>
  <c r="AL35" i="206"/>
  <c r="AS35" i="206"/>
  <c r="AJ35" i="206"/>
  <c r="DT35" i="206"/>
  <c r="DX36" i="206"/>
  <c r="DP36" i="206"/>
  <c r="DW36" i="206"/>
  <c r="FO36" i="206" s="1"/>
  <c r="DV36" i="206"/>
  <c r="DU36" i="206"/>
  <c r="AO38" i="206"/>
  <c r="AN38" i="206"/>
  <c r="AM38" i="206"/>
  <c r="AP38" i="206" s="1"/>
  <c r="AK39" i="206"/>
  <c r="EN39" i="206"/>
  <c r="EM39" i="206"/>
  <c r="AO40" i="206"/>
  <c r="AN40" i="206"/>
  <c r="AM40" i="206"/>
  <c r="AL40" i="206"/>
  <c r="AP40" i="206" s="1"/>
  <c r="FE40" i="206"/>
  <c r="FF40" i="206" s="1"/>
  <c r="FG40" i="206" s="1"/>
  <c r="Y40" i="206" s="1"/>
  <c r="CD41" i="206"/>
  <c r="FJ41" i="206"/>
  <c r="FK41" i="206" s="1"/>
  <c r="FL41" i="206" s="1"/>
  <c r="Z41" i="206" s="1"/>
  <c r="FE41" i="206"/>
  <c r="FF41" i="206" s="1"/>
  <c r="FG41" i="206" s="1"/>
  <c r="Y41" i="206" s="1"/>
  <c r="FJ44" i="206"/>
  <c r="FK44" i="206" s="1"/>
  <c r="FL44" i="206" s="1"/>
  <c r="Z44" i="206" s="1"/>
  <c r="AL53" i="207"/>
  <c r="AL49" i="207"/>
  <c r="EG18" i="207"/>
  <c r="EF18" i="207"/>
  <c r="EN32" i="207"/>
  <c r="EM32" i="207"/>
  <c r="EX36" i="207"/>
  <c r="FQ36" i="207"/>
  <c r="EY36" i="207"/>
  <c r="EM36" i="207"/>
  <c r="EN36" i="207"/>
  <c r="EC17" i="206"/>
  <c r="FB17" i="206"/>
  <c r="FA18" i="206"/>
  <c r="DV21" i="206"/>
  <c r="AN22" i="206"/>
  <c r="EE22" i="206"/>
  <c r="AK25" i="206"/>
  <c r="EG26" i="206"/>
  <c r="EF26" i="206"/>
  <c r="EC27" i="206"/>
  <c r="FP27" i="206" s="1"/>
  <c r="EB27" i="206"/>
  <c r="EA27" i="206"/>
  <c r="FU27" i="206"/>
  <c r="EG30" i="206"/>
  <c r="EF30" i="206"/>
  <c r="AL31" i="206"/>
  <c r="AS31" i="206"/>
  <c r="AJ31" i="206"/>
  <c r="AQ31" i="206"/>
  <c r="EE32" i="206"/>
  <c r="DT33" i="206"/>
  <c r="CE34" i="206"/>
  <c r="EG37" i="206"/>
  <c r="EF37" i="206"/>
  <c r="AL38" i="206"/>
  <c r="EG38" i="206"/>
  <c r="EF38" i="206"/>
  <c r="DX39" i="206"/>
  <c r="DP39" i="206"/>
  <c r="DW39" i="206"/>
  <c r="DV39" i="206"/>
  <c r="DU39" i="206"/>
  <c r="FV41" i="206"/>
  <c r="FM41" i="206"/>
  <c r="DP41" i="206"/>
  <c r="EM42" i="206"/>
  <c r="EN42" i="206"/>
  <c r="DT43" i="206"/>
  <c r="EQ43" i="206"/>
  <c r="CI43" i="206" s="1"/>
  <c r="AH44" i="206"/>
  <c r="AG44" i="206"/>
  <c r="AG46" i="206" s="1"/>
  <c r="AW44" i="206"/>
  <c r="AV44" i="206"/>
  <c r="AK44" i="206" s="1"/>
  <c r="AJ44" i="206"/>
  <c r="AE44" i="206"/>
  <c r="AF44" i="206"/>
  <c r="AD44" i="206"/>
  <c r="ER16" i="207"/>
  <c r="CI16" i="207" s="1"/>
  <c r="FV18" i="207"/>
  <c r="FM18" i="207"/>
  <c r="EF20" i="207"/>
  <c r="EG20" i="207"/>
  <c r="EG22" i="207"/>
  <c r="EF22" i="207"/>
  <c r="FV24" i="207"/>
  <c r="FM24" i="207"/>
  <c r="W26" i="207"/>
  <c r="V26" i="207"/>
  <c r="AT26" i="207" s="1"/>
  <c r="FA30" i="207"/>
  <c r="FR30" i="207"/>
  <c r="DZ30" i="207"/>
  <c r="AL32" i="207"/>
  <c r="AJ32" i="207"/>
  <c r="AS32" i="207"/>
  <c r="AN32" i="207"/>
  <c r="AM32" i="207"/>
  <c r="FB18" i="206"/>
  <c r="AO22" i="206"/>
  <c r="DW22" i="206"/>
  <c r="FO22" i="206" s="1"/>
  <c r="DU22" i="206"/>
  <c r="AO24" i="206"/>
  <c r="AM24" i="206"/>
  <c r="AP24" i="206" s="1"/>
  <c r="FN24" i="206"/>
  <c r="DX24" i="206"/>
  <c r="DP24" i="206"/>
  <c r="DW24" i="206"/>
  <c r="FO24" i="206" s="1"/>
  <c r="DV24" i="206"/>
  <c r="CD27" i="206"/>
  <c r="FJ27" i="206"/>
  <c r="FK27" i="206" s="1"/>
  <c r="FL27" i="206" s="1"/>
  <c r="Z27" i="206" s="1"/>
  <c r="EY28" i="206"/>
  <c r="EX28" i="206"/>
  <c r="AM29" i="206"/>
  <c r="FS29" i="206"/>
  <c r="CD29" i="206"/>
  <c r="AQ30" i="206"/>
  <c r="AZ30" i="206"/>
  <c r="FE34" i="206"/>
  <c r="FF34" i="206" s="1"/>
  <c r="FG34" i="206" s="1"/>
  <c r="Y34" i="206" s="1"/>
  <c r="FT34" i="206"/>
  <c r="EX35" i="206"/>
  <c r="AJ36" i="206"/>
  <c r="EN37" i="206"/>
  <c r="EM37" i="206"/>
  <c r="EE41" i="206"/>
  <c r="E44" i="206"/>
  <c r="FM44" i="206"/>
  <c r="AL53" i="206"/>
  <c r="FU17" i="207"/>
  <c r="FH17" i="207"/>
  <c r="DP17" i="207"/>
  <c r="EC17" i="207"/>
  <c r="FP17" i="207" s="1"/>
  <c r="EB17" i="207"/>
  <c r="ED17" i="207"/>
  <c r="FN17" i="207"/>
  <c r="EE17" i="207"/>
  <c r="EG24" i="207"/>
  <c r="EF24" i="207"/>
  <c r="AP31" i="207"/>
  <c r="AU31" i="207"/>
  <c r="ES31" i="207" s="1"/>
  <c r="FN32" i="207"/>
  <c r="EK37" i="207"/>
  <c r="FB22" i="206"/>
  <c r="EA29" i="206"/>
  <c r="EA31" i="206"/>
  <c r="FA32" i="206"/>
  <c r="EY33" i="206"/>
  <c r="FO33" i="206"/>
  <c r="EA34" i="206"/>
  <c r="FA35" i="206"/>
  <c r="EC36" i="206"/>
  <c r="FP36" i="206" s="1"/>
  <c r="FB36" i="206"/>
  <c r="CE37" i="206"/>
  <c r="EC39" i="206"/>
  <c r="FP39" i="206" s="1"/>
  <c r="FB39" i="206"/>
  <c r="EY42" i="206"/>
  <c r="AH43" i="206"/>
  <c r="CE44" i="206"/>
  <c r="FT44" i="206"/>
  <c r="EG45" i="206"/>
  <c r="DZ43" i="207"/>
  <c r="DT37" i="207"/>
  <c r="DZ32" i="207"/>
  <c r="DZ44" i="207"/>
  <c r="DZ40" i="207"/>
  <c r="DZ39" i="207"/>
  <c r="DZ36" i="207"/>
  <c r="DT21" i="207"/>
  <c r="DZ38" i="207"/>
  <c r="DZ31" i="207"/>
  <c r="DT25" i="207"/>
  <c r="DT22" i="207"/>
  <c r="DT16" i="207"/>
  <c r="DZ18" i="207"/>
  <c r="DZ35" i="207"/>
  <c r="DT33" i="207"/>
  <c r="DT43" i="207"/>
  <c r="DT31" i="207"/>
  <c r="DZ17" i="207"/>
  <c r="DZ34" i="207"/>
  <c r="DZ22" i="207"/>
  <c r="DT19" i="207"/>
  <c r="DT18" i="207"/>
  <c r="H18" i="207"/>
  <c r="AQ18" i="207" s="1"/>
  <c r="G18" i="207"/>
  <c r="EQ18" i="207"/>
  <c r="CI18" i="207" s="1"/>
  <c r="FT19" i="207"/>
  <c r="CE19" i="207"/>
  <c r="FS20" i="207"/>
  <c r="CD20" i="207"/>
  <c r="FE20" i="207"/>
  <c r="FF20" i="207" s="1"/>
  <c r="FG20" i="207" s="1"/>
  <c r="Y20" i="207" s="1"/>
  <c r="FJ20" i="207"/>
  <c r="FK20" i="207" s="1"/>
  <c r="FL20" i="207" s="1"/>
  <c r="Z20" i="207" s="1"/>
  <c r="FP21" i="207"/>
  <c r="DZ21" i="207"/>
  <c r="H21" i="207"/>
  <c r="F21" i="207"/>
  <c r="EC22" i="207"/>
  <c r="FP22" i="207" s="1"/>
  <c r="EB22" i="207"/>
  <c r="EA22" i="207"/>
  <c r="FN22" i="207"/>
  <c r="ED22" i="207"/>
  <c r="DP22" i="207"/>
  <c r="DZ24" i="207"/>
  <c r="FN25" i="207"/>
  <c r="GM27" i="207"/>
  <c r="EC31" i="207"/>
  <c r="FP31" i="207" s="1"/>
  <c r="EA31" i="207"/>
  <c r="AL33" i="207"/>
  <c r="AU33" i="207" s="1"/>
  <c r="AO33" i="207"/>
  <c r="AN33" i="207"/>
  <c r="AM33" i="207"/>
  <c r="FP39" i="207"/>
  <c r="GC42" i="207"/>
  <c r="GB42" i="207"/>
  <c r="GD42" i="207"/>
  <c r="GE42" i="207"/>
  <c r="GA42" i="207"/>
  <c r="FM24" i="206"/>
  <c r="FQ25" i="206"/>
  <c r="FM26" i="206"/>
  <c r="FQ27" i="206"/>
  <c r="FM28" i="206"/>
  <c r="FQ29" i="206"/>
  <c r="FM30" i="206"/>
  <c r="FQ31" i="206"/>
  <c r="FB32" i="206"/>
  <c r="FQ34" i="206"/>
  <c r="FB35" i="206"/>
  <c r="FM38" i="206"/>
  <c r="AX42" i="206"/>
  <c r="DT42" i="206"/>
  <c r="EE42" i="206"/>
  <c r="AV45" i="206"/>
  <c r="AE45" i="206"/>
  <c r="AD45" i="206"/>
  <c r="CD45" i="206"/>
  <c r="FS45" i="206"/>
  <c r="FE45" i="206"/>
  <c r="FF45" i="206" s="1"/>
  <c r="FG45" i="206" s="1"/>
  <c r="Y45" i="206" s="1"/>
  <c r="FJ45" i="206"/>
  <c r="FK45" i="206" s="1"/>
  <c r="FL45" i="206" s="1"/>
  <c r="Z45" i="206" s="1"/>
  <c r="AD16" i="207"/>
  <c r="EN17" i="207"/>
  <c r="EM17" i="207"/>
  <c r="FP19" i="207"/>
  <c r="DZ26" i="207"/>
  <c r="FT28" i="207"/>
  <c r="CE28" i="207"/>
  <c r="DT28" i="207"/>
  <c r="FR29" i="207"/>
  <c r="FB29" i="207"/>
  <c r="FP29" i="207"/>
  <c r="DZ29" i="207"/>
  <c r="CD31" i="207"/>
  <c r="FS31" i="207"/>
  <c r="EN37" i="207"/>
  <c r="EM37" i="207"/>
  <c r="EH41" i="207"/>
  <c r="EJ41" i="207"/>
  <c r="CH41" i="207" s="1"/>
  <c r="DT44" i="207"/>
  <c r="EN44" i="207"/>
  <c r="EM44" i="207"/>
  <c r="EY45" i="207"/>
  <c r="EX45" i="207"/>
  <c r="FO45" i="207"/>
  <c r="AD16" i="208"/>
  <c r="FV17" i="208"/>
  <c r="FM17" i="208"/>
  <c r="FS21" i="208"/>
  <c r="CD21" i="208"/>
  <c r="FE21" i="208"/>
  <c r="FF21" i="208" s="1"/>
  <c r="FG21" i="208" s="1"/>
  <c r="Y21" i="208" s="1"/>
  <c r="FN21" i="208"/>
  <c r="FJ21" i="208"/>
  <c r="FK21" i="208" s="1"/>
  <c r="FL21" i="208" s="1"/>
  <c r="Z21" i="208" s="1"/>
  <c r="EK22" i="208"/>
  <c r="FB23" i="206"/>
  <c r="FB25" i="206"/>
  <c r="FB27" i="206"/>
  <c r="DU29" i="206"/>
  <c r="EC29" i="206"/>
  <c r="FP29" i="206" s="1"/>
  <c r="FB29" i="206"/>
  <c r="DU31" i="206"/>
  <c r="EC31" i="206"/>
  <c r="FB31" i="206"/>
  <c r="FA33" i="206"/>
  <c r="DU34" i="206"/>
  <c r="EC34" i="206"/>
  <c r="FB34" i="206"/>
  <c r="DT41" i="206"/>
  <c r="FB42" i="206"/>
  <c r="GA42" i="206"/>
  <c r="FQ43" i="206"/>
  <c r="GF43" i="206"/>
  <c r="AW45" i="206"/>
  <c r="AD18" i="207"/>
  <c r="AO18" i="207"/>
  <c r="AL18" i="207"/>
  <c r="AS18" i="207"/>
  <c r="AN18" i="207"/>
  <c r="AJ18" i="207"/>
  <c r="AM19" i="207"/>
  <c r="AL19" i="207"/>
  <c r="AJ19" i="207"/>
  <c r="EE19" i="207"/>
  <c r="FN21" i="207"/>
  <c r="EN22" i="207"/>
  <c r="F23" i="207"/>
  <c r="DT23" i="207"/>
  <c r="EN23" i="207"/>
  <c r="EM23" i="207"/>
  <c r="EX23" i="207"/>
  <c r="DZ25" i="207"/>
  <c r="FV25" i="207"/>
  <c r="FA29" i="207"/>
  <c r="AS31" i="207"/>
  <c r="AT31" i="207" s="1"/>
  <c r="AO31" i="207"/>
  <c r="AN31" i="207"/>
  <c r="AM31" i="207"/>
  <c r="DP31" i="207"/>
  <c r="EQ31" i="207"/>
  <c r="CI31" i="207" s="1"/>
  <c r="EO31" i="207"/>
  <c r="FE31" i="207"/>
  <c r="FF31" i="207" s="1"/>
  <c r="FG31" i="207" s="1"/>
  <c r="Y31" i="207" s="1"/>
  <c r="F34" i="207"/>
  <c r="H34" i="207"/>
  <c r="G34" i="207"/>
  <c r="EM34" i="207"/>
  <c r="EN34" i="207"/>
  <c r="FS35" i="207"/>
  <c r="CD35" i="207"/>
  <c r="FE35" i="207"/>
  <c r="FF35" i="207" s="1"/>
  <c r="FG35" i="207" s="1"/>
  <c r="Y35" i="207" s="1"/>
  <c r="FJ35" i="207"/>
  <c r="FK35" i="207" s="1"/>
  <c r="FL35" i="207" s="1"/>
  <c r="Z35" i="207" s="1"/>
  <c r="EK43" i="207"/>
  <c r="EV43" i="207" s="1"/>
  <c r="FB33" i="206"/>
  <c r="FR41" i="206"/>
  <c r="GB42" i="206"/>
  <c r="AW43" i="206"/>
  <c r="AF43" i="206"/>
  <c r="FN43" i="206"/>
  <c r="DX43" i="206"/>
  <c r="DV43" i="206"/>
  <c r="DU43" i="206"/>
  <c r="DV44" i="206"/>
  <c r="DX44" i="206"/>
  <c r="DW44" i="206"/>
  <c r="FQ44" i="206"/>
  <c r="ER44" i="206"/>
  <c r="CI44" i="206" s="1"/>
  <c r="AF45" i="206"/>
  <c r="EK16" i="207"/>
  <c r="EV16" i="207" s="1"/>
  <c r="FR17" i="207"/>
  <c r="DX19" i="207"/>
  <c r="DP19" i="207"/>
  <c r="DW19" i="207"/>
  <c r="DV19" i="207"/>
  <c r="DU19" i="207"/>
  <c r="FT25" i="207"/>
  <c r="CE25" i="207"/>
  <c r="EE25" i="207"/>
  <c r="FS26" i="207"/>
  <c r="CD26" i="207"/>
  <c r="FE26" i="207"/>
  <c r="FF26" i="207" s="1"/>
  <c r="FG26" i="207" s="1"/>
  <c r="Y26" i="207" s="1"/>
  <c r="FJ26" i="207"/>
  <c r="FK26" i="207" s="1"/>
  <c r="FL26" i="207" s="1"/>
  <c r="Z26" i="207" s="1"/>
  <c r="FN26" i="207"/>
  <c r="EX27" i="207"/>
  <c r="FQ27" i="207"/>
  <c r="EM27" i="207"/>
  <c r="EN27" i="207"/>
  <c r="EY28" i="207"/>
  <c r="EX28" i="207"/>
  <c r="FO28" i="207"/>
  <c r="EN28" i="207"/>
  <c r="EM28" i="207"/>
  <c r="EE28" i="207"/>
  <c r="FQ28" i="207"/>
  <c r="FQ30" i="207"/>
  <c r="EY30" i="207"/>
  <c r="EX30" i="207"/>
  <c r="DT30" i="207"/>
  <c r="FO30" i="207"/>
  <c r="EP31" i="207"/>
  <c r="DV33" i="207"/>
  <c r="FQ33" i="207"/>
  <c r="FO33" i="207"/>
  <c r="DX33" i="207"/>
  <c r="DW33" i="207"/>
  <c r="DU33" i="207"/>
  <c r="DP33" i="207"/>
  <c r="FN33" i="207"/>
  <c r="EJ33" i="207"/>
  <c r="CH33" i="207" s="1"/>
  <c r="AH43" i="207"/>
  <c r="AF43" i="207"/>
  <c r="AD43" i="207"/>
  <c r="AJ43" i="207"/>
  <c r="AG43" i="207"/>
  <c r="AE43" i="207"/>
  <c r="AW43" i="207"/>
  <c r="AV43" i="207"/>
  <c r="AK43" i="207" s="1"/>
  <c r="EJ43" i="207"/>
  <c r="CH43" i="207" s="1"/>
  <c r="EN20" i="208"/>
  <c r="EM20" i="208"/>
  <c r="FQ18" i="207"/>
  <c r="AN20" i="207"/>
  <c r="AL20" i="207"/>
  <c r="AS20" i="207"/>
  <c r="AT20" i="207" s="1"/>
  <c r="AJ20" i="207"/>
  <c r="ER21" i="207"/>
  <c r="FV22" i="207"/>
  <c r="AN23" i="207"/>
  <c r="AL23" i="207"/>
  <c r="AS23" i="207"/>
  <c r="AJ23" i="207"/>
  <c r="AM25" i="207"/>
  <c r="AS25" i="207"/>
  <c r="AT25" i="207" s="1"/>
  <c r="AJ25" i="207"/>
  <c r="AQ25" i="207"/>
  <c r="AR25" i="207" s="1"/>
  <c r="AO27" i="207"/>
  <c r="AM27" i="207"/>
  <c r="AL27" i="207"/>
  <c r="AS27" i="207"/>
  <c r="AT27" i="207" s="1"/>
  <c r="FN27" i="207"/>
  <c r="DW27" i="207"/>
  <c r="FO27" i="207" s="1"/>
  <c r="DV27" i="207"/>
  <c r="DU27" i="207"/>
  <c r="DX27" i="207"/>
  <c r="DX28" i="207"/>
  <c r="DP28" i="207"/>
  <c r="DW28" i="207"/>
  <c r="DV28" i="207"/>
  <c r="EB30" i="207"/>
  <c r="FN30" i="207"/>
  <c r="DP30" i="207"/>
  <c r="EA30" i="207"/>
  <c r="FH30" i="207"/>
  <c r="EK31" i="207"/>
  <c r="EV31" i="207" s="1"/>
  <c r="CJ31" i="207" s="1"/>
  <c r="FM32" i="207"/>
  <c r="FV32" i="207"/>
  <c r="EK32" i="207"/>
  <c r="FE33" i="207"/>
  <c r="FF33" i="207" s="1"/>
  <c r="FG33" i="207" s="1"/>
  <c r="Y33" i="207" s="1"/>
  <c r="FV34" i="207"/>
  <c r="FP38" i="207"/>
  <c r="EK38" i="207"/>
  <c r="CE43" i="207"/>
  <c r="FT43" i="207"/>
  <c r="EQ43" i="207"/>
  <c r="CI43" i="207" s="1"/>
  <c r="DX22" i="208"/>
  <c r="DP22" i="208"/>
  <c r="DW22" i="208"/>
  <c r="FQ22" i="208"/>
  <c r="DV22" i="208"/>
  <c r="DU22" i="208"/>
  <c r="AO32" i="208"/>
  <c r="AN32" i="208"/>
  <c r="AM32" i="208"/>
  <c r="AS32" i="208"/>
  <c r="AT32" i="208" s="1"/>
  <c r="AL32" i="208"/>
  <c r="AJ32" i="208"/>
  <c r="EN35" i="208"/>
  <c r="EM35" i="208"/>
  <c r="FO44" i="206"/>
  <c r="J45" i="206"/>
  <c r="EC45" i="206"/>
  <c r="FP45" i="206" s="1"/>
  <c r="EB45" i="206"/>
  <c r="FN45" i="206"/>
  <c r="HY14" i="207"/>
  <c r="HQ14" i="207"/>
  <c r="HI14" i="207"/>
  <c r="ID14" i="207"/>
  <c r="HV14" i="207"/>
  <c r="HN14" i="207"/>
  <c r="HF14" i="207"/>
  <c r="IC14" i="207"/>
  <c r="HU14" i="207"/>
  <c r="HM14" i="207"/>
  <c r="HD14" i="207"/>
  <c r="HJ14" i="207"/>
  <c r="HW14" i="207"/>
  <c r="CE16" i="207"/>
  <c r="FN18" i="207"/>
  <c r="DV18" i="207"/>
  <c r="DU18" i="207"/>
  <c r="DW18" i="207"/>
  <c r="FO19" i="207"/>
  <c r="EN19" i="207"/>
  <c r="EM19" i="207"/>
  <c r="FQ19" i="207"/>
  <c r="CD21" i="207"/>
  <c r="CK21" i="207"/>
  <c r="CE26" i="207"/>
  <c r="DZ28" i="207"/>
  <c r="FN29" i="207"/>
  <c r="DX29" i="207"/>
  <c r="DP29" i="207"/>
  <c r="DW29" i="207"/>
  <c r="DV29" i="207"/>
  <c r="FO29" i="207"/>
  <c r="AJ30" i="207"/>
  <c r="AO30" i="207"/>
  <c r="AN30" i="207"/>
  <c r="FE30" i="207"/>
  <c r="FF30" i="207" s="1"/>
  <c r="FG30" i="207" s="1"/>
  <c r="Y30" i="207" s="1"/>
  <c r="EC30" i="207"/>
  <c r="FP30" i="207" s="1"/>
  <c r="FJ30" i="207"/>
  <c r="FK30" i="207" s="1"/>
  <c r="FL30" i="207" s="1"/>
  <c r="Z30" i="207" s="1"/>
  <c r="EF31" i="207"/>
  <c r="CE32" i="207"/>
  <c r="EJ32" i="207"/>
  <c r="FT34" i="207"/>
  <c r="CE34" i="207"/>
  <c r="EF35" i="207"/>
  <c r="EG35" i="207"/>
  <c r="FH38" i="207"/>
  <c r="FU38" i="207"/>
  <c r="EC38" i="207"/>
  <c r="EB38" i="207"/>
  <c r="EA38" i="207"/>
  <c r="ED38" i="207"/>
  <c r="DP38" i="207"/>
  <c r="EF38" i="207"/>
  <c r="FS39" i="207"/>
  <c r="CD39" i="207"/>
  <c r="FE39" i="207"/>
  <c r="FF39" i="207" s="1"/>
  <c r="FG39" i="207" s="1"/>
  <c r="Y39" i="207" s="1"/>
  <c r="FJ39" i="207"/>
  <c r="FK39" i="207" s="1"/>
  <c r="FL39" i="207" s="1"/>
  <c r="Z39" i="207" s="1"/>
  <c r="EK40" i="207"/>
  <c r="K41" i="207"/>
  <c r="AS41" i="207" s="1"/>
  <c r="J41" i="207"/>
  <c r="I41" i="207"/>
  <c r="EK30" i="208"/>
  <c r="AX36" i="208"/>
  <c r="GF36" i="208"/>
  <c r="FP44" i="206"/>
  <c r="DZ44" i="206"/>
  <c r="EY18" i="207"/>
  <c r="DZ19" i="207"/>
  <c r="AO20" i="207"/>
  <c r="AM22" i="207"/>
  <c r="AS22" i="207"/>
  <c r="AJ22" i="207"/>
  <c r="AQ22" i="207"/>
  <c r="AO23" i="207"/>
  <c r="AO24" i="207"/>
  <c r="AM24" i="207"/>
  <c r="AL24" i="207"/>
  <c r="AU24" i="207" s="1"/>
  <c r="AS24" i="207"/>
  <c r="AT24" i="207" s="1"/>
  <c r="FN24" i="207"/>
  <c r="DW24" i="207"/>
  <c r="FO24" i="207" s="1"/>
  <c r="DV24" i="207"/>
  <c r="DU24" i="207"/>
  <c r="DX24" i="207"/>
  <c r="AL25" i="207"/>
  <c r="EC25" i="207"/>
  <c r="EB25" i="207"/>
  <c r="EA25" i="207"/>
  <c r="G25" i="207"/>
  <c r="F25" i="207"/>
  <c r="DT26" i="207"/>
  <c r="EY26" i="207"/>
  <c r="AJ27" i="207"/>
  <c r="FJ27" i="207"/>
  <c r="FK27" i="207" s="1"/>
  <c r="FL27" i="207" s="1"/>
  <c r="Z27" i="207" s="1"/>
  <c r="AU29" i="207"/>
  <c r="FH29" i="207"/>
  <c r="FU29" i="207"/>
  <c r="EG30" i="207"/>
  <c r="EF30" i="207"/>
  <c r="DU31" i="207"/>
  <c r="FN31" i="207"/>
  <c r="DW31" i="207"/>
  <c r="FO31" i="207" s="1"/>
  <c r="FQ31" i="207"/>
  <c r="FJ36" i="207"/>
  <c r="FK36" i="207" s="1"/>
  <c r="FL36" i="207" s="1"/>
  <c r="Z36" i="207" s="1"/>
  <c r="EJ37" i="207"/>
  <c r="CH37" i="207" s="1"/>
  <c r="FV37" i="207"/>
  <c r="EQ38" i="207"/>
  <c r="CE39" i="207"/>
  <c r="FT39" i="207"/>
  <c r="DT40" i="207"/>
  <c r="FV41" i="207"/>
  <c r="FM41" i="207"/>
  <c r="E41" i="207"/>
  <c r="D41" i="207"/>
  <c r="GK41" i="207" s="1"/>
  <c r="AH42" i="207"/>
  <c r="AW42" i="207"/>
  <c r="AF42" i="207"/>
  <c r="AV42" i="207"/>
  <c r="AG42" i="207"/>
  <c r="AD42" i="207"/>
  <c r="EM42" i="207"/>
  <c r="EN42" i="207"/>
  <c r="FQ44" i="207"/>
  <c r="EY44" i="207"/>
  <c r="FO44" i="207"/>
  <c r="AO45" i="207"/>
  <c r="AM45" i="207"/>
  <c r="AL45" i="207"/>
  <c r="AJ45" i="207"/>
  <c r="AL52" i="207"/>
  <c r="FH30" i="208"/>
  <c r="FU30" i="208"/>
  <c r="EA30" i="208"/>
  <c r="ED30" i="208"/>
  <c r="FR30" i="208"/>
  <c r="FN30" i="208"/>
  <c r="DP30" i="208"/>
  <c r="EC30" i="208"/>
  <c r="FP30" i="208" s="1"/>
  <c r="EB30" i="208"/>
  <c r="ER43" i="208"/>
  <c r="FB41" i="206"/>
  <c r="AV57" i="206"/>
  <c r="AW57" i="206"/>
  <c r="HO14" i="207"/>
  <c r="IA14" i="207"/>
  <c r="DT17" i="207"/>
  <c r="FS18" i="207"/>
  <c r="CD18" i="207"/>
  <c r="FJ18" i="207"/>
  <c r="FK18" i="207" s="1"/>
  <c r="FL18" i="207" s="1"/>
  <c r="Z18" i="207" s="1"/>
  <c r="GM18" i="207"/>
  <c r="CE20" i="207"/>
  <c r="FO21" i="207"/>
  <c r="CE23" i="207"/>
  <c r="AN25" i="207"/>
  <c r="FU25" i="207"/>
  <c r="FO26" i="207"/>
  <c r="AN27" i="207"/>
  <c r="DP27" i="207"/>
  <c r="AO29" i="207"/>
  <c r="AN29" i="207"/>
  <c r="AM29" i="207"/>
  <c r="AP29" i="207" s="1"/>
  <c r="EB29" i="207"/>
  <c r="AQ30" i="207"/>
  <c r="FR31" i="207"/>
  <c r="DX31" i="207"/>
  <c r="EQ33" i="207"/>
  <c r="CI33" i="207" s="1"/>
  <c r="ER33" i="207"/>
  <c r="AD38" i="207"/>
  <c r="EN38" i="207"/>
  <c r="EY40" i="207"/>
  <c r="EX40" i="207"/>
  <c r="DX44" i="207"/>
  <c r="DP44" i="207"/>
  <c r="DW44" i="207"/>
  <c r="DU44" i="207"/>
  <c r="FN44" i="207"/>
  <c r="AS16" i="208"/>
  <c r="AT16" i="208" s="1"/>
  <c r="AJ16" i="208"/>
  <c r="AQ16" i="208"/>
  <c r="AR16" i="208" s="1"/>
  <c r="AO16" i="208"/>
  <c r="AN16" i="208"/>
  <c r="AM16" i="208"/>
  <c r="AL16" i="208"/>
  <c r="FO22" i="208"/>
  <c r="AM24" i="208"/>
  <c r="AL24" i="208"/>
  <c r="AJ24" i="208"/>
  <c r="AN24" i="208"/>
  <c r="AS24" i="208"/>
  <c r="AT24" i="208" s="1"/>
  <c r="EF24" i="208"/>
  <c r="EG24" i="208"/>
  <c r="EJ28" i="208"/>
  <c r="CH28" i="208" s="1"/>
  <c r="FA45" i="206"/>
  <c r="AY42" i="207"/>
  <c r="AY43" i="207"/>
  <c r="AY45" i="207"/>
  <c r="AY57" i="207"/>
  <c r="AY37" i="207"/>
  <c r="AY33" i="207"/>
  <c r="AY44" i="207"/>
  <c r="AY38" i="207"/>
  <c r="AY34" i="207"/>
  <c r="AN49" i="207"/>
  <c r="AN53" i="207"/>
  <c r="AY16" i="207"/>
  <c r="FA17" i="207"/>
  <c r="EC18" i="207"/>
  <c r="FP18" i="207" s="1"/>
  <c r="FB18" i="207"/>
  <c r="EB20" i="207"/>
  <c r="FA20" i="207"/>
  <c r="AY22" i="207"/>
  <c r="EB23" i="207"/>
  <c r="FA23" i="207"/>
  <c r="CD24" i="207"/>
  <c r="EC24" i="207"/>
  <c r="FP24" i="207" s="1"/>
  <c r="FB24" i="207"/>
  <c r="AY25" i="207"/>
  <c r="EB26" i="207"/>
  <c r="FA26" i="207"/>
  <c r="CD27" i="207"/>
  <c r="EC27" i="207"/>
  <c r="FP27" i="207" s="1"/>
  <c r="FB27" i="207"/>
  <c r="EX31" i="207"/>
  <c r="FP33" i="207"/>
  <c r="DZ33" i="207"/>
  <c r="AK34" i="207"/>
  <c r="DT34" i="207"/>
  <c r="AO36" i="207"/>
  <c r="AM36" i="207"/>
  <c r="AL36" i="207"/>
  <c r="AU36" i="207" s="1"/>
  <c r="AS36" i="207"/>
  <c r="AT36" i="207" s="1"/>
  <c r="FN36" i="207"/>
  <c r="DW36" i="207"/>
  <c r="FO36" i="207" s="1"/>
  <c r="DV36" i="207"/>
  <c r="DU36" i="207"/>
  <c r="DX36" i="207"/>
  <c r="FP37" i="207"/>
  <c r="DZ37" i="207"/>
  <c r="CE38" i="207"/>
  <c r="AO40" i="207"/>
  <c r="AM40" i="207"/>
  <c r="AL40" i="207"/>
  <c r="AU40" i="207" s="1"/>
  <c r="AS40" i="207"/>
  <c r="DW40" i="207"/>
  <c r="FO40" i="207" s="1"/>
  <c r="DV40" i="207"/>
  <c r="DU40" i="207"/>
  <c r="DX40" i="207"/>
  <c r="EY41" i="207"/>
  <c r="EX41" i="207"/>
  <c r="FQ41" i="207"/>
  <c r="FO41" i="207"/>
  <c r="EO41" i="207"/>
  <c r="EQ41" i="207"/>
  <c r="CI41" i="207" s="1"/>
  <c r="FJ42" i="207"/>
  <c r="FK42" i="207" s="1"/>
  <c r="FL42" i="207" s="1"/>
  <c r="Z42" i="207" s="1"/>
  <c r="FE42" i="207"/>
  <c r="FF42" i="207" s="1"/>
  <c r="FG42" i="207" s="1"/>
  <c r="Y42" i="207" s="1"/>
  <c r="GE43" i="207"/>
  <c r="GD43" i="207"/>
  <c r="GB43" i="207"/>
  <c r="GA43" i="207"/>
  <c r="GL43" i="207" s="1"/>
  <c r="K45" i="207"/>
  <c r="AS45" i="207" s="1"/>
  <c r="J45" i="207"/>
  <c r="GM16" i="208"/>
  <c r="AN22" i="208"/>
  <c r="AM22" i="208"/>
  <c r="AL22" i="208"/>
  <c r="AJ22" i="208"/>
  <c r="AS22" i="208"/>
  <c r="AO22" i="208"/>
  <c r="EN29" i="208"/>
  <c r="EM29" i="208"/>
  <c r="EA44" i="206"/>
  <c r="DU45" i="206"/>
  <c r="FB45" i="206"/>
  <c r="FQ16" i="207"/>
  <c r="FB17" i="207"/>
  <c r="EC20" i="207"/>
  <c r="FP20" i="207" s="1"/>
  <c r="FB20" i="207"/>
  <c r="AY21" i="207"/>
  <c r="FA22" i="207"/>
  <c r="FQ22" i="207"/>
  <c r="EC23" i="207"/>
  <c r="FP23" i="207" s="1"/>
  <c r="FB23" i="207"/>
  <c r="FA25" i="207"/>
  <c r="FQ25" i="207"/>
  <c r="EC26" i="207"/>
  <c r="FP26" i="207" s="1"/>
  <c r="FB26" i="207"/>
  <c r="AY32" i="207"/>
  <c r="FO32" i="207"/>
  <c r="DT32" i="207"/>
  <c r="CE35" i="207"/>
  <c r="K37" i="207"/>
  <c r="AS37" i="207" s="1"/>
  <c r="AT37" i="207" s="1"/>
  <c r="I37" i="207"/>
  <c r="FV38" i="207"/>
  <c r="AN39" i="207"/>
  <c r="AL39" i="207"/>
  <c r="AS39" i="207"/>
  <c r="AJ39" i="207"/>
  <c r="EL40" i="207"/>
  <c r="FN41" i="207"/>
  <c r="DW41" i="207"/>
  <c r="DX41" i="207"/>
  <c r="DV41" i="207"/>
  <c r="EP41" i="207"/>
  <c r="K42" i="207"/>
  <c r="I42" i="207"/>
  <c r="DV43" i="207"/>
  <c r="DU43" i="207"/>
  <c r="DP43" i="207"/>
  <c r="FQ43" i="207"/>
  <c r="DX43" i="207"/>
  <c r="K44" i="207"/>
  <c r="I44" i="207"/>
  <c r="J44" i="207"/>
  <c r="AX45" i="207"/>
  <c r="GF45" i="207"/>
  <c r="EJ45" i="207"/>
  <c r="CH45" i="207" s="1"/>
  <c r="GE57" i="207"/>
  <c r="GC57" i="207"/>
  <c r="GB57" i="207"/>
  <c r="GD57" i="207"/>
  <c r="DZ44" i="208"/>
  <c r="DZ42" i="208"/>
  <c r="DZ38" i="208"/>
  <c r="DT33" i="208"/>
  <c r="DZ40" i="208"/>
  <c r="DT35" i="208"/>
  <c r="DZ37" i="208"/>
  <c r="DT32" i="208"/>
  <c r="DT30" i="208"/>
  <c r="DZ23" i="208"/>
  <c r="DZ18" i="208"/>
  <c r="DT16" i="208"/>
  <c r="DZ20" i="208"/>
  <c r="DZ17" i="208"/>
  <c r="DZ31" i="208"/>
  <c r="DZ28" i="208"/>
  <c r="DT17" i="208"/>
  <c r="AL53" i="208"/>
  <c r="AL49" i="208"/>
  <c r="AL54" i="208"/>
  <c r="AL52" i="208"/>
  <c r="DZ21" i="208"/>
  <c r="EX23" i="208"/>
  <c r="EY23" i="208"/>
  <c r="FQ23" i="208"/>
  <c r="DT23" i="208"/>
  <c r="CK27" i="208"/>
  <c r="DT27" i="208"/>
  <c r="AJ28" i="208"/>
  <c r="AQ28" i="208"/>
  <c r="AO28" i="208"/>
  <c r="AM28" i="208"/>
  <c r="AL28" i="208"/>
  <c r="AN28" i="208"/>
  <c r="AS28" i="208"/>
  <c r="EK28" i="208"/>
  <c r="EV28" i="208" s="1"/>
  <c r="EG31" i="208"/>
  <c r="EF31" i="208"/>
  <c r="CE31" i="208"/>
  <c r="FT31" i="208"/>
  <c r="EY36" i="208"/>
  <c r="FQ36" i="208"/>
  <c r="EX36" i="208"/>
  <c r="DT36" i="208"/>
  <c r="EF38" i="208"/>
  <c r="EG38" i="208"/>
  <c r="FQ21" i="207"/>
  <c r="FB22" i="207"/>
  <c r="FB25" i="207"/>
  <c r="AY31" i="207"/>
  <c r="DV32" i="207"/>
  <c r="FR34" i="207"/>
  <c r="FP34" i="207"/>
  <c r="EE34" i="207"/>
  <c r="AL37" i="207"/>
  <c r="AJ37" i="207"/>
  <c r="AQ37" i="207"/>
  <c r="AR37" i="207" s="1"/>
  <c r="FN37" i="207"/>
  <c r="K40" i="207"/>
  <c r="I40" i="207"/>
  <c r="CJ41" i="207"/>
  <c r="X41" i="207"/>
  <c r="EG42" i="207"/>
  <c r="EF42" i="207"/>
  <c r="FS16" i="208"/>
  <c r="CD16" i="208"/>
  <c r="FE16" i="208"/>
  <c r="FF16" i="208" s="1"/>
  <c r="FG16" i="208" s="1"/>
  <c r="Y16" i="208" s="1"/>
  <c r="FN16" i="208"/>
  <c r="FJ16" i="208"/>
  <c r="FK16" i="208" s="1"/>
  <c r="FL16" i="208" s="1"/>
  <c r="Z16" i="208" s="1"/>
  <c r="AN19" i="208"/>
  <c r="AL19" i="208"/>
  <c r="AJ19" i="208"/>
  <c r="AS19" i="208"/>
  <c r="FR19" i="208"/>
  <c r="FB19" i="208"/>
  <c r="FP19" i="208"/>
  <c r="DZ19" i="208"/>
  <c r="AS20" i="208"/>
  <c r="AN20" i="208"/>
  <c r="AL20" i="208"/>
  <c r="AJ20" i="208"/>
  <c r="AO20" i="208"/>
  <c r="EJ82" i="208"/>
  <c r="EL82" i="208" s="1"/>
  <c r="DQ23" i="208"/>
  <c r="EU23" i="208"/>
  <c r="ET23" i="208"/>
  <c r="W31" i="208"/>
  <c r="V31" i="208"/>
  <c r="AT31" i="208" s="1"/>
  <c r="DP45" i="206"/>
  <c r="AK53" i="207"/>
  <c r="AK49" i="207"/>
  <c r="DP20" i="207"/>
  <c r="DP23" i="207"/>
  <c r="DP26" i="207"/>
  <c r="AY29" i="207"/>
  <c r="FB31" i="207"/>
  <c r="DX32" i="207"/>
  <c r="CE33" i="207"/>
  <c r="AK35" i="207"/>
  <c r="AN36" i="207"/>
  <c r="AP36" i="207" s="1"/>
  <c r="DP36" i="207"/>
  <c r="AN37" i="207"/>
  <c r="CE37" i="207"/>
  <c r="FT37" i="207"/>
  <c r="AK38" i="207"/>
  <c r="DT38" i="207"/>
  <c r="AO39" i="207"/>
  <c r="AN40" i="207"/>
  <c r="DP40" i="207"/>
  <c r="J42" i="207"/>
  <c r="DT42" i="207"/>
  <c r="FO43" i="207"/>
  <c r="FT44" i="207"/>
  <c r="CE44" i="207"/>
  <c r="AM49" i="207"/>
  <c r="EF16" i="208"/>
  <c r="EG16" i="208"/>
  <c r="CE16" i="208"/>
  <c r="FT16" i="208"/>
  <c r="AO18" i="208"/>
  <c r="AM18" i="208"/>
  <c r="AS18" i="208"/>
  <c r="AT18" i="208" s="1"/>
  <c r="AL18" i="208"/>
  <c r="AU18" i="208" s="1"/>
  <c r="AN18" i="208"/>
  <c r="FN18" i="208"/>
  <c r="DW18" i="208"/>
  <c r="DU18" i="208"/>
  <c r="DP18" i="208"/>
  <c r="DX18" i="208"/>
  <c r="AO19" i="208"/>
  <c r="DT20" i="208"/>
  <c r="FR24" i="208"/>
  <c r="FB24" i="208"/>
  <c r="FA24" i="208"/>
  <c r="FP24" i="208"/>
  <c r="DZ24" i="208"/>
  <c r="EQ26" i="208"/>
  <c r="EB35" i="207"/>
  <c r="CD36" i="207"/>
  <c r="FB36" i="207"/>
  <c r="FO37" i="207"/>
  <c r="EB39" i="207"/>
  <c r="CD40" i="207"/>
  <c r="FR40" i="207"/>
  <c r="AX41" i="207"/>
  <c r="GF41" i="207"/>
  <c r="AU41" i="207"/>
  <c r="DZ41" i="207"/>
  <c r="FN42" i="207"/>
  <c r="J43" i="207"/>
  <c r="I43" i="207"/>
  <c r="EE44" i="207"/>
  <c r="FN45" i="207"/>
  <c r="DW45" i="207"/>
  <c r="DV45" i="207"/>
  <c r="DX16" i="208"/>
  <c r="DP16" i="208"/>
  <c r="DV16" i="208"/>
  <c r="DU16" i="208"/>
  <c r="EG20" i="208"/>
  <c r="EF20" i="208"/>
  <c r="FT20" i="208"/>
  <c r="CE20" i="208"/>
  <c r="FA22" i="208"/>
  <c r="FR22" i="208"/>
  <c r="FB22" i="208"/>
  <c r="DZ22" i="208"/>
  <c r="FU23" i="208"/>
  <c r="FH23" i="208"/>
  <c r="EC23" i="208"/>
  <c r="EB23" i="208"/>
  <c r="EA23" i="208"/>
  <c r="ED23" i="208"/>
  <c r="FP23" i="208"/>
  <c r="EX25" i="208"/>
  <c r="EY25" i="208"/>
  <c r="DT25" i="208"/>
  <c r="EL25" i="208"/>
  <c r="W28" i="208"/>
  <c r="V28" i="208"/>
  <c r="AO29" i="208"/>
  <c r="AN29" i="208"/>
  <c r="AM29" i="208"/>
  <c r="AL29" i="208"/>
  <c r="AJ29" i="208"/>
  <c r="FN29" i="208"/>
  <c r="DX29" i="208"/>
  <c r="DW29" i="208"/>
  <c r="DU29" i="208"/>
  <c r="DP29" i="208"/>
  <c r="DV29" i="208"/>
  <c r="H33" i="208"/>
  <c r="F33" i="208"/>
  <c r="G33" i="208"/>
  <c r="FV38" i="208"/>
  <c r="FM38" i="208"/>
  <c r="D38" i="208"/>
  <c r="GK38" i="208" s="1"/>
  <c r="E38" i="208"/>
  <c r="EA33" i="207"/>
  <c r="FA34" i="207"/>
  <c r="DU35" i="207"/>
  <c r="EC35" i="207"/>
  <c r="FP35" i="207" s="1"/>
  <c r="FB35" i="207"/>
  <c r="EA37" i="207"/>
  <c r="FA38" i="207"/>
  <c r="DU39" i="207"/>
  <c r="EC39" i="207"/>
  <c r="FB39" i="207"/>
  <c r="FH40" i="207"/>
  <c r="FU40" i="207"/>
  <c r="FP42" i="207"/>
  <c r="FS43" i="207"/>
  <c r="CD43" i="207"/>
  <c r="FJ43" i="207"/>
  <c r="FK43" i="207" s="1"/>
  <c r="FL43" i="207" s="1"/>
  <c r="Z43" i="207" s="1"/>
  <c r="FE44" i="207"/>
  <c r="FF44" i="207" s="1"/>
  <c r="FG44" i="207" s="1"/>
  <c r="Y44" i="207" s="1"/>
  <c r="EA44" i="207"/>
  <c r="DZ45" i="207"/>
  <c r="DX45" i="207"/>
  <c r="FN42" i="208"/>
  <c r="FN45" i="208"/>
  <c r="AS23" i="208"/>
  <c r="AS33" i="208"/>
  <c r="AS27" i="208"/>
  <c r="DZ16" i="208"/>
  <c r="FP16" i="208"/>
  <c r="EC18" i="208"/>
  <c r="FP18" i="208" s="1"/>
  <c r="EA18" i="208"/>
  <c r="ED18" i="208"/>
  <c r="FS19" i="208"/>
  <c r="CD19" i="208"/>
  <c r="FQ21" i="208"/>
  <c r="EY21" i="208"/>
  <c r="EX21" i="208"/>
  <c r="DT21" i="208"/>
  <c r="EN21" i="208"/>
  <c r="EM21" i="208"/>
  <c r="FS23" i="208"/>
  <c r="CD23" i="208"/>
  <c r="FE23" i="208"/>
  <c r="FF23" i="208" s="1"/>
  <c r="FG23" i="208" s="1"/>
  <c r="Y23" i="208" s="1"/>
  <c r="FJ23" i="208"/>
  <c r="FK23" i="208" s="1"/>
  <c r="FL23" i="208" s="1"/>
  <c r="Z23" i="208" s="1"/>
  <c r="ES23" i="208"/>
  <c r="AS25" i="208"/>
  <c r="EY26" i="208"/>
  <c r="EX26" i="208"/>
  <c r="FQ26" i="208"/>
  <c r="FO26" i="208"/>
  <c r="DT26" i="208"/>
  <c r="ER26" i="208"/>
  <c r="AP27" i="208"/>
  <c r="AS29" i="208"/>
  <c r="AT29" i="208" s="1"/>
  <c r="EN32" i="208"/>
  <c r="EM32" i="208"/>
  <c r="EF36" i="208"/>
  <c r="EG36" i="208"/>
  <c r="EQ39" i="208"/>
  <c r="CI39" i="208" s="1"/>
  <c r="GF42" i="208"/>
  <c r="AX42" i="208"/>
  <c r="FB34" i="207"/>
  <c r="FQ37" i="207"/>
  <c r="FB38" i="207"/>
  <c r="FE40" i="207"/>
  <c r="FF40" i="207" s="1"/>
  <c r="FG40" i="207" s="1"/>
  <c r="Y40" i="207" s="1"/>
  <c r="FJ40" i="207"/>
  <c r="FK40" i="207" s="1"/>
  <c r="FL40" i="207" s="1"/>
  <c r="Z40" i="207" s="1"/>
  <c r="EB42" i="207"/>
  <c r="EA42" i="207"/>
  <c r="H42" i="207"/>
  <c r="G42" i="207"/>
  <c r="FU42" i="207"/>
  <c r="AK49" i="208"/>
  <c r="AK53" i="208"/>
  <c r="AK54" i="208"/>
  <c r="AK52" i="208"/>
  <c r="CH17" i="208"/>
  <c r="FQ20" i="208"/>
  <c r="EY20" i="208"/>
  <c r="EX20" i="208"/>
  <c r="DX24" i="208"/>
  <c r="DP24" i="208"/>
  <c r="DW24" i="208"/>
  <c r="DV24" i="208"/>
  <c r="FN24" i="208"/>
  <c r="FP28" i="208"/>
  <c r="FV43" i="208"/>
  <c r="FM43" i="208"/>
  <c r="E43" i="208"/>
  <c r="D43" i="208"/>
  <c r="GK43" i="208" s="1"/>
  <c r="EQ43" i="208"/>
  <c r="CI43" i="208" s="1"/>
  <c r="FB32" i="207"/>
  <c r="DP35" i="207"/>
  <c r="DP39" i="207"/>
  <c r="AO41" i="207"/>
  <c r="AP41" i="207" s="1"/>
  <c r="AZ41" i="207"/>
  <c r="CK41" i="207"/>
  <c r="DP42" i="207"/>
  <c r="DZ42" i="207"/>
  <c r="AK44" i="207"/>
  <c r="DP45" i="207"/>
  <c r="FP45" i="207"/>
  <c r="AQ17" i="208"/>
  <c r="AR17" i="208" s="1"/>
  <c r="AO17" i="208"/>
  <c r="AM17" i="208"/>
  <c r="AJ17" i="208"/>
  <c r="AS17" i="208"/>
  <c r="AT17" i="208" s="1"/>
  <c r="EA17" i="208"/>
  <c r="EC17" i="208"/>
  <c r="EM17" i="208"/>
  <c r="EN17" i="208"/>
  <c r="EL18" i="208"/>
  <c r="EN22" i="208"/>
  <c r="EM22" i="208"/>
  <c r="EL23" i="208"/>
  <c r="FU26" i="208"/>
  <c r="FH26" i="208"/>
  <c r="ED26" i="208"/>
  <c r="EC26" i="208"/>
  <c r="FP26" i="208" s="1"/>
  <c r="EB26" i="208"/>
  <c r="EA26" i="208"/>
  <c r="CD28" i="208"/>
  <c r="FE28" i="208"/>
  <c r="FF28" i="208" s="1"/>
  <c r="FG28" i="208" s="1"/>
  <c r="Y28" i="208" s="1"/>
  <c r="FJ28" i="208"/>
  <c r="FK28" i="208" s="1"/>
  <c r="FL28" i="208" s="1"/>
  <c r="Z28" i="208" s="1"/>
  <c r="EG29" i="208"/>
  <c r="EF29" i="208"/>
  <c r="FS30" i="208"/>
  <c r="CD30" i="208"/>
  <c r="FJ30" i="208"/>
  <c r="FK30" i="208" s="1"/>
  <c r="FL30" i="208" s="1"/>
  <c r="Z30" i="208" s="1"/>
  <c r="FE30" i="208"/>
  <c r="FF30" i="208" s="1"/>
  <c r="FG30" i="208" s="1"/>
  <c r="Y30" i="208" s="1"/>
  <c r="DT37" i="208"/>
  <c r="ER37" i="208"/>
  <c r="FN37" i="208"/>
  <c r="DU20" i="208"/>
  <c r="DP20" i="208"/>
  <c r="DX20" i="208"/>
  <c r="DW20" i="208"/>
  <c r="FO20" i="208" s="1"/>
  <c r="FT21" i="208"/>
  <c r="CE21" i="208"/>
  <c r="FU22" i="208"/>
  <c r="FH22" i="208"/>
  <c r="ED22" i="208"/>
  <c r="EB22" i="208"/>
  <c r="EA22" i="208"/>
  <c r="CH22" i="208"/>
  <c r="CD31" i="208"/>
  <c r="FS31" i="208"/>
  <c r="FJ31" i="208"/>
  <c r="FK31" i="208" s="1"/>
  <c r="FL31" i="208" s="1"/>
  <c r="Z31" i="208" s="1"/>
  <c r="FE31" i="208"/>
  <c r="FF31" i="208" s="1"/>
  <c r="FG31" i="208" s="1"/>
  <c r="Y31" i="208" s="1"/>
  <c r="H31" i="208"/>
  <c r="AQ31" i="208" s="1"/>
  <c r="G31" i="208"/>
  <c r="F31" i="208"/>
  <c r="EQ33" i="208"/>
  <c r="FT34" i="208"/>
  <c r="ER39" i="208"/>
  <c r="AD41" i="207"/>
  <c r="EX42" i="207"/>
  <c r="CD44" i="207"/>
  <c r="FB44" i="207"/>
  <c r="FJ44" i="207"/>
  <c r="FK44" i="207" s="1"/>
  <c r="FL44" i="207" s="1"/>
  <c r="Z44" i="207" s="1"/>
  <c r="AD45" i="207"/>
  <c r="IB14" i="208"/>
  <c r="HT14" i="208"/>
  <c r="HL14" i="208"/>
  <c r="HH14" i="208"/>
  <c r="HQ14" i="208"/>
  <c r="HZ14" i="208"/>
  <c r="FR18" i="208"/>
  <c r="CE19" i="208"/>
  <c r="EE19" i="208"/>
  <c r="EE21" i="208"/>
  <c r="AY22" i="208"/>
  <c r="FO24" i="208"/>
  <c r="AO26" i="208"/>
  <c r="AN26" i="208"/>
  <c r="AJ26" i="208"/>
  <c r="AS26" i="208"/>
  <c r="FR26" i="208"/>
  <c r="DZ26" i="208"/>
  <c r="FB26" i="208"/>
  <c r="FT28" i="208"/>
  <c r="CE28" i="208"/>
  <c r="EQ30" i="208"/>
  <c r="CI30" i="208" s="1"/>
  <c r="ER33" i="208"/>
  <c r="EV33" i="208" s="1"/>
  <c r="J37" i="208"/>
  <c r="I37" i="208"/>
  <c r="FS38" i="208"/>
  <c r="CD38" i="208"/>
  <c r="FJ38" i="208"/>
  <c r="FK38" i="208" s="1"/>
  <c r="FL38" i="208" s="1"/>
  <c r="Z38" i="208" s="1"/>
  <c r="FE38" i="208"/>
  <c r="FF38" i="208" s="1"/>
  <c r="FG38" i="208" s="1"/>
  <c r="Y38" i="208" s="1"/>
  <c r="FN38" i="208"/>
  <c r="DT41" i="208"/>
  <c r="AL57" i="208"/>
  <c r="AS57" i="208"/>
  <c r="AO57" i="208"/>
  <c r="AN57" i="208"/>
  <c r="AM57" i="208"/>
  <c r="AQ57" i="208"/>
  <c r="AJ57" i="208"/>
  <c r="FB43" i="207"/>
  <c r="AD44" i="207"/>
  <c r="AN53" i="208"/>
  <c r="AN49" i="208"/>
  <c r="AN52" i="208"/>
  <c r="AN54" i="208"/>
  <c r="HJ14" i="208"/>
  <c r="HS14" i="208"/>
  <c r="IC14" i="208"/>
  <c r="FN17" i="208"/>
  <c r="DW17" i="208"/>
  <c r="FO17" i="208" s="1"/>
  <c r="DU17" i="208"/>
  <c r="FQ19" i="208"/>
  <c r="EY19" i="208"/>
  <c r="EN19" i="208"/>
  <c r="EM19" i="208"/>
  <c r="H21" i="208"/>
  <c r="G21" i="208"/>
  <c r="F21" i="208"/>
  <c r="AU25" i="208"/>
  <c r="AM26" i="208"/>
  <c r="FS26" i="208"/>
  <c r="CD26" i="208"/>
  <c r="FE26" i="208"/>
  <c r="FF26" i="208" s="1"/>
  <c r="FG26" i="208" s="1"/>
  <c r="Y26" i="208" s="1"/>
  <c r="FJ26" i="208"/>
  <c r="FK26" i="208" s="1"/>
  <c r="FL26" i="208" s="1"/>
  <c r="Z26" i="208" s="1"/>
  <c r="FJ27" i="208"/>
  <c r="FK27" i="208" s="1"/>
  <c r="FL27" i="208" s="1"/>
  <c r="Z27" i="208" s="1"/>
  <c r="FE27" i="208"/>
  <c r="FF27" i="208" s="1"/>
  <c r="FG27" i="208" s="1"/>
  <c r="Y27" i="208" s="1"/>
  <c r="EG27" i="208"/>
  <c r="EF27" i="208"/>
  <c r="FO32" i="208"/>
  <c r="K37" i="208"/>
  <c r="CE38" i="208"/>
  <c r="FT38" i="208"/>
  <c r="EQ40" i="208"/>
  <c r="AE44" i="207"/>
  <c r="AE46" i="207" s="1"/>
  <c r="AX57" i="207"/>
  <c r="AY44" i="208"/>
  <c r="AY45" i="208"/>
  <c r="AY42" i="208"/>
  <c r="AY41" i="208"/>
  <c r="AY57" i="208"/>
  <c r="AY40" i="208"/>
  <c r="AY43" i="208"/>
  <c r="AY37" i="208"/>
  <c r="AY35" i="208"/>
  <c r="AY32" i="208"/>
  <c r="AY33" i="208"/>
  <c r="AY30" i="208"/>
  <c r="AY39" i="208"/>
  <c r="AY36" i="208"/>
  <c r="AY34" i="208"/>
  <c r="AY31" i="208"/>
  <c r="AY29" i="208"/>
  <c r="AY27" i="208"/>
  <c r="AY28" i="208"/>
  <c r="AY17" i="208"/>
  <c r="AY38" i="208"/>
  <c r="AY26" i="208"/>
  <c r="AY21" i="208"/>
  <c r="AM53" i="208"/>
  <c r="AM49" i="208"/>
  <c r="AM54" i="208"/>
  <c r="AM52" i="208"/>
  <c r="HK14" i="208"/>
  <c r="HU14" i="208"/>
  <c r="ID14" i="208"/>
  <c r="FO16" i="208"/>
  <c r="FP17" i="208"/>
  <c r="DV17" i="208"/>
  <c r="FQ17" i="208"/>
  <c r="AD18" i="208"/>
  <c r="FN19" i="208"/>
  <c r="DX19" i="208"/>
  <c r="DP19" i="208"/>
  <c r="DW19" i="208"/>
  <c r="FO19" i="208" s="1"/>
  <c r="DV19" i="208"/>
  <c r="AK21" i="208"/>
  <c r="FB23" i="208"/>
  <c r="FR23" i="208"/>
  <c r="EG23" i="208"/>
  <c r="EF23" i="208"/>
  <c r="DT24" i="208"/>
  <c r="GM25" i="208"/>
  <c r="EQ27" i="208"/>
  <c r="CI27" i="208" s="1"/>
  <c r="AQ30" i="208"/>
  <c r="AR30" i="208" s="1"/>
  <c r="AN30" i="208"/>
  <c r="AM30" i="208"/>
  <c r="AL30" i="208"/>
  <c r="AJ30" i="208"/>
  <c r="AS30" i="208"/>
  <c r="AT30" i="208" s="1"/>
  <c r="DT31" i="208"/>
  <c r="FN32" i="208"/>
  <c r="DX32" i="208"/>
  <c r="DP32" i="208"/>
  <c r="DU32" i="208"/>
  <c r="DV32" i="208"/>
  <c r="FQ32" i="208"/>
  <c r="CH35" i="208"/>
  <c r="FB18" i="208"/>
  <c r="AD24" i="208"/>
  <c r="FE24" i="208"/>
  <c r="FF24" i="208" s="1"/>
  <c r="FG24" i="208" s="1"/>
  <c r="Y24" i="208" s="1"/>
  <c r="FN25" i="208"/>
  <c r="DX25" i="208"/>
  <c r="DP25" i="208"/>
  <c r="DW25" i="208"/>
  <c r="FO25" i="208" s="1"/>
  <c r="DV25" i="208"/>
  <c r="FO27" i="208"/>
  <c r="FN27" i="208"/>
  <c r="DV27" i="208"/>
  <c r="FQ27" i="208"/>
  <c r="FE29" i="208"/>
  <c r="FF29" i="208" s="1"/>
  <c r="FG29" i="208" s="1"/>
  <c r="Y29" i="208" s="1"/>
  <c r="EJ30" i="208"/>
  <c r="CH30" i="208" s="1"/>
  <c r="AS31" i="208"/>
  <c r="AJ31" i="208"/>
  <c r="AN31" i="208"/>
  <c r="AM31" i="208"/>
  <c r="AL31" i="208"/>
  <c r="FP32" i="208"/>
  <c r="DZ32" i="208"/>
  <c r="DZ33" i="208"/>
  <c r="FU34" i="208"/>
  <c r="FH34" i="208"/>
  <c r="ED34" i="208"/>
  <c r="EC34" i="208"/>
  <c r="EB34" i="208"/>
  <c r="FR34" i="208"/>
  <c r="EE34" i="208"/>
  <c r="EG37" i="208"/>
  <c r="EF37" i="208"/>
  <c r="CD20" i="208"/>
  <c r="FS20" i="208"/>
  <c r="AO25" i="208"/>
  <c r="AN25" i="208"/>
  <c r="AP25" i="208" s="1"/>
  <c r="AM25" i="208"/>
  <c r="AO27" i="208"/>
  <c r="FP27" i="208"/>
  <c r="DZ27" i="208"/>
  <c r="FB28" i="208"/>
  <c r="FV29" i="208"/>
  <c r="FM29" i="208"/>
  <c r="FH32" i="208"/>
  <c r="FU32" i="208"/>
  <c r="EA32" i="208"/>
  <c r="ED32" i="208"/>
  <c r="FH33" i="208"/>
  <c r="FU33" i="208"/>
  <c r="EB33" i="208"/>
  <c r="EA33" i="208"/>
  <c r="ED33" i="208"/>
  <c r="DP33" i="208"/>
  <c r="EC33" i="208"/>
  <c r="FP33" i="208" s="1"/>
  <c r="CD34" i="208"/>
  <c r="FS34" i="208"/>
  <c r="AP35" i="208"/>
  <c r="AU35" i="208"/>
  <c r="FT36" i="208"/>
  <c r="EL36" i="208"/>
  <c r="AL39" i="208"/>
  <c r="AJ39" i="208"/>
  <c r="AN39" i="208"/>
  <c r="AM39" i="208"/>
  <c r="AO39" i="208"/>
  <c r="DT43" i="208"/>
  <c r="EV44" i="208"/>
  <c r="CH44" i="208"/>
  <c r="DW21" i="208"/>
  <c r="FO21" i="208" s="1"/>
  <c r="AO23" i="208"/>
  <c r="AN23" i="208"/>
  <c r="FT24" i="208"/>
  <c r="CE24" i="208"/>
  <c r="AL25" i="208"/>
  <c r="DZ25" i="208"/>
  <c r="EG25" i="208"/>
  <c r="EF25" i="208"/>
  <c r="AL27" i="208"/>
  <c r="AU27" i="208" s="1"/>
  <c r="DX27" i="208"/>
  <c r="EB28" i="208"/>
  <c r="ED28" i="208"/>
  <c r="FN28" i="208"/>
  <c r="EC28" i="208"/>
  <c r="EA28" i="208"/>
  <c r="FR28" i="208"/>
  <c r="CK29" i="208"/>
  <c r="ER30" i="208"/>
  <c r="FE32" i="208"/>
  <c r="FF32" i="208" s="1"/>
  <c r="FG32" i="208" s="1"/>
  <c r="Y32" i="208" s="1"/>
  <c r="FJ32" i="208"/>
  <c r="FK32" i="208" s="1"/>
  <c r="FL32" i="208" s="1"/>
  <c r="Z32" i="208" s="1"/>
  <c r="AJ33" i="208"/>
  <c r="AQ33" i="208"/>
  <c r="AO33" i="208"/>
  <c r="AM33" i="208"/>
  <c r="AL33" i="208"/>
  <c r="EJ33" i="208"/>
  <c r="CH33" i="208" s="1"/>
  <c r="FR33" i="208"/>
  <c r="CK34" i="208"/>
  <c r="DP34" i="208"/>
  <c r="FV34" i="208"/>
  <c r="AO35" i="208"/>
  <c r="AN35" i="208"/>
  <c r="AM35" i="208"/>
  <c r="AS35" i="208"/>
  <c r="AX37" i="208"/>
  <c r="GF37" i="208"/>
  <c r="ER40" i="208"/>
  <c r="EA20" i="208"/>
  <c r="FM20" i="208"/>
  <c r="DP21" i="208"/>
  <c r="AM23" i="208"/>
  <c r="FN23" i="208"/>
  <c r="DX23" i="208"/>
  <c r="DP23" i="208"/>
  <c r="DV23" i="208"/>
  <c r="EN24" i="208"/>
  <c r="EM24" i="208"/>
  <c r="AD25" i="208"/>
  <c r="FN26" i="208"/>
  <c r="DX26" i="208"/>
  <c r="DP26" i="208"/>
  <c r="DW26" i="208"/>
  <c r="AN27" i="208"/>
  <c r="DP27" i="208"/>
  <c r="EB27" i="208"/>
  <c r="FU27" i="208"/>
  <c r="CK28" i="208"/>
  <c r="FV28" i="208"/>
  <c r="FM28" i="208"/>
  <c r="DP28" i="208"/>
  <c r="EY29" i="208"/>
  <c r="EX29" i="208"/>
  <c r="FQ29" i="208"/>
  <c r="FO29" i="208"/>
  <c r="AO31" i="208"/>
  <c r="FN36" i="208"/>
  <c r="DX36" i="208"/>
  <c r="DP36" i="208"/>
  <c r="DW36" i="208"/>
  <c r="FO36" i="208" s="1"/>
  <c r="FB20" i="208"/>
  <c r="DZ29" i="208"/>
  <c r="FS33" i="208"/>
  <c r="DT44" i="208"/>
  <c r="GE45" i="208"/>
  <c r="GD45" i="208"/>
  <c r="GA45" i="208"/>
  <c r="GC45" i="208"/>
  <c r="GB45" i="208"/>
  <c r="FM25" i="208"/>
  <c r="DT28" i="208"/>
  <c r="FO30" i="208"/>
  <c r="DU30" i="208"/>
  <c r="FP31" i="208"/>
  <c r="EG32" i="208"/>
  <c r="EF32" i="208"/>
  <c r="EN34" i="208"/>
  <c r="EM34" i="208"/>
  <c r="FE36" i="208"/>
  <c r="FF36" i="208" s="1"/>
  <c r="FG36" i="208" s="1"/>
  <c r="Y36" i="208" s="1"/>
  <c r="GE38" i="208"/>
  <c r="GD38" i="208"/>
  <c r="GC38" i="208"/>
  <c r="GB38" i="208"/>
  <c r="GA38" i="208"/>
  <c r="DX39" i="208"/>
  <c r="DW39" i="208"/>
  <c r="FO39" i="208" s="1"/>
  <c r="DV39" i="208"/>
  <c r="FQ39" i="208"/>
  <c r="DP39" i="208"/>
  <c r="FN39" i="208"/>
  <c r="GD40" i="208"/>
  <c r="GC40" i="208"/>
  <c r="GA40" i="208"/>
  <c r="GE40" i="208"/>
  <c r="EJ41" i="208"/>
  <c r="CH41" i="208" s="1"/>
  <c r="EK42" i="208"/>
  <c r="FO28" i="208"/>
  <c r="DZ30" i="208"/>
  <c r="DV30" i="208"/>
  <c r="EC31" i="208"/>
  <c r="EB31" i="208"/>
  <c r="EA31" i="208"/>
  <c r="FU31" i="208"/>
  <c r="CK33" i="208"/>
  <c r="AK34" i="208"/>
  <c r="FP34" i="208"/>
  <c r="CE37" i="208"/>
  <c r="FT37" i="208"/>
  <c r="E41" i="208"/>
  <c r="D41" i="208"/>
  <c r="GK41" i="208" s="1"/>
  <c r="EG45" i="208"/>
  <c r="EF45" i="208"/>
  <c r="FM32" i="208"/>
  <c r="FN33" i="208"/>
  <c r="FN35" i="208"/>
  <c r="DU35" i="208"/>
  <c r="DZ36" i="208"/>
  <c r="DT38" i="208"/>
  <c r="EC40" i="208"/>
  <c r="FP40" i="208" s="1"/>
  <c r="EB40" i="208"/>
  <c r="ED40" i="208"/>
  <c r="FN40" i="208"/>
  <c r="EA40" i="208"/>
  <c r="H40" i="208"/>
  <c r="G40" i="208"/>
  <c r="F40" i="208"/>
  <c r="FH40" i="208"/>
  <c r="EK41" i="208"/>
  <c r="EX32" i="208"/>
  <c r="FO33" i="208"/>
  <c r="FO34" i="208"/>
  <c r="DT34" i="208"/>
  <c r="FN34" i="208"/>
  <c r="FP35" i="208"/>
  <c r="DV35" i="208"/>
  <c r="AG36" i="208"/>
  <c r="AV36" i="208"/>
  <c r="AK36" i="208" s="1"/>
  <c r="AE36" i="208"/>
  <c r="AH37" i="208"/>
  <c r="AG37" i="208"/>
  <c r="AE37" i="208"/>
  <c r="AW37" i="208"/>
  <c r="AK37" i="208" s="1"/>
  <c r="FP37" i="208"/>
  <c r="EX38" i="208"/>
  <c r="FJ39" i="208"/>
  <c r="FK39" i="208" s="1"/>
  <c r="FL39" i="208" s="1"/>
  <c r="Z39" i="208" s="1"/>
  <c r="CD40" i="208"/>
  <c r="FJ40" i="208"/>
  <c r="FK40" i="208" s="1"/>
  <c r="FL40" i="208" s="1"/>
  <c r="Z40" i="208" s="1"/>
  <c r="H42" i="208"/>
  <c r="F42" i="208"/>
  <c r="EJ42" i="208"/>
  <c r="CH42" i="208" s="1"/>
  <c r="FA31" i="208"/>
  <c r="DW35" i="208"/>
  <c r="FO35" i="208" s="1"/>
  <c r="FU35" i="208"/>
  <c r="H37" i="208"/>
  <c r="G37" i="208"/>
  <c r="F37" i="208"/>
  <c r="AV38" i="208"/>
  <c r="AK38" i="208" s="1"/>
  <c r="AJ38" i="208"/>
  <c r="AG38" i="208"/>
  <c r="AW38" i="208"/>
  <c r="CK39" i="208"/>
  <c r="K39" i="208"/>
  <c r="AS39" i="208" s="1"/>
  <c r="J39" i="208"/>
  <c r="AD40" i="208"/>
  <c r="AW40" i="208"/>
  <c r="AK40" i="208" s="1"/>
  <c r="AE40" i="208"/>
  <c r="CK40" i="208"/>
  <c r="FM40" i="208"/>
  <c r="FV40" i="208"/>
  <c r="DP40" i="208"/>
  <c r="AL41" i="208"/>
  <c r="AO41" i="208"/>
  <c r="AN41" i="208"/>
  <c r="AS41" i="208"/>
  <c r="AJ41" i="208"/>
  <c r="EY41" i="208"/>
  <c r="EX41" i="208"/>
  <c r="FQ41" i="208"/>
  <c r="FO41" i="208"/>
  <c r="J43" i="208"/>
  <c r="I43" i="208"/>
  <c r="FB31" i="208"/>
  <c r="DZ34" i="208"/>
  <c r="DX35" i="208"/>
  <c r="FE37" i="208"/>
  <c r="FF37" i="208" s="1"/>
  <c r="FG37" i="208" s="1"/>
  <c r="Y37" i="208" s="1"/>
  <c r="CI37" i="208"/>
  <c r="J38" i="208"/>
  <c r="I38" i="208"/>
  <c r="EM38" i="208"/>
  <c r="EG39" i="208"/>
  <c r="EF39" i="208"/>
  <c r="EJ40" i="208"/>
  <c r="EG40" i="208"/>
  <c r="ER41" i="208"/>
  <c r="CI41" i="208" s="1"/>
  <c r="EN42" i="208"/>
  <c r="EM42" i="208"/>
  <c r="AX43" i="208"/>
  <c r="GF43" i="208"/>
  <c r="FS43" i="208"/>
  <c r="CD43" i="208"/>
  <c r="GF57" i="208"/>
  <c r="AX57" i="208"/>
  <c r="EB37" i="208"/>
  <c r="EA37" i="208"/>
  <c r="DT39" i="208"/>
  <c r="AV42" i="208"/>
  <c r="AK42" i="208" s="1"/>
  <c r="AE42" i="208"/>
  <c r="AJ42" i="208"/>
  <c r="AD42" i="208"/>
  <c r="AW42" i="208"/>
  <c r="AF42" i="208"/>
  <c r="DP37" i="208"/>
  <c r="DV38" i="208"/>
  <c r="DU38" i="208"/>
  <c r="AX39" i="208"/>
  <c r="GF39" i="208"/>
  <c r="FB39" i="208"/>
  <c r="FA39" i="208"/>
  <c r="FR39" i="208"/>
  <c r="DZ39" i="208"/>
  <c r="EX39" i="208"/>
  <c r="CE41" i="208"/>
  <c r="FT41" i="208"/>
  <c r="AG42" i="208"/>
  <c r="FQ42" i="208"/>
  <c r="EY42" i="208"/>
  <c r="EX42" i="208"/>
  <c r="DT42" i="208"/>
  <c r="EG43" i="208"/>
  <c r="EF43" i="208"/>
  <c r="CD44" i="208"/>
  <c r="FS44" i="208"/>
  <c r="DV45" i="208"/>
  <c r="DU45" i="208"/>
  <c r="DX45" i="208"/>
  <c r="FQ45" i="208"/>
  <c r="DP45" i="208"/>
  <c r="FN44" i="208"/>
  <c r="EC38" i="208"/>
  <c r="FP38" i="208" s="1"/>
  <c r="FB38" i="208"/>
  <c r="AF39" i="208"/>
  <c r="DT40" i="208"/>
  <c r="EY40" i="208"/>
  <c r="DV41" i="208"/>
  <c r="FN41" i="208"/>
  <c r="DX41" i="208"/>
  <c r="DU41" i="208"/>
  <c r="H44" i="208"/>
  <c r="G44" i="208"/>
  <c r="DZ41" i="208"/>
  <c r="FP41" i="208"/>
  <c r="GF41" i="208"/>
  <c r="FA44" i="208"/>
  <c r="FR44" i="208"/>
  <c r="FP44" i="208"/>
  <c r="W44" i="208"/>
  <c r="V44" i="208"/>
  <c r="AT44" i="208" s="1"/>
  <c r="CK45" i="208"/>
  <c r="FM45" i="208"/>
  <c r="FV45" i="208"/>
  <c r="FR40" i="208"/>
  <c r="FE42" i="208"/>
  <c r="FF42" i="208" s="1"/>
  <c r="FG42" i="208" s="1"/>
  <c r="Y42" i="208" s="1"/>
  <c r="FJ42" i="208"/>
  <c r="FK42" i="208" s="1"/>
  <c r="FL42" i="208" s="1"/>
  <c r="Z42" i="208" s="1"/>
  <c r="EY43" i="208"/>
  <c r="EX43" i="208"/>
  <c r="FO43" i="208"/>
  <c r="FQ43" i="208"/>
  <c r="GC44" i="208"/>
  <c r="GB44" i="208"/>
  <c r="GA44" i="208"/>
  <c r="GL44" i="208" s="1"/>
  <c r="CE45" i="208"/>
  <c r="FT45" i="208"/>
  <c r="CK43" i="208"/>
  <c r="FH44" i="208"/>
  <c r="FU44" i="208"/>
  <c r="EB44" i="208"/>
  <c r="EA44" i="208"/>
  <c r="AE45" i="208"/>
  <c r="FO45" i="208"/>
  <c r="DT45" i="208"/>
  <c r="DZ45" i="208"/>
  <c r="FA40" i="208"/>
  <c r="AD41" i="208"/>
  <c r="FH42" i="208"/>
  <c r="FN43" i="208"/>
  <c r="DV43" i="208"/>
  <c r="DW43" i="208"/>
  <c r="ED44" i="208"/>
  <c r="AW45" i="208"/>
  <c r="AK45" i="208" s="1"/>
  <c r="J45" i="208"/>
  <c r="I45" i="208"/>
  <c r="EM45" i="208"/>
  <c r="AT57" i="208"/>
  <c r="FB40" i="208"/>
  <c r="AG43" i="208"/>
  <c r="AW43" i="208"/>
  <c r="AK43" i="208" s="1"/>
  <c r="AF43" i="208"/>
  <c r="AE43" i="208"/>
  <c r="DZ43" i="208"/>
  <c r="AH44" i="208"/>
  <c r="AV44" i="208"/>
  <c r="AK44" i="208" s="1"/>
  <c r="AE44" i="208"/>
  <c r="AF44" i="208"/>
  <c r="FS45" i="208"/>
  <c r="CD45" i="208"/>
  <c r="FJ45" i="208"/>
  <c r="FK45" i="208" s="1"/>
  <c r="FL45" i="208" s="1"/>
  <c r="Z45" i="208" s="1"/>
  <c r="CE43" i="208"/>
  <c r="DP44" i="208"/>
  <c r="EC45" i="208"/>
  <c r="FP45" i="208" s="1"/>
  <c r="FB45" i="208"/>
  <c r="DP42" i="208"/>
  <c r="GF45" i="165"/>
  <c r="GC45" i="165" s="1"/>
  <c r="GE45" i="165"/>
  <c r="GD45" i="165"/>
  <c r="GA45" i="165"/>
  <c r="GF44" i="165"/>
  <c r="GD44" i="165" s="1"/>
  <c r="GB44" i="165"/>
  <c r="GF43" i="165"/>
  <c r="GC43" i="165" s="1"/>
  <c r="GE43" i="165"/>
  <c r="GD43" i="165"/>
  <c r="GB43" i="165"/>
  <c r="GA43" i="165"/>
  <c r="GF42" i="165"/>
  <c r="GE42" i="165" s="1"/>
  <c r="GF41" i="165"/>
  <c r="GC41" i="165" s="1"/>
  <c r="GE41" i="165"/>
  <c r="GD41" i="165"/>
  <c r="GA41" i="165"/>
  <c r="GF40" i="165"/>
  <c r="GD40" i="165" s="1"/>
  <c r="GB40" i="165"/>
  <c r="GF39" i="165"/>
  <c r="GC39" i="165" s="1"/>
  <c r="GE39" i="165"/>
  <c r="GD39" i="165"/>
  <c r="GB39" i="165"/>
  <c r="GA39" i="165"/>
  <c r="GF38" i="165"/>
  <c r="GE38" i="165" s="1"/>
  <c r="GF37" i="165"/>
  <c r="GC37" i="165" s="1"/>
  <c r="GE37" i="165"/>
  <c r="GD37" i="165"/>
  <c r="GA37" i="165"/>
  <c r="GF36" i="165"/>
  <c r="GD36" i="165" s="1"/>
  <c r="GB36" i="165"/>
  <c r="GF35" i="165"/>
  <c r="GC35" i="165" s="1"/>
  <c r="GE35" i="165"/>
  <c r="GD35" i="165"/>
  <c r="GB35" i="165"/>
  <c r="GA35" i="165"/>
  <c r="GF34" i="165"/>
  <c r="GE34" i="165" s="1"/>
  <c r="GF33" i="165"/>
  <c r="GC33" i="165" s="1"/>
  <c r="GE33" i="165"/>
  <c r="GD33" i="165"/>
  <c r="GA33" i="165"/>
  <c r="GF32" i="165"/>
  <c r="GD32" i="165" s="1"/>
  <c r="GB32" i="165"/>
  <c r="GF31" i="165"/>
  <c r="GC31" i="165" s="1"/>
  <c r="GE31" i="165"/>
  <c r="GD31" i="165"/>
  <c r="GB31" i="165"/>
  <c r="GA31" i="165"/>
  <c r="GF30" i="165"/>
  <c r="GE30" i="165" s="1"/>
  <c r="GF29" i="165"/>
  <c r="GC29" i="165" s="1"/>
  <c r="GE29" i="165"/>
  <c r="GD29" i="165"/>
  <c r="GA29" i="165"/>
  <c r="GF28" i="165"/>
  <c r="GD28" i="165" s="1"/>
  <c r="GB28" i="165"/>
  <c r="GF27" i="165"/>
  <c r="GC27" i="165" s="1"/>
  <c r="GE27" i="165"/>
  <c r="GD27" i="165"/>
  <c r="GB27" i="165"/>
  <c r="GA27" i="165"/>
  <c r="GF26" i="165"/>
  <c r="GE26" i="165" s="1"/>
  <c r="GF25" i="165"/>
  <c r="GC25" i="165" s="1"/>
  <c r="GE25" i="165"/>
  <c r="GD25" i="165"/>
  <c r="GA25" i="165"/>
  <c r="GF24" i="165"/>
  <c r="GD24" i="165" s="1"/>
  <c r="GB24" i="165"/>
  <c r="GF23" i="165"/>
  <c r="GC23" i="165" s="1"/>
  <c r="GE23" i="165"/>
  <c r="GD23" i="165"/>
  <c r="GB23" i="165"/>
  <c r="GA23" i="165"/>
  <c r="GF22" i="165"/>
  <c r="GE22" i="165" s="1"/>
  <c r="GF21" i="165"/>
  <c r="GC21" i="165" s="1"/>
  <c r="GE21" i="165"/>
  <c r="GD21" i="165"/>
  <c r="GA21" i="165"/>
  <c r="GF20" i="165"/>
  <c r="GD20" i="165" s="1"/>
  <c r="GB20" i="165"/>
  <c r="GF19" i="165"/>
  <c r="GC19" i="165" s="1"/>
  <c r="GE19" i="165"/>
  <c r="GD19" i="165"/>
  <c r="GB19" i="165"/>
  <c r="GA19" i="165"/>
  <c r="GF18" i="165"/>
  <c r="GE18" i="165" s="1"/>
  <c r="GF17" i="165"/>
  <c r="GC17" i="165" s="1"/>
  <c r="GE17" i="165"/>
  <c r="GD17" i="165"/>
  <c r="GA17" i="165"/>
  <c r="GF16" i="165"/>
  <c r="GD16" i="165" s="1"/>
  <c r="GB16" i="165"/>
  <c r="GF40" i="147"/>
  <c r="GE40" i="147" s="1"/>
  <c r="GF39" i="147"/>
  <c r="GC39" i="147" s="1"/>
  <c r="GE39" i="147"/>
  <c r="GD39" i="147"/>
  <c r="GA39" i="147"/>
  <c r="GF38" i="147"/>
  <c r="GD38" i="147" s="1"/>
  <c r="GB38" i="147"/>
  <c r="GF37" i="147"/>
  <c r="GB37" i="147" s="1"/>
  <c r="GE37" i="147"/>
  <c r="GD37" i="147"/>
  <c r="GA37" i="147"/>
  <c r="GF36" i="147"/>
  <c r="GE36" i="147" s="1"/>
  <c r="GF35" i="147"/>
  <c r="GC35" i="147" s="1"/>
  <c r="GE35" i="147"/>
  <c r="GD35" i="147"/>
  <c r="GA35" i="147"/>
  <c r="GF34" i="147"/>
  <c r="GD34" i="147" s="1"/>
  <c r="GB34" i="147"/>
  <c r="GF33" i="147"/>
  <c r="GB33" i="147" s="1"/>
  <c r="GE33" i="147"/>
  <c r="GD33" i="147"/>
  <c r="GA33" i="147"/>
  <c r="GF32" i="147"/>
  <c r="GE32" i="147" s="1"/>
  <c r="GF31" i="147"/>
  <c r="GC31" i="147" s="1"/>
  <c r="GE31" i="147"/>
  <c r="GD31" i="147"/>
  <c r="GA31" i="147"/>
  <c r="GF30" i="147"/>
  <c r="GD30" i="147" s="1"/>
  <c r="GB30" i="147"/>
  <c r="GF29" i="147"/>
  <c r="GB29" i="147" s="1"/>
  <c r="GE29" i="147"/>
  <c r="GD29" i="147"/>
  <c r="GA29" i="147"/>
  <c r="GF28" i="147"/>
  <c r="GE28" i="147" s="1"/>
  <c r="GF27" i="147"/>
  <c r="GC27" i="147" s="1"/>
  <c r="GE27" i="147"/>
  <c r="GD27" i="147"/>
  <c r="GA27" i="147"/>
  <c r="GF26" i="147"/>
  <c r="GD26" i="147" s="1"/>
  <c r="GB26" i="147"/>
  <c r="GF25" i="147"/>
  <c r="GB25" i="147" s="1"/>
  <c r="GE25" i="147"/>
  <c r="GD25" i="147"/>
  <c r="GA25" i="147"/>
  <c r="GF24" i="147"/>
  <c r="GE24" i="147" s="1"/>
  <c r="GF23" i="147"/>
  <c r="GC23" i="147" s="1"/>
  <c r="GE23" i="147"/>
  <c r="GD23" i="147"/>
  <c r="GA23" i="147"/>
  <c r="GF45" i="160"/>
  <c r="GC45" i="160" s="1"/>
  <c r="GE45" i="160"/>
  <c r="GD45" i="160"/>
  <c r="GA45" i="160"/>
  <c r="GF44" i="160"/>
  <c r="GD44" i="160" s="1"/>
  <c r="GB44" i="160"/>
  <c r="GF43" i="160"/>
  <c r="GB43" i="160" s="1"/>
  <c r="GE43" i="160"/>
  <c r="GD43" i="160"/>
  <c r="GA43" i="160"/>
  <c r="GF42" i="160"/>
  <c r="GE42" i="160" s="1"/>
  <c r="GF41" i="160"/>
  <c r="GC41" i="160" s="1"/>
  <c r="GE41" i="160"/>
  <c r="GD41" i="160"/>
  <c r="GA41" i="160"/>
  <c r="GF40" i="160"/>
  <c r="GD40" i="160" s="1"/>
  <c r="GB40" i="160"/>
  <c r="GF39" i="160"/>
  <c r="GB39" i="160" s="1"/>
  <c r="GE39" i="160"/>
  <c r="GD39" i="160"/>
  <c r="GA39" i="160"/>
  <c r="GF38" i="160"/>
  <c r="GE38" i="160" s="1"/>
  <c r="GF37" i="160"/>
  <c r="GC37" i="160" s="1"/>
  <c r="GE37" i="160"/>
  <c r="GD37" i="160"/>
  <c r="GA37" i="160"/>
  <c r="GF36" i="160"/>
  <c r="GD36" i="160" s="1"/>
  <c r="GB36" i="160"/>
  <c r="GF35" i="160"/>
  <c r="GB35" i="160" s="1"/>
  <c r="GE35" i="160"/>
  <c r="GD35" i="160"/>
  <c r="GA35" i="160"/>
  <c r="GF34" i="160"/>
  <c r="GE34" i="160" s="1"/>
  <c r="GF33" i="160"/>
  <c r="GC33" i="160" s="1"/>
  <c r="GE33" i="160"/>
  <c r="GD33" i="160"/>
  <c r="GA33" i="160"/>
  <c r="GF32" i="160"/>
  <c r="GD32" i="160" s="1"/>
  <c r="GB32" i="160"/>
  <c r="GF31" i="160"/>
  <c r="GC31" i="160" s="1"/>
  <c r="GE31" i="160"/>
  <c r="GD31" i="160"/>
  <c r="GB31" i="160"/>
  <c r="GA31" i="160"/>
  <c r="GF30" i="160"/>
  <c r="GE30" i="160" s="1"/>
  <c r="GF29" i="160"/>
  <c r="GC29" i="160" s="1"/>
  <c r="GE29" i="160"/>
  <c r="GD29" i="160"/>
  <c r="GA29" i="160"/>
  <c r="GF28" i="160"/>
  <c r="GD28" i="160" s="1"/>
  <c r="GB28" i="160"/>
  <c r="GF27" i="160"/>
  <c r="GC27" i="160" s="1"/>
  <c r="GE27" i="160"/>
  <c r="GD27" i="160"/>
  <c r="GB27" i="160"/>
  <c r="GA27" i="160"/>
  <c r="GF26" i="160"/>
  <c r="GE26" i="160" s="1"/>
  <c r="GF25" i="160"/>
  <c r="GC25" i="160" s="1"/>
  <c r="GE25" i="160"/>
  <c r="GD25" i="160"/>
  <c r="GA25" i="160"/>
  <c r="GF24" i="160"/>
  <c r="GD24" i="160" s="1"/>
  <c r="GB24" i="160"/>
  <c r="GF23" i="160"/>
  <c r="GC23" i="160" s="1"/>
  <c r="GE23" i="160"/>
  <c r="GD23" i="160"/>
  <c r="GB23" i="160"/>
  <c r="GA23" i="160"/>
  <c r="GF22" i="160"/>
  <c r="GE22" i="160" s="1"/>
  <c r="GF21" i="160"/>
  <c r="GC21" i="160" s="1"/>
  <c r="GE21" i="160"/>
  <c r="GD21" i="160"/>
  <c r="GA21" i="160"/>
  <c r="GF20" i="160"/>
  <c r="GD20" i="160" s="1"/>
  <c r="GB20" i="160"/>
  <c r="GF19" i="160"/>
  <c r="GC19" i="160" s="1"/>
  <c r="GE19" i="160"/>
  <c r="GD19" i="160"/>
  <c r="GB19" i="160"/>
  <c r="GA19" i="160"/>
  <c r="GF18" i="160"/>
  <c r="GE18" i="160" s="1"/>
  <c r="GF17" i="160"/>
  <c r="GC17" i="160" s="1"/>
  <c r="GE17" i="160"/>
  <c r="GD17" i="160"/>
  <c r="GA17" i="160"/>
  <c r="GF16" i="160"/>
  <c r="GD16" i="160" s="1"/>
  <c r="GB16" i="160"/>
  <c r="GF15" i="160"/>
  <c r="GC15" i="160" s="1"/>
  <c r="GE15" i="160"/>
  <c r="GD15" i="160"/>
  <c r="GB15" i="160"/>
  <c r="GA15" i="160"/>
  <c r="GF14" i="160"/>
  <c r="GE14" i="160" s="1"/>
  <c r="GF45" i="84"/>
  <c r="GC45" i="84" s="1"/>
  <c r="GE45" i="84"/>
  <c r="GD45" i="84"/>
  <c r="GA45" i="84"/>
  <c r="GF44" i="84"/>
  <c r="GA44" i="84" s="1"/>
  <c r="GB44" i="84"/>
  <c r="GF43" i="84"/>
  <c r="GC43" i="84" s="1"/>
  <c r="GE43" i="84"/>
  <c r="GD43" i="84"/>
  <c r="GB43" i="84"/>
  <c r="GA43" i="84"/>
  <c r="GF42" i="84"/>
  <c r="GE42" i="84" s="1"/>
  <c r="GF41" i="84"/>
  <c r="GC41" i="84" s="1"/>
  <c r="GE41" i="84"/>
  <c r="GD41" i="84"/>
  <c r="GA41" i="84"/>
  <c r="GF40" i="84"/>
  <c r="GC40" i="84" s="1"/>
  <c r="GB40" i="84"/>
  <c r="GF39" i="84"/>
  <c r="GC39" i="84" s="1"/>
  <c r="GE39" i="84"/>
  <c r="GD39" i="84"/>
  <c r="GB39" i="84"/>
  <c r="GA39" i="84"/>
  <c r="GF38" i="84"/>
  <c r="GE38" i="84" s="1"/>
  <c r="GF37" i="84"/>
  <c r="GC37" i="84" s="1"/>
  <c r="GE37" i="84"/>
  <c r="GD37" i="84"/>
  <c r="GA37" i="84"/>
  <c r="GF36" i="84"/>
  <c r="GC36" i="84" s="1"/>
  <c r="GB36" i="84"/>
  <c r="GF35" i="84"/>
  <c r="GC35" i="84" s="1"/>
  <c r="GE35" i="84"/>
  <c r="GD35" i="84"/>
  <c r="GB35" i="84"/>
  <c r="GA35" i="84"/>
  <c r="GF34" i="84"/>
  <c r="GE34" i="84" s="1"/>
  <c r="GF33" i="84"/>
  <c r="GC33" i="84" s="1"/>
  <c r="GE33" i="84"/>
  <c r="GD33" i="84"/>
  <c r="GA33" i="84"/>
  <c r="GF32" i="84"/>
  <c r="GD32" i="84" s="1"/>
  <c r="GB32" i="84"/>
  <c r="GF31" i="84"/>
  <c r="GC31" i="84" s="1"/>
  <c r="GE31" i="84"/>
  <c r="GD31" i="84"/>
  <c r="GB31" i="84"/>
  <c r="GA31" i="84"/>
  <c r="GF30" i="84"/>
  <c r="GE30" i="84" s="1"/>
  <c r="GF29" i="84"/>
  <c r="GC29" i="84" s="1"/>
  <c r="GE29" i="84"/>
  <c r="GD29" i="84"/>
  <c r="GA29" i="84"/>
  <c r="GF28" i="84"/>
  <c r="GD28" i="84" s="1"/>
  <c r="GB28" i="84"/>
  <c r="DM85" i="192" l="1"/>
  <c r="DM83" i="192"/>
  <c r="DQ83" i="192" s="1"/>
  <c r="DM57" i="193"/>
  <c r="DN75" i="192"/>
  <c r="DP75" i="192" s="1"/>
  <c r="BW25" i="192"/>
  <c r="DM57" i="192"/>
  <c r="DQ57" i="192" s="1"/>
  <c r="EL17" i="192" s="1"/>
  <c r="BW21" i="192"/>
  <c r="BX21" i="192" s="1"/>
  <c r="EZ21" i="192" s="1"/>
  <c r="DM71" i="192"/>
  <c r="DO71" i="192" s="1"/>
  <c r="BW24" i="193"/>
  <c r="BX24" i="193" s="1"/>
  <c r="FB24" i="193" s="1"/>
  <c r="FA24" i="193" s="1"/>
  <c r="DM84" i="192"/>
  <c r="DO84" i="192" s="1"/>
  <c r="DM64" i="192"/>
  <c r="DQ64" i="192" s="1"/>
  <c r="DN65" i="192"/>
  <c r="DR65" i="192" s="1"/>
  <c r="BW34" i="193"/>
  <c r="BX34" i="193" s="1"/>
  <c r="BY34" i="193" s="1"/>
  <c r="AH46" i="208"/>
  <c r="BW29" i="192"/>
  <c r="BX29" i="192" s="1"/>
  <c r="FB29" i="192" s="1"/>
  <c r="FA29" i="192" s="1"/>
  <c r="DN82" i="193"/>
  <c r="DP82" i="193" s="1"/>
  <c r="BW28" i="193"/>
  <c r="BX28" i="193" s="1"/>
  <c r="GK68" i="193" s="1"/>
  <c r="DN72" i="192"/>
  <c r="DR72" i="192" s="1"/>
  <c r="BW36" i="192"/>
  <c r="BW22" i="192"/>
  <c r="BX22" i="192" s="1"/>
  <c r="EZ22" i="192" s="1"/>
  <c r="AE46" i="205"/>
  <c r="AH46" i="207"/>
  <c r="AG46" i="200"/>
  <c r="AH41" i="196"/>
  <c r="AA19" i="196" s="1"/>
  <c r="DM69" i="192"/>
  <c r="DO69" i="192" s="1"/>
  <c r="BW20" i="193"/>
  <c r="BX20" i="193" s="1"/>
  <c r="BW21" i="193"/>
  <c r="BX21" i="193" s="1"/>
  <c r="EZ21" i="193" s="1"/>
  <c r="BW40" i="192"/>
  <c r="BX40" i="192" s="1"/>
  <c r="EZ40" i="192" s="1"/>
  <c r="DO82" i="193"/>
  <c r="DM71" i="193"/>
  <c r="DO71" i="193" s="1"/>
  <c r="BW23" i="192"/>
  <c r="BX23" i="192" s="1"/>
  <c r="EZ23" i="192" s="1"/>
  <c r="DM82" i="191"/>
  <c r="DQ82" i="191" s="1"/>
  <c r="BW32" i="193"/>
  <c r="DM83" i="193"/>
  <c r="DO83" i="193" s="1"/>
  <c r="BW30" i="192"/>
  <c r="BX30" i="192" s="1"/>
  <c r="DN81" i="192"/>
  <c r="DR81" i="192" s="1"/>
  <c r="BW31" i="192"/>
  <c r="BX31" i="192" s="1"/>
  <c r="EZ31" i="192" s="1"/>
  <c r="BW39" i="192"/>
  <c r="BX39" i="192" s="1"/>
  <c r="BY39" i="192" s="1"/>
  <c r="DM73" i="192"/>
  <c r="DQ73" i="192" s="1"/>
  <c r="DN73" i="192"/>
  <c r="DP73" i="192" s="1"/>
  <c r="DR83" i="193"/>
  <c r="EC83" i="193" s="1"/>
  <c r="DP83" i="193"/>
  <c r="BW19" i="193"/>
  <c r="DM83" i="191"/>
  <c r="DQ83" i="191" s="1"/>
  <c r="EL43" i="191" s="1"/>
  <c r="BW22" i="191"/>
  <c r="BX22" i="191" s="1"/>
  <c r="EZ22" i="191" s="1"/>
  <c r="BW19" i="192"/>
  <c r="BX19" i="192" s="1"/>
  <c r="GK59" i="192" s="1"/>
  <c r="DN78" i="191"/>
  <c r="DR78" i="191" s="1"/>
  <c r="EC78" i="191" s="1"/>
  <c r="EN38" i="191" s="1"/>
  <c r="BW27" i="193"/>
  <c r="BX27" i="193" s="1"/>
  <c r="BW30" i="193"/>
  <c r="BW22" i="193"/>
  <c r="BX22" i="193" s="1"/>
  <c r="BY22" i="193" s="1"/>
  <c r="BW15" i="191"/>
  <c r="BX15" i="191" s="1"/>
  <c r="EX15" i="191" s="1"/>
  <c r="DM67" i="193"/>
  <c r="DN67" i="193"/>
  <c r="BW27" i="191"/>
  <c r="BX27" i="191" s="1"/>
  <c r="FB27" i="191" s="1"/>
  <c r="FA27" i="191" s="1"/>
  <c r="BW28" i="192"/>
  <c r="BX28" i="192" s="1"/>
  <c r="FB28" i="192" s="1"/>
  <c r="FA28" i="192" s="1"/>
  <c r="BW29" i="193"/>
  <c r="BX29" i="193" s="1"/>
  <c r="GK69" i="193" s="1"/>
  <c r="BW33" i="193"/>
  <c r="BX33" i="193" s="1"/>
  <c r="BW17" i="191"/>
  <c r="BX17" i="191" s="1"/>
  <c r="EZ17" i="191" s="1"/>
  <c r="BW23" i="193"/>
  <c r="BX23" i="193" s="1"/>
  <c r="GK63" i="193" s="1"/>
  <c r="DM61" i="192"/>
  <c r="DN61" i="192"/>
  <c r="BW17" i="193"/>
  <c r="BW18" i="192"/>
  <c r="BX18" i="192" s="1"/>
  <c r="FB18" i="192" s="1"/>
  <c r="FA18" i="192" s="1"/>
  <c r="BW26" i="191"/>
  <c r="BX26" i="191" s="1"/>
  <c r="FB26" i="191" s="1"/>
  <c r="FA26" i="191" s="1"/>
  <c r="EZ25" i="192"/>
  <c r="BW34" i="192"/>
  <c r="BX34" i="192" s="1"/>
  <c r="BY34" i="192" s="1"/>
  <c r="BW31" i="193"/>
  <c r="BW14" i="191"/>
  <c r="BW26" i="192"/>
  <c r="BX26" i="192" s="1"/>
  <c r="BW33" i="192"/>
  <c r="BX33" i="192" s="1"/>
  <c r="GK73" i="192" s="1"/>
  <c r="DP77" i="192"/>
  <c r="DM77" i="192"/>
  <c r="DQ77" i="192" s="1"/>
  <c r="EL37" i="192" s="1"/>
  <c r="BW25" i="191"/>
  <c r="BX25" i="191" s="1"/>
  <c r="DO79" i="193"/>
  <c r="BW19" i="191"/>
  <c r="BX19" i="191" s="1"/>
  <c r="BY19" i="191" s="1"/>
  <c r="DM67" i="192"/>
  <c r="DO67" i="192" s="1"/>
  <c r="BW32" i="192"/>
  <c r="BX32" i="192" s="1"/>
  <c r="BY32" i="192" s="1"/>
  <c r="BW16" i="192"/>
  <c r="BX16" i="192" s="1"/>
  <c r="BW35" i="192"/>
  <c r="DN79" i="193"/>
  <c r="DR79" i="193" s="1"/>
  <c r="BW24" i="191"/>
  <c r="BX24" i="191" s="1"/>
  <c r="FB24" i="191" s="1"/>
  <c r="FA24" i="191" s="1"/>
  <c r="DP83" i="191"/>
  <c r="BW16" i="191"/>
  <c r="BX16" i="191" s="1"/>
  <c r="BW15" i="192"/>
  <c r="BW29" i="191"/>
  <c r="BX29" i="191" s="1"/>
  <c r="AH46" i="204"/>
  <c r="AE46" i="204"/>
  <c r="AG46" i="201"/>
  <c r="AE46" i="200"/>
  <c r="AG46" i="198"/>
  <c r="AG46" i="207"/>
  <c r="AH46" i="206"/>
  <c r="AH46" i="203"/>
  <c r="AF46" i="203"/>
  <c r="AE46" i="202"/>
  <c r="AH46" i="200"/>
  <c r="AF46" i="197"/>
  <c r="AH46" i="197"/>
  <c r="AF46" i="208"/>
  <c r="AG46" i="208"/>
  <c r="AE46" i="208"/>
  <c r="AF46" i="207"/>
  <c r="AF46" i="206"/>
  <c r="AE46" i="206"/>
  <c r="AD46" i="206"/>
  <c r="AH46" i="205"/>
  <c r="AG46" i="205"/>
  <c r="AF46" i="205"/>
  <c r="AF46" i="204"/>
  <c r="AG46" i="204"/>
  <c r="AD46" i="204"/>
  <c r="AE46" i="203"/>
  <c r="AG46" i="203"/>
  <c r="AH46" i="202"/>
  <c r="AF46" i="202"/>
  <c r="AG46" i="202"/>
  <c r="AD46" i="202"/>
  <c r="AF46" i="201"/>
  <c r="AH46" i="201"/>
  <c r="AD46" i="201"/>
  <c r="AD46" i="200"/>
  <c r="AG46" i="199"/>
  <c r="AH46" i="199"/>
  <c r="AE46" i="199"/>
  <c r="AF46" i="199"/>
  <c r="AD46" i="199"/>
  <c r="AF46" i="198"/>
  <c r="AE46" i="198"/>
  <c r="AD46" i="198"/>
  <c r="AE46" i="197"/>
  <c r="AG46" i="197"/>
  <c r="AG41" i="196"/>
  <c r="AA18" i="196" s="1"/>
  <c r="FX55" i="191"/>
  <c r="FX55" i="192"/>
  <c r="DR23" i="203"/>
  <c r="CS23" i="203"/>
  <c r="DQ23" i="203"/>
  <c r="CR23" i="203"/>
  <c r="EJ82" i="203"/>
  <c r="EL82" i="203"/>
  <c r="ET23" i="203"/>
  <c r="ES23" i="203"/>
  <c r="EU23" i="203"/>
  <c r="AU39" i="196"/>
  <c r="AZ39" i="196"/>
  <c r="EJ95" i="207"/>
  <c r="EL95" i="207" s="1"/>
  <c r="DQ36" i="207"/>
  <c r="CR36" i="207"/>
  <c r="EU36" i="207"/>
  <c r="EI36" i="207"/>
  <c r="DR36" i="207"/>
  <c r="CS36" i="207"/>
  <c r="ES36" i="207"/>
  <c r="EH36" i="207"/>
  <c r="ET36" i="207"/>
  <c r="EJ83" i="207"/>
  <c r="DQ24" i="207"/>
  <c r="CR24" i="207"/>
  <c r="EU24" i="207"/>
  <c r="ET24" i="207"/>
  <c r="CS24" i="207"/>
  <c r="DR24" i="207"/>
  <c r="ES24" i="207"/>
  <c r="EL83" i="207"/>
  <c r="DR33" i="207"/>
  <c r="CS33" i="207"/>
  <c r="DQ33" i="207"/>
  <c r="EJ92" i="207"/>
  <c r="CR33" i="207"/>
  <c r="EU33" i="207"/>
  <c r="ES33" i="207"/>
  <c r="EH33" i="207"/>
  <c r="ET33" i="207"/>
  <c r="EO33" i="207"/>
  <c r="EI33" i="207"/>
  <c r="EL92" i="207"/>
  <c r="EP33" i="207"/>
  <c r="AO43" i="201"/>
  <c r="AN43" i="201"/>
  <c r="AM43" i="201"/>
  <c r="AL43" i="201"/>
  <c r="AJ43" i="201"/>
  <c r="DR20" i="199"/>
  <c r="CS20" i="199"/>
  <c r="DQ20" i="199"/>
  <c r="CR20" i="199"/>
  <c r="EL79" i="199"/>
  <c r="EJ79" i="199"/>
  <c r="ET20" i="199"/>
  <c r="ES20" i="199"/>
  <c r="EU20" i="199"/>
  <c r="EI20" i="199"/>
  <c r="EP20" i="199"/>
  <c r="EO20" i="199"/>
  <c r="S45" i="198"/>
  <c r="R45" i="198"/>
  <c r="Q45" i="198"/>
  <c r="AZ42" i="198"/>
  <c r="AU42" i="198"/>
  <c r="S33" i="198"/>
  <c r="R33" i="198"/>
  <c r="Q33" i="198"/>
  <c r="EU17" i="201"/>
  <c r="CS17" i="201"/>
  <c r="DR17" i="201"/>
  <c r="CR17" i="201"/>
  <c r="DQ17" i="201"/>
  <c r="EL76" i="201"/>
  <c r="ES17" i="201"/>
  <c r="EJ76" i="201"/>
  <c r="ET17" i="201"/>
  <c r="S28" i="201"/>
  <c r="R28" i="201"/>
  <c r="Q28" i="201"/>
  <c r="AQ45" i="197"/>
  <c r="AO45" i="197"/>
  <c r="AN45" i="197"/>
  <c r="AL45" i="197"/>
  <c r="AM45" i="197"/>
  <c r="AJ45" i="197"/>
  <c r="W44" i="206"/>
  <c r="V44" i="206"/>
  <c r="AT44" i="206" s="1"/>
  <c r="V26" i="205"/>
  <c r="AT26" i="205" s="1"/>
  <c r="W26" i="205"/>
  <c r="S34" i="200"/>
  <c r="R34" i="200"/>
  <c r="Q34" i="200"/>
  <c r="GK55" i="191"/>
  <c r="DR28" i="203"/>
  <c r="CS28" i="203"/>
  <c r="DQ28" i="203"/>
  <c r="CR28" i="203"/>
  <c r="EJ87" i="203"/>
  <c r="ET28" i="203"/>
  <c r="EU28" i="203"/>
  <c r="ES28" i="203"/>
  <c r="EL87" i="203"/>
  <c r="AQ37" i="208"/>
  <c r="AM37" i="208"/>
  <c r="AL37" i="208"/>
  <c r="AS37" i="208"/>
  <c r="AN37" i="208"/>
  <c r="AO37" i="208"/>
  <c r="AJ37" i="208"/>
  <c r="T23" i="207"/>
  <c r="AR23" i="207" s="1"/>
  <c r="U23" i="207"/>
  <c r="DR19" i="199"/>
  <c r="CS19" i="199"/>
  <c r="DQ19" i="199"/>
  <c r="CR19" i="199"/>
  <c r="EJ78" i="199"/>
  <c r="EL78" i="199" s="1"/>
  <c r="EU19" i="199"/>
  <c r="ET19" i="199"/>
  <c r="EI19" i="199"/>
  <c r="ES19" i="199"/>
  <c r="AO40" i="208"/>
  <c r="AN40" i="208"/>
  <c r="AM40" i="208"/>
  <c r="AQ40" i="208"/>
  <c r="AL40" i="208"/>
  <c r="AJ40" i="208"/>
  <c r="AQ44" i="204"/>
  <c r="AO44" i="204"/>
  <c r="AN44" i="204"/>
  <c r="AM44" i="204"/>
  <c r="AL44" i="204"/>
  <c r="AS44" i="204"/>
  <c r="AJ44" i="204"/>
  <c r="S35" i="199"/>
  <c r="R35" i="199"/>
  <c r="Q35" i="199"/>
  <c r="V41" i="208"/>
  <c r="W41" i="208"/>
  <c r="EJ77" i="208"/>
  <c r="EL77" i="208" s="1"/>
  <c r="DQ18" i="208"/>
  <c r="CR18" i="208"/>
  <c r="EU18" i="208"/>
  <c r="ES18" i="208"/>
  <c r="ET18" i="208"/>
  <c r="CS18" i="208"/>
  <c r="DR18" i="208"/>
  <c r="EH18" i="208"/>
  <c r="EI18" i="208"/>
  <c r="N21" i="203"/>
  <c r="O21" i="203"/>
  <c r="P21" i="203"/>
  <c r="AZ44" i="198"/>
  <c r="AU44" i="198"/>
  <c r="W39" i="199"/>
  <c r="V39" i="199"/>
  <c r="O19" i="202"/>
  <c r="N19" i="202"/>
  <c r="P19" i="202"/>
  <c r="AZ41" i="197"/>
  <c r="AU41" i="197"/>
  <c r="EO41" i="197" s="1"/>
  <c r="N38" i="200"/>
  <c r="O38" i="200"/>
  <c r="P38" i="200"/>
  <c r="AL45" i="208"/>
  <c r="AS45" i="208"/>
  <c r="AM45" i="208"/>
  <c r="AO45" i="208"/>
  <c r="AN45" i="208"/>
  <c r="AJ45" i="208"/>
  <c r="EJ99" i="207"/>
  <c r="EL99" i="207" s="1"/>
  <c r="DQ40" i="207"/>
  <c r="CR40" i="207"/>
  <c r="ES40" i="207"/>
  <c r="ET40" i="207"/>
  <c r="CS40" i="207"/>
  <c r="DR40" i="207"/>
  <c r="EU40" i="207"/>
  <c r="EI40" i="207"/>
  <c r="EH40" i="207"/>
  <c r="S42" i="206"/>
  <c r="R42" i="206"/>
  <c r="Q42" i="206"/>
  <c r="AU57" i="204"/>
  <c r="EJ85" i="203"/>
  <c r="DQ26" i="203"/>
  <c r="CR26" i="203"/>
  <c r="EU26" i="203"/>
  <c r="DR26" i="203"/>
  <c r="ET26" i="203"/>
  <c r="ES26" i="203"/>
  <c r="CS26" i="203"/>
  <c r="EL85" i="203"/>
  <c r="S18" i="200"/>
  <c r="R18" i="200"/>
  <c r="Q18" i="200"/>
  <c r="S37" i="201"/>
  <c r="R37" i="201"/>
  <c r="Q37" i="201"/>
  <c r="P22" i="199"/>
  <c r="O22" i="199"/>
  <c r="N22" i="199"/>
  <c r="EJ86" i="208"/>
  <c r="EL86" i="208"/>
  <c r="DR27" i="208"/>
  <c r="CS27" i="208"/>
  <c r="DQ27" i="208"/>
  <c r="CR27" i="208"/>
  <c r="EU27" i="208"/>
  <c r="ET27" i="208"/>
  <c r="ES27" i="208"/>
  <c r="EO27" i="208"/>
  <c r="EP27" i="208"/>
  <c r="O31" i="207"/>
  <c r="N31" i="207"/>
  <c r="P31" i="207"/>
  <c r="DR32" i="201"/>
  <c r="CS32" i="201"/>
  <c r="DQ32" i="201"/>
  <c r="CR32" i="201"/>
  <c r="EU32" i="201"/>
  <c r="ET32" i="201"/>
  <c r="EL91" i="201"/>
  <c r="EJ91" i="201"/>
  <c r="ES32" i="201"/>
  <c r="S40" i="201"/>
  <c r="R40" i="201"/>
  <c r="Q40" i="201"/>
  <c r="R24" i="200"/>
  <c r="Q24" i="200"/>
  <c r="S24" i="200"/>
  <c r="R39" i="203"/>
  <c r="Q39" i="203"/>
  <c r="S39" i="203"/>
  <c r="S25" i="200"/>
  <c r="R25" i="200"/>
  <c r="Q25" i="200"/>
  <c r="D44" i="208"/>
  <c r="GK44" i="208" s="1"/>
  <c r="GM44" i="208" s="1"/>
  <c r="E44" i="208"/>
  <c r="AU38" i="208"/>
  <c r="AZ38" i="208"/>
  <c r="EJ94" i="208"/>
  <c r="EL94" i="208"/>
  <c r="DQ35" i="208"/>
  <c r="CR35" i="208"/>
  <c r="EH35" i="208"/>
  <c r="CS35" i="208"/>
  <c r="DR35" i="208"/>
  <c r="EU35" i="208"/>
  <c r="ET35" i="208"/>
  <c r="EK20" i="208"/>
  <c r="EV20" i="208" s="1"/>
  <c r="H32" i="207"/>
  <c r="AQ32" i="207" s="1"/>
  <c r="G32" i="207"/>
  <c r="F32" i="207"/>
  <c r="AZ28" i="208"/>
  <c r="AP28" i="208"/>
  <c r="AU28" i="208"/>
  <c r="G43" i="207"/>
  <c r="H43" i="207"/>
  <c r="F43" i="207"/>
  <c r="H36" i="207"/>
  <c r="AQ36" i="207" s="1"/>
  <c r="AR36" i="207" s="1"/>
  <c r="F36" i="207"/>
  <c r="G36" i="207"/>
  <c r="ER19" i="207"/>
  <c r="EJ37" i="206"/>
  <c r="CH37" i="206" s="1"/>
  <c r="EH37" i="206"/>
  <c r="ER45" i="207"/>
  <c r="EV45" i="207" s="1"/>
  <c r="EJ41" i="205"/>
  <c r="CH41" i="205" s="1"/>
  <c r="EQ22" i="204"/>
  <c r="CI22" i="204" s="1"/>
  <c r="EG21" i="205"/>
  <c r="EF21" i="205"/>
  <c r="EJ26" i="207"/>
  <c r="EI33" i="204"/>
  <c r="EK33" i="204"/>
  <c r="EK27" i="204"/>
  <c r="EI27" i="204"/>
  <c r="EJ90" i="204"/>
  <c r="DR31" i="204"/>
  <c r="CS31" i="204"/>
  <c r="DQ31" i="204"/>
  <c r="CR31" i="204"/>
  <c r="ET31" i="204"/>
  <c r="EU31" i="204"/>
  <c r="AU57" i="202"/>
  <c r="AP57" i="202"/>
  <c r="AZ57" i="202" s="1"/>
  <c r="T44" i="206"/>
  <c r="AR44" i="206" s="1"/>
  <c r="U44" i="206"/>
  <c r="EH23" i="204"/>
  <c r="EJ23" i="204"/>
  <c r="EP38" i="204"/>
  <c r="ER38" i="204"/>
  <c r="P38" i="205"/>
  <c r="O38" i="205"/>
  <c r="N38" i="205"/>
  <c r="AZ41" i="203"/>
  <c r="AU41" i="203"/>
  <c r="EG22" i="203"/>
  <c r="EF22" i="203"/>
  <c r="EO37" i="202"/>
  <c r="EQ37" i="202"/>
  <c r="EH38" i="203"/>
  <c r="EJ38" i="203"/>
  <c r="EK30" i="204"/>
  <c r="EV30" i="204" s="1"/>
  <c r="EK34" i="203"/>
  <c r="EV34" i="203" s="1"/>
  <c r="EQ34" i="201"/>
  <c r="CI34" i="201" s="1"/>
  <c r="EQ41" i="200"/>
  <c r="CI41" i="200" s="1"/>
  <c r="EG28" i="200"/>
  <c r="EF28" i="200"/>
  <c r="EP44" i="205"/>
  <c r="ER44" i="205"/>
  <c r="W19" i="205"/>
  <c r="V19" i="205"/>
  <c r="AM33" i="200"/>
  <c r="AL33" i="200"/>
  <c r="AS33" i="200"/>
  <c r="AT33" i="200" s="1"/>
  <c r="AJ33" i="200"/>
  <c r="AO33" i="200"/>
  <c r="AN33" i="200"/>
  <c r="AQ33" i="200"/>
  <c r="AR33" i="200" s="1"/>
  <c r="EQ43" i="199"/>
  <c r="W35" i="204"/>
  <c r="V35" i="204"/>
  <c r="E42" i="201"/>
  <c r="D42" i="201"/>
  <c r="GK42" i="201" s="1"/>
  <c r="EG16" i="201"/>
  <c r="EF16" i="201"/>
  <c r="EO23" i="203"/>
  <c r="EQ23" i="203"/>
  <c r="CI23" i="203" s="1"/>
  <c r="EJ17" i="202"/>
  <c r="EQ20" i="202"/>
  <c r="EO20" i="202"/>
  <c r="ER21" i="199"/>
  <c r="CI21" i="199" s="1"/>
  <c r="EP21" i="199"/>
  <c r="EK44" i="202"/>
  <c r="EV44" i="202" s="1"/>
  <c r="EJ16" i="199"/>
  <c r="ER20" i="198"/>
  <c r="CH33" i="197"/>
  <c r="AU22" i="204"/>
  <c r="EO22" i="204" s="1"/>
  <c r="AP22" i="204"/>
  <c r="AZ22" i="204"/>
  <c r="EK45" i="202"/>
  <c r="EV45" i="202" s="1"/>
  <c r="ER19" i="202"/>
  <c r="EV19" i="202" s="1"/>
  <c r="EP19" i="202"/>
  <c r="EP16" i="200"/>
  <c r="ER16" i="200"/>
  <c r="EV16" i="200" s="1"/>
  <c r="AM25" i="197"/>
  <c r="AL25" i="197"/>
  <c r="AS25" i="197"/>
  <c r="AO25" i="197"/>
  <c r="AN25" i="197"/>
  <c r="AJ25" i="197"/>
  <c r="EJ40" i="196"/>
  <c r="CH40" i="196" s="1"/>
  <c r="AU23" i="196"/>
  <c r="EP23" i="196" s="1"/>
  <c r="AP23" i="196"/>
  <c r="AZ23" i="196"/>
  <c r="W37" i="196"/>
  <c r="V37" i="196"/>
  <c r="AT37" i="196" s="1"/>
  <c r="EK27" i="201"/>
  <c r="EV27" i="201" s="1"/>
  <c r="W42" i="197"/>
  <c r="V42" i="197"/>
  <c r="AT42" i="197" s="1"/>
  <c r="W40" i="196"/>
  <c r="V40" i="196"/>
  <c r="W20" i="201"/>
  <c r="V20" i="201"/>
  <c r="AT20" i="201" s="1"/>
  <c r="ER36" i="199"/>
  <c r="EP36" i="199"/>
  <c r="EK16" i="205"/>
  <c r="EV16" i="205" s="1"/>
  <c r="CJ16" i="205" s="1"/>
  <c r="EK29" i="198"/>
  <c r="EV29" i="198" s="1"/>
  <c r="EJ24" i="198"/>
  <c r="EJ24" i="197"/>
  <c r="CH24" i="197" s="1"/>
  <c r="EH24" i="197"/>
  <c r="K24" i="196"/>
  <c r="AS24" i="196" s="1"/>
  <c r="J24" i="196"/>
  <c r="I24" i="196"/>
  <c r="AS38" i="199"/>
  <c r="EI24" i="199"/>
  <c r="EK24" i="199"/>
  <c r="AZ30" i="196"/>
  <c r="AP30" i="196"/>
  <c r="AU30" i="196"/>
  <c r="AU20" i="200"/>
  <c r="AP20" i="200"/>
  <c r="AZ20" i="200"/>
  <c r="DN80" i="193"/>
  <c r="DM80" i="193"/>
  <c r="EZ58" i="193"/>
  <c r="FA58" i="193"/>
  <c r="EY58" i="193" s="1"/>
  <c r="EP24" i="200"/>
  <c r="ER24" i="200"/>
  <c r="EJ19" i="198"/>
  <c r="EH19" i="198"/>
  <c r="DW64" i="193"/>
  <c r="DY64" i="193"/>
  <c r="DK79" i="192"/>
  <c r="E39" i="192"/>
  <c r="D39" i="192"/>
  <c r="GK39" i="192" s="1"/>
  <c r="GM39" i="192" s="1"/>
  <c r="DQ54" i="192"/>
  <c r="DO54" i="192"/>
  <c r="D45" i="191"/>
  <c r="GK45" i="191" s="1"/>
  <c r="GM45" i="191" s="1"/>
  <c r="DK85" i="191"/>
  <c r="E45" i="191"/>
  <c r="DR68" i="192"/>
  <c r="DP68" i="192"/>
  <c r="BW14" i="192"/>
  <c r="BX14" i="192" s="1"/>
  <c r="DY57" i="192"/>
  <c r="EC57" i="192" s="1"/>
  <c r="EN17" i="192" s="1"/>
  <c r="DW57" i="192"/>
  <c r="EO26" i="196"/>
  <c r="DN82" i="192"/>
  <c r="DM82" i="192"/>
  <c r="DY81" i="192"/>
  <c r="DW81" i="192"/>
  <c r="AQ44" i="208"/>
  <c r="AN44" i="208"/>
  <c r="AM44" i="208"/>
  <c r="AO44" i="208"/>
  <c r="AL44" i="208"/>
  <c r="GE41" i="208"/>
  <c r="GA41" i="208"/>
  <c r="GD41" i="208"/>
  <c r="GC41" i="208"/>
  <c r="GB41" i="208"/>
  <c r="AZ42" i="208"/>
  <c r="AU42" i="208"/>
  <c r="W37" i="208"/>
  <c r="V37" i="208"/>
  <c r="AT37" i="208" s="1"/>
  <c r="EQ34" i="208"/>
  <c r="CI34" i="208" s="1"/>
  <c r="GC37" i="208"/>
  <c r="GB37" i="208"/>
  <c r="GE37" i="208"/>
  <c r="GA37" i="208"/>
  <c r="GD37" i="208"/>
  <c r="EO19" i="208"/>
  <c r="EQ19" i="208"/>
  <c r="CI19" i="208" s="1"/>
  <c r="EN23" i="208"/>
  <c r="EM23" i="208"/>
  <c r="E45" i="207"/>
  <c r="D45" i="207"/>
  <c r="GK45" i="207" s="1"/>
  <c r="EK16" i="208"/>
  <c r="EV16" i="208" s="1"/>
  <c r="CJ16" i="208" s="1"/>
  <c r="EJ42" i="207"/>
  <c r="CH42" i="207" s="1"/>
  <c r="X28" i="208"/>
  <c r="CJ28" i="208"/>
  <c r="AP18" i="208"/>
  <c r="G22" i="208"/>
  <c r="F22" i="208"/>
  <c r="H22" i="208"/>
  <c r="AQ22" i="208" s="1"/>
  <c r="AU25" i="207"/>
  <c r="AZ25" i="207"/>
  <c r="AP25" i="207"/>
  <c r="EO37" i="206"/>
  <c r="EQ37" i="206"/>
  <c r="CI37" i="206" s="1"/>
  <c r="AZ44" i="206"/>
  <c r="AU44" i="206"/>
  <c r="EI37" i="206"/>
  <c r="EK37" i="206"/>
  <c r="EV37" i="206" s="1"/>
  <c r="CJ37" i="206" s="1"/>
  <c r="AO41" i="205"/>
  <c r="AN41" i="205"/>
  <c r="AQ41" i="205"/>
  <c r="AL41" i="205"/>
  <c r="AJ41" i="205"/>
  <c r="AM41" i="205"/>
  <c r="EJ31" i="206"/>
  <c r="EH31" i="206"/>
  <c r="EH16" i="206"/>
  <c r="EJ16" i="206"/>
  <c r="CH16" i="206" s="1"/>
  <c r="EQ30" i="205"/>
  <c r="CI30" i="205" s="1"/>
  <c r="EQ22" i="205"/>
  <c r="EK22" i="204"/>
  <c r="EV22" i="204" s="1"/>
  <c r="EF32" i="204"/>
  <c r="EG32" i="204"/>
  <c r="EK43" i="203"/>
  <c r="EI43" i="203"/>
  <c r="EQ41" i="206"/>
  <c r="EO41" i="206"/>
  <c r="EJ76" i="205"/>
  <c r="EL76" i="205" s="1"/>
  <c r="DR17" i="205"/>
  <c r="CS17" i="205"/>
  <c r="DQ17" i="205"/>
  <c r="CR17" i="205"/>
  <c r="ET17" i="205"/>
  <c r="EU17" i="205"/>
  <c r="EJ26" i="203"/>
  <c r="CH26" i="203" s="1"/>
  <c r="EH26" i="203"/>
  <c r="E45" i="202"/>
  <c r="D45" i="202"/>
  <c r="GK45" i="202" s="1"/>
  <c r="AP18" i="205"/>
  <c r="AU18" i="205"/>
  <c r="EL90" i="204"/>
  <c r="EF39" i="203"/>
  <c r="EG39" i="203"/>
  <c r="EH23" i="203"/>
  <c r="EJ23" i="203"/>
  <c r="H42" i="203"/>
  <c r="AQ42" i="203" s="1"/>
  <c r="G42" i="203"/>
  <c r="F42" i="203"/>
  <c r="ER25" i="203"/>
  <c r="CI25" i="203" s="1"/>
  <c r="EQ41" i="202"/>
  <c r="EK39" i="204"/>
  <c r="EV39" i="204" s="1"/>
  <c r="EI39" i="204"/>
  <c r="ER17" i="204"/>
  <c r="EK38" i="203"/>
  <c r="EI38" i="203"/>
  <c r="O37" i="201"/>
  <c r="N37" i="201"/>
  <c r="P37" i="201"/>
  <c r="AP19" i="204"/>
  <c r="AU19" i="204"/>
  <c r="AZ19" i="204"/>
  <c r="AZ42" i="199"/>
  <c r="AU42" i="199"/>
  <c r="AP42" i="199"/>
  <c r="EF28" i="201"/>
  <c r="EG28" i="201"/>
  <c r="AS36" i="200"/>
  <c r="AJ36" i="200"/>
  <c r="AQ36" i="200"/>
  <c r="AM36" i="200"/>
  <c r="AL36" i="200"/>
  <c r="AO36" i="200"/>
  <c r="AN36" i="200"/>
  <c r="ER18" i="200"/>
  <c r="EP18" i="200"/>
  <c r="AP17" i="203"/>
  <c r="AZ17" i="203"/>
  <c r="AU17" i="203"/>
  <c r="P45" i="200"/>
  <c r="O45" i="200"/>
  <c r="N45" i="200"/>
  <c r="EP19" i="199"/>
  <c r="ER19" i="199"/>
  <c r="EV19" i="199" s="1"/>
  <c r="EP23" i="203"/>
  <c r="ER23" i="203"/>
  <c r="EJ44" i="201"/>
  <c r="AS16" i="200"/>
  <c r="ER45" i="198"/>
  <c r="EP45" i="198"/>
  <c r="J41" i="202"/>
  <c r="I41" i="202"/>
  <c r="K41" i="202"/>
  <c r="AU41" i="200"/>
  <c r="EP41" i="200" s="1"/>
  <c r="AP41" i="200"/>
  <c r="AS22" i="200"/>
  <c r="DT78" i="193"/>
  <c r="DU78" i="193"/>
  <c r="ER21" i="202"/>
  <c r="EP21" i="202"/>
  <c r="EK42" i="200"/>
  <c r="EV42" i="200" s="1"/>
  <c r="EQ32" i="204"/>
  <c r="P45" i="198"/>
  <c r="O45" i="198"/>
  <c r="N45" i="198"/>
  <c r="EU26" i="197"/>
  <c r="ES26" i="197"/>
  <c r="DR26" i="197"/>
  <c r="CS26" i="197"/>
  <c r="DQ26" i="197"/>
  <c r="CR26" i="197"/>
  <c r="EJ85" i="197"/>
  <c r="EL85" i="197" s="1"/>
  <c r="P16" i="202"/>
  <c r="O16" i="202"/>
  <c r="N16" i="202"/>
  <c r="GL42" i="200"/>
  <c r="DR30" i="199"/>
  <c r="CS30" i="199"/>
  <c r="DQ30" i="199"/>
  <c r="CR30" i="199"/>
  <c r="EU30" i="199"/>
  <c r="ET30" i="199"/>
  <c r="ES30" i="199"/>
  <c r="EJ89" i="199"/>
  <c r="EK33" i="197"/>
  <c r="W20" i="199"/>
  <c r="V20" i="199"/>
  <c r="AT20" i="199" s="1"/>
  <c r="EO21" i="197"/>
  <c r="EQ21" i="197"/>
  <c r="T18" i="203"/>
  <c r="AR18" i="203" s="1"/>
  <c r="U18" i="203"/>
  <c r="W44" i="201"/>
  <c r="V44" i="201"/>
  <c r="AT44" i="201" s="1"/>
  <c r="EV35" i="202"/>
  <c r="CJ35" i="202" s="1"/>
  <c r="AU21" i="197"/>
  <c r="AP28" i="207"/>
  <c r="AU28" i="207"/>
  <c r="AZ28" i="207"/>
  <c r="EJ25" i="202"/>
  <c r="AP57" i="197"/>
  <c r="AZ57" i="197" s="1"/>
  <c r="AU57" i="197"/>
  <c r="ER33" i="201"/>
  <c r="EV33" i="201" s="1"/>
  <c r="EP33" i="201"/>
  <c r="EJ34" i="199"/>
  <c r="EH34" i="199"/>
  <c r="EQ33" i="202"/>
  <c r="ER16" i="197"/>
  <c r="BU29" i="192"/>
  <c r="BV29" i="192" s="1"/>
  <c r="EK24" i="197"/>
  <c r="EV24" i="197" s="1"/>
  <c r="L40" i="193"/>
  <c r="BU40" i="193" s="1"/>
  <c r="K40" i="193"/>
  <c r="J40" i="193"/>
  <c r="CH37" i="198"/>
  <c r="EO24" i="200"/>
  <c r="EQ24" i="200"/>
  <c r="CI24" i="200" s="1"/>
  <c r="H39" i="192"/>
  <c r="I39" i="192"/>
  <c r="BS39" i="192" s="1"/>
  <c r="G39" i="192"/>
  <c r="DM76" i="191"/>
  <c r="DN76" i="191"/>
  <c r="AZ23" i="201"/>
  <c r="AP23" i="201"/>
  <c r="AU23" i="201"/>
  <c r="FZ55" i="193"/>
  <c r="GB55" i="193"/>
  <c r="BR39" i="193"/>
  <c r="T32" i="199"/>
  <c r="U32" i="199"/>
  <c r="DO58" i="192"/>
  <c r="DQ58" i="192"/>
  <c r="V35" i="193"/>
  <c r="U35" i="193"/>
  <c r="BV35" i="193" s="1"/>
  <c r="DW76" i="193"/>
  <c r="DY76" i="193"/>
  <c r="DX81" i="191"/>
  <c r="DV81" i="191"/>
  <c r="DX82" i="191"/>
  <c r="DV82" i="191"/>
  <c r="DX78" i="191"/>
  <c r="DV78" i="191"/>
  <c r="DX69" i="191"/>
  <c r="DV69" i="191"/>
  <c r="EJ43" i="208"/>
  <c r="CH43" i="208" s="1"/>
  <c r="AN36" i="208"/>
  <c r="AO36" i="208"/>
  <c r="AM36" i="208"/>
  <c r="AL36" i="208"/>
  <c r="AJ36" i="208"/>
  <c r="AS36" i="208"/>
  <c r="GL40" i="208"/>
  <c r="AP23" i="208"/>
  <c r="AU17" i="208"/>
  <c r="AP17" i="208"/>
  <c r="AZ17" i="208"/>
  <c r="F45" i="207"/>
  <c r="H45" i="207"/>
  <c r="AQ45" i="207" s="1"/>
  <c r="G45" i="207"/>
  <c r="EK42" i="207"/>
  <c r="EQ29" i="208"/>
  <c r="EH24" i="208"/>
  <c r="EJ24" i="208"/>
  <c r="CH24" i="208" s="1"/>
  <c r="EK35" i="207"/>
  <c r="EV35" i="207" s="1"/>
  <c r="H43" i="206"/>
  <c r="AQ43" i="206" s="1"/>
  <c r="G43" i="206"/>
  <c r="F43" i="206"/>
  <c r="EQ37" i="207"/>
  <c r="EO37" i="207"/>
  <c r="EQ17" i="207"/>
  <c r="CI17" i="207" s="1"/>
  <c r="EO17" i="207"/>
  <c r="AK45" i="206"/>
  <c r="EK45" i="206"/>
  <c r="ER37" i="206"/>
  <c r="EP37" i="206"/>
  <c r="AL44" i="206"/>
  <c r="AP44" i="206" s="1"/>
  <c r="AQ44" i="206"/>
  <c r="AS44" i="206"/>
  <c r="AN44" i="206"/>
  <c r="AM44" i="206"/>
  <c r="AO44" i="206"/>
  <c r="EQ42" i="206"/>
  <c r="EO42" i="206"/>
  <c r="AU35" i="206"/>
  <c r="AZ35" i="206"/>
  <c r="AP35" i="206"/>
  <c r="EH28" i="206"/>
  <c r="EJ28" i="206"/>
  <c r="CH28" i="206" s="1"/>
  <c r="GE44" i="206"/>
  <c r="GB44" i="206"/>
  <c r="GA44" i="206"/>
  <c r="GC44" i="206"/>
  <c r="GD44" i="206"/>
  <c r="EF39" i="206"/>
  <c r="EG39" i="206"/>
  <c r="ER36" i="206"/>
  <c r="EV36" i="206" s="1"/>
  <c r="DR30" i="206"/>
  <c r="CS30" i="206"/>
  <c r="DQ30" i="206"/>
  <c r="CR30" i="206"/>
  <c r="EU30" i="206"/>
  <c r="ET30" i="206"/>
  <c r="ES30" i="206"/>
  <c r="EL89" i="206"/>
  <c r="EJ89" i="206"/>
  <c r="ER29" i="207"/>
  <c r="EP29" i="207"/>
  <c r="W34" i="206"/>
  <c r="V34" i="206"/>
  <c r="AT34" i="206" s="1"/>
  <c r="EK39" i="207"/>
  <c r="W35" i="206"/>
  <c r="V35" i="206"/>
  <c r="EH44" i="205"/>
  <c r="EJ44" i="205"/>
  <c r="W31" i="206"/>
  <c r="V31" i="206"/>
  <c r="AT31" i="206" s="1"/>
  <c r="EJ43" i="205"/>
  <c r="CH43" i="205" s="1"/>
  <c r="EF31" i="205"/>
  <c r="EG31" i="205"/>
  <c r="DR28" i="205"/>
  <c r="CS28" i="205"/>
  <c r="CR28" i="205"/>
  <c r="DQ28" i="205"/>
  <c r="EJ87" i="205"/>
  <c r="EL87" i="205" s="1"/>
  <c r="EU28" i="205"/>
  <c r="ET28" i="205"/>
  <c r="EJ79" i="206"/>
  <c r="DQ20" i="206"/>
  <c r="CR20" i="206"/>
  <c r="EU20" i="206"/>
  <c r="ET20" i="206"/>
  <c r="CS20" i="206"/>
  <c r="ES20" i="206"/>
  <c r="DR20" i="206"/>
  <c r="AZ37" i="205"/>
  <c r="AP37" i="205"/>
  <c r="AU37" i="205"/>
  <c r="EK31" i="206"/>
  <c r="EV31" i="206" s="1"/>
  <c r="EK29" i="206"/>
  <c r="EV29" i="206" s="1"/>
  <c r="EK16" i="206"/>
  <c r="EI16" i="206"/>
  <c r="AZ32" i="205"/>
  <c r="AU32" i="205"/>
  <c r="EO32" i="205" s="1"/>
  <c r="AP32" i="205"/>
  <c r="AO43" i="204"/>
  <c r="AN43" i="204"/>
  <c r="AM43" i="204"/>
  <c r="AL43" i="204"/>
  <c r="AS43" i="204"/>
  <c r="AJ43" i="204"/>
  <c r="W23" i="206"/>
  <c r="V23" i="206"/>
  <c r="EH18" i="204"/>
  <c r="EJ18" i="204"/>
  <c r="ER22" i="205"/>
  <c r="EH38" i="204"/>
  <c r="EJ38" i="204"/>
  <c r="CH38" i="204" s="1"/>
  <c r="ER34" i="204"/>
  <c r="EO23" i="204"/>
  <c r="EQ23" i="204"/>
  <c r="EP38" i="206"/>
  <c r="ER38" i="206"/>
  <c r="CR19" i="206"/>
  <c r="E44" i="205"/>
  <c r="D44" i="205"/>
  <c r="GK44" i="205" s="1"/>
  <c r="GM44" i="205" s="1"/>
  <c r="AU32" i="204"/>
  <c r="EO32" i="204" s="1"/>
  <c r="AZ32" i="204"/>
  <c r="AP32" i="204"/>
  <c r="EV28" i="204"/>
  <c r="EQ18" i="204"/>
  <c r="CI18" i="204" s="1"/>
  <c r="ER41" i="206"/>
  <c r="EJ34" i="205"/>
  <c r="X41" i="204"/>
  <c r="CJ41" i="204"/>
  <c r="H38" i="203"/>
  <c r="AQ38" i="203" s="1"/>
  <c r="AR38" i="203" s="1"/>
  <c r="G38" i="203"/>
  <c r="F38" i="203"/>
  <c r="AZ38" i="203" s="1"/>
  <c r="AS30" i="203"/>
  <c r="AJ30" i="203"/>
  <c r="AQ30" i="203"/>
  <c r="AL30" i="203"/>
  <c r="AM30" i="203"/>
  <c r="AO30" i="203"/>
  <c r="AN30" i="203"/>
  <c r="EH28" i="205"/>
  <c r="EG35" i="204"/>
  <c r="EF35" i="204"/>
  <c r="GL43" i="203"/>
  <c r="EK26" i="203"/>
  <c r="EI26" i="203"/>
  <c r="G45" i="202"/>
  <c r="F45" i="202"/>
  <c r="H45" i="202"/>
  <c r="AQ45" i="202" s="1"/>
  <c r="CJ24" i="205"/>
  <c r="X24" i="205"/>
  <c r="EH24" i="204"/>
  <c r="EJ24" i="204"/>
  <c r="E44" i="202"/>
  <c r="D44" i="202"/>
  <c r="GK44" i="202" s="1"/>
  <c r="AZ31" i="202"/>
  <c r="AP31" i="202"/>
  <c r="AU31" i="202"/>
  <c r="GL45" i="205"/>
  <c r="AU21" i="206"/>
  <c r="AZ21" i="206"/>
  <c r="AP21" i="206"/>
  <c r="EI28" i="205"/>
  <c r="AL45" i="204"/>
  <c r="AP45" i="204" s="1"/>
  <c r="AS45" i="204"/>
  <c r="AQ45" i="204"/>
  <c r="AN45" i="204"/>
  <c r="AM45" i="204"/>
  <c r="AO45" i="204"/>
  <c r="DR24" i="204"/>
  <c r="CS24" i="204"/>
  <c r="DQ24" i="204"/>
  <c r="CR24" i="204"/>
  <c r="EJ83" i="204"/>
  <c r="EL83" i="204" s="1"/>
  <c r="ET24" i="204"/>
  <c r="EU24" i="204"/>
  <c r="EK23" i="203"/>
  <c r="EV23" i="203" s="1"/>
  <c r="EI23" i="203"/>
  <c r="EQ40" i="205"/>
  <c r="CI40" i="205" s="1"/>
  <c r="EO40" i="205"/>
  <c r="AZ39" i="205"/>
  <c r="AU39" i="205"/>
  <c r="AP39" i="205"/>
  <c r="EQ26" i="204"/>
  <c r="CI22" i="203"/>
  <c r="ER41" i="202"/>
  <c r="EG22" i="202"/>
  <c r="EF22" i="202"/>
  <c r="EK37" i="205"/>
  <c r="EV37" i="205" s="1"/>
  <c r="CJ37" i="205" s="1"/>
  <c r="EQ37" i="204"/>
  <c r="EJ16" i="204"/>
  <c r="CH16" i="204" s="1"/>
  <c r="V38" i="202"/>
  <c r="AT38" i="202" s="1"/>
  <c r="W38" i="202"/>
  <c r="EQ31" i="205"/>
  <c r="CI31" i="205" s="1"/>
  <c r="G44" i="203"/>
  <c r="F44" i="203"/>
  <c r="H44" i="203"/>
  <c r="EP27" i="204"/>
  <c r="ER27" i="204"/>
  <c r="EG43" i="202"/>
  <c r="EF43" i="202"/>
  <c r="EJ36" i="201"/>
  <c r="CH36" i="201" s="1"/>
  <c r="AM27" i="201"/>
  <c r="AL27" i="201"/>
  <c r="AS27" i="201"/>
  <c r="AQ27" i="201"/>
  <c r="AN27" i="201"/>
  <c r="AJ27" i="201"/>
  <c r="AO27" i="201"/>
  <c r="EF45" i="200"/>
  <c r="EG45" i="200"/>
  <c r="AP21" i="200"/>
  <c r="EJ43" i="204"/>
  <c r="CH43" i="204" s="1"/>
  <c r="EK37" i="204"/>
  <c r="AP45" i="200"/>
  <c r="EJ40" i="200"/>
  <c r="EH40" i="200"/>
  <c r="F43" i="205"/>
  <c r="G43" i="205"/>
  <c r="H43" i="205"/>
  <c r="AQ43" i="205" s="1"/>
  <c r="GC44" i="204"/>
  <c r="GB44" i="204"/>
  <c r="GA44" i="204"/>
  <c r="GE44" i="204"/>
  <c r="GD44" i="204"/>
  <c r="ER42" i="204"/>
  <c r="EP42" i="204"/>
  <c r="EQ27" i="202"/>
  <c r="CI27" i="202" s="1"/>
  <c r="EO27" i="202"/>
  <c r="EO25" i="200"/>
  <c r="EQ25" i="200"/>
  <c r="AL26" i="201"/>
  <c r="AS26" i="201"/>
  <c r="AJ26" i="201"/>
  <c r="AO26" i="201"/>
  <c r="AN26" i="201"/>
  <c r="AM26" i="201"/>
  <c r="AQ26" i="201"/>
  <c r="EH26" i="200"/>
  <c r="EJ26" i="200"/>
  <c r="EJ36" i="199"/>
  <c r="CH36" i="199" s="1"/>
  <c r="ES28" i="199"/>
  <c r="AM16" i="199"/>
  <c r="AL16" i="199"/>
  <c r="AS16" i="199"/>
  <c r="AQ16" i="199"/>
  <c r="AN16" i="199"/>
  <c r="AJ16" i="199"/>
  <c r="AO16" i="199"/>
  <c r="AP39" i="198"/>
  <c r="ER33" i="198"/>
  <c r="EP33" i="198"/>
  <c r="AP23" i="198"/>
  <c r="AU43" i="197"/>
  <c r="AP43" i="197"/>
  <c r="AZ43" i="197"/>
  <c r="AQ42" i="205"/>
  <c r="AL42" i="205"/>
  <c r="AP42" i="205" s="1"/>
  <c r="AS42" i="205"/>
  <c r="AO42" i="205"/>
  <c r="AN42" i="205"/>
  <c r="AM42" i="205"/>
  <c r="EK44" i="201"/>
  <c r="EV44" i="201" s="1"/>
  <c r="AZ22" i="201"/>
  <c r="AU22" i="201"/>
  <c r="AP22" i="201"/>
  <c r="H38" i="200"/>
  <c r="AQ38" i="200" s="1"/>
  <c r="G38" i="200"/>
  <c r="F38" i="200"/>
  <c r="H23" i="199"/>
  <c r="AQ23" i="199" s="1"/>
  <c r="G23" i="199"/>
  <c r="F23" i="199"/>
  <c r="AZ23" i="199" s="1"/>
  <c r="G39" i="198"/>
  <c r="F39" i="198"/>
  <c r="AZ39" i="198" s="1"/>
  <c r="H39" i="198"/>
  <c r="AQ39" i="198" s="1"/>
  <c r="AR39" i="198" s="1"/>
  <c r="AZ34" i="198"/>
  <c r="AU34" i="198"/>
  <c r="AP34" i="198"/>
  <c r="EQ24" i="204"/>
  <c r="EO24" i="204"/>
  <c r="S23" i="198"/>
  <c r="R23" i="198"/>
  <c r="Q23" i="198"/>
  <c r="DT66" i="193"/>
  <c r="DU66" i="193"/>
  <c r="DQ43" i="203"/>
  <c r="L43" i="203" s="1"/>
  <c r="CR43" i="203"/>
  <c r="EU43" i="203"/>
  <c r="EJ102" i="203"/>
  <c r="ET43" i="203"/>
  <c r="CS43" i="203"/>
  <c r="EL102" i="203"/>
  <c r="ES43" i="203"/>
  <c r="DR43" i="203"/>
  <c r="M43" i="203" s="1"/>
  <c r="EG16" i="197"/>
  <c r="EF16" i="197"/>
  <c r="EK35" i="196"/>
  <c r="EI35" i="196"/>
  <c r="ER18" i="205"/>
  <c r="EP18" i="205"/>
  <c r="EO42" i="201"/>
  <c r="EQ42" i="201"/>
  <c r="EH32" i="201"/>
  <c r="EJ32" i="201"/>
  <c r="CH32" i="201" s="1"/>
  <c r="EQ31" i="200"/>
  <c r="CI31" i="200" s="1"/>
  <c r="DQ40" i="198"/>
  <c r="CR40" i="198"/>
  <c r="EU40" i="198"/>
  <c r="DR40" i="198"/>
  <c r="CS40" i="198"/>
  <c r="EJ99" i="198"/>
  <c r="EL99" i="198" s="1"/>
  <c r="ET40" i="198"/>
  <c r="ES40" i="198"/>
  <c r="G36" i="198"/>
  <c r="F36" i="198"/>
  <c r="H36" i="198"/>
  <c r="AQ36" i="198" s="1"/>
  <c r="AR36" i="198" s="1"/>
  <c r="AZ29" i="198"/>
  <c r="AP29" i="198"/>
  <c r="AU29" i="198"/>
  <c r="EI29" i="198" s="1"/>
  <c r="EM32" i="197"/>
  <c r="EN32" i="197"/>
  <c r="K30" i="196"/>
  <c r="AS30" i="196" s="1"/>
  <c r="J30" i="196"/>
  <c r="I30" i="196"/>
  <c r="AP16" i="204"/>
  <c r="AZ16" i="204"/>
  <c r="AU16" i="204"/>
  <c r="EJ40" i="202"/>
  <c r="CH40" i="202" s="1"/>
  <c r="EJ26" i="201"/>
  <c r="ER20" i="200"/>
  <c r="EP20" i="200"/>
  <c r="EV40" i="199"/>
  <c r="EK40" i="198"/>
  <c r="EI40" i="198"/>
  <c r="EH26" i="198"/>
  <c r="EJ26" i="198"/>
  <c r="GL41" i="197"/>
  <c r="O28" i="197"/>
  <c r="N28" i="197"/>
  <c r="P28" i="197"/>
  <c r="EK26" i="208"/>
  <c r="EV26" i="208" s="1"/>
  <c r="EI26" i="208"/>
  <c r="DR38" i="204"/>
  <c r="CS38" i="204"/>
  <c r="DQ38" i="204"/>
  <c r="CR38" i="204"/>
  <c r="EU38" i="204"/>
  <c r="ET38" i="204"/>
  <c r="EJ97" i="204"/>
  <c r="EL97" i="204" s="1"/>
  <c r="ES38" i="204"/>
  <c r="V35" i="203"/>
  <c r="AT35" i="203" s="1"/>
  <c r="W35" i="203"/>
  <c r="H30" i="199"/>
  <c r="AQ30" i="199" s="1"/>
  <c r="AR30" i="199" s="1"/>
  <c r="G30" i="199"/>
  <c r="F30" i="199"/>
  <c r="AZ30" i="199" s="1"/>
  <c r="AU32" i="198"/>
  <c r="AZ32" i="198"/>
  <c r="AP32" i="198"/>
  <c r="AZ30" i="198"/>
  <c r="AP30" i="198"/>
  <c r="AU30" i="198"/>
  <c r="U41" i="199"/>
  <c r="T41" i="199"/>
  <c r="AR41" i="199" s="1"/>
  <c r="ER31" i="199"/>
  <c r="EV31" i="199" s="1"/>
  <c r="AU35" i="198"/>
  <c r="EO35" i="198" s="1"/>
  <c r="AP35" i="198"/>
  <c r="EK30" i="197"/>
  <c r="EV30" i="197" s="1"/>
  <c r="ER21" i="197"/>
  <c r="EP21" i="197"/>
  <c r="DN66" i="193"/>
  <c r="DM66" i="193"/>
  <c r="EO19" i="201"/>
  <c r="EQ19" i="201"/>
  <c r="CI19" i="201" s="1"/>
  <c r="EJ39" i="199"/>
  <c r="AZ27" i="199"/>
  <c r="AP27" i="199"/>
  <c r="AU27" i="199"/>
  <c r="DU84" i="193"/>
  <c r="DT84" i="193"/>
  <c r="EK39" i="200"/>
  <c r="EI39" i="200"/>
  <c r="AS40" i="196"/>
  <c r="AQ40" i="196"/>
  <c r="AO40" i="196"/>
  <c r="AN40" i="196"/>
  <c r="AL40" i="196"/>
  <c r="AM40" i="196"/>
  <c r="CI30" i="196"/>
  <c r="EJ24" i="196"/>
  <c r="EH24" i="196"/>
  <c r="DT80" i="192"/>
  <c r="DU80" i="192"/>
  <c r="GE42" i="201"/>
  <c r="GD42" i="201"/>
  <c r="GC42" i="201"/>
  <c r="GB42" i="201"/>
  <c r="GA42" i="201"/>
  <c r="EH23" i="199"/>
  <c r="E42" i="198"/>
  <c r="D42" i="198"/>
  <c r="GK42" i="198" s="1"/>
  <c r="EP40" i="198"/>
  <c r="ER40" i="198"/>
  <c r="ER25" i="197"/>
  <c r="EQ20" i="197"/>
  <c r="AM16" i="197"/>
  <c r="AL16" i="197"/>
  <c r="AS16" i="197"/>
  <c r="AQ16" i="197"/>
  <c r="AN16" i="197"/>
  <c r="AJ16" i="197"/>
  <c r="AO16" i="197"/>
  <c r="EO30" i="199"/>
  <c r="ER31" i="197"/>
  <c r="F25" i="197"/>
  <c r="G25" i="197"/>
  <c r="H25" i="197"/>
  <c r="AQ25" i="197" s="1"/>
  <c r="R34" i="193"/>
  <c r="Q34" i="193"/>
  <c r="DM58" i="193"/>
  <c r="DN58" i="193"/>
  <c r="FA71" i="193"/>
  <c r="EY71" i="193" s="1"/>
  <c r="E44" i="191"/>
  <c r="D44" i="191"/>
  <c r="GK44" i="191" s="1"/>
  <c r="DK84" i="191"/>
  <c r="ER33" i="202"/>
  <c r="EO35" i="200"/>
  <c r="EQ35" i="200"/>
  <c r="AZ24" i="199"/>
  <c r="AP24" i="199"/>
  <c r="AU24" i="199"/>
  <c r="EO24" i="199" s="1"/>
  <c r="AU41" i="198"/>
  <c r="EO41" i="198" s="1"/>
  <c r="AP41" i="198"/>
  <c r="AZ41" i="198"/>
  <c r="EO23" i="198"/>
  <c r="EQ23" i="198"/>
  <c r="EQ16" i="197"/>
  <c r="E45" i="193"/>
  <c r="D45" i="193"/>
  <c r="GK45" i="193" s="1"/>
  <c r="GM45" i="193" s="1"/>
  <c r="DK85" i="193"/>
  <c r="BW18" i="193"/>
  <c r="BX18" i="193" s="1"/>
  <c r="GL43" i="198"/>
  <c r="EP26" i="198"/>
  <c r="ER26" i="198"/>
  <c r="ER27" i="197"/>
  <c r="DK77" i="193"/>
  <c r="D37" i="193"/>
  <c r="GK37" i="193" s="1"/>
  <c r="E37" i="193"/>
  <c r="GE42" i="193"/>
  <c r="GD42" i="193"/>
  <c r="GC42" i="193"/>
  <c r="GA42" i="193"/>
  <c r="GB42" i="193"/>
  <c r="L37" i="192"/>
  <c r="BU37" i="192" s="1"/>
  <c r="BV37" i="192" s="1"/>
  <c r="J37" i="192"/>
  <c r="K37" i="192"/>
  <c r="EQ43" i="200"/>
  <c r="EP27" i="198"/>
  <c r="ER27" i="198"/>
  <c r="AS42" i="197"/>
  <c r="AQ42" i="197"/>
  <c r="AL42" i="197"/>
  <c r="AN42" i="197"/>
  <c r="AM42" i="197"/>
  <c r="AO42" i="197"/>
  <c r="DN81" i="193"/>
  <c r="DM81" i="193"/>
  <c r="L37" i="193"/>
  <c r="BU37" i="193" s="1"/>
  <c r="K37" i="193"/>
  <c r="J37" i="193"/>
  <c r="EJ30" i="198"/>
  <c r="EH30" i="198"/>
  <c r="AQ45" i="199"/>
  <c r="AL45" i="199"/>
  <c r="AS45" i="199"/>
  <c r="AO45" i="199"/>
  <c r="AN45" i="199"/>
  <c r="AM45" i="199"/>
  <c r="EJ17" i="198"/>
  <c r="CH17" i="198" s="1"/>
  <c r="EH17" i="198"/>
  <c r="EP21" i="200"/>
  <c r="ER21" i="200"/>
  <c r="DV57" i="193"/>
  <c r="DX57" i="193"/>
  <c r="EM17" i="193" s="1"/>
  <c r="EQ31" i="201"/>
  <c r="V38" i="192"/>
  <c r="U38" i="192"/>
  <c r="DR71" i="192"/>
  <c r="DP71" i="192"/>
  <c r="DU61" i="192"/>
  <c r="DT61" i="192"/>
  <c r="DN80" i="191"/>
  <c r="DM80" i="191"/>
  <c r="DQ63" i="192"/>
  <c r="DO63" i="192"/>
  <c r="CH39" i="201"/>
  <c r="DX83" i="193"/>
  <c r="EM43" i="193" s="1"/>
  <c r="DV83" i="193"/>
  <c r="EM38" i="192"/>
  <c r="GI87" i="191"/>
  <c r="GJ87" i="191" s="1"/>
  <c r="DQ57" i="193"/>
  <c r="DO57" i="193"/>
  <c r="GL40" i="192"/>
  <c r="GM40" i="192" s="1"/>
  <c r="FA57" i="192"/>
  <c r="EY57" i="192" s="1"/>
  <c r="FQ56" i="193"/>
  <c r="FY56" i="193" s="1"/>
  <c r="FO56" i="193"/>
  <c r="FN56" i="193"/>
  <c r="FW56" i="193" s="1"/>
  <c r="FV56" i="193" s="1"/>
  <c r="FU56" i="193"/>
  <c r="FT56" i="193" s="1"/>
  <c r="FP56" i="193"/>
  <c r="GA56" i="193" s="1"/>
  <c r="FR56" i="193"/>
  <c r="FS57" i="193" s="1"/>
  <c r="FA80" i="191"/>
  <c r="EY80" i="191" s="1"/>
  <c r="DK82" i="192"/>
  <c r="E42" i="192"/>
  <c r="D42" i="192"/>
  <c r="GK42" i="192" s="1"/>
  <c r="DY54" i="193"/>
  <c r="DW54" i="193"/>
  <c r="DV59" i="193"/>
  <c r="DX59" i="193"/>
  <c r="EM19" i="193" s="1"/>
  <c r="EH38" i="201"/>
  <c r="EJ38" i="201"/>
  <c r="GE44" i="191"/>
  <c r="GD44" i="191"/>
  <c r="GA44" i="191"/>
  <c r="GB44" i="191"/>
  <c r="GC44" i="191"/>
  <c r="BW25" i="193"/>
  <c r="BX25" i="193" s="1"/>
  <c r="DR69" i="192"/>
  <c r="EC69" i="192" s="1"/>
  <c r="EN29" i="192" s="1"/>
  <c r="DP69" i="192"/>
  <c r="DY80" i="191"/>
  <c r="EM40" i="191" s="1"/>
  <c r="DW80" i="191"/>
  <c r="CI26" i="199"/>
  <c r="DP58" i="192"/>
  <c r="DR58" i="192"/>
  <c r="EP37" i="201"/>
  <c r="ER37" i="201"/>
  <c r="EV37" i="201" s="1"/>
  <c r="DW60" i="193"/>
  <c r="DY60" i="193"/>
  <c r="DN69" i="191"/>
  <c r="DM69" i="191"/>
  <c r="DV69" i="193"/>
  <c r="DX69" i="193"/>
  <c r="FA83" i="192"/>
  <c r="EY83" i="192" s="1"/>
  <c r="EZ83" i="192"/>
  <c r="K44" i="202"/>
  <c r="AS44" i="202" s="1"/>
  <c r="I44" i="202"/>
  <c r="J44" i="202"/>
  <c r="DX76" i="193"/>
  <c r="DV76" i="193"/>
  <c r="DW81" i="191"/>
  <c r="DY81" i="191"/>
  <c r="GL38" i="192"/>
  <c r="DR75" i="191"/>
  <c r="DP75" i="191"/>
  <c r="FA68" i="191"/>
  <c r="EY68" i="191" s="1"/>
  <c r="DY82" i="191"/>
  <c r="DW82" i="191"/>
  <c r="DW78" i="191"/>
  <c r="DY78" i="191"/>
  <c r="DW69" i="191"/>
  <c r="DY69" i="191"/>
  <c r="AJ44" i="208"/>
  <c r="J44" i="208"/>
  <c r="K44" i="208"/>
  <c r="AS44" i="208" s="1"/>
  <c r="I44" i="208"/>
  <c r="EK43" i="208"/>
  <c r="EV43" i="208" s="1"/>
  <c r="AN42" i="208"/>
  <c r="AO42" i="208"/>
  <c r="AS42" i="208"/>
  <c r="AL42" i="208"/>
  <c r="AP42" i="208" s="1"/>
  <c r="AQ42" i="208"/>
  <c r="AM42" i="208"/>
  <c r="E40" i="208"/>
  <c r="D40" i="208"/>
  <c r="GK40" i="208" s="1"/>
  <c r="GL38" i="208"/>
  <c r="EJ32" i="208"/>
  <c r="X44" i="208"/>
  <c r="CJ44" i="208"/>
  <c r="EJ23" i="208"/>
  <c r="EH23" i="208"/>
  <c r="G19" i="208"/>
  <c r="AZ19" i="208" s="1"/>
  <c r="H19" i="208"/>
  <c r="AQ19" i="208" s="1"/>
  <c r="F19" i="208"/>
  <c r="CI40" i="208"/>
  <c r="EI27" i="208"/>
  <c r="EK27" i="208"/>
  <c r="EV27" i="208" s="1"/>
  <c r="AP57" i="208"/>
  <c r="AZ57" i="208" s="1"/>
  <c r="AU57" i="208"/>
  <c r="ER22" i="208"/>
  <c r="EV22" i="208" s="1"/>
  <c r="V43" i="208"/>
  <c r="W43" i="208"/>
  <c r="EQ32" i="208"/>
  <c r="H29" i="208"/>
  <c r="AQ29" i="208" s="1"/>
  <c r="AR29" i="208" s="1"/>
  <c r="F29" i="208"/>
  <c r="AZ29" i="208" s="1"/>
  <c r="G29" i="208"/>
  <c r="AT28" i="208"/>
  <c r="G18" i="208"/>
  <c r="F18" i="208"/>
  <c r="AZ18" i="208" s="1"/>
  <c r="H18" i="208"/>
  <c r="AQ18" i="208" s="1"/>
  <c r="AR18" i="208" s="1"/>
  <c r="Q23" i="208"/>
  <c r="S23" i="208"/>
  <c r="R23" i="208"/>
  <c r="GA45" i="207"/>
  <c r="GE45" i="207"/>
  <c r="GC45" i="207"/>
  <c r="GB45" i="207"/>
  <c r="GD45" i="207"/>
  <c r="ER29" i="208"/>
  <c r="ER42" i="207"/>
  <c r="DQ29" i="207"/>
  <c r="CR29" i="207"/>
  <c r="EL88" i="207"/>
  <c r="EJ88" i="207"/>
  <c r="EU29" i="207"/>
  <c r="CS29" i="207"/>
  <c r="ET29" i="207"/>
  <c r="ES29" i="207"/>
  <c r="DR29" i="207"/>
  <c r="EJ35" i="207"/>
  <c r="EQ35" i="208"/>
  <c r="EO35" i="208"/>
  <c r="AZ20" i="207"/>
  <c r="AP20" i="207"/>
  <c r="AU20" i="207"/>
  <c r="ER34" i="207"/>
  <c r="ER37" i="207"/>
  <c r="ER17" i="207"/>
  <c r="GL42" i="207"/>
  <c r="CH16" i="207"/>
  <c r="EG41" i="206"/>
  <c r="EF41" i="206"/>
  <c r="AU36" i="206"/>
  <c r="AP36" i="206"/>
  <c r="AZ32" i="207"/>
  <c r="AP32" i="207"/>
  <c r="AU32" i="207"/>
  <c r="EO32" i="207" s="1"/>
  <c r="D41" i="206"/>
  <c r="GK41" i="206" s="1"/>
  <c r="GM41" i="206" s="1"/>
  <c r="E41" i="206"/>
  <c r="EJ26" i="206"/>
  <c r="CH26" i="206" s="1"/>
  <c r="EH26" i="206"/>
  <c r="EK28" i="206"/>
  <c r="EI28" i="206"/>
  <c r="DR38" i="206"/>
  <c r="CS38" i="206"/>
  <c r="DQ38" i="206"/>
  <c r="CR38" i="206"/>
  <c r="EU38" i="206"/>
  <c r="EL97" i="206"/>
  <c r="EJ97" i="206"/>
  <c r="ET38" i="206"/>
  <c r="ES38" i="206"/>
  <c r="U34" i="206"/>
  <c r="T34" i="206"/>
  <c r="AR34" i="206" s="1"/>
  <c r="AZ18" i="206"/>
  <c r="AP18" i="206"/>
  <c r="AU18" i="206"/>
  <c r="EJ39" i="207"/>
  <c r="CH39" i="207" s="1"/>
  <c r="EK44" i="205"/>
  <c r="EI44" i="205"/>
  <c r="EQ25" i="206"/>
  <c r="CI25" i="206" s="1"/>
  <c r="EQ18" i="206"/>
  <c r="CI18" i="206" s="1"/>
  <c r="EO18" i="206"/>
  <c r="EN26" i="206"/>
  <c r="EM26" i="206"/>
  <c r="AP24" i="207"/>
  <c r="EI18" i="204"/>
  <c r="EK18" i="204"/>
  <c r="EV18" i="204" s="1"/>
  <c r="ES28" i="205"/>
  <c r="AD46" i="205"/>
  <c r="EI38" i="204"/>
  <c r="EK38" i="204"/>
  <c r="EP23" i="204"/>
  <c r="ER23" i="204"/>
  <c r="EJ20" i="204"/>
  <c r="EH20" i="204"/>
  <c r="DQ19" i="206"/>
  <c r="AP57" i="205"/>
  <c r="AZ57" i="205" s="1"/>
  <c r="AU57" i="205"/>
  <c r="F44" i="205"/>
  <c r="G44" i="205"/>
  <c r="H44" i="205"/>
  <c r="AQ44" i="205" s="1"/>
  <c r="EJ34" i="204"/>
  <c r="EH34" i="204"/>
  <c r="AU31" i="205"/>
  <c r="EO31" i="205" s="1"/>
  <c r="AZ31" i="205"/>
  <c r="AP31" i="205"/>
  <c r="CI25" i="205"/>
  <c r="ER18" i="204"/>
  <c r="EG42" i="203"/>
  <c r="EF42" i="203"/>
  <c r="AM16" i="203"/>
  <c r="AS16" i="203"/>
  <c r="AT16" i="203" s="1"/>
  <c r="AJ16" i="203"/>
  <c r="AN16" i="203"/>
  <c r="AL16" i="203"/>
  <c r="AO16" i="203"/>
  <c r="AQ16" i="203"/>
  <c r="AR16" i="203" s="1"/>
  <c r="EK34" i="205"/>
  <c r="EV34" i="205" s="1"/>
  <c r="CJ34" i="205" s="1"/>
  <c r="I19" i="205"/>
  <c r="K19" i="205"/>
  <c r="J19" i="205"/>
  <c r="AS25" i="203"/>
  <c r="AJ25" i="203"/>
  <c r="AQ25" i="203"/>
  <c r="AM25" i="203"/>
  <c r="AL25" i="203"/>
  <c r="AO25" i="203"/>
  <c r="AN25" i="203"/>
  <c r="EI24" i="204"/>
  <c r="EK24" i="204"/>
  <c r="AU18" i="204"/>
  <c r="EO18" i="204" s="1"/>
  <c r="AZ18" i="204"/>
  <c r="AP18" i="204"/>
  <c r="H44" i="202"/>
  <c r="AQ44" i="202" s="1"/>
  <c r="F44" i="202"/>
  <c r="G44" i="202"/>
  <c r="AP28" i="202"/>
  <c r="EV27" i="205"/>
  <c r="CH27" i="205"/>
  <c r="V16" i="204"/>
  <c r="W16" i="204"/>
  <c r="AM43" i="202"/>
  <c r="AL43" i="202"/>
  <c r="AS43" i="202"/>
  <c r="AO43" i="202"/>
  <c r="AN43" i="202"/>
  <c r="AQ43" i="202"/>
  <c r="AJ43" i="202"/>
  <c r="AZ22" i="203"/>
  <c r="AU22" i="203"/>
  <c r="AP22" i="203"/>
  <c r="ER40" i="205"/>
  <c r="ER26" i="204"/>
  <c r="EP26" i="204"/>
  <c r="GD57" i="202"/>
  <c r="GB57" i="202"/>
  <c r="GE57" i="202"/>
  <c r="GC57" i="202"/>
  <c r="GA57" i="202"/>
  <c r="EQ40" i="202"/>
  <c r="CI40" i="202" s="1"/>
  <c r="EJ23" i="206"/>
  <c r="CH23" i="206" s="1"/>
  <c r="ER37" i="204"/>
  <c r="DR29" i="204"/>
  <c r="CS29" i="204"/>
  <c r="DQ29" i="204"/>
  <c r="CR29" i="204"/>
  <c r="EJ88" i="204"/>
  <c r="EL88" i="204" s="1"/>
  <c r="EU29" i="204"/>
  <c r="ET29" i="204"/>
  <c r="ES29" i="204"/>
  <c r="EK16" i="204"/>
  <c r="EV16" i="204" s="1"/>
  <c r="EJ30" i="203"/>
  <c r="CI36" i="202"/>
  <c r="EV30" i="202"/>
  <c r="S28" i="202"/>
  <c r="R28" i="202"/>
  <c r="Q28" i="202"/>
  <c r="EP31" i="205"/>
  <c r="ER31" i="205"/>
  <c r="GL45" i="203"/>
  <c r="G31" i="203"/>
  <c r="F31" i="203"/>
  <c r="H31" i="203"/>
  <c r="AQ31" i="203" s="1"/>
  <c r="AR31" i="203" s="1"/>
  <c r="AU44" i="202"/>
  <c r="AZ44" i="202"/>
  <c r="AP44" i="202"/>
  <c r="AK42" i="202"/>
  <c r="EJ41" i="202"/>
  <c r="AU26" i="202"/>
  <c r="AZ26" i="202"/>
  <c r="AP26" i="202"/>
  <c r="AK44" i="199"/>
  <c r="EI28" i="199"/>
  <c r="EK43" i="204"/>
  <c r="EJ37" i="204"/>
  <c r="CH37" i="204" s="1"/>
  <c r="EK40" i="200"/>
  <c r="EV40" i="200" s="1"/>
  <c r="EI40" i="200"/>
  <c r="EG24" i="200"/>
  <c r="EF24" i="200"/>
  <c r="DR26" i="199"/>
  <c r="CS26" i="199"/>
  <c r="DQ26" i="199"/>
  <c r="CR26" i="199"/>
  <c r="EJ85" i="199"/>
  <c r="EL85" i="199" s="1"/>
  <c r="EU26" i="199"/>
  <c r="ET26" i="199"/>
  <c r="EP27" i="202"/>
  <c r="ER27" i="202"/>
  <c r="EP25" i="200"/>
  <c r="ER25" i="200"/>
  <c r="CH35" i="202"/>
  <c r="EK26" i="200"/>
  <c r="EV26" i="200" s="1"/>
  <c r="CJ26" i="200" s="1"/>
  <c r="EI26" i="200"/>
  <c r="AK41" i="199"/>
  <c r="EK36" i="199"/>
  <c r="EH22" i="199"/>
  <c r="EJ22" i="199"/>
  <c r="CH22" i="199" s="1"/>
  <c r="D45" i="198"/>
  <c r="GK45" i="198" s="1"/>
  <c r="GM45" i="198" s="1"/>
  <c r="E45" i="198"/>
  <c r="EG35" i="198"/>
  <c r="EF35" i="198"/>
  <c r="EG32" i="198"/>
  <c r="EF32" i="198"/>
  <c r="AS22" i="198"/>
  <c r="AT22" i="198" s="1"/>
  <c r="AJ22" i="198"/>
  <c r="AQ22" i="198"/>
  <c r="AR22" i="198" s="1"/>
  <c r="AO22" i="198"/>
  <c r="AN22" i="198"/>
  <c r="AM22" i="198"/>
  <c r="AL22" i="198"/>
  <c r="EJ39" i="202"/>
  <c r="EI17" i="201"/>
  <c r="EK17" i="201"/>
  <c r="EO35" i="199"/>
  <c r="EQ35" i="199"/>
  <c r="AD41" i="196"/>
  <c r="GM41" i="204"/>
  <c r="EP24" i="204"/>
  <c r="ER24" i="204"/>
  <c r="AU18" i="202"/>
  <c r="AZ18" i="202"/>
  <c r="AP18" i="202"/>
  <c r="AZ30" i="201"/>
  <c r="AP30" i="201"/>
  <c r="AU30" i="201"/>
  <c r="EJ21" i="200"/>
  <c r="EH21" i="200"/>
  <c r="AZ17" i="200"/>
  <c r="AS17" i="200"/>
  <c r="AT17" i="200" s="1"/>
  <c r="EV32" i="199"/>
  <c r="EO36" i="203"/>
  <c r="EQ36" i="203"/>
  <c r="EJ31" i="203"/>
  <c r="E43" i="200"/>
  <c r="D43" i="200"/>
  <c r="GK43" i="200" s="1"/>
  <c r="F35" i="198"/>
  <c r="AZ35" i="198" s="1"/>
  <c r="G35" i="198"/>
  <c r="H35" i="198"/>
  <c r="AQ35" i="198" s="1"/>
  <c r="EJ25" i="197"/>
  <c r="EQ18" i="205"/>
  <c r="CI18" i="205" s="1"/>
  <c r="EO18" i="205"/>
  <c r="AZ29" i="203"/>
  <c r="AP29" i="203"/>
  <c r="AU29" i="203"/>
  <c r="EP42" i="201"/>
  <c r="ER42" i="201"/>
  <c r="EI32" i="201"/>
  <c r="EK32" i="201"/>
  <c r="ER31" i="200"/>
  <c r="EV31" i="200" s="1"/>
  <c r="GM44" i="198"/>
  <c r="E41" i="193"/>
  <c r="D41" i="193"/>
  <c r="GK41" i="193" s="1"/>
  <c r="DK81" i="193"/>
  <c r="GL44" i="203"/>
  <c r="EK40" i="202"/>
  <c r="EV40" i="202" s="1"/>
  <c r="AP29" i="202"/>
  <c r="AZ29" i="202"/>
  <c r="AU29" i="202"/>
  <c r="EK26" i="201"/>
  <c r="EV26" i="201" s="1"/>
  <c r="DR19" i="201"/>
  <c r="CS19" i="201"/>
  <c r="DQ19" i="201"/>
  <c r="CR19" i="201"/>
  <c r="EU19" i="201"/>
  <c r="ET19" i="201"/>
  <c r="ES19" i="201"/>
  <c r="EL78" i="201"/>
  <c r="EJ78" i="201"/>
  <c r="EO20" i="200"/>
  <c r="EQ20" i="200"/>
  <c r="CI20" i="200" s="1"/>
  <c r="EK26" i="198"/>
  <c r="EV26" i="198" s="1"/>
  <c r="EI26" i="198"/>
  <c r="EO18" i="198"/>
  <c r="EQ18" i="198"/>
  <c r="CI32" i="200"/>
  <c r="EU24" i="200"/>
  <c r="EJ83" i="200"/>
  <c r="EL83" i="200" s="1"/>
  <c r="DR24" i="200"/>
  <c r="CR24" i="200"/>
  <c r="DQ24" i="200"/>
  <c r="CS24" i="200"/>
  <c r="ES38" i="199"/>
  <c r="AZ21" i="199"/>
  <c r="AP21" i="199"/>
  <c r="AU21" i="199"/>
  <c r="EJ95" i="198"/>
  <c r="EL95" i="198" s="1"/>
  <c r="EU36" i="198"/>
  <c r="DQ36" i="198"/>
  <c r="CS36" i="198"/>
  <c r="CR36" i="198"/>
  <c r="DR36" i="198"/>
  <c r="ES36" i="198"/>
  <c r="AU36" i="197"/>
  <c r="EP36" i="197" s="1"/>
  <c r="AZ36" i="197"/>
  <c r="AP36" i="197"/>
  <c r="EQ18" i="203"/>
  <c r="EQ25" i="201"/>
  <c r="CI25" i="201" s="1"/>
  <c r="EJ36" i="200"/>
  <c r="EQ27" i="200"/>
  <c r="EO27" i="200"/>
  <c r="AP37" i="199"/>
  <c r="AU37" i="199"/>
  <c r="EP37" i="199" s="1"/>
  <c r="AZ37" i="199"/>
  <c r="EO28" i="199"/>
  <c r="ER32" i="198"/>
  <c r="AU35" i="203"/>
  <c r="AP35" i="203"/>
  <c r="AZ35" i="203"/>
  <c r="EV23" i="202"/>
  <c r="CJ23" i="202" s="1"/>
  <c r="H41" i="201"/>
  <c r="AQ41" i="201" s="1"/>
  <c r="G41" i="201"/>
  <c r="F41" i="201"/>
  <c r="EP19" i="201"/>
  <c r="ER19" i="201"/>
  <c r="EU34" i="200"/>
  <c r="CS34" i="200"/>
  <c r="DR34" i="200"/>
  <c r="CR34" i="200"/>
  <c r="DQ34" i="200"/>
  <c r="EJ93" i="200"/>
  <c r="ES34" i="200"/>
  <c r="EV41" i="199"/>
  <c r="EK39" i="199"/>
  <c r="EV39" i="199" s="1"/>
  <c r="CI27" i="196"/>
  <c r="AU21" i="205"/>
  <c r="AZ21" i="205"/>
  <c r="AP21" i="205"/>
  <c r="G17" i="201"/>
  <c r="F17" i="201"/>
  <c r="AZ17" i="201" s="1"/>
  <c r="H17" i="201"/>
  <c r="AQ17" i="201" s="1"/>
  <c r="AL44" i="200"/>
  <c r="AS44" i="200"/>
  <c r="AN44" i="200"/>
  <c r="AM44" i="200"/>
  <c r="AQ44" i="200"/>
  <c r="AO44" i="200"/>
  <c r="EH39" i="200"/>
  <c r="EJ39" i="200"/>
  <c r="CH39" i="200" s="1"/>
  <c r="EH38" i="198"/>
  <c r="EJ38" i="198"/>
  <c r="AU38" i="197"/>
  <c r="AZ38" i="197"/>
  <c r="AP38" i="197"/>
  <c r="EI24" i="196"/>
  <c r="EK24" i="196"/>
  <c r="AU41" i="201"/>
  <c r="EP41" i="201" s="1"/>
  <c r="AP41" i="201"/>
  <c r="AZ41" i="201"/>
  <c r="EU40" i="201"/>
  <c r="ES40" i="201"/>
  <c r="CS40" i="201"/>
  <c r="DR40" i="201"/>
  <c r="CR40" i="201"/>
  <c r="EL99" i="201"/>
  <c r="EJ99" i="201"/>
  <c r="DQ40" i="201"/>
  <c r="EQ45" i="200"/>
  <c r="EO45" i="200"/>
  <c r="F42" i="198"/>
  <c r="H42" i="198"/>
  <c r="AQ42" i="198" s="1"/>
  <c r="G42" i="198"/>
  <c r="ER20" i="197"/>
  <c r="EQ32" i="202"/>
  <c r="AP38" i="201"/>
  <c r="AZ38" i="201"/>
  <c r="AU38" i="201"/>
  <c r="CI30" i="199"/>
  <c r="DR18" i="198"/>
  <c r="CS18" i="198"/>
  <c r="DQ18" i="198"/>
  <c r="CR18" i="198"/>
  <c r="EJ77" i="198"/>
  <c r="EU18" i="198"/>
  <c r="ET18" i="198"/>
  <c r="ES18" i="198"/>
  <c r="AU19" i="197"/>
  <c r="AP19" i="197"/>
  <c r="AZ19" i="197"/>
  <c r="EK31" i="196"/>
  <c r="EZ71" i="193"/>
  <c r="DN66" i="192"/>
  <c r="DM66" i="192"/>
  <c r="AP20" i="201"/>
  <c r="AZ20" i="201"/>
  <c r="AU20" i="201"/>
  <c r="ER35" i="200"/>
  <c r="EP35" i="200"/>
  <c r="EQ17" i="199"/>
  <c r="EO17" i="199"/>
  <c r="ER37" i="198"/>
  <c r="EP37" i="198"/>
  <c r="EK33" i="198"/>
  <c r="EI33" i="198"/>
  <c r="EP23" i="198"/>
  <c r="ER23" i="198"/>
  <c r="I45" i="193"/>
  <c r="BS45" i="193" s="1"/>
  <c r="H45" i="193"/>
  <c r="G45" i="193"/>
  <c r="EZ82" i="193"/>
  <c r="ER42" i="205"/>
  <c r="EP42" i="205"/>
  <c r="EQ34" i="202"/>
  <c r="CI38" i="196"/>
  <c r="H37" i="193"/>
  <c r="G37" i="193"/>
  <c r="I37" i="193"/>
  <c r="BS37" i="193" s="1"/>
  <c r="BR36" i="193"/>
  <c r="ER43" i="200"/>
  <c r="EV43" i="200" s="1"/>
  <c r="EP43" i="200"/>
  <c r="DR27" i="200"/>
  <c r="CS27" i="200"/>
  <c r="DQ27" i="200"/>
  <c r="CR27" i="200"/>
  <c r="EU27" i="200"/>
  <c r="ET27" i="200"/>
  <c r="EJ86" i="200"/>
  <c r="EL86" i="200" s="1"/>
  <c r="AZ23" i="197"/>
  <c r="AU23" i="197"/>
  <c r="EP23" i="197" s="1"/>
  <c r="AP23" i="197"/>
  <c r="EV21" i="199"/>
  <c r="CJ21" i="199" s="1"/>
  <c r="EK30" i="198"/>
  <c r="EV30" i="198" s="1"/>
  <c r="CJ30" i="198" s="1"/>
  <c r="EI30" i="198"/>
  <c r="GA41" i="193"/>
  <c r="GL41" i="193" s="1"/>
  <c r="GE41" i="193"/>
  <c r="GD41" i="193"/>
  <c r="GB41" i="193"/>
  <c r="GC41" i="193"/>
  <c r="AZ33" i="201"/>
  <c r="AP33" i="201"/>
  <c r="AU33" i="201"/>
  <c r="EO22" i="199"/>
  <c r="EQ22" i="199"/>
  <c r="EI17" i="198"/>
  <c r="EK17" i="198"/>
  <c r="AP36" i="196"/>
  <c r="AZ36" i="196"/>
  <c r="AU36" i="196"/>
  <c r="EH36" i="196" s="1"/>
  <c r="DT68" i="192"/>
  <c r="DU68" i="192"/>
  <c r="EK34" i="197"/>
  <c r="EV34" i="197" s="1"/>
  <c r="DW57" i="193"/>
  <c r="DY57" i="193"/>
  <c r="ER31" i="201"/>
  <c r="U41" i="197"/>
  <c r="T41" i="197"/>
  <c r="AR41" i="197" s="1"/>
  <c r="EH69" i="196"/>
  <c r="EJ69" i="196"/>
  <c r="DY83" i="193"/>
  <c r="DW83" i="193"/>
  <c r="DV65" i="193"/>
  <c r="DX65" i="193"/>
  <c r="P45" i="192"/>
  <c r="O45" i="192"/>
  <c r="DX79" i="193"/>
  <c r="DV79" i="193"/>
  <c r="I42" i="192"/>
  <c r="BS42" i="192" s="1"/>
  <c r="H42" i="192"/>
  <c r="G42" i="192"/>
  <c r="EZ79" i="191"/>
  <c r="FA79" i="191"/>
  <c r="EY79" i="191" s="1"/>
  <c r="DQ75" i="192"/>
  <c r="DO75" i="192"/>
  <c r="EZ80" i="192"/>
  <c r="FA80" i="192"/>
  <c r="EY80" i="192" s="1"/>
  <c r="AZ17" i="199"/>
  <c r="AU17" i="199"/>
  <c r="AP17" i="199"/>
  <c r="EJ38" i="196"/>
  <c r="DW59" i="193"/>
  <c r="DY59" i="193"/>
  <c r="DR67" i="192"/>
  <c r="DP67" i="192"/>
  <c r="EK38" i="201"/>
  <c r="EV38" i="201" s="1"/>
  <c r="AU22" i="197"/>
  <c r="AP22" i="197"/>
  <c r="AZ22" i="197"/>
  <c r="BW18" i="191"/>
  <c r="BX18" i="191" s="1"/>
  <c r="EP26" i="199"/>
  <c r="BW20" i="191"/>
  <c r="BX20" i="191" s="1"/>
  <c r="EQ37" i="201"/>
  <c r="EO37" i="201"/>
  <c r="DX55" i="193"/>
  <c r="DV55" i="193"/>
  <c r="DX73" i="192"/>
  <c r="DV73" i="192"/>
  <c r="DM60" i="192"/>
  <c r="DN60" i="192"/>
  <c r="BR44" i="192"/>
  <c r="DW69" i="193"/>
  <c r="DY69" i="193"/>
  <c r="ES26" i="196"/>
  <c r="DQ65" i="192"/>
  <c r="DO65" i="192"/>
  <c r="DP82" i="191"/>
  <c r="DR82" i="191"/>
  <c r="DW77" i="191"/>
  <c r="DY77" i="191"/>
  <c r="DV58" i="193"/>
  <c r="DX58" i="193"/>
  <c r="EM18" i="193" s="1"/>
  <c r="H23" i="208"/>
  <c r="AQ23" i="208" s="1"/>
  <c r="G23" i="208"/>
  <c r="F23" i="208"/>
  <c r="V39" i="208"/>
  <c r="W39" i="208"/>
  <c r="GA41" i="207"/>
  <c r="GD41" i="207"/>
  <c r="GC41" i="207"/>
  <c r="GB41" i="207"/>
  <c r="GE41" i="207"/>
  <c r="D45" i="206"/>
  <c r="GK45" i="206" s="1"/>
  <c r="GM45" i="206" s="1"/>
  <c r="E45" i="206"/>
  <c r="U41" i="207"/>
  <c r="T41" i="207"/>
  <c r="AR41" i="207" s="1"/>
  <c r="EJ20" i="207"/>
  <c r="CH20" i="207" s="1"/>
  <c r="EH20" i="207"/>
  <c r="EJ29" i="207"/>
  <c r="EH29" i="207"/>
  <c r="S26" i="206"/>
  <c r="R26" i="206"/>
  <c r="Q26" i="206"/>
  <c r="N19" i="206"/>
  <c r="P19" i="206"/>
  <c r="O19" i="206"/>
  <c r="AZ27" i="205"/>
  <c r="AU27" i="205"/>
  <c r="AP27" i="205"/>
  <c r="EQ28" i="205"/>
  <c r="EO28" i="205"/>
  <c r="EJ43" i="203"/>
  <c r="CH43" i="203" s="1"/>
  <c r="EH43" i="203"/>
  <c r="EK43" i="206"/>
  <c r="EV43" i="206" s="1"/>
  <c r="ER41" i="205"/>
  <c r="EV41" i="205" s="1"/>
  <c r="AU42" i="204"/>
  <c r="AP42" i="204"/>
  <c r="AZ42" i="204"/>
  <c r="AZ36" i="204"/>
  <c r="AP36" i="204"/>
  <c r="AU36" i="204"/>
  <c r="EF26" i="205"/>
  <c r="EG26" i="205"/>
  <c r="W28" i="204"/>
  <c r="V28" i="204"/>
  <c r="AT28" i="204" s="1"/>
  <c r="G36" i="203"/>
  <c r="F36" i="203"/>
  <c r="AZ36" i="203" s="1"/>
  <c r="H36" i="203"/>
  <c r="AQ36" i="203" s="1"/>
  <c r="AR36" i="203" s="1"/>
  <c r="EG35" i="203"/>
  <c r="EF35" i="203"/>
  <c r="EI28" i="203"/>
  <c r="EK28" i="203"/>
  <c r="EJ32" i="202"/>
  <c r="CH32" i="202" s="1"/>
  <c r="EH32" i="202"/>
  <c r="ER30" i="203"/>
  <c r="U38" i="199"/>
  <c r="T38" i="199"/>
  <c r="AR38" i="199" s="1"/>
  <c r="EO44" i="202"/>
  <c r="EQ44" i="202"/>
  <c r="EF35" i="199"/>
  <c r="EG35" i="199"/>
  <c r="EO29" i="204"/>
  <c r="EQ29" i="204"/>
  <c r="CI29" i="204" s="1"/>
  <c r="H22" i="199"/>
  <c r="AQ22" i="199" s="1"/>
  <c r="AR22" i="199" s="1"/>
  <c r="G22" i="199"/>
  <c r="F22" i="199"/>
  <c r="EQ45" i="198"/>
  <c r="EO45" i="198"/>
  <c r="CI34" i="199"/>
  <c r="P36" i="202"/>
  <c r="O36" i="202"/>
  <c r="N36" i="202"/>
  <c r="S45" i="200"/>
  <c r="R45" i="200"/>
  <c r="Q45" i="200"/>
  <c r="EQ16" i="198"/>
  <c r="CI16" i="198" s="1"/>
  <c r="EO16" i="198"/>
  <c r="ER32" i="204"/>
  <c r="EO42" i="198"/>
  <c r="EQ42" i="198"/>
  <c r="U45" i="203"/>
  <c r="T45" i="203"/>
  <c r="AR45" i="203" s="1"/>
  <c r="AU45" i="201"/>
  <c r="AP45" i="201"/>
  <c r="AZ45" i="201"/>
  <c r="AZ32" i="196"/>
  <c r="AU32" i="196"/>
  <c r="AP32" i="196"/>
  <c r="EJ87" i="201"/>
  <c r="EU28" i="201"/>
  <c r="DQ28" i="201"/>
  <c r="ES28" i="201"/>
  <c r="CS28" i="201"/>
  <c r="CR28" i="201"/>
  <c r="DR28" i="201"/>
  <c r="ER28" i="200"/>
  <c r="EP17" i="198"/>
  <c r="ER17" i="198"/>
  <c r="EG22" i="197"/>
  <c r="EF22" i="197"/>
  <c r="EU36" i="203"/>
  <c r="EJ95" i="203"/>
  <c r="DQ36" i="203"/>
  <c r="ES36" i="203"/>
  <c r="CR36" i="203"/>
  <c r="DR36" i="203"/>
  <c r="EL95" i="203"/>
  <c r="CS36" i="203"/>
  <c r="AS30" i="197"/>
  <c r="AL30" i="197"/>
  <c r="AJ30" i="197"/>
  <c r="AN30" i="197"/>
  <c r="AM30" i="197"/>
  <c r="AO30" i="197"/>
  <c r="E43" i="192"/>
  <c r="DK83" i="192"/>
  <c r="D43" i="192"/>
  <c r="GK43" i="192" s="1"/>
  <c r="EJ39" i="198"/>
  <c r="EH39" i="198"/>
  <c r="G33" i="198"/>
  <c r="F33" i="198"/>
  <c r="AZ33" i="198" s="1"/>
  <c r="H33" i="198"/>
  <c r="AQ33" i="198" s="1"/>
  <c r="DN70" i="192"/>
  <c r="DM70" i="192"/>
  <c r="U43" i="201"/>
  <c r="T43" i="201"/>
  <c r="H40" i="200"/>
  <c r="AQ40" i="200" s="1"/>
  <c r="G40" i="200"/>
  <c r="F40" i="200"/>
  <c r="AZ40" i="200" s="1"/>
  <c r="EG32" i="196"/>
  <c r="EF32" i="196"/>
  <c r="AS40" i="199"/>
  <c r="AZ40" i="199"/>
  <c r="W31" i="198"/>
  <c r="V31" i="198"/>
  <c r="AT31" i="198" s="1"/>
  <c r="DU62" i="192"/>
  <c r="DT62" i="192"/>
  <c r="AP27" i="196"/>
  <c r="AU27" i="196"/>
  <c r="EP22" i="200"/>
  <c r="ER22" i="200"/>
  <c r="EV22" i="200" s="1"/>
  <c r="GM38" i="192"/>
  <c r="W42" i="202"/>
  <c r="V42" i="202"/>
  <c r="DM55" i="192"/>
  <c r="DN55" i="192"/>
  <c r="DN72" i="191"/>
  <c r="DM72" i="191"/>
  <c r="GB45" i="192"/>
  <c r="GE45" i="192"/>
  <c r="GA45" i="192"/>
  <c r="GL45" i="192" s="1"/>
  <c r="GD45" i="192"/>
  <c r="GC45" i="192"/>
  <c r="GD38" i="193"/>
  <c r="GE38" i="193"/>
  <c r="GC38" i="193"/>
  <c r="GB38" i="193"/>
  <c r="GA38" i="193"/>
  <c r="GL38" i="193" s="1"/>
  <c r="EJ41" i="200"/>
  <c r="DM65" i="193"/>
  <c r="DN65" i="193"/>
  <c r="DQ72" i="192"/>
  <c r="DO72" i="192"/>
  <c r="DX84" i="191"/>
  <c r="DV84" i="191"/>
  <c r="GA39" i="208"/>
  <c r="GE39" i="208"/>
  <c r="GD39" i="208"/>
  <c r="GB39" i="208"/>
  <c r="GC39" i="208"/>
  <c r="EK40" i="208"/>
  <c r="EV40" i="208" s="1"/>
  <c r="AL38" i="208"/>
  <c r="AS38" i="208"/>
  <c r="AN38" i="208"/>
  <c r="AO38" i="208"/>
  <c r="AM38" i="208"/>
  <c r="AP38" i="208" s="1"/>
  <c r="AQ38" i="208"/>
  <c r="EJ45" i="208"/>
  <c r="AP39" i="208"/>
  <c r="AZ39" i="208"/>
  <c r="AU39" i="208"/>
  <c r="EI39" i="208" s="1"/>
  <c r="AP30" i="208"/>
  <c r="AU30" i="208"/>
  <c r="AZ30" i="208"/>
  <c r="H20" i="208"/>
  <c r="AQ20" i="208" s="1"/>
  <c r="G20" i="208"/>
  <c r="F20" i="208"/>
  <c r="O23" i="208"/>
  <c r="N23" i="208"/>
  <c r="P23" i="208"/>
  <c r="GM38" i="208"/>
  <c r="U45" i="207"/>
  <c r="T45" i="207"/>
  <c r="AR45" i="207" s="1"/>
  <c r="F41" i="207"/>
  <c r="G41" i="207"/>
  <c r="H41" i="207"/>
  <c r="AQ41" i="207" s="1"/>
  <c r="EP20" i="208"/>
  <c r="ER20" i="208"/>
  <c r="EP28" i="207"/>
  <c r="ER28" i="207"/>
  <c r="AZ18" i="207"/>
  <c r="AP18" i="207"/>
  <c r="AU18" i="207"/>
  <c r="ER42" i="206"/>
  <c r="EP42" i="206"/>
  <c r="AM32" i="206"/>
  <c r="AL32" i="206"/>
  <c r="AS32" i="206"/>
  <c r="AJ32" i="206"/>
  <c r="AO32" i="206"/>
  <c r="AN32" i="206"/>
  <c r="AQ32" i="206"/>
  <c r="AZ33" i="206"/>
  <c r="AP33" i="206"/>
  <c r="AU33" i="206"/>
  <c r="EJ29" i="206"/>
  <c r="CH29" i="206" s="1"/>
  <c r="EP28" i="205"/>
  <c r="ER28" i="205"/>
  <c r="U41" i="204"/>
  <c r="T41" i="204"/>
  <c r="AR41" i="204" s="1"/>
  <c r="AZ20" i="203"/>
  <c r="AU20" i="203"/>
  <c r="AP20" i="203"/>
  <c r="EK23" i="204"/>
  <c r="EI23" i="204"/>
  <c r="EQ40" i="203"/>
  <c r="CI40" i="203" s="1"/>
  <c r="EJ37" i="205"/>
  <c r="CH37" i="205" s="1"/>
  <c r="EH37" i="205"/>
  <c r="EJ19" i="205"/>
  <c r="AU17" i="202"/>
  <c r="AZ17" i="202"/>
  <c r="AP17" i="202"/>
  <c r="EO27" i="204"/>
  <c r="EQ27" i="204"/>
  <c r="ER40" i="201"/>
  <c r="EP40" i="201"/>
  <c r="ER37" i="203"/>
  <c r="EP37" i="203"/>
  <c r="EP44" i="202"/>
  <c r="ER44" i="202"/>
  <c r="AZ21" i="201"/>
  <c r="AP21" i="201"/>
  <c r="AU21" i="201"/>
  <c r="AZ32" i="200"/>
  <c r="AU32" i="200"/>
  <c r="EI32" i="200" s="1"/>
  <c r="AP32" i="200"/>
  <c r="ER43" i="199"/>
  <c r="EV43" i="199" s="1"/>
  <c r="AS41" i="203"/>
  <c r="AQ41" i="203"/>
  <c r="AN41" i="203"/>
  <c r="AM41" i="203"/>
  <c r="AL41" i="203"/>
  <c r="AP41" i="203" s="1"/>
  <c r="AO41" i="203"/>
  <c r="F42" i="201"/>
  <c r="H42" i="201"/>
  <c r="AQ42" i="201" s="1"/>
  <c r="G42" i="201"/>
  <c r="EQ33" i="198"/>
  <c r="CI33" i="198" s="1"/>
  <c r="EO33" i="198"/>
  <c r="EK41" i="203"/>
  <c r="EI41" i="203"/>
  <c r="EP20" i="202"/>
  <c r="ER20" i="202"/>
  <c r="EG45" i="201"/>
  <c r="EF45" i="201"/>
  <c r="EK20" i="197"/>
  <c r="EJ35" i="196"/>
  <c r="EH35" i="196"/>
  <c r="AP33" i="202"/>
  <c r="AU33" i="202"/>
  <c r="EK16" i="199"/>
  <c r="EV16" i="199" s="1"/>
  <c r="EP42" i="198"/>
  <c r="ER42" i="198"/>
  <c r="H19" i="201"/>
  <c r="AQ19" i="201" s="1"/>
  <c r="G19" i="201"/>
  <c r="F19" i="201"/>
  <c r="AZ19" i="201" s="1"/>
  <c r="EJ45" i="202"/>
  <c r="CH45" i="202" s="1"/>
  <c r="GD57" i="200"/>
  <c r="GC57" i="200"/>
  <c r="GB57" i="200"/>
  <c r="GE57" i="200"/>
  <c r="GA57" i="200"/>
  <c r="W32" i="199"/>
  <c r="V32" i="199"/>
  <c r="AT32" i="199" s="1"/>
  <c r="EJ30" i="197"/>
  <c r="CH30" i="197" s="1"/>
  <c r="EK40" i="196"/>
  <c r="EV40" i="196" s="1"/>
  <c r="EJ39" i="205"/>
  <c r="EH39" i="205"/>
  <c r="DQ40" i="200"/>
  <c r="CR40" i="200"/>
  <c r="EU40" i="200"/>
  <c r="CS40" i="200"/>
  <c r="DR40" i="200"/>
  <c r="ET40" i="200"/>
  <c r="ES40" i="200"/>
  <c r="EJ99" i="200"/>
  <c r="EL99" i="200" s="1"/>
  <c r="EK45" i="199"/>
  <c r="EV45" i="199" s="1"/>
  <c r="AZ34" i="197"/>
  <c r="AP34" i="197"/>
  <c r="AU34" i="197"/>
  <c r="EI34" i="197" s="1"/>
  <c r="EZ75" i="193"/>
  <c r="FA75" i="193"/>
  <c r="EY75" i="193" s="1"/>
  <c r="DU60" i="192"/>
  <c r="DT60" i="192"/>
  <c r="U23" i="199"/>
  <c r="T23" i="199"/>
  <c r="AR23" i="199" s="1"/>
  <c r="EO40" i="198"/>
  <c r="EQ40" i="198"/>
  <c r="AP37" i="196"/>
  <c r="AU37" i="196"/>
  <c r="EK42" i="201"/>
  <c r="EV42" i="201" s="1"/>
  <c r="EI42" i="201"/>
  <c r="EO31" i="197"/>
  <c r="EQ31" i="197"/>
  <c r="CI31" i="197" s="1"/>
  <c r="G20" i="197"/>
  <c r="F20" i="197"/>
  <c r="H20" i="197"/>
  <c r="AQ20" i="197" s="1"/>
  <c r="EQ27" i="197"/>
  <c r="EQ39" i="196"/>
  <c r="CI39" i="196" s="1"/>
  <c r="EO39" i="196"/>
  <c r="DU72" i="193"/>
  <c r="DT72" i="193"/>
  <c r="E40" i="193"/>
  <c r="D40" i="193"/>
  <c r="GK40" i="193" s="1"/>
  <c r="DK80" i="193"/>
  <c r="DM60" i="193"/>
  <c r="DN60" i="193"/>
  <c r="P38" i="198"/>
  <c r="O38" i="198"/>
  <c r="N38" i="198"/>
  <c r="H36" i="196"/>
  <c r="AQ36" i="196" s="1"/>
  <c r="G36" i="196"/>
  <c r="F36" i="196"/>
  <c r="DR28" i="199"/>
  <c r="CS28" i="199"/>
  <c r="DQ28" i="199"/>
  <c r="CR28" i="199"/>
  <c r="EJ87" i="199"/>
  <c r="EL87" i="199" s="1"/>
  <c r="EU28" i="199"/>
  <c r="ET28" i="199"/>
  <c r="EK19" i="198"/>
  <c r="EV19" i="198" s="1"/>
  <c r="EI19" i="198"/>
  <c r="L41" i="192"/>
  <c r="BU41" i="192" s="1"/>
  <c r="J41" i="192"/>
  <c r="K41" i="192"/>
  <c r="AZ31" i="197"/>
  <c r="AP31" i="197"/>
  <c r="AU31" i="197"/>
  <c r="EQ41" i="203"/>
  <c r="EO41" i="203"/>
  <c r="ER31" i="196"/>
  <c r="GA37" i="193"/>
  <c r="GE37" i="193"/>
  <c r="GD37" i="193"/>
  <c r="GC37" i="193"/>
  <c r="GB37" i="193"/>
  <c r="DX81" i="192"/>
  <c r="EM41" i="192" s="1"/>
  <c r="DV81" i="192"/>
  <c r="E45" i="208"/>
  <c r="D45" i="208"/>
  <c r="GK45" i="208" s="1"/>
  <c r="GM45" i="208" s="1"/>
  <c r="T42" i="208"/>
  <c r="U42" i="208"/>
  <c r="EK45" i="208"/>
  <c r="EV45" i="208" s="1"/>
  <c r="ER34" i="208"/>
  <c r="AZ33" i="208"/>
  <c r="AP33" i="208"/>
  <c r="AU33" i="208"/>
  <c r="T44" i="208"/>
  <c r="AR44" i="208" s="1"/>
  <c r="U44" i="208"/>
  <c r="ER19" i="208"/>
  <c r="EQ22" i="208"/>
  <c r="AN44" i="207"/>
  <c r="AM44" i="207"/>
  <c r="AS44" i="207"/>
  <c r="AO44" i="207"/>
  <c r="AL44" i="207"/>
  <c r="AJ44" i="207"/>
  <c r="EJ16" i="208"/>
  <c r="CH16" i="208" s="1"/>
  <c r="AZ37" i="207"/>
  <c r="AP37" i="207"/>
  <c r="AU37" i="207"/>
  <c r="D43" i="207"/>
  <c r="GK43" i="207" s="1"/>
  <c r="GM43" i="207" s="1"/>
  <c r="E43" i="207"/>
  <c r="AM34" i="207"/>
  <c r="AS34" i="207"/>
  <c r="AJ34" i="207"/>
  <c r="AQ34" i="207"/>
  <c r="AN34" i="207"/>
  <c r="AO34" i="207"/>
  <c r="AL34" i="207"/>
  <c r="EK23" i="208"/>
  <c r="EI23" i="208"/>
  <c r="EM18" i="208"/>
  <c r="EN18" i="208"/>
  <c r="AU20" i="208"/>
  <c r="AP20" i="208"/>
  <c r="AZ20" i="208"/>
  <c r="EG34" i="207"/>
  <c r="EF34" i="207"/>
  <c r="EN40" i="207"/>
  <c r="EM40" i="207"/>
  <c r="D44" i="207"/>
  <c r="GK44" i="207" s="1"/>
  <c r="GM44" i="207" s="1"/>
  <c r="E44" i="207"/>
  <c r="ER35" i="208"/>
  <c r="EV35" i="208" s="1"/>
  <c r="EP35" i="208"/>
  <c r="H33" i="207"/>
  <c r="AQ33" i="207" s="1"/>
  <c r="G33" i="207"/>
  <c r="F33" i="207"/>
  <c r="AZ33" i="207" s="1"/>
  <c r="EG42" i="206"/>
  <c r="EF42" i="206"/>
  <c r="EJ24" i="207"/>
  <c r="EH24" i="207"/>
  <c r="AO57" i="207"/>
  <c r="AM57" i="207"/>
  <c r="AQ57" i="207"/>
  <c r="AL57" i="207"/>
  <c r="AP57" i="207" s="1"/>
  <c r="AZ57" i="207" s="1"/>
  <c r="AN57" i="207"/>
  <c r="AS57" i="207"/>
  <c r="H38" i="206"/>
  <c r="AQ38" i="206" s="1"/>
  <c r="G38" i="206"/>
  <c r="F38" i="206"/>
  <c r="AZ38" i="206" s="1"/>
  <c r="EJ33" i="206"/>
  <c r="CH33" i="206" s="1"/>
  <c r="EH33" i="206"/>
  <c r="EJ20" i="206"/>
  <c r="EH20" i="206"/>
  <c r="ER18" i="206"/>
  <c r="EP18" i="206"/>
  <c r="DQ44" i="205"/>
  <c r="L44" i="205" s="1"/>
  <c r="CR44" i="205"/>
  <c r="EU44" i="205"/>
  <c r="EL103" i="205"/>
  <c r="DR44" i="205"/>
  <c r="M44" i="205" s="1"/>
  <c r="CS44" i="205"/>
  <c r="ET44" i="205"/>
  <c r="ES44" i="205"/>
  <c r="EJ103" i="205"/>
  <c r="EO39" i="207"/>
  <c r="EQ39" i="207"/>
  <c r="CI39" i="207" s="1"/>
  <c r="AL57" i="204"/>
  <c r="AP57" i="204" s="1"/>
  <c r="AZ57" i="204" s="1"/>
  <c r="AS57" i="204"/>
  <c r="AQ57" i="204"/>
  <c r="AO57" i="204"/>
  <c r="AN57" i="204"/>
  <c r="AM57" i="204"/>
  <c r="EK34" i="204"/>
  <c r="EV34" i="204" s="1"/>
  <c r="EI34" i="204"/>
  <c r="AZ28" i="204"/>
  <c r="AP28" i="204"/>
  <c r="AU28" i="204"/>
  <c r="AS24" i="205"/>
  <c r="AQ24" i="205"/>
  <c r="AJ24" i="205"/>
  <c r="AL24" i="205"/>
  <c r="AO24" i="205"/>
  <c r="AN24" i="205"/>
  <c r="AM24" i="205"/>
  <c r="AZ40" i="203"/>
  <c r="AU40" i="203"/>
  <c r="EO40" i="203" s="1"/>
  <c r="AP40" i="203"/>
  <c r="G45" i="205"/>
  <c r="F45" i="205"/>
  <c r="H45" i="205"/>
  <c r="EK40" i="205"/>
  <c r="EV40" i="205" s="1"/>
  <c r="CJ40" i="205" s="1"/>
  <c r="EJ33" i="205"/>
  <c r="EH31" i="204"/>
  <c r="EJ31" i="204"/>
  <c r="CH31" i="204" s="1"/>
  <c r="EO30" i="206"/>
  <c r="EQ30" i="206"/>
  <c r="CI30" i="206" s="1"/>
  <c r="ER40" i="204"/>
  <c r="EP40" i="204"/>
  <c r="EQ39" i="203"/>
  <c r="EO39" i="203"/>
  <c r="EV23" i="205"/>
  <c r="CJ23" i="205" s="1"/>
  <c r="P24" i="204"/>
  <c r="O24" i="204"/>
  <c r="N24" i="204"/>
  <c r="AL18" i="203"/>
  <c r="AS18" i="203"/>
  <c r="AJ18" i="203"/>
  <c r="AQ18" i="203"/>
  <c r="AO18" i="203"/>
  <c r="AN18" i="203"/>
  <c r="AM18" i="203"/>
  <c r="EH21" i="203"/>
  <c r="EJ21" i="203"/>
  <c r="EQ45" i="206"/>
  <c r="CI45" i="206" s="1"/>
  <c r="AZ45" i="204"/>
  <c r="AU45" i="204"/>
  <c r="EQ33" i="204"/>
  <c r="EO33" i="204"/>
  <c r="EJ25" i="204"/>
  <c r="EQ29" i="203"/>
  <c r="CI29" i="203" s="1"/>
  <c r="EO29" i="203"/>
  <c r="I36" i="202"/>
  <c r="K36" i="202"/>
  <c r="AS36" i="202" s="1"/>
  <c r="AT36" i="202" s="1"/>
  <c r="J36" i="202"/>
  <c r="EH33" i="202"/>
  <c r="EJ33" i="202"/>
  <c r="CH33" i="202" s="1"/>
  <c r="EJ36" i="204"/>
  <c r="CH36" i="204" s="1"/>
  <c r="EH36" i="204"/>
  <c r="ER23" i="205"/>
  <c r="AP19" i="203"/>
  <c r="AU19" i="203"/>
  <c r="EO19" i="203" s="1"/>
  <c r="AZ19" i="203"/>
  <c r="AZ25" i="202"/>
  <c r="AP25" i="202"/>
  <c r="AU25" i="202"/>
  <c r="EH25" i="202" s="1"/>
  <c r="P24" i="200"/>
  <c r="O24" i="200"/>
  <c r="N24" i="200"/>
  <c r="EK41" i="202"/>
  <c r="EV41" i="202" s="1"/>
  <c r="AZ43" i="200"/>
  <c r="AP43" i="200"/>
  <c r="AU43" i="200"/>
  <c r="EO43" i="200" s="1"/>
  <c r="S21" i="200"/>
  <c r="R21" i="200"/>
  <c r="Q21" i="200"/>
  <c r="W20" i="205"/>
  <c r="V20" i="205"/>
  <c r="AT20" i="205" s="1"/>
  <c r="K18" i="205"/>
  <c r="AS18" i="205" s="1"/>
  <c r="J18" i="205"/>
  <c r="AZ18" i="205" s="1"/>
  <c r="I18" i="205"/>
  <c r="EQ36" i="204"/>
  <c r="EO36" i="204"/>
  <c r="ER41" i="201"/>
  <c r="DR26" i="200"/>
  <c r="CS26" i="200"/>
  <c r="DQ26" i="200"/>
  <c r="CR26" i="200"/>
  <c r="EJ85" i="200"/>
  <c r="EL85" i="200" s="1"/>
  <c r="EU26" i="200"/>
  <c r="ET26" i="200"/>
  <c r="ES26" i="200"/>
  <c r="EI22" i="199"/>
  <c r="EK22" i="199"/>
  <c r="AZ42" i="205"/>
  <c r="AU42" i="205"/>
  <c r="EV26" i="204"/>
  <c r="CJ26" i="204" s="1"/>
  <c r="EI39" i="202"/>
  <c r="EK39" i="202"/>
  <c r="EV39" i="202" s="1"/>
  <c r="Q16" i="202"/>
  <c r="S16" i="202"/>
  <c r="R16" i="202"/>
  <c r="EH17" i="201"/>
  <c r="EJ17" i="201"/>
  <c r="U43" i="200"/>
  <c r="T43" i="200"/>
  <c r="AR43" i="200" s="1"/>
  <c r="DQ35" i="200"/>
  <c r="CR35" i="200"/>
  <c r="EU35" i="200"/>
  <c r="ET35" i="200"/>
  <c r="ES35" i="200"/>
  <c r="EJ94" i="200"/>
  <c r="DR35" i="200"/>
  <c r="CS35" i="200"/>
  <c r="T43" i="199"/>
  <c r="U43" i="199"/>
  <c r="W41" i="199"/>
  <c r="V41" i="199"/>
  <c r="AT41" i="199" s="1"/>
  <c r="EP35" i="199"/>
  <c r="ER35" i="199"/>
  <c r="DR39" i="197"/>
  <c r="CS39" i="197"/>
  <c r="DQ39" i="197"/>
  <c r="CR39" i="197"/>
  <c r="EU39" i="197"/>
  <c r="ET39" i="197"/>
  <c r="ES39" i="197"/>
  <c r="EJ98" i="197"/>
  <c r="EL98" i="197" s="1"/>
  <c r="S28" i="197"/>
  <c r="R28" i="197"/>
  <c r="Q28" i="197"/>
  <c r="EO23" i="201"/>
  <c r="EQ23" i="201"/>
  <c r="CI23" i="201" s="1"/>
  <c r="AN57" i="200"/>
  <c r="AM57" i="200"/>
  <c r="AL57" i="200"/>
  <c r="AU57" i="200" s="1"/>
  <c r="AO57" i="200"/>
  <c r="AQ57" i="200"/>
  <c r="AS57" i="200"/>
  <c r="EJ23" i="200"/>
  <c r="EI21" i="200"/>
  <c r="EK21" i="200"/>
  <c r="EV21" i="200" s="1"/>
  <c r="AL18" i="199"/>
  <c r="AS18" i="199"/>
  <c r="AJ18" i="199"/>
  <c r="AM18" i="199"/>
  <c r="AO18" i="199"/>
  <c r="AQ18" i="199"/>
  <c r="AN18" i="199"/>
  <c r="DT74" i="193"/>
  <c r="DU74" i="193"/>
  <c r="EP36" i="203"/>
  <c r="ER36" i="203"/>
  <c r="GL41" i="202"/>
  <c r="EJ34" i="202"/>
  <c r="EH34" i="202"/>
  <c r="H18" i="201"/>
  <c r="AQ18" i="201" s="1"/>
  <c r="AR18" i="201" s="1"/>
  <c r="G18" i="201"/>
  <c r="F18" i="201"/>
  <c r="AZ18" i="201" s="1"/>
  <c r="K43" i="200"/>
  <c r="AS43" i="200" s="1"/>
  <c r="I43" i="200"/>
  <c r="J43" i="200"/>
  <c r="EL89" i="199"/>
  <c r="AD46" i="197"/>
  <c r="EK34" i="196"/>
  <c r="EJ24" i="201"/>
  <c r="CH24" i="201" s="1"/>
  <c r="AO42" i="198"/>
  <c r="AN42" i="198"/>
  <c r="AL42" i="198"/>
  <c r="AP42" i="198" s="1"/>
  <c r="AM42" i="198"/>
  <c r="EK27" i="197"/>
  <c r="DN85" i="193"/>
  <c r="DM85" i="193"/>
  <c r="H41" i="193"/>
  <c r="G41" i="193"/>
  <c r="I41" i="193"/>
  <c r="BS41" i="193" s="1"/>
  <c r="EJ26" i="202"/>
  <c r="CJ20" i="201"/>
  <c r="X20" i="201"/>
  <c r="EP26" i="200"/>
  <c r="W45" i="199"/>
  <c r="V45" i="199"/>
  <c r="AT45" i="199" s="1"/>
  <c r="EF18" i="199"/>
  <c r="EG18" i="199"/>
  <c r="EU27" i="202"/>
  <c r="DR27" i="202"/>
  <c r="CR27" i="202"/>
  <c r="DQ27" i="202"/>
  <c r="ES27" i="202"/>
  <c r="EJ86" i="202"/>
  <c r="EL86" i="202" s="1"/>
  <c r="CS27" i="202"/>
  <c r="EQ27" i="199"/>
  <c r="EO27" i="199"/>
  <c r="AZ20" i="198"/>
  <c r="AP20" i="198"/>
  <c r="AU20" i="198"/>
  <c r="EP20" i="198" s="1"/>
  <c r="ER44" i="204"/>
  <c r="ER18" i="203"/>
  <c r="EV18" i="203" s="1"/>
  <c r="EK36" i="200"/>
  <c r="EV36" i="200" s="1"/>
  <c r="EP27" i="200"/>
  <c r="ER27" i="200"/>
  <c r="EV27" i="200" s="1"/>
  <c r="CJ27" i="196"/>
  <c r="X27" i="196"/>
  <c r="DR16" i="200"/>
  <c r="CS16" i="200"/>
  <c r="DQ16" i="200"/>
  <c r="CR16" i="200"/>
  <c r="EJ75" i="200"/>
  <c r="EL75" i="200" s="1"/>
  <c r="EU16" i="200"/>
  <c r="ES16" i="200"/>
  <c r="ET16" i="200"/>
  <c r="EJ20" i="198"/>
  <c r="EL94" i="200"/>
  <c r="EO38" i="200"/>
  <c r="EQ38" i="200"/>
  <c r="EK38" i="198"/>
  <c r="EV38" i="198" s="1"/>
  <c r="EI38" i="198"/>
  <c r="E45" i="197"/>
  <c r="D45" i="197"/>
  <c r="GK45" i="197" s="1"/>
  <c r="G43" i="201"/>
  <c r="F43" i="201"/>
  <c r="H43" i="201"/>
  <c r="AQ43" i="201" s="1"/>
  <c r="ER45" i="200"/>
  <c r="EP45" i="200"/>
  <c r="EK32" i="200"/>
  <c r="EV32" i="200" s="1"/>
  <c r="DN72" i="193"/>
  <c r="DM72" i="193"/>
  <c r="AU29" i="196"/>
  <c r="DQ42" i="201"/>
  <c r="L42" i="201" s="1"/>
  <c r="CR42" i="201"/>
  <c r="EU42" i="201"/>
  <c r="DR42" i="201"/>
  <c r="M42" i="201" s="1"/>
  <c r="ES42" i="201"/>
  <c r="EJ101" i="201"/>
  <c r="CS42" i="201"/>
  <c r="ET42" i="201"/>
  <c r="EQ37" i="198"/>
  <c r="CI37" i="198" s="1"/>
  <c r="EH36" i="197"/>
  <c r="EJ36" i="197"/>
  <c r="EQ42" i="205"/>
  <c r="CI42" i="205" s="1"/>
  <c r="EO42" i="205"/>
  <c r="ER34" i="202"/>
  <c r="EP34" i="202"/>
  <c r="EH19" i="201"/>
  <c r="EJ19" i="201"/>
  <c r="DU77" i="193"/>
  <c r="DT77" i="193"/>
  <c r="EO37" i="200"/>
  <c r="EQ37" i="200"/>
  <c r="EJ36" i="196"/>
  <c r="CH36" i="196" s="1"/>
  <c r="I33" i="193"/>
  <c r="BS33" i="193" s="1"/>
  <c r="BT33" i="193" s="1"/>
  <c r="H33" i="193"/>
  <c r="G33" i="193"/>
  <c r="BW38" i="192"/>
  <c r="BX38" i="192" s="1"/>
  <c r="FF78" i="192"/>
  <c r="AZ24" i="197"/>
  <c r="AP24" i="197"/>
  <c r="AU24" i="197"/>
  <c r="CH33" i="201"/>
  <c r="AU43" i="199"/>
  <c r="EP43" i="199" s="1"/>
  <c r="AZ43" i="199"/>
  <c r="AP43" i="199"/>
  <c r="EP22" i="199"/>
  <c r="ER22" i="199"/>
  <c r="DR28" i="198"/>
  <c r="CS28" i="198"/>
  <c r="EJ87" i="198"/>
  <c r="EL87" i="198" s="1"/>
  <c r="DQ28" i="198"/>
  <c r="CR28" i="198"/>
  <c r="ES28" i="198"/>
  <c r="ET28" i="198"/>
  <c r="EU28" i="198"/>
  <c r="EH26" i="197"/>
  <c r="H21" i="197"/>
  <c r="AQ21" i="197" s="1"/>
  <c r="G21" i="197"/>
  <c r="F21" i="197"/>
  <c r="DT79" i="191"/>
  <c r="DU79" i="191"/>
  <c r="DN78" i="193"/>
  <c r="DM78" i="193"/>
  <c r="DR22" i="200"/>
  <c r="CS22" i="200"/>
  <c r="DQ22" i="200"/>
  <c r="CR22" i="200"/>
  <c r="EJ81" i="200"/>
  <c r="EL81" i="200" s="1"/>
  <c r="EU22" i="200"/>
  <c r="ET22" i="200"/>
  <c r="ES22" i="200"/>
  <c r="EK69" i="196"/>
  <c r="EV69" i="196" s="1"/>
  <c r="EI69" i="196"/>
  <c r="K27" i="196"/>
  <c r="AS27" i="196" s="1"/>
  <c r="I27" i="196"/>
  <c r="AZ27" i="196" s="1"/>
  <c r="J27" i="196"/>
  <c r="DW65" i="193"/>
  <c r="DY65" i="193"/>
  <c r="DY79" i="193"/>
  <c r="DW79" i="193"/>
  <c r="DN73" i="191"/>
  <c r="DM73" i="191"/>
  <c r="DX69" i="192"/>
  <c r="DV69" i="192"/>
  <c r="BW37" i="192"/>
  <c r="BX37" i="192" s="1"/>
  <c r="DX55" i="192"/>
  <c r="EM15" i="192" s="1"/>
  <c r="DV55" i="192"/>
  <c r="DM85" i="191"/>
  <c r="DN85" i="191"/>
  <c r="FJ56" i="191"/>
  <c r="FK57" i="191"/>
  <c r="DQ76" i="192"/>
  <c r="DO76" i="192"/>
  <c r="DX71" i="193"/>
  <c r="DV71" i="193"/>
  <c r="DW58" i="192"/>
  <c r="DY58" i="192"/>
  <c r="DQ70" i="191"/>
  <c r="DO70" i="191"/>
  <c r="FR56" i="191"/>
  <c r="FS57" i="191" s="1"/>
  <c r="FP56" i="191"/>
  <c r="GA56" i="191" s="1"/>
  <c r="FO56" i="191"/>
  <c r="FN56" i="191"/>
  <c r="FW56" i="191" s="1"/>
  <c r="FV56" i="191" s="1"/>
  <c r="FQ56" i="191"/>
  <c r="FY56" i="191" s="1"/>
  <c r="FU56" i="191"/>
  <c r="FT56" i="191" s="1"/>
  <c r="D42" i="208"/>
  <c r="GK42" i="208" s="1"/>
  <c r="E42" i="208"/>
  <c r="EQ45" i="208"/>
  <c r="CI45" i="208" s="1"/>
  <c r="EP24" i="208"/>
  <c r="ER24" i="208"/>
  <c r="U33" i="208"/>
  <c r="T33" i="208"/>
  <c r="AR33" i="208" s="1"/>
  <c r="EJ37" i="208"/>
  <c r="EJ84" i="208"/>
  <c r="EL84" i="208" s="1"/>
  <c r="DQ25" i="208"/>
  <c r="CR25" i="208"/>
  <c r="EU25" i="208"/>
  <c r="DR25" i="208"/>
  <c r="ET25" i="208"/>
  <c r="CS25" i="208"/>
  <c r="ES25" i="208"/>
  <c r="EH29" i="208"/>
  <c r="EJ29" i="208"/>
  <c r="AP29" i="208"/>
  <c r="AU29" i="208"/>
  <c r="AN35" i="207"/>
  <c r="AL35" i="207"/>
  <c r="AS35" i="207"/>
  <c r="AJ35" i="207"/>
  <c r="AQ35" i="207"/>
  <c r="AO35" i="207"/>
  <c r="AM35" i="207"/>
  <c r="W33" i="207"/>
  <c r="V33" i="207"/>
  <c r="AT33" i="207" s="1"/>
  <c r="AU27" i="207"/>
  <c r="AP27" i="207"/>
  <c r="AP32" i="208"/>
  <c r="AU32" i="208"/>
  <c r="AL43" i="207"/>
  <c r="AS43" i="207"/>
  <c r="AQ43" i="207"/>
  <c r="AO43" i="207"/>
  <c r="AN43" i="207"/>
  <c r="AP43" i="207" s="1"/>
  <c r="AM43" i="207"/>
  <c r="X43" i="207"/>
  <c r="CJ43" i="207"/>
  <c r="EK24" i="207"/>
  <c r="EI24" i="207"/>
  <c r="EJ22" i="207"/>
  <c r="CH22" i="207" s="1"/>
  <c r="AS25" i="206"/>
  <c r="AJ25" i="206"/>
  <c r="AQ25" i="206"/>
  <c r="AL25" i="206"/>
  <c r="AO25" i="206"/>
  <c r="AM25" i="206"/>
  <c r="AN25" i="206"/>
  <c r="ER32" i="207"/>
  <c r="EV32" i="207" s="1"/>
  <c r="EQ39" i="206"/>
  <c r="DR22" i="206"/>
  <c r="AZ29" i="206"/>
  <c r="AU29" i="206"/>
  <c r="AP29" i="206"/>
  <c r="EK21" i="207"/>
  <c r="EV21" i="207" s="1"/>
  <c r="CJ21" i="207" s="1"/>
  <c r="EH24" i="206"/>
  <c r="EJ24" i="206"/>
  <c r="EO20" i="206"/>
  <c r="EQ20" i="206"/>
  <c r="CI20" i="206" s="1"/>
  <c r="AZ21" i="207"/>
  <c r="AP21" i="207"/>
  <c r="AU21" i="207"/>
  <c r="EK33" i="206"/>
  <c r="EV33" i="206" s="1"/>
  <c r="CJ33" i="206" s="1"/>
  <c r="EI20" i="206"/>
  <c r="EK20" i="206"/>
  <c r="ER30" i="207"/>
  <c r="EP30" i="207"/>
  <c r="EL79" i="206"/>
  <c r="EP22" i="206"/>
  <c r="ER22" i="206"/>
  <c r="ER39" i="207"/>
  <c r="K42" i="205"/>
  <c r="I42" i="205"/>
  <c r="J42" i="205"/>
  <c r="ER32" i="206"/>
  <c r="EP19" i="206"/>
  <c r="ER19" i="206"/>
  <c r="EP28" i="206"/>
  <c r="ER28" i="206"/>
  <c r="EP35" i="205"/>
  <c r="ER35" i="205"/>
  <c r="ER43" i="204"/>
  <c r="AP40" i="205"/>
  <c r="AZ40" i="205"/>
  <c r="AU40" i="205"/>
  <c r="EG22" i="205"/>
  <c r="EF22" i="205"/>
  <c r="CJ44" i="206"/>
  <c r="X44" i="206"/>
  <c r="EH40" i="205"/>
  <c r="EJ40" i="205"/>
  <c r="EI31" i="204"/>
  <c r="EK31" i="204"/>
  <c r="EO40" i="204"/>
  <c r="EQ40" i="204"/>
  <c r="CI40" i="204" s="1"/>
  <c r="EP39" i="203"/>
  <c r="ER39" i="203"/>
  <c r="AZ23" i="202"/>
  <c r="AU23" i="202"/>
  <c r="AP23" i="202"/>
  <c r="EK19" i="203"/>
  <c r="EV19" i="203" s="1"/>
  <c r="S26" i="205"/>
  <c r="R26" i="205"/>
  <c r="Q26" i="205"/>
  <c r="EJ45" i="204"/>
  <c r="EH45" i="204"/>
  <c r="EH27" i="203"/>
  <c r="EJ27" i="203"/>
  <c r="EK36" i="205"/>
  <c r="EV36" i="205" s="1"/>
  <c r="EI36" i="205"/>
  <c r="W45" i="204"/>
  <c r="V45" i="204"/>
  <c r="EK25" i="204"/>
  <c r="CI20" i="203"/>
  <c r="EV20" i="203"/>
  <c r="EJ25" i="203"/>
  <c r="CH25" i="203" s="1"/>
  <c r="EH29" i="202"/>
  <c r="EJ29" i="202"/>
  <c r="EJ20" i="205"/>
  <c r="EQ32" i="205"/>
  <c r="EQ25" i="204"/>
  <c r="E42" i="202"/>
  <c r="D42" i="202"/>
  <c r="GK42" i="202" s="1"/>
  <c r="GM42" i="202" s="1"/>
  <c r="EJ28" i="202"/>
  <c r="CH28" i="202" s="1"/>
  <c r="EH28" i="202"/>
  <c r="AQ41" i="200"/>
  <c r="AZ41" i="200"/>
  <c r="EJ35" i="200"/>
  <c r="CH35" i="200" s="1"/>
  <c r="EH35" i="200"/>
  <c r="EJ18" i="206"/>
  <c r="EH18" i="206"/>
  <c r="ER19" i="203"/>
  <c r="AP57" i="199"/>
  <c r="AZ57" i="199" s="1"/>
  <c r="AU57" i="199"/>
  <c r="H43" i="199"/>
  <c r="AQ43" i="199" s="1"/>
  <c r="G43" i="199"/>
  <c r="F43" i="199"/>
  <c r="EJ88" i="199"/>
  <c r="DR29" i="199"/>
  <c r="CS29" i="199"/>
  <c r="DQ29" i="199"/>
  <c r="CR29" i="199"/>
  <c r="EU29" i="199"/>
  <c r="ET29" i="199"/>
  <c r="ES29" i="199"/>
  <c r="EL88" i="199"/>
  <c r="EQ45" i="205"/>
  <c r="ER26" i="202"/>
  <c r="CI26" i="202" s="1"/>
  <c r="AU23" i="200"/>
  <c r="AP23" i="200"/>
  <c r="AZ33" i="199"/>
  <c r="AU33" i="199"/>
  <c r="AP33" i="199"/>
  <c r="DR33" i="204"/>
  <c r="CS33" i="204"/>
  <c r="DQ33" i="204"/>
  <c r="CR33" i="204"/>
  <c r="EU33" i="204"/>
  <c r="EL92" i="204"/>
  <c r="EJ92" i="204"/>
  <c r="ES33" i="204"/>
  <c r="ET33" i="204"/>
  <c r="W44" i="203"/>
  <c r="V44" i="203"/>
  <c r="AT44" i="203" s="1"/>
  <c r="O30" i="202"/>
  <c r="N30" i="202"/>
  <c r="P30" i="202"/>
  <c r="EQ41" i="201"/>
  <c r="EJ97" i="205"/>
  <c r="DR38" i="205"/>
  <c r="CS38" i="205"/>
  <c r="DQ38" i="205"/>
  <c r="CR38" i="205"/>
  <c r="EU38" i="205"/>
  <c r="ET38" i="205"/>
  <c r="AZ21" i="202"/>
  <c r="AP21" i="202"/>
  <c r="AU21" i="202"/>
  <c r="K43" i="201"/>
  <c r="AS43" i="201" s="1"/>
  <c r="J43" i="201"/>
  <c r="I43" i="201"/>
  <c r="V27" i="201"/>
  <c r="AT27" i="201" s="1"/>
  <c r="W27" i="201"/>
  <c r="EH38" i="200"/>
  <c r="EJ38" i="200"/>
  <c r="EI34" i="200"/>
  <c r="EK34" i="200"/>
  <c r="EJ76" i="198"/>
  <c r="EL76" i="198" s="1"/>
  <c r="DQ17" i="198"/>
  <c r="CR17" i="198"/>
  <c r="EU17" i="198"/>
  <c r="ET17" i="198"/>
  <c r="ES17" i="198"/>
  <c r="DR17" i="198"/>
  <c r="CS17" i="198"/>
  <c r="AZ32" i="202"/>
  <c r="AU32" i="202"/>
  <c r="EO32" i="202" s="1"/>
  <c r="AP32" i="202"/>
  <c r="Q19" i="202"/>
  <c r="S19" i="202"/>
  <c r="R19" i="202"/>
  <c r="ER23" i="201"/>
  <c r="EP23" i="201"/>
  <c r="EP34" i="199"/>
  <c r="ER34" i="199"/>
  <c r="EO38" i="197"/>
  <c r="EQ38" i="197"/>
  <c r="DR38" i="200"/>
  <c r="CS38" i="200"/>
  <c r="DQ38" i="200"/>
  <c r="CR38" i="200"/>
  <c r="ET38" i="200"/>
  <c r="EU38" i="200"/>
  <c r="EJ97" i="200"/>
  <c r="EL97" i="200" s="1"/>
  <c r="EQ41" i="198"/>
  <c r="EF31" i="198"/>
  <c r="EG31" i="198"/>
  <c r="EN33" i="197"/>
  <c r="EM33" i="197"/>
  <c r="EV24" i="201"/>
  <c r="CJ24" i="201" s="1"/>
  <c r="GA57" i="199"/>
  <c r="GE57" i="199"/>
  <c r="GD57" i="199"/>
  <c r="GC57" i="199"/>
  <c r="GB57" i="199"/>
  <c r="EP35" i="198"/>
  <c r="ER35" i="198"/>
  <c r="EQ30" i="198"/>
  <c r="CI30" i="198" s="1"/>
  <c r="EO30" i="198"/>
  <c r="AZ16" i="198"/>
  <c r="AU16" i="198"/>
  <c r="AP16" i="198"/>
  <c r="EJ27" i="197"/>
  <c r="CH27" i="197" s="1"/>
  <c r="EJ28" i="196"/>
  <c r="CH28" i="196" s="1"/>
  <c r="EH28" i="196"/>
  <c r="EO28" i="201"/>
  <c r="EQ28" i="201"/>
  <c r="EI29" i="200"/>
  <c r="EK29" i="200"/>
  <c r="EV29" i="200" s="1"/>
  <c r="EQ44" i="199"/>
  <c r="EQ43" i="201"/>
  <c r="EQ17" i="200"/>
  <c r="ER27" i="199"/>
  <c r="EV27" i="199" s="1"/>
  <c r="CJ27" i="199" s="1"/>
  <c r="EP27" i="199"/>
  <c r="EK28" i="198"/>
  <c r="EV28" i="198" s="1"/>
  <c r="CJ28" i="198" s="1"/>
  <c r="EI28" i="198"/>
  <c r="AZ17" i="204"/>
  <c r="AP17" i="204"/>
  <c r="AU17" i="204"/>
  <c r="EP17" i="204" s="1"/>
  <c r="EQ45" i="197"/>
  <c r="K42" i="201"/>
  <c r="AS42" i="201" s="1"/>
  <c r="I42" i="201"/>
  <c r="J42" i="201"/>
  <c r="E41" i="201"/>
  <c r="D41" i="201"/>
  <c r="GK41" i="201" s="1"/>
  <c r="GM41" i="201" s="1"/>
  <c r="EJ27" i="198"/>
  <c r="EH27" i="198"/>
  <c r="AU28" i="196"/>
  <c r="AZ28" i="196"/>
  <c r="AP28" i="196"/>
  <c r="EP38" i="200"/>
  <c r="ER38" i="200"/>
  <c r="EO37" i="199"/>
  <c r="EQ37" i="199"/>
  <c r="EP30" i="199"/>
  <c r="G27" i="197"/>
  <c r="H27" i="197"/>
  <c r="AQ27" i="197" s="1"/>
  <c r="F27" i="197"/>
  <c r="AZ27" i="197" s="1"/>
  <c r="GD40" i="193"/>
  <c r="GC40" i="193"/>
  <c r="GB40" i="193"/>
  <c r="GA40" i="193"/>
  <c r="GE40" i="193"/>
  <c r="E43" i="201"/>
  <c r="D43" i="201"/>
  <c r="GK43" i="201" s="1"/>
  <c r="EJ32" i="200"/>
  <c r="CH32" i="200" s="1"/>
  <c r="EH32" i="200"/>
  <c r="EK41" i="198"/>
  <c r="V21" i="203"/>
  <c r="AT21" i="203" s="1"/>
  <c r="W21" i="203"/>
  <c r="AP36" i="201"/>
  <c r="AU36" i="201"/>
  <c r="AZ36" i="201"/>
  <c r="EI36" i="197"/>
  <c r="EK36" i="197"/>
  <c r="CH40" i="199"/>
  <c r="EK37" i="198"/>
  <c r="AU32" i="197"/>
  <c r="AP32" i="197"/>
  <c r="FA76" i="193"/>
  <c r="EY76" i="193" s="1"/>
  <c r="EZ76" i="193"/>
  <c r="AJ42" i="197"/>
  <c r="EQ36" i="197"/>
  <c r="ER23" i="197"/>
  <c r="DU80" i="193"/>
  <c r="DT80" i="193"/>
  <c r="EQ24" i="198"/>
  <c r="EP32" i="201"/>
  <c r="ER32" i="201"/>
  <c r="EJ21" i="199"/>
  <c r="CH21" i="199" s="1"/>
  <c r="EH21" i="199"/>
  <c r="DT83" i="191"/>
  <c r="DU83" i="191"/>
  <c r="I44" i="201"/>
  <c r="J44" i="201"/>
  <c r="K44" i="201"/>
  <c r="EK22" i="201"/>
  <c r="EV22" i="201" s="1"/>
  <c r="EI22" i="201"/>
  <c r="DP54" i="193"/>
  <c r="DR54" i="193"/>
  <c r="DV79" i="192"/>
  <c r="DX79" i="192"/>
  <c r="DV54" i="192"/>
  <c r="DX54" i="192"/>
  <c r="EO35" i="196"/>
  <c r="EQ35" i="196"/>
  <c r="DR83" i="192"/>
  <c r="DP83" i="192"/>
  <c r="FX55" i="193"/>
  <c r="FA66" i="193"/>
  <c r="EY66" i="193" s="1"/>
  <c r="T45" i="192"/>
  <c r="S45" i="192"/>
  <c r="EC85" i="192"/>
  <c r="EJ92" i="198"/>
  <c r="EL92" i="198" s="1"/>
  <c r="EU33" i="198"/>
  <c r="ES33" i="198"/>
  <c r="CS33" i="198"/>
  <c r="DR33" i="198"/>
  <c r="CR33" i="198"/>
  <c r="DQ33" i="198"/>
  <c r="DW61" i="193"/>
  <c r="DY61" i="193"/>
  <c r="DR59" i="192"/>
  <c r="DP59" i="192"/>
  <c r="ER21" i="201"/>
  <c r="DN71" i="191"/>
  <c r="DM71" i="191"/>
  <c r="EI38" i="202"/>
  <c r="EK38" i="202"/>
  <c r="EV38" i="202" s="1"/>
  <c r="G41" i="197"/>
  <c r="F41" i="197"/>
  <c r="H41" i="197"/>
  <c r="EK25" i="196"/>
  <c r="EV25" i="196" s="1"/>
  <c r="CJ25" i="196" s="1"/>
  <c r="DV73" i="193"/>
  <c r="DX73" i="193"/>
  <c r="EM33" i="193" s="1"/>
  <c r="DP70" i="191"/>
  <c r="DR70" i="191"/>
  <c r="DW73" i="191"/>
  <c r="DY73" i="191"/>
  <c r="DO74" i="191"/>
  <c r="DQ74" i="191"/>
  <c r="DY68" i="191"/>
  <c r="EC68" i="191" s="1"/>
  <c r="EN28" i="191" s="1"/>
  <c r="DW68" i="191"/>
  <c r="EQ42" i="208"/>
  <c r="CI42" i="208" s="1"/>
  <c r="EO42" i="208"/>
  <c r="EQ38" i="208"/>
  <c r="CI38" i="208" s="1"/>
  <c r="EO38" i="208"/>
  <c r="EV41" i="208"/>
  <c r="K40" i="208"/>
  <c r="AS40" i="208" s="1"/>
  <c r="I40" i="208"/>
  <c r="J40" i="208"/>
  <c r="EV42" i="208"/>
  <c r="D39" i="208"/>
  <c r="GK39" i="208" s="1"/>
  <c r="E39" i="208"/>
  <c r="F36" i="208"/>
  <c r="G36" i="208"/>
  <c r="H36" i="208"/>
  <c r="AQ36" i="208" s="1"/>
  <c r="H27" i="208"/>
  <c r="AQ27" i="208" s="1"/>
  <c r="G27" i="208"/>
  <c r="F27" i="208"/>
  <c r="AZ27" i="208" s="1"/>
  <c r="EK37" i="208"/>
  <c r="EV37" i="208" s="1"/>
  <c r="AZ31" i="208"/>
  <c r="AP31" i="208"/>
  <c r="AU31" i="208"/>
  <c r="X33" i="208"/>
  <c r="CJ33" i="208"/>
  <c r="EF21" i="208"/>
  <c r="EG21" i="208"/>
  <c r="CI33" i="208"/>
  <c r="EI29" i="208"/>
  <c r="EK29" i="208"/>
  <c r="EV29" i="208" s="1"/>
  <c r="CJ29" i="208" s="1"/>
  <c r="EQ17" i="208"/>
  <c r="EO17" i="208"/>
  <c r="H24" i="208"/>
  <c r="AQ24" i="208" s="1"/>
  <c r="AR24" i="208" s="1"/>
  <c r="G24" i="208"/>
  <c r="F24" i="208"/>
  <c r="AZ24" i="208" s="1"/>
  <c r="GC42" i="208"/>
  <c r="GA42" i="208"/>
  <c r="GD42" i="208"/>
  <c r="GB42" i="208"/>
  <c r="GE42" i="208"/>
  <c r="EQ21" i="208"/>
  <c r="CI21" i="208" s="1"/>
  <c r="DR41" i="207"/>
  <c r="M41" i="207" s="1"/>
  <c r="CS41" i="207"/>
  <c r="DQ41" i="207"/>
  <c r="L41" i="207" s="1"/>
  <c r="CR41" i="207"/>
  <c r="EJ100" i="207"/>
  <c r="EU41" i="207"/>
  <c r="EL100" i="207"/>
  <c r="ET41" i="207"/>
  <c r="EI41" i="207"/>
  <c r="ES41" i="207"/>
  <c r="AM38" i="207"/>
  <c r="AJ38" i="207"/>
  <c r="AQ38" i="207"/>
  <c r="AO38" i="207"/>
  <c r="AN38" i="207"/>
  <c r="AL38" i="207"/>
  <c r="CS23" i="208"/>
  <c r="AP19" i="208"/>
  <c r="AU19" i="208"/>
  <c r="EJ31" i="208"/>
  <c r="EH31" i="208"/>
  <c r="AZ39" i="207"/>
  <c r="AP39" i="207"/>
  <c r="AU39" i="207"/>
  <c r="EH39" i="207" s="1"/>
  <c r="AU24" i="208"/>
  <c r="AP24" i="208"/>
  <c r="H31" i="207"/>
  <c r="AQ31" i="207" s="1"/>
  <c r="AR31" i="207" s="1"/>
  <c r="G31" i="207"/>
  <c r="F31" i="207"/>
  <c r="AZ31" i="207" s="1"/>
  <c r="H24" i="207"/>
  <c r="AQ24" i="207" s="1"/>
  <c r="AR24" i="207" s="1"/>
  <c r="F24" i="207"/>
  <c r="AZ24" i="207" s="1"/>
  <c r="G24" i="207"/>
  <c r="EV30" i="208"/>
  <c r="CJ30" i="208" s="1"/>
  <c r="CH32" i="207"/>
  <c r="H29" i="207"/>
  <c r="AQ29" i="207" s="1"/>
  <c r="G29" i="207"/>
  <c r="F29" i="207"/>
  <c r="AZ29" i="207" s="1"/>
  <c r="W43" i="207"/>
  <c r="V43" i="207"/>
  <c r="AT43" i="207" s="1"/>
  <c r="G28" i="207"/>
  <c r="F28" i="207"/>
  <c r="H28" i="207"/>
  <c r="AQ28" i="207" s="1"/>
  <c r="T33" i="207"/>
  <c r="U33" i="207"/>
  <c r="EO27" i="207"/>
  <c r="EQ27" i="207"/>
  <c r="F44" i="206"/>
  <c r="H44" i="206"/>
  <c r="G44" i="206"/>
  <c r="EQ23" i="207"/>
  <c r="AP19" i="207"/>
  <c r="AU19" i="207"/>
  <c r="EO19" i="207" s="1"/>
  <c r="GL42" i="206"/>
  <c r="GM42" i="206" s="1"/>
  <c r="ER44" i="207"/>
  <c r="AD46" i="207"/>
  <c r="V18" i="207"/>
  <c r="W18" i="207"/>
  <c r="EF17" i="207"/>
  <c r="EG17" i="207"/>
  <c r="EK22" i="207"/>
  <c r="W43" i="206"/>
  <c r="V43" i="206"/>
  <c r="AT43" i="206" s="1"/>
  <c r="EI38" i="206"/>
  <c r="EK38" i="206"/>
  <c r="EV38" i="206" s="1"/>
  <c r="EF22" i="206"/>
  <c r="EG22" i="206"/>
  <c r="EO36" i="207"/>
  <c r="EQ36" i="207"/>
  <c r="EJ18" i="207"/>
  <c r="EH18" i="207"/>
  <c r="ER39" i="206"/>
  <c r="AP26" i="206"/>
  <c r="CS22" i="206"/>
  <c r="EG35" i="206"/>
  <c r="EF35" i="206"/>
  <c r="AZ27" i="206"/>
  <c r="AU27" i="206"/>
  <c r="AP27" i="206"/>
  <c r="EI24" i="206"/>
  <c r="EK24" i="206"/>
  <c r="EV24" i="206" s="1"/>
  <c r="ER20" i="206"/>
  <c r="EP20" i="206"/>
  <c r="AU16" i="207"/>
  <c r="AZ16" i="207"/>
  <c r="AP16" i="207"/>
  <c r="AZ17" i="206"/>
  <c r="AP17" i="206"/>
  <c r="AU17" i="206"/>
  <c r="EO17" i="206" s="1"/>
  <c r="ER35" i="207"/>
  <c r="DQ24" i="206"/>
  <c r="CR24" i="206"/>
  <c r="EJ83" i="206"/>
  <c r="EL83" i="206" s="1"/>
  <c r="EU24" i="206"/>
  <c r="ET24" i="206"/>
  <c r="ES24" i="206"/>
  <c r="CS24" i="206"/>
  <c r="DR24" i="206"/>
  <c r="EJ45" i="205"/>
  <c r="CH45" i="205" s="1"/>
  <c r="GD57" i="206"/>
  <c r="GA57" i="206"/>
  <c r="GE57" i="206"/>
  <c r="GC57" i="206"/>
  <c r="GB57" i="206"/>
  <c r="K42" i="206"/>
  <c r="AS42" i="206" s="1"/>
  <c r="J42" i="206"/>
  <c r="I42" i="206"/>
  <c r="T36" i="206"/>
  <c r="U36" i="206"/>
  <c r="EO22" i="206"/>
  <c r="EQ22" i="206"/>
  <c r="CI22" i="206" s="1"/>
  <c r="EQ25" i="207"/>
  <c r="EO25" i="207"/>
  <c r="EJ40" i="206"/>
  <c r="CI21" i="207"/>
  <c r="EQ32" i="206"/>
  <c r="CI32" i="206" s="1"/>
  <c r="AZ26" i="207"/>
  <c r="AU26" i="207"/>
  <c r="EH26" i="207" s="1"/>
  <c r="AP26" i="207"/>
  <c r="EO35" i="205"/>
  <c r="EQ35" i="205"/>
  <c r="EO19" i="204"/>
  <c r="EQ19" i="204"/>
  <c r="EO16" i="206"/>
  <c r="EQ16" i="206"/>
  <c r="CI16" i="206" s="1"/>
  <c r="CJ43" i="205"/>
  <c r="X43" i="205"/>
  <c r="EQ29" i="205"/>
  <c r="AL20" i="205"/>
  <c r="AS20" i="205"/>
  <c r="AJ20" i="205"/>
  <c r="AQ20" i="205"/>
  <c r="AO20" i="205"/>
  <c r="AM20" i="205"/>
  <c r="AN20" i="205"/>
  <c r="EG40" i="204"/>
  <c r="EF40" i="204"/>
  <c r="EQ17" i="206"/>
  <c r="CI17" i="206" s="1"/>
  <c r="GA43" i="204"/>
  <c r="GL43" i="204" s="1"/>
  <c r="GD43" i="204"/>
  <c r="GC43" i="204"/>
  <c r="GB43" i="204"/>
  <c r="GE43" i="204"/>
  <c r="AP20" i="204"/>
  <c r="GL42" i="204"/>
  <c r="ES31" i="204"/>
  <c r="AU25" i="204"/>
  <c r="AZ25" i="204"/>
  <c r="AP25" i="204"/>
  <c r="EQ21" i="204"/>
  <c r="H43" i="203"/>
  <c r="AQ43" i="203" s="1"/>
  <c r="G43" i="203"/>
  <c r="F43" i="203"/>
  <c r="EQ34" i="203"/>
  <c r="CI34" i="203" s="1"/>
  <c r="EJ17" i="206"/>
  <c r="CH17" i="206" s="1"/>
  <c r="EQ38" i="205"/>
  <c r="EO38" i="205"/>
  <c r="AK41" i="204"/>
  <c r="EQ33" i="203"/>
  <c r="E41" i="205"/>
  <c r="D41" i="205"/>
  <c r="GK41" i="205" s="1"/>
  <c r="AP30" i="205"/>
  <c r="AZ30" i="205"/>
  <c r="AU30" i="205"/>
  <c r="EH17" i="205"/>
  <c r="EJ17" i="205"/>
  <c r="EK27" i="206"/>
  <c r="EV27" i="206" s="1"/>
  <c r="EL97" i="205"/>
  <c r="AU29" i="205"/>
  <c r="AZ29" i="205"/>
  <c r="AP29" i="205"/>
  <c r="ER21" i="205"/>
  <c r="EP21" i="205"/>
  <c r="EK45" i="204"/>
  <c r="EV45" i="204" s="1"/>
  <c r="EI45" i="204"/>
  <c r="EK27" i="203"/>
  <c r="EV27" i="203" s="1"/>
  <c r="EI27" i="203"/>
  <c r="AZ35" i="202"/>
  <c r="AU35" i="202"/>
  <c r="AP35" i="202"/>
  <c r="GM45" i="204"/>
  <c r="EJ21" i="204"/>
  <c r="CH21" i="204" s="1"/>
  <c r="AS57" i="203"/>
  <c r="AJ57" i="203"/>
  <c r="AQ57" i="203"/>
  <c r="AO57" i="203"/>
  <c r="AN57" i="203"/>
  <c r="AM57" i="203"/>
  <c r="AL57" i="203"/>
  <c r="EQ28" i="203"/>
  <c r="EO28" i="203"/>
  <c r="EK42" i="202"/>
  <c r="AT27" i="206"/>
  <c r="CH28" i="204"/>
  <c r="ER42" i="203"/>
  <c r="EH37" i="203"/>
  <c r="EJ37" i="203"/>
  <c r="CH37" i="203" s="1"/>
  <c r="X29" i="203"/>
  <c r="CJ29" i="203"/>
  <c r="EK25" i="203"/>
  <c r="EV25" i="203" s="1"/>
  <c r="EV33" i="202"/>
  <c r="CJ33" i="202" s="1"/>
  <c r="EI29" i="202"/>
  <c r="EK29" i="202"/>
  <c r="EK20" i="205"/>
  <c r="EV20" i="205" s="1"/>
  <c r="EP43" i="203"/>
  <c r="ER43" i="203"/>
  <c r="DQ24" i="203"/>
  <c r="CR24" i="203"/>
  <c r="EJ83" i="203"/>
  <c r="EL83" i="203" s="1"/>
  <c r="EU24" i="203"/>
  <c r="ET24" i="203"/>
  <c r="ES24" i="203"/>
  <c r="DR24" i="203"/>
  <c r="CS24" i="203"/>
  <c r="ER32" i="205"/>
  <c r="EV32" i="205" s="1"/>
  <c r="EP32" i="205"/>
  <c r="I42" i="202"/>
  <c r="J42" i="202"/>
  <c r="K42" i="202"/>
  <c r="DQ37" i="202"/>
  <c r="CR37" i="202"/>
  <c r="EJ96" i="202"/>
  <c r="EU37" i="202"/>
  <c r="ES37" i="202"/>
  <c r="CS37" i="202"/>
  <c r="ET37" i="202"/>
  <c r="DR37" i="202"/>
  <c r="EI28" i="202"/>
  <c r="EK28" i="202"/>
  <c r="E42" i="200"/>
  <c r="D42" i="200"/>
  <c r="GK42" i="200" s="1"/>
  <c r="GM42" i="200" s="1"/>
  <c r="EQ39" i="200"/>
  <c r="CI39" i="200" s="1"/>
  <c r="EO39" i="200"/>
  <c r="EK35" i="200"/>
  <c r="EV35" i="200" s="1"/>
  <c r="EI35" i="200"/>
  <c r="AP18" i="200"/>
  <c r="AZ32" i="199"/>
  <c r="AU32" i="199"/>
  <c r="AP32" i="199"/>
  <c r="EK18" i="206"/>
  <c r="EV18" i="206" s="1"/>
  <c r="CJ18" i="206" s="1"/>
  <c r="EI18" i="206"/>
  <c r="EO38" i="203"/>
  <c r="EQ38" i="203"/>
  <c r="CI38" i="203" s="1"/>
  <c r="ER24" i="203"/>
  <c r="EP24" i="203"/>
  <c r="EO28" i="202"/>
  <c r="EQ28" i="202"/>
  <c r="CI28" i="202" s="1"/>
  <c r="AM57" i="201"/>
  <c r="AL57" i="201"/>
  <c r="AS57" i="201"/>
  <c r="AO57" i="201"/>
  <c r="AN57" i="201"/>
  <c r="AJ57" i="201"/>
  <c r="AQ57" i="201"/>
  <c r="ER45" i="205"/>
  <c r="EV45" i="205" s="1"/>
  <c r="EQ45" i="203"/>
  <c r="CI45" i="203" s="1"/>
  <c r="AM16" i="201"/>
  <c r="AL16" i="201"/>
  <c r="AS16" i="201"/>
  <c r="AJ16" i="201"/>
  <c r="AO16" i="201"/>
  <c r="AN16" i="201"/>
  <c r="GC43" i="200"/>
  <c r="GB43" i="200"/>
  <c r="GA43" i="200"/>
  <c r="GE43" i="200"/>
  <c r="GD43" i="200"/>
  <c r="F44" i="199"/>
  <c r="H44" i="199"/>
  <c r="G44" i="199"/>
  <c r="EJ44" i="203"/>
  <c r="CH44" i="203" s="1"/>
  <c r="AP39" i="202"/>
  <c r="AZ39" i="202"/>
  <c r="AU39" i="202"/>
  <c r="EO18" i="201"/>
  <c r="EQ18" i="201"/>
  <c r="CI18" i="201" s="1"/>
  <c r="EL93" i="200"/>
  <c r="CH31" i="200"/>
  <c r="EF25" i="200"/>
  <c r="EG25" i="200"/>
  <c r="E44" i="197"/>
  <c r="D44" i="197"/>
  <c r="GK44" i="197" s="1"/>
  <c r="GM44" i="197" s="1"/>
  <c r="EJ31" i="201"/>
  <c r="EI38" i="200"/>
  <c r="EK38" i="200"/>
  <c r="EV38" i="200" s="1"/>
  <c r="EH34" i="200"/>
  <c r="EJ34" i="200"/>
  <c r="EI16" i="200"/>
  <c r="W38" i="199"/>
  <c r="V38" i="199"/>
  <c r="AT38" i="199" s="1"/>
  <c r="EH29" i="199"/>
  <c r="EJ29" i="199"/>
  <c r="CH29" i="199" s="1"/>
  <c r="AZ31" i="198"/>
  <c r="AU31" i="198"/>
  <c r="AP31" i="198"/>
  <c r="EJ24" i="203"/>
  <c r="CH24" i="203" s="1"/>
  <c r="EH24" i="203"/>
  <c r="CI25" i="202"/>
  <c r="H31" i="201"/>
  <c r="AQ31" i="201" s="1"/>
  <c r="AR31" i="201" s="1"/>
  <c r="G31" i="201"/>
  <c r="F31" i="201"/>
  <c r="EI22" i="200"/>
  <c r="CH19" i="200"/>
  <c r="EQ39" i="198"/>
  <c r="CI39" i="198" s="1"/>
  <c r="EO39" i="198"/>
  <c r="EP38" i="197"/>
  <c r="ER38" i="197"/>
  <c r="DT82" i="193"/>
  <c r="DU82" i="193"/>
  <c r="AZ25" i="205"/>
  <c r="AP25" i="205"/>
  <c r="AU25" i="205"/>
  <c r="CI38" i="201"/>
  <c r="AU34" i="201"/>
  <c r="AZ34" i="201"/>
  <c r="AP34" i="201"/>
  <c r="EH18" i="201"/>
  <c r="EJ18" i="201"/>
  <c r="AZ35" i="200"/>
  <c r="AP40" i="199"/>
  <c r="AU40" i="199"/>
  <c r="ER41" i="198"/>
  <c r="K41" i="197"/>
  <c r="J41" i="197"/>
  <c r="I41" i="197"/>
  <c r="EJ21" i="197"/>
  <c r="CH21" i="197" s="1"/>
  <c r="EH21" i="197"/>
  <c r="EO29" i="202"/>
  <c r="EQ29" i="202"/>
  <c r="AP38" i="200"/>
  <c r="ES27" i="200"/>
  <c r="AP17" i="200"/>
  <c r="AU17" i="200"/>
  <c r="EJ44" i="199"/>
  <c r="CH44" i="199" s="1"/>
  <c r="EQ43" i="198"/>
  <c r="EQ35" i="198"/>
  <c r="CI35" i="198" s="1"/>
  <c r="ER30" i="198"/>
  <c r="EP30" i="198"/>
  <c r="ER21" i="198"/>
  <c r="CI21" i="198" s="1"/>
  <c r="AU44" i="197"/>
  <c r="AZ44" i="197"/>
  <c r="AP44" i="197"/>
  <c r="EF35" i="197"/>
  <c r="EG35" i="197"/>
  <c r="EF31" i="197"/>
  <c r="EG31" i="197"/>
  <c r="EV37" i="196"/>
  <c r="EQ23" i="196"/>
  <c r="EO23" i="196"/>
  <c r="GM44" i="203"/>
  <c r="CH33" i="203"/>
  <c r="EQ30" i="202"/>
  <c r="EO30" i="202"/>
  <c r="AZ39" i="201"/>
  <c r="AP39" i="201"/>
  <c r="AU39" i="201"/>
  <c r="CI36" i="201"/>
  <c r="EP28" i="201"/>
  <c r="ER28" i="201"/>
  <c r="EQ17" i="201"/>
  <c r="EO17" i="201"/>
  <c r="ER44" i="199"/>
  <c r="EJ33" i="199"/>
  <c r="EH33" i="199"/>
  <c r="EV23" i="199"/>
  <c r="CH16" i="198"/>
  <c r="EV16" i="198"/>
  <c r="EQ31" i="204"/>
  <c r="CI31" i="204" s="1"/>
  <c r="EO31" i="204"/>
  <c r="EH20" i="202"/>
  <c r="EJ20" i="202"/>
  <c r="ER43" i="201"/>
  <c r="EV43" i="201" s="1"/>
  <c r="EF34" i="201"/>
  <c r="EG34" i="201"/>
  <c r="EP40" i="200"/>
  <c r="ER40" i="200"/>
  <c r="EQ34" i="200"/>
  <c r="CI34" i="200" s="1"/>
  <c r="EO34" i="200"/>
  <c r="AP34" i="200"/>
  <c r="ER17" i="200"/>
  <c r="EV17" i="200" s="1"/>
  <c r="CJ17" i="200" s="1"/>
  <c r="CI42" i="199"/>
  <c r="AZ31" i="199"/>
  <c r="AP31" i="199"/>
  <c r="AU31" i="199"/>
  <c r="EO31" i="199" s="1"/>
  <c r="EQ25" i="199"/>
  <c r="EO25" i="199"/>
  <c r="EH18" i="198"/>
  <c r="EJ18" i="198"/>
  <c r="EK17" i="204"/>
  <c r="EV17" i="204" s="1"/>
  <c r="CJ17" i="204" s="1"/>
  <c r="EI17" i="204"/>
  <c r="EK21" i="201"/>
  <c r="EV21" i="201" s="1"/>
  <c r="H39" i="200"/>
  <c r="AQ39" i="200" s="1"/>
  <c r="AR39" i="200" s="1"/>
  <c r="G39" i="200"/>
  <c r="F39" i="200"/>
  <c r="AZ39" i="200" s="1"/>
  <c r="ER45" i="197"/>
  <c r="EV45" i="197" s="1"/>
  <c r="EK44" i="200"/>
  <c r="EV44" i="200" s="1"/>
  <c r="EI27" i="198"/>
  <c r="EK27" i="198"/>
  <c r="EO44" i="197"/>
  <c r="EQ44" i="197"/>
  <c r="EQ34" i="196"/>
  <c r="GL44" i="200"/>
  <c r="GM44" i="200" s="1"/>
  <c r="AZ19" i="200"/>
  <c r="AP19" i="200"/>
  <c r="AU19" i="200"/>
  <c r="GL41" i="199"/>
  <c r="GM41" i="199" s="1"/>
  <c r="ER37" i="199"/>
  <c r="H20" i="199"/>
  <c r="AQ20" i="199" s="1"/>
  <c r="G20" i="199"/>
  <c r="F20" i="199"/>
  <c r="AZ20" i="199" s="1"/>
  <c r="I42" i="198"/>
  <c r="J42" i="198"/>
  <c r="K42" i="198"/>
  <c r="AS42" i="198" s="1"/>
  <c r="CH34" i="198"/>
  <c r="EK40" i="197"/>
  <c r="EV40" i="197" s="1"/>
  <c r="CJ40" i="197" s="1"/>
  <c r="EP26" i="197"/>
  <c r="DQ24" i="196"/>
  <c r="CR24" i="196"/>
  <c r="EU24" i="196"/>
  <c r="DR24" i="196"/>
  <c r="ES24" i="196"/>
  <c r="CS24" i="196"/>
  <c r="ET24" i="196"/>
  <c r="DN84" i="193"/>
  <c r="DM84" i="193"/>
  <c r="DU81" i="193"/>
  <c r="DT81" i="193"/>
  <c r="DT84" i="192"/>
  <c r="DU84" i="192"/>
  <c r="EJ94" i="205"/>
  <c r="EL94" i="205" s="1"/>
  <c r="DR35" i="205"/>
  <c r="CS35" i="205"/>
  <c r="DQ35" i="205"/>
  <c r="CR35" i="205"/>
  <c r="EU35" i="205"/>
  <c r="ES35" i="205"/>
  <c r="ET35" i="205"/>
  <c r="EK44" i="204"/>
  <c r="EV44" i="204" s="1"/>
  <c r="EK27" i="202"/>
  <c r="EV27" i="202" s="1"/>
  <c r="EI27" i="202"/>
  <c r="AK44" i="201"/>
  <c r="AP32" i="201"/>
  <c r="EV30" i="201"/>
  <c r="CJ30" i="201" s="1"/>
  <c r="AU39" i="200"/>
  <c r="AP39" i="200"/>
  <c r="CH30" i="199"/>
  <c r="AT44" i="198"/>
  <c r="EJ41" i="198"/>
  <c r="CH41" i="198" s="1"/>
  <c r="EH39" i="197"/>
  <c r="EJ39" i="197"/>
  <c r="EV26" i="197"/>
  <c r="CJ26" i="197" s="1"/>
  <c r="AU33" i="196"/>
  <c r="AP33" i="196"/>
  <c r="AZ33" i="196"/>
  <c r="CH43" i="198"/>
  <c r="EH26" i="196"/>
  <c r="EJ26" i="196"/>
  <c r="CH26" i="196" s="1"/>
  <c r="DR56" i="193"/>
  <c r="DP56" i="193"/>
  <c r="GE39" i="193"/>
  <c r="GC39" i="193"/>
  <c r="GD39" i="193"/>
  <c r="GB39" i="193"/>
  <c r="GA39" i="193"/>
  <c r="DK85" i="192"/>
  <c r="E45" i="192"/>
  <c r="D45" i="192"/>
  <c r="GK45" i="192" s="1"/>
  <c r="CH30" i="201"/>
  <c r="AS23" i="200"/>
  <c r="AZ23" i="200"/>
  <c r="ER37" i="197"/>
  <c r="L45" i="192"/>
  <c r="BU45" i="192" s="1"/>
  <c r="K45" i="192"/>
  <c r="J45" i="192"/>
  <c r="CI16" i="205"/>
  <c r="AZ16" i="205"/>
  <c r="AP16" i="205"/>
  <c r="AU16" i="205"/>
  <c r="ER24" i="202"/>
  <c r="EV24" i="202" s="1"/>
  <c r="CJ24" i="202" s="1"/>
  <c r="AL18" i="197"/>
  <c r="AS18" i="197"/>
  <c r="AJ18" i="197"/>
  <c r="AQ18" i="197"/>
  <c r="AN18" i="197"/>
  <c r="AM18" i="197"/>
  <c r="AO18" i="197"/>
  <c r="EI42" i="198"/>
  <c r="EK42" i="198"/>
  <c r="AT33" i="196"/>
  <c r="FA62" i="193"/>
  <c r="EY62" i="193" s="1"/>
  <c r="EZ62" i="193"/>
  <c r="EQ41" i="197"/>
  <c r="CI41" i="197" s="1"/>
  <c r="ER36" i="197"/>
  <c r="EK17" i="197"/>
  <c r="EV17" i="197" s="1"/>
  <c r="CJ17" i="197" s="1"/>
  <c r="P42" i="193"/>
  <c r="O42" i="193"/>
  <c r="DR71" i="193"/>
  <c r="DP71" i="193"/>
  <c r="GC44" i="193"/>
  <c r="GD44" i="193"/>
  <c r="GA44" i="193"/>
  <c r="GE44" i="193"/>
  <c r="GB44" i="193"/>
  <c r="DT64" i="192"/>
  <c r="DU64" i="192"/>
  <c r="X44" i="198"/>
  <c r="CJ44" i="198"/>
  <c r="N35" i="196"/>
  <c r="O35" i="196"/>
  <c r="P35" i="196"/>
  <c r="EZ71" i="192"/>
  <c r="EQ22" i="202"/>
  <c r="CI22" i="202" s="1"/>
  <c r="AJ45" i="199"/>
  <c r="AZ37" i="198"/>
  <c r="AP37" i="198"/>
  <c r="AU37" i="198"/>
  <c r="EI37" i="198" s="1"/>
  <c r="EV30" i="196"/>
  <c r="EV23" i="196"/>
  <c r="DT63" i="193"/>
  <c r="DU63" i="193"/>
  <c r="FH56" i="193"/>
  <c r="BW16" i="193"/>
  <c r="BX16" i="193" s="1"/>
  <c r="EJ23" i="201"/>
  <c r="EH23" i="201"/>
  <c r="EP36" i="198"/>
  <c r="ER36" i="198"/>
  <c r="DN69" i="193"/>
  <c r="DM69" i="193"/>
  <c r="DX67" i="193"/>
  <c r="DV67" i="193"/>
  <c r="DY79" i="192"/>
  <c r="DW79" i="192"/>
  <c r="DV63" i="192"/>
  <c r="DX63" i="192"/>
  <c r="EM23" i="192" s="1"/>
  <c r="DQ79" i="191"/>
  <c r="EL39" i="191" s="1"/>
  <c r="DO79" i="191"/>
  <c r="BW23" i="191"/>
  <c r="BX23" i="191" s="1"/>
  <c r="DY54" i="192"/>
  <c r="DW54" i="192"/>
  <c r="DW71" i="192"/>
  <c r="DY71" i="192"/>
  <c r="DR20" i="202"/>
  <c r="CS20" i="202"/>
  <c r="EJ79" i="202"/>
  <c r="EL79" i="202" s="1"/>
  <c r="DQ20" i="202"/>
  <c r="EU20" i="202"/>
  <c r="ET20" i="202"/>
  <c r="ES20" i="202"/>
  <c r="CR20" i="202"/>
  <c r="ER35" i="196"/>
  <c r="EP35" i="196"/>
  <c r="DN79" i="192"/>
  <c r="DM79" i="192"/>
  <c r="FA74" i="192"/>
  <c r="EY74" i="192" s="1"/>
  <c r="L45" i="191"/>
  <c r="BU45" i="191" s="1"/>
  <c r="K45" i="191"/>
  <c r="J45" i="191"/>
  <c r="FB14" i="191"/>
  <c r="BW21" i="191"/>
  <c r="BX21" i="191" s="1"/>
  <c r="EZ66" i="193"/>
  <c r="DX77" i="192"/>
  <c r="DV77" i="192"/>
  <c r="DN77" i="191"/>
  <c r="DM77" i="191"/>
  <c r="EH37" i="199"/>
  <c r="EJ37" i="199"/>
  <c r="CH37" i="199" s="1"/>
  <c r="DV56" i="193"/>
  <c r="DX56" i="193"/>
  <c r="EM16" i="193" s="1"/>
  <c r="BW14" i="193"/>
  <c r="BX14" i="193" s="1"/>
  <c r="DT66" i="192"/>
  <c r="DU66" i="192"/>
  <c r="GL41" i="192"/>
  <c r="DQ59" i="192"/>
  <c r="DO59" i="192"/>
  <c r="BR30" i="192"/>
  <c r="EZ80" i="191"/>
  <c r="DR62" i="192"/>
  <c r="DP62" i="192"/>
  <c r="DR21" i="203"/>
  <c r="CS21" i="203"/>
  <c r="EJ80" i="203"/>
  <c r="EL80" i="203" s="1"/>
  <c r="DQ21" i="203"/>
  <c r="CR21" i="203"/>
  <c r="EU21" i="203"/>
  <c r="ET21" i="203"/>
  <c r="EU38" i="198"/>
  <c r="DR38" i="198"/>
  <c r="CS38" i="198"/>
  <c r="EJ97" i="198"/>
  <c r="EL97" i="198" s="1"/>
  <c r="CR38" i="198"/>
  <c r="DQ38" i="198"/>
  <c r="EO38" i="198"/>
  <c r="CH29" i="196"/>
  <c r="EZ78" i="193"/>
  <c r="DY73" i="193"/>
  <c r="DW73" i="193"/>
  <c r="FK58" i="193"/>
  <c r="FJ57" i="193"/>
  <c r="BW26" i="193"/>
  <c r="BX26" i="193" s="1"/>
  <c r="DM84" i="191"/>
  <c r="DN84" i="191"/>
  <c r="DU74" i="191"/>
  <c r="DT74" i="191"/>
  <c r="FG68" i="191"/>
  <c r="BW28" i="191"/>
  <c r="BX28" i="191" s="1"/>
  <c r="BW35" i="193"/>
  <c r="BX35" i="193" s="1"/>
  <c r="DV83" i="192"/>
  <c r="DX83" i="192"/>
  <c r="DR56" i="192"/>
  <c r="DP56" i="192"/>
  <c r="DW85" i="191"/>
  <c r="DY85" i="191"/>
  <c r="DO78" i="191"/>
  <c r="DQ78" i="191"/>
  <c r="BR39" i="191"/>
  <c r="DP74" i="191"/>
  <c r="DR74" i="191"/>
  <c r="DX68" i="191"/>
  <c r="EM28" i="191" s="1"/>
  <c r="DV68" i="191"/>
  <c r="H26" i="208"/>
  <c r="AQ26" i="208" s="1"/>
  <c r="G26" i="208"/>
  <c r="F26" i="208"/>
  <c r="EJ25" i="208"/>
  <c r="EH25" i="208"/>
  <c r="U28" i="208"/>
  <c r="T28" i="208"/>
  <c r="AR28" i="208" s="1"/>
  <c r="ER38" i="207"/>
  <c r="EV38" i="207" s="1"/>
  <c r="EI30" i="207"/>
  <c r="EK30" i="207"/>
  <c r="EQ20" i="208"/>
  <c r="EO20" i="208"/>
  <c r="EQ28" i="207"/>
  <c r="CI28" i="207" s="1"/>
  <c r="EO28" i="207"/>
  <c r="AD46" i="208"/>
  <c r="G36" i="206"/>
  <c r="F36" i="206"/>
  <c r="AZ36" i="206" s="1"/>
  <c r="H36" i="206"/>
  <c r="AQ36" i="206" s="1"/>
  <c r="EI19" i="206"/>
  <c r="EK19" i="206"/>
  <c r="EV19" i="206" s="1"/>
  <c r="EO24" i="207"/>
  <c r="EQ24" i="207"/>
  <c r="ER20" i="207"/>
  <c r="I41" i="205"/>
  <c r="K41" i="205"/>
  <c r="AS41" i="205" s="1"/>
  <c r="J41" i="205"/>
  <c r="ER20" i="204"/>
  <c r="EP20" i="204"/>
  <c r="EJ101" i="206"/>
  <c r="EU42" i="206"/>
  <c r="EL101" i="206"/>
  <c r="DR42" i="206"/>
  <c r="M42" i="206" s="1"/>
  <c r="CS42" i="206"/>
  <c r="ES42" i="206"/>
  <c r="CR42" i="206"/>
  <c r="DQ42" i="206"/>
  <c r="L42" i="206" s="1"/>
  <c r="F43" i="204"/>
  <c r="G43" i="204"/>
  <c r="H43" i="204"/>
  <c r="AQ43" i="204" s="1"/>
  <c r="EJ22" i="204"/>
  <c r="W43" i="205"/>
  <c r="V43" i="205"/>
  <c r="AT43" i="205" s="1"/>
  <c r="EH35" i="205"/>
  <c r="EJ35" i="205"/>
  <c r="D42" i="204"/>
  <c r="GK42" i="204" s="1"/>
  <c r="GM42" i="204" s="1"/>
  <c r="E42" i="204"/>
  <c r="AS33" i="203"/>
  <c r="AJ33" i="203"/>
  <c r="AQ33" i="203"/>
  <c r="AO33" i="203"/>
  <c r="AN33" i="203"/>
  <c r="AL33" i="203"/>
  <c r="AM33" i="203"/>
  <c r="CI23" i="205"/>
  <c r="EJ39" i="204"/>
  <c r="CH39" i="204" s="1"/>
  <c r="EQ17" i="204"/>
  <c r="CI17" i="204" s="1"/>
  <c r="EO17" i="204"/>
  <c r="EK19" i="205"/>
  <c r="EV19" i="205" s="1"/>
  <c r="EH42" i="204"/>
  <c r="EJ42" i="204"/>
  <c r="EK19" i="204"/>
  <c r="EI19" i="204"/>
  <c r="EQ40" i="201"/>
  <c r="EO40" i="201"/>
  <c r="AZ37" i="204"/>
  <c r="AP37" i="204"/>
  <c r="AU37" i="204"/>
  <c r="I45" i="203"/>
  <c r="J45" i="203"/>
  <c r="K45" i="203"/>
  <c r="AS45" i="203" s="1"/>
  <c r="EO37" i="203"/>
  <c r="EQ37" i="203"/>
  <c r="E43" i="205"/>
  <c r="D43" i="205"/>
  <c r="GK43" i="205" s="1"/>
  <c r="GM43" i="205" s="1"/>
  <c r="GE45" i="202"/>
  <c r="GC45" i="202"/>
  <c r="GB45" i="202"/>
  <c r="GA45" i="202"/>
  <c r="GD45" i="202"/>
  <c r="EO18" i="200"/>
  <c r="EQ18" i="200"/>
  <c r="CI18" i="200" s="1"/>
  <c r="AS27" i="200"/>
  <c r="ER24" i="199"/>
  <c r="EO19" i="199"/>
  <c r="EQ19" i="199"/>
  <c r="EJ23" i="198"/>
  <c r="CH23" i="198" s="1"/>
  <c r="EH23" i="198"/>
  <c r="DK78" i="193"/>
  <c r="E38" i="193"/>
  <c r="D38" i="193"/>
  <c r="GK38" i="193" s="1"/>
  <c r="GM38" i="193" s="1"/>
  <c r="EJ41" i="203"/>
  <c r="EH41" i="203"/>
  <c r="G28" i="201"/>
  <c r="F28" i="201"/>
  <c r="AZ28" i="201" s="1"/>
  <c r="H28" i="201"/>
  <c r="AQ28" i="201" s="1"/>
  <c r="EI25" i="205"/>
  <c r="EK25" i="205"/>
  <c r="EV25" i="205" s="1"/>
  <c r="CJ25" i="205" s="1"/>
  <c r="EQ21" i="202"/>
  <c r="CI21" i="202" s="1"/>
  <c r="EJ42" i="200"/>
  <c r="EH20" i="199"/>
  <c r="EJ20" i="199"/>
  <c r="CH20" i="199" s="1"/>
  <c r="V45" i="201"/>
  <c r="AT45" i="201" s="1"/>
  <c r="W45" i="201"/>
  <c r="EQ40" i="199"/>
  <c r="CI40" i="199" s="1"/>
  <c r="CI18" i="199"/>
  <c r="AZ25" i="198"/>
  <c r="AP25" i="198"/>
  <c r="AU25" i="198"/>
  <c r="EO25" i="198" s="1"/>
  <c r="AQ39" i="196"/>
  <c r="AO39" i="196"/>
  <c r="AN39" i="196"/>
  <c r="AP39" i="196" s="1"/>
  <c r="AS39" i="196"/>
  <c r="AM39" i="196"/>
  <c r="AL39" i="196"/>
  <c r="EK25" i="201"/>
  <c r="EV25" i="201" s="1"/>
  <c r="CJ25" i="201" s="1"/>
  <c r="EH19" i="199"/>
  <c r="EJ19" i="199"/>
  <c r="CH19" i="199" s="1"/>
  <c r="EI45" i="198"/>
  <c r="EK45" i="198"/>
  <c r="EO28" i="198"/>
  <c r="EQ28" i="198"/>
  <c r="EH44" i="197"/>
  <c r="EJ44" i="197"/>
  <c r="F16" i="197"/>
  <c r="H16" i="197"/>
  <c r="G16" i="197"/>
  <c r="ER29" i="201"/>
  <c r="Q22" i="199"/>
  <c r="R22" i="199"/>
  <c r="S22" i="199"/>
  <c r="AZ40" i="202"/>
  <c r="AP40" i="202"/>
  <c r="AU40" i="202"/>
  <c r="EO40" i="202" s="1"/>
  <c r="EL87" i="201"/>
  <c r="W36" i="200"/>
  <c r="V36" i="200"/>
  <c r="AT36" i="200" s="1"/>
  <c r="K31" i="196"/>
  <c r="AS31" i="196" s="1"/>
  <c r="I31" i="196"/>
  <c r="AZ31" i="196" s="1"/>
  <c r="J31" i="196"/>
  <c r="EI39" i="205"/>
  <c r="EK39" i="205"/>
  <c r="EV39" i="205" s="1"/>
  <c r="CJ39" i="205" s="1"/>
  <c r="EJ31" i="202"/>
  <c r="EH31" i="202"/>
  <c r="EJ45" i="199"/>
  <c r="P36" i="193"/>
  <c r="O36" i="193"/>
  <c r="K35" i="193"/>
  <c r="J35" i="193"/>
  <c r="L35" i="193"/>
  <c r="BU35" i="193" s="1"/>
  <c r="ER18" i="197"/>
  <c r="EQ25" i="196"/>
  <c r="CI25" i="196" s="1"/>
  <c r="DR27" i="204"/>
  <c r="CS27" i="204"/>
  <c r="DQ27" i="204"/>
  <c r="CR27" i="204"/>
  <c r="EU27" i="204"/>
  <c r="EJ86" i="204"/>
  <c r="EL86" i="204" s="1"/>
  <c r="ES27" i="204"/>
  <c r="ET27" i="204"/>
  <c r="EK25" i="202"/>
  <c r="EV25" i="202" s="1"/>
  <c r="CJ25" i="202" s="1"/>
  <c r="EI25" i="202"/>
  <c r="AU34" i="199"/>
  <c r="AP34" i="199"/>
  <c r="AZ34" i="199"/>
  <c r="EV43" i="198"/>
  <c r="AL21" i="198"/>
  <c r="AS21" i="198"/>
  <c r="AT21" i="198" s="1"/>
  <c r="AJ21" i="198"/>
  <c r="AQ21" i="198"/>
  <c r="AR21" i="198" s="1"/>
  <c r="AO21" i="198"/>
  <c r="AN21" i="198"/>
  <c r="AM21" i="198"/>
  <c r="EV23" i="197"/>
  <c r="CJ23" i="197" s="1"/>
  <c r="L39" i="193"/>
  <c r="BU39" i="193" s="1"/>
  <c r="J39" i="193"/>
  <c r="K39" i="193"/>
  <c r="EJ42" i="201"/>
  <c r="CH42" i="201" s="1"/>
  <c r="EH42" i="201"/>
  <c r="EQ33" i="201"/>
  <c r="EO33" i="201"/>
  <c r="EK34" i="199"/>
  <c r="EV34" i="199" s="1"/>
  <c r="EI34" i="199"/>
  <c r="EK18" i="197"/>
  <c r="EV18" i="197" s="1"/>
  <c r="ER39" i="201"/>
  <c r="EP39" i="201"/>
  <c r="S35" i="196"/>
  <c r="R35" i="196"/>
  <c r="Q35" i="196"/>
  <c r="CI32" i="196"/>
  <c r="DO63" i="193"/>
  <c r="DQ63" i="193"/>
  <c r="K42" i="192"/>
  <c r="L42" i="192"/>
  <c r="BU42" i="192" s="1"/>
  <c r="J42" i="192"/>
  <c r="EV29" i="201"/>
  <c r="CJ29" i="201" s="1"/>
  <c r="AU20" i="197"/>
  <c r="AZ20" i="197"/>
  <c r="AP20" i="197"/>
  <c r="DR26" i="196"/>
  <c r="CS26" i="196"/>
  <c r="DQ26" i="196"/>
  <c r="CR26" i="196"/>
  <c r="ET26" i="196"/>
  <c r="EU26" i="196"/>
  <c r="I40" i="193"/>
  <c r="BS40" i="193" s="1"/>
  <c r="H40" i="193"/>
  <c r="G40" i="193"/>
  <c r="W19" i="200"/>
  <c r="V19" i="200"/>
  <c r="EJ38" i="197"/>
  <c r="EH38" i="197"/>
  <c r="DN73" i="193"/>
  <c r="DM73" i="193"/>
  <c r="DM59" i="193"/>
  <c r="DN59" i="193"/>
  <c r="DT75" i="191"/>
  <c r="DU75" i="191"/>
  <c r="DY65" i="192"/>
  <c r="DW65" i="192"/>
  <c r="DX85" i="192"/>
  <c r="EM45" i="192" s="1"/>
  <c r="DV85" i="192"/>
  <c r="FJ58" i="192"/>
  <c r="FK59" i="192"/>
  <c r="DQ18" i="201"/>
  <c r="CR18" i="201"/>
  <c r="EJ77" i="201"/>
  <c r="EL77" i="201" s="1"/>
  <c r="EU18" i="201"/>
  <c r="ES18" i="201"/>
  <c r="CS18" i="201"/>
  <c r="DR18" i="201"/>
  <c r="ET18" i="201"/>
  <c r="DQ81" i="192"/>
  <c r="DO81" i="192"/>
  <c r="DY62" i="193"/>
  <c r="DW62" i="193"/>
  <c r="EK17" i="203"/>
  <c r="EV17" i="203" s="1"/>
  <c r="CJ17" i="203" s="1"/>
  <c r="EI17" i="203"/>
  <c r="ER41" i="203"/>
  <c r="EP41" i="203"/>
  <c r="EK25" i="199"/>
  <c r="EQ31" i="196"/>
  <c r="CI31" i="196" s="1"/>
  <c r="DW67" i="192"/>
  <c r="DY67" i="192"/>
  <c r="DX76" i="191"/>
  <c r="EM36" i="191" s="1"/>
  <c r="DV76" i="191"/>
  <c r="DX72" i="191"/>
  <c r="DV72" i="191"/>
  <c r="FZ55" i="191"/>
  <c r="GB55" i="191"/>
  <c r="GB57" i="208"/>
  <c r="GA57" i="208"/>
  <c r="GC57" i="208"/>
  <c r="GE57" i="208"/>
  <c r="GD57" i="208"/>
  <c r="AS34" i="208"/>
  <c r="AJ34" i="208"/>
  <c r="AQ34" i="208"/>
  <c r="AL34" i="208"/>
  <c r="AM34" i="208"/>
  <c r="AO34" i="208"/>
  <c r="AN34" i="208"/>
  <c r="EK25" i="208"/>
  <c r="EI25" i="208"/>
  <c r="AP26" i="208"/>
  <c r="AU26" i="208"/>
  <c r="AZ26" i="208"/>
  <c r="EK36" i="208"/>
  <c r="EF44" i="207"/>
  <c r="EG44" i="207"/>
  <c r="EK24" i="208"/>
  <c r="EV24" i="208" s="1"/>
  <c r="CJ24" i="208" s="1"/>
  <c r="EI24" i="208"/>
  <c r="AU22" i="207"/>
  <c r="AZ22" i="207"/>
  <c r="AP22" i="207"/>
  <c r="AZ30" i="207"/>
  <c r="AP30" i="207"/>
  <c r="AU30" i="207"/>
  <c r="AU43" i="207"/>
  <c r="AZ43" i="207"/>
  <c r="X16" i="207"/>
  <c r="CJ16" i="207"/>
  <c r="DR31" i="207"/>
  <c r="CS31" i="207"/>
  <c r="EJ90" i="207"/>
  <c r="DQ31" i="207"/>
  <c r="CR31" i="207"/>
  <c r="EU31" i="207"/>
  <c r="ET31" i="207"/>
  <c r="AZ31" i="206"/>
  <c r="AU31" i="206"/>
  <c r="AP31" i="206"/>
  <c r="EI29" i="207"/>
  <c r="EK29" i="207"/>
  <c r="EV29" i="207" s="1"/>
  <c r="AU40" i="206"/>
  <c r="EP40" i="206" s="1"/>
  <c r="EQ36" i="206"/>
  <c r="CI36" i="206" s="1"/>
  <c r="EO36" i="206"/>
  <c r="EQ29" i="207"/>
  <c r="CI29" i="207" s="1"/>
  <c r="EO29" i="207"/>
  <c r="EQ45" i="207"/>
  <c r="CI45" i="207" s="1"/>
  <c r="U38" i="205"/>
  <c r="T38" i="205"/>
  <c r="AR38" i="205" s="1"/>
  <c r="AZ30" i="204"/>
  <c r="AU30" i="204"/>
  <c r="EI30" i="204" s="1"/>
  <c r="AP30" i="204"/>
  <c r="ER22" i="204"/>
  <c r="GA41" i="205"/>
  <c r="GE41" i="205"/>
  <c r="GD41" i="205"/>
  <c r="GC41" i="205"/>
  <c r="GB41" i="205"/>
  <c r="EQ34" i="204"/>
  <c r="CI34" i="204" s="1"/>
  <c r="EO38" i="206"/>
  <c r="EQ38" i="206"/>
  <c r="EI30" i="205"/>
  <c r="EK30" i="205"/>
  <c r="EK35" i="205"/>
  <c r="EV35" i="205" s="1"/>
  <c r="EI35" i="205"/>
  <c r="EV23" i="207"/>
  <c r="T28" i="205"/>
  <c r="AR28" i="205" s="1"/>
  <c r="U28" i="205"/>
  <c r="G42" i="204"/>
  <c r="F42" i="204"/>
  <c r="H42" i="204"/>
  <c r="AQ42" i="204" s="1"/>
  <c r="EV28" i="205"/>
  <c r="AZ34" i="202"/>
  <c r="AP34" i="202"/>
  <c r="AU34" i="202"/>
  <c r="EO34" i="202" s="1"/>
  <c r="EH30" i="202"/>
  <c r="EJ30" i="202"/>
  <c r="CH30" i="202" s="1"/>
  <c r="EP37" i="202"/>
  <c r="ER37" i="202"/>
  <c r="EJ75" i="206"/>
  <c r="EL75" i="206" s="1"/>
  <c r="DR16" i="206"/>
  <c r="CS16" i="206"/>
  <c r="DQ16" i="206"/>
  <c r="CR16" i="206"/>
  <c r="EU16" i="206"/>
  <c r="ET16" i="206"/>
  <c r="ES16" i="206"/>
  <c r="N27" i="203"/>
  <c r="O27" i="203"/>
  <c r="P27" i="203"/>
  <c r="U18" i="205"/>
  <c r="T18" i="205"/>
  <c r="E41" i="202"/>
  <c r="D41" i="202"/>
  <c r="GK41" i="202" s="1"/>
  <c r="ER34" i="201"/>
  <c r="EP34" i="201"/>
  <c r="ER41" i="200"/>
  <c r="EQ42" i="204"/>
  <c r="EO42" i="204"/>
  <c r="EP29" i="204"/>
  <c r="ER29" i="204"/>
  <c r="EQ42" i="200"/>
  <c r="CI42" i="200" s="1"/>
  <c r="X19" i="200"/>
  <c r="CJ19" i="200"/>
  <c r="AL44" i="198"/>
  <c r="AS44" i="198"/>
  <c r="AQ44" i="198"/>
  <c r="AO44" i="198"/>
  <c r="AN44" i="198"/>
  <c r="AM44" i="198"/>
  <c r="AP44" i="198" s="1"/>
  <c r="EK23" i="198"/>
  <c r="EV23" i="198" s="1"/>
  <c r="EI23" i="198"/>
  <c r="G43" i="197"/>
  <c r="F43" i="197"/>
  <c r="H43" i="197"/>
  <c r="AQ43" i="197" s="1"/>
  <c r="Q30" i="202"/>
  <c r="S30" i="202"/>
  <c r="R30" i="202"/>
  <c r="EK17" i="202"/>
  <c r="EV17" i="202" s="1"/>
  <c r="CJ17" i="202" s="1"/>
  <c r="EI17" i="202"/>
  <c r="AZ35" i="197"/>
  <c r="AU35" i="197"/>
  <c r="AP35" i="197"/>
  <c r="AU31" i="196"/>
  <c r="AP31" i="196"/>
  <c r="ER40" i="199"/>
  <c r="AZ29" i="197"/>
  <c r="AU29" i="197"/>
  <c r="AP29" i="197"/>
  <c r="W16" i="201"/>
  <c r="V16" i="201"/>
  <c r="AT16" i="201" s="1"/>
  <c r="EH45" i="198"/>
  <c r="EJ45" i="198"/>
  <c r="CH45" i="198" s="1"/>
  <c r="EJ40" i="198"/>
  <c r="CH40" i="198" s="1"/>
  <c r="EH40" i="198"/>
  <c r="EP28" i="198"/>
  <c r="ER28" i="198"/>
  <c r="EI44" i="197"/>
  <c r="EK44" i="197"/>
  <c r="EH26" i="208"/>
  <c r="EJ26" i="208"/>
  <c r="EQ28" i="200"/>
  <c r="CI28" i="200" s="1"/>
  <c r="DR29" i="200"/>
  <c r="CS29" i="200"/>
  <c r="DQ29" i="200"/>
  <c r="CR29" i="200"/>
  <c r="EU29" i="200"/>
  <c r="ET29" i="200"/>
  <c r="EL88" i="200"/>
  <c r="ES29" i="200"/>
  <c r="EJ88" i="200"/>
  <c r="EQ31" i="199"/>
  <c r="W24" i="197"/>
  <c r="V24" i="197"/>
  <c r="AT24" i="197" s="1"/>
  <c r="AP31" i="203"/>
  <c r="AZ31" i="203"/>
  <c r="AU31" i="203"/>
  <c r="EH31" i="203" s="1"/>
  <c r="EI31" i="202"/>
  <c r="EK31" i="202"/>
  <c r="EV31" i="202" s="1"/>
  <c r="CJ31" i="202" s="1"/>
  <c r="EG33" i="196"/>
  <c r="EF33" i="196"/>
  <c r="EN24" i="196"/>
  <c r="EM24" i="196"/>
  <c r="AZ17" i="207"/>
  <c r="AU17" i="207"/>
  <c r="EP17" i="207" s="1"/>
  <c r="AP17" i="207"/>
  <c r="GM45" i="199"/>
  <c r="EQ25" i="197"/>
  <c r="CI25" i="197" s="1"/>
  <c r="H30" i="197"/>
  <c r="AQ30" i="197" s="1"/>
  <c r="G30" i="197"/>
  <c r="F30" i="197"/>
  <c r="GE34" i="193"/>
  <c r="GD34" i="193"/>
  <c r="GC34" i="193"/>
  <c r="GA34" i="193"/>
  <c r="GB34" i="193"/>
  <c r="EQ39" i="201"/>
  <c r="CI39" i="201" s="1"/>
  <c r="EO39" i="201"/>
  <c r="EO26" i="198"/>
  <c r="EQ26" i="198"/>
  <c r="CI26" i="198" s="1"/>
  <c r="EK24" i="198"/>
  <c r="DP63" i="193"/>
  <c r="DR63" i="193"/>
  <c r="EO27" i="198"/>
  <c r="EQ27" i="198"/>
  <c r="AU34" i="196"/>
  <c r="EI34" i="196" s="1"/>
  <c r="AZ34" i="196"/>
  <c r="AP34" i="196"/>
  <c r="GL39" i="196"/>
  <c r="GM39" i="196"/>
  <c r="DT72" i="192"/>
  <c r="DU72" i="192"/>
  <c r="EO21" i="200"/>
  <c r="EQ21" i="200"/>
  <c r="CI21" i="200" s="1"/>
  <c r="AS21" i="200"/>
  <c r="AU27" i="197"/>
  <c r="EH27" i="197" s="1"/>
  <c r="AP27" i="197"/>
  <c r="DP54" i="192"/>
  <c r="DR54" i="192"/>
  <c r="EC54" i="192" s="1"/>
  <c r="EN14" i="192" s="1"/>
  <c r="DY85" i="192"/>
  <c r="DW85" i="192"/>
  <c r="DR63" i="192"/>
  <c r="DP63" i="192"/>
  <c r="DU70" i="191"/>
  <c r="DT70" i="191"/>
  <c r="DR57" i="193"/>
  <c r="DP57" i="193"/>
  <c r="DX54" i="193"/>
  <c r="EM14" i="193" s="1"/>
  <c r="DV54" i="193"/>
  <c r="EJ17" i="203"/>
  <c r="CH17" i="203" s="1"/>
  <c r="EH17" i="203"/>
  <c r="E41" i="197"/>
  <c r="D41" i="197"/>
  <c r="GK41" i="197" s="1"/>
  <c r="GM41" i="197" s="1"/>
  <c r="DV60" i="193"/>
  <c r="DX60" i="193"/>
  <c r="EM20" i="193" s="1"/>
  <c r="DQ75" i="191"/>
  <c r="DO75" i="191"/>
  <c r="H39" i="208"/>
  <c r="AQ39" i="208" s="1"/>
  <c r="F39" i="208"/>
  <c r="G39" i="208"/>
  <c r="H25" i="208"/>
  <c r="AQ25" i="208" s="1"/>
  <c r="G25" i="208"/>
  <c r="F25" i="208"/>
  <c r="AZ25" i="208" s="1"/>
  <c r="EH27" i="208"/>
  <c r="EJ27" i="208"/>
  <c r="CH27" i="208" s="1"/>
  <c r="EJ36" i="208"/>
  <c r="CI26" i="208"/>
  <c r="EJ38" i="207"/>
  <c r="CH38" i="207" s="1"/>
  <c r="EH31" i="207"/>
  <c r="EJ31" i="207"/>
  <c r="CH31" i="207" s="1"/>
  <c r="ER22" i="207"/>
  <c r="CI22" i="207" s="1"/>
  <c r="EP22" i="207"/>
  <c r="F45" i="208"/>
  <c r="H45" i="208"/>
  <c r="AQ45" i="208" s="1"/>
  <c r="G45" i="208"/>
  <c r="GA43" i="208"/>
  <c r="GE43" i="208"/>
  <c r="GD43" i="208"/>
  <c r="GC43" i="208"/>
  <c r="GB43" i="208"/>
  <c r="EJ39" i="208"/>
  <c r="CH39" i="208" s="1"/>
  <c r="H35" i="208"/>
  <c r="AQ35" i="208" s="1"/>
  <c r="G35" i="208"/>
  <c r="F35" i="208"/>
  <c r="AZ35" i="208" s="1"/>
  <c r="EI35" i="208"/>
  <c r="EI32" i="208"/>
  <c r="EK32" i="208"/>
  <c r="GL45" i="208"/>
  <c r="EQ24" i="208"/>
  <c r="CI24" i="208" s="1"/>
  <c r="EO24" i="208"/>
  <c r="ES35" i="208"/>
  <c r="E42" i="207"/>
  <c r="D42" i="207"/>
  <c r="GK42" i="207" s="1"/>
  <c r="GM42" i="207" s="1"/>
  <c r="EP32" i="208"/>
  <c r="ER32" i="208"/>
  <c r="DR23" i="208"/>
  <c r="EK38" i="208"/>
  <c r="EV38" i="208" s="1"/>
  <c r="EI38" i="208"/>
  <c r="AK57" i="206"/>
  <c r="AP45" i="207"/>
  <c r="AU45" i="207"/>
  <c r="AZ45" i="207"/>
  <c r="EQ42" i="207"/>
  <c r="CI42" i="207" s="1"/>
  <c r="GA36" i="208"/>
  <c r="GL36" i="208" s="1"/>
  <c r="GE36" i="208"/>
  <c r="GB36" i="208"/>
  <c r="GD36" i="208"/>
  <c r="GC36" i="208"/>
  <c r="I38" i="207"/>
  <c r="K38" i="207"/>
  <c r="AS38" i="207" s="1"/>
  <c r="J38" i="207"/>
  <c r="EI31" i="207"/>
  <c r="AZ23" i="207"/>
  <c r="AP23" i="207"/>
  <c r="AU23" i="207"/>
  <c r="U43" i="207"/>
  <c r="T43" i="207"/>
  <c r="AR43" i="207" s="1"/>
  <c r="EQ34" i="207"/>
  <c r="EF19" i="207"/>
  <c r="EG19" i="207"/>
  <c r="GE43" i="206"/>
  <c r="GD43" i="206"/>
  <c r="GC43" i="206"/>
  <c r="GA43" i="206"/>
  <c r="GL43" i="206" s="1"/>
  <c r="GM43" i="206" s="1"/>
  <c r="GB43" i="206"/>
  <c r="W16" i="207"/>
  <c r="V16" i="207"/>
  <c r="H39" i="206"/>
  <c r="G39" i="206"/>
  <c r="F39" i="206"/>
  <c r="EH30" i="206"/>
  <c r="EJ30" i="206"/>
  <c r="CH30" i="206" s="1"/>
  <c r="EK26" i="206"/>
  <c r="EI26" i="206"/>
  <c r="EQ32" i="207"/>
  <c r="AO43" i="206"/>
  <c r="AL43" i="206"/>
  <c r="AM43" i="206"/>
  <c r="AJ43" i="206"/>
  <c r="AS43" i="206"/>
  <c r="AN43" i="206"/>
  <c r="EO30" i="207"/>
  <c r="EQ30" i="207"/>
  <c r="EO40" i="206"/>
  <c r="EQ40" i="206"/>
  <c r="CI40" i="206" s="1"/>
  <c r="EO24" i="206"/>
  <c r="EQ24" i="206"/>
  <c r="EJ25" i="206"/>
  <c r="EJ96" i="206"/>
  <c r="EL96" i="206" s="1"/>
  <c r="DQ37" i="206"/>
  <c r="CR37" i="206"/>
  <c r="EU37" i="206"/>
  <c r="CS37" i="206"/>
  <c r="ES37" i="206"/>
  <c r="DR37" i="206"/>
  <c r="EQ39" i="205"/>
  <c r="CI39" i="205" s="1"/>
  <c r="EO39" i="205"/>
  <c r="CH27" i="207"/>
  <c r="EQ19" i="206"/>
  <c r="CI19" i="206" s="1"/>
  <c r="EO19" i="206"/>
  <c r="EH29" i="204"/>
  <c r="EJ29" i="204"/>
  <c r="EO28" i="206"/>
  <c r="EQ28" i="206"/>
  <c r="EQ43" i="204"/>
  <c r="EI20" i="204"/>
  <c r="EK20" i="204"/>
  <c r="EV20" i="204" s="1"/>
  <c r="CJ20" i="204" s="1"/>
  <c r="EF36" i="203"/>
  <c r="EG36" i="203"/>
  <c r="ES17" i="205"/>
  <c r="H38" i="202"/>
  <c r="AQ38" i="202" s="1"/>
  <c r="G38" i="202"/>
  <c r="F38" i="202"/>
  <c r="K33" i="202"/>
  <c r="AS33" i="202" s="1"/>
  <c r="AT33" i="202" s="1"/>
  <c r="J33" i="202"/>
  <c r="I33" i="202"/>
  <c r="AZ33" i="202" s="1"/>
  <c r="EJ19" i="203"/>
  <c r="CH19" i="203" s="1"/>
  <c r="EH37" i="202"/>
  <c r="EJ37" i="202"/>
  <c r="EQ17" i="205"/>
  <c r="EO17" i="205"/>
  <c r="EJ36" i="205"/>
  <c r="CH36" i="205" s="1"/>
  <c r="EH36" i="205"/>
  <c r="EJ96" i="203"/>
  <c r="EL96" i="203" s="1"/>
  <c r="DQ37" i="203"/>
  <c r="CR37" i="203"/>
  <c r="EU37" i="203"/>
  <c r="ES37" i="203"/>
  <c r="CS37" i="203"/>
  <c r="DR37" i="203"/>
  <c r="ET37" i="203"/>
  <c r="EK23" i="206"/>
  <c r="EV23" i="206" s="1"/>
  <c r="EK30" i="203"/>
  <c r="EF21" i="202"/>
  <c r="EG21" i="202"/>
  <c r="CI33" i="205"/>
  <c r="ER25" i="204"/>
  <c r="GK41" i="200"/>
  <c r="GM41" i="200" s="1"/>
  <c r="EQ19" i="203"/>
  <c r="CI19" i="203" s="1"/>
  <c r="EJ37" i="200"/>
  <c r="EH37" i="200"/>
  <c r="D43" i="199"/>
  <c r="GK43" i="199" s="1"/>
  <c r="E43" i="199"/>
  <c r="AU22" i="202"/>
  <c r="AP22" i="202"/>
  <c r="AZ22" i="202"/>
  <c r="D45" i="200"/>
  <c r="GK45" i="200" s="1"/>
  <c r="GM45" i="200" s="1"/>
  <c r="E45" i="200"/>
  <c r="EG33" i="200"/>
  <c r="EF33" i="200"/>
  <c r="U22" i="200"/>
  <c r="T22" i="200"/>
  <c r="AR22" i="200" s="1"/>
  <c r="EH16" i="200"/>
  <c r="EJ16" i="200"/>
  <c r="CH16" i="200" s="1"/>
  <c r="F45" i="198"/>
  <c r="H45" i="198"/>
  <c r="AQ45" i="198" s="1"/>
  <c r="G45" i="198"/>
  <c r="E43" i="198"/>
  <c r="D43" i="198"/>
  <c r="GK43" i="198" s="1"/>
  <c r="GM43" i="198" s="1"/>
  <c r="DR23" i="199"/>
  <c r="CS23" i="199"/>
  <c r="DQ23" i="199"/>
  <c r="CR23" i="199"/>
  <c r="EU23" i="199"/>
  <c r="EJ82" i="199"/>
  <c r="EL82" i="199" s="1"/>
  <c r="ET23" i="199"/>
  <c r="ES23" i="199"/>
  <c r="U42" i="205"/>
  <c r="T42" i="205"/>
  <c r="EI31" i="203"/>
  <c r="EK31" i="203"/>
  <c r="EV31" i="203" s="1"/>
  <c r="CJ31" i="203" s="1"/>
  <c r="EI16" i="202"/>
  <c r="EK16" i="202"/>
  <c r="EV16" i="202" s="1"/>
  <c r="CJ16" i="202" s="1"/>
  <c r="W35" i="201"/>
  <c r="V35" i="201"/>
  <c r="AT35" i="201" s="1"/>
  <c r="CJ26" i="199"/>
  <c r="X26" i="199"/>
  <c r="EK25" i="197"/>
  <c r="EV25" i="197" s="1"/>
  <c r="CJ39" i="196"/>
  <c r="X39" i="196"/>
  <c r="EO26" i="203"/>
  <c r="EQ26" i="203"/>
  <c r="CI26" i="203" s="1"/>
  <c r="EK40" i="201"/>
  <c r="EI40" i="201"/>
  <c r="AZ24" i="201"/>
  <c r="AP24" i="201"/>
  <c r="AU24" i="201"/>
  <c r="CJ20" i="199"/>
  <c r="X20" i="199"/>
  <c r="AZ19" i="198"/>
  <c r="AP19" i="198"/>
  <c r="AU19" i="198"/>
  <c r="EU37" i="201"/>
  <c r="DR37" i="201"/>
  <c r="CS37" i="201"/>
  <c r="DQ37" i="201"/>
  <c r="CR37" i="201"/>
  <c r="EH37" i="201"/>
  <c r="EI37" i="201"/>
  <c r="EJ96" i="201"/>
  <c r="EL96" i="201" s="1"/>
  <c r="EH29" i="200"/>
  <c r="EJ29" i="200"/>
  <c r="CH29" i="200" s="1"/>
  <c r="EP18" i="198"/>
  <c r="ER18" i="198"/>
  <c r="EH37" i="196"/>
  <c r="EJ37" i="196"/>
  <c r="CH37" i="196" s="1"/>
  <c r="EQ30" i="200"/>
  <c r="S38" i="198"/>
  <c r="R38" i="198"/>
  <c r="Q38" i="198"/>
  <c r="EH28" i="198"/>
  <c r="EJ28" i="198"/>
  <c r="CH28" i="198" s="1"/>
  <c r="EQ32" i="198"/>
  <c r="CI32" i="198" s="1"/>
  <c r="DM74" i="193"/>
  <c r="DN74" i="193"/>
  <c r="AQ41" i="197"/>
  <c r="AO41" i="197"/>
  <c r="AP41" i="197" s="1"/>
  <c r="AN41" i="197"/>
  <c r="AM41" i="197"/>
  <c r="AL41" i="197"/>
  <c r="AS41" i="197"/>
  <c r="AZ38" i="196"/>
  <c r="AP38" i="196"/>
  <c r="AU38" i="196"/>
  <c r="DK75" i="193"/>
  <c r="E35" i="193"/>
  <c r="D35" i="193"/>
  <c r="GK35" i="193" s="1"/>
  <c r="GM35" i="193" s="1"/>
  <c r="GA44" i="202"/>
  <c r="GE44" i="202"/>
  <c r="GD44" i="202"/>
  <c r="GC44" i="202"/>
  <c r="GB44" i="202"/>
  <c r="U27" i="200"/>
  <c r="T27" i="200"/>
  <c r="EJ17" i="199"/>
  <c r="EH17" i="199"/>
  <c r="EQ25" i="198"/>
  <c r="CI25" i="198" s="1"/>
  <c r="DT56" i="192"/>
  <c r="DU56" i="192"/>
  <c r="N26" i="205"/>
  <c r="P26" i="205"/>
  <c r="O26" i="205"/>
  <c r="ER35" i="202"/>
  <c r="EP35" i="202"/>
  <c r="AZ29" i="201"/>
  <c r="AP29" i="201"/>
  <c r="AU29" i="201"/>
  <c r="EP29" i="201" s="1"/>
  <c r="AQ43" i="198"/>
  <c r="AN43" i="198"/>
  <c r="AM43" i="198"/>
  <c r="AL43" i="198"/>
  <c r="AS43" i="198"/>
  <c r="AO43" i="198"/>
  <c r="EO39" i="197"/>
  <c r="ER32" i="202"/>
  <c r="EV32" i="202" s="1"/>
  <c r="EP32" i="202"/>
  <c r="EJ29" i="197"/>
  <c r="EH29" i="197"/>
  <c r="G39" i="196"/>
  <c r="F39" i="196"/>
  <c r="H39" i="196"/>
  <c r="DM70" i="193"/>
  <c r="DN70" i="193"/>
  <c r="W23" i="200"/>
  <c r="V23" i="200"/>
  <c r="ER17" i="199"/>
  <c r="EP17" i="199"/>
  <c r="EH33" i="198"/>
  <c r="EJ33" i="198"/>
  <c r="CH33" i="198" s="1"/>
  <c r="EJ42" i="197"/>
  <c r="BR35" i="193"/>
  <c r="GM42" i="197"/>
  <c r="EP39" i="197"/>
  <c r="FA85" i="192"/>
  <c r="EY85" i="192" s="1"/>
  <c r="EZ85" i="192"/>
  <c r="F32" i="198"/>
  <c r="G32" i="198"/>
  <c r="H32" i="198"/>
  <c r="AQ32" i="198" s="1"/>
  <c r="ER24" i="198"/>
  <c r="EP24" i="198"/>
  <c r="EQ32" i="201"/>
  <c r="CI32" i="201" s="1"/>
  <c r="EO32" i="201"/>
  <c r="DU59" i="192"/>
  <c r="DT59" i="192"/>
  <c r="DT71" i="191"/>
  <c r="DU71" i="191"/>
  <c r="E44" i="201"/>
  <c r="D44" i="201"/>
  <c r="GK44" i="201" s="1"/>
  <c r="GM44" i="201" s="1"/>
  <c r="EJ34" i="197"/>
  <c r="CH34" i="197" s="1"/>
  <c r="EJ22" i="201"/>
  <c r="CH22" i="201" s="1"/>
  <c r="DQ85" i="192"/>
  <c r="EL45" i="192" s="1"/>
  <c r="DO85" i="192"/>
  <c r="D41" i="198"/>
  <c r="GK41" i="198" s="1"/>
  <c r="GM41" i="198" s="1"/>
  <c r="E41" i="198"/>
  <c r="DO83" i="192"/>
  <c r="DV75" i="192"/>
  <c r="DX75" i="192"/>
  <c r="BW24" i="192"/>
  <c r="P38" i="192"/>
  <c r="O38" i="192"/>
  <c r="EV39" i="201"/>
  <c r="CJ39" i="201" s="1"/>
  <c r="EQ29" i="196"/>
  <c r="CI29" i="196" s="1"/>
  <c r="DV61" i="193"/>
  <c r="DX61" i="193"/>
  <c r="DM80" i="192"/>
  <c r="DN80" i="192"/>
  <c r="DR75" i="192"/>
  <c r="EK38" i="196"/>
  <c r="EV38" i="196" s="1"/>
  <c r="EQ21" i="201"/>
  <c r="CI21" i="201" s="1"/>
  <c r="DR64" i="192"/>
  <c r="DP64" i="192"/>
  <c r="AU36" i="199"/>
  <c r="EH36" i="199" s="1"/>
  <c r="AZ36" i="199"/>
  <c r="AP36" i="199"/>
  <c r="DN61" i="193"/>
  <c r="DM61" i="193"/>
  <c r="EJ38" i="202"/>
  <c r="EJ25" i="196"/>
  <c r="CH25" i="196" s="1"/>
  <c r="DW55" i="193"/>
  <c r="DY55" i="193"/>
  <c r="EC55" i="193" s="1"/>
  <c r="EN15" i="193" s="1"/>
  <c r="FA70" i="193"/>
  <c r="EY70" i="193" s="1"/>
  <c r="DY73" i="192"/>
  <c r="DW73" i="192"/>
  <c r="BW27" i="192"/>
  <c r="BX27" i="192" s="1"/>
  <c r="GL42" i="192"/>
  <c r="DX73" i="191"/>
  <c r="EM33" i="191" s="1"/>
  <c r="DV73" i="191"/>
  <c r="DX77" i="191"/>
  <c r="EM37" i="191" s="1"/>
  <c r="DV77" i="191"/>
  <c r="DY58" i="193"/>
  <c r="DW58" i="193"/>
  <c r="E37" i="208"/>
  <c r="D37" i="208"/>
  <c r="GK37" i="208" s="1"/>
  <c r="EK39" i="208"/>
  <c r="EV39" i="208" s="1"/>
  <c r="AP41" i="208"/>
  <c r="AZ41" i="208"/>
  <c r="AU41" i="208"/>
  <c r="D36" i="208"/>
  <c r="GK36" i="208" s="1"/>
  <c r="GM36" i="208" s="1"/>
  <c r="E36" i="208"/>
  <c r="EN36" i="208"/>
  <c r="EM36" i="208"/>
  <c r="H32" i="208"/>
  <c r="AQ32" i="208" s="1"/>
  <c r="AR32" i="208" s="1"/>
  <c r="G32" i="208"/>
  <c r="F32" i="208"/>
  <c r="AZ32" i="208" s="1"/>
  <c r="ER17" i="208"/>
  <c r="EV17" i="208" s="1"/>
  <c r="CJ17" i="208" s="1"/>
  <c r="EP17" i="208"/>
  <c r="EN25" i="208"/>
  <c r="EM25" i="208"/>
  <c r="EL90" i="207"/>
  <c r="EJ38" i="208"/>
  <c r="EH38" i="208"/>
  <c r="CH40" i="207"/>
  <c r="H44" i="207"/>
  <c r="AQ44" i="207" s="1"/>
  <c r="G44" i="207"/>
  <c r="F44" i="207"/>
  <c r="ER27" i="207"/>
  <c r="EV27" i="207" s="1"/>
  <c r="CJ27" i="207" s="1"/>
  <c r="EQ44" i="207"/>
  <c r="CI44" i="207" s="1"/>
  <c r="EV37" i="207"/>
  <c r="CJ37" i="207" s="1"/>
  <c r="EH38" i="206"/>
  <c r="EJ38" i="206"/>
  <c r="CH38" i="206" s="1"/>
  <c r="EI30" i="206"/>
  <c r="EK30" i="206"/>
  <c r="ER36" i="207"/>
  <c r="EV36" i="207" s="1"/>
  <c r="CJ36" i="207" s="1"/>
  <c r="EP36" i="207"/>
  <c r="EQ35" i="207"/>
  <c r="CI35" i="207" s="1"/>
  <c r="AZ41" i="206"/>
  <c r="AP41" i="206"/>
  <c r="AU41" i="206"/>
  <c r="ER40" i="206"/>
  <c r="ER24" i="206"/>
  <c r="EP24" i="206"/>
  <c r="EK25" i="206"/>
  <c r="EV25" i="206" s="1"/>
  <c r="AP44" i="205"/>
  <c r="EG29" i="205"/>
  <c r="EF29" i="205"/>
  <c r="ER25" i="207"/>
  <c r="EP25" i="207"/>
  <c r="AZ33" i="205"/>
  <c r="AP33" i="205"/>
  <c r="AU33" i="205"/>
  <c r="EH33" i="205" s="1"/>
  <c r="EI29" i="204"/>
  <c r="EK29" i="204"/>
  <c r="AZ21" i="204"/>
  <c r="AP21" i="204"/>
  <c r="AU21" i="204"/>
  <c r="EO21" i="204" s="1"/>
  <c r="ER29" i="205"/>
  <c r="EP29" i="205"/>
  <c r="E45" i="205"/>
  <c r="D45" i="205"/>
  <c r="GK45" i="205" s="1"/>
  <c r="GM45" i="205" s="1"/>
  <c r="EK33" i="205"/>
  <c r="EV33" i="205" s="1"/>
  <c r="CJ33" i="205" s="1"/>
  <c r="EI33" i="205"/>
  <c r="AZ23" i="205"/>
  <c r="AU23" i="205"/>
  <c r="EP23" i="205" s="1"/>
  <c r="AP23" i="205"/>
  <c r="H27" i="203"/>
  <c r="AQ27" i="203" s="1"/>
  <c r="G27" i="203"/>
  <c r="F27" i="203"/>
  <c r="AZ27" i="203" s="1"/>
  <c r="EP30" i="206"/>
  <c r="ER30" i="206"/>
  <c r="E43" i="203"/>
  <c r="D43" i="203"/>
  <c r="GK43" i="203" s="1"/>
  <c r="GM43" i="203" s="1"/>
  <c r="EK21" i="203"/>
  <c r="EV21" i="203" s="1"/>
  <c r="EI21" i="203"/>
  <c r="EK37" i="202"/>
  <c r="EI37" i="202"/>
  <c r="ER45" i="206"/>
  <c r="EJ27" i="206"/>
  <c r="EH27" i="206"/>
  <c r="EP17" i="205"/>
  <c r="ER17" i="205"/>
  <c r="EP33" i="204"/>
  <c r="ER33" i="204"/>
  <c r="AM42" i="203"/>
  <c r="AL42" i="203"/>
  <c r="AS42" i="203"/>
  <c r="AO42" i="203"/>
  <c r="AN42" i="203"/>
  <c r="AJ42" i="203"/>
  <c r="AQ41" i="202"/>
  <c r="AO41" i="202"/>
  <c r="AM41" i="202"/>
  <c r="AL41" i="202"/>
  <c r="AJ41" i="202"/>
  <c r="AN41" i="202"/>
  <c r="AS41" i="202"/>
  <c r="W39" i="202"/>
  <c r="V39" i="202"/>
  <c r="AT39" i="202" s="1"/>
  <c r="AS19" i="205"/>
  <c r="AJ19" i="205"/>
  <c r="AQ19" i="205"/>
  <c r="AO19" i="205"/>
  <c r="AN19" i="205"/>
  <c r="AM19" i="205"/>
  <c r="AL19" i="205"/>
  <c r="N38" i="203"/>
  <c r="P38" i="203"/>
  <c r="O38" i="203"/>
  <c r="AP38" i="202"/>
  <c r="AU38" i="202"/>
  <c r="AZ38" i="202"/>
  <c r="EO43" i="203"/>
  <c r="EQ43" i="203"/>
  <c r="CI43" i="203" s="1"/>
  <c r="EJ82" i="204"/>
  <c r="EL82" i="204" s="1"/>
  <c r="DR23" i="204"/>
  <c r="CS23" i="204"/>
  <c r="DQ23" i="204"/>
  <c r="CR23" i="204"/>
  <c r="EU23" i="204"/>
  <c r="ET23" i="204"/>
  <c r="ES23" i="204"/>
  <c r="U26" i="199"/>
  <c r="T26" i="199"/>
  <c r="EO24" i="203"/>
  <c r="EQ24" i="203"/>
  <c r="CI24" i="203" s="1"/>
  <c r="EK37" i="200"/>
  <c r="EI37" i="200"/>
  <c r="EG20" i="200"/>
  <c r="EF20" i="200"/>
  <c r="DR38" i="199"/>
  <c r="CS38" i="199"/>
  <c r="DQ38" i="199"/>
  <c r="CR38" i="199"/>
  <c r="EU38" i="199"/>
  <c r="ET38" i="199"/>
  <c r="EJ97" i="199"/>
  <c r="EL97" i="199" s="1"/>
  <c r="K43" i="204"/>
  <c r="J43" i="204"/>
  <c r="I43" i="204"/>
  <c r="H45" i="200"/>
  <c r="AQ45" i="200" s="1"/>
  <c r="G45" i="200"/>
  <c r="F45" i="200"/>
  <c r="E44" i="199"/>
  <c r="D44" i="199"/>
  <c r="GK44" i="199" s="1"/>
  <c r="GM44" i="199" s="1"/>
  <c r="ER36" i="204"/>
  <c r="EV36" i="204" s="1"/>
  <c r="CJ36" i="204" s="1"/>
  <c r="EP36" i="204"/>
  <c r="DR38" i="203"/>
  <c r="CS38" i="203"/>
  <c r="DQ38" i="203"/>
  <c r="CR38" i="203"/>
  <c r="EU38" i="203"/>
  <c r="ET38" i="203"/>
  <c r="EJ97" i="203"/>
  <c r="EL97" i="203"/>
  <c r="DK82" i="193"/>
  <c r="D42" i="193"/>
  <c r="GK42" i="193" s="1"/>
  <c r="E42" i="193"/>
  <c r="W29" i="200"/>
  <c r="V29" i="200"/>
  <c r="AT29" i="200" s="1"/>
  <c r="P26" i="199"/>
  <c r="O26" i="199"/>
  <c r="N26" i="199"/>
  <c r="EJ45" i="197"/>
  <c r="CH45" i="197" s="1"/>
  <c r="I31" i="200"/>
  <c r="J31" i="200"/>
  <c r="K31" i="200"/>
  <c r="AS31" i="200" s="1"/>
  <c r="EK23" i="200"/>
  <c r="EV23" i="200" s="1"/>
  <c r="CI23" i="199"/>
  <c r="EI34" i="202"/>
  <c r="EK34" i="202"/>
  <c r="EH16" i="202"/>
  <c r="EJ16" i="202"/>
  <c r="DQ37" i="200"/>
  <c r="CR37" i="200"/>
  <c r="EU37" i="200"/>
  <c r="EL96" i="200"/>
  <c r="DR37" i="200"/>
  <c r="ET37" i="200"/>
  <c r="ES37" i="200"/>
  <c r="EJ96" i="200"/>
  <c r="CS37" i="200"/>
  <c r="EP26" i="203"/>
  <c r="ER26" i="203"/>
  <c r="DR36" i="202"/>
  <c r="CS36" i="202"/>
  <c r="DQ36" i="202"/>
  <c r="CR36" i="202"/>
  <c r="EJ95" i="202"/>
  <c r="EL95" i="202" s="1"/>
  <c r="ET36" i="202"/>
  <c r="EU36" i="202"/>
  <c r="EH40" i="201"/>
  <c r="EJ40" i="201"/>
  <c r="CH40" i="201" s="1"/>
  <c r="EG25" i="198"/>
  <c r="EF25" i="198"/>
  <c r="FN69" i="196"/>
  <c r="FE69" i="196"/>
  <c r="FF69" i="196" s="1"/>
  <c r="FG69" i="196" s="1"/>
  <c r="FJ69" i="196"/>
  <c r="FK69" i="196" s="1"/>
  <c r="FL69" i="196" s="1"/>
  <c r="EK26" i="202"/>
  <c r="EV26" i="202" s="1"/>
  <c r="CJ26" i="202" s="1"/>
  <c r="EK20" i="202"/>
  <c r="EV20" i="202" s="1"/>
  <c r="CJ20" i="202" s="1"/>
  <c r="EI20" i="202"/>
  <c r="AZ35" i="201"/>
  <c r="AP35" i="201"/>
  <c r="AU35" i="201"/>
  <c r="EO40" i="200"/>
  <c r="EQ40" i="200"/>
  <c r="CI40" i="200" s="1"/>
  <c r="ER30" i="200"/>
  <c r="EV30" i="200" s="1"/>
  <c r="EP30" i="200"/>
  <c r="EG43" i="197"/>
  <c r="EF43" i="197"/>
  <c r="EQ44" i="204"/>
  <c r="CI44" i="204" s="1"/>
  <c r="EJ21" i="201"/>
  <c r="CH21" i="201" s="1"/>
  <c r="U19" i="202"/>
  <c r="T19" i="202"/>
  <c r="EJ44" i="200"/>
  <c r="EK20" i="198"/>
  <c r="EV20" i="198" s="1"/>
  <c r="CJ20" i="198" s="1"/>
  <c r="EK17" i="199"/>
  <c r="EV17" i="199" s="1"/>
  <c r="CJ17" i="199" s="1"/>
  <c r="EI17" i="199"/>
  <c r="K45" i="197"/>
  <c r="AS45" i="197" s="1"/>
  <c r="J45" i="197"/>
  <c r="I45" i="197"/>
  <c r="EJ40" i="197"/>
  <c r="CH40" i="197" s="1"/>
  <c r="EH40" i="197"/>
  <c r="EG19" i="197"/>
  <c r="EF19" i="197"/>
  <c r="AJ40" i="196"/>
  <c r="K43" i="193"/>
  <c r="L43" i="193"/>
  <c r="BU43" i="193" s="1"/>
  <c r="J43" i="193"/>
  <c r="J16" i="193"/>
  <c r="L16" i="193"/>
  <c r="BU16" i="193" s="1"/>
  <c r="BV16" i="193" s="1"/>
  <c r="K16" i="193"/>
  <c r="EJ44" i="204"/>
  <c r="CH44" i="204" s="1"/>
  <c r="EQ35" i="202"/>
  <c r="CI35" i="202" s="1"/>
  <c r="EO35" i="202"/>
  <c r="EI26" i="197"/>
  <c r="FA81" i="193"/>
  <c r="EY81" i="193" s="1"/>
  <c r="EZ81" i="193"/>
  <c r="EK29" i="197"/>
  <c r="EV29" i="197" s="1"/>
  <c r="CJ29" i="197" s="1"/>
  <c r="EI29" i="197"/>
  <c r="DN74" i="192"/>
  <c r="DM74" i="192"/>
  <c r="DR26" i="198"/>
  <c r="CS26" i="198"/>
  <c r="DQ26" i="198"/>
  <c r="CR26" i="198"/>
  <c r="EU26" i="198"/>
  <c r="ES26" i="198"/>
  <c r="EJ85" i="198"/>
  <c r="EL85" i="198" s="1"/>
  <c r="ET26" i="198"/>
  <c r="EK42" i="197"/>
  <c r="EV42" i="197" s="1"/>
  <c r="DU85" i="193"/>
  <c r="DT85" i="193"/>
  <c r="L33" i="192"/>
  <c r="BU33" i="192" s="1"/>
  <c r="BV33" i="192" s="1"/>
  <c r="K33" i="192"/>
  <c r="J33" i="192"/>
  <c r="EQ24" i="202"/>
  <c r="CI24" i="202" s="1"/>
  <c r="EO24" i="202"/>
  <c r="EK19" i="201"/>
  <c r="EI19" i="201"/>
  <c r="DN78" i="192"/>
  <c r="DM78" i="192"/>
  <c r="EH42" i="198"/>
  <c r="EJ42" i="198"/>
  <c r="CH42" i="198" s="1"/>
  <c r="U30" i="196"/>
  <c r="T30" i="196"/>
  <c r="AR30" i="196" s="1"/>
  <c r="EP37" i="200"/>
  <c r="ER37" i="200"/>
  <c r="EK36" i="196"/>
  <c r="DN77" i="193"/>
  <c r="DM77" i="193"/>
  <c r="O41" i="192"/>
  <c r="P41" i="192"/>
  <c r="ER22" i="202"/>
  <c r="EP22" i="202"/>
  <c r="AZ25" i="199"/>
  <c r="AP25" i="199"/>
  <c r="AU25" i="199"/>
  <c r="U35" i="201"/>
  <c r="T35" i="201"/>
  <c r="AR35" i="201" s="1"/>
  <c r="EO36" i="198"/>
  <c r="EQ36" i="198"/>
  <c r="DY67" i="193"/>
  <c r="DW67" i="193"/>
  <c r="DT74" i="192"/>
  <c r="DU74" i="192"/>
  <c r="EZ68" i="191"/>
  <c r="H41" i="198"/>
  <c r="AQ41" i="198" s="1"/>
  <c r="F41" i="198"/>
  <c r="G41" i="198"/>
  <c r="DV71" i="192"/>
  <c r="DX71" i="192"/>
  <c r="V16" i="199"/>
  <c r="W16" i="199"/>
  <c r="DW75" i="192"/>
  <c r="DY75" i="192"/>
  <c r="BR29" i="191"/>
  <c r="AP25" i="196"/>
  <c r="AZ25" i="196"/>
  <c r="AU25" i="196"/>
  <c r="DY69" i="192"/>
  <c r="DW69" i="192"/>
  <c r="ER29" i="196"/>
  <c r="EV29" i="196" s="1"/>
  <c r="BW17" i="192"/>
  <c r="BX17" i="192" s="1"/>
  <c r="L44" i="191"/>
  <c r="BU44" i="191" s="1"/>
  <c r="K44" i="191"/>
  <c r="J44" i="191"/>
  <c r="DO62" i="192"/>
  <c r="DQ62" i="192"/>
  <c r="FA78" i="193"/>
  <c r="EY78" i="193" s="1"/>
  <c r="DY55" i="192"/>
  <c r="DW55" i="192"/>
  <c r="DR76" i="192"/>
  <c r="DP76" i="192"/>
  <c r="DY71" i="193"/>
  <c r="DW71" i="193"/>
  <c r="DV58" i="192"/>
  <c r="DX58" i="192"/>
  <c r="EM18" i="192" s="1"/>
  <c r="DX85" i="191"/>
  <c r="DV85" i="191"/>
  <c r="FO56" i="192"/>
  <c r="FN56" i="192"/>
  <c r="FW56" i="192" s="1"/>
  <c r="FV56" i="192" s="1"/>
  <c r="FR56" i="192"/>
  <c r="FS57" i="192" s="1"/>
  <c r="FQ56" i="192"/>
  <c r="FY56" i="192" s="1"/>
  <c r="FP56" i="192"/>
  <c r="GA56" i="192" s="1"/>
  <c r="FU56" i="192"/>
  <c r="FT56" i="192" s="1"/>
  <c r="AO43" i="208"/>
  <c r="AL43" i="208"/>
  <c r="AS43" i="208"/>
  <c r="AM43" i="208"/>
  <c r="AQ43" i="208"/>
  <c r="AN43" i="208"/>
  <c r="AJ43" i="208"/>
  <c r="H41" i="208"/>
  <c r="AQ41" i="208" s="1"/>
  <c r="G41" i="208"/>
  <c r="F41" i="208"/>
  <c r="ER42" i="208"/>
  <c r="EP42" i="208"/>
  <c r="T41" i="208"/>
  <c r="AR41" i="208" s="1"/>
  <c r="U41" i="208"/>
  <c r="EF34" i="208"/>
  <c r="EG34" i="208"/>
  <c r="U35" i="208"/>
  <c r="T35" i="208"/>
  <c r="AR35" i="208" s="1"/>
  <c r="W27" i="208"/>
  <c r="V27" i="208"/>
  <c r="AT27" i="208" s="1"/>
  <c r="AL21" i="208"/>
  <c r="AQ21" i="208"/>
  <c r="AS21" i="208"/>
  <c r="AN21" i="208"/>
  <c r="AM21" i="208"/>
  <c r="AJ21" i="208"/>
  <c r="AO21" i="208"/>
  <c r="EF19" i="208"/>
  <c r="EG19" i="208"/>
  <c r="T22" i="208"/>
  <c r="U22" i="208"/>
  <c r="ER21" i="208"/>
  <c r="EJ20" i="208"/>
  <c r="EH20" i="208"/>
  <c r="CR23" i="208"/>
  <c r="EK31" i="208"/>
  <c r="EV31" i="208" s="1"/>
  <c r="EI31" i="208"/>
  <c r="AU22" i="208"/>
  <c r="EP22" i="208" s="1"/>
  <c r="AP22" i="208"/>
  <c r="AZ22" i="208"/>
  <c r="V41" i="207"/>
  <c r="W41" i="207"/>
  <c r="AP16" i="208"/>
  <c r="AU16" i="208"/>
  <c r="EI16" i="208" s="1"/>
  <c r="AZ16" i="208"/>
  <c r="AK42" i="207"/>
  <c r="EJ30" i="207"/>
  <c r="CH30" i="207" s="1"/>
  <c r="EH30" i="207"/>
  <c r="EQ19" i="207"/>
  <c r="H27" i="207"/>
  <c r="AQ27" i="207" s="1"/>
  <c r="AR27" i="207" s="1"/>
  <c r="F27" i="207"/>
  <c r="AZ27" i="207" s="1"/>
  <c r="G27" i="207"/>
  <c r="EF28" i="207"/>
  <c r="EG28" i="207"/>
  <c r="EG25" i="207"/>
  <c r="EF25" i="207"/>
  <c r="F19" i="207"/>
  <c r="AZ19" i="207" s="1"/>
  <c r="H19" i="207"/>
  <c r="AQ19" i="207" s="1"/>
  <c r="G19" i="207"/>
  <c r="ER23" i="207"/>
  <c r="EP23" i="207"/>
  <c r="EK20" i="207"/>
  <c r="EG32" i="206"/>
  <c r="EF32" i="206"/>
  <c r="EK18" i="207"/>
  <c r="EV18" i="207" s="1"/>
  <c r="EI18" i="207"/>
  <c r="AN39" i="206"/>
  <c r="AM39" i="206"/>
  <c r="AL39" i="206"/>
  <c r="AS39" i="206"/>
  <c r="AT39" i="206" s="1"/>
  <c r="AJ39" i="206"/>
  <c r="AO39" i="206"/>
  <c r="AQ39" i="206"/>
  <c r="AR39" i="206" s="1"/>
  <c r="AP22" i="206"/>
  <c r="GL41" i="206"/>
  <c r="K41" i="206"/>
  <c r="AS41" i="206" s="1"/>
  <c r="J41" i="206"/>
  <c r="I41" i="206"/>
  <c r="AL34" i="206"/>
  <c r="AS34" i="206"/>
  <c r="AJ34" i="206"/>
  <c r="AQ34" i="206"/>
  <c r="AO34" i="206"/>
  <c r="AN34" i="206"/>
  <c r="AM34" i="206"/>
  <c r="EH19" i="206"/>
  <c r="EJ19" i="206"/>
  <c r="CH19" i="206" s="1"/>
  <c r="ER24" i="207"/>
  <c r="EP24" i="207"/>
  <c r="EV33" i="207"/>
  <c r="AK45" i="205"/>
  <c r="H40" i="206"/>
  <c r="AQ40" i="206" s="1"/>
  <c r="AR40" i="206" s="1"/>
  <c r="G40" i="206"/>
  <c r="F40" i="206"/>
  <c r="AZ40" i="206" s="1"/>
  <c r="E42" i="205"/>
  <c r="D42" i="205"/>
  <c r="GK42" i="205" s="1"/>
  <c r="GM42" i="205" s="1"/>
  <c r="EQ27" i="205"/>
  <c r="CI27" i="205" s="1"/>
  <c r="EO27" i="205"/>
  <c r="EQ20" i="207"/>
  <c r="EK40" i="206"/>
  <c r="EV40" i="206" s="1"/>
  <c r="CJ40" i="206" s="1"/>
  <c r="EI40" i="206"/>
  <c r="H37" i="206"/>
  <c r="AQ37" i="206" s="1"/>
  <c r="AR37" i="206" s="1"/>
  <c r="G37" i="206"/>
  <c r="F37" i="206"/>
  <c r="EJ32" i="205"/>
  <c r="CH32" i="205" s="1"/>
  <c r="EH38" i="205"/>
  <c r="X34" i="206"/>
  <c r="CJ34" i="206"/>
  <c r="EO20" i="204"/>
  <c r="EQ20" i="204"/>
  <c r="CI20" i="204" s="1"/>
  <c r="DR28" i="206"/>
  <c r="CS28" i="206"/>
  <c r="DQ28" i="206"/>
  <c r="CR28" i="206"/>
  <c r="EU28" i="206"/>
  <c r="ET28" i="206"/>
  <c r="EJ87" i="206"/>
  <c r="EL87" i="206" s="1"/>
  <c r="ES28" i="206"/>
  <c r="W24" i="205"/>
  <c r="V24" i="205"/>
  <c r="AT24" i="205" s="1"/>
  <c r="AN22" i="205"/>
  <c r="AM22" i="205"/>
  <c r="AL22" i="205"/>
  <c r="AS22" i="205"/>
  <c r="AT22" i="205" s="1"/>
  <c r="AQ22" i="205"/>
  <c r="AR22" i="205" s="1"/>
  <c r="AO22" i="205"/>
  <c r="AJ22" i="205"/>
  <c r="E43" i="204"/>
  <c r="D43" i="204"/>
  <c r="GK43" i="204" s="1"/>
  <c r="AZ39" i="204"/>
  <c r="AU39" i="204"/>
  <c r="AP39" i="204"/>
  <c r="EP19" i="204"/>
  <c r="ER19" i="204"/>
  <c r="EK26" i="207"/>
  <c r="EV26" i="207" s="1"/>
  <c r="EI26" i="207"/>
  <c r="S19" i="206"/>
  <c r="R19" i="206"/>
  <c r="Q19" i="206"/>
  <c r="EP16" i="206"/>
  <c r="ER16" i="206"/>
  <c r="AZ43" i="205"/>
  <c r="AP43" i="205"/>
  <c r="AU43" i="205"/>
  <c r="AU40" i="204"/>
  <c r="AZ40" i="204"/>
  <c r="AP40" i="204"/>
  <c r="EH33" i="204"/>
  <c r="EJ33" i="204"/>
  <c r="CH33" i="204" s="1"/>
  <c r="EH27" i="204"/>
  <c r="EJ27" i="204"/>
  <c r="EV18" i="205"/>
  <c r="AZ45" i="203"/>
  <c r="AP45" i="203"/>
  <c r="AU45" i="203"/>
  <c r="AP39" i="203"/>
  <c r="AL34" i="203"/>
  <c r="AS34" i="203"/>
  <c r="AJ34" i="203"/>
  <c r="AQ34" i="203"/>
  <c r="AM34" i="203"/>
  <c r="AO34" i="203"/>
  <c r="AN34" i="203"/>
  <c r="EJ43" i="206"/>
  <c r="AU23" i="206"/>
  <c r="AP23" i="206"/>
  <c r="AZ23" i="206"/>
  <c r="EQ41" i="205"/>
  <c r="CI41" i="205" s="1"/>
  <c r="ER21" i="204"/>
  <c r="EP21" i="204"/>
  <c r="AQ44" i="203"/>
  <c r="AO44" i="203"/>
  <c r="AJ44" i="203"/>
  <c r="AM44" i="203"/>
  <c r="AL44" i="203"/>
  <c r="AN44" i="203"/>
  <c r="AS44" i="203"/>
  <c r="EK17" i="206"/>
  <c r="EV17" i="206" s="1"/>
  <c r="EP38" i="205"/>
  <c r="ER38" i="205"/>
  <c r="EV38" i="205" s="1"/>
  <c r="EO38" i="204"/>
  <c r="EQ38" i="204"/>
  <c r="AZ26" i="204"/>
  <c r="AU26" i="204"/>
  <c r="AP26" i="204"/>
  <c r="ER33" i="203"/>
  <c r="EV33" i="203" s="1"/>
  <c r="AO45" i="202"/>
  <c r="AS45" i="202"/>
  <c r="AM45" i="202"/>
  <c r="AJ45" i="202"/>
  <c r="AN45" i="202"/>
  <c r="AL45" i="202"/>
  <c r="ET27" i="202"/>
  <c r="EI17" i="205"/>
  <c r="EK17" i="205"/>
  <c r="T29" i="203"/>
  <c r="U29" i="203"/>
  <c r="AZ34" i="205"/>
  <c r="AP34" i="205"/>
  <c r="AU34" i="205"/>
  <c r="EQ21" i="205"/>
  <c r="CI21" i="205" s="1"/>
  <c r="EO21" i="205"/>
  <c r="DQ20" i="204"/>
  <c r="CR20" i="204"/>
  <c r="EU20" i="204"/>
  <c r="ET20" i="204"/>
  <c r="CS20" i="204"/>
  <c r="ES20" i="204"/>
  <c r="EJ79" i="204"/>
  <c r="EL79" i="204" s="1"/>
  <c r="DR20" i="204"/>
  <c r="DR27" i="203"/>
  <c r="CS27" i="203"/>
  <c r="DQ27" i="203"/>
  <c r="CR27" i="203"/>
  <c r="EU27" i="203"/>
  <c r="ET27" i="203"/>
  <c r="EJ86" i="203"/>
  <c r="EL86" i="203" s="1"/>
  <c r="AU36" i="205"/>
  <c r="AP36" i="205"/>
  <c r="AZ36" i="205"/>
  <c r="EK21" i="204"/>
  <c r="D42" i="203"/>
  <c r="GK42" i="203" s="1"/>
  <c r="GM42" i="203" s="1"/>
  <c r="E42" i="203"/>
  <c r="P39" i="203"/>
  <c r="N39" i="203"/>
  <c r="O39" i="203"/>
  <c r="EP28" i="203"/>
  <c r="ER28" i="203"/>
  <c r="EV42" i="205"/>
  <c r="AU35" i="204"/>
  <c r="AZ35" i="204"/>
  <c r="AP35" i="204"/>
  <c r="EQ42" i="203"/>
  <c r="EK37" i="203"/>
  <c r="EI37" i="203"/>
  <c r="EH28" i="203"/>
  <c r="EJ28" i="203"/>
  <c r="CH28" i="203" s="1"/>
  <c r="EM16" i="203"/>
  <c r="EN16" i="203"/>
  <c r="EK42" i="204"/>
  <c r="EI42" i="204"/>
  <c r="EH19" i="204"/>
  <c r="EJ19" i="204"/>
  <c r="AZ32" i="203"/>
  <c r="AP32" i="203"/>
  <c r="AU32" i="203"/>
  <c r="EQ30" i="203"/>
  <c r="CI30" i="203" s="1"/>
  <c r="AD46" i="203"/>
  <c r="EJ30" i="204"/>
  <c r="CH30" i="204" s="1"/>
  <c r="EJ34" i="203"/>
  <c r="F16" i="201"/>
  <c r="H16" i="201"/>
  <c r="AQ16" i="201" s="1"/>
  <c r="G16" i="201"/>
  <c r="F42" i="200"/>
  <c r="G42" i="200"/>
  <c r="H42" i="200"/>
  <c r="ER39" i="200"/>
  <c r="EP39" i="200"/>
  <c r="CH24" i="205"/>
  <c r="D45" i="203"/>
  <c r="GK45" i="203" s="1"/>
  <c r="GM45" i="203" s="1"/>
  <c r="E45" i="203"/>
  <c r="EP38" i="203"/>
  <c r="ER38" i="203"/>
  <c r="H37" i="203"/>
  <c r="AQ37" i="203" s="1"/>
  <c r="G37" i="203"/>
  <c r="F37" i="203"/>
  <c r="AZ37" i="203" s="1"/>
  <c r="CI27" i="203"/>
  <c r="EP28" i="202"/>
  <c r="ER28" i="202"/>
  <c r="EG41" i="201"/>
  <c r="EF41" i="201"/>
  <c r="EO44" i="205"/>
  <c r="EQ44" i="205"/>
  <c r="ER45" i="203"/>
  <c r="EV45" i="203" s="1"/>
  <c r="EP45" i="203"/>
  <c r="EL96" i="202"/>
  <c r="AS25" i="201"/>
  <c r="AT25" i="201" s="1"/>
  <c r="AJ25" i="201"/>
  <c r="AQ25" i="201"/>
  <c r="AR25" i="201" s="1"/>
  <c r="AM25" i="201"/>
  <c r="AL25" i="201"/>
  <c r="AO25" i="201"/>
  <c r="AN25" i="201"/>
  <c r="N18" i="200"/>
  <c r="P18" i="200"/>
  <c r="O18" i="200"/>
  <c r="EI38" i="199"/>
  <c r="EK44" i="203"/>
  <c r="EV44" i="203" s="1"/>
  <c r="EM18" i="202"/>
  <c r="EN18" i="202"/>
  <c r="ER18" i="201"/>
  <c r="EP18" i="201"/>
  <c r="AJ44" i="200"/>
  <c r="AJ31" i="200"/>
  <c r="AQ31" i="200"/>
  <c r="AO31" i="200"/>
  <c r="AN31" i="200"/>
  <c r="AM31" i="200"/>
  <c r="AL31" i="200"/>
  <c r="EQ24" i="199"/>
  <c r="H44" i="197"/>
  <c r="AQ44" i="197" s="1"/>
  <c r="G44" i="197"/>
  <c r="F44" i="197"/>
  <c r="EG37" i="197"/>
  <c r="EF37" i="197"/>
  <c r="GB43" i="201"/>
  <c r="GA43" i="201"/>
  <c r="GE43" i="201"/>
  <c r="GD43" i="201"/>
  <c r="GC43" i="201"/>
  <c r="EK31" i="201"/>
  <c r="AK42" i="200"/>
  <c r="EH22" i="200"/>
  <c r="GL44" i="199"/>
  <c r="GE43" i="199"/>
  <c r="GA43" i="199"/>
  <c r="GD43" i="199"/>
  <c r="GC43" i="199"/>
  <c r="GB43" i="199"/>
  <c r="EK29" i="199"/>
  <c r="EV29" i="199" s="1"/>
  <c r="CJ29" i="199" s="1"/>
  <c r="EI29" i="199"/>
  <c r="EP23" i="199"/>
  <c r="AN57" i="198"/>
  <c r="AM57" i="198"/>
  <c r="AL57" i="198"/>
  <c r="AP57" i="198" s="1"/>
  <c r="AZ57" i="198" s="1"/>
  <c r="AS57" i="198"/>
  <c r="AO57" i="198"/>
  <c r="AQ57" i="198"/>
  <c r="EI24" i="203"/>
  <c r="EK24" i="203"/>
  <c r="EV24" i="203" s="1"/>
  <c r="CJ24" i="203" s="1"/>
  <c r="AZ28" i="202"/>
  <c r="EF18" i="200"/>
  <c r="EG18" i="200"/>
  <c r="EK42" i="199"/>
  <c r="EP39" i="198"/>
  <c r="ER39" i="198"/>
  <c r="EF36" i="198"/>
  <c r="EG36" i="198"/>
  <c r="GB45" i="197"/>
  <c r="GA45" i="197"/>
  <c r="GE45" i="197"/>
  <c r="GC45" i="197"/>
  <c r="GD45" i="197"/>
  <c r="DT70" i="193"/>
  <c r="DU70" i="193"/>
  <c r="EJ25" i="205"/>
  <c r="CH25" i="205" s="1"/>
  <c r="EH25" i="205"/>
  <c r="CI30" i="204"/>
  <c r="EH44" i="202"/>
  <c r="EJ44" i="202"/>
  <c r="EH36" i="202"/>
  <c r="EK18" i="201"/>
  <c r="EV18" i="201" s="1"/>
  <c r="CJ18" i="201" s="1"/>
  <c r="EI18" i="201"/>
  <c r="AM28" i="200"/>
  <c r="AL28" i="200"/>
  <c r="AS28" i="200"/>
  <c r="AO28" i="200"/>
  <c r="AN28" i="200"/>
  <c r="AJ28" i="200"/>
  <c r="AQ28" i="200"/>
  <c r="EU35" i="199"/>
  <c r="EJ94" i="199"/>
  <c r="EL94" i="199" s="1"/>
  <c r="CS35" i="199"/>
  <c r="ES35" i="199"/>
  <c r="CR35" i="199"/>
  <c r="DQ35" i="199"/>
  <c r="DR35" i="199"/>
  <c r="AZ24" i="198"/>
  <c r="AU24" i="198"/>
  <c r="EI24" i="198" s="1"/>
  <c r="AP24" i="198"/>
  <c r="H32" i="197"/>
  <c r="AQ32" i="197" s="1"/>
  <c r="F32" i="197"/>
  <c r="G32" i="197"/>
  <c r="AZ32" i="197" s="1"/>
  <c r="EK21" i="197"/>
  <c r="DR26" i="205"/>
  <c r="CS26" i="205"/>
  <c r="EL85" i="205"/>
  <c r="EJ85" i="205"/>
  <c r="EO26" i="205"/>
  <c r="CR26" i="205"/>
  <c r="EU26" i="205"/>
  <c r="DQ26" i="205"/>
  <c r="EP29" i="202"/>
  <c r="ER29" i="202"/>
  <c r="EO26" i="200"/>
  <c r="EQ26" i="200"/>
  <c r="CI26" i="200" s="1"/>
  <c r="EK44" i="199"/>
  <c r="ER43" i="198"/>
  <c r="EQ20" i="198"/>
  <c r="CI20" i="198" s="1"/>
  <c r="H37" i="196"/>
  <c r="AQ37" i="196" s="1"/>
  <c r="G37" i="196"/>
  <c r="F37" i="196"/>
  <c r="AZ37" i="196" s="1"/>
  <c r="ER23" i="196"/>
  <c r="J44" i="193"/>
  <c r="L44" i="193"/>
  <c r="BU44" i="193" s="1"/>
  <c r="K44" i="193"/>
  <c r="DN76" i="193"/>
  <c r="DM76" i="193"/>
  <c r="EV32" i="203"/>
  <c r="CJ32" i="203" s="1"/>
  <c r="EP30" i="202"/>
  <c r="ER30" i="202"/>
  <c r="CH24" i="202"/>
  <c r="EJ25" i="201"/>
  <c r="ER17" i="201"/>
  <c r="EP17" i="201"/>
  <c r="EK33" i="199"/>
  <c r="EV33" i="199" s="1"/>
  <c r="EI33" i="199"/>
  <c r="EI23" i="199"/>
  <c r="EL77" i="198"/>
  <c r="GA42" i="198"/>
  <c r="GE42" i="198"/>
  <c r="GD42" i="198"/>
  <c r="GC42" i="198"/>
  <c r="GB42" i="198"/>
  <c r="AP33" i="197"/>
  <c r="AU33" i="197"/>
  <c r="EI33" i="197" s="1"/>
  <c r="AS17" i="197"/>
  <c r="AT17" i="197" s="1"/>
  <c r="AJ17" i="197"/>
  <c r="AQ17" i="197"/>
  <c r="AR17" i="197" s="1"/>
  <c r="AN17" i="197"/>
  <c r="AM17" i="197"/>
  <c r="AO17" i="197"/>
  <c r="AL17" i="197"/>
  <c r="EP31" i="204"/>
  <c r="ER31" i="204"/>
  <c r="EQ19" i="202"/>
  <c r="CI19" i="202" s="1"/>
  <c r="EO19" i="202"/>
  <c r="EO29" i="201"/>
  <c r="EQ29" i="201"/>
  <c r="CI29" i="201" s="1"/>
  <c r="ER34" i="200"/>
  <c r="EP34" i="200"/>
  <c r="U30" i="200"/>
  <c r="T30" i="200"/>
  <c r="AR30" i="200" s="1"/>
  <c r="EQ16" i="200"/>
  <c r="EO16" i="200"/>
  <c r="ER25" i="199"/>
  <c r="EP25" i="199"/>
  <c r="ET36" i="198"/>
  <c r="EK18" i="198"/>
  <c r="EI18" i="198"/>
  <c r="EJ17" i="204"/>
  <c r="CH17" i="204" s="1"/>
  <c r="EH17" i="204"/>
  <c r="AZ30" i="200"/>
  <c r="AP30" i="200"/>
  <c r="AU30" i="200"/>
  <c r="EO30" i="200" s="1"/>
  <c r="EO17" i="198"/>
  <c r="EQ17" i="198"/>
  <c r="G33" i="197"/>
  <c r="H33" i="197"/>
  <c r="AQ33" i="197" s="1"/>
  <c r="F33" i="197"/>
  <c r="AZ33" i="197" s="1"/>
  <c r="CI31" i="202"/>
  <c r="ER44" i="197"/>
  <c r="EP44" i="197"/>
  <c r="AU37" i="197"/>
  <c r="EP37" i="197" s="1"/>
  <c r="AZ37" i="197"/>
  <c r="AP37" i="197"/>
  <c r="ER34" i="196"/>
  <c r="R38" i="193"/>
  <c r="Q38" i="193"/>
  <c r="AU34" i="204"/>
  <c r="AZ34" i="204"/>
  <c r="AP34" i="204"/>
  <c r="CI30" i="201"/>
  <c r="EV22" i="198"/>
  <c r="CJ22" i="198" s="1"/>
  <c r="CH22" i="198"/>
  <c r="EQ18" i="197"/>
  <c r="CI18" i="197" s="1"/>
  <c r="T23" i="196"/>
  <c r="U23" i="196"/>
  <c r="BU15" i="193"/>
  <c r="BV15" i="193" s="1"/>
  <c r="EJ27" i="202"/>
  <c r="CH27" i="202" s="1"/>
  <c r="EH27" i="202"/>
  <c r="AZ24" i="202"/>
  <c r="AU24" i="202"/>
  <c r="EP24" i="202" s="1"/>
  <c r="AP24" i="202"/>
  <c r="EV35" i="201"/>
  <c r="AP31" i="201"/>
  <c r="AZ31" i="201"/>
  <c r="AU31" i="201"/>
  <c r="EH31" i="201" s="1"/>
  <c r="AT26" i="201"/>
  <c r="EH30" i="199"/>
  <c r="AJ43" i="198"/>
  <c r="EI39" i="197"/>
  <c r="EK39" i="197"/>
  <c r="EV39" i="197" s="1"/>
  <c r="CJ39" i="197" s="1"/>
  <c r="EJ27" i="201"/>
  <c r="EI39" i="198"/>
  <c r="EK39" i="198"/>
  <c r="AZ40" i="197"/>
  <c r="AP40" i="197"/>
  <c r="AU40" i="197"/>
  <c r="EK26" i="196"/>
  <c r="EV26" i="196" s="1"/>
  <c r="EI26" i="196"/>
  <c r="EO36" i="199"/>
  <c r="EQ36" i="199"/>
  <c r="CI36" i="199" s="1"/>
  <c r="EQ37" i="197"/>
  <c r="EO37" i="197"/>
  <c r="EJ18" i="197"/>
  <c r="DN68" i="193"/>
  <c r="DM68" i="193"/>
  <c r="BR27" i="193"/>
  <c r="EJ16" i="205"/>
  <c r="CH16" i="205" s="1"/>
  <c r="T31" i="199"/>
  <c r="AR31" i="199" s="1"/>
  <c r="U31" i="199"/>
  <c r="EJ29" i="198"/>
  <c r="CH29" i="198" s="1"/>
  <c r="EO26" i="197"/>
  <c r="EQ17" i="197"/>
  <c r="CI17" i="197" s="1"/>
  <c r="EN36" i="196"/>
  <c r="EM36" i="196"/>
  <c r="DN62" i="193"/>
  <c r="DM62" i="193"/>
  <c r="BR20" i="193"/>
  <c r="EZ60" i="193"/>
  <c r="CH23" i="197"/>
  <c r="EJ24" i="199"/>
  <c r="CH24" i="199" s="1"/>
  <c r="EP41" i="197"/>
  <c r="ER41" i="197"/>
  <c r="EV41" i="197" s="1"/>
  <c r="DN75" i="193"/>
  <c r="DM75" i="193"/>
  <c r="DM64" i="193"/>
  <c r="DN64" i="193"/>
  <c r="GE31" i="192"/>
  <c r="GL31" i="192" s="1"/>
  <c r="GM31" i="192" s="1"/>
  <c r="H40" i="198"/>
  <c r="AQ40" i="198" s="1"/>
  <c r="G40" i="198"/>
  <c r="F40" i="198"/>
  <c r="W19" i="198"/>
  <c r="V19" i="198"/>
  <c r="AT19" i="198" s="1"/>
  <c r="EI38" i="197"/>
  <c r="EK38" i="197"/>
  <c r="EV38" i="197" s="1"/>
  <c r="CJ38" i="197" s="1"/>
  <c r="CI30" i="197"/>
  <c r="CI23" i="197"/>
  <c r="CH39" i="196"/>
  <c r="H29" i="193"/>
  <c r="G29" i="193"/>
  <c r="I29" i="193"/>
  <c r="BS29" i="193" s="1"/>
  <c r="BT29" i="193" s="1"/>
  <c r="BR18" i="193"/>
  <c r="D41" i="192"/>
  <c r="GK41" i="192" s="1"/>
  <c r="GM41" i="192" s="1"/>
  <c r="DK81" i="192"/>
  <c r="E41" i="192"/>
  <c r="DT76" i="192"/>
  <c r="DU76" i="192"/>
  <c r="EZ82" i="191"/>
  <c r="EK23" i="201"/>
  <c r="EI23" i="201"/>
  <c r="EQ22" i="200"/>
  <c r="CI22" i="200" s="1"/>
  <c r="EO22" i="200"/>
  <c r="FA77" i="193"/>
  <c r="EY77" i="193" s="1"/>
  <c r="EZ77" i="193"/>
  <c r="DX64" i="193"/>
  <c r="EM24" i="193" s="1"/>
  <c r="DV64" i="193"/>
  <c r="DY63" i="192"/>
  <c r="DW63" i="192"/>
  <c r="DM81" i="191"/>
  <c r="DN81" i="191"/>
  <c r="DX65" i="192"/>
  <c r="EM25" i="192" s="1"/>
  <c r="DV65" i="192"/>
  <c r="FA81" i="192"/>
  <c r="EY81" i="192" s="1"/>
  <c r="EZ81" i="192"/>
  <c r="DQ68" i="192"/>
  <c r="DO68" i="192"/>
  <c r="CH44" i="198"/>
  <c r="FA85" i="193"/>
  <c r="EY85" i="193" s="1"/>
  <c r="EZ85" i="193"/>
  <c r="BW20" i="192"/>
  <c r="BX20" i="192" s="1"/>
  <c r="GL35" i="193"/>
  <c r="BR17" i="192"/>
  <c r="DY77" i="192"/>
  <c r="EC77" i="192" s="1"/>
  <c r="EN37" i="192" s="1"/>
  <c r="DW77" i="192"/>
  <c r="EK37" i="199"/>
  <c r="EV37" i="199" s="1"/>
  <c r="DX75" i="193"/>
  <c r="EM35" i="193" s="1"/>
  <c r="DV75" i="193"/>
  <c r="DY56" i="193"/>
  <c r="DW56" i="193"/>
  <c r="FA79" i="193"/>
  <c r="EY79" i="193" s="1"/>
  <c r="EZ79" i="193"/>
  <c r="DT82" i="192"/>
  <c r="DU82" i="192"/>
  <c r="BR30" i="193"/>
  <c r="CI44" i="200"/>
  <c r="AZ39" i="199"/>
  <c r="AP39" i="199"/>
  <c r="AU39" i="199"/>
  <c r="CI35" i="197"/>
  <c r="DV62" i="193"/>
  <c r="DX62" i="193"/>
  <c r="EM22" i="193" s="1"/>
  <c r="DX57" i="192"/>
  <c r="DV57" i="192"/>
  <c r="GC43" i="192"/>
  <c r="GA43" i="192"/>
  <c r="GD43" i="192"/>
  <c r="GB43" i="192"/>
  <c r="GE43" i="192"/>
  <c r="EK41" i="200"/>
  <c r="EV41" i="200" s="1"/>
  <c r="EJ25" i="199"/>
  <c r="EH25" i="199"/>
  <c r="DV67" i="192"/>
  <c r="DX67" i="192"/>
  <c r="BR87" i="191"/>
  <c r="DT70" i="192"/>
  <c r="DU70" i="192"/>
  <c r="CI26" i="196"/>
  <c r="DY83" i="192"/>
  <c r="DW83" i="192"/>
  <c r="DQ56" i="192"/>
  <c r="EL16" i="192" s="1"/>
  <c r="DO56" i="192"/>
  <c r="DW84" i="191"/>
  <c r="DY84" i="191"/>
  <c r="DR84" i="192"/>
  <c r="DP84" i="192"/>
  <c r="DY76" i="191"/>
  <c r="DW76" i="191"/>
  <c r="DY72" i="191"/>
  <c r="DW72" i="191"/>
  <c r="GB55" i="192"/>
  <c r="FZ55" i="192"/>
  <c r="GC32" i="84"/>
  <c r="GC44" i="84"/>
  <c r="GD36" i="84"/>
  <c r="GD40" i="84"/>
  <c r="GD44" i="84"/>
  <c r="GE28" i="84"/>
  <c r="GA30" i="84"/>
  <c r="GE32" i="84"/>
  <c r="GA34" i="84"/>
  <c r="GE36" i="84"/>
  <c r="GA38" i="84"/>
  <c r="GE40" i="84"/>
  <c r="GA42" i="84"/>
  <c r="GE44" i="84"/>
  <c r="GA14" i="160"/>
  <c r="GE16" i="160"/>
  <c r="GA18" i="160"/>
  <c r="GE20" i="160"/>
  <c r="GA22" i="160"/>
  <c r="GE24" i="160"/>
  <c r="GA26" i="160"/>
  <c r="GE28" i="160"/>
  <c r="GA30" i="160"/>
  <c r="GE32" i="160"/>
  <c r="GA34" i="160"/>
  <c r="GC35" i="160"/>
  <c r="GE36" i="160"/>
  <c r="GA38" i="160"/>
  <c r="GC39" i="160"/>
  <c r="GE40" i="160"/>
  <c r="GA42" i="160"/>
  <c r="GC43" i="160"/>
  <c r="GE44" i="160"/>
  <c r="GA24" i="147"/>
  <c r="GC25" i="147"/>
  <c r="GE26" i="147"/>
  <c r="GA28" i="147"/>
  <c r="GC29" i="147"/>
  <c r="GE30" i="147"/>
  <c r="GA32" i="147"/>
  <c r="GC33" i="147"/>
  <c r="GE34" i="147"/>
  <c r="GA36" i="147"/>
  <c r="GC37" i="147"/>
  <c r="GE38" i="147"/>
  <c r="GA40" i="147"/>
  <c r="GE16" i="165"/>
  <c r="GA18" i="165"/>
  <c r="GE20" i="165"/>
  <c r="GA22" i="165"/>
  <c r="GE24" i="165"/>
  <c r="GA26" i="165"/>
  <c r="GE28" i="165"/>
  <c r="GA30" i="165"/>
  <c r="GE32" i="165"/>
  <c r="GA34" i="165"/>
  <c r="GE36" i="165"/>
  <c r="GA38" i="165"/>
  <c r="GE40" i="165"/>
  <c r="GA42" i="165"/>
  <c r="GE44" i="165"/>
  <c r="GB30" i="84"/>
  <c r="GB42" i="84"/>
  <c r="GB14" i="160"/>
  <c r="GB18" i="160"/>
  <c r="GB22" i="160"/>
  <c r="GB26" i="160"/>
  <c r="GB30" i="160"/>
  <c r="GB34" i="160"/>
  <c r="GB38" i="160"/>
  <c r="GB42" i="160"/>
  <c r="GB24" i="147"/>
  <c r="GB28" i="147"/>
  <c r="GB32" i="147"/>
  <c r="GB36" i="147"/>
  <c r="GB40" i="147"/>
  <c r="GB18" i="165"/>
  <c r="GB22" i="165"/>
  <c r="GB26" i="165"/>
  <c r="GB30" i="165"/>
  <c r="GB34" i="165"/>
  <c r="GB38" i="165"/>
  <c r="GB42" i="165"/>
  <c r="GB34" i="84"/>
  <c r="GC38" i="84"/>
  <c r="GC14" i="160"/>
  <c r="GC18" i="160"/>
  <c r="GC22" i="160"/>
  <c r="GC26" i="160"/>
  <c r="GC30" i="160"/>
  <c r="GC34" i="160"/>
  <c r="GC38" i="160"/>
  <c r="GC42" i="160"/>
  <c r="GC24" i="147"/>
  <c r="GC28" i="147"/>
  <c r="GC32" i="147"/>
  <c r="GC36" i="147"/>
  <c r="GC40" i="147"/>
  <c r="GC18" i="165"/>
  <c r="GC22" i="165"/>
  <c r="GC26" i="165"/>
  <c r="GC30" i="165"/>
  <c r="GC34" i="165"/>
  <c r="GC38" i="165"/>
  <c r="GC42" i="165"/>
  <c r="GB38" i="84"/>
  <c r="GC30" i="84"/>
  <c r="GC34" i="84"/>
  <c r="GC42" i="84"/>
  <c r="GB29" i="84"/>
  <c r="GD30" i="84"/>
  <c r="GB33" i="84"/>
  <c r="GD34" i="84"/>
  <c r="GB37" i="84"/>
  <c r="GD38" i="84"/>
  <c r="GB41" i="84"/>
  <c r="GD42" i="84"/>
  <c r="GB45" i="84"/>
  <c r="GD14" i="160"/>
  <c r="GB17" i="160"/>
  <c r="GD18" i="160"/>
  <c r="GB21" i="160"/>
  <c r="GD22" i="160"/>
  <c r="GB25" i="160"/>
  <c r="GD26" i="160"/>
  <c r="GB29" i="160"/>
  <c r="GD30" i="160"/>
  <c r="GB33" i="160"/>
  <c r="GD34" i="160"/>
  <c r="GB37" i="160"/>
  <c r="GD38" i="160"/>
  <c r="GB41" i="160"/>
  <c r="GD42" i="160"/>
  <c r="GB45" i="160"/>
  <c r="GB23" i="147"/>
  <c r="GD24" i="147"/>
  <c r="GB27" i="147"/>
  <c r="GD28" i="147"/>
  <c r="GB31" i="147"/>
  <c r="GD32" i="147"/>
  <c r="GB35" i="147"/>
  <c r="GD36" i="147"/>
  <c r="GB39" i="147"/>
  <c r="GD40" i="147"/>
  <c r="GB17" i="165"/>
  <c r="GD18" i="165"/>
  <c r="GB21" i="165"/>
  <c r="GD22" i="165"/>
  <c r="GB25" i="165"/>
  <c r="GD26" i="165"/>
  <c r="GB29" i="165"/>
  <c r="GD30" i="165"/>
  <c r="GB33" i="165"/>
  <c r="GD34" i="165"/>
  <c r="GB37" i="165"/>
  <c r="GD38" i="165"/>
  <c r="GB41" i="165"/>
  <c r="GD42" i="165"/>
  <c r="GB45" i="165"/>
  <c r="GA28" i="84"/>
  <c r="GA32" i="84"/>
  <c r="GA36" i="84"/>
  <c r="GA40" i="84"/>
  <c r="GA16" i="160"/>
  <c r="GA20" i="160"/>
  <c r="GA24" i="160"/>
  <c r="GA28" i="160"/>
  <c r="GA32" i="160"/>
  <c r="GA36" i="160"/>
  <c r="GA40" i="160"/>
  <c r="GA44" i="160"/>
  <c r="GA26" i="147"/>
  <c r="GA30" i="147"/>
  <c r="GA34" i="147"/>
  <c r="GA38" i="147"/>
  <c r="GA16" i="165"/>
  <c r="GA20" i="165"/>
  <c r="GA24" i="165"/>
  <c r="GA28" i="165"/>
  <c r="GA32" i="165"/>
  <c r="GA36" i="165"/>
  <c r="GA40" i="165"/>
  <c r="GA44" i="165"/>
  <c r="GC16" i="160"/>
  <c r="GC20" i="160"/>
  <c r="GC24" i="160"/>
  <c r="GC28" i="160"/>
  <c r="GC32" i="160"/>
  <c r="GC36" i="160"/>
  <c r="GC40" i="160"/>
  <c r="GC44" i="160"/>
  <c r="GC26" i="147"/>
  <c r="GC30" i="147"/>
  <c r="GC34" i="147"/>
  <c r="GC38" i="147"/>
  <c r="GC16" i="165"/>
  <c r="GC20" i="165"/>
  <c r="GC24" i="165"/>
  <c r="GC28" i="165"/>
  <c r="GC32" i="165"/>
  <c r="GC36" i="165"/>
  <c r="GC40" i="165"/>
  <c r="GC44" i="165"/>
  <c r="GC28" i="84"/>
  <c r="FQ45" i="160"/>
  <c r="FQ44" i="160"/>
  <c r="FQ43" i="160"/>
  <c r="FQ42" i="160"/>
  <c r="FQ41" i="160"/>
  <c r="FQ40" i="160"/>
  <c r="FQ39" i="160"/>
  <c r="FQ38" i="160"/>
  <c r="FQ37" i="160"/>
  <c r="FQ36" i="160"/>
  <c r="FQ35" i="160"/>
  <c r="FQ34" i="160"/>
  <c r="FQ33" i="160"/>
  <c r="FQ32" i="160"/>
  <c r="FQ31" i="160"/>
  <c r="FQ30" i="160"/>
  <c r="FQ29" i="160"/>
  <c r="FQ28" i="160"/>
  <c r="FQ27" i="160"/>
  <c r="FQ26" i="160"/>
  <c r="FQ25" i="160"/>
  <c r="FQ24" i="160"/>
  <c r="FQ23" i="160"/>
  <c r="FQ22" i="160"/>
  <c r="FQ21" i="160"/>
  <c r="FQ20" i="160"/>
  <c r="FQ19" i="160"/>
  <c r="FQ18" i="160"/>
  <c r="FQ17" i="160"/>
  <c r="FQ16" i="160"/>
  <c r="FQ15" i="160"/>
  <c r="FQ14" i="160"/>
  <c r="DR73" i="192" l="1"/>
  <c r="DR82" i="193"/>
  <c r="EL42" i="193" s="1"/>
  <c r="EH41" i="200"/>
  <c r="EZ24" i="193"/>
  <c r="DO82" i="191"/>
  <c r="GK64" i="193"/>
  <c r="EZ28" i="193"/>
  <c r="DQ69" i="192"/>
  <c r="EL29" i="192" s="1"/>
  <c r="DQ71" i="192"/>
  <c r="BY24" i="193"/>
  <c r="DO57" i="192"/>
  <c r="FB21" i="192"/>
  <c r="FA21" i="192" s="1"/>
  <c r="DQ83" i="193"/>
  <c r="EL43" i="193" s="1"/>
  <c r="BX24" i="192"/>
  <c r="BX25" i="192" s="1"/>
  <c r="BY25" i="192" s="1"/>
  <c r="BY21" i="192"/>
  <c r="GK61" i="192"/>
  <c r="DQ84" i="192"/>
  <c r="EL44" i="192" s="1"/>
  <c r="EL19" i="192"/>
  <c r="GK66" i="191"/>
  <c r="BX30" i="193"/>
  <c r="BY30" i="193" s="1"/>
  <c r="DO83" i="191"/>
  <c r="DO77" i="192"/>
  <c r="EX17" i="191"/>
  <c r="EZ34" i="193"/>
  <c r="GK74" i="193"/>
  <c r="GK62" i="192"/>
  <c r="EZ15" i="191"/>
  <c r="GK57" i="191"/>
  <c r="FB15" i="191"/>
  <c r="FA15" i="191" s="1"/>
  <c r="EX34" i="193"/>
  <c r="FB17" i="191"/>
  <c r="FA17" i="191" s="1"/>
  <c r="DP65" i="192"/>
  <c r="BY17" i="191"/>
  <c r="FB22" i="192"/>
  <c r="FA22" i="192" s="1"/>
  <c r="EX22" i="192"/>
  <c r="DO64" i="192"/>
  <c r="BY22" i="192"/>
  <c r="FB34" i="193"/>
  <c r="FA34" i="193" s="1"/>
  <c r="FB28" i="193"/>
  <c r="FA28" i="193" s="1"/>
  <c r="EX28" i="193"/>
  <c r="BY28" i="193"/>
  <c r="GK69" i="192"/>
  <c r="EZ29" i="192"/>
  <c r="EX30" i="192"/>
  <c r="BY29" i="192"/>
  <c r="EZ36" i="192"/>
  <c r="EZ29" i="193"/>
  <c r="FB27" i="193"/>
  <c r="FA27" i="193" s="1"/>
  <c r="DP72" i="192"/>
  <c r="BX19" i="193"/>
  <c r="EX20" i="193" s="1"/>
  <c r="EX29" i="193"/>
  <c r="BY33" i="193"/>
  <c r="EX24" i="193"/>
  <c r="EZ39" i="192"/>
  <c r="GK73" i="193"/>
  <c r="GK70" i="193"/>
  <c r="EZ33" i="193"/>
  <c r="BY21" i="193"/>
  <c r="FB22" i="193"/>
  <c r="FA22" i="193" s="1"/>
  <c r="GK62" i="193"/>
  <c r="FB21" i="193"/>
  <c r="FA21" i="193" s="1"/>
  <c r="GK61" i="193"/>
  <c r="EX22" i="193"/>
  <c r="EX21" i="193"/>
  <c r="EZ22" i="193"/>
  <c r="GK58" i="192"/>
  <c r="EX18" i="192"/>
  <c r="EZ18" i="192"/>
  <c r="EX19" i="192"/>
  <c r="BY18" i="192"/>
  <c r="EX23" i="192"/>
  <c r="BY23" i="192"/>
  <c r="FB23" i="192"/>
  <c r="FA23" i="192" s="1"/>
  <c r="GK63" i="192"/>
  <c r="GK62" i="191"/>
  <c r="EX22" i="191"/>
  <c r="FB22" i="191"/>
  <c r="FA22" i="191" s="1"/>
  <c r="BY22" i="191"/>
  <c r="GK64" i="191"/>
  <c r="EX25" i="191"/>
  <c r="FB33" i="192"/>
  <c r="FA33" i="192" s="1"/>
  <c r="EZ30" i="192"/>
  <c r="GK80" i="192"/>
  <c r="EZ28" i="192"/>
  <c r="BY30" i="192"/>
  <c r="EX29" i="192"/>
  <c r="BY28" i="192"/>
  <c r="GK70" i="192"/>
  <c r="GK68" i="192"/>
  <c r="FB30" i="192"/>
  <c r="FA30" i="192" s="1"/>
  <c r="FB34" i="192"/>
  <c r="FA34" i="192" s="1"/>
  <c r="BY40" i="192"/>
  <c r="DQ71" i="193"/>
  <c r="EL31" i="193" s="1"/>
  <c r="FB39" i="192"/>
  <c r="FA39" i="192" s="1"/>
  <c r="EL25" i="192"/>
  <c r="EX31" i="192"/>
  <c r="GK71" i="192"/>
  <c r="BY27" i="191"/>
  <c r="GK67" i="193"/>
  <c r="BY33" i="192"/>
  <c r="EX39" i="192"/>
  <c r="EL17" i="193"/>
  <c r="EX26" i="191"/>
  <c r="BY31" i="192"/>
  <c r="EX40" i="192"/>
  <c r="BY29" i="193"/>
  <c r="BY19" i="192"/>
  <c r="DP81" i="192"/>
  <c r="GK79" i="192"/>
  <c r="DP78" i="191"/>
  <c r="DP79" i="193"/>
  <c r="FB29" i="193"/>
  <c r="FA29" i="193" s="1"/>
  <c r="EZ27" i="193"/>
  <c r="EL24" i="192"/>
  <c r="DQ67" i="192"/>
  <c r="EL27" i="192" s="1"/>
  <c r="BY20" i="193"/>
  <c r="GK60" i="193"/>
  <c r="EZ20" i="193"/>
  <c r="FB20" i="193"/>
  <c r="FA20" i="193" s="1"/>
  <c r="BY27" i="193"/>
  <c r="FB31" i="192"/>
  <c r="FA31" i="192" s="1"/>
  <c r="EL33" i="192"/>
  <c r="EZ32" i="193"/>
  <c r="GK74" i="192"/>
  <c r="EL28" i="192"/>
  <c r="EZ34" i="192"/>
  <c r="BY26" i="191"/>
  <c r="DQ61" i="192"/>
  <c r="DO61" i="192"/>
  <c r="DQ67" i="193"/>
  <c r="DO67" i="193"/>
  <c r="EL41" i="192"/>
  <c r="DP61" i="192"/>
  <c r="DR61" i="192"/>
  <c r="EZ23" i="193"/>
  <c r="BY23" i="193"/>
  <c r="FB23" i="193"/>
  <c r="FA23" i="193" s="1"/>
  <c r="EX27" i="191"/>
  <c r="EZ19" i="192"/>
  <c r="GK72" i="192"/>
  <c r="FB33" i="193"/>
  <c r="FA33" i="193" s="1"/>
  <c r="T43" i="193"/>
  <c r="EZ25" i="191"/>
  <c r="BY24" i="191"/>
  <c r="EX23" i="193"/>
  <c r="FB32" i="192"/>
  <c r="FA32" i="192" s="1"/>
  <c r="S43" i="193"/>
  <c r="BX35" i="192"/>
  <c r="EZ35" i="192" s="1"/>
  <c r="GK67" i="191"/>
  <c r="FB19" i="192"/>
  <c r="FA19" i="192" s="1"/>
  <c r="EZ16" i="191"/>
  <c r="DO73" i="192"/>
  <c r="GK65" i="191"/>
  <c r="BY15" i="191"/>
  <c r="EZ24" i="191"/>
  <c r="EZ30" i="193"/>
  <c r="DP67" i="193"/>
  <c r="DR67" i="193"/>
  <c r="EC67" i="193" s="1"/>
  <c r="EN27" i="193" s="1"/>
  <c r="EZ27" i="191"/>
  <c r="FB25" i="191"/>
  <c r="FA25" i="191" s="1"/>
  <c r="EL43" i="192"/>
  <c r="EX24" i="191"/>
  <c r="BT45" i="192"/>
  <c r="EL30" i="191"/>
  <c r="EX16" i="191"/>
  <c r="BY25" i="191"/>
  <c r="EZ26" i="191"/>
  <c r="EL31" i="192"/>
  <c r="EX33" i="192"/>
  <c r="EX34" i="192"/>
  <c r="BY26" i="192"/>
  <c r="FB26" i="192"/>
  <c r="FA26" i="192" s="1"/>
  <c r="EX26" i="192"/>
  <c r="EZ26" i="192"/>
  <c r="GK66" i="192"/>
  <c r="GK69" i="191"/>
  <c r="EZ29" i="191"/>
  <c r="FB29" i="191"/>
  <c r="FA29" i="191" s="1"/>
  <c r="BY29" i="191"/>
  <c r="EL36" i="192"/>
  <c r="EX32" i="192"/>
  <c r="EZ33" i="192"/>
  <c r="FB16" i="191"/>
  <c r="FA16" i="191" s="1"/>
  <c r="GK59" i="191"/>
  <c r="GK56" i="192"/>
  <c r="FB16" i="192"/>
  <c r="FA16" i="192" s="1"/>
  <c r="BY16" i="192"/>
  <c r="EZ16" i="192"/>
  <c r="EZ31" i="193"/>
  <c r="GK71" i="193"/>
  <c r="EZ32" i="192"/>
  <c r="GK56" i="191"/>
  <c r="EL23" i="192"/>
  <c r="EZ19" i="191"/>
  <c r="FB19" i="191"/>
  <c r="FA19" i="191" s="1"/>
  <c r="EL22" i="192"/>
  <c r="EL35" i="191"/>
  <c r="BY16" i="191"/>
  <c r="AD47" i="207"/>
  <c r="AD47" i="206"/>
  <c r="AD47" i="204"/>
  <c r="AD47" i="203"/>
  <c r="AD47" i="202"/>
  <c r="AD47" i="201"/>
  <c r="AD47" i="200"/>
  <c r="AD47" i="197"/>
  <c r="AD47" i="208"/>
  <c r="AD47" i="205"/>
  <c r="AD47" i="199"/>
  <c r="AD47" i="198"/>
  <c r="FX56" i="191"/>
  <c r="CJ19" i="199"/>
  <c r="X19" i="199"/>
  <c r="X18" i="203"/>
  <c r="CJ18" i="203"/>
  <c r="X45" i="203"/>
  <c r="CJ45" i="203"/>
  <c r="X33" i="203"/>
  <c r="CJ33" i="203"/>
  <c r="X31" i="200"/>
  <c r="CJ31" i="200"/>
  <c r="X33" i="201"/>
  <c r="CJ33" i="201"/>
  <c r="CJ29" i="196"/>
  <c r="X29" i="196"/>
  <c r="CJ38" i="205"/>
  <c r="X38" i="205"/>
  <c r="X38" i="207"/>
  <c r="CJ38" i="207"/>
  <c r="CJ45" i="205"/>
  <c r="X45" i="205"/>
  <c r="X32" i="205"/>
  <c r="CJ32" i="205"/>
  <c r="CJ43" i="199"/>
  <c r="X43" i="199"/>
  <c r="CJ22" i="208"/>
  <c r="X22" i="208"/>
  <c r="X32" i="202"/>
  <c r="CJ32" i="202"/>
  <c r="X32" i="207"/>
  <c r="CJ32" i="207"/>
  <c r="DR39" i="199"/>
  <c r="CS39" i="199"/>
  <c r="EJ98" i="199"/>
  <c r="CR39" i="199"/>
  <c r="DQ39" i="199"/>
  <c r="EU39" i="199"/>
  <c r="ET39" i="199"/>
  <c r="ES39" i="199"/>
  <c r="EO39" i="199"/>
  <c r="EP39" i="199"/>
  <c r="EL98" i="199"/>
  <c r="W30" i="197"/>
  <c r="V30" i="197"/>
  <c r="U24" i="199"/>
  <c r="T24" i="199"/>
  <c r="W36" i="199"/>
  <c r="V36" i="199"/>
  <c r="AT36" i="199" s="1"/>
  <c r="V18" i="197"/>
  <c r="W18" i="197"/>
  <c r="EJ18" i="200"/>
  <c r="EH18" i="200"/>
  <c r="DQ23" i="206"/>
  <c r="CR23" i="206"/>
  <c r="EU23" i="206"/>
  <c r="EJ82" i="206"/>
  <c r="EP23" i="206"/>
  <c r="CS23" i="206"/>
  <c r="DR23" i="206"/>
  <c r="ET23" i="206"/>
  <c r="EL82" i="206"/>
  <c r="ES23" i="206"/>
  <c r="EO23" i="206"/>
  <c r="P28" i="206"/>
  <c r="O28" i="206"/>
  <c r="N28" i="206"/>
  <c r="DR25" i="196"/>
  <c r="CS25" i="196"/>
  <c r="DQ25" i="196"/>
  <c r="CR25" i="196"/>
  <c r="ET25" i="196"/>
  <c r="EU25" i="196"/>
  <c r="ES25" i="196"/>
  <c r="EP25" i="196"/>
  <c r="X42" i="197"/>
  <c r="CJ42" i="197"/>
  <c r="U21" i="201"/>
  <c r="T21" i="201"/>
  <c r="V42" i="200"/>
  <c r="W42" i="200"/>
  <c r="CJ35" i="205"/>
  <c r="X35" i="205"/>
  <c r="S27" i="204"/>
  <c r="Q27" i="204"/>
  <c r="R27" i="204"/>
  <c r="EJ96" i="204"/>
  <c r="EL96" i="204" s="1"/>
  <c r="DQ37" i="204"/>
  <c r="CR37" i="204"/>
  <c r="EU37" i="204"/>
  <c r="CS37" i="204"/>
  <c r="DR37" i="204"/>
  <c r="ET37" i="204"/>
  <c r="ES37" i="204"/>
  <c r="U37" i="199"/>
  <c r="T37" i="199"/>
  <c r="AR37" i="199" s="1"/>
  <c r="U43" i="198"/>
  <c r="T43" i="198"/>
  <c r="AR43" i="198" s="1"/>
  <c r="X21" i="201"/>
  <c r="CJ21" i="201"/>
  <c r="X45" i="204"/>
  <c r="CJ45" i="204"/>
  <c r="N24" i="206"/>
  <c r="O24" i="206"/>
  <c r="P24" i="206"/>
  <c r="CJ24" i="206"/>
  <c r="X24" i="206"/>
  <c r="EH22" i="206"/>
  <c r="EJ22" i="206"/>
  <c r="CH22" i="206" s="1"/>
  <c r="EC83" i="192"/>
  <c r="S43" i="192"/>
  <c r="T43" i="192"/>
  <c r="EJ82" i="200"/>
  <c r="EU23" i="200"/>
  <c r="DR23" i="200"/>
  <c r="CS23" i="200"/>
  <c r="DQ23" i="200"/>
  <c r="CR23" i="200"/>
  <c r="EO23" i="200"/>
  <c r="EP23" i="200"/>
  <c r="ET23" i="200"/>
  <c r="EL82" i="200"/>
  <c r="ES23" i="200"/>
  <c r="EJ86" i="207"/>
  <c r="DQ27" i="207"/>
  <c r="CR27" i="207"/>
  <c r="EU27" i="207"/>
  <c r="EL86" i="207"/>
  <c r="ET27" i="207"/>
  <c r="CS27" i="207"/>
  <c r="DR27" i="207"/>
  <c r="ES27" i="207"/>
  <c r="EH27" i="207"/>
  <c r="EI27" i="207"/>
  <c r="GK77" i="192"/>
  <c r="FB37" i="192"/>
  <c r="FA37" i="192" s="1"/>
  <c r="BY37" i="192"/>
  <c r="EZ37" i="192"/>
  <c r="V39" i="193"/>
  <c r="U39" i="193"/>
  <c r="BV39" i="193" s="1"/>
  <c r="U33" i="201"/>
  <c r="T33" i="201"/>
  <c r="AR33" i="201" s="1"/>
  <c r="CJ41" i="202"/>
  <c r="X41" i="202"/>
  <c r="DR21" i="201"/>
  <c r="CS21" i="201"/>
  <c r="EU21" i="201"/>
  <c r="DQ21" i="201"/>
  <c r="EJ80" i="201"/>
  <c r="CR21" i="201"/>
  <c r="EL80" i="201"/>
  <c r="ET21" i="201"/>
  <c r="ES21" i="201"/>
  <c r="EJ89" i="208"/>
  <c r="EL89" i="208" s="1"/>
  <c r="DR30" i="208"/>
  <c r="CS30" i="208"/>
  <c r="CR30" i="208"/>
  <c r="DQ30" i="208"/>
  <c r="EU30" i="208"/>
  <c r="ET30" i="208"/>
  <c r="EI30" i="208"/>
  <c r="EO30" i="208"/>
  <c r="EP30" i="208"/>
  <c r="ES30" i="208"/>
  <c r="EH30" i="208"/>
  <c r="EJ32" i="196"/>
  <c r="EH32" i="196"/>
  <c r="CJ40" i="200"/>
  <c r="X40" i="200"/>
  <c r="W25" i="206"/>
  <c r="V25" i="206"/>
  <c r="AT25" i="206" s="1"/>
  <c r="AZ44" i="208"/>
  <c r="AP44" i="208"/>
  <c r="AU44" i="208"/>
  <c r="V19" i="201"/>
  <c r="W19" i="201"/>
  <c r="X31" i="206"/>
  <c r="CJ31" i="206"/>
  <c r="EH16" i="201"/>
  <c r="EJ16" i="201"/>
  <c r="X20" i="208"/>
  <c r="CJ20" i="208"/>
  <c r="P26" i="203"/>
  <c r="O26" i="203"/>
  <c r="N26" i="203"/>
  <c r="GL43" i="192"/>
  <c r="V22" i="200"/>
  <c r="AT22" i="200" s="1"/>
  <c r="W22" i="200"/>
  <c r="EK36" i="198"/>
  <c r="EV36" i="198" s="1"/>
  <c r="CJ36" i="198" s="1"/>
  <c r="EI36" i="198"/>
  <c r="V27" i="203"/>
  <c r="W27" i="203"/>
  <c r="EQ16" i="203"/>
  <c r="CI16" i="203" s="1"/>
  <c r="R27" i="203"/>
  <c r="S27" i="203"/>
  <c r="Q27" i="203"/>
  <c r="CH43" i="206"/>
  <c r="EH19" i="208"/>
  <c r="EJ19" i="208"/>
  <c r="CH19" i="208" s="1"/>
  <c r="DO74" i="192"/>
  <c r="DQ74" i="192"/>
  <c r="EK19" i="197"/>
  <c r="EV19" i="197" s="1"/>
  <c r="CJ19" i="197" s="1"/>
  <c r="EI19" i="197"/>
  <c r="R38" i="199"/>
  <c r="Q38" i="199"/>
  <c r="S38" i="199"/>
  <c r="CJ21" i="203"/>
  <c r="X21" i="203"/>
  <c r="W44" i="207"/>
  <c r="V44" i="207"/>
  <c r="AT44" i="207" s="1"/>
  <c r="DY70" i="191"/>
  <c r="DW70" i="191"/>
  <c r="EC63" i="193"/>
  <c r="EN23" i="193" s="1"/>
  <c r="DR31" i="196"/>
  <c r="CS31" i="196"/>
  <c r="CR31" i="196"/>
  <c r="EU31" i="196"/>
  <c r="DQ31" i="196"/>
  <c r="EH31" i="196"/>
  <c r="ES31" i="196"/>
  <c r="ET31" i="196"/>
  <c r="P16" i="206"/>
  <c r="O16" i="206"/>
  <c r="N16" i="206"/>
  <c r="CH35" i="205"/>
  <c r="CI24" i="207"/>
  <c r="V45" i="191"/>
  <c r="U45" i="191"/>
  <c r="BV45" i="191" s="1"/>
  <c r="X30" i="196"/>
  <c r="CJ30" i="196"/>
  <c r="EI31" i="197"/>
  <c r="EK31" i="197"/>
  <c r="EV31" i="197" s="1"/>
  <c r="N31" i="204"/>
  <c r="P31" i="204"/>
  <c r="O31" i="204"/>
  <c r="S24" i="206"/>
  <c r="Q24" i="206"/>
  <c r="R24" i="206"/>
  <c r="EN45" i="192"/>
  <c r="W45" i="192"/>
  <c r="EK31" i="198"/>
  <c r="EV31" i="198" s="1"/>
  <c r="EI31" i="198"/>
  <c r="U35" i="200"/>
  <c r="T35" i="200"/>
  <c r="AR35" i="200" s="1"/>
  <c r="FJ57" i="191"/>
  <c r="FK58" i="191"/>
  <c r="EJ83" i="197"/>
  <c r="EL83" i="197" s="1"/>
  <c r="EU24" i="197"/>
  <c r="DR24" i="197"/>
  <c r="CS24" i="197"/>
  <c r="DQ24" i="197"/>
  <c r="CR24" i="197"/>
  <c r="EO24" i="197"/>
  <c r="ES24" i="197"/>
  <c r="EP24" i="197"/>
  <c r="ET24" i="197"/>
  <c r="S42" i="201"/>
  <c r="Q42" i="201"/>
  <c r="R42" i="201"/>
  <c r="AZ18" i="199"/>
  <c r="AP18" i="199"/>
  <c r="AU18" i="199"/>
  <c r="EH18" i="199" s="1"/>
  <c r="CI33" i="204"/>
  <c r="EQ40" i="207"/>
  <c r="CI40" i="207" s="1"/>
  <c r="EO40" i="207"/>
  <c r="EO18" i="208"/>
  <c r="EQ18" i="208"/>
  <c r="EH16" i="208"/>
  <c r="W39" i="196"/>
  <c r="V39" i="196"/>
  <c r="AT39" i="196" s="1"/>
  <c r="X45" i="199"/>
  <c r="CJ45" i="199"/>
  <c r="CJ16" i="199"/>
  <c r="X16" i="199"/>
  <c r="CI27" i="204"/>
  <c r="EK32" i="196"/>
  <c r="EV32" i="196" s="1"/>
  <c r="EI32" i="196"/>
  <c r="EC67" i="192"/>
  <c r="EN27" i="192" s="1"/>
  <c r="EP31" i="201"/>
  <c r="EU35" i="203"/>
  <c r="EJ94" i="203"/>
  <c r="EL94" i="203" s="1"/>
  <c r="DR35" i="203"/>
  <c r="CS35" i="203"/>
  <c r="CR35" i="203"/>
  <c r="EO35" i="203"/>
  <c r="DQ35" i="203"/>
  <c r="ET35" i="203"/>
  <c r="ES35" i="203"/>
  <c r="EP35" i="203"/>
  <c r="CI27" i="200"/>
  <c r="CJ26" i="198"/>
  <c r="X26" i="198"/>
  <c r="EU26" i="202"/>
  <c r="EJ85" i="202"/>
  <c r="DR26" i="202"/>
  <c r="CS26" i="202"/>
  <c r="DQ26" i="202"/>
  <c r="CR26" i="202"/>
  <c r="EL85" i="202"/>
  <c r="ET26" i="202"/>
  <c r="EO26" i="202"/>
  <c r="ES26" i="202"/>
  <c r="AT16" i="204"/>
  <c r="CH34" i="204"/>
  <c r="EJ79" i="207"/>
  <c r="EL79" i="207"/>
  <c r="EU20" i="207"/>
  <c r="DR20" i="207"/>
  <c r="CR20" i="207"/>
  <c r="DQ20" i="207"/>
  <c r="CS20" i="207"/>
  <c r="ET20" i="207"/>
  <c r="ES20" i="207"/>
  <c r="EU32" i="198"/>
  <c r="DQ32" i="198"/>
  <c r="CR32" i="198"/>
  <c r="CS32" i="198"/>
  <c r="EL91" i="198"/>
  <c r="EJ91" i="198"/>
  <c r="DR32" i="198"/>
  <c r="ES32" i="198"/>
  <c r="ET32" i="198"/>
  <c r="EV35" i="196"/>
  <c r="EJ96" i="205"/>
  <c r="EL96" i="205" s="1"/>
  <c r="DR37" i="205"/>
  <c r="CS37" i="205"/>
  <c r="EU37" i="205"/>
  <c r="CR37" i="205"/>
  <c r="DQ37" i="205"/>
  <c r="EP37" i="205"/>
  <c r="EO37" i="205"/>
  <c r="ET37" i="205"/>
  <c r="ES37" i="205"/>
  <c r="EI22" i="204"/>
  <c r="CH31" i="206"/>
  <c r="V19" i="208"/>
  <c r="W19" i="208"/>
  <c r="EV27" i="204"/>
  <c r="S35" i="208"/>
  <c r="R35" i="208"/>
  <c r="Q35" i="208"/>
  <c r="AP45" i="208"/>
  <c r="AZ45" i="208"/>
  <c r="AU45" i="208"/>
  <c r="R33" i="207"/>
  <c r="Q33" i="207"/>
  <c r="S33" i="207"/>
  <c r="Q23" i="203"/>
  <c r="R23" i="203"/>
  <c r="S23" i="203"/>
  <c r="W19" i="202"/>
  <c r="V19" i="202"/>
  <c r="AT19" i="202" s="1"/>
  <c r="U28" i="203"/>
  <c r="T28" i="203"/>
  <c r="AR28" i="203" s="1"/>
  <c r="EK32" i="206"/>
  <c r="EV32" i="206" s="1"/>
  <c r="FX56" i="192"/>
  <c r="DO77" i="193"/>
  <c r="DQ77" i="193"/>
  <c r="DP74" i="192"/>
  <c r="DR74" i="192"/>
  <c r="EC74" i="192" s="1"/>
  <c r="EN34" i="192" s="1"/>
  <c r="W44" i="204"/>
  <c r="V44" i="204"/>
  <c r="AT44" i="204" s="1"/>
  <c r="EV37" i="200"/>
  <c r="DQ70" i="193"/>
  <c r="DO70" i="193"/>
  <c r="DX56" i="192"/>
  <c r="DV56" i="192"/>
  <c r="DR74" i="193"/>
  <c r="DP74" i="193"/>
  <c r="GL34" i="193"/>
  <c r="GM34" i="193" s="1"/>
  <c r="EJ81" i="207"/>
  <c r="EU22" i="207"/>
  <c r="ES22" i="207"/>
  <c r="DQ22" i="207"/>
  <c r="CR22" i="207"/>
  <c r="DR22" i="207"/>
  <c r="CS22" i="207"/>
  <c r="EO22" i="207"/>
  <c r="ET22" i="207"/>
  <c r="EL81" i="207"/>
  <c r="N18" i="201"/>
  <c r="P18" i="201"/>
  <c r="O18" i="201"/>
  <c r="DR73" i="193"/>
  <c r="EC73" i="193" s="1"/>
  <c r="EN33" i="193" s="1"/>
  <c r="DP73" i="193"/>
  <c r="CJ34" i="199"/>
  <c r="X34" i="199"/>
  <c r="X43" i="198"/>
  <c r="CJ43" i="198"/>
  <c r="W18" i="200"/>
  <c r="V18" i="200"/>
  <c r="AT18" i="200" s="1"/>
  <c r="DX74" i="191"/>
  <c r="DV74" i="191"/>
  <c r="DO77" i="191"/>
  <c r="DQ77" i="191"/>
  <c r="X44" i="200"/>
  <c r="CJ44" i="200"/>
  <c r="EJ76" i="200"/>
  <c r="DR17" i="200"/>
  <c r="CS17" i="200"/>
  <c r="DQ17" i="200"/>
  <c r="EL76" i="200"/>
  <c r="EU17" i="200"/>
  <c r="ES17" i="200"/>
  <c r="CR17" i="200"/>
  <c r="ET17" i="200"/>
  <c r="EH17" i="200"/>
  <c r="EI17" i="200"/>
  <c r="U21" i="197"/>
  <c r="T21" i="197"/>
  <c r="AR21" i="197" s="1"/>
  <c r="W17" i="206"/>
  <c r="V17" i="206"/>
  <c r="AT17" i="206" s="1"/>
  <c r="CH31" i="208"/>
  <c r="U25" i="203"/>
  <c r="T25" i="203"/>
  <c r="AR25" i="203" s="1"/>
  <c r="CJ19" i="203"/>
  <c r="X19" i="203"/>
  <c r="V20" i="206"/>
  <c r="AT20" i="206" s="1"/>
  <c r="W20" i="206"/>
  <c r="EV24" i="207"/>
  <c r="CJ24" i="207" s="1"/>
  <c r="DO72" i="193"/>
  <c r="DQ72" i="193"/>
  <c r="S26" i="200"/>
  <c r="R26" i="200"/>
  <c r="Q26" i="200"/>
  <c r="AU24" i="205"/>
  <c r="AP24" i="205"/>
  <c r="AZ24" i="205"/>
  <c r="AU44" i="207"/>
  <c r="AP44" i="207"/>
  <c r="AZ44" i="207"/>
  <c r="CJ42" i="201"/>
  <c r="X42" i="201"/>
  <c r="EK45" i="201"/>
  <c r="EV45" i="201" s="1"/>
  <c r="EI45" i="201"/>
  <c r="W16" i="198"/>
  <c r="V16" i="198"/>
  <c r="EK35" i="199"/>
  <c r="EV35" i="199" s="1"/>
  <c r="EI35" i="199"/>
  <c r="U43" i="193"/>
  <c r="V43" i="193"/>
  <c r="Q18" i="198"/>
  <c r="S18" i="198"/>
  <c r="R18" i="198"/>
  <c r="EP32" i="198"/>
  <c r="AZ25" i="203"/>
  <c r="AP25" i="203"/>
  <c r="AU25" i="203"/>
  <c r="EP18" i="204"/>
  <c r="EV44" i="205"/>
  <c r="GL44" i="191"/>
  <c r="DY61" i="192"/>
  <c r="DW61" i="192"/>
  <c r="GL42" i="193"/>
  <c r="U32" i="201"/>
  <c r="T32" i="201"/>
  <c r="AR32" i="201" s="1"/>
  <c r="U36" i="199"/>
  <c r="T36" i="199"/>
  <c r="AR36" i="199" s="1"/>
  <c r="DY78" i="193"/>
  <c r="DW78" i="193"/>
  <c r="DR42" i="199"/>
  <c r="M42" i="199" s="1"/>
  <c r="CS42" i="199"/>
  <c r="DQ42" i="199"/>
  <c r="L42" i="199" s="1"/>
  <c r="CR42" i="199"/>
  <c r="EH42" i="199"/>
  <c r="EL101" i="199"/>
  <c r="EJ101" i="199"/>
  <c r="EU42" i="199"/>
  <c r="EP42" i="199"/>
  <c r="ET42" i="199"/>
  <c r="EO42" i="199"/>
  <c r="ES42" i="199"/>
  <c r="GL41" i="208"/>
  <c r="GM41" i="208" s="1"/>
  <c r="CH19" i="198"/>
  <c r="EV33" i="204"/>
  <c r="V44" i="200"/>
  <c r="AT44" i="200" s="1"/>
  <c r="W44" i="200"/>
  <c r="DR81" i="191"/>
  <c r="EC81" i="191" s="1"/>
  <c r="EN41" i="191" s="1"/>
  <c r="DP81" i="191"/>
  <c r="EV23" i="201"/>
  <c r="DQ75" i="193"/>
  <c r="DO75" i="193"/>
  <c r="EH29" i="198"/>
  <c r="DP68" i="193"/>
  <c r="DR68" i="193"/>
  <c r="EC68" i="193" s="1"/>
  <c r="EN28" i="193" s="1"/>
  <c r="CJ26" i="196"/>
  <c r="X26" i="196"/>
  <c r="X35" i="201"/>
  <c r="CJ35" i="201"/>
  <c r="GL42" i="198"/>
  <c r="GM42" i="198" s="1"/>
  <c r="CH25" i="201"/>
  <c r="DV70" i="193"/>
  <c r="DX70" i="193"/>
  <c r="GL43" i="201"/>
  <c r="AU57" i="198"/>
  <c r="AZ31" i="200"/>
  <c r="AU31" i="200"/>
  <c r="AP31" i="200"/>
  <c r="CI44" i="205"/>
  <c r="CH34" i="203"/>
  <c r="X42" i="205"/>
  <c r="CJ42" i="205"/>
  <c r="EI21" i="204"/>
  <c r="AZ45" i="202"/>
  <c r="AP45" i="202"/>
  <c r="AU45" i="202"/>
  <c r="EJ85" i="204"/>
  <c r="DR26" i="204"/>
  <c r="CS26" i="204"/>
  <c r="EU26" i="204"/>
  <c r="CR26" i="204"/>
  <c r="DQ26" i="204"/>
  <c r="ET26" i="204"/>
  <c r="EH26" i="204"/>
  <c r="EL85" i="204"/>
  <c r="EI26" i="204"/>
  <c r="ES26" i="204"/>
  <c r="EJ104" i="203"/>
  <c r="DQ45" i="203"/>
  <c r="L45" i="203" s="1"/>
  <c r="CR45" i="203"/>
  <c r="EU45" i="203"/>
  <c r="ET45" i="203"/>
  <c r="CS45" i="203"/>
  <c r="DR45" i="203"/>
  <c r="M45" i="203" s="1"/>
  <c r="EH45" i="203"/>
  <c r="ES45" i="203"/>
  <c r="EL104" i="203"/>
  <c r="EI45" i="203"/>
  <c r="EJ98" i="204"/>
  <c r="EL98" i="204" s="1"/>
  <c r="EO39" i="204"/>
  <c r="DQ39" i="204"/>
  <c r="CR39" i="204"/>
  <c r="EP39" i="204"/>
  <c r="DR39" i="204"/>
  <c r="EU39" i="204"/>
  <c r="CS39" i="204"/>
  <c r="ES39" i="204"/>
  <c r="ET39" i="204"/>
  <c r="CH21" i="207"/>
  <c r="EI20" i="207"/>
  <c r="EJ25" i="207"/>
  <c r="EH25" i="207"/>
  <c r="CI19" i="207"/>
  <c r="AT41" i="207"/>
  <c r="CH20" i="208"/>
  <c r="AU21" i="208"/>
  <c r="AZ21" i="208"/>
  <c r="AP21" i="208"/>
  <c r="GK57" i="192"/>
  <c r="EZ17" i="192"/>
  <c r="EX17" i="192"/>
  <c r="FB17" i="192"/>
  <c r="FA17" i="192" s="1"/>
  <c r="BY17" i="192"/>
  <c r="DW74" i="192"/>
  <c r="DY74" i="192"/>
  <c r="DR25" i="199"/>
  <c r="CS25" i="199"/>
  <c r="EU25" i="199"/>
  <c r="CR25" i="199"/>
  <c r="DQ25" i="199"/>
  <c r="EJ84" i="199"/>
  <c r="EL84" i="199" s="1"/>
  <c r="ET25" i="199"/>
  <c r="ES25" i="199"/>
  <c r="DP77" i="193"/>
  <c r="DR77" i="193"/>
  <c r="N26" i="198"/>
  <c r="P26" i="198"/>
  <c r="O26" i="198"/>
  <c r="EH43" i="197"/>
  <c r="EJ43" i="197"/>
  <c r="O37" i="200"/>
  <c r="N37" i="200"/>
  <c r="P37" i="200"/>
  <c r="CH27" i="206"/>
  <c r="EP27" i="207"/>
  <c r="EQ36" i="208"/>
  <c r="DQ80" i="192"/>
  <c r="DO80" i="192"/>
  <c r="DW71" i="191"/>
  <c r="DY71" i="191"/>
  <c r="T33" i="198"/>
  <c r="U33" i="198"/>
  <c r="DQ74" i="193"/>
  <c r="DO74" i="193"/>
  <c r="CJ25" i="197"/>
  <c r="X25" i="197"/>
  <c r="V19" i="203"/>
  <c r="W19" i="203"/>
  <c r="EJ21" i="202"/>
  <c r="EH21" i="202"/>
  <c r="N37" i="203"/>
  <c r="O37" i="203"/>
  <c r="P37" i="203"/>
  <c r="CI17" i="205"/>
  <c r="CI43" i="204"/>
  <c r="CI30" i="207"/>
  <c r="EC63" i="192"/>
  <c r="EN23" i="192" s="1"/>
  <c r="CI31" i="199"/>
  <c r="U30" i="202"/>
  <c r="T30" i="202"/>
  <c r="CJ29" i="207"/>
  <c r="X29" i="207"/>
  <c r="EJ102" i="207"/>
  <c r="DR43" i="207"/>
  <c r="M43" i="207" s="1"/>
  <c r="CS43" i="207"/>
  <c r="EU43" i="207"/>
  <c r="EP43" i="207"/>
  <c r="CR43" i="207"/>
  <c r="DQ43" i="207"/>
  <c r="L43" i="207" s="1"/>
  <c r="EO43" i="207"/>
  <c r="EI43" i="207"/>
  <c r="ET43" i="207"/>
  <c r="EH43" i="207"/>
  <c r="ES43" i="207"/>
  <c r="EL102" i="207"/>
  <c r="AZ34" i="208"/>
  <c r="AP34" i="208"/>
  <c r="AU34" i="208"/>
  <c r="EO31" i="196"/>
  <c r="Q26" i="196"/>
  <c r="S26" i="196"/>
  <c r="R26" i="196"/>
  <c r="CH45" i="199"/>
  <c r="CI28" i="198"/>
  <c r="CH42" i="200"/>
  <c r="CI19" i="199"/>
  <c r="CI37" i="203"/>
  <c r="CJ19" i="206"/>
  <c r="X19" i="206"/>
  <c r="DY74" i="191"/>
  <c r="EC74" i="191" s="1"/>
  <c r="EN34" i="191" s="1"/>
  <c r="DW74" i="191"/>
  <c r="DW66" i="192"/>
  <c r="DY66" i="192"/>
  <c r="DR77" i="191"/>
  <c r="EC77" i="191" s="1"/>
  <c r="EN37" i="191" s="1"/>
  <c r="DP77" i="191"/>
  <c r="U39" i="192"/>
  <c r="BV39" i="192" s="1"/>
  <c r="V39" i="192"/>
  <c r="CH23" i="201"/>
  <c r="EV42" i="198"/>
  <c r="EU33" i="196"/>
  <c r="ES33" i="196"/>
  <c r="EO33" i="196"/>
  <c r="DR33" i="196"/>
  <c r="CS33" i="196"/>
  <c r="DQ33" i="196"/>
  <c r="CR33" i="196"/>
  <c r="ET33" i="196"/>
  <c r="EP33" i="196"/>
  <c r="X44" i="204"/>
  <c r="CJ44" i="204"/>
  <c r="S24" i="196"/>
  <c r="R24" i="196"/>
  <c r="Q24" i="196"/>
  <c r="EO34" i="196"/>
  <c r="CJ45" i="197"/>
  <c r="X45" i="197"/>
  <c r="V42" i="199"/>
  <c r="W42" i="199"/>
  <c r="EI34" i="201"/>
  <c r="EK34" i="201"/>
  <c r="EV34" i="201" s="1"/>
  <c r="X16" i="198"/>
  <c r="CJ16" i="198"/>
  <c r="CI17" i="201"/>
  <c r="CI30" i="202"/>
  <c r="EK35" i="197"/>
  <c r="EV35" i="197" s="1"/>
  <c r="EI35" i="197"/>
  <c r="T19" i="200"/>
  <c r="U19" i="200"/>
  <c r="CH34" i="200"/>
  <c r="EJ98" i="202"/>
  <c r="EL98" i="202" s="1"/>
  <c r="DR39" i="202"/>
  <c r="CS39" i="202"/>
  <c r="DQ39" i="202"/>
  <c r="CR39" i="202"/>
  <c r="ET39" i="202"/>
  <c r="ES39" i="202"/>
  <c r="EU39" i="202"/>
  <c r="EO39" i="202"/>
  <c r="EP39" i="202"/>
  <c r="AU16" i="201"/>
  <c r="AP16" i="201"/>
  <c r="AZ16" i="201"/>
  <c r="EJ91" i="199"/>
  <c r="EL91" i="199" s="1"/>
  <c r="DR32" i="199"/>
  <c r="CS32" i="199"/>
  <c r="DQ32" i="199"/>
  <c r="CR32" i="199"/>
  <c r="ET32" i="199"/>
  <c r="EU32" i="199"/>
  <c r="ES32" i="199"/>
  <c r="EI32" i="199"/>
  <c r="EP32" i="199"/>
  <c r="EH32" i="199"/>
  <c r="EO32" i="199"/>
  <c r="X25" i="203"/>
  <c r="CJ25" i="203"/>
  <c r="EJ94" i="202"/>
  <c r="EL94" i="202" s="1"/>
  <c r="DQ35" i="202"/>
  <c r="CR35" i="202"/>
  <c r="EU35" i="202"/>
  <c r="EH35" i="202"/>
  <c r="CS35" i="202"/>
  <c r="DR35" i="202"/>
  <c r="EI35" i="202"/>
  <c r="ET35" i="202"/>
  <c r="ES35" i="202"/>
  <c r="EJ89" i="205"/>
  <c r="EL89" i="205" s="1"/>
  <c r="DR30" i="205"/>
  <c r="CS30" i="205"/>
  <c r="DQ30" i="205"/>
  <c r="EU30" i="205"/>
  <c r="ET30" i="205"/>
  <c r="ES30" i="205"/>
  <c r="CR30" i="205"/>
  <c r="EH30" i="205"/>
  <c r="EP30" i="205"/>
  <c r="EJ40" i="204"/>
  <c r="EH40" i="204"/>
  <c r="AR36" i="206"/>
  <c r="EJ86" i="206"/>
  <c r="EL86" i="206" s="1"/>
  <c r="EU27" i="206"/>
  <c r="DR27" i="206"/>
  <c r="CS27" i="206"/>
  <c r="EP27" i="206"/>
  <c r="DQ27" i="206"/>
  <c r="CR27" i="206"/>
  <c r="ET27" i="206"/>
  <c r="ES27" i="206"/>
  <c r="EO27" i="206"/>
  <c r="CI23" i="207"/>
  <c r="U32" i="207"/>
  <c r="T32" i="207"/>
  <c r="AR32" i="207" s="1"/>
  <c r="AU38" i="207"/>
  <c r="AZ38" i="207"/>
  <c r="AP38" i="207"/>
  <c r="CI17" i="208"/>
  <c r="EJ90" i="208"/>
  <c r="EL90" i="208" s="1"/>
  <c r="EU31" i="208"/>
  <c r="DR31" i="208"/>
  <c r="CS31" i="208"/>
  <c r="EO31" i="208"/>
  <c r="CR31" i="208"/>
  <c r="DQ31" i="208"/>
  <c r="ES31" i="208"/>
  <c r="EP31" i="208"/>
  <c r="ET31" i="208"/>
  <c r="EL34" i="191"/>
  <c r="DR71" i="191"/>
  <c r="DP71" i="191"/>
  <c r="EM14" i="192"/>
  <c r="EJ91" i="197"/>
  <c r="DQ32" i="197"/>
  <c r="CR32" i="197"/>
  <c r="EU32" i="197"/>
  <c r="CS32" i="197"/>
  <c r="DR32" i="197"/>
  <c r="ET32" i="197"/>
  <c r="ES32" i="197"/>
  <c r="EI32" i="197"/>
  <c r="EL91" i="197"/>
  <c r="EH32" i="197"/>
  <c r="EU28" i="196"/>
  <c r="ES28" i="196"/>
  <c r="EO28" i="196"/>
  <c r="DQ28" i="196"/>
  <c r="CR28" i="196"/>
  <c r="EP28" i="196"/>
  <c r="DR28" i="196"/>
  <c r="CS28" i="196"/>
  <c r="EI28" i="196"/>
  <c r="ET28" i="196"/>
  <c r="DR16" i="198"/>
  <c r="CS16" i="198"/>
  <c r="EL75" i="198"/>
  <c r="DQ16" i="198"/>
  <c r="CR16" i="198"/>
  <c r="EJ75" i="198"/>
  <c r="EH16" i="198"/>
  <c r="EU16" i="198"/>
  <c r="ET16" i="198"/>
  <c r="EI16" i="198"/>
  <c r="ES16" i="198"/>
  <c r="EP16" i="198"/>
  <c r="P17" i="198"/>
  <c r="O17" i="198"/>
  <c r="N17" i="198"/>
  <c r="CH38" i="200"/>
  <c r="Q33" i="204"/>
  <c r="R33" i="204"/>
  <c r="S33" i="204"/>
  <c r="EP26" i="202"/>
  <c r="X20" i="203"/>
  <c r="CJ20" i="203"/>
  <c r="CH27" i="203"/>
  <c r="EI19" i="203"/>
  <c r="EV31" i="204"/>
  <c r="EJ99" i="205"/>
  <c r="EL99" i="205" s="1"/>
  <c r="DR40" i="205"/>
  <c r="CS40" i="205"/>
  <c r="EU40" i="205"/>
  <c r="ES40" i="205"/>
  <c r="CR40" i="205"/>
  <c r="DQ40" i="205"/>
  <c r="ET40" i="205"/>
  <c r="EP39" i="207"/>
  <c r="EV20" i="206"/>
  <c r="EL91" i="208"/>
  <c r="EJ91" i="208"/>
  <c r="DR32" i="208"/>
  <c r="CS32" i="208"/>
  <c r="DQ32" i="208"/>
  <c r="CR32" i="208"/>
  <c r="EU32" i="208"/>
  <c r="ET32" i="208"/>
  <c r="ES32" i="208"/>
  <c r="EJ88" i="208"/>
  <c r="DR29" i="208"/>
  <c r="CS29" i="208"/>
  <c r="DQ29" i="208"/>
  <c r="CR29" i="208"/>
  <c r="ET29" i="208"/>
  <c r="ES29" i="208"/>
  <c r="EU29" i="208"/>
  <c r="EL88" i="208"/>
  <c r="S25" i="208"/>
  <c r="R25" i="208"/>
  <c r="Q25" i="208"/>
  <c r="DR85" i="191"/>
  <c r="DP85" i="191"/>
  <c r="N22" i="200"/>
  <c r="P22" i="200"/>
  <c r="O22" i="200"/>
  <c r="DQ78" i="193"/>
  <c r="DO78" i="193"/>
  <c r="CI37" i="200"/>
  <c r="DP72" i="193"/>
  <c r="DR72" i="193"/>
  <c r="EC72" i="193" s="1"/>
  <c r="EN32" i="193" s="1"/>
  <c r="EH20" i="198"/>
  <c r="X36" i="200"/>
  <c r="CJ36" i="200"/>
  <c r="CH26" i="202"/>
  <c r="EV27" i="197"/>
  <c r="DY74" i="193"/>
  <c r="DW74" i="193"/>
  <c r="AZ36" i="202"/>
  <c r="EJ104" i="204"/>
  <c r="EU45" i="204"/>
  <c r="DR45" i="204"/>
  <c r="M45" i="204" s="1"/>
  <c r="CS45" i="204"/>
  <c r="EP45" i="204"/>
  <c r="DQ45" i="204"/>
  <c r="L45" i="204" s="1"/>
  <c r="CR45" i="204"/>
  <c r="EL104" i="204"/>
  <c r="EO45" i="204"/>
  <c r="ET45" i="204"/>
  <c r="ES45" i="204"/>
  <c r="P44" i="205"/>
  <c r="N44" i="205"/>
  <c r="O44" i="205"/>
  <c r="EJ34" i="207"/>
  <c r="CH34" i="207" s="1"/>
  <c r="GL37" i="193"/>
  <c r="EJ90" i="197"/>
  <c r="DR31" i="197"/>
  <c r="CS31" i="197"/>
  <c r="DQ31" i="197"/>
  <c r="CR31" i="197"/>
  <c r="EL90" i="197"/>
  <c r="EU31" i="197"/>
  <c r="ET31" i="197"/>
  <c r="ES31" i="197"/>
  <c r="CI27" i="197"/>
  <c r="DY60" i="192"/>
  <c r="DW60" i="192"/>
  <c r="EJ92" i="202"/>
  <c r="EL92" i="202" s="1"/>
  <c r="DR33" i="202"/>
  <c r="CS33" i="202"/>
  <c r="DQ33" i="202"/>
  <c r="CR33" i="202"/>
  <c r="EU33" i="202"/>
  <c r="ET33" i="202"/>
  <c r="ES33" i="202"/>
  <c r="EI33" i="202"/>
  <c r="GL39" i="208"/>
  <c r="DQ72" i="191"/>
  <c r="DO72" i="191"/>
  <c r="EJ35" i="199"/>
  <c r="CH35" i="199" s="1"/>
  <c r="EH35" i="199"/>
  <c r="T32" i="202"/>
  <c r="U32" i="202"/>
  <c r="N26" i="196"/>
  <c r="O26" i="196"/>
  <c r="P26" i="196"/>
  <c r="CI37" i="201"/>
  <c r="EV17" i="198"/>
  <c r="EC82" i="193"/>
  <c r="W38" i="196"/>
  <c r="V38" i="196"/>
  <c r="AT38" i="196" s="1"/>
  <c r="CI17" i="199"/>
  <c r="CH36" i="200"/>
  <c r="P36" i="198"/>
  <c r="O36" i="198"/>
  <c r="N36" i="198"/>
  <c r="EI40" i="202"/>
  <c r="EV32" i="201"/>
  <c r="W18" i="205"/>
  <c r="V18" i="205"/>
  <c r="CH31" i="203"/>
  <c r="CH39" i="202"/>
  <c r="X27" i="205"/>
  <c r="CJ27" i="205"/>
  <c r="EV24" i="204"/>
  <c r="CJ24" i="204" s="1"/>
  <c r="EO26" i="206"/>
  <c r="EQ26" i="206"/>
  <c r="S38" i="206"/>
  <c r="R38" i="206"/>
  <c r="Q38" i="206"/>
  <c r="CH23" i="208"/>
  <c r="CJ43" i="208"/>
  <c r="X43" i="208"/>
  <c r="EC65" i="192"/>
  <c r="EN25" i="192" s="1"/>
  <c r="EM29" i="193"/>
  <c r="EC58" i="192"/>
  <c r="EN18" i="192" s="1"/>
  <c r="DR80" i="191"/>
  <c r="EC80" i="191" s="1"/>
  <c r="EN40" i="191" s="1"/>
  <c r="DP80" i="191"/>
  <c r="DR81" i="193"/>
  <c r="DP81" i="193"/>
  <c r="CI16" i="197"/>
  <c r="EP31" i="197"/>
  <c r="DW80" i="192"/>
  <c r="DY80" i="192"/>
  <c r="EJ86" i="199"/>
  <c r="DR27" i="199"/>
  <c r="CS27" i="199"/>
  <c r="DQ27" i="199"/>
  <c r="EU27" i="199"/>
  <c r="ET27" i="199"/>
  <c r="ES27" i="199"/>
  <c r="CR27" i="199"/>
  <c r="EI27" i="199"/>
  <c r="EH27" i="199"/>
  <c r="EL86" i="199"/>
  <c r="DR66" i="193"/>
  <c r="EC66" i="193" s="1"/>
  <c r="EN26" i="193" s="1"/>
  <c r="DP66" i="193"/>
  <c r="X30" i="197"/>
  <c r="CJ30" i="197"/>
  <c r="EK16" i="197"/>
  <c r="EV16" i="197" s="1"/>
  <c r="CI24" i="204"/>
  <c r="AU16" i="199"/>
  <c r="AP16" i="199"/>
  <c r="AZ16" i="199"/>
  <c r="EK45" i="200"/>
  <c r="EV45" i="200" s="1"/>
  <c r="EI45" i="200"/>
  <c r="EO37" i="204"/>
  <c r="V22" i="203"/>
  <c r="W22" i="203"/>
  <c r="X28" i="204"/>
  <c r="CJ28" i="204"/>
  <c r="GL44" i="206"/>
  <c r="GM44" i="206" s="1"/>
  <c r="CI37" i="207"/>
  <c r="CI29" i="208"/>
  <c r="EM38" i="191"/>
  <c r="EJ82" i="201"/>
  <c r="EL82" i="201" s="1"/>
  <c r="DQ23" i="201"/>
  <c r="CR23" i="201"/>
  <c r="EU23" i="201"/>
  <c r="CS23" i="201"/>
  <c r="DR23" i="201"/>
  <c r="ET23" i="201"/>
  <c r="ES23" i="201"/>
  <c r="EO33" i="202"/>
  <c r="DV78" i="193"/>
  <c r="DX78" i="193"/>
  <c r="EM38" i="193" s="1"/>
  <c r="CH44" i="201"/>
  <c r="EL76" i="203"/>
  <c r="EJ76" i="203"/>
  <c r="EO17" i="203"/>
  <c r="EU17" i="203"/>
  <c r="DR17" i="203"/>
  <c r="CS17" i="203"/>
  <c r="CR17" i="203"/>
  <c r="DQ17" i="203"/>
  <c r="ET17" i="203"/>
  <c r="EP17" i="203"/>
  <c r="ES17" i="203"/>
  <c r="EV38" i="203"/>
  <c r="CJ38" i="203" s="1"/>
  <c r="W25" i="203"/>
  <c r="V25" i="203"/>
  <c r="AT25" i="203" s="1"/>
  <c r="CI41" i="206"/>
  <c r="AP41" i="205"/>
  <c r="AZ41" i="205"/>
  <c r="AU41" i="205"/>
  <c r="DR44" i="206"/>
  <c r="M44" i="206" s="1"/>
  <c r="CS44" i="206"/>
  <c r="CR44" i="206"/>
  <c r="DQ44" i="206"/>
  <c r="L44" i="206" s="1"/>
  <c r="EU44" i="206"/>
  <c r="EJ103" i="206"/>
  <c r="ET44" i="206"/>
  <c r="EI44" i="206"/>
  <c r="ES44" i="206"/>
  <c r="EH44" i="206"/>
  <c r="EL103" i="206"/>
  <c r="EP44" i="206"/>
  <c r="EO44" i="206"/>
  <c r="V41" i="192"/>
  <c r="U41" i="192"/>
  <c r="BV41" i="192" s="1"/>
  <c r="EL14" i="192"/>
  <c r="EU20" i="200"/>
  <c r="EJ79" i="200"/>
  <c r="DR20" i="200"/>
  <c r="CR20" i="200"/>
  <c r="DQ20" i="200"/>
  <c r="CS20" i="200"/>
  <c r="ET20" i="200"/>
  <c r="ES20" i="200"/>
  <c r="EL79" i="200"/>
  <c r="CH24" i="198"/>
  <c r="CJ19" i="202"/>
  <c r="X19" i="202"/>
  <c r="CI20" i="202"/>
  <c r="AU33" i="200"/>
  <c r="AP33" i="200"/>
  <c r="AZ33" i="200"/>
  <c r="EJ28" i="200"/>
  <c r="CH23" i="204"/>
  <c r="O32" i="201"/>
  <c r="N32" i="201"/>
  <c r="P32" i="201"/>
  <c r="R18" i="208"/>
  <c r="S18" i="208"/>
  <c r="Q18" i="208"/>
  <c r="R28" i="203"/>
  <c r="S28" i="203"/>
  <c r="DR42" i="198"/>
  <c r="M42" i="198" s="1"/>
  <c r="CS42" i="198"/>
  <c r="DQ42" i="198"/>
  <c r="L42" i="198" s="1"/>
  <c r="CR42" i="198"/>
  <c r="EJ101" i="198"/>
  <c r="ES42" i="198"/>
  <c r="EU42" i="198"/>
  <c r="ET42" i="198"/>
  <c r="EL101" i="198"/>
  <c r="O33" i="207"/>
  <c r="P33" i="207"/>
  <c r="N33" i="207"/>
  <c r="P24" i="207"/>
  <c r="O24" i="207"/>
  <c r="N24" i="207"/>
  <c r="T44" i="192"/>
  <c r="S44" i="192"/>
  <c r="T27" i="202"/>
  <c r="U27" i="202"/>
  <c r="EP18" i="202"/>
  <c r="ER18" i="202"/>
  <c r="EV18" i="202" s="1"/>
  <c r="AZ34" i="206"/>
  <c r="AP34" i="206"/>
  <c r="AU34" i="206"/>
  <c r="EK19" i="208"/>
  <c r="EV19" i="208" s="1"/>
  <c r="EI19" i="208"/>
  <c r="U44" i="204"/>
  <c r="T44" i="204"/>
  <c r="AR44" i="204" s="1"/>
  <c r="AU42" i="203"/>
  <c r="AZ42" i="203"/>
  <c r="AP42" i="203"/>
  <c r="U40" i="207"/>
  <c r="T40" i="207"/>
  <c r="W29" i="196"/>
  <c r="V29" i="196"/>
  <c r="AT29" i="196" s="1"/>
  <c r="EJ36" i="203"/>
  <c r="CH36" i="203" s="1"/>
  <c r="EH36" i="203"/>
  <c r="AU43" i="206"/>
  <c r="AZ43" i="206"/>
  <c r="AP43" i="206"/>
  <c r="DX70" i="191"/>
  <c r="EM30" i="191" s="1"/>
  <c r="DV70" i="191"/>
  <c r="DY72" i="192"/>
  <c r="DW72" i="192"/>
  <c r="X28" i="205"/>
  <c r="CJ28" i="205"/>
  <c r="EU30" i="204"/>
  <c r="DR30" i="204"/>
  <c r="CS30" i="204"/>
  <c r="EJ89" i="204"/>
  <c r="EL89" i="204" s="1"/>
  <c r="DQ30" i="204"/>
  <c r="CR30" i="204"/>
  <c r="ES30" i="204"/>
  <c r="EO30" i="204"/>
  <c r="ET30" i="204"/>
  <c r="EP30" i="204"/>
  <c r="DO59" i="193"/>
  <c r="DQ59" i="193"/>
  <c r="X18" i="197"/>
  <c r="CJ18" i="197"/>
  <c r="EX28" i="191"/>
  <c r="GK68" i="191"/>
  <c r="FB28" i="191"/>
  <c r="FA28" i="191" s="1"/>
  <c r="BY28" i="191"/>
  <c r="EZ28" i="191"/>
  <c r="EX29" i="191"/>
  <c r="CJ23" i="196"/>
  <c r="X23" i="196"/>
  <c r="EU34" i="201"/>
  <c r="EJ93" i="201"/>
  <c r="ES34" i="201"/>
  <c r="CS34" i="201"/>
  <c r="DQ34" i="201"/>
  <c r="CR34" i="201"/>
  <c r="DR34" i="201"/>
  <c r="ET34" i="201"/>
  <c r="EL93" i="201"/>
  <c r="W45" i="203"/>
  <c r="V45" i="203"/>
  <c r="AT45" i="203" s="1"/>
  <c r="U21" i="204"/>
  <c r="T21" i="204"/>
  <c r="EU25" i="204"/>
  <c r="DR25" i="204"/>
  <c r="CS25" i="204"/>
  <c r="DQ25" i="204"/>
  <c r="CR25" i="204"/>
  <c r="EJ84" i="204"/>
  <c r="EL84" i="204" s="1"/>
  <c r="ET25" i="204"/>
  <c r="ES25" i="204"/>
  <c r="EJ78" i="207"/>
  <c r="EL78" i="207" s="1"/>
  <c r="DR19" i="207"/>
  <c r="CS19" i="207"/>
  <c r="EU19" i="207"/>
  <c r="CR19" i="207"/>
  <c r="ES19" i="207"/>
  <c r="DQ19" i="207"/>
  <c r="ET19" i="207"/>
  <c r="DX80" i="193"/>
  <c r="EM40" i="193" s="1"/>
  <c r="DV80" i="193"/>
  <c r="CI44" i="199"/>
  <c r="DQ85" i="193"/>
  <c r="DO85" i="193"/>
  <c r="V39" i="207"/>
  <c r="W39" i="207"/>
  <c r="ER18" i="208"/>
  <c r="EV18" i="208" s="1"/>
  <c r="CJ18" i="208" s="1"/>
  <c r="EP18" i="208"/>
  <c r="W33" i="198"/>
  <c r="V33" i="198"/>
  <c r="AT33" i="198" s="1"/>
  <c r="EJ92" i="206"/>
  <c r="DR33" i="206"/>
  <c r="CS33" i="206"/>
  <c r="CR33" i="206"/>
  <c r="EU33" i="206"/>
  <c r="DQ33" i="206"/>
  <c r="ET33" i="206"/>
  <c r="EL92" i="206"/>
  <c r="ES33" i="206"/>
  <c r="EO33" i="206"/>
  <c r="EP33" i="206"/>
  <c r="DR36" i="196"/>
  <c r="CS36" i="196"/>
  <c r="DQ36" i="196"/>
  <c r="CR36" i="196"/>
  <c r="EU36" i="196"/>
  <c r="ET36" i="196"/>
  <c r="ES36" i="196"/>
  <c r="EJ42" i="203"/>
  <c r="EH42" i="203"/>
  <c r="CJ18" i="204"/>
  <c r="X18" i="204"/>
  <c r="EK41" i="206"/>
  <c r="EV41" i="206" s="1"/>
  <c r="EI41" i="206"/>
  <c r="DX84" i="193"/>
  <c r="DV84" i="193"/>
  <c r="X31" i="199"/>
  <c r="CJ31" i="199"/>
  <c r="S40" i="198"/>
  <c r="Q40" i="198"/>
  <c r="R40" i="198"/>
  <c r="V27" i="202"/>
  <c r="AT27" i="202" s="1"/>
  <c r="W27" i="202"/>
  <c r="U38" i="204"/>
  <c r="T38" i="204"/>
  <c r="AR38" i="204" s="1"/>
  <c r="ER23" i="208"/>
  <c r="EV23" i="208" s="1"/>
  <c r="EP23" i="208"/>
  <c r="CJ16" i="200"/>
  <c r="X16" i="200"/>
  <c r="V34" i="201"/>
  <c r="AT34" i="201" s="1"/>
  <c r="W34" i="201"/>
  <c r="P17" i="201"/>
  <c r="O17" i="201"/>
  <c r="N17" i="201"/>
  <c r="DX70" i="192"/>
  <c r="EM30" i="192" s="1"/>
  <c r="DV70" i="192"/>
  <c r="DR64" i="193"/>
  <c r="EC64" i="193" s="1"/>
  <c r="EN24" i="193" s="1"/>
  <c r="DP64" i="193"/>
  <c r="GL43" i="199"/>
  <c r="EO18" i="202"/>
  <c r="EQ18" i="202"/>
  <c r="U24" i="205"/>
  <c r="T24" i="205"/>
  <c r="AR24" i="205" s="1"/>
  <c r="U33" i="204"/>
  <c r="T33" i="204"/>
  <c r="AR33" i="204" s="1"/>
  <c r="EJ32" i="206"/>
  <c r="EI20" i="198"/>
  <c r="R36" i="202"/>
  <c r="Q36" i="202"/>
  <c r="S36" i="202"/>
  <c r="DR70" i="193"/>
  <c r="DP70" i="193"/>
  <c r="DR38" i="196"/>
  <c r="CS38" i="196"/>
  <c r="EU38" i="196"/>
  <c r="ES38" i="196"/>
  <c r="CR38" i="196"/>
  <c r="DQ38" i="196"/>
  <c r="EP38" i="196"/>
  <c r="ET38" i="196"/>
  <c r="EO38" i="196"/>
  <c r="DR24" i="201"/>
  <c r="CS24" i="201"/>
  <c r="EU24" i="201"/>
  <c r="CR24" i="201"/>
  <c r="DQ24" i="201"/>
  <c r="ES24" i="201"/>
  <c r="EJ83" i="201"/>
  <c r="EL83" i="201" s="1"/>
  <c r="EP24" i="201"/>
  <c r="EI24" i="201"/>
  <c r="EO24" i="201"/>
  <c r="ET24" i="201"/>
  <c r="EK33" i="200"/>
  <c r="EV33" i="200" s="1"/>
  <c r="CJ33" i="200" s="1"/>
  <c r="EI33" i="200"/>
  <c r="W22" i="207"/>
  <c r="V22" i="207"/>
  <c r="EJ86" i="197"/>
  <c r="CS27" i="197"/>
  <c r="ES27" i="197"/>
  <c r="DR27" i="197"/>
  <c r="CR27" i="197"/>
  <c r="EU27" i="197"/>
  <c r="DQ27" i="197"/>
  <c r="ET27" i="197"/>
  <c r="EL86" i="197"/>
  <c r="W25" i="197"/>
  <c r="V25" i="197"/>
  <c r="AT25" i="197" s="1"/>
  <c r="EJ33" i="196"/>
  <c r="EH33" i="196"/>
  <c r="W36" i="206"/>
  <c r="V36" i="206"/>
  <c r="AT36" i="206" s="1"/>
  <c r="DQ73" i="193"/>
  <c r="DO73" i="193"/>
  <c r="V32" i="196"/>
  <c r="W32" i="196"/>
  <c r="CH44" i="197"/>
  <c r="U20" i="199"/>
  <c r="T20" i="199"/>
  <c r="DO84" i="193"/>
  <c r="DQ84" i="193"/>
  <c r="CH17" i="205"/>
  <c r="V32" i="206"/>
  <c r="W32" i="206"/>
  <c r="CJ38" i="206"/>
  <c r="X38" i="206"/>
  <c r="EV34" i="200"/>
  <c r="EO25" i="204"/>
  <c r="EJ22" i="205"/>
  <c r="CI38" i="207"/>
  <c r="P25" i="208"/>
  <c r="N25" i="208"/>
  <c r="O25" i="208"/>
  <c r="AR43" i="199"/>
  <c r="EO22" i="208"/>
  <c r="DR60" i="193"/>
  <c r="EC60" i="193" s="1"/>
  <c r="EN20" i="193" s="1"/>
  <c r="DP60" i="193"/>
  <c r="EJ45" i="201"/>
  <c r="EH45" i="201"/>
  <c r="O28" i="201"/>
  <c r="N28" i="201"/>
  <c r="P28" i="201"/>
  <c r="EM15" i="193"/>
  <c r="X43" i="200"/>
  <c r="CJ43" i="200"/>
  <c r="P18" i="198"/>
  <c r="O18" i="198"/>
  <c r="N18" i="198"/>
  <c r="X41" i="199"/>
  <c r="CJ41" i="199"/>
  <c r="EV17" i="201"/>
  <c r="CJ30" i="202"/>
  <c r="X30" i="202"/>
  <c r="AU43" i="202"/>
  <c r="AP43" i="202"/>
  <c r="AZ43" i="202"/>
  <c r="EK42" i="203"/>
  <c r="EV42" i="203" s="1"/>
  <c r="CH20" i="204"/>
  <c r="U16" i="207"/>
  <c r="T16" i="207"/>
  <c r="GL45" i="207"/>
  <c r="CJ37" i="201"/>
  <c r="X37" i="201"/>
  <c r="FO57" i="193"/>
  <c r="FP57" i="193"/>
  <c r="GA57" i="193" s="1"/>
  <c r="FN57" i="193"/>
  <c r="FW57" i="193" s="1"/>
  <c r="FV57" i="193" s="1"/>
  <c r="FR57" i="193"/>
  <c r="FS58" i="193" s="1"/>
  <c r="FU57" i="193"/>
  <c r="FT57" i="193" s="1"/>
  <c r="FQ57" i="193"/>
  <c r="FY57" i="193" s="1"/>
  <c r="GM44" i="191"/>
  <c r="S38" i="204"/>
  <c r="R38" i="204"/>
  <c r="Q38" i="204"/>
  <c r="EV40" i="198"/>
  <c r="DR16" i="204"/>
  <c r="CS16" i="204"/>
  <c r="DQ16" i="204"/>
  <c r="CR16" i="204"/>
  <c r="EJ75" i="204"/>
  <c r="EL75" i="204" s="1"/>
  <c r="ET16" i="204"/>
  <c r="EU16" i="204"/>
  <c r="EP16" i="204"/>
  <c r="EO16" i="204"/>
  <c r="ES16" i="204"/>
  <c r="W31" i="200"/>
  <c r="V31" i="200"/>
  <c r="AT31" i="200" s="1"/>
  <c r="T16" i="204"/>
  <c r="AR16" i="204" s="1"/>
  <c r="U16" i="204"/>
  <c r="AP43" i="204"/>
  <c r="AU43" i="204"/>
  <c r="AZ43" i="204"/>
  <c r="EM29" i="191"/>
  <c r="EJ80" i="197"/>
  <c r="EL80" i="197" s="1"/>
  <c r="DQ21" i="197"/>
  <c r="CR21" i="197"/>
  <c r="EU21" i="197"/>
  <c r="ES21" i="197"/>
  <c r="CS21" i="197"/>
  <c r="DR21" i="197"/>
  <c r="ET21" i="197"/>
  <c r="CI41" i="202"/>
  <c r="EI39" i="203"/>
  <c r="EK39" i="203"/>
  <c r="EV39" i="203" s="1"/>
  <c r="CJ27" i="201"/>
  <c r="X27" i="201"/>
  <c r="O27" i="208"/>
  <c r="N27" i="208"/>
  <c r="P27" i="208"/>
  <c r="AZ37" i="208"/>
  <c r="AP37" i="208"/>
  <c r="AU37" i="208"/>
  <c r="DQ64" i="193"/>
  <c r="DO64" i="193"/>
  <c r="EP34" i="196"/>
  <c r="AZ17" i="197"/>
  <c r="AU17" i="197"/>
  <c r="AP17" i="197"/>
  <c r="EO20" i="198"/>
  <c r="EJ83" i="198"/>
  <c r="EL83" i="198" s="1"/>
  <c r="EU24" i="198"/>
  <c r="DQ24" i="198"/>
  <c r="CR24" i="198"/>
  <c r="ET24" i="198"/>
  <c r="CS24" i="198"/>
  <c r="DR24" i="198"/>
  <c r="ES24" i="198"/>
  <c r="DW70" i="193"/>
  <c r="DY70" i="193"/>
  <c r="CJ44" i="203"/>
  <c r="X44" i="203"/>
  <c r="EU35" i="204"/>
  <c r="EL94" i="204"/>
  <c r="DR35" i="204"/>
  <c r="CS35" i="204"/>
  <c r="DQ35" i="204"/>
  <c r="CR35" i="204"/>
  <c r="EJ94" i="204"/>
  <c r="EO35" i="204"/>
  <c r="EP35" i="204"/>
  <c r="ET35" i="204"/>
  <c r="ES35" i="204"/>
  <c r="S28" i="206"/>
  <c r="R28" i="206"/>
  <c r="Q28" i="206"/>
  <c r="U42" i="198"/>
  <c r="T42" i="198"/>
  <c r="AR42" i="198" s="1"/>
  <c r="DR35" i="201"/>
  <c r="CS35" i="201"/>
  <c r="EJ94" i="201"/>
  <c r="EL94" i="201" s="1"/>
  <c r="CR35" i="201"/>
  <c r="DQ35" i="201"/>
  <c r="ET35" i="201"/>
  <c r="EU35" i="201"/>
  <c r="EH35" i="201"/>
  <c r="EI35" i="201"/>
  <c r="EO35" i="201"/>
  <c r="ES35" i="201"/>
  <c r="EP35" i="201"/>
  <c r="CH16" i="202"/>
  <c r="AP41" i="202"/>
  <c r="AZ41" i="202"/>
  <c r="AU41" i="202"/>
  <c r="CH38" i="208"/>
  <c r="X39" i="208"/>
  <c r="CJ39" i="208"/>
  <c r="CH37" i="200"/>
  <c r="T41" i="192"/>
  <c r="EC81" i="192"/>
  <c r="S41" i="192"/>
  <c r="Q16" i="206"/>
  <c r="S16" i="206"/>
  <c r="R16" i="206"/>
  <c r="EV30" i="205"/>
  <c r="CH30" i="205"/>
  <c r="EU20" i="197"/>
  <c r="CS20" i="197"/>
  <c r="DR20" i="197"/>
  <c r="CR20" i="197"/>
  <c r="EL79" i="197"/>
  <c r="EJ79" i="197"/>
  <c r="ES20" i="197"/>
  <c r="EH20" i="197"/>
  <c r="DQ20" i="197"/>
  <c r="ET20" i="197"/>
  <c r="X19" i="205"/>
  <c r="CJ19" i="205"/>
  <c r="DP84" i="193"/>
  <c r="DR84" i="193"/>
  <c r="EJ31" i="197"/>
  <c r="CH31" i="197" s="1"/>
  <c r="EH31" i="197"/>
  <c r="EJ84" i="205"/>
  <c r="DR25" i="205"/>
  <c r="CS25" i="205"/>
  <c r="CR25" i="205"/>
  <c r="EU25" i="205"/>
  <c r="DQ25" i="205"/>
  <c r="EP25" i="205"/>
  <c r="EL84" i="205"/>
  <c r="ET25" i="205"/>
  <c r="ES25" i="205"/>
  <c r="EO25" i="205"/>
  <c r="AL41" i="204"/>
  <c r="AS41" i="204"/>
  <c r="AQ41" i="204"/>
  <c r="AO41" i="204"/>
  <c r="AN41" i="204"/>
  <c r="AM41" i="204"/>
  <c r="AJ41" i="204"/>
  <c r="AR33" i="207"/>
  <c r="DO71" i="191"/>
  <c r="DQ71" i="191"/>
  <c r="GM43" i="201"/>
  <c r="CJ29" i="200"/>
  <c r="X29" i="200"/>
  <c r="EJ31" i="198"/>
  <c r="EH31" i="198"/>
  <c r="EJ80" i="202"/>
  <c r="EL80" i="202" s="1"/>
  <c r="DQ21" i="202"/>
  <c r="CR21" i="202"/>
  <c r="EU21" i="202"/>
  <c r="DR21" i="202"/>
  <c r="CS21" i="202"/>
  <c r="ET21" i="202"/>
  <c r="ES21" i="202"/>
  <c r="CH37" i="208"/>
  <c r="EH24" i="201"/>
  <c r="ER40" i="207"/>
  <c r="EV40" i="207" s="1"/>
  <c r="EP40" i="207"/>
  <c r="DW62" i="192"/>
  <c r="DY62" i="192"/>
  <c r="EU45" i="201"/>
  <c r="EJ104" i="201"/>
  <c r="DR45" i="201"/>
  <c r="M45" i="201" s="1"/>
  <c r="CS45" i="201"/>
  <c r="DQ45" i="201"/>
  <c r="L45" i="201" s="1"/>
  <c r="CR45" i="201"/>
  <c r="EO45" i="201"/>
  <c r="EL104" i="201"/>
  <c r="EP45" i="201"/>
  <c r="ES45" i="201"/>
  <c r="ET45" i="201"/>
  <c r="W34" i="199"/>
  <c r="V34" i="199"/>
  <c r="AT34" i="199" s="1"/>
  <c r="U43" i="203"/>
  <c r="T43" i="203"/>
  <c r="GL41" i="207"/>
  <c r="GM41" i="207" s="1"/>
  <c r="DP66" i="192"/>
  <c r="DR66" i="192"/>
  <c r="EC66" i="192" s="1"/>
  <c r="EN26" i="192" s="1"/>
  <c r="DR38" i="201"/>
  <c r="CS38" i="201"/>
  <c r="DQ38" i="201"/>
  <c r="CR38" i="201"/>
  <c r="EU38" i="201"/>
  <c r="ET38" i="201"/>
  <c r="EJ97" i="201"/>
  <c r="EL97" i="201" s="1"/>
  <c r="ES38" i="201"/>
  <c r="EP38" i="201"/>
  <c r="EO38" i="201"/>
  <c r="DQ36" i="197"/>
  <c r="CR36" i="197"/>
  <c r="EU36" i="197"/>
  <c r="EL95" i="197"/>
  <c r="ET36" i="197"/>
  <c r="EJ95" i="197"/>
  <c r="ES36" i="197"/>
  <c r="CS36" i="197"/>
  <c r="DR36" i="197"/>
  <c r="W20" i="200"/>
  <c r="V20" i="200"/>
  <c r="AT20" i="200" s="1"/>
  <c r="X40" i="202"/>
  <c r="CJ40" i="202"/>
  <c r="EU18" i="202"/>
  <c r="EJ77" i="202"/>
  <c r="EL77" i="202" s="1"/>
  <c r="DQ18" i="202"/>
  <c r="CR18" i="202"/>
  <c r="DR18" i="202"/>
  <c r="ET18" i="202"/>
  <c r="EH18" i="202"/>
  <c r="CS18" i="202"/>
  <c r="EI18" i="202"/>
  <c r="ES18" i="202"/>
  <c r="DQ18" i="204"/>
  <c r="CR18" i="204"/>
  <c r="EJ77" i="204"/>
  <c r="EL77" i="204" s="1"/>
  <c r="EU18" i="204"/>
  <c r="ET18" i="204"/>
  <c r="CS18" i="204"/>
  <c r="ES18" i="204"/>
  <c r="DR18" i="204"/>
  <c r="N38" i="206"/>
  <c r="P38" i="206"/>
  <c r="O38" i="206"/>
  <c r="S29" i="207"/>
  <c r="Q29" i="207"/>
  <c r="R29" i="207"/>
  <c r="DQ80" i="191"/>
  <c r="DO80" i="191"/>
  <c r="DQ81" i="193"/>
  <c r="DO81" i="193"/>
  <c r="EV21" i="198"/>
  <c r="CJ21" i="198" s="1"/>
  <c r="AZ26" i="201"/>
  <c r="AU26" i="201"/>
  <c r="AP26" i="201"/>
  <c r="EH16" i="204"/>
  <c r="EJ39" i="203"/>
  <c r="CH39" i="203" s="1"/>
  <c r="EH39" i="203"/>
  <c r="U42" i="207"/>
  <c r="T42" i="207"/>
  <c r="AR42" i="207" s="1"/>
  <c r="AZ38" i="199"/>
  <c r="EH24" i="198"/>
  <c r="S31" i="204"/>
  <c r="R31" i="204"/>
  <c r="Q31" i="204"/>
  <c r="AT41" i="208"/>
  <c r="EM27" i="192"/>
  <c r="EM17" i="192"/>
  <c r="GK60" i="192"/>
  <c r="EZ20" i="192"/>
  <c r="EX20" i="192"/>
  <c r="FB20" i="192"/>
  <c r="FA20" i="192" s="1"/>
  <c r="BY20" i="192"/>
  <c r="DO81" i="191"/>
  <c r="DQ81" i="191"/>
  <c r="DR75" i="193"/>
  <c r="DP75" i="193"/>
  <c r="DQ62" i="193"/>
  <c r="DO62" i="193"/>
  <c r="U29" i="198"/>
  <c r="T29" i="198"/>
  <c r="AR29" i="198" s="1"/>
  <c r="EJ99" i="197"/>
  <c r="DR40" i="197"/>
  <c r="CS40" i="197"/>
  <c r="CR40" i="197"/>
  <c r="DQ40" i="197"/>
  <c r="EU40" i="197"/>
  <c r="ET40" i="197"/>
  <c r="EO40" i="197"/>
  <c r="ES40" i="197"/>
  <c r="EL99" i="197"/>
  <c r="EP40" i="197"/>
  <c r="EI21" i="197"/>
  <c r="AU28" i="200"/>
  <c r="EH28" i="200" s="1"/>
  <c r="AP28" i="200"/>
  <c r="AZ28" i="200"/>
  <c r="EH30" i="204"/>
  <c r="CH19" i="204"/>
  <c r="EV21" i="204"/>
  <c r="V41" i="205"/>
  <c r="W41" i="205"/>
  <c r="EO20" i="207"/>
  <c r="EV20" i="207"/>
  <c r="CJ20" i="207" s="1"/>
  <c r="EK25" i="207"/>
  <c r="EV25" i="207" s="1"/>
  <c r="CJ25" i="207" s="1"/>
  <c r="EI25" i="207"/>
  <c r="EM45" i="191"/>
  <c r="AT16" i="199"/>
  <c r="DX74" i="192"/>
  <c r="EM34" i="192" s="1"/>
  <c r="DV74" i="192"/>
  <c r="EI36" i="196"/>
  <c r="DO78" i="192"/>
  <c r="DQ78" i="192"/>
  <c r="CH44" i="200"/>
  <c r="EK43" i="197"/>
  <c r="EV43" i="197" s="1"/>
  <c r="EI43" i="197"/>
  <c r="EJ25" i="198"/>
  <c r="EH25" i="198"/>
  <c r="S37" i="200"/>
  <c r="R37" i="200"/>
  <c r="Q37" i="200"/>
  <c r="EV34" i="202"/>
  <c r="CJ34" i="202" s="1"/>
  <c r="U45" i="197"/>
  <c r="T45" i="197"/>
  <c r="AR45" i="197" s="1"/>
  <c r="GM42" i="193"/>
  <c r="AZ19" i="205"/>
  <c r="AP19" i="205"/>
  <c r="AU19" i="205"/>
  <c r="EJ29" i="205"/>
  <c r="EH29" i="205"/>
  <c r="EV30" i="206"/>
  <c r="EO25" i="208"/>
  <c r="EQ25" i="208"/>
  <c r="ER36" i="208"/>
  <c r="EO21" i="201"/>
  <c r="GK64" i="192"/>
  <c r="DV71" i="191"/>
  <c r="DX71" i="191"/>
  <c r="EO32" i="198"/>
  <c r="CI30" i="200"/>
  <c r="EU19" i="198"/>
  <c r="EL78" i="198"/>
  <c r="EJ78" i="198"/>
  <c r="DR19" i="198"/>
  <c r="CS19" i="198"/>
  <c r="DQ19" i="198"/>
  <c r="CR19" i="198"/>
  <c r="ES19" i="198"/>
  <c r="EO19" i="198"/>
  <c r="ET19" i="198"/>
  <c r="EP19" i="198"/>
  <c r="AR42" i="205"/>
  <c r="U16" i="200"/>
  <c r="T16" i="200"/>
  <c r="CH37" i="202"/>
  <c r="EK19" i="207"/>
  <c r="EV19" i="207" s="1"/>
  <c r="EI19" i="207"/>
  <c r="AN57" i="206"/>
  <c r="AS57" i="206"/>
  <c r="AQ57" i="206"/>
  <c r="AM57" i="206"/>
  <c r="AL57" i="206"/>
  <c r="AO57" i="206"/>
  <c r="AJ57" i="206"/>
  <c r="O35" i="208"/>
  <c r="N35" i="208"/>
  <c r="P35" i="208"/>
  <c r="GL43" i="208"/>
  <c r="GM43" i="208" s="1"/>
  <c r="AZ21" i="200"/>
  <c r="EV24" i="198"/>
  <c r="EU29" i="197"/>
  <c r="DR29" i="197"/>
  <c r="CS29" i="197"/>
  <c r="DQ29" i="197"/>
  <c r="CR29" i="197"/>
  <c r="EJ88" i="197"/>
  <c r="EL88" i="197" s="1"/>
  <c r="ES29" i="197"/>
  <c r="EP29" i="197"/>
  <c r="ET29" i="197"/>
  <c r="EO29" i="197"/>
  <c r="EJ94" i="197"/>
  <c r="EL94" i="197" s="1"/>
  <c r="DR35" i="197"/>
  <c r="CS35" i="197"/>
  <c r="CR35" i="197"/>
  <c r="DQ35" i="197"/>
  <c r="EU35" i="197"/>
  <c r="ET35" i="197"/>
  <c r="EO35" i="197"/>
  <c r="EP35" i="197"/>
  <c r="ES35" i="197"/>
  <c r="AR18" i="205"/>
  <c r="CI38" i="206"/>
  <c r="GL41" i="205"/>
  <c r="V45" i="207"/>
  <c r="W45" i="207"/>
  <c r="W31" i="196"/>
  <c r="V31" i="196"/>
  <c r="CH38" i="197"/>
  <c r="CI33" i="201"/>
  <c r="W18" i="199"/>
  <c r="V18" i="199"/>
  <c r="AT18" i="199" s="1"/>
  <c r="CI40" i="201"/>
  <c r="N42" i="206"/>
  <c r="O42" i="206"/>
  <c r="P42" i="206"/>
  <c r="CI20" i="208"/>
  <c r="CH25" i="208"/>
  <c r="DR84" i="191"/>
  <c r="DP84" i="191"/>
  <c r="U29" i="196"/>
  <c r="T29" i="196"/>
  <c r="AR29" i="196" s="1"/>
  <c r="DX66" i="192"/>
  <c r="EM26" i="192" s="1"/>
  <c r="DV66" i="192"/>
  <c r="GK56" i="193"/>
  <c r="FB16" i="193"/>
  <c r="FA16" i="193" s="1"/>
  <c r="EZ16" i="193"/>
  <c r="BY16" i="193"/>
  <c r="GM45" i="192"/>
  <c r="EI40" i="197"/>
  <c r="CI34" i="196"/>
  <c r="CH18" i="198"/>
  <c r="EP17" i="200"/>
  <c r="EH34" i="201"/>
  <c r="EJ34" i="201"/>
  <c r="U16" i="198"/>
  <c r="T16" i="198"/>
  <c r="AR16" i="198" s="1"/>
  <c r="T33" i="203"/>
  <c r="U33" i="203"/>
  <c r="EJ35" i="197"/>
  <c r="CH35" i="197" s="1"/>
  <c r="EH35" i="197"/>
  <c r="W35" i="198"/>
  <c r="V35" i="198"/>
  <c r="AT35" i="198" s="1"/>
  <c r="CH18" i="201"/>
  <c r="EJ90" i="198"/>
  <c r="EL90" i="198" s="1"/>
  <c r="DR31" i="198"/>
  <c r="CS31" i="198"/>
  <c r="EU31" i="198"/>
  <c r="CR31" i="198"/>
  <c r="DQ31" i="198"/>
  <c r="ET31" i="198"/>
  <c r="EP31" i="198"/>
  <c r="EO31" i="198"/>
  <c r="ES31" i="198"/>
  <c r="EI25" i="200"/>
  <c r="EK25" i="200"/>
  <c r="EV25" i="200" s="1"/>
  <c r="AU57" i="201"/>
  <c r="AP57" i="201"/>
  <c r="AZ57" i="201" s="1"/>
  <c r="EV28" i="202"/>
  <c r="CI38" i="205"/>
  <c r="EK40" i="204"/>
  <c r="EV40" i="204" s="1"/>
  <c r="CJ40" i="204" s="1"/>
  <c r="EI40" i="204"/>
  <c r="CI29" i="205"/>
  <c r="CI35" i="205"/>
  <c r="CH40" i="206"/>
  <c r="U45" i="205"/>
  <c r="T45" i="205"/>
  <c r="AR45" i="205" s="1"/>
  <c r="CH18" i="207"/>
  <c r="EJ78" i="208"/>
  <c r="EL78" i="208"/>
  <c r="DR19" i="208"/>
  <c r="CS19" i="208"/>
  <c r="EU19" i="208"/>
  <c r="DQ19" i="208"/>
  <c r="ES19" i="208"/>
  <c r="CR19" i="208"/>
  <c r="ET19" i="208"/>
  <c r="CJ41" i="208"/>
  <c r="X41" i="208"/>
  <c r="EI25" i="196"/>
  <c r="EP21" i="201"/>
  <c r="EO24" i="198"/>
  <c r="CI36" i="197"/>
  <c r="CI45" i="197"/>
  <c r="EO17" i="200"/>
  <c r="CI28" i="201"/>
  <c r="CI41" i="198"/>
  <c r="S17" i="198"/>
  <c r="Q17" i="198"/>
  <c r="R17" i="198"/>
  <c r="CI41" i="201"/>
  <c r="O33" i="204"/>
  <c r="N33" i="204"/>
  <c r="P33" i="204"/>
  <c r="CI32" i="205"/>
  <c r="W20" i="203"/>
  <c r="V20" i="203"/>
  <c r="AT20" i="203" s="1"/>
  <c r="CH24" i="206"/>
  <c r="CI39" i="206"/>
  <c r="FZ56" i="191"/>
  <c r="GB56" i="191"/>
  <c r="DO85" i="191"/>
  <c r="DQ85" i="191"/>
  <c r="EM29" i="192"/>
  <c r="R22" i="200"/>
  <c r="Q22" i="200"/>
  <c r="S22" i="200"/>
  <c r="DR78" i="193"/>
  <c r="DP78" i="193"/>
  <c r="Q28" i="198"/>
  <c r="S28" i="198"/>
  <c r="R28" i="198"/>
  <c r="W42" i="205"/>
  <c r="V42" i="205"/>
  <c r="AT42" i="205" s="1"/>
  <c r="P42" i="201"/>
  <c r="O42" i="201"/>
  <c r="N42" i="201"/>
  <c r="CH20" i="198"/>
  <c r="CI27" i="199"/>
  <c r="EK18" i="199"/>
  <c r="EV18" i="199" s="1"/>
  <c r="EH26" i="202"/>
  <c r="DV74" i="193"/>
  <c r="DX74" i="193"/>
  <c r="CJ21" i="200"/>
  <c r="X21" i="200"/>
  <c r="CH17" i="201"/>
  <c r="CI36" i="204"/>
  <c r="DR40" i="203"/>
  <c r="CS40" i="203"/>
  <c r="DQ40" i="203"/>
  <c r="CR40" i="203"/>
  <c r="EJ99" i="203"/>
  <c r="EL99" i="203" s="1"/>
  <c r="EU40" i="203"/>
  <c r="EI40" i="203"/>
  <c r="EP40" i="203"/>
  <c r="ES40" i="203"/>
  <c r="ET40" i="203"/>
  <c r="EH40" i="203"/>
  <c r="S44" i="205"/>
  <c r="Q44" i="205"/>
  <c r="R44" i="205"/>
  <c r="CJ35" i="208"/>
  <c r="X35" i="208"/>
  <c r="EK34" i="207"/>
  <c r="EV34" i="207" s="1"/>
  <c r="EI34" i="207"/>
  <c r="EP19" i="208"/>
  <c r="EP31" i="196"/>
  <c r="DR37" i="196"/>
  <c r="CS37" i="196"/>
  <c r="DQ37" i="196"/>
  <c r="CR37" i="196"/>
  <c r="ET37" i="196"/>
  <c r="ES37" i="196"/>
  <c r="EU37" i="196"/>
  <c r="EO37" i="196"/>
  <c r="EP37" i="196"/>
  <c r="EI37" i="196"/>
  <c r="O40" i="200"/>
  <c r="N40" i="200"/>
  <c r="P40" i="200"/>
  <c r="DQ18" i="207"/>
  <c r="CR18" i="207"/>
  <c r="ET18" i="207"/>
  <c r="EJ77" i="207"/>
  <c r="EU18" i="207"/>
  <c r="DR18" i="207"/>
  <c r="EP18" i="207"/>
  <c r="CS18" i="207"/>
  <c r="EL77" i="207"/>
  <c r="ES18" i="207"/>
  <c r="EO18" i="207"/>
  <c r="EL32" i="192"/>
  <c r="DR72" i="191"/>
  <c r="EC72" i="191" s="1"/>
  <c r="EN32" i="191" s="1"/>
  <c r="DP72" i="191"/>
  <c r="CJ22" i="200"/>
  <c r="X22" i="200"/>
  <c r="P36" i="203"/>
  <c r="O36" i="203"/>
  <c r="N36" i="203"/>
  <c r="CI45" i="198"/>
  <c r="CI44" i="202"/>
  <c r="EV28" i="203"/>
  <c r="EJ101" i="204"/>
  <c r="EU42" i="204"/>
  <c r="ES42" i="204"/>
  <c r="DQ42" i="204"/>
  <c r="L42" i="204" s="1"/>
  <c r="DR42" i="204"/>
  <c r="M42" i="204" s="1"/>
  <c r="CS42" i="204"/>
  <c r="CR42" i="204"/>
  <c r="EL101" i="204"/>
  <c r="ET42" i="204"/>
  <c r="CI28" i="205"/>
  <c r="AT39" i="208"/>
  <c r="EC82" i="191"/>
  <c r="EN42" i="191" s="1"/>
  <c r="DR60" i="192"/>
  <c r="DP60" i="192"/>
  <c r="FB20" i="191"/>
  <c r="FA20" i="191" s="1"/>
  <c r="EZ20" i="191"/>
  <c r="EX20" i="191"/>
  <c r="BY20" i="191"/>
  <c r="GK60" i="191"/>
  <c r="EH38" i="196"/>
  <c r="EL35" i="192"/>
  <c r="EM39" i="193"/>
  <c r="X34" i="197"/>
  <c r="CJ34" i="197"/>
  <c r="CH17" i="197"/>
  <c r="EI31" i="196"/>
  <c r="P40" i="201"/>
  <c r="O40" i="201"/>
  <c r="N40" i="201"/>
  <c r="CH25" i="197"/>
  <c r="CH21" i="200"/>
  <c r="EH39" i="202"/>
  <c r="EJ32" i="198"/>
  <c r="CH32" i="198" s="1"/>
  <c r="EH32" i="198"/>
  <c r="EV36" i="199"/>
  <c r="EV43" i="204"/>
  <c r="AS42" i="202"/>
  <c r="AQ42" i="202"/>
  <c r="AO42" i="202"/>
  <c r="AN42" i="202"/>
  <c r="AM42" i="202"/>
  <c r="AL42" i="202"/>
  <c r="AJ42" i="202"/>
  <c r="CH30" i="203"/>
  <c r="W40" i="202"/>
  <c r="V40" i="202"/>
  <c r="EV38" i="204"/>
  <c r="EP26" i="206"/>
  <c r="ER26" i="206"/>
  <c r="EV26" i="206" s="1"/>
  <c r="T39" i="207"/>
  <c r="AR39" i="207" s="1"/>
  <c r="U39" i="207"/>
  <c r="EV28" i="206"/>
  <c r="EP29" i="208"/>
  <c r="EO32" i="208"/>
  <c r="CJ27" i="208"/>
  <c r="X27" i="208"/>
  <c r="CH40" i="208"/>
  <c r="EC75" i="191"/>
  <c r="EN35" i="191" s="1"/>
  <c r="EC71" i="192"/>
  <c r="EN31" i="192" s="1"/>
  <c r="CI23" i="198"/>
  <c r="CI35" i="200"/>
  <c r="DR58" i="193"/>
  <c r="EC58" i="193" s="1"/>
  <c r="EN18" i="193" s="1"/>
  <c r="DP58" i="193"/>
  <c r="DX80" i="192"/>
  <c r="EM40" i="192" s="1"/>
  <c r="DV80" i="192"/>
  <c r="DQ30" i="198"/>
  <c r="CR30" i="198"/>
  <c r="CS30" i="198"/>
  <c r="DR30" i="198"/>
  <c r="EU30" i="198"/>
  <c r="ET30" i="198"/>
  <c r="EJ89" i="198"/>
  <c r="EL89" i="198" s="1"/>
  <c r="ES30" i="198"/>
  <c r="CI42" i="201"/>
  <c r="X44" i="201"/>
  <c r="CJ44" i="201"/>
  <c r="CH26" i="200"/>
  <c r="CH40" i="200"/>
  <c r="EJ45" i="200"/>
  <c r="CH45" i="200" s="1"/>
  <c r="EH45" i="200"/>
  <c r="CI37" i="204"/>
  <c r="EO26" i="204"/>
  <c r="CJ23" i="203"/>
  <c r="X23" i="203"/>
  <c r="CH24" i="204"/>
  <c r="EV26" i="203"/>
  <c r="CI23" i="204"/>
  <c r="EV16" i="206"/>
  <c r="CJ16" i="206" s="1"/>
  <c r="R28" i="205"/>
  <c r="Q28" i="205"/>
  <c r="S28" i="205"/>
  <c r="EK31" i="205"/>
  <c r="EV31" i="205" s="1"/>
  <c r="EI31" i="205"/>
  <c r="AT35" i="206"/>
  <c r="CI42" i="206"/>
  <c r="EO29" i="208"/>
  <c r="EJ76" i="208"/>
  <c r="DQ17" i="208"/>
  <c r="CR17" i="208"/>
  <c r="EU17" i="208"/>
  <c r="ES17" i="208"/>
  <c r="CS17" i="208"/>
  <c r="EH17" i="208"/>
  <c r="DR17" i="208"/>
  <c r="ET17" i="208"/>
  <c r="EL76" i="208"/>
  <c r="EI17" i="208"/>
  <c r="EL18" i="192"/>
  <c r="EI24" i="197"/>
  <c r="CI33" i="202"/>
  <c r="CI32" i="204"/>
  <c r="AZ22" i="200"/>
  <c r="DR18" i="205"/>
  <c r="CS18" i="205"/>
  <c r="DQ18" i="205"/>
  <c r="CR18" i="205"/>
  <c r="EJ77" i="205"/>
  <c r="EL77" i="205" s="1"/>
  <c r="ES18" i="205"/>
  <c r="EU18" i="205"/>
  <c r="ET18" i="205"/>
  <c r="EI18" i="205"/>
  <c r="EH18" i="205"/>
  <c r="R17" i="205"/>
  <c r="Q17" i="205"/>
  <c r="S17" i="205"/>
  <c r="EO30" i="205"/>
  <c r="GL37" i="208"/>
  <c r="GM37" i="208" s="1"/>
  <c r="EJ101" i="208"/>
  <c r="EU42" i="208"/>
  <c r="CS42" i="208"/>
  <c r="DR42" i="208"/>
  <c r="M42" i="208" s="1"/>
  <c r="ET42" i="208"/>
  <c r="ES42" i="208"/>
  <c r="CR42" i="208"/>
  <c r="DQ42" i="208"/>
  <c r="L42" i="208" s="1"/>
  <c r="EI42" i="208"/>
  <c r="EL101" i="208"/>
  <c r="EH42" i="208"/>
  <c r="DO82" i="192"/>
  <c r="DQ82" i="192"/>
  <c r="FB14" i="192"/>
  <c r="GK54" i="192"/>
  <c r="EZ14" i="192"/>
  <c r="EX14" i="192"/>
  <c r="BY14" i="192"/>
  <c r="BX15" i="192"/>
  <c r="DR30" i="196"/>
  <c r="CS30" i="196"/>
  <c r="CR30" i="196"/>
  <c r="DQ30" i="196"/>
  <c r="ET30" i="196"/>
  <c r="EU30" i="196"/>
  <c r="EI30" i="196"/>
  <c r="EH30" i="196"/>
  <c r="EO30" i="196"/>
  <c r="ES30" i="196"/>
  <c r="EP30" i="196"/>
  <c r="AT40" i="196"/>
  <c r="X45" i="202"/>
  <c r="CJ45" i="202"/>
  <c r="CH17" i="202"/>
  <c r="AT35" i="204"/>
  <c r="EK28" i="200"/>
  <c r="EV28" i="200" s="1"/>
  <c r="EI28" i="200"/>
  <c r="X30" i="204"/>
  <c r="CJ30" i="204"/>
  <c r="EJ100" i="203"/>
  <c r="EU41" i="203"/>
  <c r="DR41" i="203"/>
  <c r="M41" i="203" s="1"/>
  <c r="CS41" i="203"/>
  <c r="DQ41" i="203"/>
  <c r="L41" i="203" s="1"/>
  <c r="CR41" i="203"/>
  <c r="ES41" i="203"/>
  <c r="EL100" i="203"/>
  <c r="ET41" i="203"/>
  <c r="AZ36" i="207"/>
  <c r="DR38" i="208"/>
  <c r="M38" i="208" s="1"/>
  <c r="CS38" i="208"/>
  <c r="EJ97" i="208"/>
  <c r="CR38" i="208"/>
  <c r="EU38" i="208"/>
  <c r="DQ38" i="208"/>
  <c r="L38" i="208" s="1"/>
  <c r="ET38" i="208"/>
  <c r="EL97" i="208"/>
  <c r="EP38" i="208"/>
  <c r="ES38" i="208"/>
  <c r="AU57" i="207"/>
  <c r="S40" i="207"/>
  <c r="R40" i="207"/>
  <c r="Q40" i="207"/>
  <c r="AT39" i="199"/>
  <c r="P18" i="208"/>
  <c r="N18" i="208"/>
  <c r="O18" i="208"/>
  <c r="AP57" i="200"/>
  <c r="AZ57" i="200" s="1"/>
  <c r="DR31" i="201"/>
  <c r="CS31" i="201"/>
  <c r="EJ90" i="201"/>
  <c r="EL90" i="201" s="1"/>
  <c r="DQ31" i="201"/>
  <c r="CR31" i="201"/>
  <c r="EU31" i="201"/>
  <c r="ET31" i="201"/>
  <c r="ES31" i="201"/>
  <c r="DO76" i="193"/>
  <c r="DQ76" i="193"/>
  <c r="S27" i="202"/>
  <c r="R27" i="202"/>
  <c r="Q27" i="202"/>
  <c r="EJ75" i="208"/>
  <c r="EL75" i="208" s="1"/>
  <c r="DR16" i="208"/>
  <c r="CS16" i="208"/>
  <c r="EU16" i="208"/>
  <c r="CR16" i="208"/>
  <c r="DQ16" i="208"/>
  <c r="EO16" i="208"/>
  <c r="EP16" i="208"/>
  <c r="ES16" i="208"/>
  <c r="ET16" i="208"/>
  <c r="FU57" i="192"/>
  <c r="FT57" i="192" s="1"/>
  <c r="FR57" i="192"/>
  <c r="FS58" i="192" s="1"/>
  <c r="FQ57" i="192"/>
  <c r="FY57" i="192" s="1"/>
  <c r="FP57" i="192"/>
  <c r="GA57" i="192" s="1"/>
  <c r="FO57" i="192"/>
  <c r="FN57" i="192"/>
  <c r="FW57" i="192" s="1"/>
  <c r="FV57" i="192" s="1"/>
  <c r="W40" i="200"/>
  <c r="V40" i="200"/>
  <c r="AT40" i="200" s="1"/>
  <c r="X23" i="200"/>
  <c r="CJ23" i="200"/>
  <c r="Q23" i="204"/>
  <c r="R23" i="204"/>
  <c r="S23" i="204"/>
  <c r="W32" i="201"/>
  <c r="V32" i="201"/>
  <c r="AT32" i="201" s="1"/>
  <c r="EH33" i="200"/>
  <c r="EJ33" i="200"/>
  <c r="CH33" i="200" s="1"/>
  <c r="W42" i="207"/>
  <c r="V42" i="207"/>
  <c r="AT42" i="207" s="1"/>
  <c r="EP24" i="196"/>
  <c r="ER24" i="196"/>
  <c r="FK59" i="193"/>
  <c r="FJ58" i="193"/>
  <c r="T41" i="198"/>
  <c r="U41" i="198"/>
  <c r="W34" i="200"/>
  <c r="V34" i="200"/>
  <c r="AT34" i="200" s="1"/>
  <c r="CJ37" i="196"/>
  <c r="X37" i="196"/>
  <c r="U44" i="199"/>
  <c r="T44" i="199"/>
  <c r="AR44" i="199" s="1"/>
  <c r="EJ99" i="199"/>
  <c r="EL99" i="199" s="1"/>
  <c r="DQ40" i="199"/>
  <c r="CR40" i="199"/>
  <c r="CS40" i="199"/>
  <c r="DR40" i="199"/>
  <c r="ET40" i="199"/>
  <c r="EU40" i="199"/>
  <c r="EI40" i="199"/>
  <c r="EH40" i="199"/>
  <c r="ES40" i="199"/>
  <c r="X27" i="206"/>
  <c r="CJ27" i="206"/>
  <c r="EJ76" i="206"/>
  <c r="EL76" i="206"/>
  <c r="DR17" i="206"/>
  <c r="CS17" i="206"/>
  <c r="EU17" i="206"/>
  <c r="CR17" i="206"/>
  <c r="DQ17" i="206"/>
  <c r="EP17" i="206"/>
  <c r="ES17" i="206"/>
  <c r="ET17" i="206"/>
  <c r="EJ17" i="207"/>
  <c r="CH17" i="207" s="1"/>
  <c r="EH17" i="207"/>
  <c r="S41" i="207"/>
  <c r="Q41" i="207"/>
  <c r="R41" i="207"/>
  <c r="EH21" i="208"/>
  <c r="EJ21" i="208"/>
  <c r="X42" i="208"/>
  <c r="CJ42" i="208"/>
  <c r="CJ38" i="202"/>
  <c r="X38" i="202"/>
  <c r="U22" i="207"/>
  <c r="T22" i="207"/>
  <c r="AR22" i="207" s="1"/>
  <c r="FR57" i="191"/>
  <c r="FS58" i="191" s="1"/>
  <c r="FP57" i="191"/>
  <c r="GA57" i="191" s="1"/>
  <c r="FO57" i="191"/>
  <c r="FN57" i="191"/>
  <c r="FW57" i="191" s="1"/>
  <c r="FV57" i="191" s="1"/>
  <c r="FU57" i="191"/>
  <c r="FT57" i="191" s="1"/>
  <c r="FQ57" i="191"/>
  <c r="FY57" i="191" s="1"/>
  <c r="EJ79" i="198"/>
  <c r="DQ20" i="198"/>
  <c r="CR20" i="198"/>
  <c r="CS20" i="198"/>
  <c r="DR20" i="198"/>
  <c r="EU20" i="198"/>
  <c r="ET20" i="198"/>
  <c r="EL79" i="198"/>
  <c r="ES20" i="198"/>
  <c r="AU34" i="207"/>
  <c r="AZ34" i="207"/>
  <c r="AP34" i="207"/>
  <c r="U30" i="197"/>
  <c r="T30" i="197"/>
  <c r="AR30" i="197" s="1"/>
  <c r="EV20" i="197"/>
  <c r="CH20" i="197"/>
  <c r="DP70" i="192"/>
  <c r="DR70" i="192"/>
  <c r="EC70" i="192" s="1"/>
  <c r="EN30" i="192" s="1"/>
  <c r="EX18" i="191"/>
  <c r="BY18" i="191"/>
  <c r="FB18" i="191"/>
  <c r="FA18" i="191" s="1"/>
  <c r="GK58" i="191"/>
  <c r="EZ18" i="191"/>
  <c r="EJ78" i="197"/>
  <c r="EL78" i="197" s="1"/>
  <c r="EU19" i="197"/>
  <c r="ES19" i="197"/>
  <c r="EO19" i="197"/>
  <c r="DR19" i="197"/>
  <c r="CS19" i="197"/>
  <c r="DQ19" i="197"/>
  <c r="CR19" i="197"/>
  <c r="ET19" i="197"/>
  <c r="EP19" i="197"/>
  <c r="EJ100" i="201"/>
  <c r="EU41" i="201"/>
  <c r="CS41" i="201"/>
  <c r="DR41" i="201"/>
  <c r="M41" i="201" s="1"/>
  <c r="CR41" i="201"/>
  <c r="DQ41" i="201"/>
  <c r="L41" i="201" s="1"/>
  <c r="EL100" i="201"/>
  <c r="ET41" i="201"/>
  <c r="ES41" i="201"/>
  <c r="EI39" i="199"/>
  <c r="EO31" i="201"/>
  <c r="EJ100" i="198"/>
  <c r="EU41" i="198"/>
  <c r="DR41" i="198"/>
  <c r="M41" i="198" s="1"/>
  <c r="CR41" i="198"/>
  <c r="DQ41" i="198"/>
  <c r="L41" i="198" s="1"/>
  <c r="CS41" i="198"/>
  <c r="ES41" i="198"/>
  <c r="ET41" i="198"/>
  <c r="EL100" i="198"/>
  <c r="U40" i="202"/>
  <c r="T40" i="202"/>
  <c r="AR40" i="202" s="1"/>
  <c r="EO32" i="197"/>
  <c r="EQ32" i="197"/>
  <c r="S43" i="203"/>
  <c r="R43" i="203"/>
  <c r="Q43" i="203"/>
  <c r="U43" i="204"/>
  <c r="T43" i="204"/>
  <c r="AR43" i="204" s="1"/>
  <c r="EK22" i="202"/>
  <c r="EV22" i="202" s="1"/>
  <c r="CJ22" i="202" s="1"/>
  <c r="EI22" i="202"/>
  <c r="EJ39" i="206"/>
  <c r="CH39" i="206" s="1"/>
  <c r="X35" i="207"/>
  <c r="CJ35" i="207"/>
  <c r="AP36" i="208"/>
  <c r="AZ36" i="208"/>
  <c r="AU36" i="208"/>
  <c r="U36" i="193"/>
  <c r="V36" i="193"/>
  <c r="EJ28" i="201"/>
  <c r="EH28" i="201"/>
  <c r="CJ22" i="204"/>
  <c r="X22" i="204"/>
  <c r="DP80" i="193"/>
  <c r="DR80" i="193"/>
  <c r="T40" i="196"/>
  <c r="U40" i="196"/>
  <c r="DQ22" i="204"/>
  <c r="CR22" i="204"/>
  <c r="EU22" i="204"/>
  <c r="ET22" i="204"/>
  <c r="CS22" i="204"/>
  <c r="EL81" i="204"/>
  <c r="ES22" i="204"/>
  <c r="DR22" i="204"/>
  <c r="EJ81" i="204"/>
  <c r="W22" i="204"/>
  <c r="V22" i="204"/>
  <c r="AT22" i="204" s="1"/>
  <c r="S19" i="199"/>
  <c r="R19" i="199"/>
  <c r="Q19" i="199"/>
  <c r="N23" i="203"/>
  <c r="P23" i="203"/>
  <c r="O23" i="203"/>
  <c r="U44" i="191"/>
  <c r="V44" i="191"/>
  <c r="DP76" i="193"/>
  <c r="DR76" i="193"/>
  <c r="DR32" i="203"/>
  <c r="CS32" i="203"/>
  <c r="EJ91" i="203"/>
  <c r="EU32" i="203"/>
  <c r="EO32" i="203"/>
  <c r="DQ32" i="203"/>
  <c r="CR32" i="203"/>
  <c r="EL91" i="203"/>
  <c r="EP32" i="203"/>
  <c r="ET32" i="203"/>
  <c r="EH32" i="203"/>
  <c r="ES32" i="203"/>
  <c r="EI32" i="203"/>
  <c r="EU34" i="205"/>
  <c r="DR34" i="205"/>
  <c r="CS34" i="205"/>
  <c r="DQ34" i="205"/>
  <c r="CR34" i="205"/>
  <c r="EO34" i="205"/>
  <c r="EP34" i="205"/>
  <c r="EJ93" i="205"/>
  <c r="EL93" i="205" s="1"/>
  <c r="ES34" i="205"/>
  <c r="ET34" i="205"/>
  <c r="EI17" i="206"/>
  <c r="U19" i="206"/>
  <c r="T19" i="206"/>
  <c r="Q26" i="198"/>
  <c r="S26" i="198"/>
  <c r="R26" i="198"/>
  <c r="W35" i="207"/>
  <c r="V35" i="207"/>
  <c r="AT35" i="207" s="1"/>
  <c r="DQ36" i="199"/>
  <c r="CR36" i="199"/>
  <c r="EU36" i="199"/>
  <c r="ET36" i="199"/>
  <c r="ES36" i="199"/>
  <c r="CS36" i="199"/>
  <c r="EJ95" i="199"/>
  <c r="EL95" i="199" s="1"/>
  <c r="DR36" i="199"/>
  <c r="EC75" i="192"/>
  <c r="EN35" i="192" s="1"/>
  <c r="DQ29" i="201"/>
  <c r="CR29" i="201"/>
  <c r="EJ88" i="201"/>
  <c r="EL88" i="201" s="1"/>
  <c r="CS29" i="201"/>
  <c r="DR29" i="201"/>
  <c r="EU29" i="201"/>
  <c r="EI29" i="201"/>
  <c r="ES29" i="201"/>
  <c r="ET29" i="201"/>
  <c r="EH29" i="201"/>
  <c r="DW56" i="192"/>
  <c r="DY56" i="192"/>
  <c r="EC56" i="192" s="1"/>
  <c r="EN16" i="192" s="1"/>
  <c r="U36" i="205"/>
  <c r="T36" i="205"/>
  <c r="U27" i="208"/>
  <c r="T27" i="208"/>
  <c r="DX72" i="192"/>
  <c r="EM32" i="192" s="1"/>
  <c r="DV72" i="192"/>
  <c r="EV44" i="197"/>
  <c r="N27" i="204"/>
  <c r="P27" i="204"/>
  <c r="O27" i="204"/>
  <c r="EJ84" i="198"/>
  <c r="EL84" i="198" s="1"/>
  <c r="EU25" i="198"/>
  <c r="DR25" i="198"/>
  <c r="CS25" i="198"/>
  <c r="DQ25" i="198"/>
  <c r="CR25" i="198"/>
  <c r="EP25" i="198"/>
  <c r="ES25" i="198"/>
  <c r="ET25" i="198"/>
  <c r="AZ18" i="197"/>
  <c r="AP18" i="197"/>
  <c r="AU18" i="197"/>
  <c r="EI21" i="201"/>
  <c r="W38" i="201"/>
  <c r="V38" i="201"/>
  <c r="P37" i="202"/>
  <c r="O37" i="202"/>
  <c r="N37" i="202"/>
  <c r="CI33" i="203"/>
  <c r="AZ20" i="205"/>
  <c r="AU20" i="205"/>
  <c r="AP20" i="205"/>
  <c r="V21" i="208"/>
  <c r="W21" i="208"/>
  <c r="CI35" i="196"/>
  <c r="DW80" i="193"/>
  <c r="DY80" i="193"/>
  <c r="T32" i="200"/>
  <c r="U32" i="200"/>
  <c r="EJ88" i="206"/>
  <c r="EL88" i="206" s="1"/>
  <c r="DR29" i="206"/>
  <c r="CS29" i="206"/>
  <c r="DQ29" i="206"/>
  <c r="CR29" i="206"/>
  <c r="EP29" i="206"/>
  <c r="EO29" i="206"/>
  <c r="EU29" i="206"/>
  <c r="ET29" i="206"/>
  <c r="ES29" i="206"/>
  <c r="U36" i="196"/>
  <c r="T36" i="196"/>
  <c r="DR29" i="196"/>
  <c r="CS29" i="196"/>
  <c r="DQ29" i="196"/>
  <c r="CR29" i="196"/>
  <c r="EU29" i="196"/>
  <c r="ET29" i="196"/>
  <c r="EH29" i="196"/>
  <c r="ES29" i="196"/>
  <c r="EI29" i="196"/>
  <c r="DR85" i="193"/>
  <c r="DP85" i="193"/>
  <c r="CJ39" i="202"/>
  <c r="X39" i="202"/>
  <c r="DR19" i="203"/>
  <c r="CS19" i="203"/>
  <c r="DQ19" i="203"/>
  <c r="CR19" i="203"/>
  <c r="EJ78" i="203"/>
  <c r="EU19" i="203"/>
  <c r="ET19" i="203"/>
  <c r="ES19" i="203"/>
  <c r="EL78" i="203"/>
  <c r="CJ34" i="204"/>
  <c r="X34" i="204"/>
  <c r="U45" i="202"/>
  <c r="T45" i="202"/>
  <c r="AR45" i="202" s="1"/>
  <c r="DV62" i="192"/>
  <c r="DX62" i="192"/>
  <c r="EM22" i="192" s="1"/>
  <c r="EK22" i="197"/>
  <c r="EV22" i="197" s="1"/>
  <c r="CJ22" i="197" s="1"/>
  <c r="EI22" i="197"/>
  <c r="DO66" i="192"/>
  <c r="DQ66" i="192"/>
  <c r="EV24" i="196"/>
  <c r="GM43" i="200"/>
  <c r="EH37" i="204"/>
  <c r="EH23" i="206"/>
  <c r="EJ91" i="207"/>
  <c r="EL91" i="207" s="1"/>
  <c r="DR32" i="207"/>
  <c r="CS32" i="207"/>
  <c r="DQ32" i="207"/>
  <c r="CR32" i="207"/>
  <c r="EU32" i="207"/>
  <c r="ES32" i="207"/>
  <c r="EH32" i="207"/>
  <c r="EI32" i="207"/>
  <c r="ET32" i="207"/>
  <c r="O29" i="207"/>
  <c r="P29" i="207"/>
  <c r="N29" i="207"/>
  <c r="DX61" i="192"/>
  <c r="EM21" i="192" s="1"/>
  <c r="DV61" i="192"/>
  <c r="EJ83" i="199"/>
  <c r="DR24" i="199"/>
  <c r="CS24" i="199"/>
  <c r="DQ24" i="199"/>
  <c r="CR24" i="199"/>
  <c r="EU24" i="199"/>
  <c r="ES24" i="199"/>
  <c r="ET24" i="199"/>
  <c r="EL83" i="199"/>
  <c r="DW84" i="193"/>
  <c r="DY84" i="193"/>
  <c r="CJ26" i="208"/>
  <c r="X26" i="208"/>
  <c r="EU29" i="198"/>
  <c r="EL88" i="198"/>
  <c r="DR29" i="198"/>
  <c r="CS29" i="198"/>
  <c r="EO29" i="198"/>
  <c r="EJ88" i="198"/>
  <c r="DQ29" i="198"/>
  <c r="CR29" i="198"/>
  <c r="EP29" i="198"/>
  <c r="ET29" i="198"/>
  <c r="ES29" i="198"/>
  <c r="EU22" i="201"/>
  <c r="EO22" i="201"/>
  <c r="DQ22" i="201"/>
  <c r="CR22" i="201"/>
  <c r="EJ81" i="201"/>
  <c r="CS22" i="201"/>
  <c r="DR22" i="201"/>
  <c r="ES22" i="201"/>
  <c r="EL81" i="201"/>
  <c r="ET22" i="201"/>
  <c r="EP22" i="201"/>
  <c r="W18" i="204"/>
  <c r="V18" i="204"/>
  <c r="AT18" i="204" s="1"/>
  <c r="EJ91" i="205"/>
  <c r="DQ32" i="205"/>
  <c r="CR32" i="205"/>
  <c r="EU32" i="205"/>
  <c r="ET32" i="205"/>
  <c r="CS32" i="205"/>
  <c r="DR32" i="205"/>
  <c r="ES32" i="205"/>
  <c r="EI32" i="205"/>
  <c r="EL91" i="205"/>
  <c r="W17" i="207"/>
  <c r="V17" i="207"/>
  <c r="AT17" i="207" s="1"/>
  <c r="EJ100" i="200"/>
  <c r="EU41" i="200"/>
  <c r="ES41" i="200"/>
  <c r="CS41" i="200"/>
  <c r="DR41" i="200"/>
  <c r="DQ41" i="200"/>
  <c r="CR41" i="200"/>
  <c r="EL100" i="200"/>
  <c r="ET41" i="200"/>
  <c r="W34" i="208"/>
  <c r="V34" i="208"/>
  <c r="AT34" i="208" s="1"/>
  <c r="U24" i="197"/>
  <c r="T24" i="197"/>
  <c r="AR24" i="197" s="1"/>
  <c r="AU25" i="197"/>
  <c r="AZ25" i="197"/>
  <c r="AP25" i="197"/>
  <c r="T33" i="197"/>
  <c r="AR33" i="197" s="1"/>
  <c r="U33" i="197"/>
  <c r="EK16" i="201"/>
  <c r="EV16" i="201" s="1"/>
  <c r="EI16" i="201"/>
  <c r="EJ22" i="203"/>
  <c r="CH22" i="203" s="1"/>
  <c r="EH22" i="203"/>
  <c r="EJ87" i="208"/>
  <c r="EL87" i="208" s="1"/>
  <c r="EU28" i="208"/>
  <c r="DR28" i="208"/>
  <c r="CS28" i="208"/>
  <c r="EO28" i="208"/>
  <c r="EP28" i="208"/>
  <c r="DQ28" i="208"/>
  <c r="CR28" i="208"/>
  <c r="EH28" i="208"/>
  <c r="ES28" i="208"/>
  <c r="EI28" i="208"/>
  <c r="ET28" i="208"/>
  <c r="S26" i="203"/>
  <c r="Q26" i="203"/>
  <c r="R26" i="203"/>
  <c r="EX19" i="191"/>
  <c r="O28" i="203"/>
  <c r="N28" i="203"/>
  <c r="P28" i="203"/>
  <c r="DO68" i="193"/>
  <c r="DQ68" i="193"/>
  <c r="CH27" i="201"/>
  <c r="CI16" i="200"/>
  <c r="EH36" i="198"/>
  <c r="EJ36" i="198"/>
  <c r="CH36" i="198" s="1"/>
  <c r="X17" i="206"/>
  <c r="CJ17" i="206"/>
  <c r="AU39" i="206"/>
  <c r="AZ39" i="206"/>
  <c r="AP39" i="206"/>
  <c r="EC76" i="192"/>
  <c r="EN36" i="192" s="1"/>
  <c r="DR38" i="202"/>
  <c r="CS38" i="202"/>
  <c r="DQ38" i="202"/>
  <c r="CR38" i="202"/>
  <c r="EU38" i="202"/>
  <c r="ET38" i="202"/>
  <c r="EJ97" i="202"/>
  <c r="EL97" i="202" s="1"/>
  <c r="ES38" i="202"/>
  <c r="EP38" i="202"/>
  <c r="EO38" i="202"/>
  <c r="EJ82" i="205"/>
  <c r="DR23" i="205"/>
  <c r="CS23" i="205"/>
  <c r="DQ23" i="205"/>
  <c r="EU23" i="205"/>
  <c r="EL82" i="205"/>
  <c r="ES23" i="205"/>
  <c r="CR23" i="205"/>
  <c r="EO23" i="205"/>
  <c r="ET23" i="205"/>
  <c r="EI23" i="205"/>
  <c r="EH23" i="205"/>
  <c r="EJ80" i="204"/>
  <c r="EL80" i="204" s="1"/>
  <c r="DR21" i="204"/>
  <c r="CS21" i="204"/>
  <c r="CR21" i="204"/>
  <c r="DQ21" i="204"/>
  <c r="EU21" i="204"/>
  <c r="ES21" i="204"/>
  <c r="ET21" i="204"/>
  <c r="DR80" i="192"/>
  <c r="DP80" i="192"/>
  <c r="CH42" i="197"/>
  <c r="U29" i="200"/>
  <c r="T29" i="200"/>
  <c r="AR29" i="200" s="1"/>
  <c r="EK21" i="202"/>
  <c r="EV21" i="202" s="1"/>
  <c r="EI21" i="202"/>
  <c r="W19" i="206"/>
  <c r="V19" i="206"/>
  <c r="EJ82" i="207"/>
  <c r="EL82" i="207" s="1"/>
  <c r="EU23" i="207"/>
  <c r="DR23" i="207"/>
  <c r="CR23" i="207"/>
  <c r="DQ23" i="207"/>
  <c r="CS23" i="207"/>
  <c r="EH23" i="207"/>
  <c r="EI23" i="207"/>
  <c r="ES23" i="207"/>
  <c r="ET23" i="207"/>
  <c r="EJ104" i="207"/>
  <c r="DR45" i="207"/>
  <c r="M45" i="207" s="1"/>
  <c r="CS45" i="207"/>
  <c r="DQ45" i="207"/>
  <c r="L45" i="207" s="1"/>
  <c r="CR45" i="207"/>
  <c r="EU45" i="207"/>
  <c r="ET45" i="207"/>
  <c r="ES45" i="207"/>
  <c r="EI45" i="207"/>
  <c r="EH45" i="207"/>
  <c r="EL104" i="207"/>
  <c r="EK33" i="196"/>
  <c r="EV33" i="196" s="1"/>
  <c r="EI33" i="196"/>
  <c r="GM41" i="202"/>
  <c r="EJ99" i="206"/>
  <c r="DQ40" i="206"/>
  <c r="CR40" i="206"/>
  <c r="EU40" i="206"/>
  <c r="ES40" i="206"/>
  <c r="DR40" i="206"/>
  <c r="CS40" i="206"/>
  <c r="ET40" i="206"/>
  <c r="EL99" i="206"/>
  <c r="EJ85" i="208"/>
  <c r="DR26" i="208"/>
  <c r="CS26" i="208"/>
  <c r="DQ26" i="208"/>
  <c r="CR26" i="208"/>
  <c r="EU26" i="208"/>
  <c r="ET26" i="208"/>
  <c r="EP26" i="208"/>
  <c r="ES26" i="208"/>
  <c r="EL85" i="208"/>
  <c r="EO26" i="208"/>
  <c r="EO25" i="196"/>
  <c r="U23" i="198"/>
  <c r="T23" i="198"/>
  <c r="V28" i="207"/>
  <c r="AT28" i="207" s="1"/>
  <c r="W28" i="207"/>
  <c r="DQ37" i="198"/>
  <c r="CR37" i="198"/>
  <c r="EJ96" i="198"/>
  <c r="EL96" i="198" s="1"/>
  <c r="EU37" i="198"/>
  <c r="DR37" i="198"/>
  <c r="CS37" i="198"/>
  <c r="ES37" i="198"/>
  <c r="ET37" i="198"/>
  <c r="EH37" i="198"/>
  <c r="GL44" i="193"/>
  <c r="GM44" i="193" s="1"/>
  <c r="CJ27" i="202"/>
  <c r="X27" i="202"/>
  <c r="V31" i="204"/>
  <c r="AT31" i="204" s="1"/>
  <c r="W31" i="204"/>
  <c r="W28" i="202"/>
  <c r="V28" i="202"/>
  <c r="AT28" i="202" s="1"/>
  <c r="U28" i="204"/>
  <c r="T28" i="204"/>
  <c r="AR28" i="204" s="1"/>
  <c r="CI19" i="204"/>
  <c r="AT18" i="207"/>
  <c r="EO23" i="207"/>
  <c r="X22" i="201"/>
  <c r="CJ22" i="201"/>
  <c r="EJ95" i="201"/>
  <c r="EL95" i="201" s="1"/>
  <c r="DR36" i="201"/>
  <c r="CS36" i="201"/>
  <c r="DQ36" i="201"/>
  <c r="CR36" i="201"/>
  <c r="ET36" i="201"/>
  <c r="EU36" i="201"/>
  <c r="ES36" i="201"/>
  <c r="EP36" i="201"/>
  <c r="EI36" i="201"/>
  <c r="EO36" i="201"/>
  <c r="CI25" i="204"/>
  <c r="CJ36" i="205"/>
  <c r="X36" i="205"/>
  <c r="EK22" i="205"/>
  <c r="EV22" i="205" s="1"/>
  <c r="CJ22" i="205" s="1"/>
  <c r="EI27" i="197"/>
  <c r="U31" i="204"/>
  <c r="T31" i="204"/>
  <c r="AR31" i="204" s="1"/>
  <c r="CI22" i="208"/>
  <c r="X19" i="198"/>
  <c r="CJ19" i="198"/>
  <c r="DQ60" i="193"/>
  <c r="DO60" i="193"/>
  <c r="EO27" i="197"/>
  <c r="DV60" i="192"/>
  <c r="DX60" i="192"/>
  <c r="EM20" i="192" s="1"/>
  <c r="EJ98" i="208"/>
  <c r="DR39" i="208"/>
  <c r="M39" i="208" s="1"/>
  <c r="CS39" i="208"/>
  <c r="EU39" i="208"/>
  <c r="DQ39" i="208"/>
  <c r="L39" i="208" s="1"/>
  <c r="ET39" i="208"/>
  <c r="ES39" i="208"/>
  <c r="CR39" i="208"/>
  <c r="EL98" i="208"/>
  <c r="EO39" i="208"/>
  <c r="EP39" i="208"/>
  <c r="EM44" i="191"/>
  <c r="S27" i="200"/>
  <c r="R27" i="200"/>
  <c r="Q27" i="200"/>
  <c r="P34" i="200"/>
  <c r="O34" i="200"/>
  <c r="N34" i="200"/>
  <c r="EJ80" i="199"/>
  <c r="DR21" i="199"/>
  <c r="CS21" i="199"/>
  <c r="ES21" i="199"/>
  <c r="EO21" i="199"/>
  <c r="DQ21" i="199"/>
  <c r="EU21" i="199"/>
  <c r="CR21" i="199"/>
  <c r="ET21" i="199"/>
  <c r="EI21" i="199"/>
  <c r="EL80" i="199"/>
  <c r="AZ22" i="198"/>
  <c r="AU22" i="198"/>
  <c r="AP22" i="198"/>
  <c r="CH41" i="202"/>
  <c r="U23" i="206"/>
  <c r="T23" i="206"/>
  <c r="AR23" i="206" s="1"/>
  <c r="U27" i="205"/>
  <c r="T27" i="205"/>
  <c r="AR27" i="205" s="1"/>
  <c r="GM40" i="208"/>
  <c r="EP27" i="197"/>
  <c r="DQ66" i="193"/>
  <c r="DO66" i="193"/>
  <c r="X40" i="199"/>
  <c r="CJ40" i="199"/>
  <c r="EJ16" i="197"/>
  <c r="CH16" i="197" s="1"/>
  <c r="EH16" i="197"/>
  <c r="CH44" i="205"/>
  <c r="EJ94" i="206"/>
  <c r="EL94" i="206" s="1"/>
  <c r="EU35" i="206"/>
  <c r="ES35" i="206"/>
  <c r="DR35" i="206"/>
  <c r="CS35" i="206"/>
  <c r="EO35" i="206"/>
  <c r="CR35" i="206"/>
  <c r="DQ35" i="206"/>
  <c r="EP35" i="206"/>
  <c r="ET35" i="206"/>
  <c r="U26" i="203"/>
  <c r="T26" i="203"/>
  <c r="AR26" i="203" s="1"/>
  <c r="CI22" i="205"/>
  <c r="EU25" i="207"/>
  <c r="EJ84" i="207"/>
  <c r="EL84" i="207" s="1"/>
  <c r="ES25" i="207"/>
  <c r="DQ25" i="207"/>
  <c r="CR25" i="207"/>
  <c r="ET25" i="207"/>
  <c r="CS25" i="207"/>
  <c r="DR25" i="207"/>
  <c r="GM42" i="201"/>
  <c r="X34" i="203"/>
  <c r="CJ34" i="203"/>
  <c r="EK22" i="203"/>
  <c r="EV22" i="203" s="1"/>
  <c r="EI22" i="203"/>
  <c r="U41" i="205"/>
  <c r="T41" i="205"/>
  <c r="AR41" i="205" s="1"/>
  <c r="EP19" i="207"/>
  <c r="Q27" i="208"/>
  <c r="R27" i="208"/>
  <c r="S27" i="208"/>
  <c r="CH25" i="199"/>
  <c r="CJ41" i="200"/>
  <c r="EI41" i="200"/>
  <c r="DW82" i="192"/>
  <c r="DY82" i="192"/>
  <c r="EI37" i="199"/>
  <c r="DY76" i="192"/>
  <c r="DW76" i="192"/>
  <c r="AZ40" i="198"/>
  <c r="CJ41" i="197"/>
  <c r="X41" i="197"/>
  <c r="DR62" i="193"/>
  <c r="EC62" i="193" s="1"/>
  <c r="EN22" i="193" s="1"/>
  <c r="DP62" i="193"/>
  <c r="CH18" i="197"/>
  <c r="AZ43" i="198"/>
  <c r="AP43" i="198"/>
  <c r="AU43" i="198"/>
  <c r="EJ83" i="202"/>
  <c r="EL83" i="202" s="1"/>
  <c r="EU24" i="202"/>
  <c r="DR24" i="202"/>
  <c r="CS24" i="202"/>
  <c r="DQ24" i="202"/>
  <c r="CR24" i="202"/>
  <c r="EI24" i="202"/>
  <c r="EH24" i="202"/>
  <c r="ES24" i="202"/>
  <c r="ET24" i="202"/>
  <c r="T39" i="193"/>
  <c r="EL39" i="193"/>
  <c r="S39" i="193"/>
  <c r="EC79" i="193"/>
  <c r="CI17" i="198"/>
  <c r="EV18" i="198"/>
  <c r="CJ18" i="198" s="1"/>
  <c r="DR33" i="197"/>
  <c r="CS33" i="197"/>
  <c r="CR33" i="197"/>
  <c r="DQ33" i="197"/>
  <c r="EJ92" i="197"/>
  <c r="EU33" i="197"/>
  <c r="ET33" i="197"/>
  <c r="ES33" i="197"/>
  <c r="EH33" i="197"/>
  <c r="EL92" i="197"/>
  <c r="EV21" i="197"/>
  <c r="CH44" i="202"/>
  <c r="EI42" i="199"/>
  <c r="AO42" i="200"/>
  <c r="AN42" i="200"/>
  <c r="AQ42" i="200"/>
  <c r="AM42" i="200"/>
  <c r="AS42" i="200"/>
  <c r="AJ42" i="200"/>
  <c r="AL42" i="200"/>
  <c r="EJ37" i="197"/>
  <c r="EH37" i="197"/>
  <c r="CI24" i="199"/>
  <c r="AZ44" i="200"/>
  <c r="AP44" i="200"/>
  <c r="AU44" i="200"/>
  <c r="AZ25" i="201"/>
  <c r="AP25" i="201"/>
  <c r="AU25" i="201"/>
  <c r="EJ41" i="201"/>
  <c r="EH41" i="201"/>
  <c r="U30" i="204"/>
  <c r="T30" i="204"/>
  <c r="AR30" i="204" s="1"/>
  <c r="EV37" i="203"/>
  <c r="AR29" i="203"/>
  <c r="CI38" i="204"/>
  <c r="EU40" i="204"/>
  <c r="EJ99" i="204"/>
  <c r="DQ40" i="204"/>
  <c r="CR40" i="204"/>
  <c r="CS40" i="204"/>
  <c r="DR40" i="204"/>
  <c r="ES40" i="204"/>
  <c r="EL99" i="204"/>
  <c r="ET40" i="204"/>
  <c r="GM43" i="204"/>
  <c r="EH32" i="205"/>
  <c r="CI20" i="207"/>
  <c r="AQ45" i="205"/>
  <c r="AO45" i="205"/>
  <c r="AM45" i="205"/>
  <c r="AL45" i="205"/>
  <c r="AS45" i="205"/>
  <c r="AN45" i="205"/>
  <c r="AJ45" i="205"/>
  <c r="EK28" i="207"/>
  <c r="EV28" i="207" s="1"/>
  <c r="EI28" i="207"/>
  <c r="U30" i="207"/>
  <c r="T30" i="207"/>
  <c r="EK34" i="208"/>
  <c r="EV34" i="208" s="1"/>
  <c r="EP29" i="196"/>
  <c r="EM31" i="192"/>
  <c r="DP78" i="192"/>
  <c r="DR78" i="192"/>
  <c r="DV85" i="193"/>
  <c r="DX85" i="193"/>
  <c r="AR19" i="202"/>
  <c r="EK25" i="198"/>
  <c r="EV25" i="198" s="1"/>
  <c r="CJ25" i="198" s="1"/>
  <c r="EI25" i="198"/>
  <c r="AR26" i="199"/>
  <c r="EV29" i="204"/>
  <c r="EK29" i="205"/>
  <c r="EV29" i="205" s="1"/>
  <c r="EI29" i="205"/>
  <c r="EJ100" i="206"/>
  <c r="EU41" i="206"/>
  <c r="EL100" i="206"/>
  <c r="DR41" i="206"/>
  <c r="M41" i="206" s="1"/>
  <c r="CS41" i="206"/>
  <c r="DQ41" i="206"/>
  <c r="L41" i="206" s="1"/>
  <c r="CR41" i="206"/>
  <c r="ES41" i="206"/>
  <c r="ET41" i="206"/>
  <c r="EP25" i="208"/>
  <c r="ER25" i="208"/>
  <c r="FB27" i="192"/>
  <c r="FA27" i="192" s="1"/>
  <c r="BY27" i="192"/>
  <c r="EZ27" i="192"/>
  <c r="GK67" i="192"/>
  <c r="EX27" i="192"/>
  <c r="EX28" i="192"/>
  <c r="EH25" i="196"/>
  <c r="DQ61" i="193"/>
  <c r="DO61" i="193"/>
  <c r="W21" i="201"/>
  <c r="V21" i="201"/>
  <c r="AT21" i="201" s="1"/>
  <c r="EM21" i="193"/>
  <c r="EM35" i="192"/>
  <c r="EH22" i="201"/>
  <c r="DX59" i="192"/>
  <c r="DV59" i="192"/>
  <c r="GL44" i="202"/>
  <c r="GM44" i="202" s="1"/>
  <c r="W32" i="198"/>
  <c r="V32" i="198"/>
  <c r="AT32" i="198" s="1"/>
  <c r="EV40" i="201"/>
  <c r="EV30" i="203"/>
  <c r="CI28" i="206"/>
  <c r="CI32" i="207"/>
  <c r="AT16" i="207"/>
  <c r="EH19" i="207"/>
  <c r="EJ19" i="207"/>
  <c r="CH19" i="207" s="1"/>
  <c r="U38" i="207"/>
  <c r="T38" i="207"/>
  <c r="AR38" i="207" s="1"/>
  <c r="V45" i="192"/>
  <c r="U45" i="192"/>
  <c r="BV45" i="192" s="1"/>
  <c r="V26" i="198"/>
  <c r="AT26" i="198" s="1"/>
  <c r="W26" i="198"/>
  <c r="CS17" i="207"/>
  <c r="DQ17" i="207"/>
  <c r="CR17" i="207"/>
  <c r="EU17" i="207"/>
  <c r="DR17" i="207"/>
  <c r="EJ76" i="207"/>
  <c r="EL76" i="207" s="1"/>
  <c r="ET17" i="207"/>
  <c r="ES17" i="207"/>
  <c r="EJ90" i="203"/>
  <c r="DR31" i="203"/>
  <c r="CS31" i="203"/>
  <c r="DQ31" i="203"/>
  <c r="CR31" i="203"/>
  <c r="ET31" i="203"/>
  <c r="EU31" i="203"/>
  <c r="ES31" i="203"/>
  <c r="EO31" i="203"/>
  <c r="EL90" i="203"/>
  <c r="EP31" i="203"/>
  <c r="O29" i="200"/>
  <c r="N29" i="200"/>
  <c r="P29" i="200"/>
  <c r="W28" i="200"/>
  <c r="V28" i="200"/>
  <c r="AT28" i="200" s="1"/>
  <c r="CI42" i="204"/>
  <c r="DR34" i="202"/>
  <c r="CS34" i="202"/>
  <c r="EJ93" i="202"/>
  <c r="EU34" i="202"/>
  <c r="DQ34" i="202"/>
  <c r="ES34" i="202"/>
  <c r="CR34" i="202"/>
  <c r="ET34" i="202"/>
  <c r="EL93" i="202"/>
  <c r="EO45" i="207"/>
  <c r="EJ89" i="207"/>
  <c r="DR30" i="207"/>
  <c r="CS30" i="207"/>
  <c r="DQ30" i="207"/>
  <c r="CR30" i="207"/>
  <c r="EU30" i="207"/>
  <c r="ET30" i="207"/>
  <c r="EL89" i="207"/>
  <c r="ES30" i="207"/>
  <c r="EK44" i="207"/>
  <c r="EV44" i="207" s="1"/>
  <c r="EI44" i="207"/>
  <c r="EV25" i="208"/>
  <c r="EI25" i="199"/>
  <c r="DY75" i="191"/>
  <c r="DW75" i="191"/>
  <c r="AT19" i="200"/>
  <c r="EU34" i="199"/>
  <c r="DR34" i="199"/>
  <c r="CS34" i="199"/>
  <c r="DQ34" i="199"/>
  <c r="CR34" i="199"/>
  <c r="EJ93" i="199"/>
  <c r="EL93" i="199"/>
  <c r="EO34" i="199"/>
  <c r="ET34" i="199"/>
  <c r="ES34" i="199"/>
  <c r="CH31" i="202"/>
  <c r="EV45" i="198"/>
  <c r="EO40" i="199"/>
  <c r="EO21" i="202"/>
  <c r="CH41" i="203"/>
  <c r="EP24" i="199"/>
  <c r="GL45" i="202"/>
  <c r="EH39" i="204"/>
  <c r="AZ33" i="203"/>
  <c r="AP33" i="203"/>
  <c r="AU33" i="203"/>
  <c r="EH22" i="204"/>
  <c r="EV30" i="207"/>
  <c r="EL38" i="191"/>
  <c r="EM43" i="192"/>
  <c r="DQ84" i="191"/>
  <c r="DO84" i="191"/>
  <c r="S21" i="203"/>
  <c r="R21" i="203"/>
  <c r="Q21" i="203"/>
  <c r="EC62" i="192"/>
  <c r="EN22" i="192" s="1"/>
  <c r="GK54" i="193"/>
  <c r="EX14" i="193"/>
  <c r="FB14" i="193"/>
  <c r="EZ14" i="193"/>
  <c r="BY14" i="193"/>
  <c r="EM37" i="192"/>
  <c r="DQ79" i="192"/>
  <c r="DO79" i="192"/>
  <c r="BY23" i="191"/>
  <c r="FB23" i="191"/>
  <c r="FA23" i="191" s="1"/>
  <c r="EZ23" i="191"/>
  <c r="GK63" i="191"/>
  <c r="EX23" i="191"/>
  <c r="EM27" i="193"/>
  <c r="AZ45" i="199"/>
  <c r="AP45" i="199"/>
  <c r="AU45" i="199"/>
  <c r="EC56" i="193"/>
  <c r="EN16" i="193" s="1"/>
  <c r="EL16" i="193"/>
  <c r="CH39" i="197"/>
  <c r="EU39" i="200"/>
  <c r="EJ98" i="200"/>
  <c r="EL98" i="200" s="1"/>
  <c r="ES39" i="200"/>
  <c r="CS39" i="200"/>
  <c r="DR39" i="200"/>
  <c r="CR39" i="200"/>
  <c r="DQ39" i="200"/>
  <c r="ET39" i="200"/>
  <c r="S35" i="205"/>
  <c r="R35" i="205"/>
  <c r="Q35" i="205"/>
  <c r="DY84" i="192"/>
  <c r="DW84" i="192"/>
  <c r="P24" i="196"/>
  <c r="O24" i="196"/>
  <c r="N24" i="196"/>
  <c r="CI44" i="197"/>
  <c r="CJ43" i="201"/>
  <c r="X43" i="201"/>
  <c r="CJ23" i="199"/>
  <c r="X23" i="199"/>
  <c r="O27" i="200"/>
  <c r="N27" i="200"/>
  <c r="P27" i="200"/>
  <c r="DW82" i="193"/>
  <c r="DY82" i="193"/>
  <c r="CJ38" i="200"/>
  <c r="X38" i="200"/>
  <c r="EJ25" i="200"/>
  <c r="CH25" i="200" s="1"/>
  <c r="EH25" i="200"/>
  <c r="GL43" i="200"/>
  <c r="EV42" i="202"/>
  <c r="CH42" i="202"/>
  <c r="AU57" i="203"/>
  <c r="AP57" i="203"/>
  <c r="AZ57" i="203" s="1"/>
  <c r="EJ88" i="205"/>
  <c r="EL88" i="205" s="1"/>
  <c r="EU29" i="205"/>
  <c r="DQ29" i="205"/>
  <c r="CR29" i="205"/>
  <c r="ES29" i="205"/>
  <c r="CS29" i="205"/>
  <c r="DR29" i="205"/>
  <c r="ET29" i="205"/>
  <c r="EH17" i="206"/>
  <c r="CI21" i="204"/>
  <c r="EO29" i="205"/>
  <c r="EH40" i="206"/>
  <c r="EU16" i="207"/>
  <c r="EJ75" i="207"/>
  <c r="EL75" i="207" s="1"/>
  <c r="DR16" i="207"/>
  <c r="CS16" i="207"/>
  <c r="EO16" i="207"/>
  <c r="DQ16" i="207"/>
  <c r="CR16" i="207"/>
  <c r="ES16" i="207"/>
  <c r="ET16" i="207"/>
  <c r="EH16" i="207"/>
  <c r="EI16" i="207"/>
  <c r="EP16" i="207"/>
  <c r="EJ35" i="206"/>
  <c r="EH35" i="206"/>
  <c r="CI36" i="207"/>
  <c r="EI22" i="207"/>
  <c r="EJ83" i="208"/>
  <c r="EL83" i="208" s="1"/>
  <c r="EU24" i="208"/>
  <c r="ES24" i="208"/>
  <c r="DR24" i="208"/>
  <c r="CR24" i="208"/>
  <c r="DQ24" i="208"/>
  <c r="CS24" i="208"/>
  <c r="ET24" i="208"/>
  <c r="GL42" i="208"/>
  <c r="GM42" i="208" s="1"/>
  <c r="EM39" i="192"/>
  <c r="CI24" i="198"/>
  <c r="EO36" i="197"/>
  <c r="EV37" i="198"/>
  <c r="CJ37" i="198" s="1"/>
  <c r="GL40" i="193"/>
  <c r="GM40" i="193" s="1"/>
  <c r="CI37" i="199"/>
  <c r="CH27" i="198"/>
  <c r="DQ17" i="204"/>
  <c r="CR17" i="204"/>
  <c r="ET17" i="204"/>
  <c r="CS17" i="204"/>
  <c r="EU17" i="204"/>
  <c r="EJ76" i="204"/>
  <c r="EL76" i="204" s="1"/>
  <c r="DR17" i="204"/>
  <c r="ES17" i="204"/>
  <c r="CI17" i="200"/>
  <c r="CI38" i="197"/>
  <c r="R38" i="205"/>
  <c r="S38" i="205"/>
  <c r="Q38" i="205"/>
  <c r="EO41" i="201"/>
  <c r="EU33" i="199"/>
  <c r="DR33" i="199"/>
  <c r="CS33" i="199"/>
  <c r="DQ33" i="199"/>
  <c r="CR33" i="199"/>
  <c r="EO33" i="199"/>
  <c r="EJ92" i="199"/>
  <c r="EL92" i="199" s="1"/>
  <c r="ES33" i="199"/>
  <c r="EP33" i="199"/>
  <c r="ET33" i="199"/>
  <c r="CI45" i="205"/>
  <c r="EP19" i="203"/>
  <c r="EI25" i="204"/>
  <c r="EJ82" i="202"/>
  <c r="EL82" i="202" s="1"/>
  <c r="DR23" i="202"/>
  <c r="CS23" i="202"/>
  <c r="DQ23" i="202"/>
  <c r="CR23" i="202"/>
  <c r="EU23" i="202"/>
  <c r="EH23" i="202"/>
  <c r="EO23" i="202"/>
  <c r="EI23" i="202"/>
  <c r="EP23" i="202"/>
  <c r="ES23" i="202"/>
  <c r="ET23" i="202"/>
  <c r="CH40" i="205"/>
  <c r="EI33" i="206"/>
  <c r="AZ25" i="206"/>
  <c r="AU25" i="206"/>
  <c r="AP25" i="206"/>
  <c r="DO73" i="191"/>
  <c r="DQ73" i="191"/>
  <c r="DY79" i="191"/>
  <c r="EC79" i="191" s="1"/>
  <c r="EN39" i="191" s="1"/>
  <c r="DW79" i="191"/>
  <c r="P28" i="198"/>
  <c r="O28" i="198"/>
  <c r="N28" i="198"/>
  <c r="GK78" i="192"/>
  <c r="FB38" i="192"/>
  <c r="FA38" i="192" s="1"/>
  <c r="BY38" i="192"/>
  <c r="EZ38" i="192"/>
  <c r="EX38" i="192"/>
  <c r="DV77" i="193"/>
  <c r="DX77" i="193"/>
  <c r="CH36" i="197"/>
  <c r="X32" i="200"/>
  <c r="CJ32" i="200"/>
  <c r="S16" i="200"/>
  <c r="R16" i="200"/>
  <c r="Q16" i="200"/>
  <c r="EJ18" i="199"/>
  <c r="CH18" i="199" s="1"/>
  <c r="EV34" i="196"/>
  <c r="CH34" i="196"/>
  <c r="P39" i="197"/>
  <c r="O39" i="197"/>
  <c r="N39" i="197"/>
  <c r="N35" i="200"/>
  <c r="P35" i="200"/>
  <c r="O35" i="200"/>
  <c r="DR42" i="205"/>
  <c r="M42" i="205" s="1"/>
  <c r="CS42" i="205"/>
  <c r="DQ42" i="205"/>
  <c r="L42" i="205" s="1"/>
  <c r="CR42" i="205"/>
  <c r="EL101" i="205"/>
  <c r="EU42" i="205"/>
  <c r="ES42" i="205"/>
  <c r="EJ101" i="205"/>
  <c r="ET42" i="205"/>
  <c r="EH42" i="205"/>
  <c r="EI42" i="205"/>
  <c r="DR43" i="200"/>
  <c r="M43" i="200" s="1"/>
  <c r="CS43" i="200"/>
  <c r="ET43" i="200"/>
  <c r="EJ102" i="200"/>
  <c r="CR43" i="200"/>
  <c r="DQ43" i="200"/>
  <c r="L43" i="200" s="1"/>
  <c r="EU43" i="200"/>
  <c r="EL102" i="200"/>
  <c r="ES43" i="200"/>
  <c r="EH43" i="200"/>
  <c r="EI43" i="200"/>
  <c r="EJ84" i="202"/>
  <c r="DQ25" i="202"/>
  <c r="CR25" i="202"/>
  <c r="EU25" i="202"/>
  <c r="DR25" i="202"/>
  <c r="CS25" i="202"/>
  <c r="EO25" i="202"/>
  <c r="EP25" i="202"/>
  <c r="ES25" i="202"/>
  <c r="ET25" i="202"/>
  <c r="EL84" i="202"/>
  <c r="W29" i="203"/>
  <c r="V29" i="203"/>
  <c r="AT29" i="203" s="1"/>
  <c r="AZ18" i="203"/>
  <c r="AU18" i="203"/>
  <c r="AP18" i="203"/>
  <c r="CI39" i="203"/>
  <c r="CH33" i="205"/>
  <c r="DR28" i="204"/>
  <c r="CS28" i="204"/>
  <c r="DQ28" i="204"/>
  <c r="CR28" i="204"/>
  <c r="EJ87" i="204"/>
  <c r="EL87" i="204" s="1"/>
  <c r="EU28" i="204"/>
  <c r="ES28" i="204"/>
  <c r="EO28" i="204"/>
  <c r="EH28" i="204"/>
  <c r="ET28" i="204"/>
  <c r="EI28" i="204"/>
  <c r="EP28" i="204"/>
  <c r="CH24" i="207"/>
  <c r="EJ96" i="207"/>
  <c r="EL96" i="207" s="1"/>
  <c r="DR37" i="207"/>
  <c r="CS37" i="207"/>
  <c r="EU37" i="207"/>
  <c r="DQ37" i="207"/>
  <c r="ES37" i="207"/>
  <c r="CR37" i="207"/>
  <c r="EH37" i="207"/>
  <c r="EI37" i="207"/>
  <c r="ET37" i="207"/>
  <c r="CJ45" i="208"/>
  <c r="X45" i="208"/>
  <c r="S40" i="200"/>
  <c r="R40" i="200"/>
  <c r="Q40" i="200"/>
  <c r="CH39" i="205"/>
  <c r="EJ76" i="202"/>
  <c r="DQ17" i="202"/>
  <c r="CR17" i="202"/>
  <c r="CS17" i="202"/>
  <c r="EU17" i="202"/>
  <c r="ET17" i="202"/>
  <c r="DR17" i="202"/>
  <c r="EO17" i="202"/>
  <c r="EL76" i="202"/>
  <c r="EP17" i="202"/>
  <c r="ES17" i="202"/>
  <c r="EV23" i="204"/>
  <c r="CJ23" i="204" s="1"/>
  <c r="EH29" i="206"/>
  <c r="CH45" i="208"/>
  <c r="DR65" i="193"/>
  <c r="EC65" i="193" s="1"/>
  <c r="EN25" i="193" s="1"/>
  <c r="DP65" i="193"/>
  <c r="DP55" i="192"/>
  <c r="DR55" i="192"/>
  <c r="EC55" i="192" s="1"/>
  <c r="EN15" i="192" s="1"/>
  <c r="AR43" i="201"/>
  <c r="CH39" i="198"/>
  <c r="AU30" i="197"/>
  <c r="AP30" i="197"/>
  <c r="AZ30" i="197"/>
  <c r="CI42" i="198"/>
  <c r="AZ22" i="199"/>
  <c r="EI26" i="205"/>
  <c r="EK26" i="205"/>
  <c r="EV26" i="205" s="1"/>
  <c r="CJ41" i="205"/>
  <c r="X41" i="205"/>
  <c r="AZ23" i="208"/>
  <c r="DO60" i="192"/>
  <c r="DQ60" i="192"/>
  <c r="EJ81" i="197"/>
  <c r="EU22" i="197"/>
  <c r="ES22" i="197"/>
  <c r="DR22" i="197"/>
  <c r="CS22" i="197"/>
  <c r="EO22" i="197"/>
  <c r="CR22" i="197"/>
  <c r="DQ22" i="197"/>
  <c r="EP22" i="197"/>
  <c r="EL81" i="197"/>
  <c r="ET22" i="197"/>
  <c r="CH38" i="196"/>
  <c r="CI22" i="199"/>
  <c r="CI34" i="202"/>
  <c r="EV31" i="196"/>
  <c r="CH31" i="196"/>
  <c r="CI45" i="200"/>
  <c r="EU38" i="197"/>
  <c r="EJ97" i="197"/>
  <c r="EL97" i="197" s="1"/>
  <c r="ES38" i="197"/>
  <c r="CS38" i="197"/>
  <c r="DQ38" i="197"/>
  <c r="DR38" i="197"/>
  <c r="CR38" i="197"/>
  <c r="ET38" i="197"/>
  <c r="EJ80" i="205"/>
  <c r="EL80" i="205" s="1"/>
  <c r="EU21" i="205"/>
  <c r="DQ21" i="205"/>
  <c r="CR21" i="205"/>
  <c r="CS21" i="205"/>
  <c r="DR21" i="205"/>
  <c r="ES21" i="205"/>
  <c r="ET21" i="205"/>
  <c r="O38" i="199"/>
  <c r="N38" i="199"/>
  <c r="P38" i="199"/>
  <c r="W32" i="200"/>
  <c r="V32" i="200"/>
  <c r="AT32" i="200" s="1"/>
  <c r="CI36" i="203"/>
  <c r="DR30" i="201"/>
  <c r="CS30" i="201"/>
  <c r="EU30" i="201"/>
  <c r="EL89" i="201"/>
  <c r="EJ89" i="201"/>
  <c r="DQ30" i="201"/>
  <c r="ET30" i="201"/>
  <c r="CR30" i="201"/>
  <c r="EI30" i="201"/>
  <c r="EH30" i="201"/>
  <c r="EO30" i="201"/>
  <c r="ES30" i="201"/>
  <c r="EP30" i="201"/>
  <c r="EK32" i="198"/>
  <c r="EV32" i="198" s="1"/>
  <c r="EI32" i="198"/>
  <c r="EI36" i="199"/>
  <c r="EJ24" i="200"/>
  <c r="EH24" i="200"/>
  <c r="CJ16" i="204"/>
  <c r="X16" i="204"/>
  <c r="EP40" i="205"/>
  <c r="AU16" i="203"/>
  <c r="AP16" i="203"/>
  <c r="AZ16" i="203"/>
  <c r="EJ77" i="206"/>
  <c r="EL77" i="206"/>
  <c r="DR18" i="206"/>
  <c r="CS18" i="206"/>
  <c r="CR18" i="206"/>
  <c r="DQ18" i="206"/>
  <c r="EU18" i="206"/>
  <c r="ET18" i="206"/>
  <c r="ES18" i="206"/>
  <c r="EP37" i="207"/>
  <c r="CI35" i="208"/>
  <c r="CI32" i="208"/>
  <c r="EM36" i="193"/>
  <c r="DO69" i="191"/>
  <c r="DQ69" i="191"/>
  <c r="W26" i="199"/>
  <c r="V26" i="199"/>
  <c r="AT26" i="199" s="1"/>
  <c r="CH38" i="201"/>
  <c r="GM42" i="192"/>
  <c r="FX56" i="193"/>
  <c r="BV38" i="192"/>
  <c r="CI43" i="200"/>
  <c r="DQ58" i="193"/>
  <c r="DO58" i="193"/>
  <c r="EO20" i="197"/>
  <c r="AZ36" i="198"/>
  <c r="N43" i="203"/>
  <c r="P43" i="203"/>
  <c r="O43" i="203"/>
  <c r="DY66" i="193"/>
  <c r="DW66" i="193"/>
  <c r="DR34" i="198"/>
  <c r="CS34" i="198"/>
  <c r="DQ34" i="198"/>
  <c r="CR34" i="198"/>
  <c r="EJ93" i="198"/>
  <c r="EL93" i="198" s="1"/>
  <c r="EU34" i="198"/>
  <c r="EO34" i="198"/>
  <c r="ET34" i="198"/>
  <c r="EP34" i="198"/>
  <c r="ES34" i="198"/>
  <c r="EH34" i="198"/>
  <c r="EI34" i="198"/>
  <c r="AZ38" i="200"/>
  <c r="EU43" i="197"/>
  <c r="EJ102" i="197"/>
  <c r="EO43" i="197"/>
  <c r="DR43" i="197"/>
  <c r="M43" i="197" s="1"/>
  <c r="CS43" i="197"/>
  <c r="CR43" i="197"/>
  <c r="EP43" i="197"/>
  <c r="DQ43" i="197"/>
  <c r="L43" i="197" s="1"/>
  <c r="ES43" i="197"/>
  <c r="ET43" i="197"/>
  <c r="EL102" i="197"/>
  <c r="CI25" i="200"/>
  <c r="GL44" i="204"/>
  <c r="GM44" i="204" s="1"/>
  <c r="EH36" i="201"/>
  <c r="EI37" i="205"/>
  <c r="CI26" i="204"/>
  <c r="EJ80" i="206"/>
  <c r="EU21" i="206"/>
  <c r="DR21" i="206"/>
  <c r="CS21" i="206"/>
  <c r="EO21" i="206"/>
  <c r="CR21" i="206"/>
  <c r="DQ21" i="206"/>
  <c r="EP21" i="206"/>
  <c r="EL80" i="206"/>
  <c r="ES21" i="206"/>
  <c r="EH21" i="206"/>
  <c r="ET21" i="206"/>
  <c r="EI21" i="206"/>
  <c r="EH34" i="205"/>
  <c r="CH18" i="204"/>
  <c r="EI29" i="206"/>
  <c r="P20" i="206"/>
  <c r="O20" i="206"/>
  <c r="N20" i="206"/>
  <c r="EJ31" i="205"/>
  <c r="CH31" i="205" s="1"/>
  <c r="EH31" i="205"/>
  <c r="CJ36" i="206"/>
  <c r="X36" i="206"/>
  <c r="EV42" i="207"/>
  <c r="EM42" i="191"/>
  <c r="X24" i="197"/>
  <c r="CJ24" i="197"/>
  <c r="CH25" i="202"/>
  <c r="AZ36" i="200"/>
  <c r="AU36" i="200"/>
  <c r="AP36" i="200"/>
  <c r="DR19" i="204"/>
  <c r="CS19" i="204"/>
  <c r="DQ19" i="204"/>
  <c r="CR19" i="204"/>
  <c r="EL78" i="204"/>
  <c r="EU19" i="204"/>
  <c r="ET19" i="204"/>
  <c r="EJ78" i="204"/>
  <c r="ES19" i="204"/>
  <c r="EV43" i="203"/>
  <c r="W30" i="205"/>
  <c r="V30" i="205"/>
  <c r="AT30" i="205" s="1"/>
  <c r="GM45" i="207"/>
  <c r="DP82" i="192"/>
  <c r="DR82" i="192"/>
  <c r="AZ24" i="196"/>
  <c r="X29" i="198"/>
  <c r="CJ29" i="198"/>
  <c r="CH16" i="199"/>
  <c r="EH17" i="202"/>
  <c r="EO41" i="200"/>
  <c r="CH38" i="203"/>
  <c r="CH26" i="207"/>
  <c r="CJ45" i="207"/>
  <c r="X45" i="207"/>
  <c r="P40" i="207"/>
  <c r="O40" i="207"/>
  <c r="N40" i="207"/>
  <c r="AZ40" i="208"/>
  <c r="AU40" i="208"/>
  <c r="AP40" i="208"/>
  <c r="P19" i="199"/>
  <c r="O19" i="199"/>
  <c r="N19" i="199"/>
  <c r="O20" i="199"/>
  <c r="N20" i="199"/>
  <c r="P20" i="199"/>
  <c r="DR39" i="196"/>
  <c r="M39" i="196" s="1"/>
  <c r="CS39" i="196"/>
  <c r="DQ39" i="196"/>
  <c r="L39" i="196" s="1"/>
  <c r="CR39" i="196"/>
  <c r="EU39" i="196"/>
  <c r="ET39" i="196"/>
  <c r="EH39" i="196"/>
  <c r="EP39" i="196"/>
  <c r="ES39" i="196"/>
  <c r="EI39" i="196"/>
  <c r="DW70" i="192"/>
  <c r="DY70" i="192"/>
  <c r="W30" i="203"/>
  <c r="V30" i="203"/>
  <c r="AT30" i="203" s="1"/>
  <c r="ER16" i="203"/>
  <c r="EV16" i="203" s="1"/>
  <c r="CJ16" i="203" s="1"/>
  <c r="EP16" i="203"/>
  <c r="CJ18" i="207"/>
  <c r="X18" i="207"/>
  <c r="X31" i="208"/>
  <c r="CJ31" i="208"/>
  <c r="EJ19" i="197"/>
  <c r="CH19" i="197" s="1"/>
  <c r="EH19" i="197"/>
  <c r="EK20" i="200"/>
  <c r="EV20" i="200" s="1"/>
  <c r="EI20" i="200"/>
  <c r="X25" i="206"/>
  <c r="CJ25" i="206"/>
  <c r="U34" i="197"/>
  <c r="T34" i="197"/>
  <c r="AR34" i="197" s="1"/>
  <c r="GM43" i="199"/>
  <c r="S37" i="203"/>
  <c r="R37" i="203"/>
  <c r="Q37" i="203"/>
  <c r="U30" i="206"/>
  <c r="T30" i="206"/>
  <c r="EV32" i="208"/>
  <c r="CJ32" i="208" s="1"/>
  <c r="EV36" i="208"/>
  <c r="AS44" i="201"/>
  <c r="AQ44" i="201"/>
  <c r="AM44" i="201"/>
  <c r="AL44" i="201"/>
  <c r="AO44" i="201"/>
  <c r="AN44" i="201"/>
  <c r="AJ44" i="201"/>
  <c r="DY81" i="193"/>
  <c r="DW81" i="193"/>
  <c r="DR31" i="199"/>
  <c r="CS31" i="199"/>
  <c r="DQ31" i="199"/>
  <c r="EU31" i="199"/>
  <c r="ET31" i="199"/>
  <c r="ES31" i="199"/>
  <c r="EJ90" i="199"/>
  <c r="CR31" i="199"/>
  <c r="EH31" i="199"/>
  <c r="EI31" i="199"/>
  <c r="EL90" i="199"/>
  <c r="W22" i="206"/>
  <c r="V22" i="206"/>
  <c r="V42" i="208"/>
  <c r="W42" i="208"/>
  <c r="T27" i="197"/>
  <c r="U27" i="197"/>
  <c r="EP33" i="197"/>
  <c r="ER33" i="197"/>
  <c r="EV33" i="197" s="1"/>
  <c r="CJ27" i="200"/>
  <c r="X27" i="200"/>
  <c r="V30" i="206"/>
  <c r="W30" i="206"/>
  <c r="EJ22" i="197"/>
  <c r="CH22" i="197" s="1"/>
  <c r="EH22" i="197"/>
  <c r="V29" i="204"/>
  <c r="AT29" i="204" s="1"/>
  <c r="W29" i="204"/>
  <c r="CJ43" i="206"/>
  <c r="X43" i="206"/>
  <c r="S29" i="204"/>
  <c r="Q29" i="204"/>
  <c r="R29" i="204"/>
  <c r="U43" i="192"/>
  <c r="V43" i="192"/>
  <c r="DX82" i="192"/>
  <c r="EM42" i="192" s="1"/>
  <c r="DV82" i="192"/>
  <c r="CJ37" i="199"/>
  <c r="X37" i="199"/>
  <c r="DX76" i="192"/>
  <c r="EM36" i="192" s="1"/>
  <c r="DV76" i="192"/>
  <c r="U39" i="196"/>
  <c r="T39" i="196"/>
  <c r="AR39" i="196" s="1"/>
  <c r="EO36" i="196"/>
  <c r="EQ36" i="196"/>
  <c r="EU37" i="197"/>
  <c r="DR37" i="197"/>
  <c r="CS37" i="197"/>
  <c r="DQ37" i="197"/>
  <c r="CR37" i="197"/>
  <c r="EJ96" i="197"/>
  <c r="EL96" i="197" s="1"/>
  <c r="ET37" i="197"/>
  <c r="ES37" i="197"/>
  <c r="EV42" i="199"/>
  <c r="CH42" i="199"/>
  <c r="EV31" i="201"/>
  <c r="CJ31" i="201" s="1"/>
  <c r="EK37" i="197"/>
  <c r="EV37" i="197" s="1"/>
  <c r="EI37" i="197"/>
  <c r="EK41" i="201"/>
  <c r="EV41" i="201" s="1"/>
  <c r="EI41" i="201"/>
  <c r="EV17" i="205"/>
  <c r="CJ17" i="205" s="1"/>
  <c r="X18" i="205"/>
  <c r="CJ18" i="205"/>
  <c r="EJ102" i="205"/>
  <c r="DQ43" i="205"/>
  <c r="L43" i="205" s="1"/>
  <c r="CR43" i="205"/>
  <c r="EU43" i="205"/>
  <c r="CS43" i="205"/>
  <c r="EI43" i="205"/>
  <c r="DR43" i="205"/>
  <c r="M43" i="205" s="1"/>
  <c r="EO43" i="205"/>
  <c r="EP43" i="205"/>
  <c r="ET43" i="205"/>
  <c r="EL102" i="205"/>
  <c r="ES43" i="205"/>
  <c r="U32" i="205"/>
  <c r="T32" i="205"/>
  <c r="AR32" i="205" s="1"/>
  <c r="CJ33" i="207"/>
  <c r="X33" i="207"/>
  <c r="EH28" i="207"/>
  <c r="EJ28" i="207"/>
  <c r="AQ42" i="207"/>
  <c r="AO42" i="207"/>
  <c r="AN42" i="207"/>
  <c r="AL42" i="207"/>
  <c r="AM42" i="207"/>
  <c r="AS42" i="207"/>
  <c r="AJ42" i="207"/>
  <c r="EJ81" i="208"/>
  <c r="EL81" i="208" s="1"/>
  <c r="EU22" i="208"/>
  <c r="DR22" i="208"/>
  <c r="CR22" i="208"/>
  <c r="DQ22" i="208"/>
  <c r="ET22" i="208"/>
  <c r="CS22" i="208"/>
  <c r="EH22" i="208"/>
  <c r="ES22" i="208"/>
  <c r="EI22" i="208"/>
  <c r="EJ34" i="208"/>
  <c r="AP43" i="208"/>
  <c r="AZ43" i="208"/>
  <c r="AU43" i="208"/>
  <c r="DW85" i="193"/>
  <c r="DY85" i="193"/>
  <c r="T40" i="201"/>
  <c r="AR40" i="201" s="1"/>
  <c r="U40" i="201"/>
  <c r="W23" i="199"/>
  <c r="V23" i="199"/>
  <c r="AT23" i="199" s="1"/>
  <c r="U38" i="206"/>
  <c r="T38" i="206"/>
  <c r="AR38" i="206" s="1"/>
  <c r="CH38" i="202"/>
  <c r="DR61" i="193"/>
  <c r="EC61" i="193" s="1"/>
  <c r="EN21" i="193" s="1"/>
  <c r="DP61" i="193"/>
  <c r="X38" i="196"/>
  <c r="CJ38" i="196"/>
  <c r="U22" i="201"/>
  <c r="T22" i="201"/>
  <c r="AR22" i="201" s="1"/>
  <c r="DY59" i="192"/>
  <c r="EC59" i="192" s="1"/>
  <c r="EN19" i="192" s="1"/>
  <c r="DW59" i="192"/>
  <c r="CH17" i="199"/>
  <c r="U37" i="196"/>
  <c r="T37" i="196"/>
  <c r="W26" i="203"/>
  <c r="V26" i="203"/>
  <c r="AT26" i="203" s="1"/>
  <c r="O23" i="199"/>
  <c r="N23" i="199"/>
  <c r="P23" i="199"/>
  <c r="EU22" i="202"/>
  <c r="DR22" i="202"/>
  <c r="CS22" i="202"/>
  <c r="DQ22" i="202"/>
  <c r="CR22" i="202"/>
  <c r="EJ81" i="202"/>
  <c r="EL81" i="202" s="1"/>
  <c r="ET22" i="202"/>
  <c r="ES22" i="202"/>
  <c r="EI23" i="206"/>
  <c r="U19" i="203"/>
  <c r="T19" i="203"/>
  <c r="AR19" i="203" s="1"/>
  <c r="P17" i="205"/>
  <c r="O17" i="205"/>
  <c r="N17" i="205"/>
  <c r="CH25" i="206"/>
  <c r="X38" i="208"/>
  <c r="CJ38" i="208"/>
  <c r="U39" i="208"/>
  <c r="T39" i="208"/>
  <c r="AR39" i="208" s="1"/>
  <c r="V26" i="208"/>
  <c r="W26" i="208"/>
  <c r="W21" i="200"/>
  <c r="V21" i="200"/>
  <c r="EU34" i="196"/>
  <c r="CS34" i="196"/>
  <c r="DR34" i="196"/>
  <c r="CR34" i="196"/>
  <c r="ES34" i="196"/>
  <c r="EH34" i="196"/>
  <c r="DQ34" i="196"/>
  <c r="ET34" i="196"/>
  <c r="U40" i="198"/>
  <c r="T40" i="198"/>
  <c r="EP40" i="199"/>
  <c r="X23" i="207"/>
  <c r="CJ23" i="207"/>
  <c r="W34" i="204"/>
  <c r="V34" i="204"/>
  <c r="AT34" i="204" s="1"/>
  <c r="EP22" i="204"/>
  <c r="EJ90" i="206"/>
  <c r="EL90" i="206" s="1"/>
  <c r="EU31" i="206"/>
  <c r="DR31" i="206"/>
  <c r="CS31" i="206"/>
  <c r="DQ31" i="206"/>
  <c r="EP31" i="206"/>
  <c r="CR31" i="206"/>
  <c r="EO31" i="206"/>
  <c r="ES31" i="206"/>
  <c r="ET31" i="206"/>
  <c r="EJ44" i="207"/>
  <c r="EH44" i="207"/>
  <c r="EM32" i="191"/>
  <c r="EV25" i="199"/>
  <c r="CJ25" i="199" s="1"/>
  <c r="DV75" i="191"/>
  <c r="DX75" i="191"/>
  <c r="EM35" i="191" s="1"/>
  <c r="U42" i="201"/>
  <c r="T42" i="201"/>
  <c r="DR40" i="202"/>
  <c r="CS40" i="202"/>
  <c r="DQ40" i="202"/>
  <c r="CR40" i="202"/>
  <c r="EJ99" i="202"/>
  <c r="EL99" i="202" s="1"/>
  <c r="EU40" i="202"/>
  <c r="ES40" i="202"/>
  <c r="ET40" i="202"/>
  <c r="EP40" i="202"/>
  <c r="W40" i="199"/>
  <c r="V40" i="199"/>
  <c r="AT40" i="199" s="1"/>
  <c r="V21" i="202"/>
  <c r="W21" i="202"/>
  <c r="EV19" i="204"/>
  <c r="CJ19" i="204" s="1"/>
  <c r="T39" i="204"/>
  <c r="U39" i="204"/>
  <c r="CH22" i="204"/>
  <c r="GK66" i="193"/>
  <c r="EX26" i="193"/>
  <c r="FB26" i="193"/>
  <c r="FA26" i="193" s="1"/>
  <c r="BY26" i="193"/>
  <c r="EZ26" i="193"/>
  <c r="DR79" i="192"/>
  <c r="DP79" i="192"/>
  <c r="DQ69" i="193"/>
  <c r="DO69" i="193"/>
  <c r="DW63" i="193"/>
  <c r="DY63" i="193"/>
  <c r="DY64" i="192"/>
  <c r="EC64" i="192" s="1"/>
  <c r="EN24" i="192" s="1"/>
  <c r="DW64" i="192"/>
  <c r="EC71" i="193"/>
  <c r="EN31" i="193" s="1"/>
  <c r="W41" i="197"/>
  <c r="V41" i="197"/>
  <c r="AT41" i="197" s="1"/>
  <c r="EJ75" i="205"/>
  <c r="DR16" i="205"/>
  <c r="CS16" i="205"/>
  <c r="CR16" i="205"/>
  <c r="EU16" i="205"/>
  <c r="DQ16" i="205"/>
  <c r="ET16" i="205"/>
  <c r="EO16" i="205"/>
  <c r="ES16" i="205"/>
  <c r="EL75" i="205"/>
  <c r="EP16" i="205"/>
  <c r="U26" i="196"/>
  <c r="T26" i="196"/>
  <c r="N35" i="205"/>
  <c r="P35" i="205"/>
  <c r="O35" i="205"/>
  <c r="DX84" i="192"/>
  <c r="DV84" i="192"/>
  <c r="DX82" i="193"/>
  <c r="DV82" i="193"/>
  <c r="U31" i="200"/>
  <c r="T31" i="200"/>
  <c r="U44" i="203"/>
  <c r="T44" i="203"/>
  <c r="AR44" i="203" s="1"/>
  <c r="X20" i="205"/>
  <c r="CJ20" i="205"/>
  <c r="U37" i="203"/>
  <c r="T37" i="203"/>
  <c r="AR37" i="203" s="1"/>
  <c r="CJ27" i="203"/>
  <c r="X27" i="203"/>
  <c r="GM41" i="205"/>
  <c r="U17" i="206"/>
  <c r="T17" i="206"/>
  <c r="AR17" i="206" s="1"/>
  <c r="EK35" i="206"/>
  <c r="EV35" i="206" s="1"/>
  <c r="EI35" i="206"/>
  <c r="EV22" i="207"/>
  <c r="EJ98" i="207"/>
  <c r="EU39" i="207"/>
  <c r="DQ39" i="207"/>
  <c r="CS39" i="207"/>
  <c r="CR39" i="207"/>
  <c r="DR39" i="207"/>
  <c r="ES39" i="207"/>
  <c r="EL98" i="207"/>
  <c r="ET39" i="207"/>
  <c r="N41" i="207"/>
  <c r="P41" i="207"/>
  <c r="O41" i="207"/>
  <c r="W33" i="208"/>
  <c r="V33" i="208"/>
  <c r="AT33" i="208" s="1"/>
  <c r="X37" i="208"/>
  <c r="CJ37" i="208"/>
  <c r="V38" i="208"/>
  <c r="AT38" i="208" s="1"/>
  <c r="W38" i="208"/>
  <c r="P33" i="198"/>
  <c r="O33" i="198"/>
  <c r="N33" i="198"/>
  <c r="DY83" i="191"/>
  <c r="EC83" i="191" s="1"/>
  <c r="EN43" i="191" s="1"/>
  <c r="DW83" i="191"/>
  <c r="AZ42" i="197"/>
  <c r="AU42" i="197"/>
  <c r="AP42" i="197"/>
  <c r="U40" i="199"/>
  <c r="T40" i="199"/>
  <c r="AR40" i="199" s="1"/>
  <c r="EV41" i="198"/>
  <c r="U28" i="202"/>
  <c r="T28" i="202"/>
  <c r="CH20" i="205"/>
  <c r="EV25" i="204"/>
  <c r="CH45" i="204"/>
  <c r="EM31" i="193"/>
  <c r="EX27" i="193"/>
  <c r="DR73" i="191"/>
  <c r="EC73" i="191" s="1"/>
  <c r="EN33" i="191" s="1"/>
  <c r="DP73" i="191"/>
  <c r="DV79" i="191"/>
  <c r="DX79" i="191"/>
  <c r="DW77" i="193"/>
  <c r="DY77" i="193"/>
  <c r="X38" i="198"/>
  <c r="CJ38" i="198"/>
  <c r="EH23" i="200"/>
  <c r="W23" i="201"/>
  <c r="V23" i="201"/>
  <c r="S39" i="197"/>
  <c r="R39" i="197"/>
  <c r="Q39" i="197"/>
  <c r="S35" i="200"/>
  <c r="R35" i="200"/>
  <c r="Q35" i="200"/>
  <c r="EH25" i="204"/>
  <c r="V45" i="206"/>
  <c r="AT45" i="206" s="1"/>
  <c r="W45" i="206"/>
  <c r="EJ42" i="206"/>
  <c r="EH42" i="206"/>
  <c r="EC72" i="192"/>
  <c r="EN32" i="192" s="1"/>
  <c r="DX72" i="193"/>
  <c r="EM32" i="193" s="1"/>
  <c r="DV72" i="193"/>
  <c r="CI40" i="198"/>
  <c r="EU34" i="197"/>
  <c r="EJ93" i="197"/>
  <c r="ES34" i="197"/>
  <c r="CS34" i="197"/>
  <c r="CR34" i="197"/>
  <c r="DR34" i="197"/>
  <c r="DQ34" i="197"/>
  <c r="EL93" i="197"/>
  <c r="EP34" i="197"/>
  <c r="ET34" i="197"/>
  <c r="EO34" i="197"/>
  <c r="CH35" i="196"/>
  <c r="EV41" i="203"/>
  <c r="EJ91" i="200"/>
  <c r="EL91" i="200" s="1"/>
  <c r="DR32" i="200"/>
  <c r="CS32" i="200"/>
  <c r="CR32" i="200"/>
  <c r="DQ32" i="200"/>
  <c r="EU32" i="200"/>
  <c r="EP32" i="200"/>
  <c r="ET32" i="200"/>
  <c r="ES32" i="200"/>
  <c r="EO32" i="200"/>
  <c r="T29" i="206"/>
  <c r="AR29" i="206" s="1"/>
  <c r="U29" i="206"/>
  <c r="AU32" i="206"/>
  <c r="AZ32" i="206"/>
  <c r="AP32" i="206"/>
  <c r="X40" i="208"/>
  <c r="CJ40" i="208"/>
  <c r="DQ65" i="193"/>
  <c r="DO65" i="193"/>
  <c r="DQ55" i="192"/>
  <c r="DO55" i="192"/>
  <c r="DR27" i="196"/>
  <c r="CS27" i="196"/>
  <c r="DQ27" i="196"/>
  <c r="CR27" i="196"/>
  <c r="EU27" i="196"/>
  <c r="ET27" i="196"/>
  <c r="EP27" i="196"/>
  <c r="ES27" i="196"/>
  <c r="EH27" i="196"/>
  <c r="EO27" i="196"/>
  <c r="EI27" i="196"/>
  <c r="GM43" i="192"/>
  <c r="EU32" i="196"/>
  <c r="DR32" i="196"/>
  <c r="CS32" i="196"/>
  <c r="CR32" i="196"/>
  <c r="DQ32" i="196"/>
  <c r="EP32" i="196"/>
  <c r="EO32" i="196"/>
  <c r="ES32" i="196"/>
  <c r="ET32" i="196"/>
  <c r="EJ35" i="203"/>
  <c r="EH35" i="203"/>
  <c r="EH26" i="205"/>
  <c r="EJ26" i="205"/>
  <c r="EJ86" i="205"/>
  <c r="EL86" i="205" s="1"/>
  <c r="DR27" i="205"/>
  <c r="CS27" i="205"/>
  <c r="DQ27" i="205"/>
  <c r="CR27" i="205"/>
  <c r="EU27" i="205"/>
  <c r="EH27" i="205"/>
  <c r="ES27" i="205"/>
  <c r="ET27" i="205"/>
  <c r="EP27" i="205"/>
  <c r="EI27" i="205"/>
  <c r="CJ38" i="201"/>
  <c r="X38" i="201"/>
  <c r="DY68" i="192"/>
  <c r="DW68" i="192"/>
  <c r="EJ82" i="197"/>
  <c r="EL82" i="197" s="1"/>
  <c r="EU23" i="197"/>
  <c r="DR23" i="197"/>
  <c r="CS23" i="197"/>
  <c r="DQ23" i="197"/>
  <c r="CR23" i="197"/>
  <c r="ET23" i="197"/>
  <c r="EI23" i="197"/>
  <c r="ES23" i="197"/>
  <c r="EO23" i="197"/>
  <c r="EH23" i="197"/>
  <c r="EJ79" i="201"/>
  <c r="DR20" i="201"/>
  <c r="CS20" i="201"/>
  <c r="DQ20" i="201"/>
  <c r="CR20" i="201"/>
  <c r="EU20" i="201"/>
  <c r="ET20" i="201"/>
  <c r="EL79" i="201"/>
  <c r="EO20" i="201"/>
  <c r="EP20" i="201"/>
  <c r="ES20" i="201"/>
  <c r="EH20" i="201"/>
  <c r="EI20" i="201"/>
  <c r="CI32" i="202"/>
  <c r="CH38" i="198"/>
  <c r="W27" i="196"/>
  <c r="V27" i="196"/>
  <c r="EJ96" i="199"/>
  <c r="DR37" i="199"/>
  <c r="CS37" i="199"/>
  <c r="DQ37" i="199"/>
  <c r="CR37" i="199"/>
  <c r="ES37" i="199"/>
  <c r="ET37" i="199"/>
  <c r="EU37" i="199"/>
  <c r="EL96" i="199"/>
  <c r="CI18" i="198"/>
  <c r="N19" i="201"/>
  <c r="P19" i="201"/>
  <c r="O19" i="201"/>
  <c r="X26" i="201"/>
  <c r="CJ26" i="201"/>
  <c r="GM41" i="193"/>
  <c r="AA15" i="196"/>
  <c r="AD47" i="196"/>
  <c r="EJ35" i="198"/>
  <c r="EH35" i="198"/>
  <c r="AQ41" i="199"/>
  <c r="AM41" i="199"/>
  <c r="AL41" i="199"/>
  <c r="AS41" i="199"/>
  <c r="AN41" i="199"/>
  <c r="AO41" i="199"/>
  <c r="AJ41" i="199"/>
  <c r="S26" i="199"/>
  <c r="R26" i="199"/>
  <c r="Q26" i="199"/>
  <c r="EK24" i="200"/>
  <c r="EV24" i="200" s="1"/>
  <c r="EI24" i="200"/>
  <c r="AO44" i="199"/>
  <c r="AN44" i="199"/>
  <c r="AS44" i="199"/>
  <c r="AJ44" i="199"/>
  <c r="AQ44" i="199"/>
  <c r="AM44" i="199"/>
  <c r="AL44" i="199"/>
  <c r="EI16" i="204"/>
  <c r="U26" i="206"/>
  <c r="T26" i="206"/>
  <c r="AR26" i="206" s="1"/>
  <c r="EU36" i="206"/>
  <c r="ES36" i="206"/>
  <c r="EJ95" i="206"/>
  <c r="EL95" i="206" s="1"/>
  <c r="CS36" i="206"/>
  <c r="DR36" i="206"/>
  <c r="CR36" i="206"/>
  <c r="DQ36" i="206"/>
  <c r="EI36" i="206"/>
  <c r="ET36" i="206"/>
  <c r="EH36" i="206"/>
  <c r="W40" i="208"/>
  <c r="V40" i="208"/>
  <c r="AT40" i="208" s="1"/>
  <c r="CH32" i="208"/>
  <c r="DR69" i="191"/>
  <c r="EC69" i="191" s="1"/>
  <c r="EN29" i="191" s="1"/>
  <c r="DP69" i="191"/>
  <c r="GB56" i="193"/>
  <c r="FZ56" i="193"/>
  <c r="U17" i="198"/>
  <c r="T17" i="198"/>
  <c r="AR17" i="198" s="1"/>
  <c r="CH30" i="198"/>
  <c r="GK58" i="193"/>
  <c r="FB18" i="193"/>
  <c r="FA18" i="193" s="1"/>
  <c r="BY18" i="193"/>
  <c r="EZ18" i="193"/>
  <c r="CI20" i="197"/>
  <c r="GL42" i="201"/>
  <c r="CH24" i="196"/>
  <c r="EH39" i="199"/>
  <c r="EN43" i="193"/>
  <c r="W43" i="193"/>
  <c r="EU35" i="198"/>
  <c r="EJ94" i="198"/>
  <c r="EL94" i="198" s="1"/>
  <c r="DQ35" i="198"/>
  <c r="CR35" i="198"/>
  <c r="CS35" i="198"/>
  <c r="DR35" i="198"/>
  <c r="ES35" i="198"/>
  <c r="ET35" i="198"/>
  <c r="CH26" i="198"/>
  <c r="CH26" i="201"/>
  <c r="DX66" i="193"/>
  <c r="EM26" i="193" s="1"/>
  <c r="DV66" i="193"/>
  <c r="EI37" i="204"/>
  <c r="AU27" i="201"/>
  <c r="AZ27" i="201"/>
  <c r="AP27" i="201"/>
  <c r="EH43" i="202"/>
  <c r="EJ43" i="202"/>
  <c r="W31" i="205"/>
  <c r="V31" i="205"/>
  <c r="R24" i="204"/>
  <c r="Q24" i="204"/>
  <c r="S24" i="204"/>
  <c r="EJ35" i="204"/>
  <c r="CH35" i="204" s="1"/>
  <c r="EH35" i="204"/>
  <c r="AZ30" i="203"/>
  <c r="AU30" i="203"/>
  <c r="AP30" i="203"/>
  <c r="CH34" i="205"/>
  <c r="EU32" i="204"/>
  <c r="EJ91" i="204"/>
  <c r="EL91" i="204" s="1"/>
  <c r="DR32" i="204"/>
  <c r="CS32" i="204"/>
  <c r="DQ32" i="204"/>
  <c r="CR32" i="204"/>
  <c r="ET32" i="204"/>
  <c r="ES32" i="204"/>
  <c r="X29" i="206"/>
  <c r="CJ29" i="206"/>
  <c r="U43" i="205"/>
  <c r="T43" i="205"/>
  <c r="EI39" i="207"/>
  <c r="N30" i="206"/>
  <c r="P30" i="206"/>
  <c r="O30" i="206"/>
  <c r="EP36" i="206"/>
  <c r="U28" i="206"/>
  <c r="T28" i="206"/>
  <c r="AR28" i="206" s="1"/>
  <c r="EV45" i="206"/>
  <c r="CH45" i="206"/>
  <c r="U43" i="208"/>
  <c r="T43" i="208"/>
  <c r="DR76" i="191"/>
  <c r="EC76" i="191" s="1"/>
  <c r="EN36" i="191" s="1"/>
  <c r="DP76" i="191"/>
  <c r="W24" i="200"/>
  <c r="V24" i="200"/>
  <c r="AT24" i="200" s="1"/>
  <c r="O30" i="199"/>
  <c r="N30" i="199"/>
  <c r="P30" i="199"/>
  <c r="CJ42" i="200"/>
  <c r="X42" i="200"/>
  <c r="EK32" i="204"/>
  <c r="EV32" i="204" s="1"/>
  <c r="CJ32" i="204" s="1"/>
  <c r="EI32" i="204"/>
  <c r="EC68" i="192"/>
  <c r="EN28" i="192" s="1"/>
  <c r="EI16" i="205"/>
  <c r="EU23" i="196"/>
  <c r="ES23" i="196"/>
  <c r="DR23" i="196"/>
  <c r="CR23" i="196"/>
  <c r="CS23" i="196"/>
  <c r="DQ23" i="196"/>
  <c r="EI23" i="196"/>
  <c r="EH23" i="196"/>
  <c r="ET23" i="196"/>
  <c r="CJ44" i="202"/>
  <c r="X44" i="202"/>
  <c r="V23" i="203"/>
  <c r="W23" i="203"/>
  <c r="CI43" i="199"/>
  <c r="EJ21" i="205"/>
  <c r="CH21" i="205" s="1"/>
  <c r="EH21" i="205"/>
  <c r="EP45" i="207"/>
  <c r="Q32" i="201"/>
  <c r="S32" i="201"/>
  <c r="R32" i="201"/>
  <c r="DR41" i="197"/>
  <c r="M41" i="197" s="1"/>
  <c r="CS41" i="197"/>
  <c r="DQ41" i="197"/>
  <c r="L41" i="197" s="1"/>
  <c r="CR41" i="197"/>
  <c r="EU41" i="197"/>
  <c r="ET41" i="197"/>
  <c r="EJ100" i="197"/>
  <c r="EH41" i="197"/>
  <c r="EL100" i="197"/>
  <c r="ES41" i="197"/>
  <c r="EI41" i="197"/>
  <c r="AZ44" i="204"/>
  <c r="AP44" i="204"/>
  <c r="AU44" i="204"/>
  <c r="AP45" i="197"/>
  <c r="AU45" i="197"/>
  <c r="AZ45" i="197"/>
  <c r="S17" i="201"/>
  <c r="R17" i="201"/>
  <c r="Q17" i="201"/>
  <c r="Q20" i="199"/>
  <c r="S20" i="199"/>
  <c r="R20" i="199"/>
  <c r="AP43" i="201"/>
  <c r="AZ43" i="201"/>
  <c r="AU43" i="201"/>
  <c r="N36" i="207"/>
  <c r="P36" i="207"/>
  <c r="O36" i="207"/>
  <c r="V26" i="196"/>
  <c r="W26" i="196"/>
  <c r="V35" i="197"/>
  <c r="AT35" i="197" s="1"/>
  <c r="W35" i="197"/>
  <c r="T44" i="198"/>
  <c r="AR44" i="198" s="1"/>
  <c r="U44" i="198"/>
  <c r="EH24" i="199"/>
  <c r="EP36" i="196"/>
  <c r="ER36" i="196"/>
  <c r="EV36" i="196" s="1"/>
  <c r="EH16" i="205"/>
  <c r="CI37" i="197"/>
  <c r="EV39" i="198"/>
  <c r="CJ39" i="198" s="1"/>
  <c r="AR23" i="196"/>
  <c r="DQ34" i="204"/>
  <c r="CR34" i="204"/>
  <c r="EJ93" i="204"/>
  <c r="EL93" i="204" s="1"/>
  <c r="EU34" i="204"/>
  <c r="ET34" i="204"/>
  <c r="CS34" i="204"/>
  <c r="DR34" i="204"/>
  <c r="ES34" i="204"/>
  <c r="DR30" i="200"/>
  <c r="CS30" i="200"/>
  <c r="EJ89" i="200"/>
  <c r="EL89" i="200" s="1"/>
  <c r="CR30" i="200"/>
  <c r="EU30" i="200"/>
  <c r="DQ30" i="200"/>
  <c r="ES30" i="200"/>
  <c r="ET30" i="200"/>
  <c r="EH30" i="200"/>
  <c r="EI30" i="200"/>
  <c r="X33" i="199"/>
  <c r="CJ33" i="199"/>
  <c r="EV44" i="199"/>
  <c r="N35" i="199"/>
  <c r="O35" i="199"/>
  <c r="P35" i="199"/>
  <c r="W30" i="204"/>
  <c r="V30" i="204"/>
  <c r="AT30" i="204" s="1"/>
  <c r="GL45" i="197"/>
  <c r="GM45" i="197" s="1"/>
  <c r="EI18" i="200"/>
  <c r="EK18" i="200"/>
  <c r="EV18" i="200" s="1"/>
  <c r="EI31" i="201"/>
  <c r="EV42" i="204"/>
  <c r="CI42" i="203"/>
  <c r="EJ95" i="205"/>
  <c r="EL95" i="205" s="1"/>
  <c r="DR36" i="205"/>
  <c r="CS36" i="205"/>
  <c r="DQ36" i="205"/>
  <c r="CR36" i="205"/>
  <c r="EU36" i="205"/>
  <c r="EP36" i="205"/>
  <c r="ET36" i="205"/>
  <c r="ES36" i="205"/>
  <c r="EO36" i="205"/>
  <c r="AP44" i="203"/>
  <c r="AU44" i="203"/>
  <c r="AZ44" i="203"/>
  <c r="AZ34" i="203"/>
  <c r="AU34" i="203"/>
  <c r="AP34" i="203"/>
  <c r="CH27" i="204"/>
  <c r="X26" i="207"/>
  <c r="CJ26" i="207"/>
  <c r="AU22" i="205"/>
  <c r="EH22" i="205" s="1"/>
  <c r="AP22" i="205"/>
  <c r="AZ22" i="205"/>
  <c r="AZ37" i="206"/>
  <c r="W27" i="205"/>
  <c r="V27" i="205"/>
  <c r="AT27" i="205" s="1"/>
  <c r="AR22" i="208"/>
  <c r="GB56" i="192"/>
  <c r="FZ56" i="192"/>
  <c r="CI36" i="198"/>
  <c r="EV19" i="201"/>
  <c r="AZ40" i="196"/>
  <c r="AU40" i="196"/>
  <c r="AP40" i="196"/>
  <c r="EH21" i="201"/>
  <c r="X30" i="200"/>
  <c r="CJ30" i="200"/>
  <c r="EI26" i="202"/>
  <c r="EI23" i="200"/>
  <c r="EJ20" i="200"/>
  <c r="CH20" i="200" s="1"/>
  <c r="EH20" i="200"/>
  <c r="P23" i="204"/>
  <c r="O23" i="204"/>
  <c r="N23" i="204"/>
  <c r="W43" i="203"/>
  <c r="V43" i="203"/>
  <c r="EV37" i="202"/>
  <c r="CJ37" i="202" s="1"/>
  <c r="EJ92" i="205"/>
  <c r="EL92" i="205" s="1"/>
  <c r="DR33" i="205"/>
  <c r="CS33" i="205"/>
  <c r="EU33" i="205"/>
  <c r="CR33" i="205"/>
  <c r="DQ33" i="205"/>
  <c r="EP33" i="205"/>
  <c r="EO33" i="205"/>
  <c r="ES33" i="205"/>
  <c r="ET33" i="205"/>
  <c r="DR41" i="208"/>
  <c r="M41" i="208" s="1"/>
  <c r="CS41" i="208"/>
  <c r="EU41" i="208"/>
  <c r="EJ100" i="208"/>
  <c r="DQ41" i="208"/>
  <c r="L41" i="208" s="1"/>
  <c r="CR41" i="208"/>
  <c r="EI41" i="208"/>
  <c r="EP41" i="208"/>
  <c r="EO41" i="208"/>
  <c r="EL100" i="208"/>
  <c r="EH41" i="208"/>
  <c r="ET41" i="208"/>
  <c r="ES41" i="208"/>
  <c r="EH38" i="202"/>
  <c r="EI38" i="196"/>
  <c r="EO29" i="196"/>
  <c r="EH34" i="197"/>
  <c r="AT23" i="200"/>
  <c r="CH29" i="197"/>
  <c r="AR27" i="200"/>
  <c r="S23" i="199"/>
  <c r="R23" i="199"/>
  <c r="Q23" i="199"/>
  <c r="EP25" i="204"/>
  <c r="CJ23" i="206"/>
  <c r="X23" i="206"/>
  <c r="EH19" i="203"/>
  <c r="EK36" i="203"/>
  <c r="EV36" i="203" s="1"/>
  <c r="CJ36" i="203" s="1"/>
  <c r="EI36" i="203"/>
  <c r="CH29" i="204"/>
  <c r="P37" i="206"/>
  <c r="O37" i="206"/>
  <c r="N37" i="206"/>
  <c r="CI24" i="206"/>
  <c r="CI34" i="207"/>
  <c r="EH39" i="208"/>
  <c r="CH36" i="208"/>
  <c r="EC57" i="193"/>
  <c r="EN17" i="193" s="1"/>
  <c r="CI27" i="198"/>
  <c r="EO24" i="196"/>
  <c r="EQ24" i="196"/>
  <c r="CI24" i="196" s="1"/>
  <c r="S29" i="200"/>
  <c r="R29" i="200"/>
  <c r="Q29" i="200"/>
  <c r="CH26" i="208"/>
  <c r="T45" i="198"/>
  <c r="U45" i="198"/>
  <c r="CJ23" i="198"/>
  <c r="X23" i="198"/>
  <c r="EO34" i="204"/>
  <c r="W29" i="207"/>
  <c r="V29" i="207"/>
  <c r="AT29" i="207" s="1"/>
  <c r="FJ59" i="192"/>
  <c r="FK60" i="192"/>
  <c r="DR59" i="193"/>
  <c r="EC59" i="193" s="1"/>
  <c r="EN19" i="193" s="1"/>
  <c r="DP59" i="193"/>
  <c r="EL23" i="193"/>
  <c r="AZ21" i="198"/>
  <c r="AP21" i="198"/>
  <c r="AU21" i="198"/>
  <c r="U19" i="199"/>
  <c r="T19" i="199"/>
  <c r="AR19" i="199" s="1"/>
  <c r="AZ27" i="200"/>
  <c r="CH42" i="204"/>
  <c r="EP20" i="207"/>
  <c r="GK75" i="193"/>
  <c r="FB35" i="193"/>
  <c r="FA35" i="193" s="1"/>
  <c r="BY35" i="193"/>
  <c r="EX35" i="193"/>
  <c r="EZ35" i="193"/>
  <c r="FB21" i="191"/>
  <c r="FA21" i="191" s="1"/>
  <c r="EZ21" i="191"/>
  <c r="EX21" i="191"/>
  <c r="BY21" i="191"/>
  <c r="GK61" i="191"/>
  <c r="DR69" i="193"/>
  <c r="EC69" i="193" s="1"/>
  <c r="EN29" i="193" s="1"/>
  <c r="DP69" i="193"/>
  <c r="DV63" i="193"/>
  <c r="DX63" i="193"/>
  <c r="EM23" i="193" s="1"/>
  <c r="EO22" i="202"/>
  <c r="DX64" i="192"/>
  <c r="DV64" i="192"/>
  <c r="GL39" i="193"/>
  <c r="GM39" i="193" s="1"/>
  <c r="EH41" i="198"/>
  <c r="DV81" i="193"/>
  <c r="DX81" i="193"/>
  <c r="EM41" i="193" s="1"/>
  <c r="DR19" i="200"/>
  <c r="CS19" i="200"/>
  <c r="ET19" i="200"/>
  <c r="CR19" i="200"/>
  <c r="DQ19" i="200"/>
  <c r="EJ78" i="200"/>
  <c r="EU19" i="200"/>
  <c r="EO19" i="200"/>
  <c r="EH19" i="200"/>
  <c r="EL78" i="200"/>
  <c r="EP19" i="200"/>
  <c r="EI19" i="200"/>
  <c r="ES19" i="200"/>
  <c r="EV27" i="198"/>
  <c r="CJ27" i="198" s="1"/>
  <c r="CI25" i="199"/>
  <c r="CH20" i="202"/>
  <c r="CH33" i="199"/>
  <c r="EJ98" i="201"/>
  <c r="DR39" i="201"/>
  <c r="CS39" i="201"/>
  <c r="ES39" i="201"/>
  <c r="EU39" i="201"/>
  <c r="CR39" i="201"/>
  <c r="DQ39" i="201"/>
  <c r="EH39" i="201"/>
  <c r="EL98" i="201"/>
  <c r="EI39" i="201"/>
  <c r="ET39" i="201"/>
  <c r="CI23" i="196"/>
  <c r="DQ44" i="197"/>
  <c r="L44" i="197" s="1"/>
  <c r="CR44" i="197"/>
  <c r="EU44" i="197"/>
  <c r="ET44" i="197"/>
  <c r="ES44" i="197"/>
  <c r="CS44" i="197"/>
  <c r="EL103" i="197"/>
  <c r="EJ103" i="197"/>
  <c r="DR44" i="197"/>
  <c r="M44" i="197" s="1"/>
  <c r="CI43" i="198"/>
  <c r="CI29" i="202"/>
  <c r="EP41" i="198"/>
  <c r="CH31" i="201"/>
  <c r="EO45" i="203"/>
  <c r="CJ35" i="200"/>
  <c r="X35" i="200"/>
  <c r="Q37" i="202"/>
  <c r="S37" i="202"/>
  <c r="R37" i="202"/>
  <c r="EV29" i="202"/>
  <c r="CI28" i="203"/>
  <c r="EH21" i="204"/>
  <c r="EI27" i="206"/>
  <c r="V34" i="203"/>
  <c r="W34" i="203"/>
  <c r="EJ85" i="207"/>
  <c r="EL85" i="207" s="1"/>
  <c r="EU26" i="207"/>
  <c r="DR26" i="207"/>
  <c r="CR26" i="207"/>
  <c r="DQ26" i="207"/>
  <c r="CS26" i="207"/>
  <c r="EP26" i="207"/>
  <c r="ES26" i="207"/>
  <c r="EO26" i="207"/>
  <c r="ET26" i="207"/>
  <c r="CI25" i="207"/>
  <c r="EK22" i="206"/>
  <c r="EV22" i="206" s="1"/>
  <c r="EI22" i="206"/>
  <c r="EK17" i="207"/>
  <c r="EV17" i="207" s="1"/>
  <c r="EI17" i="207"/>
  <c r="CI27" i="207"/>
  <c r="EK21" i="208"/>
  <c r="EV21" i="208" s="1"/>
  <c r="EI21" i="208"/>
  <c r="GM39" i="208"/>
  <c r="EC70" i="191"/>
  <c r="EN30" i="191" s="1"/>
  <c r="EC54" i="193"/>
  <c r="EN14" i="193" s="1"/>
  <c r="EL14" i="193"/>
  <c r="DV83" i="191"/>
  <c r="DX83" i="191"/>
  <c r="EM43" i="191" s="1"/>
  <c r="EV36" i="197"/>
  <c r="CJ36" i="197" s="1"/>
  <c r="EI41" i="198"/>
  <c r="CI43" i="201"/>
  <c r="EO33" i="197"/>
  <c r="EQ33" i="197"/>
  <c r="S38" i="200"/>
  <c r="R38" i="200"/>
  <c r="Q38" i="200"/>
  <c r="EL91" i="202"/>
  <c r="EJ91" i="202"/>
  <c r="DR32" i="202"/>
  <c r="CS32" i="202"/>
  <c r="CR32" i="202"/>
  <c r="DQ32" i="202"/>
  <c r="EU32" i="202"/>
  <c r="ET32" i="202"/>
  <c r="EI32" i="202"/>
  <c r="ES32" i="202"/>
  <c r="CH18" i="206"/>
  <c r="CH29" i="202"/>
  <c r="AT45" i="204"/>
  <c r="EJ80" i="207"/>
  <c r="EL80" i="207" s="1"/>
  <c r="DR21" i="207"/>
  <c r="CS21" i="207"/>
  <c r="EU21" i="207"/>
  <c r="CR21" i="207"/>
  <c r="ES21" i="207"/>
  <c r="DQ21" i="207"/>
  <c r="EO21" i="207"/>
  <c r="ET21" i="207"/>
  <c r="EP21" i="207"/>
  <c r="EH21" i="207"/>
  <c r="EI21" i="207"/>
  <c r="EP32" i="207"/>
  <c r="EH22" i="207"/>
  <c r="AZ35" i="207"/>
  <c r="AP35" i="207"/>
  <c r="AU35" i="207"/>
  <c r="CH29" i="208"/>
  <c r="V45" i="208"/>
  <c r="AT45" i="208" s="1"/>
  <c r="W45" i="208"/>
  <c r="AZ21" i="197"/>
  <c r="EU43" i="199"/>
  <c r="EJ102" i="199"/>
  <c r="ES43" i="199"/>
  <c r="DR43" i="199"/>
  <c r="M43" i="199" s="1"/>
  <c r="CR43" i="199"/>
  <c r="DQ43" i="199"/>
  <c r="L43" i="199" s="1"/>
  <c r="CS43" i="199"/>
  <c r="EL102" i="199"/>
  <c r="ET43" i="199"/>
  <c r="EI43" i="199"/>
  <c r="EH43" i="199"/>
  <c r="CH19" i="201"/>
  <c r="EO37" i="198"/>
  <c r="CI38" i="200"/>
  <c r="O16" i="200"/>
  <c r="N16" i="200"/>
  <c r="P16" i="200"/>
  <c r="P27" i="202"/>
  <c r="O27" i="202"/>
  <c r="N27" i="202"/>
  <c r="CH34" i="202"/>
  <c r="CH23" i="200"/>
  <c r="EV22" i="199"/>
  <c r="CJ22" i="199" s="1"/>
  <c r="CH25" i="204"/>
  <c r="CH21" i="203"/>
  <c r="EI40" i="205"/>
  <c r="CH20" i="206"/>
  <c r="EK42" i="206"/>
  <c r="EV42" i="206" s="1"/>
  <c r="EI42" i="206"/>
  <c r="EJ79" i="208"/>
  <c r="EL79" i="208" s="1"/>
  <c r="DR20" i="208"/>
  <c r="CS20" i="208"/>
  <c r="DQ20" i="208"/>
  <c r="CR20" i="208"/>
  <c r="EU20" i="208"/>
  <c r="ES20" i="208"/>
  <c r="ET20" i="208"/>
  <c r="EJ92" i="208"/>
  <c r="DR33" i="208"/>
  <c r="CS33" i="208"/>
  <c r="DQ33" i="208"/>
  <c r="CR33" i="208"/>
  <c r="EU33" i="208"/>
  <c r="EL92" i="208"/>
  <c r="ET33" i="208"/>
  <c r="EO33" i="208"/>
  <c r="ES33" i="208"/>
  <c r="EP33" i="208"/>
  <c r="EH33" i="208"/>
  <c r="EI33" i="208"/>
  <c r="AR42" i="208"/>
  <c r="CI41" i="203"/>
  <c r="DW72" i="193"/>
  <c r="DY72" i="193"/>
  <c r="V31" i="197"/>
  <c r="W31" i="197"/>
  <c r="X40" i="196"/>
  <c r="CJ40" i="196"/>
  <c r="EI20" i="197"/>
  <c r="CH19" i="205"/>
  <c r="DR20" i="203"/>
  <c r="CS20" i="203"/>
  <c r="EJ79" i="203"/>
  <c r="EL79" i="203" s="1"/>
  <c r="CR20" i="203"/>
  <c r="DQ20" i="203"/>
  <c r="EU20" i="203"/>
  <c r="EI20" i="203"/>
  <c r="ET20" i="203"/>
  <c r="EO20" i="203"/>
  <c r="EP20" i="203"/>
  <c r="EH20" i="203"/>
  <c r="ES20" i="203"/>
  <c r="CH41" i="200"/>
  <c r="AT42" i="202"/>
  <c r="DO70" i="192"/>
  <c r="DQ70" i="192"/>
  <c r="EP32" i="204"/>
  <c r="EK35" i="203"/>
  <c r="EV35" i="203" s="1"/>
  <c r="EI35" i="203"/>
  <c r="DR36" i="204"/>
  <c r="CS36" i="204"/>
  <c r="EU36" i="204"/>
  <c r="DQ36" i="204"/>
  <c r="EJ95" i="204"/>
  <c r="EL95" i="204" s="1"/>
  <c r="CR36" i="204"/>
  <c r="EI36" i="204"/>
  <c r="ES36" i="204"/>
  <c r="ET36" i="204"/>
  <c r="CH29" i="207"/>
  <c r="EM33" i="192"/>
  <c r="EI38" i="201"/>
  <c r="EJ76" i="199"/>
  <c r="DR17" i="199"/>
  <c r="CS17" i="199"/>
  <c r="DQ17" i="199"/>
  <c r="CR17" i="199"/>
  <c r="EU17" i="199"/>
  <c r="ET17" i="199"/>
  <c r="EL76" i="199"/>
  <c r="ES17" i="199"/>
  <c r="EM25" i="193"/>
  <c r="DX68" i="192"/>
  <c r="EM28" i="192" s="1"/>
  <c r="DV68" i="192"/>
  <c r="DR33" i="201"/>
  <c r="CS33" i="201"/>
  <c r="EJ92" i="201"/>
  <c r="CR33" i="201"/>
  <c r="EU33" i="201"/>
  <c r="DQ33" i="201"/>
  <c r="ET33" i="201"/>
  <c r="ES33" i="201"/>
  <c r="EI33" i="201"/>
  <c r="EH33" i="201"/>
  <c r="EL92" i="201"/>
  <c r="EV33" i="198"/>
  <c r="EP20" i="197"/>
  <c r="X39" i="199"/>
  <c r="CJ39" i="199"/>
  <c r="CI18" i="203"/>
  <c r="S19" i="201"/>
  <c r="Q19" i="201"/>
  <c r="R19" i="201"/>
  <c r="DR29" i="202"/>
  <c r="CS29" i="202"/>
  <c r="DQ29" i="202"/>
  <c r="CR29" i="202"/>
  <c r="EJ88" i="202"/>
  <c r="EL88" i="202" s="1"/>
  <c r="EU29" i="202"/>
  <c r="ET29" i="202"/>
  <c r="ES29" i="202"/>
  <c r="EJ88" i="203"/>
  <c r="DR29" i="203"/>
  <c r="CS29" i="203"/>
  <c r="CR29" i="203"/>
  <c r="DQ29" i="203"/>
  <c r="ET29" i="203"/>
  <c r="EU29" i="203"/>
  <c r="EP29" i="203"/>
  <c r="EL88" i="203"/>
  <c r="EH29" i="203"/>
  <c r="EI29" i="203"/>
  <c r="ES29" i="203"/>
  <c r="X32" i="199"/>
  <c r="CJ32" i="199"/>
  <c r="CI35" i="199"/>
  <c r="EK35" i="198"/>
  <c r="EV35" i="198" s="1"/>
  <c r="EI35" i="198"/>
  <c r="DQ44" i="202"/>
  <c r="L44" i="202" s="1"/>
  <c r="CR44" i="202"/>
  <c r="EJ103" i="202"/>
  <c r="EU44" i="202"/>
  <c r="ET44" i="202"/>
  <c r="ES44" i="202"/>
  <c r="DR44" i="202"/>
  <c r="M44" i="202" s="1"/>
  <c r="CS44" i="202"/>
  <c r="EL103" i="202"/>
  <c r="N29" i="204"/>
  <c r="O29" i="204"/>
  <c r="P29" i="204"/>
  <c r="EP37" i="204"/>
  <c r="EU22" i="203"/>
  <c r="EL81" i="203"/>
  <c r="EJ81" i="203"/>
  <c r="DQ22" i="203"/>
  <c r="CR22" i="203"/>
  <c r="DR22" i="203"/>
  <c r="CS22" i="203"/>
  <c r="EP22" i="203"/>
  <c r="EO22" i="203"/>
  <c r="ES22" i="203"/>
  <c r="ET22" i="203"/>
  <c r="EI34" i="205"/>
  <c r="EJ90" i="205"/>
  <c r="EU31" i="205"/>
  <c r="ES31" i="205"/>
  <c r="EL90" i="205"/>
  <c r="CS31" i="205"/>
  <c r="DR31" i="205"/>
  <c r="CR31" i="205"/>
  <c r="DQ31" i="205"/>
  <c r="ET31" i="205"/>
  <c r="N28" i="205"/>
  <c r="O28" i="205"/>
  <c r="P28" i="205"/>
  <c r="EJ41" i="206"/>
  <c r="EH41" i="206"/>
  <c r="CH35" i="207"/>
  <c r="AT43" i="208"/>
  <c r="EH32" i="208"/>
  <c r="EL42" i="191"/>
  <c r="EC73" i="192"/>
  <c r="EN33" i="192" s="1"/>
  <c r="FB25" i="193"/>
  <c r="FA25" i="193" s="1"/>
  <c r="BY25" i="193"/>
  <c r="GK65" i="193"/>
  <c r="EZ25" i="193"/>
  <c r="EX25" i="193"/>
  <c r="CI31" i="201"/>
  <c r="FB40" i="192"/>
  <c r="FA40" i="192" s="1"/>
  <c r="GM37" i="193"/>
  <c r="EP33" i="202"/>
  <c r="AU16" i="197"/>
  <c r="EI16" i="197" s="1"/>
  <c r="AP16" i="197"/>
  <c r="AZ16" i="197"/>
  <c r="W30" i="196"/>
  <c r="V30" i="196"/>
  <c r="AT30" i="196" s="1"/>
  <c r="EV39" i="200"/>
  <c r="CJ39" i="200" s="1"/>
  <c r="CH39" i="199"/>
  <c r="EP31" i="199"/>
  <c r="N38" i="204"/>
  <c r="O38" i="204"/>
  <c r="P38" i="204"/>
  <c r="EH40" i="202"/>
  <c r="EP32" i="197"/>
  <c r="ER32" i="197"/>
  <c r="EV32" i="197" s="1"/>
  <c r="P40" i="198"/>
  <c r="O40" i="198"/>
  <c r="N40" i="198"/>
  <c r="EV37" i="204"/>
  <c r="CJ37" i="204" s="1"/>
  <c r="EK43" i="202"/>
  <c r="EV43" i="202" s="1"/>
  <c r="EI43" i="202"/>
  <c r="EH22" i="202"/>
  <c r="EJ22" i="202"/>
  <c r="CH22" i="202" s="1"/>
  <c r="EJ98" i="205"/>
  <c r="EU39" i="205"/>
  <c r="CS39" i="205"/>
  <c r="ES39" i="205"/>
  <c r="EL98" i="205"/>
  <c r="DQ39" i="205"/>
  <c r="DR39" i="205"/>
  <c r="CR39" i="205"/>
  <c r="ET39" i="205"/>
  <c r="EP39" i="205"/>
  <c r="EJ90" i="202"/>
  <c r="DR31" i="202"/>
  <c r="CS31" i="202"/>
  <c r="EU31" i="202"/>
  <c r="EL90" i="202"/>
  <c r="ES31" i="202"/>
  <c r="CR31" i="202"/>
  <c r="DQ31" i="202"/>
  <c r="ET31" i="202"/>
  <c r="EP31" i="202"/>
  <c r="EO31" i="202"/>
  <c r="EK35" i="204"/>
  <c r="EV35" i="204" s="1"/>
  <c r="EI35" i="204"/>
  <c r="EP41" i="206"/>
  <c r="EP34" i="204"/>
  <c r="AT23" i="206"/>
  <c r="EI31" i="206"/>
  <c r="S20" i="206"/>
  <c r="R20" i="206"/>
  <c r="Q20" i="206"/>
  <c r="EH43" i="205"/>
  <c r="EV39" i="207"/>
  <c r="S30" i="206"/>
  <c r="R30" i="206"/>
  <c r="Q30" i="206"/>
  <c r="EK39" i="206"/>
  <c r="EV39" i="206" s="1"/>
  <c r="CJ39" i="206" s="1"/>
  <c r="EI39" i="206"/>
  <c r="AN45" i="206"/>
  <c r="AS45" i="206"/>
  <c r="AQ45" i="206"/>
  <c r="AM45" i="206"/>
  <c r="AL45" i="206"/>
  <c r="AO45" i="206"/>
  <c r="AJ45" i="206"/>
  <c r="EM41" i="191"/>
  <c r="AR32" i="199"/>
  <c r="DQ76" i="191"/>
  <c r="DO76" i="191"/>
  <c r="CH34" i="199"/>
  <c r="EJ87" i="207"/>
  <c r="EL87" i="207" s="1"/>
  <c r="DR28" i="207"/>
  <c r="CS28" i="207"/>
  <c r="EU28" i="207"/>
  <c r="DQ28" i="207"/>
  <c r="ES28" i="207"/>
  <c r="CR28" i="207"/>
  <c r="ET28" i="207"/>
  <c r="CI21" i="197"/>
  <c r="N26" i="197"/>
  <c r="P26" i="197"/>
  <c r="O26" i="197"/>
  <c r="AZ16" i="200"/>
  <c r="EK28" i="201"/>
  <c r="EV28" i="201" s="1"/>
  <c r="EI28" i="201"/>
  <c r="X39" i="204"/>
  <c r="CJ39" i="204"/>
  <c r="CH23" i="203"/>
  <c r="GM45" i="202"/>
  <c r="EJ32" i="204"/>
  <c r="CH32" i="204" s="1"/>
  <c r="EH32" i="204"/>
  <c r="EO23" i="208"/>
  <c r="EQ23" i="208"/>
  <c r="BX17" i="193"/>
  <c r="EX18" i="193" s="1"/>
  <c r="DO80" i="193"/>
  <c r="DQ80" i="193"/>
  <c r="EV24" i="199"/>
  <c r="EI44" i="202"/>
  <c r="EO43" i="199"/>
  <c r="AT19" i="205"/>
  <c r="EO34" i="201"/>
  <c r="CI37" i="202"/>
  <c r="EK21" i="205"/>
  <c r="EV21" i="205" s="1"/>
  <c r="CJ21" i="205" s="1"/>
  <c r="EI21" i="205"/>
  <c r="EI20" i="208"/>
  <c r="EJ103" i="198"/>
  <c r="DR44" i="198"/>
  <c r="M44" i="198" s="1"/>
  <c r="CS44" i="198"/>
  <c r="DQ44" i="198"/>
  <c r="L44" i="198" s="1"/>
  <c r="CR44" i="198"/>
  <c r="EP44" i="198"/>
  <c r="EU44" i="198"/>
  <c r="EL103" i="198"/>
  <c r="EH44" i="198"/>
  <c r="EI44" i="198"/>
  <c r="EO44" i="198"/>
  <c r="ET44" i="198"/>
  <c r="ES44" i="198"/>
  <c r="EX21" i="192"/>
  <c r="FO45" i="160"/>
  <c r="FO44" i="160"/>
  <c r="FO43" i="160"/>
  <c r="FO42" i="160"/>
  <c r="FO41" i="160"/>
  <c r="FO40" i="160"/>
  <c r="FO39" i="160"/>
  <c r="FO38" i="160"/>
  <c r="FO37" i="160"/>
  <c r="FO36" i="160"/>
  <c r="FO35" i="160"/>
  <c r="FO34" i="160"/>
  <c r="FO33" i="160"/>
  <c r="FO32" i="160"/>
  <c r="FO31" i="160"/>
  <c r="FO30" i="160"/>
  <c r="FO29" i="160"/>
  <c r="FO28" i="160"/>
  <c r="FO27" i="160"/>
  <c r="FO26" i="160"/>
  <c r="FO25" i="160"/>
  <c r="FO24" i="160"/>
  <c r="FO23" i="160"/>
  <c r="FO22" i="160"/>
  <c r="FO21" i="160"/>
  <c r="FO20" i="160"/>
  <c r="FO19" i="160"/>
  <c r="FO18" i="160"/>
  <c r="FO17" i="160"/>
  <c r="FO16" i="160"/>
  <c r="FO15" i="160"/>
  <c r="FO14" i="160"/>
  <c r="FQ45" i="84"/>
  <c r="FQ44" i="84"/>
  <c r="FQ43" i="84"/>
  <c r="FQ42" i="84"/>
  <c r="FQ41" i="84"/>
  <c r="FQ40" i="84"/>
  <c r="FQ39" i="84"/>
  <c r="FQ38" i="84"/>
  <c r="FQ37" i="84"/>
  <c r="FQ36" i="84"/>
  <c r="FQ35" i="84"/>
  <c r="FQ34" i="84"/>
  <c r="FQ33" i="84"/>
  <c r="FQ32" i="84"/>
  <c r="FQ31" i="84"/>
  <c r="FQ30" i="84"/>
  <c r="FQ29" i="84"/>
  <c r="FQ28" i="84"/>
  <c r="FQ27" i="84"/>
  <c r="FQ26" i="84"/>
  <c r="FQ25" i="84"/>
  <c r="FQ24" i="84"/>
  <c r="FQ23" i="84"/>
  <c r="FQ22" i="84"/>
  <c r="FQ21" i="84"/>
  <c r="FQ19" i="84"/>
  <c r="FQ18" i="84"/>
  <c r="FQ17" i="84"/>
  <c r="FQ16" i="84"/>
  <c r="FQ15" i="84"/>
  <c r="FQ14" i="84"/>
  <c r="FO45" i="84"/>
  <c r="FO44" i="84"/>
  <c r="FO43" i="84"/>
  <c r="FO42" i="84"/>
  <c r="FO41" i="84"/>
  <c r="FO40" i="84"/>
  <c r="FO39" i="84"/>
  <c r="FO38" i="84"/>
  <c r="FO37" i="84"/>
  <c r="FO36" i="84"/>
  <c r="FO35" i="84"/>
  <c r="FO34" i="84"/>
  <c r="FO33" i="84"/>
  <c r="FO32" i="84"/>
  <c r="FO30" i="84"/>
  <c r="FO29" i="84"/>
  <c r="FO28" i="84"/>
  <c r="T42" i="193" l="1"/>
  <c r="S42" i="193"/>
  <c r="BT42" i="193" s="1"/>
  <c r="FB19" i="193"/>
  <c r="FA19" i="193" s="1"/>
  <c r="EX24" i="192"/>
  <c r="EX25" i="192" s="1"/>
  <c r="FB24" i="192"/>
  <c r="FA24" i="192" s="1"/>
  <c r="AT41" i="200"/>
  <c r="EL31" i="191"/>
  <c r="BY24" i="192"/>
  <c r="FB25" i="192"/>
  <c r="FA25" i="192" s="1"/>
  <c r="GK65" i="192"/>
  <c r="FB30" i="193"/>
  <c r="FA30" i="193" s="1"/>
  <c r="EX30" i="193"/>
  <c r="BX31" i="193"/>
  <c r="EL30" i="192"/>
  <c r="FA14" i="191"/>
  <c r="BT41" i="192"/>
  <c r="EX19" i="193"/>
  <c r="GK59" i="193"/>
  <c r="BY19" i="193"/>
  <c r="BX36" i="192"/>
  <c r="EX36" i="192" s="1"/>
  <c r="EC61" i="192"/>
  <c r="EN21" i="192" s="1"/>
  <c r="EL21" i="192"/>
  <c r="BT43" i="193"/>
  <c r="EL27" i="193"/>
  <c r="EL40" i="191"/>
  <c r="EL35" i="193"/>
  <c r="EL28" i="193"/>
  <c r="EL44" i="191"/>
  <c r="EL18" i="193"/>
  <c r="EL25" i="193"/>
  <c r="EL20" i="193"/>
  <c r="EL36" i="191"/>
  <c r="EL20" i="192"/>
  <c r="FB35" i="192"/>
  <c r="FA35" i="192" s="1"/>
  <c r="EX35" i="192"/>
  <c r="BY35" i="192"/>
  <c r="GK75" i="192"/>
  <c r="EL45" i="193"/>
  <c r="EL29" i="191"/>
  <c r="EL39" i="192"/>
  <c r="EL41" i="191"/>
  <c r="EL30" i="193"/>
  <c r="FD15" i="193"/>
  <c r="FF15" i="193" s="1"/>
  <c r="FX57" i="191"/>
  <c r="FX57" i="193"/>
  <c r="CJ23" i="208"/>
  <c r="X23" i="208"/>
  <c r="CJ26" i="206"/>
  <c r="X26" i="206"/>
  <c r="CJ36" i="196"/>
  <c r="X36" i="196"/>
  <c r="X33" i="197"/>
  <c r="CJ33" i="197"/>
  <c r="S44" i="202"/>
  <c r="R44" i="202"/>
  <c r="Q44" i="202"/>
  <c r="X21" i="208"/>
  <c r="CJ21" i="208"/>
  <c r="DR45" i="197"/>
  <c r="M45" i="197" s="1"/>
  <c r="CS45" i="197"/>
  <c r="DQ45" i="197"/>
  <c r="L45" i="197" s="1"/>
  <c r="CR45" i="197"/>
  <c r="EU45" i="197"/>
  <c r="ET45" i="197"/>
  <c r="EJ104" i="197"/>
  <c r="EL104" i="197"/>
  <c r="EI45" i="197"/>
  <c r="ES45" i="197"/>
  <c r="EH45" i="197"/>
  <c r="EP45" i="197"/>
  <c r="EO45" i="197"/>
  <c r="W32" i="202"/>
  <c r="V32" i="202"/>
  <c r="AT32" i="202" s="1"/>
  <c r="R27" i="205"/>
  <c r="S27" i="205"/>
  <c r="Q27" i="205"/>
  <c r="CJ26" i="205"/>
  <c r="X26" i="205"/>
  <c r="R28" i="204"/>
  <c r="Q28" i="204"/>
  <c r="S28" i="204"/>
  <c r="V44" i="192"/>
  <c r="U44" i="192"/>
  <c r="BV44" i="192" s="1"/>
  <c r="X29" i="205"/>
  <c r="CJ29" i="205"/>
  <c r="CJ37" i="203"/>
  <c r="X37" i="203"/>
  <c r="X33" i="196"/>
  <c r="CJ33" i="196"/>
  <c r="T20" i="197"/>
  <c r="U20" i="197"/>
  <c r="FZ57" i="191"/>
  <c r="GB57" i="191"/>
  <c r="FR58" i="192"/>
  <c r="FS59" i="192" s="1"/>
  <c r="FP58" i="192"/>
  <c r="GA58" i="192" s="1"/>
  <c r="FO58" i="192"/>
  <c r="FN58" i="192"/>
  <c r="FW58" i="192" s="1"/>
  <c r="FV58" i="192" s="1"/>
  <c r="FU58" i="192"/>
  <c r="FT58" i="192" s="1"/>
  <c r="FQ58" i="192"/>
  <c r="FY58" i="192" s="1"/>
  <c r="EL36" i="193"/>
  <c r="V28" i="205"/>
  <c r="W28" i="205"/>
  <c r="S37" i="196"/>
  <c r="Q37" i="196"/>
  <c r="R37" i="196"/>
  <c r="S40" i="203"/>
  <c r="R40" i="203"/>
  <c r="Q40" i="203"/>
  <c r="X21" i="204"/>
  <c r="CJ21" i="204"/>
  <c r="S36" i="197"/>
  <c r="Q36" i="197"/>
  <c r="R36" i="197"/>
  <c r="DQ43" i="206"/>
  <c r="L43" i="206" s="1"/>
  <c r="CR43" i="206"/>
  <c r="ET43" i="206"/>
  <c r="CS43" i="206"/>
  <c r="EL102" i="206"/>
  <c r="EP43" i="206"/>
  <c r="DR43" i="206"/>
  <c r="M43" i="206" s="1"/>
  <c r="EJ102" i="206"/>
  <c r="EU43" i="206"/>
  <c r="EO43" i="206"/>
  <c r="ES43" i="206"/>
  <c r="EI43" i="206"/>
  <c r="EH43" i="206"/>
  <c r="P16" i="198"/>
  <c r="O16" i="198"/>
  <c r="N16" i="198"/>
  <c r="N32" i="197"/>
  <c r="P32" i="197"/>
  <c r="O32" i="197"/>
  <c r="Q27" i="206"/>
  <c r="S27" i="206"/>
  <c r="R27" i="206"/>
  <c r="S35" i="202"/>
  <c r="R35" i="202"/>
  <c r="Q35" i="202"/>
  <c r="V30" i="207"/>
  <c r="W30" i="207"/>
  <c r="EU45" i="202"/>
  <c r="DQ45" i="202"/>
  <c r="L45" i="202" s="1"/>
  <c r="CS45" i="202"/>
  <c r="CR45" i="202"/>
  <c r="DR45" i="202"/>
  <c r="M45" i="202" s="1"/>
  <c r="EL104" i="202"/>
  <c r="EJ104" i="202"/>
  <c r="EP45" i="202"/>
  <c r="EO45" i="202"/>
  <c r="ES45" i="202"/>
  <c r="ET45" i="202"/>
  <c r="EI45" i="202"/>
  <c r="EH45" i="202"/>
  <c r="CJ44" i="205"/>
  <c r="X44" i="205"/>
  <c r="X32" i="206"/>
  <c r="CJ32" i="206"/>
  <c r="Q26" i="202"/>
  <c r="S26" i="202"/>
  <c r="R26" i="202"/>
  <c r="T20" i="206"/>
  <c r="AR20" i="206" s="1"/>
  <c r="U20" i="206"/>
  <c r="P26" i="207"/>
  <c r="N26" i="207"/>
  <c r="O26" i="207"/>
  <c r="FJ60" i="192"/>
  <c r="FK61" i="192"/>
  <c r="EU40" i="196"/>
  <c r="DR40" i="196"/>
  <c r="M40" i="196" s="1"/>
  <c r="CS40" i="196"/>
  <c r="DQ40" i="196"/>
  <c r="L40" i="196" s="1"/>
  <c r="CR40" i="196"/>
  <c r="EO40" i="196"/>
  <c r="ET40" i="196"/>
  <c r="EP40" i="196"/>
  <c r="ES40" i="196"/>
  <c r="EH40" i="196"/>
  <c r="EI40" i="196"/>
  <c r="V43" i="199"/>
  <c r="W43" i="199"/>
  <c r="S35" i="198"/>
  <c r="R35" i="198"/>
  <c r="Q35" i="198"/>
  <c r="X41" i="203"/>
  <c r="CJ41" i="203"/>
  <c r="S21" i="206"/>
  <c r="R21" i="206"/>
  <c r="Q21" i="206"/>
  <c r="W25" i="200"/>
  <c r="V25" i="200"/>
  <c r="AT25" i="200" s="1"/>
  <c r="V37" i="199"/>
  <c r="W37" i="199"/>
  <c r="S29" i="205"/>
  <c r="R29" i="205"/>
  <c r="Q29" i="205"/>
  <c r="P34" i="205"/>
  <c r="N34" i="205"/>
  <c r="O34" i="205"/>
  <c r="W41" i="201"/>
  <c r="V41" i="201"/>
  <c r="AT41" i="201" s="1"/>
  <c r="CJ30" i="206"/>
  <c r="X30" i="206"/>
  <c r="EJ76" i="197"/>
  <c r="DR17" i="197"/>
  <c r="CS17" i="197"/>
  <c r="EU17" i="197"/>
  <c r="CR17" i="197"/>
  <c r="DQ17" i="197"/>
  <c r="ET17" i="197"/>
  <c r="ES17" i="197"/>
  <c r="EL76" i="197"/>
  <c r="EH17" i="197"/>
  <c r="EP17" i="197"/>
  <c r="EI17" i="197"/>
  <c r="EO17" i="197"/>
  <c r="U44" i="197"/>
  <c r="T44" i="197"/>
  <c r="CJ18" i="202"/>
  <c r="X18" i="202"/>
  <c r="EJ75" i="199"/>
  <c r="EU16" i="199"/>
  <c r="DR16" i="199"/>
  <c r="CS16" i="199"/>
  <c r="DQ16" i="199"/>
  <c r="CR16" i="199"/>
  <c r="EO16" i="199"/>
  <c r="ET16" i="199"/>
  <c r="EP16" i="199"/>
  <c r="EL75" i="199"/>
  <c r="ES16" i="199"/>
  <c r="EH16" i="199"/>
  <c r="EI16" i="199"/>
  <c r="AR32" i="202"/>
  <c r="T45" i="191"/>
  <c r="EC85" i="191"/>
  <c r="S45" i="191"/>
  <c r="AR19" i="200"/>
  <c r="V37" i="203"/>
  <c r="AT37" i="203" s="1"/>
  <c r="W37" i="203"/>
  <c r="EJ90" i="200"/>
  <c r="EL90" i="200" s="1"/>
  <c r="DR31" i="200"/>
  <c r="CS31" i="200"/>
  <c r="DQ31" i="200"/>
  <c r="CR31" i="200"/>
  <c r="ET31" i="200"/>
  <c r="EH31" i="200"/>
  <c r="EU31" i="200"/>
  <c r="EI31" i="200"/>
  <c r="ES31" i="200"/>
  <c r="EO31" i="200"/>
  <c r="EP31" i="200"/>
  <c r="CJ35" i="196"/>
  <c r="X35" i="196"/>
  <c r="X32" i="196"/>
  <c r="CJ32" i="196"/>
  <c r="P21" i="201"/>
  <c r="O21" i="201"/>
  <c r="N21" i="201"/>
  <c r="P29" i="203"/>
  <c r="O29" i="203"/>
  <c r="N29" i="203"/>
  <c r="U20" i="200"/>
  <c r="T20" i="200"/>
  <c r="R36" i="205"/>
  <c r="Q36" i="205"/>
  <c r="S36" i="205"/>
  <c r="S36" i="206"/>
  <c r="R36" i="206"/>
  <c r="Q36" i="206"/>
  <c r="CH35" i="198"/>
  <c r="S23" i="197"/>
  <c r="R23" i="197"/>
  <c r="Q23" i="197"/>
  <c r="V37" i="193"/>
  <c r="U37" i="193"/>
  <c r="BV37" i="193" s="1"/>
  <c r="EL29" i="193"/>
  <c r="P34" i="196"/>
  <c r="N34" i="196"/>
  <c r="O34" i="196"/>
  <c r="X42" i="199"/>
  <c r="CJ42" i="199"/>
  <c r="S37" i="207"/>
  <c r="R37" i="207"/>
  <c r="Q37" i="207"/>
  <c r="EJ84" i="206"/>
  <c r="EU25" i="206"/>
  <c r="DR25" i="206"/>
  <c r="CS25" i="206"/>
  <c r="DQ25" i="206"/>
  <c r="CR25" i="206"/>
  <c r="EL84" i="206"/>
  <c r="EP25" i="206"/>
  <c r="ES25" i="206"/>
  <c r="ET25" i="206"/>
  <c r="EO25" i="206"/>
  <c r="EI25" i="206"/>
  <c r="EH25" i="206"/>
  <c r="S34" i="202"/>
  <c r="R34" i="202"/>
  <c r="Q34" i="202"/>
  <c r="W42" i="204"/>
  <c r="V42" i="204"/>
  <c r="AT42" i="204" s="1"/>
  <c r="U19" i="207"/>
  <c r="T19" i="207"/>
  <c r="CJ28" i="207"/>
  <c r="X28" i="207"/>
  <c r="U16" i="197"/>
  <c r="T16" i="197"/>
  <c r="AR16" i="197" s="1"/>
  <c r="Q38" i="202"/>
  <c r="S38" i="202"/>
  <c r="R38" i="202"/>
  <c r="EC85" i="193"/>
  <c r="T45" i="193"/>
  <c r="S45" i="193"/>
  <c r="DQ18" i="197"/>
  <c r="CR18" i="197"/>
  <c r="EU18" i="197"/>
  <c r="EL77" i="197"/>
  <c r="DR18" i="197"/>
  <c r="CS18" i="197"/>
  <c r="EJ77" i="197"/>
  <c r="ES18" i="197"/>
  <c r="ET18" i="197"/>
  <c r="EI18" i="197"/>
  <c r="EH18" i="197"/>
  <c r="EP18" i="197"/>
  <c r="EO18" i="197"/>
  <c r="CJ44" i="197"/>
  <c r="X44" i="197"/>
  <c r="T17" i="207"/>
  <c r="U17" i="207"/>
  <c r="P30" i="196"/>
  <c r="O30" i="196"/>
  <c r="N30" i="196"/>
  <c r="Q42" i="208"/>
  <c r="S42" i="208"/>
  <c r="R42" i="208"/>
  <c r="CJ28" i="203"/>
  <c r="X28" i="203"/>
  <c r="EI18" i="199"/>
  <c r="CH34" i="201"/>
  <c r="V40" i="201"/>
  <c r="AT40" i="201" s="1"/>
  <c r="W40" i="201"/>
  <c r="R35" i="197"/>
  <c r="Q35" i="197"/>
  <c r="S35" i="197"/>
  <c r="AU57" i="206"/>
  <c r="AP57" i="206"/>
  <c r="AZ57" i="206" s="1"/>
  <c r="Q24" i="198"/>
  <c r="S24" i="198"/>
  <c r="R24" i="198"/>
  <c r="P27" i="197"/>
  <c r="O27" i="197"/>
  <c r="N27" i="197"/>
  <c r="CH42" i="203"/>
  <c r="X27" i="197"/>
  <c r="CJ27" i="197"/>
  <c r="EJ97" i="207"/>
  <c r="EU38" i="207"/>
  <c r="ES38" i="207"/>
  <c r="DQ38" i="207"/>
  <c r="CR38" i="207"/>
  <c r="DR38" i="207"/>
  <c r="CS38" i="207"/>
  <c r="ET38" i="207"/>
  <c r="EL97" i="207"/>
  <c r="EO38" i="207"/>
  <c r="EI38" i="207"/>
  <c r="EP38" i="207"/>
  <c r="EH38" i="207"/>
  <c r="EJ93" i="208"/>
  <c r="EL93" i="208" s="1"/>
  <c r="DR34" i="208"/>
  <c r="EU34" i="208"/>
  <c r="CS34" i="208"/>
  <c r="CR34" i="208"/>
  <c r="ES34" i="208"/>
  <c r="DQ34" i="208"/>
  <c r="ET34" i="208"/>
  <c r="EO34" i="208"/>
  <c r="EP34" i="208"/>
  <c r="V19" i="207"/>
  <c r="AT19" i="207" s="1"/>
  <c r="W19" i="207"/>
  <c r="EU25" i="203"/>
  <c r="EJ84" i="203"/>
  <c r="EL84" i="203" s="1"/>
  <c r="DR25" i="203"/>
  <c r="CR25" i="203"/>
  <c r="DQ25" i="203"/>
  <c r="EO25" i="203"/>
  <c r="CS25" i="203"/>
  <c r="ES25" i="203"/>
  <c r="ET25" i="203"/>
  <c r="EI25" i="203"/>
  <c r="EH25" i="203"/>
  <c r="EP25" i="203"/>
  <c r="T34" i="193"/>
  <c r="S34" i="193"/>
  <c r="EC74" i="193"/>
  <c r="S23" i="200"/>
  <c r="Q23" i="200"/>
  <c r="R23" i="200"/>
  <c r="AT18" i="197"/>
  <c r="X43" i="202"/>
  <c r="CJ43" i="202"/>
  <c r="U21" i="203"/>
  <c r="T21" i="203"/>
  <c r="AR21" i="203" s="1"/>
  <c r="S43" i="199"/>
  <c r="R43" i="199"/>
  <c r="Q43" i="199"/>
  <c r="P21" i="207"/>
  <c r="O21" i="207"/>
  <c r="N21" i="207"/>
  <c r="U29" i="202"/>
  <c r="T29" i="202"/>
  <c r="AR29" i="202" s="1"/>
  <c r="V23" i="196"/>
  <c r="W23" i="196"/>
  <c r="P19" i="200"/>
  <c r="O19" i="200"/>
  <c r="N19" i="200"/>
  <c r="EJ93" i="203"/>
  <c r="DR34" i="203"/>
  <c r="CS34" i="203"/>
  <c r="DQ34" i="203"/>
  <c r="CR34" i="203"/>
  <c r="EU34" i="203"/>
  <c r="EP34" i="203"/>
  <c r="ES34" i="203"/>
  <c r="EL93" i="203"/>
  <c r="ET34" i="203"/>
  <c r="EH34" i="203"/>
  <c r="EI34" i="203"/>
  <c r="EO34" i="203"/>
  <c r="W42" i="203"/>
  <c r="V42" i="203"/>
  <c r="DR44" i="204"/>
  <c r="M44" i="204" s="1"/>
  <c r="CS44" i="204"/>
  <c r="DQ44" i="204"/>
  <c r="L44" i="204" s="1"/>
  <c r="CR44" i="204"/>
  <c r="EJ103" i="204"/>
  <c r="EU44" i="204"/>
  <c r="ET44" i="204"/>
  <c r="ES44" i="204"/>
  <c r="EL103" i="204"/>
  <c r="EH44" i="204"/>
  <c r="EP44" i="204"/>
  <c r="EI44" i="204"/>
  <c r="EO44" i="204"/>
  <c r="R41" i="197"/>
  <c r="Q41" i="197"/>
  <c r="S41" i="197"/>
  <c r="AT23" i="203"/>
  <c r="EU27" i="201"/>
  <c r="DR27" i="201"/>
  <c r="CS27" i="201"/>
  <c r="EJ86" i="201"/>
  <c r="EL86" i="201" s="1"/>
  <c r="DQ27" i="201"/>
  <c r="CR27" i="201"/>
  <c r="EO27" i="201"/>
  <c r="ES27" i="201"/>
  <c r="EP27" i="201"/>
  <c r="ET27" i="201"/>
  <c r="EH27" i="201"/>
  <c r="EI27" i="201"/>
  <c r="O20" i="201"/>
  <c r="N20" i="201"/>
  <c r="P20" i="201"/>
  <c r="O27" i="196"/>
  <c r="N27" i="196"/>
  <c r="P27" i="196"/>
  <c r="EU32" i="206"/>
  <c r="ES32" i="206"/>
  <c r="DR32" i="206"/>
  <c r="CS32" i="206"/>
  <c r="EJ91" i="206"/>
  <c r="EL91" i="206" s="1"/>
  <c r="CR32" i="206"/>
  <c r="DQ32" i="206"/>
  <c r="ET32" i="206"/>
  <c r="EP32" i="206"/>
  <c r="EO32" i="206"/>
  <c r="P34" i="197"/>
  <c r="O34" i="197"/>
  <c r="N34" i="197"/>
  <c r="CH42" i="206"/>
  <c r="X25" i="204"/>
  <c r="CJ25" i="204"/>
  <c r="EU42" i="197"/>
  <c r="DR42" i="197"/>
  <c r="M42" i="197" s="1"/>
  <c r="CS42" i="197"/>
  <c r="EJ101" i="197"/>
  <c r="CR42" i="197"/>
  <c r="DQ42" i="197"/>
  <c r="L42" i="197" s="1"/>
  <c r="EO42" i="197"/>
  <c r="EP42" i="197"/>
  <c r="ET42" i="197"/>
  <c r="ES42" i="197"/>
  <c r="EL101" i="197"/>
  <c r="EI42" i="197"/>
  <c r="EH42" i="197"/>
  <c r="S16" i="205"/>
  <c r="R16" i="205"/>
  <c r="Q16" i="205"/>
  <c r="R40" i="202"/>
  <c r="Q40" i="202"/>
  <c r="S40" i="202"/>
  <c r="CH44" i="207"/>
  <c r="CH34" i="208"/>
  <c r="P37" i="197"/>
  <c r="O37" i="197"/>
  <c r="N37" i="197"/>
  <c r="AT30" i="206"/>
  <c r="AT42" i="208"/>
  <c r="P31" i="199"/>
  <c r="O31" i="199"/>
  <c r="N31" i="199"/>
  <c r="AZ44" i="201"/>
  <c r="AP44" i="201"/>
  <c r="AU44" i="201"/>
  <c r="CJ43" i="203"/>
  <c r="X43" i="203"/>
  <c r="S43" i="197"/>
  <c r="R43" i="197"/>
  <c r="Q43" i="197"/>
  <c r="S34" i="198"/>
  <c r="Q34" i="198"/>
  <c r="R34" i="198"/>
  <c r="S30" i="201"/>
  <c r="R30" i="201"/>
  <c r="Q30" i="201"/>
  <c r="T31" i="196"/>
  <c r="AR31" i="196" s="1"/>
  <c r="U31" i="196"/>
  <c r="V42" i="198"/>
  <c r="W42" i="198"/>
  <c r="S25" i="202"/>
  <c r="R25" i="202"/>
  <c r="Q25" i="202"/>
  <c r="EM37" i="193"/>
  <c r="P16" i="207"/>
  <c r="O16" i="207"/>
  <c r="N16" i="207"/>
  <c r="T42" i="202"/>
  <c r="U42" i="202"/>
  <c r="W44" i="197"/>
  <c r="V44" i="197"/>
  <c r="AT44" i="197" s="1"/>
  <c r="EJ92" i="203"/>
  <c r="DR33" i="203"/>
  <c r="CS33" i="203"/>
  <c r="EU33" i="203"/>
  <c r="CR33" i="203"/>
  <c r="DQ33" i="203"/>
  <c r="EL92" i="203"/>
  <c r="ES33" i="203"/>
  <c r="EH33" i="203"/>
  <c r="EI33" i="203"/>
  <c r="ET33" i="203"/>
  <c r="EP33" i="203"/>
  <c r="EO33" i="203"/>
  <c r="P31" i="203"/>
  <c r="O31" i="203"/>
  <c r="N31" i="203"/>
  <c r="P17" i="207"/>
  <c r="O17" i="207"/>
  <c r="N17" i="207"/>
  <c r="AP45" i="205"/>
  <c r="AZ45" i="205"/>
  <c r="AU45" i="205"/>
  <c r="W24" i="199"/>
  <c r="V24" i="199"/>
  <c r="AT24" i="199" s="1"/>
  <c r="S33" i="197"/>
  <c r="Q33" i="197"/>
  <c r="R33" i="197"/>
  <c r="W17" i="198"/>
  <c r="V17" i="198"/>
  <c r="AT17" i="198" s="1"/>
  <c r="DR43" i="198"/>
  <c r="M43" i="198" s="1"/>
  <c r="CS43" i="198"/>
  <c r="EL102" i="198"/>
  <c r="EJ102" i="198"/>
  <c r="DQ43" i="198"/>
  <c r="L43" i="198" s="1"/>
  <c r="EU43" i="198"/>
  <c r="ET43" i="198"/>
  <c r="CR43" i="198"/>
  <c r="ES43" i="198"/>
  <c r="EH43" i="198"/>
  <c r="EI43" i="198"/>
  <c r="EO43" i="198"/>
  <c r="EP43" i="198"/>
  <c r="EI22" i="205"/>
  <c r="S37" i="198"/>
  <c r="R37" i="198"/>
  <c r="Q37" i="198"/>
  <c r="S23" i="205"/>
  <c r="R23" i="205"/>
  <c r="Q23" i="205"/>
  <c r="EJ98" i="206"/>
  <c r="EL98" i="206" s="1"/>
  <c r="EU39" i="206"/>
  <c r="ES39" i="206"/>
  <c r="CS39" i="206"/>
  <c r="DQ39" i="206"/>
  <c r="CR39" i="206"/>
  <c r="DR39" i="206"/>
  <c r="ET39" i="206"/>
  <c r="EO39" i="206"/>
  <c r="EP39" i="206"/>
  <c r="Q28" i="208"/>
  <c r="R28" i="208"/>
  <c r="S28" i="208"/>
  <c r="CJ16" i="201"/>
  <c r="X16" i="201"/>
  <c r="EL26" i="192"/>
  <c r="U40" i="193"/>
  <c r="V40" i="193"/>
  <c r="W33" i="203"/>
  <c r="V33" i="203"/>
  <c r="O36" i="199"/>
  <c r="N36" i="199"/>
  <c r="P36" i="199"/>
  <c r="BV44" i="191"/>
  <c r="S41" i="198"/>
  <c r="R41" i="198"/>
  <c r="Q41" i="198"/>
  <c r="R17" i="206"/>
  <c r="Q17" i="206"/>
  <c r="S17" i="206"/>
  <c r="FK60" i="193"/>
  <c r="FJ59" i="193"/>
  <c r="P16" i="208"/>
  <c r="N16" i="208"/>
  <c r="O16" i="208"/>
  <c r="P31" i="201"/>
  <c r="O31" i="201"/>
  <c r="N31" i="201"/>
  <c r="X28" i="200"/>
  <c r="CJ28" i="200"/>
  <c r="P17" i="208"/>
  <c r="N17" i="208"/>
  <c r="O17" i="208"/>
  <c r="CJ38" i="204"/>
  <c r="X38" i="204"/>
  <c r="T21" i="200"/>
  <c r="AR21" i="200" s="1"/>
  <c r="U21" i="200"/>
  <c r="W44" i="202"/>
  <c r="V44" i="202"/>
  <c r="AT44" i="202" s="1"/>
  <c r="X18" i="199"/>
  <c r="CJ18" i="199"/>
  <c r="T44" i="191"/>
  <c r="S44" i="191"/>
  <c r="EC84" i="191"/>
  <c r="CH29" i="205"/>
  <c r="EL38" i="192"/>
  <c r="U39" i="203"/>
  <c r="T39" i="203"/>
  <c r="AR39" i="203" s="1"/>
  <c r="EL41" i="193"/>
  <c r="R21" i="202"/>
  <c r="S21" i="202"/>
  <c r="Q21" i="202"/>
  <c r="AZ41" i="204"/>
  <c r="AU41" i="204"/>
  <c r="AP41" i="204"/>
  <c r="S20" i="197"/>
  <c r="R20" i="197"/>
  <c r="Q20" i="197"/>
  <c r="W41" i="192"/>
  <c r="EN41" i="192"/>
  <c r="S35" i="201"/>
  <c r="R35" i="201"/>
  <c r="Q35" i="201"/>
  <c r="S21" i="197"/>
  <c r="R21" i="197"/>
  <c r="Q21" i="197"/>
  <c r="GB57" i="193"/>
  <c r="FZ57" i="193"/>
  <c r="EU43" i="202"/>
  <c r="EO43" i="202"/>
  <c r="EL102" i="202"/>
  <c r="EJ102" i="202"/>
  <c r="DR43" i="202"/>
  <c r="M43" i="202" s="1"/>
  <c r="CS43" i="202"/>
  <c r="DQ43" i="202"/>
  <c r="L43" i="202" s="1"/>
  <c r="CR43" i="202"/>
  <c r="EP43" i="202"/>
  <c r="ES43" i="202"/>
  <c r="ET43" i="202"/>
  <c r="CH45" i="201"/>
  <c r="W38" i="207"/>
  <c r="V38" i="207"/>
  <c r="AT38" i="207" s="1"/>
  <c r="AT32" i="206"/>
  <c r="AT32" i="196"/>
  <c r="N36" i="196"/>
  <c r="P36" i="196"/>
  <c r="O36" i="196"/>
  <c r="P25" i="204"/>
  <c r="O25" i="204"/>
  <c r="N25" i="204"/>
  <c r="EL19" i="193"/>
  <c r="U24" i="198"/>
  <c r="T24" i="198"/>
  <c r="AR24" i="198" s="1"/>
  <c r="P23" i="201"/>
  <c r="N23" i="201"/>
  <c r="O23" i="201"/>
  <c r="AT22" i="203"/>
  <c r="U39" i="202"/>
  <c r="T39" i="202"/>
  <c r="CJ17" i="198"/>
  <c r="X17" i="198"/>
  <c r="T35" i="199"/>
  <c r="U35" i="199"/>
  <c r="W27" i="197"/>
  <c r="V27" i="197"/>
  <c r="AT27" i="197" s="1"/>
  <c r="U38" i="200"/>
  <c r="T38" i="200"/>
  <c r="S28" i="196"/>
  <c r="Q28" i="196"/>
  <c r="R28" i="196"/>
  <c r="CH40" i="204"/>
  <c r="Q32" i="199"/>
  <c r="S32" i="199"/>
  <c r="R32" i="199"/>
  <c r="EU16" i="201"/>
  <c r="EJ75" i="201"/>
  <c r="EL75" i="201" s="1"/>
  <c r="DQ16" i="201"/>
  <c r="CR16" i="201"/>
  <c r="CS16" i="201"/>
  <c r="EO16" i="201"/>
  <c r="DR16" i="201"/>
  <c r="ES16" i="201"/>
  <c r="EP16" i="201"/>
  <c r="ET16" i="201"/>
  <c r="X35" i="197"/>
  <c r="CJ35" i="197"/>
  <c r="AT42" i="199"/>
  <c r="P33" i="196"/>
  <c r="O33" i="196"/>
  <c r="N33" i="196"/>
  <c r="U42" i="200"/>
  <c r="T42" i="200"/>
  <c r="AR42" i="200" s="1"/>
  <c r="EL40" i="192"/>
  <c r="DR45" i="208"/>
  <c r="M45" i="208" s="1"/>
  <c r="CS45" i="208"/>
  <c r="EJ104" i="208"/>
  <c r="EU45" i="208"/>
  <c r="DQ45" i="208"/>
  <c r="L45" i="208" s="1"/>
  <c r="CR45" i="208"/>
  <c r="EL104" i="208"/>
  <c r="ET45" i="208"/>
  <c r="ES45" i="208"/>
  <c r="EP45" i="208"/>
  <c r="EH45" i="208"/>
  <c r="EO45" i="208"/>
  <c r="EI45" i="208"/>
  <c r="AT19" i="208"/>
  <c r="N32" i="198"/>
  <c r="P32" i="198"/>
  <c r="O32" i="198"/>
  <c r="O20" i="207"/>
  <c r="N20" i="207"/>
  <c r="P20" i="207"/>
  <c r="V27" i="204"/>
  <c r="W27" i="204"/>
  <c r="CI18" i="208"/>
  <c r="P31" i="196"/>
  <c r="O31" i="196"/>
  <c r="N31" i="196"/>
  <c r="U43" i="206"/>
  <c r="T43" i="206"/>
  <c r="CS44" i="208"/>
  <c r="DR44" i="208"/>
  <c r="M44" i="208" s="1"/>
  <c r="CR44" i="208"/>
  <c r="EO44" i="208"/>
  <c r="DQ44" i="208"/>
  <c r="L44" i="208" s="1"/>
  <c r="ET44" i="208"/>
  <c r="EU44" i="208"/>
  <c r="EL103" i="208"/>
  <c r="EH44" i="208"/>
  <c r="EJ103" i="208"/>
  <c r="ES44" i="208"/>
  <c r="EP44" i="208"/>
  <c r="EI44" i="208"/>
  <c r="CH32" i="196"/>
  <c r="N28" i="207"/>
  <c r="P28" i="207"/>
  <c r="O28" i="207"/>
  <c r="S29" i="203"/>
  <c r="R29" i="203"/>
  <c r="Q29" i="203"/>
  <c r="EJ94" i="207"/>
  <c r="CS35" i="207"/>
  <c r="DR35" i="207"/>
  <c r="CR35" i="207"/>
  <c r="EU35" i="207"/>
  <c r="DQ35" i="207"/>
  <c r="ES35" i="207"/>
  <c r="ET35" i="207"/>
  <c r="EL94" i="207"/>
  <c r="EI35" i="207"/>
  <c r="EH35" i="207"/>
  <c r="EP35" i="207"/>
  <c r="EO35" i="207"/>
  <c r="S33" i="205"/>
  <c r="Q33" i="205"/>
  <c r="R33" i="205"/>
  <c r="R39" i="196"/>
  <c r="Q39" i="196"/>
  <c r="S39" i="196"/>
  <c r="S21" i="205"/>
  <c r="R21" i="205"/>
  <c r="Q21" i="205"/>
  <c r="N22" i="197"/>
  <c r="P22" i="197"/>
  <c r="O22" i="197"/>
  <c r="P33" i="199"/>
  <c r="O33" i="199"/>
  <c r="N33" i="199"/>
  <c r="EJ104" i="199"/>
  <c r="DR45" i="199"/>
  <c r="M45" i="199" s="1"/>
  <c r="CS45" i="199"/>
  <c r="EU45" i="199"/>
  <c r="EO45" i="199"/>
  <c r="CR45" i="199"/>
  <c r="DQ45" i="199"/>
  <c r="L45" i="199" s="1"/>
  <c r="ET45" i="199"/>
  <c r="EL104" i="199"/>
  <c r="ES45" i="199"/>
  <c r="EP45" i="199"/>
  <c r="EI45" i="199"/>
  <c r="EH45" i="199"/>
  <c r="CJ40" i="201"/>
  <c r="X40" i="201"/>
  <c r="EC78" i="192"/>
  <c r="S38" i="192"/>
  <c r="T38" i="192"/>
  <c r="Q21" i="204"/>
  <c r="R21" i="204"/>
  <c r="S21" i="204"/>
  <c r="W16" i="200"/>
  <c r="V16" i="200"/>
  <c r="AT16" i="200" s="1"/>
  <c r="R29" i="198"/>
  <c r="Q29" i="198"/>
  <c r="S29" i="198"/>
  <c r="P24" i="199"/>
  <c r="O24" i="199"/>
  <c r="N24" i="199"/>
  <c r="P32" i="207"/>
  <c r="O32" i="207"/>
  <c r="N32" i="207"/>
  <c r="S19" i="203"/>
  <c r="Q19" i="203"/>
  <c r="R19" i="203"/>
  <c r="R34" i="205"/>
  <c r="S34" i="205"/>
  <c r="Q34" i="205"/>
  <c r="EC76" i="193"/>
  <c r="S36" i="193"/>
  <c r="T36" i="193"/>
  <c r="EJ95" i="208"/>
  <c r="DR36" i="208"/>
  <c r="M36" i="208" s="1"/>
  <c r="CS36" i="208"/>
  <c r="DQ36" i="208"/>
  <c r="L36" i="208" s="1"/>
  <c r="EU36" i="208"/>
  <c r="EL95" i="208"/>
  <c r="ES36" i="208"/>
  <c r="CR36" i="208"/>
  <c r="ET36" i="208"/>
  <c r="EI36" i="208"/>
  <c r="EH36" i="208"/>
  <c r="P18" i="205"/>
  <c r="O18" i="205"/>
  <c r="N18" i="205"/>
  <c r="W45" i="197"/>
  <c r="V45" i="197"/>
  <c r="AT45" i="197" s="1"/>
  <c r="V38" i="205"/>
  <c r="AT38" i="205" s="1"/>
  <c r="W38" i="205"/>
  <c r="O38" i="201"/>
  <c r="N38" i="201"/>
  <c r="P38" i="201"/>
  <c r="S45" i="201"/>
  <c r="R45" i="201"/>
  <c r="Q45" i="201"/>
  <c r="Q35" i="204"/>
  <c r="R35" i="204"/>
  <c r="S35" i="204"/>
  <c r="P30" i="204"/>
  <c r="O30" i="204"/>
  <c r="N30" i="204"/>
  <c r="Q29" i="208"/>
  <c r="R29" i="208"/>
  <c r="S29" i="208"/>
  <c r="O39" i="202"/>
  <c r="N39" i="202"/>
  <c r="P39" i="202"/>
  <c r="R43" i="207"/>
  <c r="Q43" i="207"/>
  <c r="S43" i="207"/>
  <c r="U27" i="206"/>
  <c r="T27" i="206"/>
  <c r="AR27" i="206" s="1"/>
  <c r="EJ83" i="205"/>
  <c r="DQ24" i="205"/>
  <c r="CR24" i="205"/>
  <c r="EU24" i="205"/>
  <c r="CS24" i="205"/>
  <c r="DR24" i="205"/>
  <c r="EO24" i="205"/>
  <c r="EP24" i="205"/>
  <c r="ES24" i="205"/>
  <c r="ET24" i="205"/>
  <c r="EI24" i="205"/>
  <c r="EH24" i="205"/>
  <c r="EL83" i="205"/>
  <c r="EJ77" i="199"/>
  <c r="DR18" i="199"/>
  <c r="CS18" i="199"/>
  <c r="DQ18" i="199"/>
  <c r="CR18" i="199"/>
  <c r="EU18" i="199"/>
  <c r="EO18" i="199"/>
  <c r="EP18" i="199"/>
  <c r="ES18" i="199"/>
  <c r="EL77" i="199"/>
  <c r="ET18" i="199"/>
  <c r="P24" i="197"/>
  <c r="O24" i="197"/>
  <c r="N24" i="197"/>
  <c r="P23" i="200"/>
  <c r="O23" i="200"/>
  <c r="N23" i="200"/>
  <c r="S36" i="204"/>
  <c r="R36" i="204"/>
  <c r="Q36" i="204"/>
  <c r="AR45" i="198"/>
  <c r="U27" i="204"/>
  <c r="T27" i="204"/>
  <c r="AR27" i="204" s="1"/>
  <c r="O36" i="205"/>
  <c r="P36" i="205"/>
  <c r="N36" i="205"/>
  <c r="T35" i="204"/>
  <c r="AR35" i="204" s="1"/>
  <c r="U35" i="204"/>
  <c r="AP44" i="199"/>
  <c r="AZ44" i="199"/>
  <c r="AU44" i="199"/>
  <c r="EM44" i="192"/>
  <c r="N16" i="205"/>
  <c r="P16" i="205"/>
  <c r="O16" i="205"/>
  <c r="U31" i="205"/>
  <c r="T31" i="205"/>
  <c r="T34" i="196"/>
  <c r="U34" i="196"/>
  <c r="X30" i="207"/>
  <c r="CJ30" i="207"/>
  <c r="CJ29" i="204"/>
  <c r="X29" i="204"/>
  <c r="P40" i="206"/>
  <c r="O40" i="206"/>
  <c r="N40" i="206"/>
  <c r="U22" i="203"/>
  <c r="T22" i="203"/>
  <c r="AR22" i="203" s="1"/>
  <c r="EL79" i="205"/>
  <c r="EJ79" i="205"/>
  <c r="DR20" i="205"/>
  <c r="CS20" i="205"/>
  <c r="EU20" i="205"/>
  <c r="DQ20" i="205"/>
  <c r="CR20" i="205"/>
  <c r="EO20" i="205"/>
  <c r="ES20" i="205"/>
  <c r="ET20" i="205"/>
  <c r="EP20" i="205"/>
  <c r="EH20" i="205"/>
  <c r="EI20" i="205"/>
  <c r="CJ20" i="197"/>
  <c r="X20" i="197"/>
  <c r="AR41" i="198"/>
  <c r="P41" i="203"/>
  <c r="O41" i="203"/>
  <c r="N41" i="203"/>
  <c r="P42" i="208"/>
  <c r="O42" i="208"/>
  <c r="N42" i="208"/>
  <c r="V42" i="206"/>
  <c r="W42" i="206"/>
  <c r="N19" i="208"/>
  <c r="P19" i="208"/>
  <c r="O19" i="208"/>
  <c r="CJ28" i="202"/>
  <c r="X28" i="202"/>
  <c r="CJ43" i="197"/>
  <c r="X43" i="197"/>
  <c r="T37" i="208"/>
  <c r="AR37" i="208" s="1"/>
  <c r="U37" i="208"/>
  <c r="W41" i="202"/>
  <c r="V41" i="202"/>
  <c r="CH33" i="196"/>
  <c r="S34" i="201"/>
  <c r="R34" i="201"/>
  <c r="Q34" i="201"/>
  <c r="EJ101" i="203"/>
  <c r="EU42" i="203"/>
  <c r="DQ42" i="203"/>
  <c r="L42" i="203" s="1"/>
  <c r="CR42" i="203"/>
  <c r="CS42" i="203"/>
  <c r="DR42" i="203"/>
  <c r="M42" i="203" s="1"/>
  <c r="ET42" i="203"/>
  <c r="ES42" i="203"/>
  <c r="EL101" i="203"/>
  <c r="EO42" i="203"/>
  <c r="EP42" i="203"/>
  <c r="P32" i="199"/>
  <c r="O32" i="199"/>
  <c r="N32" i="199"/>
  <c r="Q39" i="202"/>
  <c r="S39" i="202"/>
  <c r="R39" i="202"/>
  <c r="V43" i="204"/>
  <c r="W43" i="204"/>
  <c r="AT19" i="203"/>
  <c r="CJ27" i="204"/>
  <c r="X27" i="204"/>
  <c r="X35" i="204"/>
  <c r="CJ35" i="204"/>
  <c r="W18" i="203"/>
  <c r="V18" i="203"/>
  <c r="AT18" i="203" s="1"/>
  <c r="P20" i="203"/>
  <c r="O20" i="203"/>
  <c r="N20" i="203"/>
  <c r="CI33" i="197"/>
  <c r="U26" i="208"/>
  <c r="T26" i="208"/>
  <c r="AR26" i="208" s="1"/>
  <c r="AT26" i="196"/>
  <c r="AZ41" i="199"/>
  <c r="AP41" i="199"/>
  <c r="AU41" i="199"/>
  <c r="CH26" i="205"/>
  <c r="U35" i="196"/>
  <c r="T35" i="196"/>
  <c r="AR35" i="196" s="1"/>
  <c r="U22" i="204"/>
  <c r="T22" i="204"/>
  <c r="X36" i="208"/>
  <c r="CJ36" i="208"/>
  <c r="T16" i="199"/>
  <c r="U16" i="199"/>
  <c r="CJ34" i="196"/>
  <c r="X34" i="196"/>
  <c r="V42" i="193"/>
  <c r="U42" i="193"/>
  <c r="O39" i="200"/>
  <c r="N39" i="200"/>
  <c r="P39" i="200"/>
  <c r="N33" i="197"/>
  <c r="O33" i="197"/>
  <c r="P33" i="197"/>
  <c r="CJ24" i="196"/>
  <c r="X24" i="196"/>
  <c r="AR32" i="200"/>
  <c r="EL42" i="192"/>
  <c r="U40" i="200"/>
  <c r="T40" i="200"/>
  <c r="AR40" i="200" s="1"/>
  <c r="P38" i="196"/>
  <c r="O38" i="196"/>
  <c r="N38" i="196"/>
  <c r="EC81" i="193"/>
  <c r="S41" i="193"/>
  <c r="T41" i="193"/>
  <c r="R33" i="202"/>
  <c r="Q33" i="202"/>
  <c r="S33" i="202"/>
  <c r="W37" i="200"/>
  <c r="V37" i="200"/>
  <c r="CJ31" i="204"/>
  <c r="X31" i="204"/>
  <c r="Q16" i="198"/>
  <c r="S16" i="198"/>
  <c r="R16" i="198"/>
  <c r="X23" i="201"/>
  <c r="CJ23" i="201"/>
  <c r="W27" i="200"/>
  <c r="V27" i="200"/>
  <c r="R21" i="201"/>
  <c r="Q21" i="201"/>
  <c r="S21" i="201"/>
  <c r="X24" i="199"/>
  <c r="CJ24" i="199"/>
  <c r="S31" i="205"/>
  <c r="R31" i="205"/>
  <c r="Q31" i="205"/>
  <c r="Q33" i="201"/>
  <c r="S33" i="201"/>
  <c r="R33" i="201"/>
  <c r="P36" i="204"/>
  <c r="O36" i="204"/>
  <c r="N36" i="204"/>
  <c r="X17" i="207"/>
  <c r="CJ17" i="207"/>
  <c r="AT34" i="203"/>
  <c r="N39" i="201"/>
  <c r="P39" i="201"/>
  <c r="O39" i="201"/>
  <c r="DQ21" i="198"/>
  <c r="CR21" i="198"/>
  <c r="EL80" i="198"/>
  <c r="EJ80" i="198"/>
  <c r="CS21" i="198"/>
  <c r="DR21" i="198"/>
  <c r="EU21" i="198"/>
  <c r="EH21" i="198"/>
  <c r="ES21" i="198"/>
  <c r="ET21" i="198"/>
  <c r="EO21" i="198"/>
  <c r="EI21" i="198"/>
  <c r="EP21" i="198"/>
  <c r="P41" i="208"/>
  <c r="N41" i="208"/>
  <c r="O41" i="208"/>
  <c r="CJ19" i="201"/>
  <c r="X19" i="201"/>
  <c r="EL40" i="193"/>
  <c r="U23" i="203"/>
  <c r="T23" i="203"/>
  <c r="AR23" i="203" s="1"/>
  <c r="AZ45" i="206"/>
  <c r="AP45" i="206"/>
  <c r="AU45" i="206"/>
  <c r="P39" i="205"/>
  <c r="O39" i="205"/>
  <c r="N39" i="205"/>
  <c r="CJ35" i="203"/>
  <c r="X35" i="203"/>
  <c r="AT31" i="197"/>
  <c r="P33" i="208"/>
  <c r="O33" i="208"/>
  <c r="N33" i="208"/>
  <c r="U25" i="204"/>
  <c r="T25" i="204"/>
  <c r="W43" i="201"/>
  <c r="V43" i="201"/>
  <c r="AT43" i="201" s="1"/>
  <c r="S39" i="201"/>
  <c r="R39" i="201"/>
  <c r="Q39" i="201"/>
  <c r="W34" i="207"/>
  <c r="V34" i="207"/>
  <c r="S41" i="208"/>
  <c r="R41" i="208"/>
  <c r="Q41" i="208"/>
  <c r="AT43" i="203"/>
  <c r="X42" i="204"/>
  <c r="CJ42" i="204"/>
  <c r="Q30" i="200"/>
  <c r="S30" i="200"/>
  <c r="R30" i="200"/>
  <c r="AR43" i="208"/>
  <c r="S32" i="204"/>
  <c r="Q32" i="204"/>
  <c r="R32" i="204"/>
  <c r="EL15" i="192"/>
  <c r="R34" i="197"/>
  <c r="S34" i="197"/>
  <c r="Q34" i="197"/>
  <c r="EM39" i="191"/>
  <c r="U20" i="205"/>
  <c r="T20" i="205"/>
  <c r="AR20" i="205" s="1"/>
  <c r="AR31" i="200"/>
  <c r="EC79" i="192"/>
  <c r="S39" i="192"/>
  <c r="T39" i="192"/>
  <c r="AR39" i="204"/>
  <c r="P40" i="202"/>
  <c r="O40" i="202"/>
  <c r="N40" i="202"/>
  <c r="AR42" i="201"/>
  <c r="R31" i="206"/>
  <c r="Q31" i="206"/>
  <c r="S31" i="206"/>
  <c r="AR37" i="196"/>
  <c r="EH34" i="208"/>
  <c r="Q37" i="197"/>
  <c r="S37" i="197"/>
  <c r="R37" i="197"/>
  <c r="CI36" i="196"/>
  <c r="AT22" i="206"/>
  <c r="R31" i="199"/>
  <c r="Q31" i="199"/>
  <c r="S31" i="199"/>
  <c r="AR30" i="206"/>
  <c r="P19" i="204"/>
  <c r="O19" i="204"/>
  <c r="N19" i="204"/>
  <c r="P43" i="197"/>
  <c r="N43" i="197"/>
  <c r="O43" i="197"/>
  <c r="W43" i="200"/>
  <c r="V43" i="200"/>
  <c r="AT43" i="200" s="1"/>
  <c r="EU16" i="203"/>
  <c r="EJ75" i="203"/>
  <c r="EL75" i="203" s="1"/>
  <c r="DR16" i="203"/>
  <c r="CS16" i="203"/>
  <c r="DQ16" i="203"/>
  <c r="CR16" i="203"/>
  <c r="EI16" i="203"/>
  <c r="ET16" i="203"/>
  <c r="EH16" i="203"/>
  <c r="ES16" i="203"/>
  <c r="CJ32" i="198"/>
  <c r="X32" i="198"/>
  <c r="X31" i="196"/>
  <c r="CJ31" i="196"/>
  <c r="P28" i="204"/>
  <c r="O28" i="204"/>
  <c r="N28" i="204"/>
  <c r="W39" i="203"/>
  <c r="V39" i="203"/>
  <c r="AT39" i="203" s="1"/>
  <c r="P25" i="202"/>
  <c r="O25" i="202"/>
  <c r="N25" i="202"/>
  <c r="P42" i="205"/>
  <c r="O42" i="205"/>
  <c r="N42" i="205"/>
  <c r="U18" i="199"/>
  <c r="T18" i="199"/>
  <c r="AR18" i="199" s="1"/>
  <c r="P29" i="205"/>
  <c r="N29" i="205"/>
  <c r="O29" i="205"/>
  <c r="X42" i="202"/>
  <c r="CJ42" i="202"/>
  <c r="X45" i="198"/>
  <c r="CJ45" i="198"/>
  <c r="CJ25" i="208"/>
  <c r="X25" i="208"/>
  <c r="EL21" i="193"/>
  <c r="CH41" i="201"/>
  <c r="EN39" i="193"/>
  <c r="W39" i="193"/>
  <c r="S25" i="207"/>
  <c r="R25" i="207"/>
  <c r="Q25" i="207"/>
  <c r="P35" i="206"/>
  <c r="N35" i="206"/>
  <c r="O35" i="206"/>
  <c r="P37" i="198"/>
  <c r="O37" i="198"/>
  <c r="N37" i="198"/>
  <c r="N26" i="208"/>
  <c r="P26" i="208"/>
  <c r="O26" i="208"/>
  <c r="N45" i="207"/>
  <c r="P45" i="207"/>
  <c r="O45" i="207"/>
  <c r="U44" i="193"/>
  <c r="BV44" i="193" s="1"/>
  <c r="V44" i="193"/>
  <c r="R32" i="207"/>
  <c r="Q32" i="207"/>
  <c r="S32" i="207"/>
  <c r="O29" i="196"/>
  <c r="N29" i="196"/>
  <c r="P29" i="196"/>
  <c r="AR36" i="196"/>
  <c r="S29" i="201"/>
  <c r="R29" i="201"/>
  <c r="Q29" i="201"/>
  <c r="S36" i="199"/>
  <c r="R36" i="199"/>
  <c r="Q36" i="199"/>
  <c r="P32" i="203"/>
  <c r="O32" i="203"/>
  <c r="N32" i="203"/>
  <c r="N41" i="198"/>
  <c r="O41" i="198"/>
  <c r="P41" i="198"/>
  <c r="CH21" i="208"/>
  <c r="P17" i="206"/>
  <c r="O17" i="206"/>
  <c r="N17" i="206"/>
  <c r="Q40" i="199"/>
  <c r="R40" i="199"/>
  <c r="S40" i="199"/>
  <c r="Q31" i="201"/>
  <c r="R31" i="201"/>
  <c r="S31" i="201"/>
  <c r="N38" i="208"/>
  <c r="P38" i="208"/>
  <c r="O38" i="208"/>
  <c r="FB15" i="192"/>
  <c r="BY15" i="192"/>
  <c r="GK55" i="192"/>
  <c r="EX15" i="192"/>
  <c r="EX16" i="192"/>
  <c r="X31" i="205"/>
  <c r="CJ31" i="205"/>
  <c r="W35" i="200"/>
  <c r="V35" i="200"/>
  <c r="AT40" i="202"/>
  <c r="U25" i="197"/>
  <c r="T25" i="197"/>
  <c r="AR25" i="197" s="1"/>
  <c r="V45" i="198"/>
  <c r="W45" i="198"/>
  <c r="T17" i="201"/>
  <c r="U17" i="201"/>
  <c r="EL45" i="191"/>
  <c r="V35" i="205"/>
  <c r="W35" i="205"/>
  <c r="X25" i="200"/>
  <c r="CJ25" i="200"/>
  <c r="V38" i="206"/>
  <c r="AT38" i="206" s="1"/>
  <c r="W38" i="206"/>
  <c r="N29" i="197"/>
  <c r="P29" i="197"/>
  <c r="O29" i="197"/>
  <c r="X24" i="198"/>
  <c r="CJ24" i="198"/>
  <c r="AR16" i="200"/>
  <c r="EM31" i="191"/>
  <c r="EJ78" i="205"/>
  <c r="DR19" i="205"/>
  <c r="CS19" i="205"/>
  <c r="CR19" i="205"/>
  <c r="EU19" i="205"/>
  <c r="DQ19" i="205"/>
  <c r="EO19" i="205"/>
  <c r="ET19" i="205"/>
  <c r="EP19" i="205"/>
  <c r="EL78" i="205"/>
  <c r="ES19" i="205"/>
  <c r="EH19" i="205"/>
  <c r="EI19" i="205"/>
  <c r="AR43" i="203"/>
  <c r="CH31" i="198"/>
  <c r="S25" i="205"/>
  <c r="R25" i="205"/>
  <c r="Q25" i="205"/>
  <c r="P16" i="204"/>
  <c r="O16" i="204"/>
  <c r="N16" i="204"/>
  <c r="AR16" i="207"/>
  <c r="EH32" i="206"/>
  <c r="EM44" i="193"/>
  <c r="S36" i="196"/>
  <c r="R36" i="196"/>
  <c r="Q36" i="196"/>
  <c r="AT39" i="207"/>
  <c r="S25" i="204"/>
  <c r="R25" i="204"/>
  <c r="Q25" i="204"/>
  <c r="AR21" i="204"/>
  <c r="AR27" i="202"/>
  <c r="CH28" i="200"/>
  <c r="O44" i="206"/>
  <c r="N44" i="206"/>
  <c r="P44" i="206"/>
  <c r="O17" i="203"/>
  <c r="N17" i="203"/>
  <c r="P17" i="203"/>
  <c r="R23" i="201"/>
  <c r="Q23" i="201"/>
  <c r="S23" i="201"/>
  <c r="X16" i="197"/>
  <c r="CJ16" i="197"/>
  <c r="V40" i="192"/>
  <c r="U40" i="192"/>
  <c r="BV40" i="192" s="1"/>
  <c r="U36" i="200"/>
  <c r="T36" i="200"/>
  <c r="AR36" i="200" s="1"/>
  <c r="W37" i="201"/>
  <c r="V37" i="201"/>
  <c r="P31" i="197"/>
  <c r="O31" i="197"/>
  <c r="N31" i="197"/>
  <c r="P45" i="204"/>
  <c r="O45" i="204"/>
  <c r="N45" i="204"/>
  <c r="EL38" i="193"/>
  <c r="U27" i="203"/>
  <c r="T27" i="203"/>
  <c r="AR27" i="203" s="1"/>
  <c r="R31" i="208"/>
  <c r="S31" i="208"/>
  <c r="Q31" i="208"/>
  <c r="W30" i="202"/>
  <c r="V30" i="202"/>
  <c r="AT30" i="202" s="1"/>
  <c r="AR30" i="202"/>
  <c r="CH43" i="197"/>
  <c r="P25" i="199"/>
  <c r="O25" i="199"/>
  <c r="N25" i="199"/>
  <c r="CH25" i="207"/>
  <c r="P45" i="203"/>
  <c r="O45" i="203"/>
  <c r="N45" i="203"/>
  <c r="R42" i="199"/>
  <c r="Q42" i="199"/>
  <c r="S42" i="199"/>
  <c r="X35" i="199"/>
  <c r="CJ35" i="199"/>
  <c r="EL32" i="193"/>
  <c r="S17" i="200"/>
  <c r="R17" i="200"/>
  <c r="Q17" i="200"/>
  <c r="EM16" i="192"/>
  <c r="EL37" i="193"/>
  <c r="U31" i="206"/>
  <c r="T31" i="206"/>
  <c r="AR31" i="206" s="1"/>
  <c r="S20" i="207"/>
  <c r="R20" i="207"/>
  <c r="Q20" i="207"/>
  <c r="T34" i="204"/>
  <c r="U34" i="204"/>
  <c r="O35" i="203"/>
  <c r="N35" i="203"/>
  <c r="P35" i="203"/>
  <c r="BT43" i="192"/>
  <c r="AT42" i="200"/>
  <c r="Q25" i="196"/>
  <c r="R25" i="196"/>
  <c r="S25" i="196"/>
  <c r="P39" i="199"/>
  <c r="O39" i="199"/>
  <c r="N39" i="199"/>
  <c r="CJ32" i="197"/>
  <c r="X32" i="197"/>
  <c r="CJ42" i="206"/>
  <c r="X42" i="206"/>
  <c r="S21" i="207"/>
  <c r="R21" i="207"/>
  <c r="Q21" i="207"/>
  <c r="S34" i="204"/>
  <c r="R34" i="204"/>
  <c r="Q34" i="204"/>
  <c r="P23" i="197"/>
  <c r="N23" i="197"/>
  <c r="O23" i="197"/>
  <c r="X35" i="206"/>
  <c r="CJ35" i="206"/>
  <c r="DR43" i="208"/>
  <c r="M43" i="208" s="1"/>
  <c r="CS43" i="208"/>
  <c r="DQ43" i="208"/>
  <c r="L43" i="208" s="1"/>
  <c r="CR43" i="208"/>
  <c r="EJ102" i="208"/>
  <c r="EU43" i="208"/>
  <c r="EL102" i="208"/>
  <c r="ES43" i="208"/>
  <c r="EP43" i="208"/>
  <c r="EO43" i="208"/>
  <c r="ET43" i="208"/>
  <c r="EH43" i="208"/>
  <c r="EI43" i="208"/>
  <c r="U38" i="201"/>
  <c r="T38" i="201"/>
  <c r="AR38" i="201" s="1"/>
  <c r="BW15" i="193"/>
  <c r="BX15" i="193" s="1"/>
  <c r="EJ103" i="200"/>
  <c r="EU44" i="200"/>
  <c r="DR44" i="200"/>
  <c r="M44" i="200" s="1"/>
  <c r="CS44" i="200"/>
  <c r="DQ44" i="200"/>
  <c r="L44" i="200" s="1"/>
  <c r="CR44" i="200"/>
  <c r="EP44" i="200"/>
  <c r="EO44" i="200"/>
  <c r="ES44" i="200"/>
  <c r="EL103" i="200"/>
  <c r="ET44" i="200"/>
  <c r="EI44" i="200"/>
  <c r="EH44" i="200"/>
  <c r="ES25" i="197"/>
  <c r="DQ25" i="197"/>
  <c r="CR25" i="197"/>
  <c r="EJ84" i="197"/>
  <c r="EL84" i="197" s="1"/>
  <c r="EU25" i="197"/>
  <c r="CS25" i="197"/>
  <c r="DR25" i="197"/>
  <c r="ET25" i="197"/>
  <c r="EH25" i="197"/>
  <c r="EO25" i="197"/>
  <c r="EI25" i="197"/>
  <c r="EP25" i="197"/>
  <c r="R29" i="206"/>
  <c r="Q29" i="206"/>
  <c r="S29" i="206"/>
  <c r="T40" i="193"/>
  <c r="S40" i="193"/>
  <c r="EC80" i="193"/>
  <c r="U18" i="207"/>
  <c r="T18" i="207"/>
  <c r="R19" i="198"/>
  <c r="Q19" i="198"/>
  <c r="S19" i="198"/>
  <c r="S18" i="204"/>
  <c r="R18" i="204"/>
  <c r="Q18" i="204"/>
  <c r="U38" i="208"/>
  <c r="T38" i="208"/>
  <c r="S16" i="204"/>
  <c r="R16" i="204"/>
  <c r="Q16" i="204"/>
  <c r="CJ42" i="203"/>
  <c r="X42" i="203"/>
  <c r="W41" i="206"/>
  <c r="V41" i="206"/>
  <c r="AT41" i="206" s="1"/>
  <c r="V16" i="197"/>
  <c r="W16" i="197"/>
  <c r="EN42" i="193"/>
  <c r="W42" i="193"/>
  <c r="U34" i="207"/>
  <c r="T34" i="207"/>
  <c r="AR34" i="207" s="1"/>
  <c r="O30" i="205"/>
  <c r="N30" i="205"/>
  <c r="P30" i="205"/>
  <c r="X34" i="201"/>
  <c r="CJ34" i="201"/>
  <c r="U20" i="208"/>
  <c r="T20" i="208"/>
  <c r="AR20" i="208" s="1"/>
  <c r="P39" i="204"/>
  <c r="O39" i="204"/>
  <c r="N39" i="204"/>
  <c r="Q45" i="203"/>
  <c r="S45" i="203"/>
  <c r="R45" i="203"/>
  <c r="U19" i="198"/>
  <c r="T19" i="198"/>
  <c r="AR19" i="198" s="1"/>
  <c r="CJ45" i="201"/>
  <c r="X45" i="201"/>
  <c r="CH18" i="200"/>
  <c r="P31" i="205"/>
  <c r="O31" i="205"/>
  <c r="N31" i="205"/>
  <c r="P43" i="199"/>
  <c r="O43" i="199"/>
  <c r="N43" i="199"/>
  <c r="W43" i="198"/>
  <c r="V43" i="198"/>
  <c r="AT43" i="198" s="1"/>
  <c r="P33" i="205"/>
  <c r="O33" i="205"/>
  <c r="N33" i="205"/>
  <c r="P36" i="206"/>
  <c r="O36" i="206"/>
  <c r="N36" i="206"/>
  <c r="P27" i="205"/>
  <c r="O27" i="205"/>
  <c r="N27" i="205"/>
  <c r="U42" i="199"/>
  <c r="T42" i="199"/>
  <c r="AR27" i="197"/>
  <c r="O34" i="198"/>
  <c r="N34" i="198"/>
  <c r="P34" i="198"/>
  <c r="CH24" i="200"/>
  <c r="P17" i="202"/>
  <c r="O17" i="202"/>
  <c r="N17" i="202"/>
  <c r="U41" i="203"/>
  <c r="T41" i="203"/>
  <c r="AR41" i="203" s="1"/>
  <c r="S30" i="207"/>
  <c r="R30" i="207"/>
  <c r="Q30" i="207"/>
  <c r="P21" i="204"/>
  <c r="O21" i="204"/>
  <c r="N21" i="204"/>
  <c r="U27" i="201"/>
  <c r="T27" i="201"/>
  <c r="AR27" i="201" s="1"/>
  <c r="T45" i="200"/>
  <c r="U45" i="200"/>
  <c r="U40" i="208"/>
  <c r="T40" i="208"/>
  <c r="U32" i="198"/>
  <c r="T32" i="198"/>
  <c r="S42" i="204"/>
  <c r="R42" i="204"/>
  <c r="Q42" i="204"/>
  <c r="X34" i="207"/>
  <c r="CJ34" i="207"/>
  <c r="P45" i="201"/>
  <c r="O45" i="201"/>
  <c r="N45" i="201"/>
  <c r="EJ100" i="202"/>
  <c r="DR41" i="202"/>
  <c r="M41" i="202" s="1"/>
  <c r="CS41" i="202"/>
  <c r="DQ41" i="202"/>
  <c r="L41" i="202" s="1"/>
  <c r="CR41" i="202"/>
  <c r="EU41" i="202"/>
  <c r="EL100" i="202"/>
  <c r="ET41" i="202"/>
  <c r="ES41" i="202"/>
  <c r="EP41" i="202"/>
  <c r="EO41" i="202"/>
  <c r="EI41" i="202"/>
  <c r="EH41" i="202"/>
  <c r="S24" i="201"/>
  <c r="R24" i="201"/>
  <c r="Q24" i="201"/>
  <c r="N42" i="198"/>
  <c r="P42" i="198"/>
  <c r="O42" i="198"/>
  <c r="P33" i="202"/>
  <c r="N33" i="202"/>
  <c r="O33" i="202"/>
  <c r="V34" i="193"/>
  <c r="U34" i="193"/>
  <c r="S32" i="197"/>
  <c r="R32" i="197"/>
  <c r="Q32" i="197"/>
  <c r="S30" i="205"/>
  <c r="R30" i="205"/>
  <c r="Q30" i="205"/>
  <c r="FJ58" i="191"/>
  <c r="FK59" i="191"/>
  <c r="T19" i="208"/>
  <c r="U19" i="208"/>
  <c r="P33" i="201"/>
  <c r="O33" i="201"/>
  <c r="N33" i="201"/>
  <c r="T36" i="208"/>
  <c r="U36" i="208"/>
  <c r="U29" i="204"/>
  <c r="T29" i="204"/>
  <c r="P35" i="198"/>
  <c r="N35" i="198"/>
  <c r="O35" i="198"/>
  <c r="U45" i="204"/>
  <c r="T45" i="204"/>
  <c r="AR45" i="204" s="1"/>
  <c r="AT26" i="208"/>
  <c r="S22" i="208"/>
  <c r="R22" i="208"/>
  <c r="Q22" i="208"/>
  <c r="U41" i="193"/>
  <c r="V41" i="193"/>
  <c r="W45" i="200"/>
  <c r="V45" i="200"/>
  <c r="AT45" i="200" s="1"/>
  <c r="S42" i="205"/>
  <c r="R42" i="205"/>
  <c r="Q42" i="205"/>
  <c r="Q24" i="208"/>
  <c r="R24" i="208"/>
  <c r="S24" i="208"/>
  <c r="S16" i="207"/>
  <c r="R16" i="207"/>
  <c r="Q16" i="207"/>
  <c r="X21" i="202"/>
  <c r="CJ21" i="202"/>
  <c r="P32" i="205"/>
  <c r="O32" i="205"/>
  <c r="N32" i="205"/>
  <c r="S22" i="204"/>
  <c r="R22" i="204"/>
  <c r="Q22" i="204"/>
  <c r="Q16" i="208"/>
  <c r="S16" i="208"/>
  <c r="R16" i="208"/>
  <c r="CJ26" i="203"/>
  <c r="X26" i="203"/>
  <c r="U24" i="206"/>
  <c r="T24" i="206"/>
  <c r="AR24" i="206" s="1"/>
  <c r="R31" i="198"/>
  <c r="Q31" i="198"/>
  <c r="S31" i="198"/>
  <c r="AT45" i="207"/>
  <c r="S29" i="197"/>
  <c r="Q29" i="197"/>
  <c r="R29" i="197"/>
  <c r="CJ19" i="207"/>
  <c r="X19" i="207"/>
  <c r="P19" i="198"/>
  <c r="O19" i="198"/>
  <c r="N19" i="198"/>
  <c r="W30" i="200"/>
  <c r="V30" i="200"/>
  <c r="AT30" i="200" s="1"/>
  <c r="U44" i="200"/>
  <c r="T44" i="200"/>
  <c r="AR44" i="200" s="1"/>
  <c r="Q18" i="202"/>
  <c r="R18" i="202"/>
  <c r="S18" i="202"/>
  <c r="Q38" i="201"/>
  <c r="S38" i="201"/>
  <c r="R38" i="201"/>
  <c r="P21" i="202"/>
  <c r="O21" i="202"/>
  <c r="N21" i="202"/>
  <c r="CI18" i="202"/>
  <c r="S19" i="207"/>
  <c r="R19" i="207"/>
  <c r="Q19" i="207"/>
  <c r="U23" i="208"/>
  <c r="T23" i="208"/>
  <c r="EC71" i="191"/>
  <c r="EN31" i="191" s="1"/>
  <c r="W19" i="199"/>
  <c r="V19" i="199"/>
  <c r="EC77" i="193"/>
  <c r="T37" i="193"/>
  <c r="S37" i="193"/>
  <c r="P42" i="199"/>
  <c r="O42" i="199"/>
  <c r="N42" i="199"/>
  <c r="BV43" i="193"/>
  <c r="EM34" i="191"/>
  <c r="S32" i="198"/>
  <c r="R32" i="198"/>
  <c r="Q32" i="198"/>
  <c r="Q31" i="196"/>
  <c r="S31" i="196"/>
  <c r="R31" i="196"/>
  <c r="AT27" i="203"/>
  <c r="AT19" i="201"/>
  <c r="P44" i="198"/>
  <c r="O44" i="198"/>
  <c r="N44" i="198"/>
  <c r="V21" i="197"/>
  <c r="AT21" i="197" s="1"/>
  <c r="W21" i="197"/>
  <c r="S31" i="202"/>
  <c r="R31" i="202"/>
  <c r="Q31" i="202"/>
  <c r="EJ75" i="197"/>
  <c r="EL75" i="197" s="1"/>
  <c r="EU16" i="197"/>
  <c r="ES16" i="197"/>
  <c r="DQ16" i="197"/>
  <c r="CS16" i="197"/>
  <c r="CR16" i="197"/>
  <c r="DR16" i="197"/>
  <c r="ET16" i="197"/>
  <c r="EP16" i="197"/>
  <c r="EO16" i="197"/>
  <c r="T35" i="207"/>
  <c r="AR35" i="207" s="1"/>
  <c r="U35" i="207"/>
  <c r="R22" i="203"/>
  <c r="Q22" i="203"/>
  <c r="S22" i="203"/>
  <c r="N17" i="199"/>
  <c r="O17" i="199"/>
  <c r="P17" i="199"/>
  <c r="P32" i="202"/>
  <c r="O32" i="202"/>
  <c r="N32" i="202"/>
  <c r="X22" i="206"/>
  <c r="CJ22" i="206"/>
  <c r="S19" i="200"/>
  <c r="R19" i="200"/>
  <c r="Q19" i="200"/>
  <c r="EM24" i="192"/>
  <c r="P30" i="200"/>
  <c r="O30" i="200"/>
  <c r="N30" i="200"/>
  <c r="P34" i="204"/>
  <c r="N34" i="204"/>
  <c r="O34" i="204"/>
  <c r="P23" i="196"/>
  <c r="N23" i="196"/>
  <c r="O23" i="196"/>
  <c r="AT31" i="205"/>
  <c r="U24" i="196"/>
  <c r="T24" i="196"/>
  <c r="AR24" i="196" s="1"/>
  <c r="AT27" i="196"/>
  <c r="CH35" i="203"/>
  <c r="S27" i="196"/>
  <c r="Q27" i="196"/>
  <c r="R27" i="196"/>
  <c r="AT23" i="201"/>
  <c r="AR28" i="202"/>
  <c r="R39" i="207"/>
  <c r="Q39" i="207"/>
  <c r="S39" i="207"/>
  <c r="AR26" i="196"/>
  <c r="P31" i="206"/>
  <c r="O31" i="206"/>
  <c r="N31" i="206"/>
  <c r="AR40" i="198"/>
  <c r="P43" i="205"/>
  <c r="O43" i="205"/>
  <c r="N43" i="205"/>
  <c r="X41" i="201"/>
  <c r="CJ41" i="201"/>
  <c r="O39" i="196"/>
  <c r="N39" i="196"/>
  <c r="P39" i="196"/>
  <c r="X42" i="207"/>
  <c r="CJ42" i="207"/>
  <c r="Q43" i="200"/>
  <c r="S43" i="200"/>
  <c r="R43" i="200"/>
  <c r="W45" i="205"/>
  <c r="V45" i="205"/>
  <c r="R17" i="204"/>
  <c r="Q17" i="204"/>
  <c r="S17" i="204"/>
  <c r="W24" i="198"/>
  <c r="V24" i="198"/>
  <c r="S39" i="200"/>
  <c r="R39" i="200"/>
  <c r="Q39" i="200"/>
  <c r="R31" i="203"/>
  <c r="Q31" i="203"/>
  <c r="S31" i="203"/>
  <c r="Q17" i="207"/>
  <c r="S17" i="207"/>
  <c r="R17" i="207"/>
  <c r="W32" i="207"/>
  <c r="V32" i="207"/>
  <c r="EM19" i="192"/>
  <c r="EI34" i="208"/>
  <c r="S40" i="204"/>
  <c r="R40" i="204"/>
  <c r="Q40" i="204"/>
  <c r="EU25" i="201"/>
  <c r="EJ84" i="201"/>
  <c r="DQ25" i="201"/>
  <c r="CR25" i="201"/>
  <c r="CS25" i="201"/>
  <c r="DR25" i="201"/>
  <c r="ET25" i="201"/>
  <c r="ES25" i="201"/>
  <c r="EL84" i="201"/>
  <c r="EP25" i="201"/>
  <c r="EO25" i="201"/>
  <c r="EH25" i="201"/>
  <c r="EI25" i="201"/>
  <c r="CH37" i="197"/>
  <c r="BT39" i="193"/>
  <c r="X22" i="203"/>
  <c r="CJ22" i="203"/>
  <c r="S35" i="206"/>
  <c r="R35" i="206"/>
  <c r="Q35" i="206"/>
  <c r="U41" i="202"/>
  <c r="T41" i="202"/>
  <c r="AR41" i="202" s="1"/>
  <c r="W22" i="208"/>
  <c r="V22" i="208"/>
  <c r="S45" i="207"/>
  <c r="R45" i="207"/>
  <c r="Q45" i="207"/>
  <c r="R23" i="207"/>
  <c r="Q23" i="207"/>
  <c r="S23" i="207"/>
  <c r="T42" i="197"/>
  <c r="AR42" i="197" s="1"/>
  <c r="U42" i="197"/>
  <c r="P28" i="208"/>
  <c r="O28" i="208"/>
  <c r="N28" i="208"/>
  <c r="S32" i="205"/>
  <c r="R32" i="205"/>
  <c r="Q32" i="205"/>
  <c r="Q22" i="201"/>
  <c r="S22" i="201"/>
  <c r="R22" i="201"/>
  <c r="V35" i="196"/>
  <c r="W35" i="196"/>
  <c r="S25" i="198"/>
  <c r="Q25" i="198"/>
  <c r="R25" i="198"/>
  <c r="AR27" i="208"/>
  <c r="AR19" i="206"/>
  <c r="CH28" i="201"/>
  <c r="EH39" i="206"/>
  <c r="O41" i="201"/>
  <c r="N41" i="201"/>
  <c r="P41" i="201"/>
  <c r="FR58" i="191"/>
  <c r="FS59" i="191" s="1"/>
  <c r="FP58" i="191"/>
  <c r="GA58" i="191" s="1"/>
  <c r="FO58" i="191"/>
  <c r="FN58" i="191"/>
  <c r="FW58" i="191" s="1"/>
  <c r="FV58" i="191" s="1"/>
  <c r="FU58" i="191"/>
  <c r="FT58" i="191" s="1"/>
  <c r="FQ58" i="191"/>
  <c r="FY58" i="191" s="1"/>
  <c r="FX57" i="192"/>
  <c r="W23" i="198"/>
  <c r="V23" i="198"/>
  <c r="EC60" i="192"/>
  <c r="EN20" i="192" s="1"/>
  <c r="R18" i="207"/>
  <c r="Q18" i="207"/>
  <c r="S18" i="207"/>
  <c r="W32" i="205"/>
  <c r="V32" i="205"/>
  <c r="AT32" i="205" s="1"/>
  <c r="W41" i="198"/>
  <c r="V41" i="198"/>
  <c r="W29" i="205"/>
  <c r="V29" i="205"/>
  <c r="AT29" i="205" s="1"/>
  <c r="U35" i="197"/>
  <c r="T35" i="197"/>
  <c r="AR35" i="197" s="1"/>
  <c r="U25" i="208"/>
  <c r="T25" i="208"/>
  <c r="AR25" i="208" s="1"/>
  <c r="W33" i="201"/>
  <c r="V33" i="201"/>
  <c r="EU28" i="200"/>
  <c r="EJ87" i="200"/>
  <c r="EL87" i="200" s="1"/>
  <c r="DR28" i="200"/>
  <c r="CR28" i="200"/>
  <c r="DQ28" i="200"/>
  <c r="CS28" i="200"/>
  <c r="ES28" i="200"/>
  <c r="ET28" i="200"/>
  <c r="EO28" i="200"/>
  <c r="EP28" i="200"/>
  <c r="EL22" i="193"/>
  <c r="T30" i="205"/>
  <c r="U30" i="205"/>
  <c r="U37" i="200"/>
  <c r="T37" i="200"/>
  <c r="EL24" i="193"/>
  <c r="DR43" i="204"/>
  <c r="M43" i="204" s="1"/>
  <c r="CS43" i="204"/>
  <c r="DQ43" i="204"/>
  <c r="L43" i="204" s="1"/>
  <c r="CR43" i="204"/>
  <c r="EL102" i="204"/>
  <c r="EU43" i="204"/>
  <c r="ET43" i="204"/>
  <c r="ES43" i="204"/>
  <c r="EJ102" i="204"/>
  <c r="EP43" i="204"/>
  <c r="EO43" i="204"/>
  <c r="EH43" i="204"/>
  <c r="EI43" i="204"/>
  <c r="FU58" i="193"/>
  <c r="FT58" i="193" s="1"/>
  <c r="FO58" i="193"/>
  <c r="FN58" i="193"/>
  <c r="FW58" i="193" s="1"/>
  <c r="FV58" i="193" s="1"/>
  <c r="FR58" i="193"/>
  <c r="FS59" i="193" s="1"/>
  <c r="FQ58" i="193"/>
  <c r="FY58" i="193" s="1"/>
  <c r="FP58" i="193"/>
  <c r="GA58" i="193" s="1"/>
  <c r="CH22" i="205"/>
  <c r="EL44" i="193"/>
  <c r="EL33" i="193"/>
  <c r="Q27" i="197"/>
  <c r="S27" i="197"/>
  <c r="R27" i="197"/>
  <c r="AT22" i="207"/>
  <c r="CH32" i="206"/>
  <c r="P33" i="206"/>
  <c r="N33" i="206"/>
  <c r="O33" i="206"/>
  <c r="N19" i="207"/>
  <c r="P19" i="207"/>
  <c r="O19" i="207"/>
  <c r="AR40" i="207"/>
  <c r="CJ19" i="208"/>
  <c r="X19" i="208"/>
  <c r="BT44" i="192"/>
  <c r="P20" i="200"/>
  <c r="O20" i="200"/>
  <c r="N20" i="200"/>
  <c r="DR41" i="205"/>
  <c r="M41" i="205" s="1"/>
  <c r="CS41" i="205"/>
  <c r="DQ41" i="205"/>
  <c r="L41" i="205" s="1"/>
  <c r="CR41" i="205"/>
  <c r="EJ100" i="205"/>
  <c r="EU41" i="205"/>
  <c r="ET41" i="205"/>
  <c r="ES41" i="205"/>
  <c r="EL100" i="205"/>
  <c r="EI41" i="205"/>
  <c r="EP41" i="205"/>
  <c r="EO41" i="205"/>
  <c r="EH41" i="205"/>
  <c r="AT18" i="205"/>
  <c r="EL32" i="191"/>
  <c r="R31" i="197"/>
  <c r="S31" i="197"/>
  <c r="Q31" i="197"/>
  <c r="R45" i="204"/>
  <c r="Q45" i="204"/>
  <c r="S45" i="204"/>
  <c r="W23" i="207"/>
  <c r="V23" i="207"/>
  <c r="W17" i="201"/>
  <c r="V17" i="201"/>
  <c r="AT17" i="201" s="1"/>
  <c r="S33" i="196"/>
  <c r="R33" i="196"/>
  <c r="Q33" i="196"/>
  <c r="CJ42" i="198"/>
  <c r="X42" i="198"/>
  <c r="T45" i="199"/>
  <c r="U45" i="199"/>
  <c r="EL34" i="193"/>
  <c r="CI36" i="208"/>
  <c r="EM30" i="193"/>
  <c r="AT16" i="198"/>
  <c r="EU44" i="207"/>
  <c r="EJ103" i="207"/>
  <c r="CS44" i="207"/>
  <c r="DQ44" i="207"/>
  <c r="L44" i="207" s="1"/>
  <c r="ET44" i="207"/>
  <c r="DR44" i="207"/>
  <c r="M44" i="207" s="1"/>
  <c r="CR44" i="207"/>
  <c r="EL103" i="207"/>
  <c r="ES44" i="207"/>
  <c r="EP44" i="207"/>
  <c r="EO44" i="207"/>
  <c r="U31" i="208"/>
  <c r="T31" i="208"/>
  <c r="AR31" i="208" s="1"/>
  <c r="P22" i="207"/>
  <c r="O22" i="207"/>
  <c r="N22" i="207"/>
  <c r="S35" i="203"/>
  <c r="R35" i="203"/>
  <c r="Q35" i="203"/>
  <c r="CH16" i="201"/>
  <c r="O30" i="208"/>
  <c r="N30" i="208"/>
  <c r="P30" i="208"/>
  <c r="EN43" i="192"/>
  <c r="W43" i="192"/>
  <c r="AR21" i="201"/>
  <c r="O23" i="206"/>
  <c r="P23" i="206"/>
  <c r="N23" i="206"/>
  <c r="AR24" i="199"/>
  <c r="S39" i="199"/>
  <c r="Q39" i="199"/>
  <c r="R39" i="199"/>
  <c r="X28" i="201"/>
  <c r="CJ28" i="201"/>
  <c r="X39" i="207"/>
  <c r="CJ39" i="207"/>
  <c r="U29" i="207"/>
  <c r="T29" i="207"/>
  <c r="AR29" i="207" s="1"/>
  <c r="U19" i="201"/>
  <c r="T19" i="201"/>
  <c r="AR19" i="201" s="1"/>
  <c r="V29" i="202"/>
  <c r="AT29" i="202" s="1"/>
  <c r="W29" i="202"/>
  <c r="U26" i="198"/>
  <c r="T26" i="198"/>
  <c r="AR26" i="198" s="1"/>
  <c r="R32" i="200"/>
  <c r="Q32" i="200"/>
  <c r="S32" i="200"/>
  <c r="AZ42" i="207"/>
  <c r="AU42" i="207"/>
  <c r="AP42" i="207"/>
  <c r="S22" i="197"/>
  <c r="R22" i="197"/>
  <c r="Q22" i="197"/>
  <c r="U44" i="205"/>
  <c r="T44" i="205"/>
  <c r="P21" i="199"/>
  <c r="O21" i="199"/>
  <c r="N21" i="199"/>
  <c r="S39" i="208"/>
  <c r="R39" i="208"/>
  <c r="Q39" i="208"/>
  <c r="R44" i="198"/>
  <c r="Q44" i="198"/>
  <c r="S44" i="198"/>
  <c r="GK57" i="193"/>
  <c r="EX17" i="193"/>
  <c r="BY17" i="193"/>
  <c r="FB17" i="193"/>
  <c r="FA17" i="193" s="1"/>
  <c r="S28" i="207"/>
  <c r="R28" i="207"/>
  <c r="Q28" i="207"/>
  <c r="P22" i="203"/>
  <c r="O22" i="203"/>
  <c r="N22" i="203"/>
  <c r="CJ35" i="198"/>
  <c r="X35" i="198"/>
  <c r="N29" i="202"/>
  <c r="O29" i="202"/>
  <c r="P29" i="202"/>
  <c r="CJ33" i="198"/>
  <c r="X33" i="198"/>
  <c r="R20" i="203"/>
  <c r="Q20" i="203"/>
  <c r="S20" i="203"/>
  <c r="S33" i="208"/>
  <c r="Q33" i="208"/>
  <c r="R33" i="208"/>
  <c r="Q20" i="208"/>
  <c r="R20" i="208"/>
  <c r="S20" i="208"/>
  <c r="U23" i="200"/>
  <c r="T23" i="200"/>
  <c r="AR23" i="200" s="1"/>
  <c r="V38" i="200"/>
  <c r="W38" i="200"/>
  <c r="W28" i="203"/>
  <c r="V28" i="203"/>
  <c r="AT28" i="203" s="1"/>
  <c r="O44" i="197"/>
  <c r="N44" i="197"/>
  <c r="P44" i="197"/>
  <c r="W24" i="196"/>
  <c r="V24" i="196"/>
  <c r="AT24" i="196" s="1"/>
  <c r="W24" i="206"/>
  <c r="V24" i="206"/>
  <c r="EJ81" i="205"/>
  <c r="CS22" i="205"/>
  <c r="EU22" i="205"/>
  <c r="ES22" i="205"/>
  <c r="CR22" i="205"/>
  <c r="DR22" i="205"/>
  <c r="DQ22" i="205"/>
  <c r="ET22" i="205"/>
  <c r="EL81" i="205"/>
  <c r="EO22" i="205"/>
  <c r="EP22" i="205"/>
  <c r="DR44" i="203"/>
  <c r="M44" i="203" s="1"/>
  <c r="CS44" i="203"/>
  <c r="EJ103" i="203"/>
  <c r="DQ44" i="203"/>
  <c r="L44" i="203" s="1"/>
  <c r="CR44" i="203"/>
  <c r="EU44" i="203"/>
  <c r="ET44" i="203"/>
  <c r="ES44" i="203"/>
  <c r="EO44" i="203"/>
  <c r="EP44" i="203"/>
  <c r="EL103" i="203"/>
  <c r="EH44" i="203"/>
  <c r="EI44" i="203"/>
  <c r="CJ18" i="200"/>
  <c r="X18" i="200"/>
  <c r="CJ44" i="199"/>
  <c r="X44" i="199"/>
  <c r="EJ102" i="201"/>
  <c r="DR43" i="201"/>
  <c r="M43" i="201" s="1"/>
  <c r="CS43" i="201"/>
  <c r="DQ43" i="201"/>
  <c r="L43" i="201" s="1"/>
  <c r="CR43" i="201"/>
  <c r="EU43" i="201"/>
  <c r="ET43" i="201"/>
  <c r="ES43" i="201"/>
  <c r="EL102" i="201"/>
  <c r="EI43" i="201"/>
  <c r="EH43" i="201"/>
  <c r="EO43" i="201"/>
  <c r="EP43" i="201"/>
  <c r="S23" i="196"/>
  <c r="R23" i="196"/>
  <c r="Q23" i="196"/>
  <c r="T45" i="206"/>
  <c r="U45" i="206"/>
  <c r="EU30" i="203"/>
  <c r="EJ89" i="203"/>
  <c r="EL89" i="203" s="1"/>
  <c r="DR30" i="203"/>
  <c r="CS30" i="203"/>
  <c r="CR30" i="203"/>
  <c r="DQ30" i="203"/>
  <c r="ES30" i="203"/>
  <c r="ET30" i="203"/>
  <c r="EO30" i="203"/>
  <c r="EP30" i="203"/>
  <c r="EI30" i="203"/>
  <c r="EH30" i="203"/>
  <c r="X24" i="200"/>
  <c r="CJ24" i="200"/>
  <c r="Q37" i="199"/>
  <c r="R37" i="199"/>
  <c r="S37" i="199"/>
  <c r="R32" i="196"/>
  <c r="Q32" i="196"/>
  <c r="S32" i="196"/>
  <c r="W40" i="198"/>
  <c r="V40" i="198"/>
  <c r="AT40" i="198" s="1"/>
  <c r="X22" i="207"/>
  <c r="CJ22" i="207"/>
  <c r="N22" i="202"/>
  <c r="P22" i="202"/>
  <c r="O22" i="202"/>
  <c r="V45" i="193"/>
  <c r="U45" i="193"/>
  <c r="BV45" i="193" s="1"/>
  <c r="T26" i="207"/>
  <c r="U26" i="207"/>
  <c r="S42" i="192"/>
  <c r="EC82" i="192"/>
  <c r="T42" i="192"/>
  <c r="Q19" i="204"/>
  <c r="R19" i="204"/>
  <c r="S19" i="204"/>
  <c r="EJ95" i="200"/>
  <c r="EU36" i="200"/>
  <c r="DR36" i="200"/>
  <c r="CS36" i="200"/>
  <c r="DQ36" i="200"/>
  <c r="CR36" i="200"/>
  <c r="EO36" i="200"/>
  <c r="EP36" i="200"/>
  <c r="ES36" i="200"/>
  <c r="EL95" i="200"/>
  <c r="ET36" i="200"/>
  <c r="EH36" i="200"/>
  <c r="EI36" i="200"/>
  <c r="U18" i="204"/>
  <c r="T18" i="204"/>
  <c r="P30" i="201"/>
  <c r="O30" i="201"/>
  <c r="N30" i="201"/>
  <c r="EJ89" i="197"/>
  <c r="EL89" i="197" s="1"/>
  <c r="EU30" i="197"/>
  <c r="CS30" i="197"/>
  <c r="DQ30" i="197"/>
  <c r="DR30" i="197"/>
  <c r="CR30" i="197"/>
  <c r="ET30" i="197"/>
  <c r="EO30" i="197"/>
  <c r="EP30" i="197"/>
  <c r="ES30" i="197"/>
  <c r="EI30" i="197"/>
  <c r="EH30" i="197"/>
  <c r="U45" i="208"/>
  <c r="T45" i="208"/>
  <c r="AR45" i="208" s="1"/>
  <c r="S17" i="202"/>
  <c r="R17" i="202"/>
  <c r="Q17" i="202"/>
  <c r="O37" i="207"/>
  <c r="N37" i="207"/>
  <c r="P37" i="207"/>
  <c r="EJ77" i="203"/>
  <c r="DR18" i="203"/>
  <c r="CS18" i="203"/>
  <c r="DQ18" i="203"/>
  <c r="CR18" i="203"/>
  <c r="EL77" i="203"/>
  <c r="EU18" i="203"/>
  <c r="EH18" i="203"/>
  <c r="ET18" i="203"/>
  <c r="EI18" i="203"/>
  <c r="ES18" i="203"/>
  <c r="EO18" i="203"/>
  <c r="EP18" i="203"/>
  <c r="R33" i="199"/>
  <c r="Q33" i="199"/>
  <c r="S33" i="199"/>
  <c r="CH35" i="206"/>
  <c r="W21" i="204"/>
  <c r="V21" i="204"/>
  <c r="AT21" i="204" s="1"/>
  <c r="O34" i="199"/>
  <c r="N34" i="199"/>
  <c r="P34" i="199"/>
  <c r="X44" i="207"/>
  <c r="CJ44" i="207"/>
  <c r="V28" i="206"/>
  <c r="W28" i="206"/>
  <c r="Q41" i="206"/>
  <c r="S41" i="206"/>
  <c r="R41" i="206"/>
  <c r="EM45" i="193"/>
  <c r="X34" i="208"/>
  <c r="CJ34" i="208"/>
  <c r="V38" i="204"/>
  <c r="W38" i="204"/>
  <c r="U44" i="202"/>
  <c r="T44" i="202"/>
  <c r="U18" i="197"/>
  <c r="T18" i="197"/>
  <c r="EL26" i="193"/>
  <c r="S26" i="208"/>
  <c r="R26" i="208"/>
  <c r="Q26" i="208"/>
  <c r="P23" i="207"/>
  <c r="O23" i="207"/>
  <c r="N23" i="207"/>
  <c r="P23" i="205"/>
  <c r="N23" i="205"/>
  <c r="O23" i="205"/>
  <c r="R29" i="196"/>
  <c r="Q29" i="196"/>
  <c r="S29" i="196"/>
  <c r="P25" i="198"/>
  <c r="O25" i="198"/>
  <c r="N25" i="198"/>
  <c r="P29" i="201"/>
  <c r="O29" i="201"/>
  <c r="N29" i="201"/>
  <c r="CI32" i="197"/>
  <c r="S41" i="201"/>
  <c r="R41" i="201"/>
  <c r="Q41" i="201"/>
  <c r="P19" i="197"/>
  <c r="O19" i="197"/>
  <c r="N19" i="197"/>
  <c r="EU34" i="207"/>
  <c r="ES34" i="207"/>
  <c r="EJ93" i="207"/>
  <c r="EL93" i="207" s="1"/>
  <c r="DQ34" i="207"/>
  <c r="CR34" i="207"/>
  <c r="CS34" i="207"/>
  <c r="DR34" i="207"/>
  <c r="ET34" i="207"/>
  <c r="EP34" i="207"/>
  <c r="EO34" i="207"/>
  <c r="R18" i="205"/>
  <c r="Q18" i="205"/>
  <c r="S18" i="205"/>
  <c r="W42" i="201"/>
  <c r="V42" i="201"/>
  <c r="CJ28" i="206"/>
  <c r="X28" i="206"/>
  <c r="U30" i="203"/>
  <c r="T30" i="203"/>
  <c r="AR30" i="203" s="1"/>
  <c r="CJ43" i="204"/>
  <c r="X43" i="204"/>
  <c r="N18" i="207"/>
  <c r="P18" i="207"/>
  <c r="O18" i="207"/>
  <c r="W28" i="201"/>
  <c r="V28" i="201"/>
  <c r="P31" i="198"/>
  <c r="O31" i="198"/>
  <c r="N31" i="198"/>
  <c r="W34" i="196"/>
  <c r="V34" i="196"/>
  <c r="W20" i="208"/>
  <c r="V20" i="208"/>
  <c r="P35" i="197"/>
  <c r="N35" i="197"/>
  <c r="O35" i="197"/>
  <c r="EP36" i="208"/>
  <c r="N18" i="204"/>
  <c r="P18" i="204"/>
  <c r="O18" i="204"/>
  <c r="O18" i="202"/>
  <c r="P18" i="202"/>
  <c r="N18" i="202"/>
  <c r="N36" i="197"/>
  <c r="P36" i="197"/>
  <c r="O36" i="197"/>
  <c r="U31" i="197"/>
  <c r="T31" i="197"/>
  <c r="P20" i="197"/>
  <c r="N20" i="197"/>
  <c r="O20" i="197"/>
  <c r="CJ30" i="205"/>
  <c r="X30" i="205"/>
  <c r="P35" i="201"/>
  <c r="O35" i="201"/>
  <c r="N35" i="201"/>
  <c r="P24" i="198"/>
  <c r="O24" i="198"/>
  <c r="N24" i="198"/>
  <c r="N21" i="197"/>
  <c r="P21" i="197"/>
  <c r="O21" i="197"/>
  <c r="CJ40" i="198"/>
  <c r="X40" i="198"/>
  <c r="CJ17" i="201"/>
  <c r="X17" i="201"/>
  <c r="P24" i="201"/>
  <c r="O24" i="201"/>
  <c r="N24" i="201"/>
  <c r="S38" i="196"/>
  <c r="R38" i="196"/>
  <c r="Q38" i="196"/>
  <c r="X41" i="206"/>
  <c r="CJ41" i="206"/>
  <c r="N34" i="201"/>
  <c r="P34" i="201"/>
  <c r="O34" i="201"/>
  <c r="R30" i="204"/>
  <c r="Q30" i="204"/>
  <c r="S30" i="204"/>
  <c r="EJ93" i="206"/>
  <c r="EL93" i="206" s="1"/>
  <c r="EU34" i="206"/>
  <c r="DR34" i="206"/>
  <c r="CS34" i="206"/>
  <c r="DQ34" i="206"/>
  <c r="CR34" i="206"/>
  <c r="EO34" i="206"/>
  <c r="EI34" i="206"/>
  <c r="EH34" i="206"/>
  <c r="ET34" i="206"/>
  <c r="EP34" i="206"/>
  <c r="ES34" i="206"/>
  <c r="Q20" i="200"/>
  <c r="R20" i="200"/>
  <c r="S20" i="200"/>
  <c r="R44" i="206"/>
  <c r="S44" i="206"/>
  <c r="Q44" i="206"/>
  <c r="R17" i="203"/>
  <c r="Q17" i="203"/>
  <c r="S17" i="203"/>
  <c r="X45" i="200"/>
  <c r="CJ45" i="200"/>
  <c r="CI26" i="206"/>
  <c r="P32" i="208"/>
  <c r="N32" i="208"/>
  <c r="O32" i="208"/>
  <c r="P31" i="208"/>
  <c r="O31" i="208"/>
  <c r="N31" i="208"/>
  <c r="T23" i="201"/>
  <c r="U23" i="201"/>
  <c r="O43" i="207"/>
  <c r="P43" i="207"/>
  <c r="N43" i="207"/>
  <c r="W31" i="199"/>
  <c r="V31" i="199"/>
  <c r="AT31" i="199" s="1"/>
  <c r="EO36" i="208"/>
  <c r="U34" i="203"/>
  <c r="T34" i="203"/>
  <c r="AR34" i="203" s="1"/>
  <c r="N26" i="202"/>
  <c r="P26" i="202"/>
  <c r="O26" i="202"/>
  <c r="V40" i="207"/>
  <c r="W40" i="207"/>
  <c r="R24" i="197"/>
  <c r="Q24" i="197"/>
  <c r="S24" i="197"/>
  <c r="X31" i="198"/>
  <c r="CJ31" i="198"/>
  <c r="U35" i="205"/>
  <c r="T35" i="205"/>
  <c r="U22" i="206"/>
  <c r="T22" i="206"/>
  <c r="S37" i="204"/>
  <c r="R37" i="204"/>
  <c r="Q37" i="204"/>
  <c r="CI23" i="208"/>
  <c r="U34" i="199"/>
  <c r="T34" i="199"/>
  <c r="AR34" i="199" s="1"/>
  <c r="S39" i="205"/>
  <c r="R39" i="205"/>
  <c r="Q39" i="205"/>
  <c r="U39" i="199"/>
  <c r="T39" i="199"/>
  <c r="AR39" i="199" s="1"/>
  <c r="CH41" i="206"/>
  <c r="P44" i="202"/>
  <c r="O44" i="202"/>
  <c r="N44" i="202"/>
  <c r="W35" i="199"/>
  <c r="V35" i="199"/>
  <c r="AT35" i="199" s="1"/>
  <c r="S29" i="202"/>
  <c r="R29" i="202"/>
  <c r="Q29" i="202"/>
  <c r="S17" i="199"/>
  <c r="R17" i="199"/>
  <c r="Q17" i="199"/>
  <c r="U19" i="205"/>
  <c r="T19" i="205"/>
  <c r="AR19" i="205" s="1"/>
  <c r="W41" i="203"/>
  <c r="V41" i="203"/>
  <c r="AT41" i="203" s="1"/>
  <c r="O20" i="208"/>
  <c r="N20" i="208"/>
  <c r="P20" i="208"/>
  <c r="Q32" i="202"/>
  <c r="S32" i="202"/>
  <c r="R32" i="202"/>
  <c r="R26" i="207"/>
  <c r="Q26" i="207"/>
  <c r="S26" i="207"/>
  <c r="CJ29" i="202"/>
  <c r="X29" i="202"/>
  <c r="S44" i="197"/>
  <c r="R44" i="197"/>
  <c r="Q44" i="197"/>
  <c r="U33" i="199"/>
  <c r="T33" i="199"/>
  <c r="AR33" i="199" s="1"/>
  <c r="T42" i="204"/>
  <c r="AR42" i="204" s="1"/>
  <c r="U42" i="204"/>
  <c r="W37" i="197"/>
  <c r="V37" i="197"/>
  <c r="O41" i="197"/>
  <c r="N41" i="197"/>
  <c r="P41" i="197"/>
  <c r="X45" i="206"/>
  <c r="CJ45" i="206"/>
  <c r="AR43" i="205"/>
  <c r="CH43" i="202"/>
  <c r="U26" i="201"/>
  <c r="T26" i="201"/>
  <c r="AR26" i="201" s="1"/>
  <c r="V20" i="197"/>
  <c r="W20" i="197"/>
  <c r="N37" i="199"/>
  <c r="P37" i="199"/>
  <c r="O37" i="199"/>
  <c r="T38" i="198"/>
  <c r="AR38" i="198" s="1"/>
  <c r="U38" i="198"/>
  <c r="S20" i="201"/>
  <c r="R20" i="201"/>
  <c r="Q20" i="201"/>
  <c r="P32" i="196"/>
  <c r="O32" i="196"/>
  <c r="N32" i="196"/>
  <c r="P32" i="200"/>
  <c r="O32" i="200"/>
  <c r="N32" i="200"/>
  <c r="CJ41" i="198"/>
  <c r="X41" i="198"/>
  <c r="P39" i="207"/>
  <c r="O39" i="207"/>
  <c r="N39" i="207"/>
  <c r="EM42" i="193"/>
  <c r="AT21" i="202"/>
  <c r="S34" i="196"/>
  <c r="R34" i="196"/>
  <c r="Q34" i="196"/>
  <c r="AT21" i="200"/>
  <c r="U25" i="206"/>
  <c r="T25" i="206"/>
  <c r="S22" i="202"/>
  <c r="R22" i="202"/>
  <c r="Q22" i="202"/>
  <c r="U38" i="202"/>
  <c r="T38" i="202"/>
  <c r="AR38" i="202" s="1"/>
  <c r="O22" i="208"/>
  <c r="P22" i="208"/>
  <c r="N22" i="208"/>
  <c r="CH28" i="207"/>
  <c r="R43" i="205"/>
  <c r="Q43" i="205"/>
  <c r="S43" i="205"/>
  <c r="X37" i="197"/>
  <c r="CJ37" i="197"/>
  <c r="BV43" i="192"/>
  <c r="X20" i="200"/>
  <c r="CJ20" i="200"/>
  <c r="EL99" i="208"/>
  <c r="EU40" i="208"/>
  <c r="DR40" i="208"/>
  <c r="M40" i="208" s="1"/>
  <c r="CS40" i="208"/>
  <c r="DQ40" i="208"/>
  <c r="L40" i="208" s="1"/>
  <c r="EJ99" i="208"/>
  <c r="ET40" i="208"/>
  <c r="CR40" i="208"/>
  <c r="EP40" i="208"/>
  <c r="EO40" i="208"/>
  <c r="EH40" i="208"/>
  <c r="ES40" i="208"/>
  <c r="EI40" i="208"/>
  <c r="W35" i="208"/>
  <c r="V35" i="208"/>
  <c r="U38" i="196"/>
  <c r="T38" i="196"/>
  <c r="P43" i="200"/>
  <c r="O43" i="200"/>
  <c r="N43" i="200"/>
  <c r="EL33" i="191"/>
  <c r="P17" i="204"/>
  <c r="O17" i="204"/>
  <c r="N17" i="204"/>
  <c r="N24" i="208"/>
  <c r="O24" i="208"/>
  <c r="P24" i="208"/>
  <c r="T25" i="200"/>
  <c r="U25" i="200"/>
  <c r="S34" i="199"/>
  <c r="R34" i="199"/>
  <c r="Q34" i="199"/>
  <c r="P30" i="207"/>
  <c r="N30" i="207"/>
  <c r="O30" i="207"/>
  <c r="X30" i="203"/>
  <c r="CJ30" i="203"/>
  <c r="P41" i="206"/>
  <c r="O41" i="206"/>
  <c r="N41" i="206"/>
  <c r="AR30" i="207"/>
  <c r="N40" i="204"/>
  <c r="O40" i="204"/>
  <c r="P40" i="204"/>
  <c r="AP42" i="200"/>
  <c r="AU42" i="200"/>
  <c r="AZ42" i="200"/>
  <c r="CJ21" i="197"/>
  <c r="X21" i="197"/>
  <c r="V42" i="192"/>
  <c r="U42" i="192"/>
  <c r="N25" i="207"/>
  <c r="P25" i="207"/>
  <c r="O25" i="207"/>
  <c r="EJ81" i="198"/>
  <c r="DR22" i="198"/>
  <c r="CS22" i="198"/>
  <c r="DQ22" i="198"/>
  <c r="CR22" i="198"/>
  <c r="EH22" i="198"/>
  <c r="EU22" i="198"/>
  <c r="EI22" i="198"/>
  <c r="EP22" i="198"/>
  <c r="ES22" i="198"/>
  <c r="ET22" i="198"/>
  <c r="EL81" i="198"/>
  <c r="EO22" i="198"/>
  <c r="N39" i="208"/>
  <c r="P39" i="208"/>
  <c r="O39" i="208"/>
  <c r="W25" i="204"/>
  <c r="V25" i="204"/>
  <c r="AT25" i="204" s="1"/>
  <c r="AR23" i="198"/>
  <c r="AT19" i="206"/>
  <c r="EC80" i="192"/>
  <c r="T40" i="192"/>
  <c r="S40" i="192"/>
  <c r="N38" i="202"/>
  <c r="P38" i="202"/>
  <c r="O38" i="202"/>
  <c r="P22" i="201"/>
  <c r="O22" i="201"/>
  <c r="N22" i="201"/>
  <c r="P29" i="198"/>
  <c r="O29" i="198"/>
  <c r="N29" i="198"/>
  <c r="R24" i="199"/>
  <c r="Q24" i="199"/>
  <c r="S24" i="199"/>
  <c r="N19" i="203"/>
  <c r="P19" i="203"/>
  <c r="O19" i="203"/>
  <c r="P29" i="206"/>
  <c r="O29" i="206"/>
  <c r="N29" i="206"/>
  <c r="AT21" i="208"/>
  <c r="AT38" i="201"/>
  <c r="AR36" i="205"/>
  <c r="O22" i="204"/>
  <c r="N22" i="204"/>
  <c r="P22" i="204"/>
  <c r="AR40" i="196"/>
  <c r="BV36" i="193"/>
  <c r="P40" i="199"/>
  <c r="O40" i="199"/>
  <c r="N40" i="199"/>
  <c r="GB57" i="192"/>
  <c r="FZ57" i="192"/>
  <c r="R38" i="208"/>
  <c r="Q38" i="208"/>
  <c r="S38" i="208"/>
  <c r="Q41" i="203"/>
  <c r="S41" i="203"/>
  <c r="R41" i="203"/>
  <c r="S30" i="196"/>
  <c r="R30" i="196"/>
  <c r="Q30" i="196"/>
  <c r="R17" i="208"/>
  <c r="S17" i="208"/>
  <c r="Q17" i="208"/>
  <c r="AZ42" i="202"/>
  <c r="AU42" i="202"/>
  <c r="AP42" i="202"/>
  <c r="CJ36" i="199"/>
  <c r="X36" i="199"/>
  <c r="P42" i="204"/>
  <c r="N42" i="204"/>
  <c r="O42" i="204"/>
  <c r="O37" i="196"/>
  <c r="N37" i="196"/>
  <c r="P37" i="196"/>
  <c r="EM34" i="193"/>
  <c r="EC78" i="193"/>
  <c r="S38" i="193"/>
  <c r="T38" i="193"/>
  <c r="R19" i="208"/>
  <c r="Q19" i="208"/>
  <c r="S19" i="208"/>
  <c r="AR33" i="203"/>
  <c r="AT31" i="196"/>
  <c r="CI25" i="208"/>
  <c r="CH25" i="198"/>
  <c r="AT41" i="205"/>
  <c r="S35" i="193"/>
  <c r="EC75" i="193"/>
  <c r="T35" i="193"/>
  <c r="EJ85" i="201"/>
  <c r="EU26" i="201"/>
  <c r="DQ26" i="201"/>
  <c r="CR26" i="201"/>
  <c r="DR26" i="201"/>
  <c r="EP26" i="201"/>
  <c r="EO26" i="201"/>
  <c r="CS26" i="201"/>
  <c r="ES26" i="201"/>
  <c r="EL85" i="201"/>
  <c r="ET26" i="201"/>
  <c r="EH26" i="201"/>
  <c r="EI26" i="201"/>
  <c r="CJ40" i="207"/>
  <c r="X40" i="207"/>
  <c r="S44" i="193"/>
  <c r="T44" i="193"/>
  <c r="EC84" i="193"/>
  <c r="P35" i="204"/>
  <c r="O35" i="204"/>
  <c r="N35" i="204"/>
  <c r="EU37" i="208"/>
  <c r="DR37" i="208"/>
  <c r="M37" i="208" s="1"/>
  <c r="CR37" i="208"/>
  <c r="DQ37" i="208"/>
  <c r="L37" i="208" s="1"/>
  <c r="EO37" i="208"/>
  <c r="CS37" i="208"/>
  <c r="EJ96" i="208"/>
  <c r="EP37" i="208"/>
  <c r="ET37" i="208"/>
  <c r="ES37" i="208"/>
  <c r="EL96" i="208"/>
  <c r="EI37" i="208"/>
  <c r="EH37" i="208"/>
  <c r="X39" i="203"/>
  <c r="CJ39" i="203"/>
  <c r="EI42" i="203"/>
  <c r="CJ34" i="200"/>
  <c r="X34" i="200"/>
  <c r="AR20" i="199"/>
  <c r="EC70" i="193"/>
  <c r="EN30" i="193" s="1"/>
  <c r="S33" i="206"/>
  <c r="R33" i="206"/>
  <c r="Q33" i="206"/>
  <c r="V44" i="199"/>
  <c r="W44" i="199"/>
  <c r="EC84" i="192"/>
  <c r="S42" i="198"/>
  <c r="R42" i="198"/>
  <c r="Q42" i="198"/>
  <c r="EJ92" i="200"/>
  <c r="EL92" i="200" s="1"/>
  <c r="EU33" i="200"/>
  <c r="EO33" i="200"/>
  <c r="DQ33" i="200"/>
  <c r="CR33" i="200"/>
  <c r="EP33" i="200"/>
  <c r="DR33" i="200"/>
  <c r="CS33" i="200"/>
  <c r="ES33" i="200"/>
  <c r="ET33" i="200"/>
  <c r="U44" i="201"/>
  <c r="T44" i="201"/>
  <c r="AR44" i="201" s="1"/>
  <c r="CJ32" i="201"/>
  <c r="X32" i="201"/>
  <c r="EH34" i="207"/>
  <c r="P29" i="208"/>
  <c r="O29" i="208"/>
  <c r="N29" i="208"/>
  <c r="R32" i="208"/>
  <c r="Q32" i="208"/>
  <c r="S32" i="208"/>
  <c r="CJ20" i="206"/>
  <c r="X20" i="206"/>
  <c r="P27" i="206"/>
  <c r="O27" i="206"/>
  <c r="N27" i="206"/>
  <c r="T34" i="200"/>
  <c r="U34" i="200"/>
  <c r="CH21" i="202"/>
  <c r="AR33" i="198"/>
  <c r="EJ80" i="208"/>
  <c r="CS21" i="208"/>
  <c r="EU21" i="208"/>
  <c r="DR21" i="208"/>
  <c r="CR21" i="208"/>
  <c r="DQ21" i="208"/>
  <c r="ET21" i="208"/>
  <c r="ES21" i="208"/>
  <c r="EL80" i="208"/>
  <c r="EO21" i="208"/>
  <c r="EP21" i="208"/>
  <c r="R39" i="204"/>
  <c r="Q39" i="204"/>
  <c r="S39" i="204"/>
  <c r="W44" i="205"/>
  <c r="V44" i="205"/>
  <c r="CJ33" i="204"/>
  <c r="X33" i="204"/>
  <c r="V38" i="193"/>
  <c r="U38" i="193"/>
  <c r="BV38" i="193" s="1"/>
  <c r="EL37" i="191"/>
  <c r="S22" i="207"/>
  <c r="Q22" i="207"/>
  <c r="R22" i="207"/>
  <c r="CJ37" i="200"/>
  <c r="X37" i="200"/>
  <c r="EI32" i="206"/>
  <c r="W33" i="204"/>
  <c r="V33" i="204"/>
  <c r="AT33" i="204" s="1"/>
  <c r="CJ31" i="197"/>
  <c r="X31" i="197"/>
  <c r="EL34" i="192"/>
  <c r="EO16" i="203"/>
  <c r="N27" i="207"/>
  <c r="P27" i="207"/>
  <c r="O27" i="207"/>
  <c r="S23" i="206"/>
  <c r="R23" i="206"/>
  <c r="Q23" i="206"/>
  <c r="AT30" i="197"/>
  <c r="BL1" i="167"/>
  <c r="BG1" i="167" s="1"/>
  <c r="AH1" i="168"/>
  <c r="AD1" i="168" s="1"/>
  <c r="BY2" i="168"/>
  <c r="AH2" i="168"/>
  <c r="BY1" i="168"/>
  <c r="BR1" i="168"/>
  <c r="EX31" i="193" l="1"/>
  <c r="AR41" i="200"/>
  <c r="BT40" i="192"/>
  <c r="FB31" i="193"/>
  <c r="FA31" i="193" s="1"/>
  <c r="BX32" i="193"/>
  <c r="GK72" i="193" s="1"/>
  <c r="BY31" i="193"/>
  <c r="BT37" i="193"/>
  <c r="BT40" i="193"/>
  <c r="BT45" i="193"/>
  <c r="BY36" i="192"/>
  <c r="GK76" i="192"/>
  <c r="EX37" i="192"/>
  <c r="FB36" i="192"/>
  <c r="FA36" i="192" s="1"/>
  <c r="BT42" i="192"/>
  <c r="BT39" i="192"/>
  <c r="BT45" i="191"/>
  <c r="BT41" i="193"/>
  <c r="BT44" i="191"/>
  <c r="BT38" i="193"/>
  <c r="FX58" i="192"/>
  <c r="FX58" i="191"/>
  <c r="U32" i="206"/>
  <c r="T32" i="206"/>
  <c r="EJ104" i="206"/>
  <c r="DR45" i="206"/>
  <c r="M45" i="206" s="1"/>
  <c r="CR45" i="206"/>
  <c r="DQ45" i="206"/>
  <c r="L45" i="206" s="1"/>
  <c r="EH45" i="206"/>
  <c r="ET45" i="206"/>
  <c r="EU45" i="206"/>
  <c r="CS45" i="206"/>
  <c r="EL104" i="206"/>
  <c r="ES45" i="206"/>
  <c r="EI45" i="206"/>
  <c r="EO45" i="206"/>
  <c r="EP45" i="206"/>
  <c r="Q36" i="208"/>
  <c r="S36" i="208"/>
  <c r="R36" i="208"/>
  <c r="P45" i="199"/>
  <c r="O45" i="199"/>
  <c r="N45" i="199"/>
  <c r="R35" i="207"/>
  <c r="Q35" i="207"/>
  <c r="S35" i="207"/>
  <c r="S44" i="204"/>
  <c r="R44" i="204"/>
  <c r="Q44" i="204"/>
  <c r="P34" i="207"/>
  <c r="O34" i="207"/>
  <c r="N34" i="207"/>
  <c r="P18" i="203"/>
  <c r="O18" i="203"/>
  <c r="N18" i="203"/>
  <c r="AT38" i="200"/>
  <c r="EN40" i="193"/>
  <c r="W40" i="193"/>
  <c r="N43" i="208"/>
  <c r="P43" i="208"/>
  <c r="O43" i="208"/>
  <c r="R45" i="208"/>
  <c r="Q45" i="208"/>
  <c r="S45" i="208"/>
  <c r="P32" i="206"/>
  <c r="O32" i="206"/>
  <c r="N32" i="206"/>
  <c r="Q34" i="208"/>
  <c r="R34" i="208"/>
  <c r="S34" i="208"/>
  <c r="Q31" i="200"/>
  <c r="S31" i="200"/>
  <c r="R31" i="200"/>
  <c r="BT44" i="193"/>
  <c r="EJ101" i="202"/>
  <c r="DR42" i="202"/>
  <c r="M42" i="202" s="1"/>
  <c r="CS42" i="202"/>
  <c r="DQ42" i="202"/>
  <c r="L42" i="202" s="1"/>
  <c r="EH42" i="202"/>
  <c r="CR42" i="202"/>
  <c r="EU42" i="202"/>
  <c r="EO42" i="202"/>
  <c r="EP42" i="202"/>
  <c r="ET42" i="202"/>
  <c r="EL101" i="202"/>
  <c r="ES42" i="202"/>
  <c r="EI42" i="202"/>
  <c r="AR25" i="200"/>
  <c r="AT38" i="204"/>
  <c r="P36" i="200"/>
  <c r="O36" i="200"/>
  <c r="N36" i="200"/>
  <c r="AR45" i="206"/>
  <c r="S44" i="207"/>
  <c r="Q44" i="207"/>
  <c r="R44" i="207"/>
  <c r="AT42" i="206"/>
  <c r="DR44" i="199"/>
  <c r="M44" i="199" s="1"/>
  <c r="CS44" i="199"/>
  <c r="DQ44" i="199"/>
  <c r="L44" i="199" s="1"/>
  <c r="CR44" i="199"/>
  <c r="EU44" i="199"/>
  <c r="EL103" i="199"/>
  <c r="EJ103" i="199"/>
  <c r="ET44" i="199"/>
  <c r="ES44" i="199"/>
  <c r="EI44" i="199"/>
  <c r="EO44" i="199"/>
  <c r="EH44" i="199"/>
  <c r="EP44" i="199"/>
  <c r="N36" i="208"/>
  <c r="P36" i="208"/>
  <c r="O36" i="208"/>
  <c r="S45" i="199"/>
  <c r="R45" i="199"/>
  <c r="Q45" i="199"/>
  <c r="S16" i="201"/>
  <c r="R16" i="201"/>
  <c r="Q16" i="201"/>
  <c r="S32" i="206"/>
  <c r="R32" i="206"/>
  <c r="Q32" i="206"/>
  <c r="AT23" i="196"/>
  <c r="Q25" i="203"/>
  <c r="R25" i="203"/>
  <c r="S25" i="203"/>
  <c r="Q45" i="197"/>
  <c r="R45" i="197"/>
  <c r="S45" i="197"/>
  <c r="AT20" i="197"/>
  <c r="W26" i="206"/>
  <c r="V26" i="206"/>
  <c r="S34" i="207"/>
  <c r="Q34" i="207"/>
  <c r="R34" i="207"/>
  <c r="AT28" i="206"/>
  <c r="U35" i="206"/>
  <c r="T35" i="206"/>
  <c r="AR35" i="206" s="1"/>
  <c r="R18" i="203"/>
  <c r="Q18" i="203"/>
  <c r="S18" i="203"/>
  <c r="O43" i="201"/>
  <c r="N43" i="201"/>
  <c r="P43" i="201"/>
  <c r="U16" i="201"/>
  <c r="T16" i="201"/>
  <c r="AR16" i="201" s="1"/>
  <c r="N41" i="205"/>
  <c r="P41" i="205"/>
  <c r="O41" i="205"/>
  <c r="N43" i="204"/>
  <c r="P43" i="204"/>
  <c r="O43" i="204"/>
  <c r="S28" i="200"/>
  <c r="R28" i="200"/>
  <c r="Q28" i="200"/>
  <c r="S16" i="197"/>
  <c r="R16" i="197"/>
  <c r="Q16" i="197"/>
  <c r="W37" i="193"/>
  <c r="EN37" i="193"/>
  <c r="S25" i="197"/>
  <c r="R25" i="197"/>
  <c r="Q25" i="197"/>
  <c r="O25" i="197"/>
  <c r="N25" i="197"/>
  <c r="P25" i="197"/>
  <c r="U21" i="208"/>
  <c r="T21" i="208"/>
  <c r="AR21" i="208" s="1"/>
  <c r="T26" i="205"/>
  <c r="U26" i="205"/>
  <c r="AR34" i="196"/>
  <c r="W36" i="193"/>
  <c r="EN36" i="193"/>
  <c r="DR41" i="204"/>
  <c r="M41" i="204" s="1"/>
  <c r="CS41" i="204"/>
  <c r="DQ41" i="204"/>
  <c r="L41" i="204" s="1"/>
  <c r="CR41" i="204"/>
  <c r="EJ100" i="204"/>
  <c r="EO41" i="204"/>
  <c r="EU41" i="204"/>
  <c r="EL100" i="204"/>
  <c r="EP41" i="204"/>
  <c r="EI41" i="204"/>
  <c r="EH41" i="204"/>
  <c r="ET41" i="204"/>
  <c r="ES41" i="204"/>
  <c r="O39" i="206"/>
  <c r="N39" i="206"/>
  <c r="P39" i="206"/>
  <c r="AR42" i="202"/>
  <c r="S27" i="201"/>
  <c r="R27" i="201"/>
  <c r="Q27" i="201"/>
  <c r="P25" i="203"/>
  <c r="O25" i="203"/>
  <c r="N25" i="203"/>
  <c r="P34" i="208"/>
  <c r="O34" i="208"/>
  <c r="N34" i="208"/>
  <c r="P38" i="207"/>
  <c r="O38" i="207"/>
  <c r="N38" i="207"/>
  <c r="W45" i="191"/>
  <c r="EN45" i="191"/>
  <c r="S16" i="199"/>
  <c r="R16" i="199"/>
  <c r="Q16" i="199"/>
  <c r="AT43" i="199"/>
  <c r="N43" i="206"/>
  <c r="O43" i="206"/>
  <c r="P43" i="206"/>
  <c r="R43" i="206"/>
  <c r="S43" i="206"/>
  <c r="Q43" i="206"/>
  <c r="AT28" i="205"/>
  <c r="EN44" i="193"/>
  <c r="W44" i="193"/>
  <c r="U41" i="206"/>
  <c r="T41" i="206"/>
  <c r="AR41" i="206" s="1"/>
  <c r="Q36" i="200"/>
  <c r="S36" i="200"/>
  <c r="R36" i="200"/>
  <c r="Q30" i="203"/>
  <c r="S30" i="203"/>
  <c r="R30" i="203"/>
  <c r="U45" i="201"/>
  <c r="T45" i="201"/>
  <c r="AR45" i="201" s="1"/>
  <c r="P33" i="203"/>
  <c r="O33" i="203"/>
  <c r="N33" i="203"/>
  <c r="P42" i="197"/>
  <c r="O42" i="197"/>
  <c r="N42" i="197"/>
  <c r="U42" i="203"/>
  <c r="T42" i="203"/>
  <c r="AR42" i="203" s="1"/>
  <c r="P16" i="199"/>
  <c r="O16" i="199"/>
  <c r="N16" i="199"/>
  <c r="R34" i="206"/>
  <c r="Q34" i="206"/>
  <c r="S34" i="206"/>
  <c r="W32" i="197"/>
  <c r="V32" i="197"/>
  <c r="AT32" i="197" s="1"/>
  <c r="GB58" i="193"/>
  <c r="FZ58" i="193"/>
  <c r="U37" i="197"/>
  <c r="T37" i="197"/>
  <c r="AR37" i="197" s="1"/>
  <c r="U35" i="203"/>
  <c r="T35" i="203"/>
  <c r="N16" i="197"/>
  <c r="O16" i="197"/>
  <c r="P16" i="197"/>
  <c r="EX15" i="193"/>
  <c r="GK55" i="193"/>
  <c r="BY15" i="193"/>
  <c r="FB15" i="193"/>
  <c r="EZ15" i="193"/>
  <c r="EX16" i="193"/>
  <c r="AT45" i="198"/>
  <c r="N42" i="203"/>
  <c r="P42" i="203"/>
  <c r="O42" i="203"/>
  <c r="P35" i="207"/>
  <c r="N35" i="207"/>
  <c r="O35" i="207"/>
  <c r="AR35" i="199"/>
  <c r="Q42" i="197"/>
  <c r="S42" i="197"/>
  <c r="R42" i="197"/>
  <c r="R18" i="197"/>
  <c r="Q18" i="197"/>
  <c r="S18" i="197"/>
  <c r="O45" i="202"/>
  <c r="N45" i="202"/>
  <c r="P45" i="202"/>
  <c r="DR42" i="200"/>
  <c r="M42" i="200" s="1"/>
  <c r="CS42" i="200"/>
  <c r="DQ42" i="200"/>
  <c r="L42" i="200" s="1"/>
  <c r="CR42" i="200"/>
  <c r="EU42" i="200"/>
  <c r="ET42" i="200"/>
  <c r="EJ101" i="200"/>
  <c r="ES42" i="200"/>
  <c r="EL101" i="200"/>
  <c r="EP42" i="200"/>
  <c r="EI42" i="200"/>
  <c r="EH42" i="200"/>
  <c r="EO42" i="200"/>
  <c r="T28" i="201"/>
  <c r="U28" i="201"/>
  <c r="AR45" i="200"/>
  <c r="BT36" i="193"/>
  <c r="EN38" i="192"/>
  <c r="W38" i="192"/>
  <c r="P44" i="208"/>
  <c r="O44" i="208"/>
  <c r="N44" i="208"/>
  <c r="DR45" i="205"/>
  <c r="M45" i="205" s="1"/>
  <c r="CS45" i="205"/>
  <c r="DQ45" i="205"/>
  <c r="L45" i="205" s="1"/>
  <c r="CR45" i="205"/>
  <c r="EJ104" i="205"/>
  <c r="EU45" i="205"/>
  <c r="ET45" i="205"/>
  <c r="ES45" i="205"/>
  <c r="EL104" i="205"/>
  <c r="EI45" i="205"/>
  <c r="EH45" i="205"/>
  <c r="EP45" i="205"/>
  <c r="EO45" i="205"/>
  <c r="EL103" i="201"/>
  <c r="EJ103" i="201"/>
  <c r="EU44" i="201"/>
  <c r="DR44" i="201"/>
  <c r="M44" i="201" s="1"/>
  <c r="CS44" i="201"/>
  <c r="DQ44" i="201"/>
  <c r="L44" i="201" s="1"/>
  <c r="CR44" i="201"/>
  <c r="ES44" i="201"/>
  <c r="EP44" i="201"/>
  <c r="ET44" i="201"/>
  <c r="EO44" i="201"/>
  <c r="EH44" i="201"/>
  <c r="EI44" i="201"/>
  <c r="P18" i="197"/>
  <c r="N18" i="197"/>
  <c r="O18" i="197"/>
  <c r="W44" i="192"/>
  <c r="EN44" i="192"/>
  <c r="R33" i="200"/>
  <c r="Q33" i="200"/>
  <c r="S33" i="200"/>
  <c r="R37" i="208"/>
  <c r="S37" i="208"/>
  <c r="Q37" i="208"/>
  <c r="BT35" i="193"/>
  <c r="AR23" i="201"/>
  <c r="AT28" i="201"/>
  <c r="AR18" i="204"/>
  <c r="S43" i="201"/>
  <c r="R43" i="201"/>
  <c r="Q43" i="201"/>
  <c r="O44" i="203"/>
  <c r="N44" i="203"/>
  <c r="P44" i="203"/>
  <c r="AR45" i="199"/>
  <c r="AT23" i="207"/>
  <c r="S41" i="205"/>
  <c r="R41" i="205"/>
  <c r="Q41" i="205"/>
  <c r="FX58" i="193"/>
  <c r="S43" i="204"/>
  <c r="R43" i="204"/>
  <c r="Q43" i="204"/>
  <c r="AR37" i="200"/>
  <c r="N28" i="200"/>
  <c r="O28" i="200"/>
  <c r="P28" i="200"/>
  <c r="AT33" i="201"/>
  <c r="AT41" i="198"/>
  <c r="AT23" i="198"/>
  <c r="FR59" i="191"/>
  <c r="FS60" i="191" s="1"/>
  <c r="FP59" i="191"/>
  <c r="GA59" i="191" s="1"/>
  <c r="FO59" i="191"/>
  <c r="FN59" i="191"/>
  <c r="FW59" i="191" s="1"/>
  <c r="FV59" i="191" s="1"/>
  <c r="FQ59" i="191"/>
  <c r="FY59" i="191" s="1"/>
  <c r="FU59" i="191"/>
  <c r="FT59" i="191" s="1"/>
  <c r="AT32" i="207"/>
  <c r="AT45" i="205"/>
  <c r="AT19" i="199"/>
  <c r="V18" i="202"/>
  <c r="W18" i="202"/>
  <c r="AR29" i="204"/>
  <c r="AR19" i="208"/>
  <c r="O41" i="202"/>
  <c r="N41" i="202"/>
  <c r="P41" i="202"/>
  <c r="AR34" i="204"/>
  <c r="U43" i="197"/>
  <c r="T43" i="197"/>
  <c r="AR43" i="197" s="1"/>
  <c r="AT37" i="201"/>
  <c r="AT35" i="205"/>
  <c r="AR25" i="204"/>
  <c r="AR16" i="199"/>
  <c r="DR41" i="199"/>
  <c r="M41" i="199" s="1"/>
  <c r="CS41" i="199"/>
  <c r="EL100" i="199"/>
  <c r="EJ100" i="199"/>
  <c r="EU41" i="199"/>
  <c r="ES41" i="199"/>
  <c r="CR41" i="199"/>
  <c r="DQ41" i="199"/>
  <c r="L41" i="199" s="1"/>
  <c r="ET41" i="199"/>
  <c r="EI41" i="199"/>
  <c r="EH41" i="199"/>
  <c r="EP41" i="199"/>
  <c r="EO41" i="199"/>
  <c r="U33" i="196"/>
  <c r="T33" i="196"/>
  <c r="AR33" i="196" s="1"/>
  <c r="AR31" i="205"/>
  <c r="AT27" i="204"/>
  <c r="P16" i="201"/>
  <c r="N16" i="201"/>
  <c r="O16" i="201"/>
  <c r="AR38" i="200"/>
  <c r="AR39" i="202"/>
  <c r="U29" i="205"/>
  <c r="T29" i="205"/>
  <c r="FJ60" i="193"/>
  <c r="FK61" i="193"/>
  <c r="R43" i="198"/>
  <c r="Q43" i="198"/>
  <c r="S43" i="198"/>
  <c r="AT42" i="198"/>
  <c r="U42" i="206"/>
  <c r="T42" i="206"/>
  <c r="R34" i="203"/>
  <c r="Q34" i="203"/>
  <c r="S34" i="203"/>
  <c r="EN34" i="193"/>
  <c r="W34" i="193"/>
  <c r="W45" i="193"/>
  <c r="EN45" i="193"/>
  <c r="AR19" i="207"/>
  <c r="P31" i="200"/>
  <c r="O31" i="200"/>
  <c r="N31" i="200"/>
  <c r="O17" i="197"/>
  <c r="N17" i="197"/>
  <c r="P17" i="197"/>
  <c r="AT30" i="207"/>
  <c r="R21" i="208"/>
  <c r="S21" i="208"/>
  <c r="Q21" i="208"/>
  <c r="T31" i="198"/>
  <c r="U31" i="198"/>
  <c r="N16" i="203"/>
  <c r="P16" i="203"/>
  <c r="O16" i="203"/>
  <c r="P21" i="198"/>
  <c r="O21" i="198"/>
  <c r="N21" i="198"/>
  <c r="R18" i="199"/>
  <c r="Q18" i="199"/>
  <c r="S18" i="199"/>
  <c r="N45" i="208"/>
  <c r="O45" i="208"/>
  <c r="P45" i="208"/>
  <c r="Q40" i="196"/>
  <c r="S40" i="196"/>
  <c r="R40" i="196"/>
  <c r="Q45" i="202"/>
  <c r="S45" i="202"/>
  <c r="R45" i="202"/>
  <c r="U21" i="202"/>
  <c r="T21" i="202"/>
  <c r="P26" i="201"/>
  <c r="O26" i="201"/>
  <c r="N26" i="201"/>
  <c r="P30" i="203"/>
  <c r="O30" i="203"/>
  <c r="N30" i="203"/>
  <c r="V36" i="208"/>
  <c r="AT36" i="208" s="1"/>
  <c r="W36" i="208"/>
  <c r="AT35" i="196"/>
  <c r="BV41" i="193"/>
  <c r="BT38" i="192"/>
  <c r="S43" i="202"/>
  <c r="R43" i="202"/>
  <c r="Q43" i="202"/>
  <c r="P40" i="208"/>
  <c r="O40" i="208"/>
  <c r="N40" i="208"/>
  <c r="Q30" i="197"/>
  <c r="S30" i="197"/>
  <c r="R30" i="197"/>
  <c r="AR26" i="207"/>
  <c r="FP59" i="193"/>
  <c r="GA59" i="193" s="1"/>
  <c r="FO59" i="193"/>
  <c r="FN59" i="193"/>
  <c r="FW59" i="193" s="1"/>
  <c r="FV59" i="193" s="1"/>
  <c r="FU59" i="193"/>
  <c r="FT59" i="193" s="1"/>
  <c r="FR59" i="193"/>
  <c r="FS60" i="193" s="1"/>
  <c r="FQ59" i="193"/>
  <c r="FY59" i="193" s="1"/>
  <c r="U41" i="201"/>
  <c r="T41" i="201"/>
  <c r="AR41" i="201" s="1"/>
  <c r="V33" i="197"/>
  <c r="W33" i="197"/>
  <c r="S42" i="203"/>
  <c r="R42" i="203"/>
  <c r="Q42" i="203"/>
  <c r="P18" i="199"/>
  <c r="N18" i="199"/>
  <c r="O18" i="199"/>
  <c r="P43" i="202"/>
  <c r="N43" i="202"/>
  <c r="O43" i="202"/>
  <c r="BV40" i="193"/>
  <c r="P43" i="198"/>
  <c r="O43" i="198"/>
  <c r="N43" i="198"/>
  <c r="AR17" i="207"/>
  <c r="FQ59" i="192"/>
  <c r="FY59" i="192" s="1"/>
  <c r="FP59" i="192"/>
  <c r="GA59" i="192" s="1"/>
  <c r="FR59" i="192"/>
  <c r="FS60" i="192" s="1"/>
  <c r="FO59" i="192"/>
  <c r="FN59" i="192"/>
  <c r="FW59" i="192" s="1"/>
  <c r="FV59" i="192" s="1"/>
  <c r="FU59" i="192"/>
  <c r="FT59" i="192" s="1"/>
  <c r="AR34" i="200"/>
  <c r="P37" i="208"/>
  <c r="O37" i="208"/>
  <c r="N37" i="208"/>
  <c r="W35" i="193"/>
  <c r="EN35" i="193"/>
  <c r="AT44" i="199"/>
  <c r="EN40" i="192"/>
  <c r="W40" i="192"/>
  <c r="BV42" i="192"/>
  <c r="AR38" i="196"/>
  <c r="AT37" i="197"/>
  <c r="AR22" i="206"/>
  <c r="AR31" i="197"/>
  <c r="AT20" i="208"/>
  <c r="AR18" i="197"/>
  <c r="S44" i="203"/>
  <c r="R44" i="203"/>
  <c r="Q44" i="203"/>
  <c r="DQ42" i="207"/>
  <c r="L42" i="207" s="1"/>
  <c r="CR42" i="207"/>
  <c r="EJ101" i="207"/>
  <c r="EU42" i="207"/>
  <c r="ET42" i="207"/>
  <c r="DR42" i="207"/>
  <c r="M42" i="207" s="1"/>
  <c r="CS42" i="207"/>
  <c r="EL101" i="207"/>
  <c r="ES42" i="207"/>
  <c r="EO42" i="207"/>
  <c r="EI42" i="207"/>
  <c r="EH42" i="207"/>
  <c r="EP42" i="207"/>
  <c r="FJ59" i="191"/>
  <c r="FK60" i="191"/>
  <c r="BV34" i="193"/>
  <c r="Q41" i="202"/>
  <c r="S41" i="202"/>
  <c r="R41" i="202"/>
  <c r="AR32" i="198"/>
  <c r="AR42" i="199"/>
  <c r="U28" i="200"/>
  <c r="T28" i="200"/>
  <c r="AR28" i="200" s="1"/>
  <c r="P19" i="205"/>
  <c r="O19" i="205"/>
  <c r="N19" i="205"/>
  <c r="AT35" i="200"/>
  <c r="FA14" i="192"/>
  <c r="FA15" i="192"/>
  <c r="AT34" i="207"/>
  <c r="AT27" i="200"/>
  <c r="AT41" i="202"/>
  <c r="AR43" i="206"/>
  <c r="W44" i="191"/>
  <c r="EN44" i="191"/>
  <c r="Q33" i="203"/>
  <c r="S33" i="203"/>
  <c r="R33" i="203"/>
  <c r="T34" i="208"/>
  <c r="U34" i="208"/>
  <c r="P27" i="201"/>
  <c r="O27" i="201"/>
  <c r="N27" i="201"/>
  <c r="BT34" i="193"/>
  <c r="AR20" i="200"/>
  <c r="AR44" i="197"/>
  <c r="S17" i="197"/>
  <c r="R17" i="197"/>
  <c r="Q17" i="197"/>
  <c r="FZ58" i="192"/>
  <c r="GB58" i="192"/>
  <c r="W23" i="208"/>
  <c r="V23" i="208"/>
  <c r="AT23" i="208" s="1"/>
  <c r="U24" i="200"/>
  <c r="T24" i="200"/>
  <c r="AR24" i="200" s="1"/>
  <c r="T18" i="200"/>
  <c r="U18" i="200"/>
  <c r="P44" i="200"/>
  <c r="O44" i="200"/>
  <c r="N44" i="200"/>
  <c r="Q19" i="205"/>
  <c r="S19" i="205"/>
  <c r="R19" i="205"/>
  <c r="P20" i="205"/>
  <c r="O20" i="205"/>
  <c r="N20" i="205"/>
  <c r="T28" i="207"/>
  <c r="AR28" i="207" s="1"/>
  <c r="U28" i="207"/>
  <c r="T43" i="202"/>
  <c r="U43" i="202"/>
  <c r="O30" i="197"/>
  <c r="N30" i="197"/>
  <c r="P30" i="197"/>
  <c r="O44" i="207"/>
  <c r="P44" i="207"/>
  <c r="N44" i="207"/>
  <c r="R44" i="200"/>
  <c r="Q44" i="200"/>
  <c r="S44" i="200"/>
  <c r="R43" i="208"/>
  <c r="Q43" i="208"/>
  <c r="S43" i="208"/>
  <c r="EN41" i="193"/>
  <c r="W41" i="193"/>
  <c r="Q24" i="205"/>
  <c r="S24" i="205"/>
  <c r="R24" i="205"/>
  <c r="Q39" i="206"/>
  <c r="S39" i="206"/>
  <c r="R39" i="206"/>
  <c r="T44" i="207"/>
  <c r="U44" i="207"/>
  <c r="P34" i="203"/>
  <c r="O34" i="203"/>
  <c r="N34" i="203"/>
  <c r="S38" i="207"/>
  <c r="Q38" i="207"/>
  <c r="R38" i="207"/>
  <c r="Q25" i="206"/>
  <c r="S25" i="206"/>
  <c r="R25" i="206"/>
  <c r="U35" i="198"/>
  <c r="T35" i="198"/>
  <c r="P40" i="196"/>
  <c r="O40" i="196"/>
  <c r="N40" i="196"/>
  <c r="O45" i="197"/>
  <c r="N45" i="197"/>
  <c r="P45" i="197"/>
  <c r="AT44" i="205"/>
  <c r="O21" i="208"/>
  <c r="N21" i="208"/>
  <c r="P21" i="208"/>
  <c r="R26" i="201"/>
  <c r="Q26" i="201"/>
  <c r="S26" i="201"/>
  <c r="W25" i="208"/>
  <c r="V25" i="208"/>
  <c r="AT25" i="208" s="1"/>
  <c r="W38" i="193"/>
  <c r="EN38" i="193"/>
  <c r="AT35" i="208"/>
  <c r="Q40" i="208"/>
  <c r="S40" i="208"/>
  <c r="R40" i="208"/>
  <c r="AR25" i="206"/>
  <c r="AR35" i="205"/>
  <c r="AT40" i="207"/>
  <c r="P34" i="206"/>
  <c r="O34" i="206"/>
  <c r="N34" i="206"/>
  <c r="AT34" i="196"/>
  <c r="AT42" i="201"/>
  <c r="AR44" i="202"/>
  <c r="W42" i="192"/>
  <c r="EN42" i="192"/>
  <c r="S22" i="205"/>
  <c r="Q22" i="205"/>
  <c r="R22" i="205"/>
  <c r="AT24" i="206"/>
  <c r="AR44" i="205"/>
  <c r="AR30" i="205"/>
  <c r="FZ58" i="191"/>
  <c r="GB58" i="191"/>
  <c r="AT22" i="208"/>
  <c r="P25" i="201"/>
  <c r="O25" i="201"/>
  <c r="N25" i="201"/>
  <c r="AT24" i="198"/>
  <c r="AR23" i="208"/>
  <c r="AR36" i="208"/>
  <c r="AR40" i="208"/>
  <c r="AT16" i="197"/>
  <c r="AR38" i="208"/>
  <c r="AR18" i="207"/>
  <c r="AR17" i="201"/>
  <c r="V36" i="196"/>
  <c r="AT36" i="196" s="1"/>
  <c r="W36" i="196"/>
  <c r="EN39" i="192"/>
  <c r="W39" i="192"/>
  <c r="S21" i="198"/>
  <c r="R21" i="198"/>
  <c r="Q21" i="198"/>
  <c r="AT37" i="200"/>
  <c r="BV42" i="193"/>
  <c r="AR22" i="204"/>
  <c r="AT43" i="204"/>
  <c r="R20" i="205"/>
  <c r="Q20" i="205"/>
  <c r="S20" i="205"/>
  <c r="O24" i="205"/>
  <c r="P24" i="205"/>
  <c r="N24" i="205"/>
  <c r="U32" i="196"/>
  <c r="T32" i="196"/>
  <c r="AR32" i="196" s="1"/>
  <c r="Q44" i="208"/>
  <c r="R44" i="208"/>
  <c r="S44" i="208"/>
  <c r="AT33" i="203"/>
  <c r="P44" i="204"/>
  <c r="O44" i="204"/>
  <c r="N44" i="204"/>
  <c r="AT42" i="203"/>
  <c r="T34" i="201"/>
  <c r="U34" i="201"/>
  <c r="P25" i="206"/>
  <c r="O25" i="206"/>
  <c r="N25" i="206"/>
  <c r="AT37" i="199"/>
  <c r="FK62" i="192"/>
  <c r="FJ61" i="192"/>
  <c r="AR20" i="197"/>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Z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BV87" i="84" s="1"/>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BY32" i="193" l="1"/>
  <c r="EX33" i="193"/>
  <c r="FB32" i="193"/>
  <c r="FA32" i="193" s="1"/>
  <c r="EX32" i="193"/>
  <c r="FX59" i="191"/>
  <c r="FX59" i="192"/>
  <c r="Q44" i="201"/>
  <c r="S44" i="201"/>
  <c r="R44" i="201"/>
  <c r="FO60" i="192"/>
  <c r="FN60" i="192"/>
  <c r="FW60" i="192" s="1"/>
  <c r="FV60" i="192" s="1"/>
  <c r="FR60" i="192"/>
  <c r="FS61" i="192" s="1"/>
  <c r="FQ60" i="192"/>
  <c r="FY60" i="192" s="1"/>
  <c r="FP60" i="192"/>
  <c r="GA60" i="192" s="1"/>
  <c r="FU60" i="192"/>
  <c r="FT60" i="192" s="1"/>
  <c r="Q44" i="199"/>
  <c r="R44" i="199"/>
  <c r="S44" i="199"/>
  <c r="P45" i="206"/>
  <c r="N45" i="206"/>
  <c r="O45" i="206"/>
  <c r="AR43" i="202"/>
  <c r="FQ60" i="193"/>
  <c r="FY60" i="193" s="1"/>
  <c r="FP60" i="193"/>
  <c r="GA60" i="193" s="1"/>
  <c r="FO60" i="193"/>
  <c r="FN60" i="193"/>
  <c r="FW60" i="193" s="1"/>
  <c r="FV60" i="193" s="1"/>
  <c r="FU60" i="193"/>
  <c r="FT60" i="193" s="1"/>
  <c r="FR60" i="193"/>
  <c r="FS61" i="193" s="1"/>
  <c r="AR31" i="198"/>
  <c r="AT18" i="202"/>
  <c r="R45" i="205"/>
  <c r="S45" i="205"/>
  <c r="Q45" i="205"/>
  <c r="AR18" i="200"/>
  <c r="FZ59" i="191"/>
  <c r="GB59" i="191"/>
  <c r="N44" i="199"/>
  <c r="P44" i="199"/>
  <c r="O44" i="199"/>
  <c r="AR34" i="208"/>
  <c r="AR34" i="201"/>
  <c r="S42" i="207"/>
  <c r="R42" i="207"/>
  <c r="Q42" i="207"/>
  <c r="FJ61" i="193"/>
  <c r="FK62" i="193"/>
  <c r="FR60" i="191"/>
  <c r="FS61" i="191" s="1"/>
  <c r="FP60" i="191"/>
  <c r="GA60" i="191" s="1"/>
  <c r="FO60" i="191"/>
  <c r="FN60" i="191"/>
  <c r="FW60" i="191" s="1"/>
  <c r="FV60" i="191" s="1"/>
  <c r="FU60" i="191"/>
  <c r="FT60" i="191" s="1"/>
  <c r="FQ60" i="191"/>
  <c r="FY60" i="191" s="1"/>
  <c r="N42" i="200"/>
  <c r="O42" i="200"/>
  <c r="P42" i="200"/>
  <c r="AR32" i="206"/>
  <c r="P42" i="207"/>
  <c r="O42" i="207"/>
  <c r="N42" i="207"/>
  <c r="P41" i="199"/>
  <c r="O41" i="199"/>
  <c r="N41" i="199"/>
  <c r="AR26" i="205"/>
  <c r="P44" i="201"/>
  <c r="O44" i="201"/>
  <c r="N44" i="201"/>
  <c r="AR44" i="207"/>
  <c r="FJ60" i="191"/>
  <c r="FK61" i="191"/>
  <c r="GB59" i="192"/>
  <c r="FZ59" i="192"/>
  <c r="AT33" i="197"/>
  <c r="S41" i="199"/>
  <c r="R41" i="199"/>
  <c r="Q41" i="199"/>
  <c r="FA14" i="193"/>
  <c r="FA15" i="193"/>
  <c r="P41" i="204"/>
  <c r="O41" i="204"/>
  <c r="N41" i="204"/>
  <c r="R41" i="204"/>
  <c r="Q41" i="204"/>
  <c r="S41" i="204"/>
  <c r="Q42" i="202"/>
  <c r="S42" i="202"/>
  <c r="R42" i="202"/>
  <c r="FZ59" i="193"/>
  <c r="GB59" i="193"/>
  <c r="FJ62" i="192"/>
  <c r="FK63" i="192"/>
  <c r="AR35" i="198"/>
  <c r="FX59" i="193"/>
  <c r="AR21" i="202"/>
  <c r="AR42" i="206"/>
  <c r="AR29" i="205"/>
  <c r="O45" i="205"/>
  <c r="N45" i="205"/>
  <c r="P45" i="205"/>
  <c r="AR28" i="201"/>
  <c r="S42" i="200"/>
  <c r="R42" i="200"/>
  <c r="Q42" i="200"/>
  <c r="AR35" i="203"/>
  <c r="AT26" i="206"/>
  <c r="P42" i="202"/>
  <c r="O42" i="202"/>
  <c r="N42" i="202"/>
  <c r="Q45" i="206"/>
  <c r="S45" i="206"/>
  <c r="R45" i="206"/>
  <c r="BJ87" i="84"/>
  <c r="BT87" i="84"/>
  <c r="BM87" i="84"/>
  <c r="BN87" i="84"/>
  <c r="BO87" i="84"/>
  <c r="BW87" i="84"/>
  <c r="BX87" i="84" s="1"/>
  <c r="BP87" i="84"/>
  <c r="AO25" i="116"/>
  <c r="AO23" i="116"/>
  <c r="E16" i="116" s="1"/>
  <c r="AO22" i="116"/>
  <c r="E15" i="116" s="1"/>
  <c r="AO21" i="116"/>
  <c r="E14" i="116" s="1"/>
  <c r="AO20" i="116"/>
  <c r="E13" i="116" s="1"/>
  <c r="AO24" i="116"/>
  <c r="E17" i="116" s="1"/>
  <c r="FX60" i="191" l="1"/>
  <c r="FX60" i="193"/>
  <c r="FR61" i="191"/>
  <c r="FS62" i="191" s="1"/>
  <c r="FP61" i="191"/>
  <c r="GA61" i="191" s="1"/>
  <c r="FO61" i="191"/>
  <c r="FN61" i="191"/>
  <c r="FW61" i="191" s="1"/>
  <c r="FV61" i="191" s="1"/>
  <c r="FQ61" i="191"/>
  <c r="FY61" i="191" s="1"/>
  <c r="FU61" i="191"/>
  <c r="FT61" i="191" s="1"/>
  <c r="FO61" i="193"/>
  <c r="FQ61" i="193"/>
  <c r="FY61" i="193" s="1"/>
  <c r="FP61" i="193"/>
  <c r="GA61" i="193" s="1"/>
  <c r="FN61" i="193"/>
  <c r="FW61" i="193" s="1"/>
  <c r="FV61" i="193" s="1"/>
  <c r="FU61" i="193"/>
  <c r="FT61" i="193" s="1"/>
  <c r="FR61" i="193"/>
  <c r="FS62" i="193" s="1"/>
  <c r="FU61" i="192"/>
  <c r="FT61" i="192" s="1"/>
  <c r="FP61" i="192"/>
  <c r="GA61" i="192" s="1"/>
  <c r="FR61" i="192"/>
  <c r="FS62" i="192" s="1"/>
  <c r="FQ61" i="192"/>
  <c r="FY61" i="192" s="1"/>
  <c r="FN61" i="192"/>
  <c r="FW61" i="192" s="1"/>
  <c r="FV61" i="192" s="1"/>
  <c r="FO61" i="192"/>
  <c r="FK63" i="193"/>
  <c r="FJ62" i="193"/>
  <c r="FX60" i="192"/>
  <c r="FJ63" i="192"/>
  <c r="FK64" i="192"/>
  <c r="FJ61" i="191"/>
  <c r="FK62" i="191"/>
  <c r="FZ60" i="191"/>
  <c r="GB60" i="191"/>
  <c r="GB60" i="192"/>
  <c r="FZ60" i="192"/>
  <c r="FZ60" i="193"/>
  <c r="GB60" i="193"/>
  <c r="BR87" i="84"/>
  <c r="HA1" i="84"/>
  <c r="FX61" i="193" l="1"/>
  <c r="FZ61" i="191"/>
  <c r="GB61" i="191"/>
  <c r="GB61" i="192"/>
  <c r="FZ61" i="192"/>
  <c r="FR62" i="192"/>
  <c r="FS63" i="192" s="1"/>
  <c r="FQ62" i="192"/>
  <c r="FY62" i="192" s="1"/>
  <c r="FP62" i="192"/>
  <c r="GA62" i="192" s="1"/>
  <c r="FO62" i="192"/>
  <c r="FN62" i="192"/>
  <c r="FW62" i="192" s="1"/>
  <c r="FV62" i="192" s="1"/>
  <c r="FU62" i="192"/>
  <c r="FT62" i="192" s="1"/>
  <c r="FU62" i="193"/>
  <c r="FT62" i="193" s="1"/>
  <c r="FP62" i="193"/>
  <c r="GA62" i="193" s="1"/>
  <c r="FO62" i="193"/>
  <c r="FN62" i="193"/>
  <c r="FW62" i="193" s="1"/>
  <c r="FV62" i="193" s="1"/>
  <c r="FR62" i="193"/>
  <c r="FS63" i="193" s="1"/>
  <c r="FQ62" i="193"/>
  <c r="FY62" i="193" s="1"/>
  <c r="FJ63" i="193"/>
  <c r="FK64" i="193"/>
  <c r="FX61" i="191"/>
  <c r="FZ61" i="193"/>
  <c r="GB61" i="193"/>
  <c r="FJ64" i="192"/>
  <c r="FK65" i="192"/>
  <c r="FX61" i="192"/>
  <c r="FJ62" i="191"/>
  <c r="FK63" i="191"/>
  <c r="FR62" i="191"/>
  <c r="FS63" i="191" s="1"/>
  <c r="FP62" i="191"/>
  <c r="GA62" i="191" s="1"/>
  <c r="FO62" i="191"/>
  <c r="FN62" i="191"/>
  <c r="FW62" i="191" s="1"/>
  <c r="FV62" i="191" s="1"/>
  <c r="FU62" i="191"/>
  <c r="FT62" i="191" s="1"/>
  <c r="FQ62" i="191"/>
  <c r="FY62" i="191" s="1"/>
  <c r="C26" i="147"/>
  <c r="B26" i="147"/>
  <c r="A26" i="147"/>
  <c r="C29" i="147"/>
  <c r="B29" i="147"/>
  <c r="A29" i="147"/>
  <c r="FX62" i="191" l="1"/>
  <c r="FX62" i="193"/>
  <c r="FZ62" i="192"/>
  <c r="GB62" i="192"/>
  <c r="FR63" i="192"/>
  <c r="FS64" i="192" s="1"/>
  <c r="FQ63" i="192"/>
  <c r="FY63" i="192" s="1"/>
  <c r="FP63" i="192"/>
  <c r="GA63" i="192" s="1"/>
  <c r="FU63" i="192"/>
  <c r="FT63" i="192" s="1"/>
  <c r="FN63" i="192"/>
  <c r="FW63" i="192" s="1"/>
  <c r="FV63" i="192" s="1"/>
  <c r="FO63" i="192"/>
  <c r="FJ63" i="191"/>
  <c r="FK64" i="191"/>
  <c r="FR63" i="191"/>
  <c r="FS64" i="191" s="1"/>
  <c r="FP63" i="191"/>
  <c r="GA63" i="191" s="1"/>
  <c r="FO63" i="191"/>
  <c r="FN63" i="191"/>
  <c r="FW63" i="191" s="1"/>
  <c r="FV63" i="191" s="1"/>
  <c r="FQ63" i="191"/>
  <c r="FY63" i="191" s="1"/>
  <c r="FU63" i="191"/>
  <c r="FT63" i="191" s="1"/>
  <c r="FK65" i="193"/>
  <c r="FJ64" i="193"/>
  <c r="FK66" i="192"/>
  <c r="FJ65" i="192"/>
  <c r="FZ62" i="193"/>
  <c r="GB62" i="193"/>
  <c r="FX62" i="192"/>
  <c r="FZ62" i="191"/>
  <c r="GB62" i="191"/>
  <c r="FR63" i="193"/>
  <c r="FS64" i="193" s="1"/>
  <c r="FO63" i="193"/>
  <c r="FN63" i="193"/>
  <c r="FW63" i="193" s="1"/>
  <c r="FV63" i="193" s="1"/>
  <c r="FU63" i="193"/>
  <c r="FT63" i="193" s="1"/>
  <c r="FP63" i="193"/>
  <c r="GA63" i="193" s="1"/>
  <c r="FQ63" i="193"/>
  <c r="FY63" i="193" s="1"/>
  <c r="U9" i="13"/>
  <c r="AD3" i="13"/>
  <c r="FX63" i="193" l="1"/>
  <c r="FX63" i="191"/>
  <c r="FZ63" i="192"/>
  <c r="GB63" i="192"/>
  <c r="FJ66" i="192"/>
  <c r="FK67" i="192"/>
  <c r="FR64" i="191"/>
  <c r="FS65" i="191" s="1"/>
  <c r="FP64" i="191"/>
  <c r="GA64" i="191" s="1"/>
  <c r="FO64" i="191"/>
  <c r="FN64" i="191"/>
  <c r="FW64" i="191" s="1"/>
  <c r="FV64" i="191" s="1"/>
  <c r="FQ64" i="191"/>
  <c r="FY64" i="191" s="1"/>
  <c r="FU64" i="191"/>
  <c r="FT64" i="191" s="1"/>
  <c r="FP64" i="192"/>
  <c r="GA64" i="192" s="1"/>
  <c r="FO64" i="192"/>
  <c r="FN64" i="192"/>
  <c r="FW64" i="192" s="1"/>
  <c r="FV64" i="192" s="1"/>
  <c r="FU64" i="192"/>
  <c r="FT64" i="192" s="1"/>
  <c r="FR64" i="192"/>
  <c r="FS65" i="192" s="1"/>
  <c r="FQ64" i="192"/>
  <c r="FY64" i="192" s="1"/>
  <c r="FQ64" i="193"/>
  <c r="FY64" i="193" s="1"/>
  <c r="FP64" i="193"/>
  <c r="GA64" i="193" s="1"/>
  <c r="FR64" i="193"/>
  <c r="FS65" i="193" s="1"/>
  <c r="FO64" i="193"/>
  <c r="FU64" i="193"/>
  <c r="FT64" i="193" s="1"/>
  <c r="FN64" i="193"/>
  <c r="FW64" i="193" s="1"/>
  <c r="FV64" i="193" s="1"/>
  <c r="FJ64" i="191"/>
  <c r="FK65" i="191"/>
  <c r="FZ63" i="193"/>
  <c r="GB63" i="193"/>
  <c r="FJ65" i="193"/>
  <c r="FK66" i="193"/>
  <c r="FZ63" i="191"/>
  <c r="GB63" i="191"/>
  <c r="FX63" i="192"/>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X64" i="191" l="1"/>
  <c r="FN65" i="192"/>
  <c r="FW65" i="192" s="1"/>
  <c r="FV65" i="192" s="1"/>
  <c r="FU65" i="192"/>
  <c r="FT65" i="192" s="1"/>
  <c r="FP65" i="192"/>
  <c r="GA65" i="192" s="1"/>
  <c r="FO65" i="192"/>
  <c r="FQ65" i="192"/>
  <c r="FY65" i="192" s="1"/>
  <c r="FR65" i="192"/>
  <c r="FS66" i="192" s="1"/>
  <c r="FR65" i="191"/>
  <c r="FS66" i="191" s="1"/>
  <c r="FP65" i="191"/>
  <c r="GA65" i="191" s="1"/>
  <c r="FO65" i="191"/>
  <c r="FN65" i="191"/>
  <c r="FW65" i="191" s="1"/>
  <c r="FV65" i="191" s="1"/>
  <c r="FQ65" i="191"/>
  <c r="FY65" i="191" s="1"/>
  <c r="FU65" i="191"/>
  <c r="FT65" i="191" s="1"/>
  <c r="FX64" i="193"/>
  <c r="FX64" i="192"/>
  <c r="FJ67" i="192"/>
  <c r="FK68" i="192"/>
  <c r="FJ66" i="193"/>
  <c r="FK67" i="193"/>
  <c r="FQ65" i="193"/>
  <c r="FY65" i="193" s="1"/>
  <c r="FP65" i="193"/>
  <c r="GA65" i="193" s="1"/>
  <c r="FU65" i="193"/>
  <c r="FT65" i="193" s="1"/>
  <c r="FR65" i="193"/>
  <c r="FS66" i="193" s="1"/>
  <c r="FN65" i="193"/>
  <c r="FW65" i="193" s="1"/>
  <c r="FV65" i="193" s="1"/>
  <c r="FO65" i="193"/>
  <c r="GB64" i="193"/>
  <c r="FZ64" i="193"/>
  <c r="FZ64" i="191"/>
  <c r="GB64" i="191"/>
  <c r="FJ65" i="191"/>
  <c r="FK66" i="191"/>
  <c r="FZ64" i="192"/>
  <c r="GB64" i="192"/>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FX65" i="193" l="1"/>
  <c r="FJ66" i="191"/>
  <c r="FK67" i="191"/>
  <c r="GB65" i="192"/>
  <c r="FZ65" i="192"/>
  <c r="FJ68" i="192"/>
  <c r="FK69" i="192"/>
  <c r="FR66" i="191"/>
  <c r="FS67" i="191" s="1"/>
  <c r="FP66" i="191"/>
  <c r="GA66" i="191" s="1"/>
  <c r="FO66" i="191"/>
  <c r="FN66" i="191"/>
  <c r="FW66" i="191" s="1"/>
  <c r="FV66" i="191" s="1"/>
  <c r="FQ66" i="191"/>
  <c r="FY66" i="191" s="1"/>
  <c r="FU66" i="191"/>
  <c r="FT66" i="191" s="1"/>
  <c r="FP66" i="193"/>
  <c r="GA66" i="193" s="1"/>
  <c r="FO66" i="193"/>
  <c r="FN66" i="193"/>
  <c r="FW66" i="193" s="1"/>
  <c r="FV66" i="193" s="1"/>
  <c r="FU66" i="193"/>
  <c r="FT66" i="193" s="1"/>
  <c r="FR66" i="193"/>
  <c r="FS67" i="193" s="1"/>
  <c r="FQ66" i="193"/>
  <c r="FY66" i="193" s="1"/>
  <c r="FR66" i="192"/>
  <c r="FS67" i="192" s="1"/>
  <c r="FU66" i="192"/>
  <c r="FT66" i="192" s="1"/>
  <c r="FP66" i="192"/>
  <c r="GA66" i="192" s="1"/>
  <c r="FQ66" i="192"/>
  <c r="FY66" i="192" s="1"/>
  <c r="FN66" i="192"/>
  <c r="FW66" i="192" s="1"/>
  <c r="FV66" i="192" s="1"/>
  <c r="FO66" i="192"/>
  <c r="FX65" i="192"/>
  <c r="GB65" i="193"/>
  <c r="FZ65" i="193"/>
  <c r="FZ65" i="191"/>
  <c r="GB65" i="191"/>
  <c r="FK68" i="193"/>
  <c r="FJ67" i="193"/>
  <c r="FX65" i="191"/>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X66" i="193" l="1"/>
  <c r="FK70" i="192"/>
  <c r="FJ69" i="192"/>
  <c r="FR67" i="192"/>
  <c r="FS68" i="192" s="1"/>
  <c r="FQ67" i="192"/>
  <c r="FY67" i="192" s="1"/>
  <c r="FP67" i="192"/>
  <c r="GA67" i="192" s="1"/>
  <c r="FN67" i="192"/>
  <c r="FW67" i="192" s="1"/>
  <c r="FV67" i="192" s="1"/>
  <c r="FU67" i="192"/>
  <c r="FT67" i="192" s="1"/>
  <c r="FO67" i="192"/>
  <c r="FZ66" i="191"/>
  <c r="GB66" i="191"/>
  <c r="FR67" i="191"/>
  <c r="FS68" i="191" s="1"/>
  <c r="FP67" i="191"/>
  <c r="GA67" i="191" s="1"/>
  <c r="FO67" i="191"/>
  <c r="FN67" i="191"/>
  <c r="FW67" i="191" s="1"/>
  <c r="FV67" i="191" s="1"/>
  <c r="FQ67" i="191"/>
  <c r="FY67" i="191" s="1"/>
  <c r="FU67" i="191"/>
  <c r="FT67" i="191" s="1"/>
  <c r="FN67" i="193"/>
  <c r="FW67" i="193" s="1"/>
  <c r="FV67" i="193" s="1"/>
  <c r="FU67" i="193"/>
  <c r="FT67" i="193" s="1"/>
  <c r="FO67" i="193"/>
  <c r="FR67" i="193"/>
  <c r="FS68" i="193" s="1"/>
  <c r="FP67" i="193"/>
  <c r="GA67" i="193" s="1"/>
  <c r="FQ67" i="193"/>
  <c r="FY67" i="193" s="1"/>
  <c r="FX66" i="191"/>
  <c r="FJ67" i="191"/>
  <c r="FK68" i="191"/>
  <c r="GB66" i="192"/>
  <c r="FZ66" i="192"/>
  <c r="GB66" i="193"/>
  <c r="FZ66" i="193"/>
  <c r="FJ68" i="193"/>
  <c r="FK69" i="193"/>
  <c r="FX66" i="192"/>
  <c r="IB26" i="84"/>
  <c r="JK12" i="84"/>
  <c r="FX67" i="192" l="1"/>
  <c r="FX67" i="191"/>
  <c r="FZ67" i="191"/>
  <c r="GB67" i="191"/>
  <c r="FP68" i="191"/>
  <c r="GA68" i="191" s="1"/>
  <c r="FN68" i="191"/>
  <c r="FW68" i="191" s="1"/>
  <c r="FV68" i="191" s="1"/>
  <c r="FU68" i="191"/>
  <c r="FT68" i="191" s="1"/>
  <c r="FR68" i="191"/>
  <c r="FS69" i="191" s="1"/>
  <c r="FQ68" i="191"/>
  <c r="FY68" i="191" s="1"/>
  <c r="FO68" i="191"/>
  <c r="FP68" i="192"/>
  <c r="GA68" i="192" s="1"/>
  <c r="FO68" i="192"/>
  <c r="FN68" i="192"/>
  <c r="FW68" i="192" s="1"/>
  <c r="FV68" i="192" s="1"/>
  <c r="FU68" i="192"/>
  <c r="FT68" i="192" s="1"/>
  <c r="FR68" i="192"/>
  <c r="FS69" i="192" s="1"/>
  <c r="FQ68" i="192"/>
  <c r="FY68" i="192" s="1"/>
  <c r="FR68" i="193"/>
  <c r="FS69" i="193" s="1"/>
  <c r="FQ68" i="193"/>
  <c r="FY68" i="193" s="1"/>
  <c r="FN68" i="193"/>
  <c r="FW68" i="193" s="1"/>
  <c r="FV68" i="193" s="1"/>
  <c r="FU68" i="193"/>
  <c r="FT68" i="193" s="1"/>
  <c r="FO68" i="193"/>
  <c r="FP68" i="193"/>
  <c r="GA68" i="193" s="1"/>
  <c r="FX67" i="193"/>
  <c r="FZ67" i="192"/>
  <c r="GB67" i="192"/>
  <c r="FJ69" i="193"/>
  <c r="FK70" i="193"/>
  <c r="FK69" i="191"/>
  <c r="FJ68" i="191"/>
  <c r="GB67" i="193"/>
  <c r="FZ67" i="193"/>
  <c r="FJ70" i="192"/>
  <c r="FK71" i="192"/>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N69" i="191" l="1"/>
  <c r="FW69" i="191" s="1"/>
  <c r="FV69" i="191" s="1"/>
  <c r="FR69" i="191"/>
  <c r="FS70" i="191" s="1"/>
  <c r="FQ69" i="191"/>
  <c r="FY69" i="191" s="1"/>
  <c r="FP69" i="191"/>
  <c r="GA69" i="191" s="1"/>
  <c r="FU69" i="191"/>
  <c r="FT69" i="191" s="1"/>
  <c r="FO69" i="191"/>
  <c r="FJ69" i="191"/>
  <c r="FK70" i="191"/>
  <c r="FX68" i="193"/>
  <c r="GB68" i="191"/>
  <c r="FZ68" i="191"/>
  <c r="FK71" i="193"/>
  <c r="FJ70" i="193"/>
  <c r="FX68" i="192"/>
  <c r="FR69" i="193"/>
  <c r="FS70" i="193" s="1"/>
  <c r="FQ69" i="193"/>
  <c r="FY69" i="193" s="1"/>
  <c r="FP69" i="193"/>
  <c r="GA69" i="193" s="1"/>
  <c r="FO69" i="193"/>
  <c r="FN69" i="193"/>
  <c r="FW69" i="193" s="1"/>
  <c r="FV69" i="193" s="1"/>
  <c r="FU69" i="193"/>
  <c r="FT69" i="193" s="1"/>
  <c r="FZ68" i="192"/>
  <c r="GB68" i="192"/>
  <c r="FN69" i="192"/>
  <c r="FW69" i="192" s="1"/>
  <c r="FV69" i="192" s="1"/>
  <c r="FU69" i="192"/>
  <c r="FT69" i="192" s="1"/>
  <c r="FP69" i="192"/>
  <c r="GA69" i="192" s="1"/>
  <c r="FO69" i="192"/>
  <c r="FR69" i="192"/>
  <c r="FS70" i="192" s="1"/>
  <c r="FQ69" i="192"/>
  <c r="FY69" i="192" s="1"/>
  <c r="FJ71" i="192"/>
  <c r="FK72" i="192"/>
  <c r="GB68" i="193"/>
  <c r="FZ68" i="193"/>
  <c r="FX68" i="191"/>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X69" i="192" l="1"/>
  <c r="FX69" i="193"/>
  <c r="FX69" i="191"/>
  <c r="FJ72" i="192"/>
  <c r="FK73" i="192"/>
  <c r="FJ70" i="191"/>
  <c r="FK71" i="191"/>
  <c r="GB69" i="192"/>
  <c r="FZ69" i="192"/>
  <c r="FR70" i="192"/>
  <c r="FS71" i="192" s="1"/>
  <c r="FU70" i="192"/>
  <c r="FT70" i="192" s="1"/>
  <c r="FP70" i="192"/>
  <c r="GA70" i="192" s="1"/>
  <c r="FQ70" i="192"/>
  <c r="FY70" i="192" s="1"/>
  <c r="FN70" i="192"/>
  <c r="FW70" i="192" s="1"/>
  <c r="FV70" i="192" s="1"/>
  <c r="FO70" i="192"/>
  <c r="FK72" i="193"/>
  <c r="FJ71" i="193"/>
  <c r="GB69" i="191"/>
  <c r="FZ69" i="191"/>
  <c r="FR70" i="191"/>
  <c r="FS71" i="191" s="1"/>
  <c r="FQ70" i="191"/>
  <c r="FY70" i="191" s="1"/>
  <c r="FP70" i="191"/>
  <c r="GA70" i="191" s="1"/>
  <c r="FO70" i="191"/>
  <c r="FN70" i="191"/>
  <c r="FW70" i="191" s="1"/>
  <c r="FV70" i="191" s="1"/>
  <c r="FU70" i="191"/>
  <c r="FT70" i="191" s="1"/>
  <c r="FP70" i="193"/>
  <c r="GA70" i="193" s="1"/>
  <c r="FO70" i="193"/>
  <c r="FN70" i="193"/>
  <c r="FW70" i="193" s="1"/>
  <c r="FV70" i="193" s="1"/>
  <c r="FR70" i="193"/>
  <c r="FS71" i="193" s="1"/>
  <c r="FU70" i="193"/>
  <c r="FT70" i="193" s="1"/>
  <c r="FQ70" i="193"/>
  <c r="FY70" i="193" s="1"/>
  <c r="FZ69" i="193"/>
  <c r="GB69" i="193"/>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X70" i="193" l="1"/>
  <c r="FX70" i="192"/>
  <c r="GB70" i="193"/>
  <c r="FZ70" i="193"/>
  <c r="FJ72" i="193"/>
  <c r="FK73" i="193"/>
  <c r="FN71" i="193"/>
  <c r="FW71" i="193" s="1"/>
  <c r="FV71" i="193" s="1"/>
  <c r="FU71" i="193"/>
  <c r="FT71" i="193" s="1"/>
  <c r="FR71" i="193"/>
  <c r="FS72" i="193" s="1"/>
  <c r="FQ71" i="193"/>
  <c r="FY71" i="193" s="1"/>
  <c r="FP71" i="193"/>
  <c r="GA71" i="193" s="1"/>
  <c r="FO71" i="193"/>
  <c r="GB70" i="191"/>
  <c r="FZ70" i="191"/>
  <c r="FJ71" i="191"/>
  <c r="FK72" i="191"/>
  <c r="FR71" i="191"/>
  <c r="FS72" i="191" s="1"/>
  <c r="FP71" i="191"/>
  <c r="GA71" i="191" s="1"/>
  <c r="FO71" i="191"/>
  <c r="FN71" i="191"/>
  <c r="FW71" i="191" s="1"/>
  <c r="FV71" i="191" s="1"/>
  <c r="FQ71" i="191"/>
  <c r="FY71" i="191" s="1"/>
  <c r="FU71" i="191"/>
  <c r="FT71" i="191" s="1"/>
  <c r="GB70" i="192"/>
  <c r="FZ70" i="192"/>
  <c r="FK74" i="192"/>
  <c r="FJ73" i="192"/>
  <c r="FR71" i="192"/>
  <c r="FS72" i="192" s="1"/>
  <c r="FQ71" i="192"/>
  <c r="FY71" i="192" s="1"/>
  <c r="FP71" i="192"/>
  <c r="GA71" i="192" s="1"/>
  <c r="FN71" i="192"/>
  <c r="FW71" i="192" s="1"/>
  <c r="FV71" i="192" s="1"/>
  <c r="FU71" i="192"/>
  <c r="FT71" i="192" s="1"/>
  <c r="FO71" i="192"/>
  <c r="AE30" i="191"/>
  <c r="AD30" i="191"/>
  <c r="FX70" i="191"/>
  <c r="AF30" i="19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K73" i="191" l="1"/>
  <c r="FJ72" i="191"/>
  <c r="FR72" i="193"/>
  <c r="FS73" i="193" s="1"/>
  <c r="FU72" i="193"/>
  <c r="FT72" i="193" s="1"/>
  <c r="FQ72" i="193"/>
  <c r="FY72" i="193" s="1"/>
  <c r="FP72" i="193"/>
  <c r="GA72" i="193" s="1"/>
  <c r="FN72" i="193"/>
  <c r="FW72" i="193" s="1"/>
  <c r="FV72" i="193" s="1"/>
  <c r="FO72" i="193"/>
  <c r="AJ30" i="191"/>
  <c r="AI30" i="191"/>
  <c r="FZ71" i="192"/>
  <c r="GB71" i="192"/>
  <c r="FJ73" i="193"/>
  <c r="FK74" i="193"/>
  <c r="AD31" i="191"/>
  <c r="AE31" i="191"/>
  <c r="FZ71" i="191"/>
  <c r="GB71" i="191"/>
  <c r="AG30" i="191"/>
  <c r="AH30" i="191"/>
  <c r="FP72" i="192"/>
  <c r="GA72" i="192" s="1"/>
  <c r="FO72" i="192"/>
  <c r="FN72" i="192"/>
  <c r="FW72" i="192" s="1"/>
  <c r="FV72" i="192" s="1"/>
  <c r="FU72" i="192"/>
  <c r="FT72" i="192" s="1"/>
  <c r="FR72" i="192"/>
  <c r="FS73" i="192" s="1"/>
  <c r="FQ72" i="192"/>
  <c r="FY72" i="192" s="1"/>
  <c r="FC30" i="191"/>
  <c r="FX71" i="191"/>
  <c r="AF31" i="191"/>
  <c r="FX71" i="193"/>
  <c r="FJ74" i="192"/>
  <c r="FK75" i="192"/>
  <c r="FX71" i="192"/>
  <c r="FP72" i="191"/>
  <c r="GA72" i="191" s="1"/>
  <c r="FN72" i="191"/>
  <c r="FW72" i="191" s="1"/>
  <c r="FV72" i="191" s="1"/>
  <c r="FU72" i="191"/>
  <c r="FT72" i="191" s="1"/>
  <c r="FR72" i="191"/>
  <c r="FS73" i="191" s="1"/>
  <c r="FQ72" i="191"/>
  <c r="FY72" i="191" s="1"/>
  <c r="FO72" i="191"/>
  <c r="GB71" i="193"/>
  <c r="FZ71" i="193"/>
  <c r="GG54" i="84"/>
  <c r="GH54" i="84"/>
  <c r="GI54" i="84"/>
  <c r="GG55" i="84"/>
  <c r="GH55" i="84"/>
  <c r="GI55" i="84"/>
  <c r="GG56" i="84"/>
  <c r="GH56" i="84"/>
  <c r="GI56" i="84"/>
  <c r="GG57" i="84"/>
  <c r="GH57" i="84"/>
  <c r="GI57" i="84"/>
  <c r="GG58" i="84"/>
  <c r="GH58" i="84"/>
  <c r="GI58" i="84"/>
  <c r="GG59" i="84"/>
  <c r="GH59" i="84"/>
  <c r="GI59" i="84"/>
  <c r="FX72" i="193" l="1"/>
  <c r="GK70" i="191"/>
  <c r="FE30" i="191"/>
  <c r="FX72" i="192"/>
  <c r="FD30" i="191"/>
  <c r="BW30" i="191"/>
  <c r="BX30" i="191" s="1"/>
  <c r="EX30" i="191" s="1"/>
  <c r="FK75" i="193"/>
  <c r="FJ74" i="193"/>
  <c r="FJ75" i="192"/>
  <c r="FK76" i="192"/>
  <c r="GB72" i="193"/>
  <c r="FZ72" i="193"/>
  <c r="FX72" i="191"/>
  <c r="AF32" i="191"/>
  <c r="FZ72" i="192"/>
  <c r="GB72" i="192"/>
  <c r="AD32" i="191"/>
  <c r="AE32" i="191"/>
  <c r="FC31" i="191"/>
  <c r="FN73" i="192"/>
  <c r="FW73" i="192" s="1"/>
  <c r="FV73" i="192" s="1"/>
  <c r="FU73" i="192"/>
  <c r="FT73" i="192" s="1"/>
  <c r="FP73" i="192"/>
  <c r="GA73" i="192" s="1"/>
  <c r="FO73" i="192"/>
  <c r="FR73" i="192"/>
  <c r="FS74" i="192" s="1"/>
  <c r="FQ73" i="192"/>
  <c r="FY73" i="192" s="1"/>
  <c r="FR73" i="193"/>
  <c r="FS74" i="193" s="1"/>
  <c r="FQ73" i="193"/>
  <c r="FY73" i="193" s="1"/>
  <c r="FP73" i="193"/>
  <c r="GA73" i="193" s="1"/>
  <c r="FO73" i="193"/>
  <c r="FU73" i="193"/>
  <c r="FT73" i="193" s="1"/>
  <c r="FN73" i="193"/>
  <c r="FW73" i="193" s="1"/>
  <c r="FV73" i="193" s="1"/>
  <c r="FN73" i="191"/>
  <c r="FW73" i="191" s="1"/>
  <c r="FV73" i="191" s="1"/>
  <c r="FR73" i="191"/>
  <c r="FS74" i="191" s="1"/>
  <c r="FO73" i="191"/>
  <c r="FU73" i="191"/>
  <c r="FT73" i="191" s="1"/>
  <c r="FQ73" i="191"/>
  <c r="FY73" i="191" s="1"/>
  <c r="FP73" i="191"/>
  <c r="GA73" i="191" s="1"/>
  <c r="AJ31" i="191"/>
  <c r="AI31" i="191"/>
  <c r="AH31" i="191"/>
  <c r="AG31" i="191"/>
  <c r="GB72" i="191"/>
  <c r="FZ72" i="191"/>
  <c r="FJ73" i="191"/>
  <c r="FK74" i="191"/>
  <c r="BB7" i="84"/>
  <c r="BB7" i="160"/>
  <c r="FD31" i="191" l="1"/>
  <c r="FE31" i="191"/>
  <c r="FX73" i="193"/>
  <c r="BY30" i="191"/>
  <c r="BW31" i="191"/>
  <c r="BX31" i="191" s="1"/>
  <c r="BY31" i="191" s="1"/>
  <c r="FX73" i="192"/>
  <c r="FB30" i="191"/>
  <c r="FA30" i="191" s="1"/>
  <c r="FZ73" i="193"/>
  <c r="GB73" i="193"/>
  <c r="FK76" i="193"/>
  <c r="FJ75" i="193"/>
  <c r="FX73" i="191"/>
  <c r="AF33" i="191"/>
  <c r="FP74" i="193"/>
  <c r="GA74" i="193" s="1"/>
  <c r="FO74" i="193"/>
  <c r="FN74" i="193"/>
  <c r="FW74" i="193" s="1"/>
  <c r="FV74" i="193" s="1"/>
  <c r="FU74" i="193"/>
  <c r="FT74" i="193" s="1"/>
  <c r="FQ74" i="193"/>
  <c r="FY74" i="193" s="1"/>
  <c r="FR74" i="193"/>
  <c r="FS75" i="193" s="1"/>
  <c r="GK71" i="191"/>
  <c r="AH32" i="191"/>
  <c r="AG32" i="191"/>
  <c r="FC32" i="191"/>
  <c r="FR74" i="191"/>
  <c r="FS75" i="191" s="1"/>
  <c r="FQ74" i="191"/>
  <c r="FY74" i="191" s="1"/>
  <c r="FP74" i="191"/>
  <c r="GA74" i="191" s="1"/>
  <c r="FO74" i="191"/>
  <c r="FU74" i="191"/>
  <c r="FT74" i="191" s="1"/>
  <c r="FN74" i="191"/>
  <c r="FW74" i="191" s="1"/>
  <c r="FV74" i="191" s="1"/>
  <c r="GB73" i="192"/>
  <c r="FZ73" i="192"/>
  <c r="FJ76" i="192"/>
  <c r="FK77" i="192"/>
  <c r="AJ32" i="191"/>
  <c r="AI32" i="191"/>
  <c r="GB73" i="191"/>
  <c r="FZ73" i="191"/>
  <c r="FJ74" i="191"/>
  <c r="FK75" i="191"/>
  <c r="AD33" i="191"/>
  <c r="AE33" i="191"/>
  <c r="FR74" i="192"/>
  <c r="FS75" i="192" s="1"/>
  <c r="FU74" i="192"/>
  <c r="FT74" i="192" s="1"/>
  <c r="FP74" i="192"/>
  <c r="GA74" i="192" s="1"/>
  <c r="FQ74" i="192"/>
  <c r="FY74" i="192" s="1"/>
  <c r="FO74" i="192"/>
  <c r="FN74" i="192"/>
  <c r="FW74" i="192" s="1"/>
  <c r="FV74" i="192" s="1"/>
  <c r="O7" i="163"/>
  <c r="O7" i="162"/>
  <c r="Y7" i="165"/>
  <c r="Y7" i="147"/>
  <c r="X7" i="160"/>
  <c r="X7" i="84"/>
  <c r="FX74" i="193" l="1"/>
  <c r="FB31" i="191"/>
  <c r="FA31" i="191" s="1"/>
  <c r="FX74" i="192"/>
  <c r="FD32" i="191"/>
  <c r="BW32" i="191"/>
  <c r="BX32" i="191" s="1"/>
  <c r="FB32" i="191" s="1"/>
  <c r="FA32" i="191" s="1"/>
  <c r="GK72" i="191"/>
  <c r="EX31" i="191"/>
  <c r="FR75" i="191"/>
  <c r="FS76" i="191" s="1"/>
  <c r="FP75" i="191"/>
  <c r="GA75" i="191" s="1"/>
  <c r="FO75" i="191"/>
  <c r="FN75" i="191"/>
  <c r="FW75" i="191" s="1"/>
  <c r="FV75" i="191" s="1"/>
  <c r="FU75" i="191"/>
  <c r="FT75" i="191" s="1"/>
  <c r="FQ75" i="191"/>
  <c r="FY75" i="191" s="1"/>
  <c r="FZ74" i="193"/>
  <c r="GB74" i="193"/>
  <c r="GB74" i="192"/>
  <c r="FZ74" i="192"/>
  <c r="FJ76" i="193"/>
  <c r="FK77" i="193"/>
  <c r="AJ33" i="191"/>
  <c r="AI33" i="191"/>
  <c r="AD34" i="191"/>
  <c r="AE34" i="191"/>
  <c r="FR75" i="192"/>
  <c r="FS76" i="192" s="1"/>
  <c r="FQ75" i="192"/>
  <c r="FY75" i="192" s="1"/>
  <c r="FP75" i="192"/>
  <c r="GA75" i="192" s="1"/>
  <c r="FN75" i="192"/>
  <c r="FW75" i="192" s="1"/>
  <c r="FV75" i="192" s="1"/>
  <c r="FU75" i="192"/>
  <c r="FT75" i="192" s="1"/>
  <c r="FO75" i="192"/>
  <c r="FE32" i="191"/>
  <c r="AF34" i="191"/>
  <c r="FX74" i="191"/>
  <c r="FC33" i="191"/>
  <c r="FK78" i="192"/>
  <c r="FJ77" i="192"/>
  <c r="AH33" i="191"/>
  <c r="AG33" i="191"/>
  <c r="FJ75" i="191"/>
  <c r="FK76" i="191"/>
  <c r="GB74" i="191"/>
  <c r="FZ74" i="191"/>
  <c r="FN75" i="193"/>
  <c r="FW75" i="193" s="1"/>
  <c r="FV75" i="193" s="1"/>
  <c r="FU75" i="193"/>
  <c r="FT75" i="193" s="1"/>
  <c r="FQ75" i="193"/>
  <c r="FY75" i="193" s="1"/>
  <c r="FP75" i="193"/>
  <c r="GA75" i="193" s="1"/>
  <c r="FR75" i="193"/>
  <c r="FS76" i="193" s="1"/>
  <c r="FO75" i="193"/>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2" i="191" l="1"/>
  <c r="FD33" i="191"/>
  <c r="BY32" i="191"/>
  <c r="GK73" i="191"/>
  <c r="FX75" i="193"/>
  <c r="BW33" i="191"/>
  <c r="BX33" i="191" s="1"/>
  <c r="BY33" i="191" s="1"/>
  <c r="FZ75" i="192"/>
  <c r="GB75" i="192"/>
  <c r="FZ75" i="191"/>
  <c r="GB75" i="191"/>
  <c r="FC34" i="191"/>
  <c r="FX75" i="191"/>
  <c r="AF35" i="191"/>
  <c r="GB75" i="193"/>
  <c r="FZ75" i="193"/>
  <c r="FX75" i="192"/>
  <c r="FE33" i="191"/>
  <c r="AJ34" i="191"/>
  <c r="AI34" i="191"/>
  <c r="FR76" i="193"/>
  <c r="FS77" i="193" s="1"/>
  <c r="FO76" i="193"/>
  <c r="FN76" i="193"/>
  <c r="FW76" i="193" s="1"/>
  <c r="FV76" i="193" s="1"/>
  <c r="FU76" i="193"/>
  <c r="FT76" i="193" s="1"/>
  <c r="FP76" i="193"/>
  <c r="GA76" i="193" s="1"/>
  <c r="FQ76" i="193"/>
  <c r="FY76" i="193" s="1"/>
  <c r="FK77" i="191"/>
  <c r="FJ76" i="191"/>
  <c r="AE35" i="191"/>
  <c r="AD35" i="191"/>
  <c r="AG34" i="191"/>
  <c r="AH34" i="191"/>
  <c r="FP76" i="191"/>
  <c r="GA76" i="191" s="1"/>
  <c r="FN76" i="191"/>
  <c r="FW76" i="191" s="1"/>
  <c r="FV76" i="191" s="1"/>
  <c r="FU76" i="191"/>
  <c r="FT76" i="191" s="1"/>
  <c r="FQ76" i="191"/>
  <c r="FY76" i="191" s="1"/>
  <c r="FR76" i="191"/>
  <c r="FS77" i="191" s="1"/>
  <c r="FO76" i="191"/>
  <c r="FJ78" i="192"/>
  <c r="FK79" i="192"/>
  <c r="FP76" i="192"/>
  <c r="GA76" i="192" s="1"/>
  <c r="FO76" i="192"/>
  <c r="FN76" i="192"/>
  <c r="FW76" i="192" s="1"/>
  <c r="FV76" i="192" s="1"/>
  <c r="FU76" i="192"/>
  <c r="FT76" i="192" s="1"/>
  <c r="FR76" i="192"/>
  <c r="FS77" i="192" s="1"/>
  <c r="FQ76" i="192"/>
  <c r="FY76" i="192" s="1"/>
  <c r="FJ77" i="193"/>
  <c r="FK78" i="193"/>
  <c r="N10" i="114"/>
  <c r="N7" i="114"/>
  <c r="GK74" i="191" l="1"/>
  <c r="EX33" i="191"/>
  <c r="FB33" i="191"/>
  <c r="FA33" i="191" s="1"/>
  <c r="BW34" i="191"/>
  <c r="BX34" i="191" s="1"/>
  <c r="BY34" i="191" s="1"/>
  <c r="FX76" i="192"/>
  <c r="FN77" i="192"/>
  <c r="FW77" i="192" s="1"/>
  <c r="FV77" i="192" s="1"/>
  <c r="FU77" i="192"/>
  <c r="FT77" i="192" s="1"/>
  <c r="FR77" i="192"/>
  <c r="FS78" i="192" s="1"/>
  <c r="FQ77" i="192"/>
  <c r="FY77" i="192" s="1"/>
  <c r="FP77" i="192"/>
  <c r="GA77" i="192" s="1"/>
  <c r="FO77" i="192"/>
  <c r="FX76" i="191"/>
  <c r="AF36" i="191"/>
  <c r="FC35" i="191"/>
  <c r="FX76" i="193"/>
  <c r="FJ77" i="191"/>
  <c r="FK78" i="191"/>
  <c r="AI35" i="191"/>
  <c r="AJ35" i="191"/>
  <c r="FD34" i="191"/>
  <c r="AD36" i="191"/>
  <c r="AE36" i="191"/>
  <c r="GB76" i="193"/>
  <c r="FZ76" i="193"/>
  <c r="FE34" i="191"/>
  <c r="AH35" i="191"/>
  <c r="AG35" i="191"/>
  <c r="FN77" i="191"/>
  <c r="FW77" i="191" s="1"/>
  <c r="FV77" i="191" s="1"/>
  <c r="FR77" i="191"/>
  <c r="FS78" i="191" s="1"/>
  <c r="FP77" i="191"/>
  <c r="GA77" i="191" s="1"/>
  <c r="FO77" i="191"/>
  <c r="FU77" i="191"/>
  <c r="FT77" i="191" s="1"/>
  <c r="FQ77" i="191"/>
  <c r="FY77" i="191" s="1"/>
  <c r="FR77" i="193"/>
  <c r="FS78" i="193" s="1"/>
  <c r="FQ77" i="193"/>
  <c r="FY77" i="193" s="1"/>
  <c r="FP77" i="193"/>
  <c r="GA77" i="193" s="1"/>
  <c r="FN77" i="193"/>
  <c r="FW77" i="193" s="1"/>
  <c r="FV77" i="193" s="1"/>
  <c r="FU77" i="193"/>
  <c r="FT77" i="193" s="1"/>
  <c r="FO77" i="193"/>
  <c r="FK79" i="193"/>
  <c r="FJ78" i="193"/>
  <c r="GB76" i="191"/>
  <c r="FZ76" i="191"/>
  <c r="FZ76" i="192"/>
  <c r="GB76" i="192"/>
  <c r="FJ79" i="192"/>
  <c r="FK80" i="192"/>
  <c r="AR57" i="165"/>
  <c r="AX57" i="165"/>
  <c r="FD35" i="191" l="1"/>
  <c r="GK75" i="191"/>
  <c r="EX34" i="191"/>
  <c r="FB34" i="191"/>
  <c r="FA34" i="191" s="1"/>
  <c r="AJ36" i="191"/>
  <c r="AI36" i="191"/>
  <c r="BW35" i="191"/>
  <c r="BX35" i="191" s="1"/>
  <c r="FP78" i="193"/>
  <c r="GA78" i="193" s="1"/>
  <c r="FO78" i="193"/>
  <c r="FN78" i="193"/>
  <c r="FW78" i="193" s="1"/>
  <c r="FV78" i="193" s="1"/>
  <c r="FR78" i="193"/>
  <c r="FS79" i="193" s="1"/>
  <c r="FQ78" i="193"/>
  <c r="FY78" i="193" s="1"/>
  <c r="FU78" i="193"/>
  <c r="FT78" i="193" s="1"/>
  <c r="FE35" i="191"/>
  <c r="FK80" i="193"/>
  <c r="FJ79" i="193"/>
  <c r="FC36" i="191"/>
  <c r="FZ77" i="193"/>
  <c r="GB77" i="193"/>
  <c r="FK81" i="192"/>
  <c r="FJ80" i="192"/>
  <c r="FX77" i="191"/>
  <c r="AF37" i="191"/>
  <c r="AH36" i="191"/>
  <c r="AG36" i="191"/>
  <c r="AD37" i="191"/>
  <c r="AE37" i="191"/>
  <c r="GB77" i="192"/>
  <c r="FZ77" i="192"/>
  <c r="FR78" i="192"/>
  <c r="FS79" i="192" s="1"/>
  <c r="FO78" i="192"/>
  <c r="FN78" i="192"/>
  <c r="FW78" i="192" s="1"/>
  <c r="FV78" i="192" s="1"/>
  <c r="FU78" i="192"/>
  <c r="FT78" i="192" s="1"/>
  <c r="FQ78" i="192"/>
  <c r="FY78" i="192" s="1"/>
  <c r="FP78" i="192"/>
  <c r="GA78" i="192" s="1"/>
  <c r="GB77" i="191"/>
  <c r="FZ77" i="191"/>
  <c r="FX77" i="193"/>
  <c r="FJ78" i="191"/>
  <c r="FK79" i="191"/>
  <c r="FX77" i="192"/>
  <c r="FC36" i="193"/>
  <c r="FR78" i="191"/>
  <c r="FS79" i="191" s="1"/>
  <c r="FQ78" i="191"/>
  <c r="FY78" i="191" s="1"/>
  <c r="FP78" i="191"/>
  <c r="GA78" i="191" s="1"/>
  <c r="FO78" i="191"/>
  <c r="FN78" i="191"/>
  <c r="FW78" i="191" s="1"/>
  <c r="FV78" i="191" s="1"/>
  <c r="FU78" i="191"/>
  <c r="FT78" i="191" s="1"/>
  <c r="AT57" i="165"/>
  <c r="AV57" i="165"/>
  <c r="AW57" i="165"/>
  <c r="EX5" i="84"/>
  <c r="EX5" i="160"/>
  <c r="DJ45" i="165"/>
  <c r="DI45" i="165"/>
  <c r="DJ44" i="165"/>
  <c r="DI44" i="165"/>
  <c r="DJ43" i="165"/>
  <c r="DI43" i="165"/>
  <c r="DJ42" i="165"/>
  <c r="DI42" i="165"/>
  <c r="DJ41" i="165"/>
  <c r="DI41" i="165"/>
  <c r="DJ40" i="165"/>
  <c r="DI40" i="165"/>
  <c r="DJ39" i="165"/>
  <c r="DI39" i="165"/>
  <c r="DJ38" i="165"/>
  <c r="DI38" i="165"/>
  <c r="DJ37" i="165"/>
  <c r="DI37" i="165"/>
  <c r="DJ36" i="165"/>
  <c r="DI36" i="165"/>
  <c r="DJ35" i="165"/>
  <c r="DI35" i="165"/>
  <c r="DJ34" i="165"/>
  <c r="DI34" i="165"/>
  <c r="DJ33" i="165"/>
  <c r="DI33" i="165"/>
  <c r="DJ32" i="165"/>
  <c r="DI32" i="165"/>
  <c r="DJ31" i="165"/>
  <c r="DI31" i="165"/>
  <c r="DJ30" i="165"/>
  <c r="DI30" i="165"/>
  <c r="DJ29" i="165"/>
  <c r="DI29" i="165"/>
  <c r="DJ28" i="165"/>
  <c r="DI28" i="165"/>
  <c r="DJ27" i="165"/>
  <c r="DI27" i="165"/>
  <c r="DJ26" i="165"/>
  <c r="DI26" i="165"/>
  <c r="DJ25" i="165"/>
  <c r="DI25" i="165"/>
  <c r="DJ24" i="165"/>
  <c r="DI24" i="165"/>
  <c r="DJ23" i="165"/>
  <c r="DI23" i="165"/>
  <c r="DJ22" i="165"/>
  <c r="DI22" i="165"/>
  <c r="DJ21" i="165"/>
  <c r="DI21" i="165"/>
  <c r="CE21" i="165" s="1"/>
  <c r="DJ20" i="165"/>
  <c r="DI20" i="165"/>
  <c r="DJ19" i="165"/>
  <c r="DI19" i="165"/>
  <c r="DJ18" i="165"/>
  <c r="DI18" i="165"/>
  <c r="DJ17" i="165"/>
  <c r="DI17" i="165"/>
  <c r="CZ45" i="165"/>
  <c r="CY45" i="165"/>
  <c r="CZ44" i="165"/>
  <c r="CY44" i="165"/>
  <c r="CZ43" i="165"/>
  <c r="CY43" i="165"/>
  <c r="CZ42" i="165"/>
  <c r="CY42" i="165"/>
  <c r="CZ41" i="165"/>
  <c r="CY41" i="165"/>
  <c r="CZ40" i="165"/>
  <c r="CY40" i="165"/>
  <c r="CZ39" i="165"/>
  <c r="CY39" i="165"/>
  <c r="CZ38" i="165"/>
  <c r="CY38" i="165"/>
  <c r="CZ37" i="165"/>
  <c r="CY37" i="165"/>
  <c r="CZ36" i="165"/>
  <c r="CY36" i="165"/>
  <c r="CZ35" i="165"/>
  <c r="CY35" i="165"/>
  <c r="CZ34" i="165"/>
  <c r="CY34" i="165"/>
  <c r="CZ33" i="165"/>
  <c r="CY33" i="165"/>
  <c r="CZ32" i="165"/>
  <c r="CY32" i="165"/>
  <c r="CZ31" i="165"/>
  <c r="CY31" i="165"/>
  <c r="CZ30" i="165"/>
  <c r="CY30" i="165"/>
  <c r="CZ29" i="165"/>
  <c r="CY29" i="165"/>
  <c r="CZ28" i="165"/>
  <c r="CY28" i="165"/>
  <c r="CZ27" i="165"/>
  <c r="CY27" i="165"/>
  <c r="CZ26" i="165"/>
  <c r="CY26" i="165"/>
  <c r="CZ25" i="165"/>
  <c r="CY25" i="165"/>
  <c r="CZ24" i="165"/>
  <c r="CY24" i="165"/>
  <c r="CZ23" i="165"/>
  <c r="CY23" i="165"/>
  <c r="CZ22" i="165"/>
  <c r="CY22" i="165"/>
  <c r="CZ21" i="165"/>
  <c r="CY21" i="165"/>
  <c r="CD21" i="165" s="1"/>
  <c r="CZ20" i="165"/>
  <c r="CY20" i="165"/>
  <c r="CZ19" i="165"/>
  <c r="CY19" i="165"/>
  <c r="CZ18" i="165"/>
  <c r="CY18" i="165"/>
  <c r="CZ17" i="165"/>
  <c r="CY17" i="165"/>
  <c r="DJ16" i="165"/>
  <c r="DI16" i="165"/>
  <c r="CZ16" i="165"/>
  <c r="CY16" i="165"/>
  <c r="DJ40" i="147"/>
  <c r="DI40" i="147"/>
  <c r="DJ39" i="147"/>
  <c r="DI39" i="147"/>
  <c r="DJ38" i="147"/>
  <c r="DI38" i="147"/>
  <c r="DJ37" i="147"/>
  <c r="DI37" i="147"/>
  <c r="DJ36" i="147"/>
  <c r="DI36" i="147"/>
  <c r="DJ35" i="147"/>
  <c r="DI35" i="147"/>
  <c r="DJ34" i="147"/>
  <c r="DI34" i="147"/>
  <c r="DJ33" i="147"/>
  <c r="DI33" i="147"/>
  <c r="DJ32" i="147"/>
  <c r="DI32" i="147"/>
  <c r="DJ31" i="147"/>
  <c r="DI31" i="147"/>
  <c r="DJ30" i="147"/>
  <c r="DI30" i="147"/>
  <c r="DJ29" i="147"/>
  <c r="DI29" i="147"/>
  <c r="CE29" i="147" s="1"/>
  <c r="DJ28" i="147"/>
  <c r="DI28" i="147"/>
  <c r="DJ27" i="147"/>
  <c r="DI27" i="147"/>
  <c r="DJ26" i="147"/>
  <c r="DI26" i="147"/>
  <c r="DJ24" i="147"/>
  <c r="DI24" i="147"/>
  <c r="DJ23" i="147"/>
  <c r="DI23" i="147"/>
  <c r="DI25" i="147"/>
  <c r="CE25" i="147" s="1"/>
  <c r="DJ25" i="147"/>
  <c r="BW36" i="191" l="1"/>
  <c r="BX36" i="191" s="1"/>
  <c r="FB36" i="191" s="1"/>
  <c r="FA36" i="191" s="1"/>
  <c r="FE36" i="191"/>
  <c r="FD36" i="191"/>
  <c r="BW36" i="193"/>
  <c r="BX36" i="193" s="1"/>
  <c r="GB78" i="192"/>
  <c r="FZ78" i="192"/>
  <c r="AF38" i="191"/>
  <c r="FX78" i="191"/>
  <c r="FX78" i="192"/>
  <c r="FJ80" i="193"/>
  <c r="FK81" i="193"/>
  <c r="FB35" i="191"/>
  <c r="FA35" i="191" s="1"/>
  <c r="BY35" i="191"/>
  <c r="EX35" i="191"/>
  <c r="FJ79" i="191"/>
  <c r="FK80" i="191"/>
  <c r="FK82" i="192"/>
  <c r="FJ81" i="192"/>
  <c r="FC37" i="191"/>
  <c r="FX78" i="193"/>
  <c r="AE38" i="191"/>
  <c r="AD38" i="191"/>
  <c r="AJ37" i="191"/>
  <c r="AI37" i="191"/>
  <c r="FR79" i="192"/>
  <c r="FS80" i="192" s="1"/>
  <c r="FQ79" i="192"/>
  <c r="FY79" i="192" s="1"/>
  <c r="FP79" i="192"/>
  <c r="GA79" i="192" s="1"/>
  <c r="FO79" i="192"/>
  <c r="FN79" i="192"/>
  <c r="FW79" i="192" s="1"/>
  <c r="FV79" i="192" s="1"/>
  <c r="FU79" i="192"/>
  <c r="FT79" i="192" s="1"/>
  <c r="FD36" i="193"/>
  <c r="FN79" i="193"/>
  <c r="FW79" i="193" s="1"/>
  <c r="FV79" i="193" s="1"/>
  <c r="FU79" i="193"/>
  <c r="FT79" i="193" s="1"/>
  <c r="FQ79" i="193"/>
  <c r="FY79" i="193" s="1"/>
  <c r="FR79" i="193"/>
  <c r="FS80" i="193" s="1"/>
  <c r="FP79" i="193"/>
  <c r="GA79" i="193" s="1"/>
  <c r="FO79" i="193"/>
  <c r="FE36" i="193"/>
  <c r="GB78" i="191"/>
  <c r="FZ78" i="191"/>
  <c r="AH37" i="191"/>
  <c r="AG37" i="191"/>
  <c r="FC37" i="193"/>
  <c r="FR79" i="191"/>
  <c r="FS80" i="191" s="1"/>
  <c r="FP79" i="191"/>
  <c r="GA79" i="191" s="1"/>
  <c r="FO79" i="191"/>
  <c r="FN79" i="191"/>
  <c r="FW79" i="191" s="1"/>
  <c r="FV79" i="191" s="1"/>
  <c r="FU79" i="191"/>
  <c r="FT79" i="191" s="1"/>
  <c r="FQ79" i="191"/>
  <c r="FY79" i="191" s="1"/>
  <c r="GK76" i="191"/>
  <c r="GB78" i="193"/>
  <c r="FZ78" i="193"/>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BY36" i="193" l="1"/>
  <c r="EZ36" i="193"/>
  <c r="GK76" i="193"/>
  <c r="FD37" i="193"/>
  <c r="EX36" i="191"/>
  <c r="BY36" i="191"/>
  <c r="EX36" i="193"/>
  <c r="FB36" i="193"/>
  <c r="GK77" i="191"/>
  <c r="FD37" i="191"/>
  <c r="FX79" i="192"/>
  <c r="GB79" i="193"/>
  <c r="FZ79" i="193"/>
  <c r="AE39" i="193"/>
  <c r="AD39" i="193"/>
  <c r="FZ79" i="192"/>
  <c r="GB79" i="192"/>
  <c r="BW37" i="191"/>
  <c r="BX37" i="191" s="1"/>
  <c r="FR80" i="193"/>
  <c r="FS81" i="193" s="1"/>
  <c r="FU80" i="193"/>
  <c r="FT80" i="193" s="1"/>
  <c r="FQ80" i="193"/>
  <c r="FY80" i="193" s="1"/>
  <c r="FP80" i="193"/>
  <c r="GA80" i="193" s="1"/>
  <c r="FO80" i="193"/>
  <c r="FN80" i="193"/>
  <c r="FW80" i="193" s="1"/>
  <c r="FV80" i="193" s="1"/>
  <c r="FK81" i="191"/>
  <c r="FJ80" i="191"/>
  <c r="FP80" i="191"/>
  <c r="GA80" i="191" s="1"/>
  <c r="FN80" i="191"/>
  <c r="FW80" i="191" s="1"/>
  <c r="FV80" i="191" s="1"/>
  <c r="FU80" i="191"/>
  <c r="FT80" i="191" s="1"/>
  <c r="FQ80" i="191"/>
  <c r="FY80" i="191" s="1"/>
  <c r="FR80" i="191"/>
  <c r="FS81" i="191" s="1"/>
  <c r="FO80" i="191"/>
  <c r="BW37" i="193"/>
  <c r="BX37" i="193" s="1"/>
  <c r="EZ37" i="193" s="1"/>
  <c r="FZ79" i="191"/>
  <c r="GB79" i="191"/>
  <c r="FC38" i="193"/>
  <c r="FP80" i="192"/>
  <c r="GA80" i="192" s="1"/>
  <c r="FO80" i="192"/>
  <c r="FN80" i="192"/>
  <c r="FW80" i="192" s="1"/>
  <c r="FV80" i="192" s="1"/>
  <c r="FU80" i="192"/>
  <c r="FT80" i="192" s="1"/>
  <c r="FQ80" i="192"/>
  <c r="FY80" i="192" s="1"/>
  <c r="FR80" i="192"/>
  <c r="FS81" i="192" s="1"/>
  <c r="AH38" i="191"/>
  <c r="AG38" i="191"/>
  <c r="FE37" i="191"/>
  <c r="FJ81" i="193"/>
  <c r="FK82" i="193"/>
  <c r="AJ38" i="191"/>
  <c r="AI38" i="191"/>
  <c r="AE39" i="191"/>
  <c r="AD39" i="191"/>
  <c r="FX79" i="193"/>
  <c r="AF39" i="193"/>
  <c r="FX79" i="191"/>
  <c r="AF39" i="191"/>
  <c r="FC38" i="191"/>
  <c r="FJ82" i="192"/>
  <c r="FK83" i="192"/>
  <c r="FE37" i="193"/>
  <c r="AQ57" i="165"/>
  <c r="AM57" i="165"/>
  <c r="AL57" i="165"/>
  <c r="AS57" i="165"/>
  <c r="AN57" i="165"/>
  <c r="AO57" i="165"/>
  <c r="AU57" i="165"/>
  <c r="CZ40" i="147"/>
  <c r="CZ39" i="147"/>
  <c r="CZ38" i="147"/>
  <c r="CZ37" i="147"/>
  <c r="CZ36" i="147"/>
  <c r="CZ35" i="147"/>
  <c r="CZ34" i="147"/>
  <c r="CZ33" i="147"/>
  <c r="CZ32" i="147"/>
  <c r="CZ31" i="147"/>
  <c r="CZ30" i="147"/>
  <c r="CZ29" i="147"/>
  <c r="CZ28" i="147"/>
  <c r="CZ27" i="147"/>
  <c r="CZ26" i="147"/>
  <c r="CZ25" i="147"/>
  <c r="CZ24" i="147"/>
  <c r="CZ23" i="147"/>
  <c r="GK77" i="193" l="1"/>
  <c r="FD38" i="191"/>
  <c r="BW38" i="191"/>
  <c r="BX38" i="191" s="1"/>
  <c r="FB38" i="191" s="1"/>
  <c r="FA38" i="191" s="1"/>
  <c r="FE38" i="191"/>
  <c r="BW38" i="193"/>
  <c r="BX38" i="193" s="1"/>
  <c r="GK78" i="193" s="1"/>
  <c r="FX80" i="192"/>
  <c r="AH39" i="193"/>
  <c r="AG39" i="193"/>
  <c r="FK83" i="193"/>
  <c r="FJ82" i="193"/>
  <c r="AD40" i="191"/>
  <c r="AE40" i="191"/>
  <c r="FC39" i="191"/>
  <c r="FR81" i="193"/>
  <c r="FS82" i="193" s="1"/>
  <c r="FQ81" i="193"/>
  <c r="FY81" i="193" s="1"/>
  <c r="FP81" i="193"/>
  <c r="GA81" i="193" s="1"/>
  <c r="FO81" i="193"/>
  <c r="FN81" i="193"/>
  <c r="FW81" i="193" s="1"/>
  <c r="FV81" i="193" s="1"/>
  <c r="FU81" i="193"/>
  <c r="FT81" i="193" s="1"/>
  <c r="FB37" i="193"/>
  <c r="EX37" i="193"/>
  <c r="BY37" i="193"/>
  <c r="FD38" i="193"/>
  <c r="FE38" i="193"/>
  <c r="FN81" i="192"/>
  <c r="FW81" i="192" s="1"/>
  <c r="FV81" i="192" s="1"/>
  <c r="FU81" i="192"/>
  <c r="FT81" i="192" s="1"/>
  <c r="FR81" i="192"/>
  <c r="FS82" i="192" s="1"/>
  <c r="FP81" i="192"/>
  <c r="GA81" i="192" s="1"/>
  <c r="FQ81" i="192"/>
  <c r="FY81" i="192" s="1"/>
  <c r="FO81" i="192"/>
  <c r="FN81" i="191"/>
  <c r="FW81" i="191" s="1"/>
  <c r="FV81" i="191" s="1"/>
  <c r="FQ81" i="191"/>
  <c r="FY81" i="191" s="1"/>
  <c r="FR81" i="191"/>
  <c r="FS82" i="191" s="1"/>
  <c r="FP81" i="191"/>
  <c r="GA81" i="191" s="1"/>
  <c r="FO81" i="191"/>
  <c r="FU81" i="191"/>
  <c r="FT81" i="191" s="1"/>
  <c r="FX80" i="193"/>
  <c r="AF40" i="193"/>
  <c r="AI39" i="193"/>
  <c r="AJ39" i="193"/>
  <c r="FJ83" i="192"/>
  <c r="FK84" i="192"/>
  <c r="AI39" i="191"/>
  <c r="AJ39" i="191"/>
  <c r="FB37" i="191"/>
  <c r="FA37" i="191" s="1"/>
  <c r="BY37" i="191"/>
  <c r="EX37" i="191"/>
  <c r="FJ81" i="191"/>
  <c r="FK82" i="191"/>
  <c r="AD40" i="193"/>
  <c r="AE40" i="193"/>
  <c r="AH39" i="191"/>
  <c r="AG39" i="191"/>
  <c r="GB80" i="191"/>
  <c r="FZ80" i="191"/>
  <c r="FC39" i="193"/>
  <c r="GK78" i="191"/>
  <c r="FX80" i="191"/>
  <c r="AF40" i="191"/>
  <c r="GB80" i="192"/>
  <c r="FZ80" i="192"/>
  <c r="GB80" i="193"/>
  <c r="FZ80" i="193"/>
  <c r="AP57" i="165"/>
  <c r="AZ57" i="165" s="1"/>
  <c r="C24" i="147"/>
  <c r="FB38" i="193" l="1"/>
  <c r="EZ38" i="193"/>
  <c r="EX38" i="191"/>
  <c r="FD39" i="193"/>
  <c r="FD39" i="191"/>
  <c r="BY38" i="191"/>
  <c r="BY38" i="193"/>
  <c r="BW39" i="193"/>
  <c r="BX39" i="193" s="1"/>
  <c r="FB39" i="193" s="1"/>
  <c r="FA39" i="193" s="1"/>
  <c r="FE39" i="193"/>
  <c r="GB81" i="192"/>
  <c r="FZ81" i="192"/>
  <c r="FX81" i="193"/>
  <c r="AF41" i="193"/>
  <c r="FC40" i="193"/>
  <c r="AF41" i="191"/>
  <c r="FX81" i="191"/>
  <c r="FJ82" i="191"/>
  <c r="FK83" i="191"/>
  <c r="FK85" i="192"/>
  <c r="FJ85" i="192" s="1"/>
  <c r="FJ84" i="192"/>
  <c r="FR82" i="192"/>
  <c r="FS83" i="192" s="1"/>
  <c r="FP82" i="192"/>
  <c r="GA82" i="192" s="1"/>
  <c r="FQ82" i="192"/>
  <c r="FY82" i="192" s="1"/>
  <c r="FU82" i="192"/>
  <c r="FT82" i="192" s="1"/>
  <c r="FO82" i="192"/>
  <c r="FN82" i="192"/>
  <c r="FW82" i="192" s="1"/>
  <c r="FV82" i="192" s="1"/>
  <c r="FZ81" i="193"/>
  <c r="GB81" i="193"/>
  <c r="FR82" i="191"/>
  <c r="FS83" i="191" s="1"/>
  <c r="FO82" i="191"/>
  <c r="FQ82" i="191"/>
  <c r="FY82" i="191" s="1"/>
  <c r="FP82" i="191"/>
  <c r="GA82" i="191" s="1"/>
  <c r="FU82" i="191"/>
  <c r="FT82" i="191" s="1"/>
  <c r="FN82" i="191"/>
  <c r="FW82" i="191" s="1"/>
  <c r="FV82" i="191" s="1"/>
  <c r="FP82" i="193"/>
  <c r="GA82" i="193" s="1"/>
  <c r="FO82" i="193"/>
  <c r="FN82" i="193"/>
  <c r="FW82" i="193" s="1"/>
  <c r="FV82" i="193" s="1"/>
  <c r="FQ82" i="193"/>
  <c r="FY82" i="193" s="1"/>
  <c r="FU82" i="193"/>
  <c r="FT82" i="193" s="1"/>
  <c r="FR82" i="193"/>
  <c r="FS83" i="193" s="1"/>
  <c r="FC40" i="191"/>
  <c r="FE39" i="191"/>
  <c r="GK79" i="193"/>
  <c r="FK84" i="193"/>
  <c r="FJ83" i="193"/>
  <c r="AJ40" i="191"/>
  <c r="AI40" i="191"/>
  <c r="AJ40" i="193"/>
  <c r="AI40" i="193"/>
  <c r="GB81" i="191"/>
  <c r="FZ81" i="191"/>
  <c r="BW39" i="191"/>
  <c r="BX39" i="191" s="1"/>
  <c r="AH40" i="191"/>
  <c r="AG40" i="191"/>
  <c r="AE41" i="191"/>
  <c r="AD41" i="191"/>
  <c r="EX38" i="193"/>
  <c r="GK79" i="191"/>
  <c r="AH40" i="193"/>
  <c r="AG40" i="193"/>
  <c r="FX81" i="192"/>
  <c r="AD41" i="193"/>
  <c r="AE41" i="193"/>
  <c r="AH49" i="117"/>
  <c r="AG49" i="117"/>
  <c r="Y49" i="117"/>
  <c r="X49" i="117"/>
  <c r="W49" i="117"/>
  <c r="V49" i="117"/>
  <c r="U49" i="117"/>
  <c r="T49" i="117"/>
  <c r="S49" i="117"/>
  <c r="R49" i="117"/>
  <c r="Z49" i="117" s="1"/>
  <c r="P49" i="117"/>
  <c r="BY39" i="193" l="1"/>
  <c r="FD40" i="193"/>
  <c r="FE40" i="193"/>
  <c r="FD40" i="191"/>
  <c r="BW40" i="193"/>
  <c r="BX40" i="193" s="1"/>
  <c r="FB40" i="193" s="1"/>
  <c r="FA40" i="193" s="1"/>
  <c r="GK80" i="193"/>
  <c r="GB82" i="193"/>
  <c r="FZ82" i="193"/>
  <c r="GB82" i="192"/>
  <c r="FZ82" i="192"/>
  <c r="FC41" i="191"/>
  <c r="FJ84" i="193"/>
  <c r="FK85" i="193"/>
  <c r="FJ85" i="193" s="1"/>
  <c r="FR83" i="191"/>
  <c r="FS84" i="191" s="1"/>
  <c r="FP83" i="191"/>
  <c r="GA83" i="191" s="1"/>
  <c r="FO83" i="191"/>
  <c r="FN83" i="191"/>
  <c r="FW83" i="191" s="1"/>
  <c r="FV83" i="191" s="1"/>
  <c r="FU83" i="191"/>
  <c r="FT83" i="191" s="1"/>
  <c r="FQ83" i="191"/>
  <c r="FY83" i="191" s="1"/>
  <c r="FX82" i="193"/>
  <c r="AF42" i="193"/>
  <c r="FB39" i="191"/>
  <c r="FA39" i="191" s="1"/>
  <c r="BY39" i="191"/>
  <c r="EX39" i="191"/>
  <c r="AE42" i="191"/>
  <c r="AD42" i="191"/>
  <c r="AJ41" i="193"/>
  <c r="AI41" i="193"/>
  <c r="AH41" i="193"/>
  <c r="AG41" i="193"/>
  <c r="FE40" i="191"/>
  <c r="GK80" i="191"/>
  <c r="AE42" i="192"/>
  <c r="AD42" i="192"/>
  <c r="FJ83" i="191"/>
  <c r="FK84" i="191"/>
  <c r="FX82" i="191"/>
  <c r="AF42" i="191"/>
  <c r="FC41" i="193"/>
  <c r="BW40" i="191"/>
  <c r="BX40" i="191" s="1"/>
  <c r="EX39" i="193"/>
  <c r="FC41" i="192"/>
  <c r="FN83" i="193"/>
  <c r="FW83" i="193" s="1"/>
  <c r="FV83" i="193" s="1"/>
  <c r="FU83" i="193"/>
  <c r="FT83" i="193" s="1"/>
  <c r="FR83" i="193"/>
  <c r="FS84" i="193" s="1"/>
  <c r="FO83" i="193"/>
  <c r="FQ83" i="193"/>
  <c r="FY83" i="193" s="1"/>
  <c r="FP83" i="193"/>
  <c r="GA83" i="193" s="1"/>
  <c r="FX82" i="192"/>
  <c r="AF42" i="192"/>
  <c r="AG41" i="191"/>
  <c r="AH41" i="191"/>
  <c r="AE42" i="193"/>
  <c r="AD42" i="193"/>
  <c r="FR83" i="192"/>
  <c r="FS84" i="192" s="1"/>
  <c r="FQ83" i="192"/>
  <c r="FY83" i="192" s="1"/>
  <c r="FP83" i="192"/>
  <c r="GA83" i="192" s="1"/>
  <c r="FN83" i="192"/>
  <c r="FW83" i="192" s="1"/>
  <c r="FV83" i="192" s="1"/>
  <c r="FO83" i="192"/>
  <c r="FU83" i="192"/>
  <c r="FT83" i="192" s="1"/>
  <c r="AI41" i="191"/>
  <c r="AJ41" i="191"/>
  <c r="GB82" i="191"/>
  <c r="FZ82" i="191"/>
  <c r="AE49" i="117"/>
  <c r="AA49" i="117"/>
  <c r="AB49" i="117"/>
  <c r="AC49" i="117"/>
  <c r="AD49" i="117"/>
  <c r="AF49" i="117"/>
  <c r="A30" i="160"/>
  <c r="A29" i="160"/>
  <c r="A28" i="160"/>
  <c r="A27" i="160"/>
  <c r="A26" i="160"/>
  <c r="A25" i="160"/>
  <c r="A24" i="160"/>
  <c r="A23" i="160"/>
  <c r="A22" i="160"/>
  <c r="A21" i="160"/>
  <c r="A20" i="160"/>
  <c r="A19" i="160"/>
  <c r="A18" i="160"/>
  <c r="A17" i="160"/>
  <c r="A16" i="160"/>
  <c r="BJ28" i="160"/>
  <c r="AB23" i="84"/>
  <c r="AB22" i="84"/>
  <c r="AB21" i="84"/>
  <c r="AB20" i="84"/>
  <c r="AB19" i="84"/>
  <c r="AB18" i="84"/>
  <c r="AB17" i="84"/>
  <c r="A30" i="84"/>
  <c r="A33" i="84"/>
  <c r="A32" i="84"/>
  <c r="A31" i="84"/>
  <c r="A29" i="84"/>
  <c r="A28" i="84"/>
  <c r="A34" i="84"/>
  <c r="A28" i="147"/>
  <c r="A27" i="147"/>
  <c r="A25" i="147"/>
  <c r="GK81" i="193" l="1"/>
  <c r="FD41" i="193"/>
  <c r="EX40" i="193"/>
  <c r="FD41" i="191"/>
  <c r="FE41" i="192"/>
  <c r="FD41" i="192"/>
  <c r="BY40" i="193"/>
  <c r="BW41" i="192"/>
  <c r="BX41" i="192" s="1"/>
  <c r="BW41" i="193"/>
  <c r="BX41" i="193" s="1"/>
  <c r="BW41" i="191"/>
  <c r="BX41" i="191" s="1"/>
  <c r="BY41" i="191" s="1"/>
  <c r="FE41" i="193"/>
  <c r="FK85" i="191"/>
  <c r="FJ85" i="191" s="1"/>
  <c r="FJ84" i="191"/>
  <c r="AD43" i="193"/>
  <c r="AE43" i="193"/>
  <c r="AH42" i="193"/>
  <c r="AG42" i="193"/>
  <c r="FE41" i="191"/>
  <c r="AH42" i="192"/>
  <c r="AG42" i="192"/>
  <c r="FZ83" i="192"/>
  <c r="GB83" i="192"/>
  <c r="FP84" i="191"/>
  <c r="GA84" i="191" s="1"/>
  <c r="FN84" i="191"/>
  <c r="FW84" i="191" s="1"/>
  <c r="FV84" i="191" s="1"/>
  <c r="FU84" i="191"/>
  <c r="FT84" i="191" s="1"/>
  <c r="FO84" i="191"/>
  <c r="FR84" i="191"/>
  <c r="FS85" i="191" s="1"/>
  <c r="FQ84" i="191"/>
  <c r="FY84" i="191" s="1"/>
  <c r="AJ42" i="192"/>
  <c r="AI42" i="192"/>
  <c r="FP84" i="192"/>
  <c r="GA84" i="192" s="1"/>
  <c r="FO84" i="192"/>
  <c r="FN84" i="192"/>
  <c r="FW84" i="192" s="1"/>
  <c r="FV84" i="192" s="1"/>
  <c r="FU84" i="192"/>
  <c r="FT84" i="192" s="1"/>
  <c r="FR84" i="192"/>
  <c r="FS85" i="192" s="1"/>
  <c r="FQ84" i="192"/>
  <c r="FY84" i="192" s="1"/>
  <c r="FC42" i="192"/>
  <c r="FC42" i="193"/>
  <c r="AH42" i="191"/>
  <c r="AG42" i="191"/>
  <c r="FC42" i="191"/>
  <c r="FZ83" i="191"/>
  <c r="GB83" i="191"/>
  <c r="AI42" i="193"/>
  <c r="AJ42" i="193"/>
  <c r="FX83" i="192"/>
  <c r="AF43" i="192"/>
  <c r="GB83" i="193"/>
  <c r="FZ83" i="193"/>
  <c r="GK81" i="191"/>
  <c r="FX83" i="193"/>
  <c r="AF43" i="193"/>
  <c r="AD43" i="191"/>
  <c r="AE43" i="191"/>
  <c r="AI42" i="191"/>
  <c r="AJ42" i="191"/>
  <c r="AD43" i="192"/>
  <c r="AE43" i="192"/>
  <c r="FR84" i="193"/>
  <c r="FS85" i="193" s="1"/>
  <c r="FU84" i="193"/>
  <c r="FT84" i="193" s="1"/>
  <c r="FP84" i="193"/>
  <c r="GA84" i="193" s="1"/>
  <c r="FQ84" i="193"/>
  <c r="FY84" i="193" s="1"/>
  <c r="FO84" i="193"/>
  <c r="FN84" i="193"/>
  <c r="FW84" i="193" s="1"/>
  <c r="FV84" i="193" s="1"/>
  <c r="EX40" i="191"/>
  <c r="BY40" i="191"/>
  <c r="FB40" i="191"/>
  <c r="FA40" i="191" s="1"/>
  <c r="FX83" i="191"/>
  <c r="AF43" i="191"/>
  <c r="FO31"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BY41" i="192" l="1"/>
  <c r="EZ41" i="192"/>
  <c r="GK81" i="192"/>
  <c r="EX41" i="193"/>
  <c r="FD42" i="191"/>
  <c r="EX41" i="191"/>
  <c r="FE42" i="192"/>
  <c r="FB41" i="192"/>
  <c r="FD42" i="193"/>
  <c r="FB41" i="193"/>
  <c r="FA41" i="193" s="1"/>
  <c r="BY41" i="193"/>
  <c r="EX41" i="192"/>
  <c r="FB41" i="191"/>
  <c r="FA41" i="191" s="1"/>
  <c r="BW42" i="193"/>
  <c r="BX42" i="193" s="1"/>
  <c r="FB42" i="193" s="1"/>
  <c r="FA42" i="193" s="1"/>
  <c r="BW42" i="192"/>
  <c r="BX42" i="192" s="1"/>
  <c r="FB42" i="192" s="1"/>
  <c r="FA42" i="192" s="1"/>
  <c r="GB84" i="192"/>
  <c r="FZ84" i="192"/>
  <c r="AF44" i="193"/>
  <c r="FX84" i="193"/>
  <c r="FE42" i="191"/>
  <c r="AJ43" i="193"/>
  <c r="AI43" i="193"/>
  <c r="FN85" i="192"/>
  <c r="FW85" i="192" s="1"/>
  <c r="FV85" i="192" s="1"/>
  <c r="FU85" i="192"/>
  <c r="FT85" i="192" s="1"/>
  <c r="FR85" i="192"/>
  <c r="FQ85" i="192"/>
  <c r="FY85" i="192" s="1"/>
  <c r="FP85" i="192"/>
  <c r="GA85" i="192" s="1"/>
  <c r="FO85" i="192"/>
  <c r="FN85" i="191"/>
  <c r="FW85" i="191" s="1"/>
  <c r="FV85" i="191" s="1"/>
  <c r="FR85" i="191"/>
  <c r="FQ85" i="191"/>
  <c r="FY85" i="191" s="1"/>
  <c r="FU85" i="191"/>
  <c r="FT85" i="191" s="1"/>
  <c r="FP85" i="191"/>
  <c r="GA85" i="191" s="1"/>
  <c r="FO85" i="191"/>
  <c r="AI43" i="192"/>
  <c r="AJ43" i="192"/>
  <c r="AH43" i="193"/>
  <c r="AG43" i="193"/>
  <c r="FC43" i="192"/>
  <c r="FE42" i="193"/>
  <c r="AD44" i="193"/>
  <c r="AE44" i="193"/>
  <c r="GB84" i="191"/>
  <c r="FZ84" i="191"/>
  <c r="GB84" i="193"/>
  <c r="FZ84" i="193"/>
  <c r="AJ43" i="191"/>
  <c r="AI43" i="191"/>
  <c r="GK82" i="193"/>
  <c r="FX84" i="191"/>
  <c r="AF44" i="191"/>
  <c r="GK82" i="192"/>
  <c r="FD42" i="192"/>
  <c r="FC43" i="191"/>
  <c r="BW42" i="191"/>
  <c r="BX42" i="191" s="1"/>
  <c r="AE44" i="192"/>
  <c r="AD44" i="192"/>
  <c r="AH43" i="191"/>
  <c r="AG43" i="191"/>
  <c r="GK82" i="191"/>
  <c r="FX84" i="192"/>
  <c r="AF44" i="192"/>
  <c r="AD44" i="191"/>
  <c r="AE44" i="191"/>
  <c r="FR85" i="193"/>
  <c r="FQ85" i="193"/>
  <c r="FY85" i="193" s="1"/>
  <c r="FP85" i="193"/>
  <c r="GA85" i="193" s="1"/>
  <c r="FO85" i="193"/>
  <c r="FU85" i="193"/>
  <c r="FT85" i="193" s="1"/>
  <c r="FN85" i="193"/>
  <c r="FW85" i="193" s="1"/>
  <c r="FV85" i="193" s="1"/>
  <c r="AG43" i="192"/>
  <c r="AH43" i="192"/>
  <c r="FC43" i="193"/>
  <c r="CX1" i="147"/>
  <c r="CY1" i="147" s="1"/>
  <c r="DD1" i="147"/>
  <c r="DQ1" i="147"/>
  <c r="CX2" i="147"/>
  <c r="CZ2" i="147"/>
  <c r="DB2" i="147"/>
  <c r="DD2" i="147"/>
  <c r="CU23" i="147"/>
  <c r="EY23" i="147" s="1"/>
  <c r="CW23" i="147"/>
  <c r="CX23" i="147"/>
  <c r="CY23" i="147"/>
  <c r="DA23" i="147"/>
  <c r="DB23" i="147"/>
  <c r="DC23" i="147"/>
  <c r="DD23" i="147"/>
  <c r="FD23" i="147" s="1"/>
  <c r="DE23" i="147"/>
  <c r="FA23" i="147" s="1"/>
  <c r="DG23" i="147"/>
  <c r="DH23" i="147"/>
  <c r="FM23" i="147" s="1"/>
  <c r="DK23" i="147"/>
  <c r="DL23" i="147"/>
  <c r="DM23" i="147"/>
  <c r="DN23" i="147"/>
  <c r="FI23" i="147" s="1"/>
  <c r="DO23" i="147"/>
  <c r="DS23" i="147"/>
  <c r="DY23" i="147"/>
  <c r="EZ23" i="147"/>
  <c r="CW24" i="147"/>
  <c r="CX24" i="147"/>
  <c r="CY24" i="147"/>
  <c r="CD24" i="147" s="1"/>
  <c r="DA24" i="147"/>
  <c r="DC24" i="147"/>
  <c r="DD24" i="147"/>
  <c r="FD24" i="147" s="1"/>
  <c r="DG24" i="147"/>
  <c r="DH24" i="147"/>
  <c r="DK24" i="147"/>
  <c r="DM24" i="147"/>
  <c r="DN24" i="147"/>
  <c r="FI24" i="147" s="1"/>
  <c r="DO24" i="147"/>
  <c r="DS24" i="147"/>
  <c r="DY24" i="147"/>
  <c r="CW25" i="147"/>
  <c r="CX25" i="147"/>
  <c r="CY25" i="147"/>
  <c r="CD25" i="147" s="1"/>
  <c r="DA25" i="147"/>
  <c r="DC25" i="147"/>
  <c r="DD25" i="147"/>
  <c r="FD25" i="147" s="1"/>
  <c r="DE25" i="147"/>
  <c r="FA25" i="147" s="1"/>
  <c r="DG25" i="147"/>
  <c r="DH25" i="147"/>
  <c r="DK25" i="147"/>
  <c r="DM25" i="147"/>
  <c r="DN25" i="147"/>
  <c r="FI25" i="147" s="1"/>
  <c r="DO25" i="147"/>
  <c r="DS25" i="147"/>
  <c r="DY25" i="147"/>
  <c r="CW26" i="147"/>
  <c r="CX26" i="147"/>
  <c r="CY26" i="147"/>
  <c r="DA26" i="147"/>
  <c r="DC26" i="147"/>
  <c r="DD26" i="147"/>
  <c r="FD26" i="147" s="1"/>
  <c r="DE26" i="147"/>
  <c r="FA26" i="147" s="1"/>
  <c r="DG26" i="147"/>
  <c r="DH26" i="147"/>
  <c r="FM26" i="147" s="1"/>
  <c r="CE26" i="147"/>
  <c r="DK26" i="147"/>
  <c r="DM26" i="147"/>
  <c r="DN26" i="147"/>
  <c r="FI26" i="147" s="1"/>
  <c r="DO26" i="147"/>
  <c r="DS26" i="147"/>
  <c r="DY26" i="147"/>
  <c r="FC26" i="147"/>
  <c r="CU27" i="147"/>
  <c r="EY27" i="147" s="1"/>
  <c r="CW27" i="147"/>
  <c r="CX27" i="147"/>
  <c r="CY27" i="147"/>
  <c r="DA27" i="147"/>
  <c r="DC27" i="147"/>
  <c r="DD27" i="147"/>
  <c r="FD27" i="147" s="1"/>
  <c r="DE27" i="147"/>
  <c r="DG27" i="147"/>
  <c r="DH27" i="147"/>
  <c r="CE27" i="147"/>
  <c r="DK27" i="147"/>
  <c r="DM27" i="147"/>
  <c r="DN27" i="147"/>
  <c r="FI27" i="147" s="1"/>
  <c r="DO27" i="147"/>
  <c r="DS27" i="147"/>
  <c r="DY27" i="147"/>
  <c r="EZ27" i="147"/>
  <c r="FC27" i="147"/>
  <c r="CU28" i="147"/>
  <c r="CW28" i="147"/>
  <c r="CX28" i="147"/>
  <c r="CY28" i="147"/>
  <c r="DA28" i="147"/>
  <c r="DB28" i="147"/>
  <c r="DC28" i="147"/>
  <c r="DD28" i="147"/>
  <c r="FD28" i="147" s="1"/>
  <c r="DE28" i="147"/>
  <c r="FA28" i="147" s="1"/>
  <c r="DG28" i="147"/>
  <c r="DH28" i="147"/>
  <c r="DK28" i="147"/>
  <c r="DL28" i="147"/>
  <c r="DM28" i="147"/>
  <c r="DN28" i="147"/>
  <c r="FI28" i="147" s="1"/>
  <c r="DO28" i="147"/>
  <c r="DS28" i="147"/>
  <c r="DY28" i="147"/>
  <c r="EZ28" i="147"/>
  <c r="FC28" i="147"/>
  <c r="EL28" i="147" s="1"/>
  <c r="CU29" i="147"/>
  <c r="EY29" i="147" s="1"/>
  <c r="CW29" i="147"/>
  <c r="CX29" i="147"/>
  <c r="CY29" i="147"/>
  <c r="CD29" i="147" s="1"/>
  <c r="DA29" i="147"/>
  <c r="DB29" i="147"/>
  <c r="DC29" i="147"/>
  <c r="DD29" i="147"/>
  <c r="FD29" i="147" s="1"/>
  <c r="DE29" i="147"/>
  <c r="FB29" i="147" s="1"/>
  <c r="DG29" i="147"/>
  <c r="DH29" i="147"/>
  <c r="DK29" i="147"/>
  <c r="DL29" i="147"/>
  <c r="DM29" i="147"/>
  <c r="DN29" i="147"/>
  <c r="FI29" i="147" s="1"/>
  <c r="DO29" i="147"/>
  <c r="DS29" i="147"/>
  <c r="DY29" i="147"/>
  <c r="EZ29" i="147"/>
  <c r="FC29" i="147"/>
  <c r="EL29" i="147" s="1"/>
  <c r="CU30" i="147"/>
  <c r="EX30" i="147" s="1"/>
  <c r="CW30" i="147"/>
  <c r="CX30" i="147"/>
  <c r="CY30" i="147"/>
  <c r="DA30" i="147"/>
  <c r="DB30" i="147"/>
  <c r="DC30" i="147"/>
  <c r="DD30" i="147"/>
  <c r="FD30" i="147" s="1"/>
  <c r="DE30" i="147"/>
  <c r="DG30" i="147"/>
  <c r="DH30" i="147"/>
  <c r="DK30" i="147"/>
  <c r="DL30" i="147"/>
  <c r="DM30" i="147"/>
  <c r="DN30" i="147"/>
  <c r="FI30" i="147" s="1"/>
  <c r="DO30" i="147"/>
  <c r="DS30" i="147"/>
  <c r="DY30" i="147"/>
  <c r="EZ30" i="147"/>
  <c r="FC30" i="147"/>
  <c r="EL30" i="147" s="1"/>
  <c r="CU31" i="147"/>
  <c r="CV31" i="147"/>
  <c r="CW31" i="147"/>
  <c r="CX31" i="147"/>
  <c r="FH31" i="147" s="1"/>
  <c r="CY31" i="147"/>
  <c r="DA31" i="147"/>
  <c r="DB31" i="147"/>
  <c r="DC31" i="147"/>
  <c r="DD31" i="147"/>
  <c r="FD31" i="147" s="1"/>
  <c r="DE31" i="147"/>
  <c r="DF31" i="147"/>
  <c r="EB31" i="147" s="1"/>
  <c r="DG31" i="147"/>
  <c r="DH31" i="147"/>
  <c r="FV31" i="147" s="1"/>
  <c r="CE31" i="147"/>
  <c r="DK31" i="147"/>
  <c r="DL31" i="147"/>
  <c r="DM31" i="147"/>
  <c r="DN31" i="147"/>
  <c r="FI31" i="147" s="1"/>
  <c r="DO31" i="147"/>
  <c r="DS31" i="147"/>
  <c r="DY31" i="147"/>
  <c r="EZ31" i="147"/>
  <c r="EE31" i="147" s="1"/>
  <c r="FC31" i="147"/>
  <c r="EL31" i="147" s="1"/>
  <c r="CU32" i="147"/>
  <c r="CV32" i="147"/>
  <c r="DW32" i="147" s="1"/>
  <c r="CW32" i="147"/>
  <c r="CX32" i="147"/>
  <c r="CY32" i="147"/>
  <c r="CD32" i="147" s="1"/>
  <c r="DA32" i="147"/>
  <c r="DB32" i="147"/>
  <c r="DC32" i="147"/>
  <c r="DD32" i="147"/>
  <c r="FD32" i="147" s="1"/>
  <c r="DE32" i="147"/>
  <c r="FA32" i="147" s="1"/>
  <c r="DF32" i="147"/>
  <c r="EB32" i="147" s="1"/>
  <c r="DG32" i="147"/>
  <c r="DH32" i="147"/>
  <c r="FM32" i="147" s="1"/>
  <c r="CE32" i="147"/>
  <c r="DK32" i="147"/>
  <c r="DL32" i="147"/>
  <c r="DM32" i="147"/>
  <c r="DN32" i="147"/>
  <c r="FI32" i="147" s="1"/>
  <c r="DO32" i="147"/>
  <c r="DS32" i="147"/>
  <c r="DY32" i="147"/>
  <c r="EZ32" i="147"/>
  <c r="EE32" i="147" s="1"/>
  <c r="FC32" i="147"/>
  <c r="EL32" i="147" s="1"/>
  <c r="CU33" i="147"/>
  <c r="EY33" i="147" s="1"/>
  <c r="CV33" i="147"/>
  <c r="DV33" i="147" s="1"/>
  <c r="CW33" i="147"/>
  <c r="CX33" i="147"/>
  <c r="FH33" i="147" s="1"/>
  <c r="CY33" i="147"/>
  <c r="DA33" i="147"/>
  <c r="DB33" i="147"/>
  <c r="DC33" i="147"/>
  <c r="DD33" i="147"/>
  <c r="FD33" i="147" s="1"/>
  <c r="DE33" i="147"/>
  <c r="FA33" i="147" s="1"/>
  <c r="DF33" i="147"/>
  <c r="ED33" i="147" s="1"/>
  <c r="DG33" i="147"/>
  <c r="DH33" i="147"/>
  <c r="DK33" i="147"/>
  <c r="DL33" i="147"/>
  <c r="DM33" i="147"/>
  <c r="DN33" i="147"/>
  <c r="FI33" i="147" s="1"/>
  <c r="DO33" i="147"/>
  <c r="DS33" i="147"/>
  <c r="DY33" i="147"/>
  <c r="EZ33" i="147"/>
  <c r="FC33" i="147"/>
  <c r="EL33" i="147" s="1"/>
  <c r="CU34" i="147"/>
  <c r="CV34" i="147"/>
  <c r="DU34" i="147" s="1"/>
  <c r="CW34" i="147"/>
  <c r="CX34" i="147"/>
  <c r="CY34" i="147"/>
  <c r="DA34" i="147"/>
  <c r="DB34" i="147"/>
  <c r="DC34" i="147"/>
  <c r="DD34" i="147"/>
  <c r="FD34" i="147" s="1"/>
  <c r="DE34" i="147"/>
  <c r="FA34" i="147" s="1"/>
  <c r="DF34" i="147"/>
  <c r="EB34" i="147" s="1"/>
  <c r="DG34" i="147"/>
  <c r="DH34" i="147"/>
  <c r="FV34" i="147" s="1"/>
  <c r="CE34" i="147"/>
  <c r="DK34" i="147"/>
  <c r="DL34" i="147"/>
  <c r="DM34" i="147"/>
  <c r="DN34" i="147"/>
  <c r="FI34" i="147" s="1"/>
  <c r="DO34" i="147"/>
  <c r="DS34" i="147"/>
  <c r="DY34" i="147"/>
  <c r="EZ34" i="147"/>
  <c r="FC34" i="147"/>
  <c r="CU35" i="147"/>
  <c r="EY35" i="147" s="1"/>
  <c r="CV35" i="147"/>
  <c r="DU35" i="147" s="1"/>
  <c r="CW35" i="147"/>
  <c r="CX35" i="147"/>
  <c r="FU35" i="147" s="1"/>
  <c r="CY35" i="147"/>
  <c r="CD35" i="147" s="1"/>
  <c r="DA35" i="147"/>
  <c r="DB35" i="147"/>
  <c r="DC35" i="147"/>
  <c r="DD35" i="147"/>
  <c r="FD35" i="147" s="1"/>
  <c r="DE35" i="147"/>
  <c r="FB35" i="147" s="1"/>
  <c r="DF35" i="147"/>
  <c r="EA35" i="147" s="1"/>
  <c r="DG35" i="147"/>
  <c r="DH35" i="147"/>
  <c r="FM35" i="147" s="1"/>
  <c r="DK35" i="147"/>
  <c r="DL35" i="147"/>
  <c r="DM35" i="147"/>
  <c r="DN35" i="147"/>
  <c r="FI35" i="147" s="1"/>
  <c r="DO35" i="147"/>
  <c r="DS35" i="147"/>
  <c r="DY35" i="147"/>
  <c r="EZ35" i="147"/>
  <c r="FC35" i="147"/>
  <c r="CU36" i="147"/>
  <c r="EX36" i="147" s="1"/>
  <c r="CV36" i="147"/>
  <c r="DV36" i="147" s="1"/>
  <c r="CW36" i="147"/>
  <c r="CX36" i="147"/>
  <c r="FH36" i="147" s="1"/>
  <c r="CY36" i="147"/>
  <c r="DA36" i="147"/>
  <c r="DB36" i="147"/>
  <c r="DC36" i="147"/>
  <c r="DD36" i="147"/>
  <c r="FD36" i="147" s="1"/>
  <c r="DE36" i="147"/>
  <c r="FA36" i="147" s="1"/>
  <c r="DF36" i="147"/>
  <c r="DG36" i="147"/>
  <c r="DH36" i="147"/>
  <c r="DK36" i="147"/>
  <c r="DL36" i="147"/>
  <c r="DM36" i="147"/>
  <c r="DN36" i="147"/>
  <c r="FI36" i="147" s="1"/>
  <c r="DO36" i="147"/>
  <c r="DS36" i="147"/>
  <c r="DY36" i="147"/>
  <c r="EZ36" i="147"/>
  <c r="FC36" i="147"/>
  <c r="EL36" i="147" s="1"/>
  <c r="CU37" i="147"/>
  <c r="CV37" i="147"/>
  <c r="DV37" i="147" s="1"/>
  <c r="CW37" i="147"/>
  <c r="CX37" i="147"/>
  <c r="CY37" i="147"/>
  <c r="DA37" i="147"/>
  <c r="DB37" i="147"/>
  <c r="DC37" i="147"/>
  <c r="DD37" i="147"/>
  <c r="FD37" i="147" s="1"/>
  <c r="DE37" i="147"/>
  <c r="FA37" i="147" s="1"/>
  <c r="DF37" i="147"/>
  <c r="EA37" i="147" s="1"/>
  <c r="DG37" i="147"/>
  <c r="DH37" i="147"/>
  <c r="FV37" i="147" s="1"/>
  <c r="DK37" i="147"/>
  <c r="DL37" i="147"/>
  <c r="DM37" i="147"/>
  <c r="DN37" i="147"/>
  <c r="FI37" i="147" s="1"/>
  <c r="DO37" i="147"/>
  <c r="DS37" i="147"/>
  <c r="DY37" i="147"/>
  <c r="EZ37" i="147"/>
  <c r="FC37" i="147"/>
  <c r="CU38" i="147"/>
  <c r="CV38" i="147"/>
  <c r="DV38" i="147" s="1"/>
  <c r="CW38" i="147"/>
  <c r="CX38" i="147"/>
  <c r="FU38" i="147" s="1"/>
  <c r="CY38" i="147"/>
  <c r="DA38" i="147"/>
  <c r="DB38" i="147"/>
  <c r="DC38" i="147"/>
  <c r="DD38" i="147"/>
  <c r="FD38" i="147" s="1"/>
  <c r="DE38" i="147"/>
  <c r="FA38" i="147" s="1"/>
  <c r="DF38" i="147"/>
  <c r="EB38" i="147" s="1"/>
  <c r="DG38" i="147"/>
  <c r="DH38" i="147"/>
  <c r="FV38" i="147" s="1"/>
  <c r="CE38" i="147"/>
  <c r="DK38" i="147"/>
  <c r="DL38" i="147"/>
  <c r="DM38" i="147"/>
  <c r="DN38" i="147"/>
  <c r="FI38" i="147" s="1"/>
  <c r="DO38" i="147"/>
  <c r="DS38" i="147"/>
  <c r="DY38" i="147"/>
  <c r="EZ38" i="147"/>
  <c r="FC38" i="147"/>
  <c r="EL38" i="147" s="1"/>
  <c r="CU39" i="147"/>
  <c r="CV39" i="147"/>
  <c r="DV39" i="147" s="1"/>
  <c r="CW39" i="147"/>
  <c r="CX39" i="147"/>
  <c r="FH39" i="147" s="1"/>
  <c r="CY39" i="147"/>
  <c r="FS39" i="147" s="1"/>
  <c r="DA39" i="147"/>
  <c r="DB39" i="147"/>
  <c r="DC39" i="147"/>
  <c r="DD39" i="147"/>
  <c r="FD39" i="147" s="1"/>
  <c r="DE39" i="147"/>
  <c r="FA39" i="147" s="1"/>
  <c r="DF39" i="147"/>
  <c r="DG39" i="147"/>
  <c r="DH39" i="147"/>
  <c r="FV39" i="147" s="1"/>
  <c r="FT39" i="147"/>
  <c r="DK39" i="147"/>
  <c r="DL39" i="147"/>
  <c r="DM39" i="147"/>
  <c r="DN39" i="147"/>
  <c r="FI39" i="147" s="1"/>
  <c r="DO39" i="147"/>
  <c r="DS39" i="147"/>
  <c r="DY39" i="147"/>
  <c r="EZ39" i="147"/>
  <c r="FC39" i="147"/>
  <c r="CU40" i="147"/>
  <c r="EX40" i="147" s="1"/>
  <c r="CV40" i="147"/>
  <c r="DW40" i="147" s="1"/>
  <c r="CW40" i="147"/>
  <c r="CX40" i="147"/>
  <c r="CY40" i="147"/>
  <c r="DA40" i="147"/>
  <c r="DB40" i="147"/>
  <c r="DC40" i="147"/>
  <c r="DD40" i="147"/>
  <c r="FD40" i="147" s="1"/>
  <c r="DE40" i="147"/>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BY42" i="192" l="1"/>
  <c r="FD43" i="192"/>
  <c r="GK83" i="191"/>
  <c r="BY42" i="193"/>
  <c r="FD43" i="193"/>
  <c r="FE43" i="193"/>
  <c r="EX42" i="193"/>
  <c r="EX42" i="192"/>
  <c r="BW43" i="191"/>
  <c r="BX43" i="191" s="1"/>
  <c r="FB43" i="191" s="1"/>
  <c r="FA43" i="191" s="1"/>
  <c r="GK83" i="192"/>
  <c r="FE43" i="191"/>
  <c r="BW43" i="192"/>
  <c r="BX43" i="192" s="1"/>
  <c r="BY43" i="192" s="1"/>
  <c r="BW43" i="193"/>
  <c r="BX43" i="193" s="1"/>
  <c r="FB43" i="193" s="1"/>
  <c r="FA43" i="193" s="1"/>
  <c r="FD43" i="191"/>
  <c r="AD45" i="193"/>
  <c r="AE45" i="193"/>
  <c r="FB42" i="191"/>
  <c r="FA42" i="191" s="1"/>
  <c r="BY42" i="191"/>
  <c r="EX42" i="191"/>
  <c r="AH44" i="191"/>
  <c r="AG44" i="191"/>
  <c r="GK83" i="193"/>
  <c r="FZ85" i="193"/>
  <c r="GJ85" i="193"/>
  <c r="GJ84" i="193" s="1"/>
  <c r="GJ83" i="193" s="1"/>
  <c r="GJ82" i="193" s="1"/>
  <c r="GJ81" i="193" s="1"/>
  <c r="GJ80" i="193" s="1"/>
  <c r="GJ79" i="193" s="1"/>
  <c r="GJ78" i="193" s="1"/>
  <c r="GJ77" i="193" s="1"/>
  <c r="GJ76" i="193" s="1"/>
  <c r="GJ75" i="193" s="1"/>
  <c r="GJ74" i="193" s="1"/>
  <c r="GJ73" i="193" s="1"/>
  <c r="GJ72" i="193" s="1"/>
  <c r="GJ71" i="193" s="1"/>
  <c r="GJ70" i="193" s="1"/>
  <c r="GJ69" i="193" s="1"/>
  <c r="GJ68" i="193" s="1"/>
  <c r="GJ67" i="193" s="1"/>
  <c r="GJ66" i="193" s="1"/>
  <c r="GJ65" i="193" s="1"/>
  <c r="GJ64" i="193" s="1"/>
  <c r="GJ63" i="193" s="1"/>
  <c r="GJ62" i="193" s="1"/>
  <c r="GJ61" i="193" s="1"/>
  <c r="GJ60" i="193" s="1"/>
  <c r="GJ59" i="193" s="1"/>
  <c r="GJ58" i="193" s="1"/>
  <c r="GJ57" i="193" s="1"/>
  <c r="GJ56" i="193" s="1"/>
  <c r="GJ55" i="193" s="1"/>
  <c r="GJ54" i="193" s="1"/>
  <c r="GB85" i="193"/>
  <c r="AE45" i="191"/>
  <c r="AD45" i="191"/>
  <c r="FX85" i="193"/>
  <c r="AF45" i="193"/>
  <c r="FX85" i="192"/>
  <c r="AF45" i="192"/>
  <c r="FC44" i="191"/>
  <c r="AJ44" i="191"/>
  <c r="AI44" i="191"/>
  <c r="GJ85" i="191"/>
  <c r="GJ84" i="191" s="1"/>
  <c r="GJ83" i="191" s="1"/>
  <c r="GJ82" i="191" s="1"/>
  <c r="GJ81" i="191" s="1"/>
  <c r="GJ80" i="191" s="1"/>
  <c r="GJ79" i="191" s="1"/>
  <c r="GJ78" i="191" s="1"/>
  <c r="GJ77" i="191" s="1"/>
  <c r="GJ76" i="191" s="1"/>
  <c r="GJ75" i="191" s="1"/>
  <c r="GJ74" i="191" s="1"/>
  <c r="GJ73" i="191" s="1"/>
  <c r="GJ72" i="191" s="1"/>
  <c r="GJ71" i="191" s="1"/>
  <c r="GJ70" i="191" s="1"/>
  <c r="GJ69" i="191" s="1"/>
  <c r="GJ68" i="191" s="1"/>
  <c r="GJ67" i="191" s="1"/>
  <c r="GJ66" i="191" s="1"/>
  <c r="GJ65" i="191" s="1"/>
  <c r="GJ64" i="191" s="1"/>
  <c r="GJ63" i="191" s="1"/>
  <c r="GJ62" i="191" s="1"/>
  <c r="GJ61" i="191" s="1"/>
  <c r="GJ60" i="191" s="1"/>
  <c r="GJ59" i="191" s="1"/>
  <c r="GJ58" i="191" s="1"/>
  <c r="GJ57" i="191" s="1"/>
  <c r="GJ56" i="191" s="1"/>
  <c r="GJ55" i="191" s="1"/>
  <c r="GJ54" i="191" s="1"/>
  <c r="GB85" i="191"/>
  <c r="FZ85" i="191"/>
  <c r="AE45" i="192"/>
  <c r="AD45" i="192"/>
  <c r="AI44" i="193"/>
  <c r="AJ44" i="193"/>
  <c r="FC44" i="193"/>
  <c r="FE43" i="192"/>
  <c r="AH44" i="193"/>
  <c r="AG44" i="193"/>
  <c r="AH44" i="192"/>
  <c r="AG44" i="192"/>
  <c r="FC44" i="192"/>
  <c r="FX85" i="191"/>
  <c r="AF45" i="191"/>
  <c r="GJ85" i="192"/>
  <c r="GJ84" i="192" s="1"/>
  <c r="GJ83" i="192" s="1"/>
  <c r="GJ82" i="192" s="1"/>
  <c r="GJ81" i="192" s="1"/>
  <c r="GJ80" i="192" s="1"/>
  <c r="GJ79" i="192" s="1"/>
  <c r="GJ78" i="192" s="1"/>
  <c r="GJ77" i="192" s="1"/>
  <c r="GJ76" i="192" s="1"/>
  <c r="GJ75" i="192" s="1"/>
  <c r="GJ74" i="192" s="1"/>
  <c r="GJ73" i="192" s="1"/>
  <c r="GJ72" i="192" s="1"/>
  <c r="GJ71" i="192" s="1"/>
  <c r="GJ70" i="192" s="1"/>
  <c r="GJ69" i="192" s="1"/>
  <c r="GJ68" i="192" s="1"/>
  <c r="GJ67" i="192" s="1"/>
  <c r="GJ66" i="192" s="1"/>
  <c r="GJ65" i="192" s="1"/>
  <c r="GJ64" i="192" s="1"/>
  <c r="GJ63" i="192" s="1"/>
  <c r="GJ62" i="192" s="1"/>
  <c r="GJ61" i="192" s="1"/>
  <c r="GJ60" i="192" s="1"/>
  <c r="GJ59" i="192" s="1"/>
  <c r="GJ58" i="192" s="1"/>
  <c r="GJ57" i="192" s="1"/>
  <c r="GJ56" i="192" s="1"/>
  <c r="GJ55" i="192" s="1"/>
  <c r="GJ54" i="192" s="1"/>
  <c r="GB85" i="192"/>
  <c r="FZ85" i="192"/>
  <c r="AJ44" i="192"/>
  <c r="AI44" i="192"/>
  <c r="EL35" i="147"/>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EE23" i="147"/>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CE35" i="147"/>
  <c r="FS28" i="147"/>
  <c r="CD28" i="147"/>
  <c r="FJ36" i="147"/>
  <c r="FK36" i="147" s="1"/>
  <c r="FL36" i="147" s="1"/>
  <c r="FT23" i="147"/>
  <c r="CE23" i="147"/>
  <c r="FS34" i="147"/>
  <c r="CD34" i="147"/>
  <c r="FS31" i="147"/>
  <c r="CD31" i="147"/>
  <c r="FT30" i="147"/>
  <c r="CE30" i="147"/>
  <c r="FS26" i="147"/>
  <c r="CD26" i="147"/>
  <c r="FT25" i="147"/>
  <c r="FS23" i="147"/>
  <c r="CD23" i="147"/>
  <c r="FS38" i="147"/>
  <c r="CD38" i="147"/>
  <c r="FS33" i="147"/>
  <c r="CD33" i="147"/>
  <c r="FT24" i="147"/>
  <c r="CE24" i="147"/>
  <c r="FT36" i="147"/>
  <c r="CE36" i="147"/>
  <c r="DT35" i="147"/>
  <c r="FE31" i="147"/>
  <c r="FF31" i="147" s="1"/>
  <c r="FG31" i="147" s="1"/>
  <c r="FT28" i="147"/>
  <c r="CE28" i="147"/>
  <c r="FS36" i="147"/>
  <c r="CD36" i="147"/>
  <c r="FE36" i="147"/>
  <c r="FF36" i="147" s="1"/>
  <c r="FG36" i="147" s="1"/>
  <c r="FT33" i="147"/>
  <c r="CE33" i="147"/>
  <c r="FS27" i="147"/>
  <c r="CD27" i="147"/>
  <c r="FN69" i="147"/>
  <c r="FT37" i="147"/>
  <c r="CE37" i="147"/>
  <c r="FE33" i="147"/>
  <c r="FF33" i="147" s="1"/>
  <c r="FG33" i="147" s="1"/>
  <c r="FJ30" i="147"/>
  <c r="FK30" i="147" s="1"/>
  <c r="FL30" i="147" s="1"/>
  <c r="FS30" i="147"/>
  <c r="CD30" i="147"/>
  <c r="FT29" i="147"/>
  <c r="FE39" i="147"/>
  <c r="FF39" i="147" s="1"/>
  <c r="FG39" i="147" s="1"/>
  <c r="FJ37" i="147"/>
  <c r="FK37" i="147" s="1"/>
  <c r="FL37" i="147" s="1"/>
  <c r="FS37" i="147"/>
  <c r="CD37" i="147"/>
  <c r="DT34" i="147"/>
  <c r="FB25" i="147"/>
  <c r="FU39" i="147"/>
  <c r="FB23" i="147"/>
  <c r="FC23" i="147" s="1"/>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M35" i="147"/>
  <c r="EQ35" i="147" s="1"/>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EN28"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24" i="147"/>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DZ23" i="147"/>
  <c r="FT26" i="147"/>
  <c r="FN32" i="147"/>
  <c r="FH28" i="147"/>
  <c r="FE27" i="147"/>
  <c r="FF27" i="147" s="1"/>
  <c r="FG27" i="147" s="1"/>
  <c r="FN33" i="147"/>
  <c r="DT23" i="147"/>
  <c r="FD44" i="191" l="1"/>
  <c r="BY43" i="191"/>
  <c r="EX43" i="191"/>
  <c r="GK84" i="193"/>
  <c r="BW44" i="191"/>
  <c r="BX44" i="191" s="1"/>
  <c r="FB43" i="192"/>
  <c r="FA43" i="192" s="1"/>
  <c r="EX43" i="192"/>
  <c r="FD44" i="192"/>
  <c r="BW44" i="193"/>
  <c r="BX44" i="193" s="1"/>
  <c r="FB44" i="193" s="1"/>
  <c r="FA44" i="193" s="1"/>
  <c r="EX43" i="193"/>
  <c r="BY43" i="193"/>
  <c r="FE44" i="192"/>
  <c r="AJ45" i="191"/>
  <c r="AI45" i="191"/>
  <c r="GK84" i="192"/>
  <c r="FE44" i="191"/>
  <c r="GK84" i="191"/>
  <c r="FD44" i="193"/>
  <c r="AI45" i="193"/>
  <c r="AJ45" i="193"/>
  <c r="BW44" i="192"/>
  <c r="BX44" i="192" s="1"/>
  <c r="AH45" i="193"/>
  <c r="AG45" i="193"/>
  <c r="FE44" i="193"/>
  <c r="FC45" i="191"/>
  <c r="FC45" i="193"/>
  <c r="AJ45" i="192"/>
  <c r="AI45" i="192"/>
  <c r="AH45" i="191"/>
  <c r="AG45" i="191"/>
  <c r="FC45" i="192"/>
  <c r="AG45" i="192"/>
  <c r="AH45" i="192"/>
  <c r="EL23" i="147"/>
  <c r="EN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G23" i="147"/>
  <c r="EF23" i="147"/>
  <c r="EQ36" i="147"/>
  <c r="EK33" i="147"/>
  <c r="ER31" i="147"/>
  <c r="EQ39" i="147"/>
  <c r="EJ28" i="147"/>
  <c r="EQ29" i="147"/>
  <c r="EK37" i="147"/>
  <c r="EK30" i="147"/>
  <c r="EJ38" i="147"/>
  <c r="EX44" i="191" l="1"/>
  <c r="GK85" i="192"/>
  <c r="GK85" i="191"/>
  <c r="FB44" i="191"/>
  <c r="FA44" i="191" s="1"/>
  <c r="BY44" i="191"/>
  <c r="EX44" i="193"/>
  <c r="FE45" i="193"/>
  <c r="BW45" i="191"/>
  <c r="BX45" i="191" s="1"/>
  <c r="FB45" i="191" s="1"/>
  <c r="FA45" i="191" s="1"/>
  <c r="FD45" i="191"/>
  <c r="BY44" i="193"/>
  <c r="BW45" i="193"/>
  <c r="BX45" i="193" s="1"/>
  <c r="FB45" i="193" s="1"/>
  <c r="FA45" i="193" s="1"/>
  <c r="BW45" i="192"/>
  <c r="BX45" i="192" s="1"/>
  <c r="BY45" i="192" s="1"/>
  <c r="FE45" i="191"/>
  <c r="FD45" i="193"/>
  <c r="FE45" i="192"/>
  <c r="FD45" i="192"/>
  <c r="FB44" i="192"/>
  <c r="FA44" i="192" s="1"/>
  <c r="BY44" i="192"/>
  <c r="EX44" i="192"/>
  <c r="GK85" i="193"/>
  <c r="EM23" i="147"/>
  <c r="FO31" i="147"/>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BY45" i="191" l="1"/>
  <c r="FF45" i="191"/>
  <c r="FF44" i="191" s="1"/>
  <c r="FF43" i="191" s="1"/>
  <c r="FF42" i="191" s="1"/>
  <c r="FF41" i="191" s="1"/>
  <c r="FF40" i="191" s="1"/>
  <c r="FF39" i="191" s="1"/>
  <c r="FF38" i="191" s="1"/>
  <c r="FF37" i="191" s="1"/>
  <c r="FF36" i="191" s="1"/>
  <c r="FF35" i="191" s="1"/>
  <c r="FF34" i="191" s="1"/>
  <c r="FF33" i="191" s="1"/>
  <c r="FF32" i="191" s="1"/>
  <c r="FF31" i="191" s="1"/>
  <c r="FF30" i="191" s="1"/>
  <c r="EX45" i="191"/>
  <c r="EY14" i="191" s="1"/>
  <c r="FF45" i="193"/>
  <c r="FF44" i="193" s="1"/>
  <c r="FF43" i="193" s="1"/>
  <c r="FF42" i="193" s="1"/>
  <c r="FF41" i="193" s="1"/>
  <c r="FF40" i="193" s="1"/>
  <c r="FF39" i="193" s="1"/>
  <c r="FF38" i="193" s="1"/>
  <c r="EX45" i="192"/>
  <c r="EY41" i="192" s="1"/>
  <c r="FB45" i="192"/>
  <c r="FA45" i="192" s="1"/>
  <c r="EX45" i="193"/>
  <c r="EY38" i="193" s="1"/>
  <c r="BY45" i="193"/>
  <c r="FF45" i="192"/>
  <c r="FF44" i="192" s="1"/>
  <c r="FF43" i="192" s="1"/>
  <c r="FF42" i="192" s="1"/>
  <c r="FF41" i="192" s="1"/>
  <c r="FA41" i="192" s="1"/>
  <c r="CJ29" i="147"/>
  <c r="X29" i="147"/>
  <c r="FF37" i="193" l="1"/>
  <c r="FA38" i="193"/>
  <c r="FF36" i="193"/>
  <c r="FA36" i="193" s="1"/>
  <c r="FA37" i="193"/>
  <c r="EY34" i="193"/>
  <c r="EY37" i="193"/>
  <c r="EY36" i="193"/>
  <c r="EY17" i="192"/>
  <c r="EY35" i="192"/>
  <c r="EY18" i="191"/>
  <c r="EY24" i="191"/>
  <c r="EY28" i="191"/>
  <c r="EY26" i="191"/>
  <c r="EY23" i="191"/>
  <c r="EY15" i="191"/>
  <c r="EY27" i="191"/>
  <c r="EY22" i="191"/>
  <c r="EY29" i="191"/>
  <c r="EY20" i="191"/>
  <c r="EY21" i="191"/>
  <c r="EY17" i="191"/>
  <c r="EY16" i="192"/>
  <c r="EY25" i="192"/>
  <c r="EY38" i="192"/>
  <c r="EY26" i="192"/>
  <c r="EY39" i="192"/>
  <c r="EY19" i="191"/>
  <c r="EY25" i="191"/>
  <c r="EY36" i="192"/>
  <c r="EY26" i="193"/>
  <c r="EY16" i="191"/>
  <c r="EY23" i="193"/>
  <c r="EY28" i="192"/>
  <c r="EY14" i="193"/>
  <c r="EY27" i="192"/>
  <c r="EY25" i="193"/>
  <c r="EY33" i="192"/>
  <c r="EY30" i="193"/>
  <c r="EY34" i="192"/>
  <c r="EY33" i="193"/>
  <c r="EY37" i="192"/>
  <c r="EY23" i="192"/>
  <c r="EY30" i="192"/>
  <c r="EY21" i="192"/>
  <c r="EY31" i="192"/>
  <c r="EY35" i="193"/>
  <c r="EY32" i="192"/>
  <c r="EY22" i="192"/>
  <c r="EY18" i="192"/>
  <c r="EY40" i="192"/>
  <c r="EY19" i="192"/>
  <c r="EY18" i="193"/>
  <c r="EY29" i="192"/>
  <c r="EY14" i="192"/>
  <c r="EY20" i="192"/>
  <c r="EY15" i="193"/>
  <c r="EY32" i="193"/>
  <c r="EY16" i="193"/>
  <c r="EY21" i="193"/>
  <c r="EY28" i="193"/>
  <c r="EY24" i="193"/>
  <c r="EY31" i="193"/>
  <c r="EY22" i="193"/>
  <c r="EY20" i="193"/>
  <c r="EY27" i="193"/>
  <c r="EY29" i="193"/>
  <c r="DQ1" i="165"/>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EX68" i="84" l="1"/>
  <c r="C44" i="165" l="1"/>
  <c r="B44" i="165"/>
  <c r="A44" i="165"/>
  <c r="C43" i="165"/>
  <c r="B43" i="165"/>
  <c r="A43" i="165"/>
  <c r="C42" i="165"/>
  <c r="B42" i="165"/>
  <c r="A42" i="165"/>
  <c r="C41" i="165"/>
  <c r="B41" i="165"/>
  <c r="A41" i="165"/>
  <c r="C40" i="165"/>
  <c r="B40" i="165"/>
  <c r="A40" i="165"/>
  <c r="C39" i="165"/>
  <c r="B39" i="165"/>
  <c r="A39" i="165"/>
  <c r="C38" i="165"/>
  <c r="B38" i="165"/>
  <c r="A38" i="165"/>
  <c r="C37" i="165"/>
  <c r="B37" i="165"/>
  <c r="A37" i="165"/>
  <c r="C36" i="165"/>
  <c r="B36" i="165"/>
  <c r="A36" i="165"/>
  <c r="C35" i="165"/>
  <c r="B35" i="165"/>
  <c r="A35" i="165"/>
  <c r="C34" i="165"/>
  <c r="B34" i="165"/>
  <c r="A34" i="165"/>
  <c r="C33" i="165"/>
  <c r="B33" i="165"/>
  <c r="A33" i="165"/>
  <c r="C32" i="165"/>
  <c r="B32" i="165"/>
  <c r="A32" i="165"/>
  <c r="C31" i="165"/>
  <c r="B31" i="165"/>
  <c r="A31" i="165"/>
  <c r="C30" i="165"/>
  <c r="B30" i="165"/>
  <c r="A30" i="165"/>
  <c r="C29" i="165"/>
  <c r="B29" i="165"/>
  <c r="A29" i="165"/>
  <c r="C28" i="165"/>
  <c r="B28" i="165"/>
  <c r="A28" i="165"/>
  <c r="C27" i="165"/>
  <c r="B27" i="165"/>
  <c r="A27" i="165"/>
  <c r="C26" i="165"/>
  <c r="B26" i="165"/>
  <c r="A26" i="165"/>
  <c r="C25" i="165"/>
  <c r="B25" i="165"/>
  <c r="A25" i="165"/>
  <c r="C24" i="165"/>
  <c r="B24" i="165"/>
  <c r="A24" i="165"/>
  <c r="C23" i="165"/>
  <c r="B23" i="165"/>
  <c r="A23" i="165"/>
  <c r="C22" i="165"/>
  <c r="B22" i="165"/>
  <c r="A22" i="165"/>
  <c r="C21" i="165"/>
  <c r="B21" i="165"/>
  <c r="A21" i="165"/>
  <c r="C20" i="165"/>
  <c r="B20" i="165"/>
  <c r="A20" i="165"/>
  <c r="C19" i="165"/>
  <c r="B19" i="165"/>
  <c r="A19" i="165"/>
  <c r="C18" i="165"/>
  <c r="B18" i="165"/>
  <c r="A18" i="165"/>
  <c r="C17" i="165"/>
  <c r="B17" i="165"/>
  <c r="A17" i="165"/>
  <c r="C16" i="165"/>
  <c r="B16" i="165"/>
  <c r="A16" i="165"/>
  <c r="C39" i="147"/>
  <c r="AV39" i="147" s="1"/>
  <c r="B39" i="147"/>
  <c r="A39" i="147"/>
  <c r="C38" i="147"/>
  <c r="AV38" i="147" s="1"/>
  <c r="B38" i="147"/>
  <c r="A38" i="147"/>
  <c r="C37" i="147"/>
  <c r="AV37" i="147" s="1"/>
  <c r="B37" i="147"/>
  <c r="A37" i="147"/>
  <c r="C36" i="147"/>
  <c r="AV36" i="147" s="1"/>
  <c r="B36" i="147"/>
  <c r="A36" i="147"/>
  <c r="C35" i="147"/>
  <c r="AV35" i="147" s="1"/>
  <c r="B35" i="147"/>
  <c r="A35" i="147"/>
  <c r="C34" i="147"/>
  <c r="AV34" i="147" s="1"/>
  <c r="B34" i="147"/>
  <c r="A34" i="147"/>
  <c r="C33" i="147"/>
  <c r="AV33" i="147" s="1"/>
  <c r="B33" i="147"/>
  <c r="A33" i="147"/>
  <c r="C32" i="147"/>
  <c r="AV32" i="147" s="1"/>
  <c r="B32" i="147"/>
  <c r="A32" i="147"/>
  <c r="C31" i="147"/>
  <c r="AV31" i="147" s="1"/>
  <c r="B31" i="147"/>
  <c r="A31" i="147"/>
  <c r="C30" i="147"/>
  <c r="AV30" i="147" s="1"/>
  <c r="B30" i="147"/>
  <c r="A30" i="147"/>
  <c r="AV29" i="147"/>
  <c r="C28" i="147"/>
  <c r="AV28" i="147" s="1"/>
  <c r="B28" i="147"/>
  <c r="C27" i="147"/>
  <c r="B27" i="147"/>
  <c r="AV26" i="147"/>
  <c r="C25" i="147"/>
  <c r="B25" i="147"/>
  <c r="AV24" i="147"/>
  <c r="B24" i="147"/>
  <c r="A24" i="147"/>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AX24" i="147" l="1"/>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EQ45" i="160" l="1"/>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CL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L13" i="80" l="1"/>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FQ23" i="147" s="1"/>
  <c r="CV27" i="147"/>
  <c r="FQ27" i="147" s="1"/>
  <c r="DF23" i="147"/>
  <c r="FR23" i="147" s="1"/>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FR29" i="147" l="1"/>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23" i="147"/>
  <c r="EB23" i="147" s="1"/>
  <c r="FV23" i="147" s="1"/>
  <c r="EA30" i="147"/>
  <c r="EB30" i="147" s="1"/>
  <c r="FV30" i="147" s="1"/>
  <c r="DU27" i="147"/>
  <c r="FN27" i="147"/>
  <c r="DP27" i="147" s="1"/>
  <c r="DU30" i="147"/>
  <c r="DV30" i="147" s="1"/>
  <c r="FN30" i="147"/>
  <c r="DP30" i="147"/>
  <c r="DU23" i="147"/>
  <c r="FN23" i="147"/>
  <c r="DP23" i="147" s="1"/>
  <c r="DV23" i="147"/>
  <c r="FU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3" i="147"/>
  <c r="FP23" i="147" s="1"/>
  <c r="EC28" i="147"/>
  <c r="FV28" i="147"/>
  <c r="DW30" i="147"/>
  <c r="FU30" i="147"/>
  <c r="DW29" i="147"/>
  <c r="DW23" i="147"/>
  <c r="DW28" i="147"/>
  <c r="EC30" i="147"/>
  <c r="EC29" i="147"/>
  <c r="GC48" i="84"/>
  <c r="GE48" i="84"/>
  <c r="DI68" i="84"/>
  <c r="DH68" i="84"/>
  <c r="DC68" i="84"/>
  <c r="DB6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56" i="160"/>
  <c r="DB56" i="160"/>
  <c r="DC64" i="160"/>
  <c r="DB64" i="160"/>
  <c r="DC72" i="160"/>
  <c r="DB72" i="160"/>
  <c r="DC80" i="160"/>
  <c r="DB80" i="160"/>
  <c r="DI56" i="160"/>
  <c r="DH56"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ED23" i="147" l="1"/>
  <c r="FO29" i="147"/>
  <c r="DX29" i="147"/>
  <c r="FP30" i="147"/>
  <c r="ED30" i="147"/>
  <c r="FP29" i="147"/>
  <c r="ED29" i="147"/>
  <c r="FO28" i="147"/>
  <c r="DX28" i="147"/>
  <c r="ED28" i="147"/>
  <c r="FP28" i="147"/>
  <c r="DX30" i="147"/>
  <c r="FO30" i="147"/>
  <c r="FO23" i="147"/>
  <c r="DX23"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BJ38" i="160" l="1"/>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F57" i="165" l="1"/>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s="1"/>
  <c r="E47" i="163" l="1"/>
  <c r="E47" i="162"/>
  <c r="D15" i="13" l="1"/>
  <c r="P4" i="215" s="1"/>
  <c r="D14" i="13"/>
  <c r="P3" i="215" s="1"/>
  <c r="D13" i="13"/>
  <c r="P2" i="215" s="1"/>
  <c r="D12" i="13"/>
  <c r="P1" i="215" s="1"/>
  <c r="D11" i="13"/>
  <c r="A5" i="215" s="1"/>
  <c r="AA4" i="208" l="1"/>
  <c r="AA4" i="207"/>
  <c r="AA4" i="206"/>
  <c r="AA4" i="204"/>
  <c r="AA4" i="203"/>
  <c r="AA4" i="205"/>
  <c r="AA4" i="202"/>
  <c r="AA4" i="200"/>
  <c r="AA4" i="198"/>
  <c r="AA4" i="196"/>
  <c r="AA4" i="197"/>
  <c r="AA4" i="201"/>
  <c r="AA4" i="199"/>
  <c r="Z4" i="193"/>
  <c r="Z4" i="191"/>
  <c r="I4" i="187"/>
  <c r="N4" i="180"/>
  <c r="N4" i="176"/>
  <c r="N4" i="172"/>
  <c r="BD4" i="193"/>
  <c r="I4" i="189"/>
  <c r="N4" i="177"/>
  <c r="N4" i="173"/>
  <c r="BD4" i="192"/>
  <c r="I4" i="190"/>
  <c r="N4" i="184"/>
  <c r="N4" i="178"/>
  <c r="N4" i="174"/>
  <c r="N4" i="170"/>
  <c r="Z4" i="192"/>
  <c r="N4" i="179"/>
  <c r="M4" i="169"/>
  <c r="N4" i="183"/>
  <c r="BD4" i="191"/>
  <c r="N4" i="182"/>
  <c r="N4" i="175"/>
  <c r="N4" i="171"/>
  <c r="I4" i="186"/>
  <c r="N4" i="181"/>
  <c r="N4" i="185"/>
  <c r="I4" i="188"/>
  <c r="AA2" i="208"/>
  <c r="AA2" i="207"/>
  <c r="AA2" i="206"/>
  <c r="AA2" i="205"/>
  <c r="AA2" i="204"/>
  <c r="AA2" i="202"/>
  <c r="AA2" i="200"/>
  <c r="AA2" i="198"/>
  <c r="AA2" i="199"/>
  <c r="AA2" i="201"/>
  <c r="AA2" i="203"/>
  <c r="BD2" i="193"/>
  <c r="AA2" i="196"/>
  <c r="Z2" i="193"/>
  <c r="BD2" i="191"/>
  <c r="N2" i="183"/>
  <c r="M2" i="169"/>
  <c r="AA2" i="197"/>
  <c r="Z2" i="191"/>
  <c r="I2" i="186"/>
  <c r="N2" i="182"/>
  <c r="BD2" i="192"/>
  <c r="I2" i="187"/>
  <c r="N2" i="180"/>
  <c r="N2" i="176"/>
  <c r="N2" i="172"/>
  <c r="I2" i="188"/>
  <c r="N2" i="185"/>
  <c r="N2" i="181"/>
  <c r="I2" i="189"/>
  <c r="N2" i="171"/>
  <c r="N2" i="184"/>
  <c r="N2" i="174"/>
  <c r="N2" i="178"/>
  <c r="N2" i="173"/>
  <c r="Z2" i="192"/>
  <c r="N2" i="170"/>
  <c r="N2" i="177"/>
  <c r="I2" i="190"/>
  <c r="N2" i="179"/>
  <c r="N2" i="175"/>
  <c r="A5" i="208"/>
  <c r="A5" i="207"/>
  <c r="A5" i="206"/>
  <c r="A5" i="205"/>
  <c r="A5" i="204"/>
  <c r="A5" i="203"/>
  <c r="A5" i="202"/>
  <c r="A5" i="200"/>
  <c r="A5" i="198"/>
  <c r="A5" i="199"/>
  <c r="A5" i="197"/>
  <c r="A5" i="196"/>
  <c r="A5" i="201"/>
  <c r="AB5" i="193"/>
  <c r="A5" i="188"/>
  <c r="A5" i="185"/>
  <c r="A5" i="181"/>
  <c r="A5" i="193"/>
  <c r="A5" i="192"/>
  <c r="A5" i="190"/>
  <c r="A5" i="184"/>
  <c r="A5" i="178"/>
  <c r="A5" i="174"/>
  <c r="A5" i="170"/>
  <c r="AB5" i="191"/>
  <c r="A5" i="183"/>
  <c r="A5" i="169"/>
  <c r="A5" i="191"/>
  <c r="A5" i="182"/>
  <c r="A5" i="180"/>
  <c r="A5" i="175"/>
  <c r="A5" i="176"/>
  <c r="A5" i="189"/>
  <c r="A5" i="186"/>
  <c r="A5" i="173"/>
  <c r="AB5" i="192"/>
  <c r="A5" i="177"/>
  <c r="A5" i="172"/>
  <c r="A5" i="171"/>
  <c r="A5" i="179"/>
  <c r="A5" i="187"/>
  <c r="AA1" i="208"/>
  <c r="AA1" i="207"/>
  <c r="AA1" i="206"/>
  <c r="AA1" i="204"/>
  <c r="AA1" i="205"/>
  <c r="AA1" i="202"/>
  <c r="AA1" i="203"/>
  <c r="AA1" i="200"/>
  <c r="AA1" i="198"/>
  <c r="AA1" i="199"/>
  <c r="AA1" i="196"/>
  <c r="AA1" i="201"/>
  <c r="AA1" i="197"/>
  <c r="BD1" i="193"/>
  <c r="I1" i="188"/>
  <c r="N1" i="185"/>
  <c r="N1" i="181"/>
  <c r="N1" i="177"/>
  <c r="N1" i="173"/>
  <c r="BD1" i="191"/>
  <c r="I1" i="190"/>
  <c r="N1" i="184"/>
  <c r="N1" i="178"/>
  <c r="N1" i="174"/>
  <c r="N1" i="170"/>
  <c r="N1" i="183"/>
  <c r="N1" i="179"/>
  <c r="N1" i="175"/>
  <c r="N1" i="171"/>
  <c r="M1" i="169"/>
  <c r="BD1" i="192"/>
  <c r="I1" i="187"/>
  <c r="N1" i="176"/>
  <c r="I1" i="189"/>
  <c r="I1" i="186"/>
  <c r="N1" i="182"/>
  <c r="N1" i="172"/>
  <c r="N1" i="180"/>
  <c r="AA3" i="207"/>
  <c r="AA3" i="208"/>
  <c r="AA3" i="206"/>
  <c r="AA3" i="203"/>
  <c r="AA3" i="204"/>
  <c r="AA3" i="201"/>
  <c r="AA3" i="205"/>
  <c r="AA3" i="202"/>
  <c r="AA3" i="199"/>
  <c r="AA3" i="197"/>
  <c r="AA3" i="198"/>
  <c r="AA3" i="196"/>
  <c r="Z3" i="193"/>
  <c r="Z3" i="192"/>
  <c r="N3" i="179"/>
  <c r="N3" i="175"/>
  <c r="N3" i="171"/>
  <c r="BD3" i="191"/>
  <c r="I3" i="187"/>
  <c r="N3" i="180"/>
  <c r="N3" i="176"/>
  <c r="N3" i="172"/>
  <c r="BD3" i="193"/>
  <c r="Z3" i="191"/>
  <c r="I3" i="188"/>
  <c r="N3" i="185"/>
  <c r="N3" i="181"/>
  <c r="I3" i="189"/>
  <c r="N3" i="177"/>
  <c r="N3" i="173"/>
  <c r="N3" i="183"/>
  <c r="N3" i="178"/>
  <c r="BD3" i="192"/>
  <c r="M3" i="169"/>
  <c r="N3" i="184"/>
  <c r="N3" i="182"/>
  <c r="N3" i="170"/>
  <c r="AA3" i="200"/>
  <c r="I3" i="186"/>
  <c r="I3" i="190"/>
  <c r="N3" i="174"/>
  <c r="AG30" i="114"/>
  <c r="AF30" i="114"/>
  <c r="AE30" i="114"/>
  <c r="EZ22" i="160" l="1"/>
  <c r="EY22" i="160"/>
  <c r="Q30" i="13"/>
  <c r="H1" i="145" l="1"/>
  <c r="BQ45" i="160" l="1"/>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U45" i="165"/>
  <c r="DE44" i="165"/>
  <c r="CU44" i="165"/>
  <c r="DE43" i="165"/>
  <c r="CU43" i="165"/>
  <c r="DE42" i="165"/>
  <c r="CU42" i="165"/>
  <c r="DE41" i="165"/>
  <c r="CU41" i="165"/>
  <c r="DE40" i="165"/>
  <c r="CU40" i="165"/>
  <c r="DE39" i="165"/>
  <c r="CU39" i="165"/>
  <c r="DE38" i="165"/>
  <c r="CU38" i="165"/>
  <c r="DE37" i="165"/>
  <c r="CU37" i="165"/>
  <c r="DE36" i="165"/>
  <c r="CU36" i="165"/>
  <c r="DE35" i="165"/>
  <c r="CU35" i="165"/>
  <c r="DE34" i="165"/>
  <c r="CU34" i="165"/>
  <c r="DE33" i="165"/>
  <c r="CU33" i="165"/>
  <c r="DE32" i="165"/>
  <c r="CU32" i="165"/>
  <c r="DE31" i="165"/>
  <c r="CU31" i="165"/>
  <c r="CU30" i="165"/>
  <c r="CU29" i="165"/>
  <c r="DE28" i="165"/>
  <c r="CU28" i="165"/>
  <c r="DE27" i="165"/>
  <c r="FB27" i="165" s="1"/>
  <c r="CU27" i="165"/>
  <c r="DE26" i="165"/>
  <c r="FB26" i="165" s="1"/>
  <c r="CU26" i="165"/>
  <c r="DE25" i="165"/>
  <c r="FB25" i="165" s="1"/>
  <c r="CU25" i="165"/>
  <c r="DE24" i="165"/>
  <c r="FB24" i="165" s="1"/>
  <c r="CU24" i="165"/>
  <c r="DE23" i="165"/>
  <c r="CU23" i="165"/>
  <c r="DE22" i="165"/>
  <c r="FA22" i="165" s="1"/>
  <c r="CU22" i="165"/>
  <c r="DE21" i="165"/>
  <c r="CU21" i="165"/>
  <c r="DE19" i="165"/>
  <c r="FB19" i="165" s="1"/>
  <c r="CU19" i="165"/>
  <c r="DE18" i="165"/>
  <c r="CU18" i="165"/>
  <c r="DE16" i="165"/>
  <c r="CU16" i="165"/>
  <c r="DE17" i="165"/>
  <c r="CU17" i="165"/>
  <c r="FY54" i="160"/>
  <c r="FZ54" i="160" s="1"/>
  <c r="FS54" i="84"/>
  <c r="FU54" i="84"/>
  <c r="CU68" i="84"/>
  <c r="CB68" i="84"/>
  <c r="CV19" i="165"/>
  <c r="C40" i="147"/>
  <c r="AV40" i="147" s="1"/>
  <c r="CE39" i="147"/>
  <c r="CD39" i="147"/>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M16" i="146"/>
  <c r="M15" i="146"/>
  <c r="M12" i="146"/>
  <c r="M18" i="146"/>
  <c r="M13" i="146"/>
  <c r="M10" i="146"/>
  <c r="M8" i="146"/>
  <c r="M5" i="146"/>
  <c r="CU25" i="147" s="1"/>
  <c r="D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CE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CE39" i="165"/>
  <c r="DG39" i="165"/>
  <c r="DB39" i="165"/>
  <c r="DA39" i="165"/>
  <c r="CW39" i="165"/>
  <c r="DL38" i="165"/>
  <c r="DK38" i="165"/>
  <c r="DG38" i="165"/>
  <c r="DB38" i="165"/>
  <c r="DA38" i="165"/>
  <c r="CW38" i="165"/>
  <c r="DL37" i="165"/>
  <c r="DK37" i="165"/>
  <c r="FT37" i="165"/>
  <c r="DG37" i="165"/>
  <c r="DB37" i="165"/>
  <c r="DA37" i="165"/>
  <c r="CD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D33" i="165"/>
  <c r="CW33" i="165"/>
  <c r="DL32" i="165"/>
  <c r="DK32" i="165"/>
  <c r="DG32" i="165"/>
  <c r="DB32" i="165"/>
  <c r="DA32" i="165"/>
  <c r="CW32" i="165"/>
  <c r="DL31" i="165"/>
  <c r="DK31" i="165"/>
  <c r="CE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CE27" i="165"/>
  <c r="DG27" i="165"/>
  <c r="DB27" i="165"/>
  <c r="DA27" i="165"/>
  <c r="CW27" i="165"/>
  <c r="DK26" i="165"/>
  <c r="EL26" i="165" s="1"/>
  <c r="DG26" i="165"/>
  <c r="DA26" i="165"/>
  <c r="CW26" i="165"/>
  <c r="DK25" i="165"/>
  <c r="EL25" i="165" s="1"/>
  <c r="FT25" i="165"/>
  <c r="DG25" i="165"/>
  <c r="DA25" i="165"/>
  <c r="CD25" i="165"/>
  <c r="CW25" i="165"/>
  <c r="DK24" i="165"/>
  <c r="EL24" i="165" s="1"/>
  <c r="DG24" i="165"/>
  <c r="DB24" i="165"/>
  <c r="DA24" i="165"/>
  <c r="FS24" i="165"/>
  <c r="CW24" i="165"/>
  <c r="DL23" i="165"/>
  <c r="DK23" i="165"/>
  <c r="EL23" i="165" s="1"/>
  <c r="CE23" i="165"/>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D20" i="165"/>
  <c r="CW20" i="165"/>
  <c r="DL19" i="165"/>
  <c r="DK19" i="165"/>
  <c r="EL19" i="165" s="1"/>
  <c r="CE19" i="165"/>
  <c r="DG19" i="165"/>
  <c r="DB19" i="165"/>
  <c r="DA19" i="165"/>
  <c r="CW19" i="165"/>
  <c r="DK18" i="165"/>
  <c r="EL18" i="165" s="1"/>
  <c r="DG18" i="165"/>
  <c r="DA18" i="165"/>
  <c r="CW18" i="165"/>
  <c r="DK17" i="165"/>
  <c r="EL17" i="165" s="1"/>
  <c r="FT17" i="165"/>
  <c r="DG17" i="165"/>
  <c r="DA17" i="165"/>
  <c r="FS17" i="165"/>
  <c r="CW17" i="165"/>
  <c r="DK16" i="165"/>
  <c r="EL16" i="165" s="1"/>
  <c r="DG16" i="165"/>
  <c r="DA16" i="165"/>
  <c r="CD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AL52"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BG15" i="84"/>
  <c r="BF15" i="84"/>
  <c r="BE15" i="84"/>
  <c r="BC15" i="84"/>
  <c r="BB15" i="84"/>
  <c r="AY15" i="84"/>
  <c r="AX15" i="84"/>
  <c r="AU15" i="84"/>
  <c r="AT15" i="84"/>
  <c r="GF55" i="84"/>
  <c r="AO15" i="84"/>
  <c r="AN15" i="84"/>
  <c r="AM15" i="84"/>
  <c r="AL15" i="84"/>
  <c r="AK15" i="84"/>
  <c r="FK54" i="84"/>
  <c r="FK55" i="84" s="1"/>
  <c r="FJ55" i="84" s="1"/>
  <c r="AC15" i="84"/>
  <c r="AB15" i="84"/>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AC27" i="84"/>
  <c r="AK27" i="84"/>
  <c r="AL27" i="84"/>
  <c r="AM27" i="84"/>
  <c r="AN27" i="84"/>
  <c r="AO27" i="84"/>
  <c r="GF67" i="84"/>
  <c r="AT27" i="84"/>
  <c r="AU27" i="84"/>
  <c r="GG67" i="84"/>
  <c r="AV27" i="84" s="1"/>
  <c r="FG67" i="84" s="1"/>
  <c r="AX27" i="84"/>
  <c r="AY27" i="84"/>
  <c r="GH67" i="84"/>
  <c r="BB27" i="84"/>
  <c r="BC27" i="84"/>
  <c r="GI67" i="84"/>
  <c r="BF27" i="84"/>
  <c r="BG27" i="84"/>
  <c r="FM67" i="84"/>
  <c r="AB28" i="84"/>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AD14" i="160" l="1"/>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DE30" i="165"/>
  <c r="FR30" i="165" s="1"/>
  <c r="DE24" i="147"/>
  <c r="CU24" i="147"/>
  <c r="CU20" i="165"/>
  <c r="DT20" i="165" s="1"/>
  <c r="DE20" i="165"/>
  <c r="DZ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FB29" i="165" s="1"/>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FD68" i="84" s="1"/>
  <c r="DG73" i="160"/>
  <c r="EV82" i="84"/>
  <c r="DA82" i="84"/>
  <c r="CZ68" i="84"/>
  <c r="DF55" i="160"/>
  <c r="DA65" i="160"/>
  <c r="DF72" i="160"/>
  <c r="DG84" i="160"/>
  <c r="CZ81" i="84"/>
  <c r="DF54" i="160"/>
  <c r="DG68" i="84"/>
  <c r="FE68" i="84" s="1"/>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CZ57" i="160"/>
  <c r="CZ58" i="160"/>
  <c r="CZ59" i="160"/>
  <c r="CZ60" i="160"/>
  <c r="DG62" i="160"/>
  <c r="FE62" i="160" s="1"/>
  <c r="DF63" i="160"/>
  <c r="DF64" i="160"/>
  <c r="DF65" i="160"/>
  <c r="DF66" i="160"/>
  <c r="DF67" i="160"/>
  <c r="DF68" i="160"/>
  <c r="DA72" i="160"/>
  <c r="CZ73" i="160"/>
  <c r="CZ74" i="160"/>
  <c r="DF77" i="160"/>
  <c r="DA85" i="160"/>
  <c r="DG56" i="160"/>
  <c r="DA69" i="160"/>
  <c r="DG72" i="160"/>
  <c r="DA68" i="160"/>
  <c r="CZ66" i="160"/>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FC56" i="160"/>
  <c r="EA56" i="160" s="1"/>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CD45" i="165"/>
  <c r="CE35"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CD17" i="165"/>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CD29" i="165"/>
  <c r="DJ81" i="84"/>
  <c r="EY27" i="165"/>
  <c r="EZ27" i="165" s="1"/>
  <c r="EE27" i="165" s="1"/>
  <c r="EH63" i="160"/>
  <c r="EJ63" i="160" s="1"/>
  <c r="DS63" i="160" s="1"/>
  <c r="EU14" i="160"/>
  <c r="DZ77" i="84"/>
  <c r="FB77" i="84"/>
  <c r="DZ81" i="84"/>
  <c r="FB81" i="84"/>
  <c r="DZ85" i="84"/>
  <c r="FB85" i="84"/>
  <c r="DZ79" i="160"/>
  <c r="FS32" i="165"/>
  <c r="CD32" i="165"/>
  <c r="CD40" i="165"/>
  <c r="FS40" i="165"/>
  <c r="EO70" i="84"/>
  <c r="CW70" i="84"/>
  <c r="M30" i="84" s="1"/>
  <c r="EO72" i="84"/>
  <c r="DD75" i="84"/>
  <c r="EH66" i="160"/>
  <c r="EU44" i="160"/>
  <c r="AZ20" i="84"/>
  <c r="BA20" i="84" s="1"/>
  <c r="EH68" i="84"/>
  <c r="EJ68" i="84" s="1"/>
  <c r="DS68" i="84" s="1"/>
  <c r="EI68" i="84"/>
  <c r="EU28" i="84"/>
  <c r="CE22" i="165"/>
  <c r="FT22" i="165"/>
  <c r="CE30" i="165"/>
  <c r="FT42" i="165"/>
  <c r="CE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CE34" i="165"/>
  <c r="CD36" i="165"/>
  <c r="EO71" i="84"/>
  <c r="ET67" i="160"/>
  <c r="FQ25" i="165"/>
  <c r="EX34" i="165"/>
  <c r="EE76" i="160"/>
  <c r="EF76" i="160"/>
  <c r="EO55" i="160"/>
  <c r="ET40" i="160"/>
  <c r="EE80" i="160"/>
  <c r="ET32" i="160"/>
  <c r="EE72" i="160"/>
  <c r="DZ81" i="160"/>
  <c r="CE17" i="165"/>
  <c r="FS28" i="165"/>
  <c r="CD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CE18" i="165"/>
  <c r="FT18" i="165"/>
  <c r="CE26" i="165"/>
  <c r="FT26" i="165"/>
  <c r="CE38" i="165"/>
  <c r="FT38" i="165"/>
  <c r="FQ44" i="165"/>
  <c r="FQ31" i="165"/>
  <c r="EO63" i="160"/>
  <c r="EO64" i="160"/>
  <c r="CW64" i="160"/>
  <c r="M24" i="160" s="1"/>
  <c r="CD40" i="147"/>
  <c r="FB17" i="165"/>
  <c r="EY19" i="165"/>
  <c r="FR20" i="165"/>
  <c r="DP24" i="165"/>
  <c r="DP37" i="165"/>
  <c r="EE61" i="160"/>
  <c r="EF61" i="160"/>
  <c r="EE73" i="84"/>
  <c r="EG73" i="84" s="1"/>
  <c r="DL73" i="84" s="1"/>
  <c r="CD44" i="165"/>
  <c r="ET81" i="84"/>
  <c r="ET76" i="160"/>
  <c r="DZ55" i="160"/>
  <c r="FB55" i="160"/>
  <c r="DP34" i="165"/>
  <c r="ET71" i="84"/>
  <c r="DJ77" i="84"/>
  <c r="DJ80" i="84"/>
  <c r="ET82" i="84"/>
  <c r="ET83" i="84"/>
  <c r="ET55" i="160"/>
  <c r="EO79" i="160"/>
  <c r="DP30" i="165"/>
  <c r="DZ69" i="160"/>
  <c r="FB69" i="160"/>
  <c r="CE33" i="165"/>
  <c r="FT33" i="165"/>
  <c r="FM24" i="165"/>
  <c r="EO68" i="84"/>
  <c r="CW68" i="84"/>
  <c r="M28" i="84" s="1"/>
  <c r="EF75" i="84"/>
  <c r="FB81" i="160"/>
  <c r="ET73" i="84"/>
  <c r="CX73" i="84"/>
  <c r="N33" i="84" s="1"/>
  <c r="FB39" i="165"/>
  <c r="FR39" i="165"/>
  <c r="EF72" i="160"/>
  <c r="EE84" i="160"/>
  <c r="EF84" i="160"/>
  <c r="EE75" i="160"/>
  <c r="EF75" i="160"/>
  <c r="FS20" i="165"/>
  <c r="CD24" i="165"/>
  <c r="CE25"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CE29"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CD18" i="165"/>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FB56" i="160"/>
  <c r="DZ56"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CD41" i="165"/>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EX20" i="165"/>
  <c r="EY20" i="165"/>
  <c r="EZ20" i="165" s="1"/>
  <c r="EE20" i="165" s="1"/>
  <c r="FA25" i="165"/>
  <c r="FE25" i="165"/>
  <c r="FF25" i="165" s="1"/>
  <c r="FG25" i="165" s="1"/>
  <c r="Y25" i="165" s="1"/>
  <c r="Y38" i="147"/>
  <c r="EY41" i="165"/>
  <c r="EX41" i="165"/>
  <c r="Z30" i="147"/>
  <c r="Z38" i="147"/>
  <c r="FA20" i="165"/>
  <c r="FB20" i="165"/>
  <c r="FC20" i="165" s="1"/>
  <c r="EL20" i="165" s="1"/>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CD19" i="165"/>
  <c r="FS19" i="165"/>
  <c r="FS23" i="165"/>
  <c r="CD23" i="165"/>
  <c r="FS27" i="165"/>
  <c r="CD27" i="165"/>
  <c r="FS31" i="165"/>
  <c r="CD31" i="165"/>
  <c r="CD35" i="165"/>
  <c r="FS35" i="165"/>
  <c r="FS39" i="165"/>
  <c r="CD39" i="165"/>
  <c r="CD43"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CE16" i="165"/>
  <c r="CE20" i="165"/>
  <c r="FT20" i="165"/>
  <c r="FT24" i="165"/>
  <c r="CE24" i="165"/>
  <c r="CE28" i="165"/>
  <c r="FT28" i="165"/>
  <c r="FT32" i="165"/>
  <c r="CE32" i="165"/>
  <c r="CE36" i="165"/>
  <c r="FT36" i="165"/>
  <c r="FT40" i="165"/>
  <c r="CE40" i="165"/>
  <c r="CE44"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CD30" i="165"/>
  <c r="FE32" i="165"/>
  <c r="FF32" i="165" s="1"/>
  <c r="FG32" i="165" s="1"/>
  <c r="Y32" i="165" s="1"/>
  <c r="FE36" i="165"/>
  <c r="FF36" i="165" s="1"/>
  <c r="FG36" i="165" s="1"/>
  <c r="Y36" i="165" s="1"/>
  <c r="FE44" i="165"/>
  <c r="FF44" i="165" s="1"/>
  <c r="FG44" i="165" s="1"/>
  <c r="Y44" i="165" s="1"/>
  <c r="AE35" i="165"/>
  <c r="AD35" i="165" s="1"/>
  <c r="AF35" i="165"/>
  <c r="FQ20" i="165"/>
  <c r="FQ30" i="165"/>
  <c r="CD22" i="165"/>
  <c r="CD26" i="165"/>
  <c r="FS26" i="165"/>
  <c r="CD34" i="165"/>
  <c r="FS34" i="165"/>
  <c r="CD38" i="165"/>
  <c r="FS38" i="165"/>
  <c r="FS42" i="165"/>
  <c r="CD42" i="165"/>
  <c r="FJ21" i="165"/>
  <c r="FK21" i="165" s="1"/>
  <c r="FL21" i="165" s="1"/>
  <c r="Z21" i="165" s="1"/>
  <c r="CE41" i="165"/>
  <c r="AN41" i="165"/>
  <c r="AO41" i="165"/>
  <c r="AM41" i="165"/>
  <c r="EW76" i="84"/>
  <c r="DJ76" i="84"/>
  <c r="EW59" i="160"/>
  <c r="ES19" i="160" s="1"/>
  <c r="CV59" i="160"/>
  <c r="FE59" i="160"/>
  <c r="CV84" i="160"/>
  <c r="FE26" i="165"/>
  <c r="FF26" i="165" s="1"/>
  <c r="FG26" i="165" s="1"/>
  <c r="Y26" i="165" s="1"/>
  <c r="CE37" i="165"/>
  <c r="CE45" i="165"/>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CE40"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DF70" i="84" l="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F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AU23" i="147" s="1"/>
  <c r="P43" i="84"/>
  <c r="O43" i="84"/>
  <c r="O40" i="84"/>
  <c r="P40" i="84"/>
  <c r="P37" i="84"/>
  <c r="O37" i="84"/>
  <c r="R28" i="84"/>
  <c r="Q28" i="84"/>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EV68" i="84"/>
  <c r="ER2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Q16" i="160"/>
  <c r="R16" i="160" s="1"/>
  <c r="R38" i="160"/>
  <c r="Q38" i="160"/>
  <c r="P22" i="160"/>
  <c r="O22" i="160"/>
  <c r="R15" i="160"/>
  <c r="Q15" i="160"/>
  <c r="O16" i="160"/>
  <c r="P16" i="160" s="1"/>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R16" i="160" s="1"/>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EW68" i="84"/>
  <c r="ES28" i="84" s="1"/>
  <c r="BO28" i="84"/>
  <c r="EZ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G41"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W68" i="84" s="1"/>
  <c r="DT68" i="84"/>
  <c r="DV68" i="84" s="1"/>
  <c r="DU69" i="84"/>
  <c r="DW69" i="84" s="1"/>
  <c r="DT69" i="84"/>
  <c r="DV69" i="84" s="1"/>
  <c r="DU79" i="84"/>
  <c r="DW79" i="84" s="1"/>
  <c r="DT79" i="84"/>
  <c r="DV79" i="84" s="1"/>
  <c r="DN72" i="84"/>
  <c r="DM72" i="84"/>
  <c r="DN75" i="84"/>
  <c r="DP75" i="84" s="1"/>
  <c r="DM75" i="84"/>
  <c r="DO75" i="84" s="1"/>
  <c r="DT70" i="84"/>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AH15" i="160" l="1"/>
  <c r="AG15" i="160"/>
  <c r="EM32" i="165"/>
  <c r="EN41" i="165"/>
  <c r="EP30" i="84"/>
  <c r="DB70" i="84"/>
  <c r="EQ30" i="84"/>
  <c r="DH70" i="84"/>
  <c r="DI70" i="84"/>
  <c r="EF16" i="165"/>
  <c r="AJ40" i="147"/>
  <c r="AL40" i="147"/>
  <c r="AU39" i="147"/>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E24" i="165"/>
  <c r="GK24" i="165" s="1"/>
  <c r="GM24" i="165" s="1"/>
  <c r="E32" i="165"/>
  <c r="GK32" i="165" s="1"/>
  <c r="GM32" i="165" s="1"/>
  <c r="AU39" i="165"/>
  <c r="AU38" i="165"/>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I39" i="147"/>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97" i="165"/>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BS16" i="160" s="1"/>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X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M42" i="165"/>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GM41" i="165" s="1"/>
  <c r="DQ71" i="84"/>
  <c r="DR78" i="84"/>
  <c r="GL25" i="160"/>
  <c r="GL15" i="160"/>
  <c r="DY57" i="160"/>
  <c r="DX67" i="160"/>
  <c r="DX85" i="84"/>
  <c r="DX62" i="160"/>
  <c r="EY84" i="84"/>
  <c r="DY68" i="160"/>
  <c r="CR22" i="165"/>
  <c r="ET22" i="165"/>
  <c r="DR22" i="165"/>
  <c r="M22" i="165" s="1"/>
  <c r="ES22" i="165"/>
  <c r="DQ78" i="84"/>
  <c r="GL27" i="165"/>
  <c r="DY84" i="84"/>
  <c r="DQ79" i="84"/>
  <c r="DQ77" i="84"/>
  <c r="GI87" i="84"/>
  <c r="GJ87" i="84" s="1"/>
  <c r="DY73" i="160"/>
  <c r="DX65" i="160"/>
  <c r="EU38" i="165"/>
  <c r="ET38" i="165"/>
  <c r="CS38" i="165"/>
  <c r="CR38" i="165"/>
  <c r="DQ38" i="165"/>
  <c r="L38" i="165" s="1"/>
  <c r="ES38" i="165"/>
  <c r="DR38" i="165"/>
  <c r="M38" i="165" s="1"/>
  <c r="DR84" i="84"/>
  <c r="DY67" i="160"/>
  <c r="ES28" i="165"/>
  <c r="CS41" i="165"/>
  <c r="CR41" i="165"/>
  <c r="ES41" i="165"/>
  <c r="DQ41" i="165"/>
  <c r="L41" i="165" s="1"/>
  <c r="ET41" i="165"/>
  <c r="DR41" i="165"/>
  <c r="M41" i="165" s="1"/>
  <c r="EU41" i="165"/>
  <c r="EY85" i="160"/>
  <c r="DY85" i="84"/>
  <c r="DY62" i="160"/>
  <c r="GM44" i="160"/>
  <c r="DY82" i="160"/>
  <c r="GL22" i="160"/>
  <c r="GL35" i="84"/>
  <c r="GM35" i="84" s="1"/>
  <c r="DY76" i="84"/>
  <c r="GM27" i="165" l="1"/>
  <c r="GM20" i="165"/>
  <c r="AH16" i="160"/>
  <c r="AG16" i="160"/>
  <c r="GM17" i="165"/>
  <c r="DQ31" i="147"/>
  <c r="L31" i="147" s="1"/>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V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O23" i="147"/>
  <c r="EQ23" i="147" s="1"/>
  <c r="EP23" i="147"/>
  <c r="ER23" i="147" s="1"/>
  <c r="ES23" i="147"/>
  <c r="ET23" i="147"/>
  <c r="EH23" i="147"/>
  <c r="EJ23" i="147" s="1"/>
  <c r="EI23" i="147"/>
  <c r="EK23" i="147" s="1"/>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BS28" i="84" s="1"/>
  <c r="H28" i="84"/>
  <c r="G28" i="84"/>
  <c r="V40" i="84"/>
  <c r="U40" i="84"/>
  <c r="V44" i="84"/>
  <c r="U44" i="84"/>
  <c r="V43" i="84"/>
  <c r="U43" i="84"/>
  <c r="T41" i="84"/>
  <c r="S41" i="84"/>
  <c r="K28" i="84"/>
  <c r="J28" i="84"/>
  <c r="L28" i="84"/>
  <c r="BU28" i="84" s="1"/>
  <c r="U42" i="84"/>
  <c r="V42" i="84"/>
  <c r="T43" i="84"/>
  <c r="S43" i="84"/>
  <c r="V37" i="84"/>
  <c r="U37" i="84"/>
  <c r="V29" i="84"/>
  <c r="U29" i="84"/>
  <c r="V36" i="84"/>
  <c r="U36" i="84"/>
  <c r="T28" i="84"/>
  <c r="S28" i="84"/>
  <c r="V28" i="84"/>
  <c r="U28" i="84"/>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BU16" i="160" s="1"/>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CS31" i="147"/>
  <c r="CR31" i="147"/>
  <c r="EM45" i="84"/>
  <c r="EM27" i="160"/>
  <c r="EM43" i="84"/>
  <c r="EL34" i="84"/>
  <c r="EL31" i="160"/>
  <c r="CR34" i="147"/>
  <c r="CS34" i="147"/>
  <c r="EC64" i="160"/>
  <c r="W24" i="160" s="1"/>
  <c r="EM36" i="84"/>
  <c r="BU30" i="84" l="1"/>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V23" i="147"/>
  <c r="CJ23" i="147" s="1"/>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ES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16" i="160" s="1"/>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O23" i="147"/>
  <c r="P23" i="147"/>
  <c r="N23" i="147"/>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BS30" i="84" l="1"/>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R24" i="147"/>
  <c r="Q24" i="147"/>
  <c r="S24" i="147"/>
  <c r="Q27" i="147"/>
  <c r="S27" i="147"/>
  <c r="R27" i="147"/>
  <c r="U37" i="147"/>
  <c r="T37" i="147"/>
  <c r="R30" i="147"/>
  <c r="Q30" i="147"/>
  <c r="S30" i="147"/>
  <c r="R32" i="147"/>
  <c r="Q32" i="147"/>
  <c r="S32" i="147"/>
  <c r="K28" i="147"/>
  <c r="AS28" i="147" s="1"/>
  <c r="J28" i="147"/>
  <c r="I28" i="147"/>
  <c r="P24" i="147"/>
  <c r="N24" i="147"/>
  <c r="O24" i="147" s="1"/>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Q23"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Z23" i="147"/>
  <c r="EV26" i="147"/>
  <c r="X30" i="165"/>
  <c r="CJ30" i="165"/>
  <c r="AS18" i="165"/>
  <c r="AS23" i="147"/>
  <c r="AQ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U23" i="147"/>
  <c r="T23" i="147"/>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alcChain>
</file>

<file path=xl/comments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authors>
    <author>sellersrl</author>
  </authors>
  <commentList>
    <comment ref="D12"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authors>
    <author>Rich Sellers</author>
    <author>sellersrl</author>
  </authors>
  <commentList>
    <comment ref="D2" authorId="0" shapeId="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text>
        <r>
          <rPr>
            <b/>
            <sz val="12"/>
            <color indexed="81"/>
            <rFont val="Arial"/>
            <family val="2"/>
          </rPr>
          <t xml:space="preserve">TCX Type:
</t>
        </r>
        <r>
          <rPr>
            <sz val="12"/>
            <color indexed="81"/>
            <rFont val="Arial"/>
            <family val="2"/>
          </rPr>
          <t>Enter TCX Type if not standard.  Enter "R", R1...", "S" or "S1...".</t>
        </r>
      </text>
    </comment>
    <comment ref="I2" authorId="1" shapeId="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4.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5.xml><?xml version="1.0" encoding="utf-8"?>
<comments xmlns="http://schemas.openxmlformats.org/spreadsheetml/2006/main">
  <authors>
    <author>Mike Camperman</author>
    <author>Rich Sellers</author>
  </authors>
  <commentList>
    <comment ref="E13" authorId="0" shapeId="0">
      <text>
        <r>
          <rPr>
            <b/>
            <sz val="8"/>
            <color indexed="81"/>
            <rFont val="Tahoma"/>
            <family val="2"/>
          </rPr>
          <t xml:space="preserve">Currently NOT used.
</t>
        </r>
      </text>
    </comment>
    <comment ref="F13" authorId="1" shapeId="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6.xml><?xml version="1.0" encoding="utf-8"?>
<comments xmlns="http://schemas.openxmlformats.org/spreadsheetml/2006/main">
  <authors>
    <author>sellersrl</author>
  </authors>
  <commentList>
    <comment ref="E12" authorId="0" shapeId="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7.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0.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1.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2.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3.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4.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5.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6.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7.xml><?xml version="1.0" encoding="utf-8"?>
<comments xmlns="http://schemas.openxmlformats.org/spreadsheetml/2006/main">
  <authors>
    <author>sellersrl</author>
  </authors>
  <commentList>
    <comment ref="A12" authorId="0" shapeId="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28.xml><?xml version="1.0" encoding="utf-8"?>
<comments xmlns="http://schemas.openxmlformats.org/spreadsheetml/2006/main">
  <authors>
    <author>Mike Camperman</author>
    <author>Rich Sellers</author>
    <author>sellersrl</author>
    <author>Sellers, Rich</author>
  </authors>
  <commentList>
    <comment ref="HC2"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text>
        <r>
          <rPr>
            <b/>
            <sz val="9"/>
            <color indexed="81"/>
            <rFont val="Tahoma"/>
            <family val="2"/>
          </rPr>
          <t>W2 Half-Width:</t>
        </r>
        <r>
          <rPr>
            <sz val="9"/>
            <color indexed="81"/>
            <rFont val="Tahoma"/>
            <family val="2"/>
          </rPr>
          <t xml:space="preserve">
For Calculating additional clear bearing at skewed supports.</t>
        </r>
      </text>
    </comment>
    <comment ref="IP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9.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30.xml><?xml version="1.0" encoding="utf-8"?>
<comments xmlns="http://schemas.openxmlformats.org/spreadsheetml/2006/main">
  <authors>
    <author>sellersrl</author>
    <author>Sellers, Rich</author>
    <author>Rich Sellers</author>
    <author>Mike Camperman</author>
  </authors>
  <commentList>
    <comment ref="CZ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text>
        <r>
          <rPr>
            <b/>
            <sz val="9"/>
            <color indexed="81"/>
            <rFont val="Tahoma"/>
            <family val="2"/>
          </rPr>
          <t>Rich Sellers:</t>
        </r>
        <r>
          <rPr>
            <sz val="9"/>
            <color indexed="81"/>
            <rFont val="Tahoma"/>
            <family val="2"/>
          </rPr>
          <t xml:space="preserve">
</t>
        </r>
      </text>
    </comment>
    <comment ref="AC12" authorId="2" shapeId="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31.xml><?xml version="1.0" encoding="utf-8"?>
<comments xmlns="http://schemas.openxmlformats.org/spreadsheetml/2006/main">
  <authors>
    <author>sellersrl</author>
    <author>Sellers, Rich</author>
    <author>Rich Sellers</author>
    <author>Mike Camperman</author>
  </authors>
  <commentList>
    <comment ref="BZ19"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text>
        <r>
          <rPr>
            <b/>
            <sz val="9"/>
            <color indexed="81"/>
            <rFont val="Tahoma"/>
            <family val="2"/>
          </rPr>
          <t>Rich Sellers:</t>
        </r>
        <r>
          <rPr>
            <sz val="9"/>
            <color indexed="81"/>
            <rFont val="Tahoma"/>
            <family val="2"/>
          </rPr>
          <t xml:space="preserve">
Need to Keep This Column - Used for Over-Span Check!!</t>
        </r>
      </text>
    </comment>
    <comment ref="BD21"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21"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32.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3.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4.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5.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6.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7.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8.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39.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0.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1.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2.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3.xml><?xml version="1.0" encoding="utf-8"?>
<comments xmlns="http://schemas.openxmlformats.org/spreadsheetml/2006/main">
  <authors>
    <author>sellersrl</author>
    <author>Rich Sellers</author>
    <author>Mike Camperman</author>
  </authors>
  <commentList>
    <comment ref="BZ12" authorId="0" shapeId="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text>
        <r>
          <rPr>
            <b/>
            <sz val="12"/>
            <color indexed="81"/>
            <rFont val="Tahoma"/>
            <family val="2"/>
          </rPr>
          <t xml:space="preserve">Base Length Over-Ride: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t>
        </r>
      </text>
    </comment>
    <comment ref="CF14" authorId="0" shapeId="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44.xml><?xml version="1.0" encoding="utf-8"?>
<comments xmlns="http://schemas.openxmlformats.org/spreadsheetml/2006/main">
  <authors>
    <author>sellersrl</author>
  </authors>
  <commentList>
    <comment ref="D25" authorId="0" shapeId="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<x:sst xmlns:x="http://schemas.openxmlformats.org/spreadsheetml/2006/main" count="26697" uniqueCount="2333">
  <x:si>
    <x:t>JOIST BILL OF MATERIALS</x:t>
  </x:si>
  <x:si>
    <x:t>JOB NAME:</x:t>
  </x:si>
  <x:si>
    <x:t>JOB #:</x:t>
  </x:si>
  <x:si>
    <x:t>LOCATION:</x:t>
  </x:si>
  <x:si>
    <x:t>NET UPLIFT =</x:t>
  </x:si>
  <x:si>
    <x:t>SSJ:</x:t>
  </x:si>
  <x:si>
    <x:t>LSJ:</x:t>
  </x:si>
  <x:si>
    <x:t>JS:</x:t>
  </x:si>
  <x:si>
    <x:t>HDR:</x:t>
  </x:si>
  <x:si>
    <x:t>TCXL</x:t>
  </x:si>
  <x:si>
    <x:t>TCXR</x:t>
  </x:si>
  <x:si>
    <x:t>SEAT DEPTH</x:t>
  </x:si>
  <x:si>
    <x:t>BCXL</x:t>
  </x:si>
  <x:si>
    <x:t>BCXR</x:t>
  </x:si>
  <x:si>
    <x:t>PUNCHED SEATS</x:t>
  </x:si>
  <x:si>
    <x:t>NOTES</x:t>
  </x:si>
  <x:si>
    <x:t>LENGTH</x:t>
  </x:si>
  <x:si>
    <x:t>TYPE</x:t>
  </x:si>
  <x:si>
    <x:t>BDL</x:t>
  </x:si>
  <x:si>
    <x:t>BDR</x:t>
  </x:si>
  <x:si>
    <x:t>DATE:</x:t>
  </x:si>
  <x:si>
    <x:t>SHEET:</x:t>
  </x:si>
  <x:si>
    <x:t>DETAILER:</x:t>
  </x:si>
  <x:si>
    <x:t>CHECKER:</x:t>
  </x:si>
  <x:si>
    <x:t>JOIST SIZE</x:t>
  </x:si>
  <x:si>
    <x:t>OVERALL LENGTH</x:t>
  </x:si>
  <x:si>
    <x:t>PAINT:</x:t>
  </x:si>
  <x:si>
    <x:t>GA.</x:t>
  </x:si>
  <x:si>
    <x:t>QTY.</x:t>
  </x:si>
  <x:si>
    <x:t>JOIST AND GIRDER SPECIAL NOTES</x:t>
  </x:si>
  <x:si>
    <x:t>NOTE #</x:t>
  </x:si>
  <x:si>
    <x:t>GIRDER SIZE</x:t>
  </x:si>
  <x:si>
    <x:t>A</x:t>
  </x:si>
  <x:si>
    <x:t>NO.</x:t>
  </x:si>
  <x:si>
    <x:t>N</x:t>
  </x:si>
  <x:si>
    <x:t>B</x:t>
  </x:si>
  <x:si>
    <x:t>BRIDGING CLIPS</x:t>
  </x:si>
  <x:si>
    <x:t>GIRDER BILL OF MATERIALS  (PART 1)</x:t>
  </x:si>
  <x:si>
    <x:t>GIRDER BILL OF MATERIALS  (PART 2)</x:t>
  </x:si>
  <x:si>
    <x:t>BRIDGING BILL OF MATERIALS</x:t>
  </x:si>
  <x:si>
    <x:t>MARK</x:t>
  </x:si>
  <x:si>
    <x:t>CAUTIONARY NOTES</x:t>
  </x:si>
  <x:si>
    <x:t>GENERAL PROJECT INFORMATION</x:t>
  </x:si>
  <x:si>
    <x:t>JOIST AND GIRDER SPECIAL LOADS</x:t>
  </x:si>
  <x:si>
    <x:t>NMBS INTERNAL USE ONLY</x:t>
  </x:si>
  <x:si>
    <x:t>DIR.</x:t>
  </x:si>
  <x:si>
    <x:t>CAT.</x:t>
  </x:si>
  <x:si>
    <x:t>LOAD #</x:t>
  </x:si>
  <x:si>
    <x:t>VALUE</x:t>
  </x:si>
  <x:si>
    <x:t>DISTANCE</x:t>
  </x:si>
  <x:si>
    <x:t>LOAD 1</x:t>
  </x:si>
  <x:si>
    <x:t>LOAD 2</x:t>
  </x:si>
  <x:si>
    <x:t>REF.</x:t>
  </x:si>
  <x:si>
    <x:t>REMARKS</x:t>
  </x:si>
  <x:si>
    <x:t>SEQUENCE SUMMARY</x:t>
  </x:si>
  <x:si>
    <x:t>SEQ. #</x:t>
  </x:si>
  <x:si>
    <x:t>SEQUENCE KEY</x:t>
  </x:si>
  <x:si>
    <x:t xml:space="preserve">SEQUENCE </x:t>
  </x:si>
  <x:si>
    <x:t>[SPECIAL]   (LOAD)</x:t>
  </x:si>
  <x:si>
    <x:t>LOC.</x:t>
  </x:si>
  <x:si>
    <x:t>BOLT N,F,B</x:t>
  </x:si>
  <x:si>
    <x:t>JST. GA.</x:t>
  </x:si>
  <x:si>
    <x:t>GIRDERS TOTAL:</x:t>
  </x:si>
  <x:si>
    <x:t>NFB</x:t>
  </x:si>
  <x:si>
    <x:t>LOAD (KIP)</x:t>
  </x:si>
  <x:si>
    <x:t>&gt;</x:t>
  </x:si>
  <x:si>
    <x:t>&lt;</x:t>
  </x:si>
  <x:si>
    <x:t>Job Name :</x:t>
  </x:si>
  <x:si>
    <x:t>Job Location :</x:t>
  </x:si>
  <x:si>
    <x:t>Job # :</x:t>
  </x:si>
  <x:si>
    <x:t>Detailer :</x:t>
  </x:si>
  <x:si>
    <x:t>Checker :</x:t>
  </x:si>
  <x:si>
    <x:t>Date :</x:t>
  </x:si>
  <x:si>
    <x:t>Total "of" BOM :</x:t>
  </x:si>
  <x:si>
    <x:t>K</x:t>
  </x:si>
  <x:si>
    <x:t>LH</x:t>
  </x:si>
  <x:si>
    <x:t>JS</x:t>
  </x:si>
  <x:si>
    <x:t>HDR</x:t>
  </x:si>
  <x:si>
    <x:t>LOAD INFORMATION</x:t>
  </x:si>
  <x:si>
    <x:t>POS.</x:t>
  </x:si>
  <x:si>
    <x:t>JOIST "A"</x:t>
  </x:si>
  <x:si>
    <x:t>HL</x:t>
  </x:si>
  <x:si>
    <x:t>HR</x:t>
  </x:si>
  <x:si>
    <x:t>ADDITIONAL JOIST LOCATIONS  (FROM O.A.L. AT LEFT END)</x:t>
  </x:si>
  <x:si>
    <x:t>Address :</x:t>
  </x:si>
  <x:si>
    <x:t>Telephone :</x:t>
  </x:si>
  <x:si>
    <x:t>Sales Fax :</x:t>
  </x:si>
  <x:si>
    <x:t>Eng. Fax :</x:t>
  </x:si>
  <x:si>
    <x:t>Traffic Fax :</x:t>
  </x:si>
  <x:si>
    <x:t>T.C. WIDTH</x:t>
  </x:si>
  <x:si>
    <x:t>6115 County Road 42 | Butler, IN  46721 | www.newmill.com</x:t>
  </x:si>
  <x:si>
    <x:t>Total</x:t>
  </x:si>
  <x:si>
    <x:t>260-868-6000</x:t>
  </x:si>
  <x:si>
    <x:t>260-868-6002</x:t>
  </x:si>
  <x:si>
    <x:t>260-868-6003</x:t>
  </x:si>
  <x:si>
    <x:t>260-868-6004</x:t>
  </x:si>
  <x:si>
    <x:t>TELEPHONE:</x:t>
  </x:si>
  <x:si>
    <x:t>SALES FAX:</x:t>
  </x:si>
  <x:si>
    <x:t>TRAFFIC FAX:</x:t>
  </x:si>
  <x:si>
    <x:t>ENGR. FAX:</x:t>
  </x:si>
  <x:si>
    <x:t>386-466-1300</x:t>
  </x:si>
  <x:si>
    <x:t>386-466-1302</x:t>
  </x:si>
  <x:si>
    <x:t>386-466-1303</x:t>
  </x:si>
  <x:si>
    <x:t>386-466-1304</x:t>
  </x:si>
  <x:si>
    <x:t>540-389-0211</x:t>
  </x:si>
  <x:si>
    <x:t>800-543-9461</x:t>
  </x:si>
  <x:si>
    <x:t>540-387-2319</x:t>
  </x:si>
  <x:si>
    <x:t>540-375-4553</x:t>
  </x:si>
  <x:si>
    <x:t>SPACING
"C"</x:t>
  </x:si>
  <x:si>
    <x:t>ELEV.
"D"</x:t>
  </x:si>
  <x:si>
    <x:t>SLOPE
1</x:t>
  </x:si>
  <x:si>
    <x:t>SLOPE
2</x:t>
  </x:si>
  <x:si>
    <x:t>SEAT SLOPE</x:t>
  </x:si>
  <x:si>
    <x:t>L</x:t>
  </x:si>
  <x:si>
    <x:t>R</x:t>
  </x:si>
  <x:si>
    <x:t>CJ</x:t>
  </x:si>
  <x:si>
    <x:t>CJ:</x:t>
  </x:si>
  <x:si>
    <x:t/>
  </x:si>
  <x:si>
    <x:t>Master</x:t>
  </x:si>
  <x:si>
    <x:t>M</x:t>
  </x:si>
  <x:si>
    <x:t>View of BOM to be displayed:</x:t>
  </x:si>
  <x:si>
    <x:t>COLOR TAG</x:t>
  </x:si>
  <x:si>
    <x:t>WHT</x:t>
  </x:si>
  <x:si>
    <x:t>BRN</x:t>
  </x:si>
  <x:si>
    <x:t>ORG</x:t>
  </x:si>
  <x:si>
    <x:t>BLU</x:t>
  </x:si>
  <x:si>
    <x:t>GRN</x:t>
  </x:si>
  <x:si>
    <x:t>YLW</x:t>
  </x:si>
  <x:si>
    <x:t>PRP</x:t>
  </x:si>
  <x:si>
    <x:t>RED</x:t>
  </x:si>
  <x:si>
    <x:t>BLK</x:t>
  </x:si>
  <x:si>
    <x:t>QTY</x:t>
  </x:si>
  <x:si>
    <x:t># Views:</x:t>
  </x:si>
  <x:si>
    <x:t># Unreleased:</x:t>
  </x:si>
  <x:si>
    <x:t>White</x:t>
  </x:si>
  <x:si>
    <x:t>Brown</x:t>
  </x:si>
  <x:si>
    <x:t>Orange</x:t>
  </x:si>
  <x:si>
    <x:t>Blue</x:t>
  </x:si>
  <x:si>
    <x:t>Green</x:t>
  </x:si>
  <x:si>
    <x:t>Yellow</x:t>
  </x:si>
  <x:si>
    <x:t>Purple</x:t>
  </x:si>
  <x:si>
    <x:t>Red</x:t>
  </x:si>
  <x:si>
    <x:t>Black</x:t>
  </x:si>
  <x:si>
    <x:t>WL</x:t>
  </x:si>
  <x:si>
    <x:t>BE</x:t>
  </x:si>
  <x:si>
    <x:t>NU</x:t>
  </x:si>
  <x:si>
    <x:t>TC</x:t>
  </x:si>
  <x:si>
    <x:t>C3</x:t>
  </x:si>
  <x:si>
    <x:t>TL</x:t>
  </x:si>
  <x:si>
    <x:t>C</x:t>
  </x:si>
  <x:si>
    <x:t>40LH09</x:t>
  </x:si>
  <x:si>
    <x:t>28K12</x:t>
  </x:si>
  <x:si>
    <x:t>U</x:t>
  </x:si>
  <x:si>
    <x:t>GU</x:t>
  </x:si>
  <x:si>
    <x:t>CB</x:t>
  </x:si>
  <x:si>
    <x:t>CP</x:t>
  </x:si>
  <x:si>
    <x:t>CA</x:t>
  </x:si>
  <x:si>
    <x:t>CZ</x:t>
  </x:si>
  <x:si>
    <x:t>AX</x:t>
  </x:si>
  <x:si>
    <x:t>S</x:t>
  </x:si>
  <x:si>
    <x:t>BC</x:t>
  </x:si>
  <x:si>
    <x:t>XL</x:t>
  </x:si>
  <x:si>
    <x:t>XR</x:t>
  </x:si>
  <x:si>
    <x:t>DL</x:t>
  </x:si>
  <x:si>
    <x:t>LL</x:t>
  </x:si>
  <x:si>
    <x:t>SL</x:t>
  </x:si>
  <x:si>
    <x:t>CL</x:t>
  </x:si>
  <x:si>
    <x:t>IP</x:t>
  </x:si>
  <x:si>
    <x:t>SM</x:t>
  </x:si>
  <x:si>
    <x:t>LE</x:t>
  </x:si>
  <x:si>
    <x:t>RE</x:t>
  </x:si>
  <x:si>
    <x:t>Rel?</x:t>
  </x:si>
  <x:si>
    <x:t>Depth</x:t>
  </x:si>
  <x:si>
    <x:t>Series</x:t>
  </x:si>
  <x:si>
    <x:t>Section</x:t>
  </x:si>
  <x:si>
    <x:t>HL Ok?</x:t>
  </x:si>
  <x:si>
    <x:t>12K3</x:t>
  </x:si>
  <x:si>
    <x:t>BL</x:t>
  </x:si>
  <x:si>
    <x:t>BR</x:t>
  </x:si>
  <x:si>
    <x:t>HR Ok?</x:t>
  </x:si>
  <x:si>
    <x:t>Des. Ok?</x:t>
  </x:si>
  <x:si>
    <x:t>2.5K1</x:t>
  </x:si>
  <x:si>
    <x:t>2.5K2</x:t>
  </x:si>
  <x:si>
    <x:t>2.5K3</x:t>
  </x:si>
  <x:si>
    <x:t>2.5JS1</x:t>
  </x:si>
  <x:si>
    <x:t>2.5JS2</x:t>
  </x:si>
  <x:si>
    <x:t>2.5JS3</x:t>
  </x:si>
  <x:si>
    <x:t>2.5JS4</x:t>
  </x:si>
  <x:si>
    <x:t>2.5JS5</x:t>
  </x:si>
  <x:si>
    <x:t>2.5JS6</x:t>
  </x:si>
  <x:si>
    <x:t>2.5JS7</x:t>
  </x:si>
  <x:si>
    <x:t>2.5JS8</x:t>
  </x:si>
  <x:si>
    <x:t>8K1</x:t>
  </x:si>
  <x:si>
    <x:t>10K1</x:t>
  </x:si>
  <x:si>
    <x:t>12K1</x:t>
  </x:si>
  <x:si>
    <x:t>12K5</x:t>
  </x:si>
  <x:si>
    <x:t>14K1</x:t>
  </x:si>
  <x:si>
    <x:t>14K3</x:t>
  </x:si>
  <x:si>
    <x:t>14K4</x:t>
  </x:si>
  <x:si>
    <x:t>14K6</x:t>
  </x:si>
  <x:si>
    <x:t>16K2</x:t>
  </x:si>
  <x:si>
    <x:t>16K3</x:t>
  </x:si>
  <x:si>
    <x:t>16K4</x:t>
  </x:si>
  <x:si>
    <x:t>16K5</x:t>
  </x:si>
  <x:si>
    <x:t>16K6</x:t>
  </x:si>
  <x:si>
    <x:t>16K7</x:t>
  </x:si>
  <x:si>
    <x:t>16K9</x:t>
  </x:si>
  <x:si>
    <x:t>18K3</x:t>
  </x:si>
  <x:si>
    <x:t>18K4</x:t>
  </x:si>
  <x:si>
    <x:t>18K5</x:t>
  </x:si>
  <x:si>
    <x:t>18K6</x:t>
  </x:si>
  <x:si>
    <x:t>18K7</x:t>
  </x:si>
  <x:si>
    <x:t>18K9</x:t>
  </x:si>
  <x:si>
    <x:t>18K10</x:t>
  </x:si>
  <x:si>
    <x:t>20K3</x:t>
  </x:si>
  <x:si>
    <x:t>20K4</x:t>
  </x:si>
  <x:si>
    <x:t>20K5</x:t>
  </x:si>
  <x:si>
    <x:t>20K6</x:t>
  </x:si>
  <x:si>
    <x:t>20K7</x:t>
  </x:si>
  <x:si>
    <x:t>20K9</x:t>
  </x:si>
  <x:si>
    <x:t>20K10</x:t>
  </x:si>
  <x:si>
    <x:t>22K4</x:t>
  </x:si>
  <x:si>
    <x:t>22K5</x:t>
  </x:si>
  <x:si>
    <x:t>22K6</x:t>
  </x:si>
  <x:si>
    <x:t>22K7</x:t>
  </x:si>
  <x:si>
    <x:t>22K9</x:t>
  </x:si>
  <x:si>
    <x:t>22K10</x:t>
  </x:si>
  <x:si>
    <x:t>22K11</x:t>
  </x:si>
  <x:si>
    <x:t>24K4</x:t>
  </x:si>
  <x:si>
    <x:t>24K5</x:t>
  </x:si>
  <x:si>
    <x:t>24K6</x:t>
  </x:si>
  <x:si>
    <x:t>24K7</x:t>
  </x:si>
  <x:si>
    <x:t>24K8</x:t>
  </x:si>
  <x:si>
    <x:t>24K9</x:t>
  </x:si>
  <x:si>
    <x:t>24K10</x:t>
  </x:si>
  <x:si>
    <x:t>24K12</x:t>
  </x:si>
  <x:si>
    <x:t>26K5</x:t>
  </x:si>
  <x:si>
    <x:t>26K6</x:t>
  </x:si>
  <x:si>
    <x:t>26K7</x:t>
  </x:si>
  <x:si>
    <x:t>26K8</x:t>
  </x:si>
  <x:si>
    <x:t>26K9</x:t>
  </x:si>
  <x:si>
    <x:t>26K10</x:t>
  </x:si>
  <x:si>
    <x:t>26K12</x:t>
  </x:si>
  <x:si>
    <x:t>28K6</x:t>
  </x:si>
  <x:si>
    <x:t>28K7</x:t>
  </x:si>
  <x:si>
    <x:t>28K8</x:t>
  </x:si>
  <x:si>
    <x:t>28K9</x:t>
  </x:si>
  <x:si>
    <x:t>28K10</x:t>
  </x:si>
  <x:si>
    <x:t>30K7</x:t>
  </x:si>
  <x:si>
    <x:t>30K8</x:t>
  </x:si>
  <x:si>
    <x:t>30K9</x:t>
  </x:si>
  <x:si>
    <x:t>30K10</x:t>
  </x:si>
  <x:si>
    <x:t>30K11</x:t>
  </x:si>
  <x:si>
    <x:t>30K12</x:t>
  </x:si>
  <x:si>
    <x:t>18LH02</x:t>
  </x:si>
  <x:si>
    <x:t>18LH03</x:t>
  </x:si>
  <x:si>
    <x:t>18LH04</x:t>
  </x:si>
  <x:si>
    <x:t>18LH05</x:t>
  </x:si>
  <x:si>
    <x:t>18LH06</x:t>
  </x:si>
  <x:si>
    <x:t>18LH07</x:t>
  </x:si>
  <x:si>
    <x:t>18LH08</x:t>
  </x:si>
  <x:si>
    <x:t>18LH09</x:t>
  </x:si>
  <x:si>
    <x:t>20LH02</x:t>
  </x:si>
  <x:si>
    <x:t>20LH03</x:t>
  </x:si>
  <x:si>
    <x:t>20LH04</x:t>
  </x:si>
  <x:si>
    <x:t>20LH05</x:t>
  </x:si>
  <x:si>
    <x:t>20LH06</x:t>
  </x:si>
  <x:si>
    <x:t>20LH07</x:t>
  </x:si>
  <x:si>
    <x:t>20LH08</x:t>
  </x:si>
  <x:si>
    <x:t>20LH09</x:t>
  </x:si>
  <x:si>
    <x:t>20LH10</x:t>
  </x:si>
  <x:si>
    <x:t>24LH03</x:t>
  </x:si>
  <x:si>
    <x:t>24LH04</x:t>
  </x:si>
  <x:si>
    <x:t>24LH05</x:t>
  </x:si>
  <x:si>
    <x:t>24LH06</x:t>
  </x:si>
  <x:si>
    <x:t>24LH07</x:t>
  </x:si>
  <x:si>
    <x:t>24LH08</x:t>
  </x:si>
  <x:si>
    <x:t>24LH09</x:t>
  </x:si>
  <x:si>
    <x:t>24LH10</x:t>
  </x:si>
  <x:si>
    <x:t>24LH11</x:t>
  </x:si>
  <x:si>
    <x:t>28LH05</x:t>
  </x:si>
  <x:si>
    <x:t>28LH06</x:t>
  </x:si>
  <x:si>
    <x:t>28LH07</x:t>
  </x:si>
  <x:si>
    <x:t>28LH08</x:t>
  </x:si>
  <x:si>
    <x:t>28LH09</x:t>
  </x:si>
  <x:si>
    <x:t>28LH10</x:t>
  </x:si>
  <x:si>
    <x:t>28LH11</x:t>
  </x:si>
  <x:si>
    <x:t>28LH12</x:t>
  </x:si>
  <x:si>
    <x:t>28LH13</x:t>
  </x:si>
  <x:si>
    <x:t>32LH06</x:t>
  </x:si>
  <x:si>
    <x:t>32LH07</x:t>
  </x:si>
  <x:si>
    <x:t>32LH08</x:t>
  </x:si>
  <x:si>
    <x:t>32LH09</x:t>
  </x:si>
  <x:si>
    <x:t>32LH10</x:t>
  </x:si>
  <x:si>
    <x:t>32LH11</x:t>
  </x:si>
  <x:si>
    <x:t>32LH12</x:t>
  </x:si>
  <x:si>
    <x:t>32LH13</x:t>
  </x:si>
  <x:si>
    <x:t>32LH14</x:t>
  </x:si>
  <x:si>
    <x:t>32LH15</x:t>
  </x:si>
  <x:si>
    <x:t>36LH07</x:t>
  </x:si>
  <x:si>
    <x:t>36LH08</x:t>
  </x:si>
  <x:si>
    <x:t>36LH09</x:t>
  </x:si>
  <x:si>
    <x:t>36LH10</x:t>
  </x:si>
  <x:si>
    <x:t>36LH11</x:t>
  </x:si>
  <x:si>
    <x:t>36LH12</x:t>
  </x:si>
  <x:si>
    <x:t>36LH13</x:t>
  </x:si>
  <x:si>
    <x:t>36LH14</x:t>
  </x:si>
  <x:si>
    <x:t>36LH15</x:t>
  </x:si>
  <x:si>
    <x:t>40LH08</x:t>
  </x:si>
  <x:si>
    <x:t>40LH10</x:t>
  </x:si>
  <x:si>
    <x:t>40LH11</x:t>
  </x:si>
  <x:si>
    <x:t>40LH12</x:t>
  </x:si>
  <x:si>
    <x:t>40LH13</x:t>
  </x:si>
  <x:si>
    <x:t>40LH14</x:t>
  </x:si>
  <x:si>
    <x:t>40LH15</x:t>
  </x:si>
  <x:si>
    <x:t>40LH16</x:t>
  </x:si>
  <x:si>
    <x:t>44LH09</x:t>
  </x:si>
  <x:si>
    <x:t>44LH10</x:t>
  </x:si>
  <x:si>
    <x:t>44LH11</x:t>
  </x:si>
  <x:si>
    <x:t>44LH12</x:t>
  </x:si>
  <x:si>
    <x:t>44LH13</x:t>
  </x:si>
  <x:si>
    <x:t>44LH14</x:t>
  </x:si>
  <x:si>
    <x:t>44LH15</x:t>
  </x:si>
  <x:si>
    <x:t>44LH16</x:t>
  </x:si>
  <x:si>
    <x:t>44LH17</x:t>
  </x:si>
  <x:si>
    <x:t>48LH10</x:t>
  </x:si>
  <x:si>
    <x:t>48LH11</x:t>
  </x:si>
  <x:si>
    <x:t>48LH12</x:t>
  </x:si>
  <x:si>
    <x:t>48LH13</x:t>
  </x:si>
  <x:si>
    <x:t>48LH14</x:t>
  </x:si>
  <x:si>
    <x:t>48LH15</x:t>
  </x:si>
  <x:si>
    <x:t>48LH16</x:t>
  </x:si>
  <x:si>
    <x:t>48LH17</x:t>
  </x:si>
  <x:si>
    <x:t>52DLH10</x:t>
  </x:si>
  <x:si>
    <x:t>52DLH11</x:t>
  </x:si>
  <x:si>
    <x:t>52DLH12</x:t>
  </x:si>
  <x:si>
    <x:t>52DLH13</x:t>
  </x:si>
  <x:si>
    <x:t>52DLH14</x:t>
  </x:si>
  <x:si>
    <x:t>52DLH15</x:t>
  </x:si>
  <x:si>
    <x:t>52DLH16</x:t>
  </x:si>
  <x:si>
    <x:t>52DLH17</x:t>
  </x:si>
  <x:si>
    <x:t>56DLH11</x:t>
  </x:si>
  <x:si>
    <x:t>56DLH12</x:t>
  </x:si>
  <x:si>
    <x:t>56DLH13</x:t>
  </x:si>
  <x:si>
    <x:t>56DLH14</x:t>
  </x:si>
  <x:si>
    <x:t>56DLH15</x:t>
  </x:si>
  <x:si>
    <x:t>56DLH16</x:t>
  </x:si>
  <x:si>
    <x:t>56DLH17</x:t>
  </x:si>
  <x:si>
    <x:t>60DLH12</x:t>
  </x:si>
  <x:si>
    <x:t>60DLH13</x:t>
  </x:si>
  <x:si>
    <x:t>60DLH14</x:t>
  </x:si>
  <x:si>
    <x:t>60DLH15</x:t>
  </x:si>
  <x:si>
    <x:t>60DLH16</x:t>
  </x:si>
  <x:si>
    <x:t>60DLH17</x:t>
  </x:si>
  <x:si>
    <x:t>60DLH18</x:t>
  </x:si>
  <x:si>
    <x:t>64DLH12</x:t>
  </x:si>
  <x:si>
    <x:t>64DLH13</x:t>
  </x:si>
  <x:si>
    <x:t>64DLH14</x:t>
  </x:si>
  <x:si>
    <x:t>64DLH15</x:t>
  </x:si>
  <x:si>
    <x:t>64DLH16</x:t>
  </x:si>
  <x:si>
    <x:t>64DLH17</x:t>
  </x:si>
  <x:si>
    <x:t>64DLH18</x:t>
  </x:si>
  <x:si>
    <x:t>68DLH13</x:t>
  </x:si>
  <x:si>
    <x:t>68DLH14</x:t>
  </x:si>
  <x:si>
    <x:t>68DLH15</x:t>
  </x:si>
  <x:si>
    <x:t>68DLH16</x:t>
  </x:si>
  <x:si>
    <x:t>68DLH17</x:t>
  </x:si>
  <x:si>
    <x:t>68DLH18</x:t>
  </x:si>
  <x:si>
    <x:t>68DLH19</x:t>
  </x:si>
  <x:si>
    <x:t>72DLH14</x:t>
  </x:si>
  <x:si>
    <x:t>72DLH15</x:t>
  </x:si>
  <x:si>
    <x:t>72DLH16</x:t>
  </x:si>
  <x:si>
    <x:t>72DLH17</x:t>
  </x:si>
  <x:si>
    <x:t>72DLH18</x:t>
  </x:si>
  <x:si>
    <x:t>72DLH19</x:t>
  </x:si>
  <x:si>
    <x:t>10KCS1</x:t>
  </x:si>
  <x:si>
    <x:t>10KCS2</x:t>
  </x:si>
  <x:si>
    <x:t>10KCS3</x:t>
  </x:si>
  <x:si>
    <x:t>12KCS1</x:t>
  </x:si>
  <x:si>
    <x:t>12KCS2</x:t>
  </x:si>
  <x:si>
    <x:t>12KCS3</x:t>
  </x:si>
  <x:si>
    <x:t>14KCS1</x:t>
  </x:si>
  <x:si>
    <x:t>14KCS2</x:t>
  </x:si>
  <x:si>
    <x:t>14KCS3</x:t>
  </x:si>
  <x:si>
    <x:t>16KCS2</x:t>
  </x:si>
  <x:si>
    <x:t>16KCS3</x:t>
  </x:si>
  <x:si>
    <x:t>16KCS4</x:t>
  </x:si>
  <x:si>
    <x:t>16KCS5</x:t>
  </x:si>
  <x:si>
    <x:t>18KCS2</x:t>
  </x:si>
  <x:si>
    <x:t>18KCS3</x:t>
  </x:si>
  <x:si>
    <x:t>18KCS4</x:t>
  </x:si>
  <x:si>
    <x:t>18KCS5</x:t>
  </x:si>
  <x:si>
    <x:t>20KCS2</x:t>
  </x:si>
  <x:si>
    <x:t>20KCS3</x:t>
  </x:si>
  <x:si>
    <x:t>20KCS4</x:t>
  </x:si>
  <x:si>
    <x:t>20KCS5</x:t>
  </x:si>
  <x:si>
    <x:t>22KCS2</x:t>
  </x:si>
  <x:si>
    <x:t>22KCS3</x:t>
  </x:si>
  <x:si>
    <x:t>22KCS4</x:t>
  </x:si>
  <x:si>
    <x:t>22KCS5</x:t>
  </x:si>
  <x:si>
    <x:t>24KCS2</x:t>
  </x:si>
  <x:si>
    <x:t>24KCS3</x:t>
  </x:si>
  <x:si>
    <x:t>24KCS4</x:t>
  </x:si>
  <x:si>
    <x:t>24KCS5</x:t>
  </x:si>
  <x:si>
    <x:t>26KCS2</x:t>
  </x:si>
  <x:si>
    <x:t>26KCS3</x:t>
  </x:si>
  <x:si>
    <x:t>26KCS4</x:t>
  </x:si>
  <x:si>
    <x:t>26KCS5</x:t>
  </x:si>
  <x:si>
    <x:t>28KCS2</x:t>
  </x:si>
  <x:si>
    <x:t>28KCS3</x:t>
  </x:si>
  <x:si>
    <x:t>28KCS4</x:t>
  </x:si>
  <x:si>
    <x:t>28KCS5</x:t>
  </x:si>
  <x:si>
    <x:t>30KCS3</x:t>
  </x:si>
  <x:si>
    <x:t>30KCS4</x:t>
  </x:si>
  <x:si>
    <x:t>30KCS5</x:t>
  </x:si>
  <x:si>
    <x:t>KCS</x:t>
  </x:si>
  <x:si>
    <x:t>DLH</x:t>
  </x:si>
  <x:si>
    <x:t>SLH</x:t>
  </x:si>
  <x:si>
    <x:t>80SLH15</x:t>
  </x:si>
  <x:si>
    <x:t>80SLH16</x:t>
  </x:si>
  <x:si>
    <x:t>80SLH17</x:t>
  </x:si>
  <x:si>
    <x:t>80SLH18</x:t>
  </x:si>
  <x:si>
    <x:t>80SLH19</x:t>
  </x:si>
  <x:si>
    <x:t>80SLH20</x:t>
  </x:si>
  <x:si>
    <x:t>88SLH16</x:t>
  </x:si>
  <x:si>
    <x:t>88SLH17</x:t>
  </x:si>
  <x:si>
    <x:t>88SLH18</x:t>
  </x:si>
  <x:si>
    <x:t>88SLH19</x:t>
  </x:si>
  <x:si>
    <x:t>88SLH20</x:t>
  </x:si>
  <x:si>
    <x:t>88SLH21</x:t>
  </x:si>
  <x:si>
    <x:t>96SLH17</x:t>
  </x:si>
  <x:si>
    <x:t>96SLH18</x:t>
  </x:si>
  <x:si>
    <x:t>96SLH19</x:t>
  </x:si>
  <x:si>
    <x:t>96SLH20</x:t>
  </x:si>
  <x:si>
    <x:t>96SLH21</x:t>
  </x:si>
  <x:si>
    <x:t>96SLH22</x:t>
  </x:si>
  <x:si>
    <x:t>104SLH18</x:t>
  </x:si>
  <x:si>
    <x:t>104SLH19</x:t>
  </x:si>
  <x:si>
    <x:t>104SLH20</x:t>
  </x:si>
  <x:si>
    <x:t>104SLH21</x:t>
  </x:si>
  <x:si>
    <x:t>104SLH22</x:t>
  </x:si>
  <x:si>
    <x:t>104SLH23</x:t>
  </x:si>
  <x:si>
    <x:t>112SLH19</x:t>
  </x:si>
  <x:si>
    <x:t>112SLH20</x:t>
  </x:si>
  <x:si>
    <x:t>112SLH21</x:t>
  </x:si>
  <x:si>
    <x:t>112SLH22</x:t>
  </x:si>
  <x:si>
    <x:t>112SLH23</x:t>
  </x:si>
  <x:si>
    <x:t>112SLH24</x:t>
  </x:si>
  <x:si>
    <x:t>120SLH20</x:t>
  </x:si>
  <x:si>
    <x:t>120SLH25</x:t>
  </x:si>
  <x:si>
    <x:t>120SLH24</x:t>
  </x:si>
  <x:si>
    <x:t>120SLH23</x:t>
  </x:si>
  <x:si>
    <x:t>120SLH22</x:t>
  </x:si>
  <x:si>
    <x:t>120SLH21</x:t>
  </x:si>
  <x:si>
    <x:t># of N's</x:t>
  </x:si>
  <x:si>
    <x:t>Load</x:t>
  </x:si>
  <x:si>
    <x:t>Uplift</x:t>
  </x:si>
  <x:si>
    <x:t>If This is a Master Summary sheet, These quantities are the total quanities released.
If this is a Partial Release Summary, these quantities are the maximum that can be released.</x:t>
  </x:si>
  <x:si>
    <x:t>Date:</x:t>
  </x:si>
  <x:si>
    <x:t>Discrepancy Report based on</x:t>
  </x:si>
  <x:si>
    <x:t>Contract Dwg Date:</x:t>
  </x:si>
  <x:si>
    <x:t>Approval</x:t>
  </x:si>
  <x:si>
    <x:t>Specs:</x:t>
  </x:si>
  <x:si>
    <x:t>Drawings and BOMs</x:t>
  </x:si>
  <x:si>
    <x:t>Addenda:</x:t>
  </x:si>
  <x:si>
    <x:t>DTLR:</x:t>
  </x:si>
  <x:si>
    <x:t>CHKR:</x:t>
  </x:si>
  <x:si>
    <x:t>Field Use</x:t>
  </x:si>
  <x:si>
    <x:t>No</x:t>
  </x:si>
  <x:si>
    <x:t>Yes</x:t>
  </x:si>
  <x:si>
    <x:t>Specs?</x:t>
  </x:si>
  <x:si>
    <x:t>Sequence List</x:t>
  </x:si>
  <x:si>
    <x:t>Revised Field Use</x:t>
  </x:si>
  <x:si>
    <x:t>Joist/Girder Discrepancy Report</x:t>
  </x:si>
  <x:si>
    <x:t>LH/DLH</x:t>
  </x:si>
  <x:si>
    <x:t>G</x:t>
  </x:si>
  <x:si>
    <x:t>BRDG</x:t>
  </x:si>
  <x:si>
    <x:t>Dtl'd</x:t>
  </x:si>
  <x:si>
    <x:t>Left to Rel.</x:t>
  </x:si>
  <x:si>
    <x:t>Sequence Breakdown of Total Quantities and Quantities Left to Release</x:t>
  </x:si>
  <x:si>
    <x:t>Joist/Girder Discrepancy Report - Page #2</x:t>
  </x:si>
  <x:si>
    <x:t>Total Quantity Detailed</x:t>
  </x:si>
  <x:si>
    <x:t>Total Quantity  Released</x:t>
  </x:si>
  <x:si>
    <x:t>Sold</x:t>
  </x:si>
  <x:si>
    <x:t>Over/Under</x:t>
  </x:si>
  <x:si>
    <x:t>Total Pcs Sold</x:t>
  </x:si>
  <x:si>
    <x:t>Joist/Girder Discrepancy Report - Page #3</x:t>
  </x:si>
  <x:si>
    <x:t>Joist Type (for discrepancy reporting)</x:t>
  </x:si>
  <x:si>
    <x:t>Series (broken down due to limitations of parenthesis nesting within Excel)</x:t>
  </x:si>
  <x:si>
    <x:t>Release Name</x:t>
  </x:si>
  <x:si>
    <x:t>Rel. for Fab.</x:t>
  </x:si>
  <x:si>
    <x:t>Partial Release</x:t>
  </x:si>
  <x:si>
    <x:t>Mem Type</x:t>
  </x:si>
  <x:si>
    <x:t>Release Error?</x:t>
  </x:si>
  <x:si>
    <x:t>Last Qty of K</x:t>
  </x:si>
  <x:si>
    <x:t>Last Qty of LH</x:t>
  </x:si>
  <x:si>
    <x:t>Last Qty of G</x:t>
  </x:si>
  <x:si>
    <x:t>Last Qty of JS</x:t>
  </x:si>
  <x:si>
    <x:t>JDS in Control:</x:t>
  </x:si>
  <x:si>
    <x:t>Length</x:t>
  </x:si>
  <x:si>
    <x:t>(Min)</x:t>
  </x:si>
  <x:si>
    <x:t>gage</x:t>
  </x:si>
  <x:si>
    <x:t>Slot W</x:t>
  </x:si>
  <x:si>
    <x:t>Slot L</x:t>
  </x:si>
  <x:si>
    <x:t>TCX Calc Code</x:t>
  </x:si>
  <x:si>
    <x:t>Min. Seat Slope</x:t>
  </x:si>
  <x:si>
    <x:t>Left (Tag) End Information</x:t>
  </x:si>
  <x:si>
    <x:t>Right End Information</x:t>
  </x:si>
  <x:si>
    <x:t>Tag (Left) End Information</x:t>
  </x:si>
  <x:si>
    <x:t>Min. Seat Depth @ High End</x:t>
  </x:si>
  <x:si>
    <x:t>TE Seat Slope (Rad)</x:t>
  </x:si>
  <x:si>
    <x:t>TE Seat Kick</x:t>
  </x:si>
  <x:si>
    <x:t>RE Seat Slope (Rad)</x:t>
  </x:si>
  <x:si>
    <x:t>RE Seat Kick</x:t>
  </x:si>
  <x:si>
    <x:t>Length Calc for min slopes</x:t>
  </x:si>
  <x:si>
    <x:t>Girder Size</x:t>
  </x:si>
  <x:si>
    <x:t>Girder "Bay Length"</x:t>
  </x:si>
  <x:si>
    <x:t>Notes</x:t>
  </x:si>
  <x:si>
    <x:t>Girder TC Width</x:t>
  </x:si>
  <x:si>
    <x:t>Min. BDL @ Bay Length</x:t>
  </x:si>
  <x:si>
    <x:t>Min. BDR @ Bay Length</x:t>
  </x:si>
  <x:si>
    <x:t># of Lines or spacing</x:t>
  </x:si>
  <x:si>
    <x:t>PP Spacing</x:t>
  </x:si>
  <x:si>
    <x:t>Sum of Spa on Slope</x:t>
  </x:si>
  <x:si>
    <x:t>Calc'd Qty of "N"</x:t>
  </x:si>
  <x:si>
    <x:t>Skew Ang.</x:t>
  </x:si>
  <x:si>
    <x:t>SPA</x:t>
  </x:si>
  <x:si>
    <x:t>"X" TO WRAP PP DIM</x:t>
  </x:si>
  <x:si>
    <x:t>Joist Slope (radians)</x:t>
  </x:si>
  <x:si>
    <x:t>a</x:t>
  </x:si>
  <x:si>
    <x:t>n</x:t>
  </x:si>
  <x:si>
    <x:t>spa</x:t>
  </x:si>
  <x:si>
    <x:t>b</x:t>
  </x:si>
  <x:si>
    <x:t>Bay Remaining</x:t>
  </x:si>
  <x:si>
    <x:t>Bay Length</x:t>
  </x:si>
  <x:si>
    <x:t>Sect Type</x:t>
  </x:si>
  <x:si>
    <x:t>O.L. +/-</x:t>
  </x:si>
  <x:si>
    <x:t>TCXL Type</x:t>
  </x:si>
  <x:si>
    <x:t>BD</x:t>
  </x:si>
  <x:si>
    <x:t>Hole Loc.</x:t>
  </x:si>
  <x:si>
    <x:t>Edge/ Cap Pl</x:t>
  </x:si>
  <x:si>
    <x:t>Bearing Slope</x:t>
  </x:si>
  <x:si>
    <x:t>TCXR Type</x:t>
  </x:si>
  <x:si>
    <x:t>OAL</x:t>
  </x:si>
  <x:si>
    <x:t>BDL @ Base Length</x:t>
  </x:si>
  <x:si>
    <x:t>BDR @ Base Length</x:t>
  </x:si>
  <x:si>
    <x:t>L. Brg Width</x:t>
  </x:si>
  <x:si>
    <x:t>L. Clear Brg</x:t>
  </x:si>
  <x:si>
    <x:t>R. Brg Width</x:t>
  </x:si>
  <x:si>
    <x:t>R. Clear Brg</x:t>
  </x:si>
  <x:si>
    <x:t>plan TCXL</x:t>
  </x:si>
  <x:si>
    <x:t>sloping TCXL</x:t>
  </x:si>
  <x:si>
    <x:t>plan TCXR</x:t>
  </x:si>
  <x:si>
    <x:t>sloping TCXR</x:t>
  </x:si>
  <x:si>
    <x:t>Base</x:t>
  </x:si>
  <x:si>
    <x:t>TCA</x:t>
  </x:si>
  <x:si>
    <x:t>BCA</x:t>
  </x:si>
  <x:si>
    <x:t>TE</x:t>
  </x:si>
  <x:si>
    <x:t>min</x:t>
  </x:si>
  <x:si>
    <x:t>max</x:t>
  </x:si>
  <x:si>
    <x:t>Gap</x:t>
  </x:si>
  <x:si>
    <x:t>Bridging Calculations</x:t>
  </x:si>
  <x:si>
    <x:t>TE Flg Ga Min</x:t>
  </x:si>
  <x:si>
    <x:t>TE Flg Ga Max</x:t>
  </x:si>
  <x:si>
    <x:t>Avg. Flange Gage @ TE</x:t>
  </x:si>
  <x:si>
    <x:t>RE Flg Ga Min</x:t>
  </x:si>
  <x:si>
    <x:t>RE Flg Ga Max</x:t>
  </x:si>
  <x:si>
    <x:t>Avg. Flange Gage @ RE</x:t>
  </x:si>
  <x:si>
    <x:t>TE Brg Slope (Rad)</x:t>
  </x:si>
  <x:si>
    <x:t>TE Seat Slope (in/ft)</x:t>
  </x:si>
  <x:si>
    <x:t>RE Brg Slope (Rad)</x:t>
  </x:si>
  <x:si>
    <x:t>RE Seat Slope (in/ft)</x:t>
  </x:si>
  <x:si>
    <x:t>Total Rows Req'd</x:t>
  </x:si>
  <x:si>
    <x:t>Rows of EB</x:t>
  </x:si>
  <x:si>
    <x:t>Max. EB Span</x:t>
  </x:si>
  <x:si>
    <x:t>EB Reqd</x:t>
  </x:si>
  <x:si>
    <x:t>Joist Mark</x:t>
  </x:si>
  <x:si>
    <x:t>Joist Size</x:t>
  </x:si>
  <x:si>
    <x:t>Joist "Bay Length"</x:t>
  </x:si>
  <x:si>
    <x:t>Section Number</x:t>
  </x:si>
  <x:si>
    <x:t>Bolt "X"</x:t>
  </x:si>
  <x:si>
    <x:t>EB Span</x:t>
  </x:si>
  <x:si>
    <x:t>L. Skew Rad</x:t>
  </x:si>
  <x:si>
    <x:t>R. Skew Rad</x:t>
  </x:si>
  <x:si>
    <x:t>HL norm to support</x:t>
  </x:si>
  <x:si>
    <x:t>Calc. HL</x:t>
  </x:si>
  <x:si>
    <x:t>Logical HL</x:t>
  </x:si>
  <x:si>
    <x:t>BOM HL</x:t>
  </x:si>
  <x:si>
    <x:t>Calc. HR</x:t>
  </x:si>
  <x:si>
    <x:t>Logical HR</x:t>
  </x:si>
  <x:si>
    <x:t>BOM HR</x:t>
  </x:si>
  <x:si>
    <x:t>T.C. Slope (X"/Ft.)</x:t>
  </x:si>
  <x:si>
    <x:t>Special</x:t>
  </x:si>
  <x:si>
    <x:t>Min</x:t>
  </x:si>
  <x:si>
    <x:t>Max</x:t>
  </x:si>
  <x:si>
    <x:t>Sect #</x:t>
  </x:si>
  <x:si>
    <x:t>Support Type</x:t>
  </x:si>
  <x:si>
    <x:t>End of Joist</x:t>
  </x:si>
  <x:si>
    <x:t>TCX Type</x:t>
  </x:si>
  <x:si>
    <x:t>BCX</x:t>
  </x:si>
  <x:si>
    <x:t>Support Type "C" - Columns</x:t>
  </x:si>
  <x:si>
    <x:t>Support Type "B" - Beams</x:t>
  </x:si>
  <x:si>
    <x:t>Support Type "G" - Girders</x:t>
  </x:si>
  <x:si>
    <x:t>Support Type "M" - Masonry</x:t>
  </x:si>
  <x:si>
    <x:t>NM</x:t>
  </x:si>
  <x:si>
    <x:t>Support Gages</x:t>
  </x:si>
  <x:si>
    <x:t>Girder</x:t>
  </x:si>
  <x:si>
    <x:t>Beam</x:t>
  </x:si>
  <x:si>
    <x:t>HR norm to support</x:t>
  </x:si>
  <x:si>
    <x:t>Joist Standards</x:t>
  </x:si>
  <x:si>
    <x:t>Joist Type</x:t>
  </x:si>
  <x:si>
    <x:t>Min Brg</x:t>
  </x:si>
  <x:si>
    <x:t>Seat Length</x:t>
  </x:si>
  <x:si>
    <x:t>Slot Length</x:t>
  </x:si>
  <x:si>
    <x:t>Slot Width</x:t>
  </x:si>
  <x:si>
    <x:t>K Series</x:t>
  </x:si>
  <x:si>
    <x:t>/Foot.</x:t>
  </x:si>
  <x:si>
    <x:t>Seat Depth</x:t>
  </x:si>
  <x:si>
    <x:t>BCX Type</x:t>
  </x:si>
  <x:si>
    <x:t>Hole
Ga</x:t>
  </x:si>
  <x:si>
    <x:t>Seat
Gage</x:t>
  </x:si>
  <x:si>
    <x:t>BOM Hole Gage</x:t>
  </x:si>
  <x:si>
    <x:t>Std.Hole Gage</x:t>
  </x:si>
  <x:si>
    <x:t>BOM TE Seat Slope (in/ft)</x:t>
  </x:si>
  <x:si>
    <x:t>BOM RE Seat Slope (in/ft)</x:t>
  </x:si>
  <x:si>
    <x:t>Left End</x:t>
  </x:si>
  <x:si>
    <x:t>Right End</x:t>
  </x:si>
  <x:si>
    <x:t>Unequal Gage</x:t>
  </x:si>
  <x:si>
    <x:t>Seat Slot Warnings</x:t>
  </x:si>
  <x:si>
    <x:t>Severe Skew</x:t>
  </x:si>
  <x:si>
    <x:t>Brg L</x:t>
  </x:si>
  <x:si>
    <x:t>Brg R</x:t>
  </x:si>
  <x:si>
    <x:t>User Input Area</x:t>
  </x:si>
  <x:si>
    <x:t>Hole Location</x:t>
  </x:si>
  <x:si>
    <x:t>Clear Bearing</x:t>
  </x:si>
  <x:si>
    <x:t>Beam Width
Min. / Max.</x:t>
  </x:si>
  <x:si>
    <x:t>Flange Gage
Min. / Max.</x:t>
  </x:si>
  <x:si>
    <x:t>GirderMark</x:t>
  </x:si>
  <x:si>
    <x:t>Location</x:t>
  </x:si>
  <x:si>
    <x:t>Bolt
N/F/B</x:t>
  </x:si>
  <x:si>
    <x:t>Load
(Kip)</x:t>
  </x:si>
  <x:si>
    <x:t>OSHA
Holes
N/F/B</x:t>
  </x:si>
  <x:si>
    <x:t>Girder
TC GA</x:t>
  </x:si>
  <x:si>
    <x:t>TC
Hole
X/16"</x:t>
  </x:si>
  <x:si>
    <x:t>Joist
Ga</x:t>
  </x:si>
  <x:si>
    <x:t>TC End Hole</x:t>
  </x:si>
  <x:si>
    <x:t>Left</x:t>
  </x:si>
  <x:si>
    <x:t>Right</x:t>
  </x:si>
  <x:si>
    <x:t>In/"#xx"</x:t>
  </x:si>
  <x:si>
    <x:t>Load
(Kips)</x:t>
  </x:si>
  <x:si>
    <x:t>Additional Joist Locations
All Locations from Left Reference ("Bay") Point (CL Column/Beam or Face of CMU)</x:t>
  </x:si>
  <x:si>
    <x:t>Section
Number</x:t>
  </x:si>
  <x:si>
    <x:t>Brg
Slope</x:t>
  </x:si>
  <x:si>
    <x:t>Girder
Mark</x:t>
  </x:si>
  <x:si>
    <x:t>Left End Information</x:t>
  </x:si>
  <x:si>
    <x:t>Short Bearing
Warning</x:t>
  </x:si>
  <x:si>
    <x:t>CALCULATED P.P. PLAN SPACINGS
(referenced from Bay)</x:t>
  </x:si>
  <x:si>
    <x:t>Calculated spacing along slope
Sum of Spacing = Base Length</x:t>
  </x:si>
  <x:si>
    <x:t>Calc Girder TC Width</x:t>
  </x:si>
  <x:si>
    <x:t>Calc. KB Spacing</x:t>
  </x:si>
  <x:si>
    <x:t>Base Length This Mark</x:t>
  </x:si>
  <x:si>
    <x:t>Lookup JDS Data Area - looks up mark number from colum BB in the tblJoistData tab and displays JDS info so "User Input" can compare information that can be changed by the detailer with the original JDS data</x:t>
  </x:si>
  <x:si>
    <x:t>Lookup JDS Data Area - looks up mark number from colum CC in the tblGirderData tab and displays JDS info so "User Input" can compare information that can be changed by the detailer with the original JDS data</x:t>
  </x:si>
  <x:si>
    <x:t>TC
Left</x:t>
  </x:si>
  <x:si>
    <x:t>TC
Right</x:t>
  </x:si>
  <x:si>
    <x:t>+/- to calc OL</x:t>
  </x:si>
  <x:si>
    <x:t>Checker BOM:</x:t>
  </x:si>
  <x:si>
    <x:t>Location
#1</x:t>
  </x:si>
  <x:si>
    <x:t>Location
#2</x:t>
  </x:si>
  <x:si>
    <x:t>Location
#3</x:t>
  </x:si>
  <x:si>
    <x:t>Location
#4</x:t>
  </x:si>
  <x:si>
    <x:t>2nd page controls</x:t>
  </x:si>
  <x:si>
    <x:t>0 if clear</x:t>
  </x:si>
  <x:si>
    <x:t>Mark</x:t>
  </x:si>
  <x:si>
    <x:t>Ft/"P"</x:t>
  </x:si>
  <x:si>
    <x:t>SP Seat Gage</x:t>
  </x:si>
  <x:si>
    <x:t>SP BCX Type</x:t>
  </x:si>
  <x:si>
    <x:t>TC Left Override</x:t>
  </x:si>
  <x:si>
    <x:t>TC Right Override</x:t>
  </x:si>
  <x:si>
    <x:t>User Input Area - Page 1</x:t>
  </x:si>
  <x:si>
    <x:t>User Input Area - Page 2</x:t>
  </x:si>
  <x:si>
    <x:t>Joist Spacing on Girder TC
(Plan Dimensions)</x:t>
  </x:si>
  <x:si>
    <x:t>Girder TC Holes</x:t>
  </x:si>
  <x:si>
    <x:t>Rem. BL on Slope</x:t>
  </x:si>
  <x:si>
    <x:t>Base Length - Rounded Spacing = "B"</x:t>
  </x:si>
  <x:si>
    <x:t>"A" from BL (no rounding adjustment)</x:t>
  </x:si>
  <x:si>
    <x:t>"A" from BL w/ Rounding Adjustment (BOM)</x:t>
  </x:si>
  <x:si>
    <x:t>"B" from BL w/ Rounding Adjustment (BOM)</x:t>
  </x:si>
  <x:si>
    <x:t>Rounding Error/2</x:t>
  </x:si>
  <x:si>
    <x:t>Kick</x:t>
  </x:si>
  <x:si>
    <x:t>OL</x:t>
  </x:si>
  <x:si>
    <x:t>Minimum Seat Slope =</x:t>
  </x:si>
  <x:si>
    <x:t>Minimum BC Kick =</x:t>
  </x:si>
  <x:si>
    <x:t>Minimum OL adjustment =</x:t>
  </x:si>
  <x:si>
    <x:t>Maximum Seat Gap =</x:t>
  </x:si>
  <x:si>
    <x:t>Support Width L</x:t>
  </x:si>
  <x:si>
    <x:t>Support Width R</x:t>
  </x:si>
  <x:si>
    <x:t>For Calculating Seat Gap on Sloping Joists w/o Sloping Seats</x:t>
  </x:si>
  <x:si>
    <x:t>Net Uplift=</x:t>
  </x:si>
  <x:si>
    <x:t>HW</x:t>
  </x:si>
  <x:si>
    <x:t>KB</x:t>
  </x:si>
  <x:si>
    <x:t>Type</x:t>
  </x:si>
  <x:si>
    <x:t>Mem A</x:t>
  </x:si>
  <x:si>
    <x:t>Dep A</x:t>
  </x:si>
  <x:si>
    <x:t>MemB</x:t>
  </x:si>
  <x:si>
    <x:t>DepB</x:t>
  </x:si>
  <x:si>
    <x:t>HWB</x:t>
  </x:si>
  <x:si>
    <x:t>HB</x:t>
  </x:si>
  <x:si>
    <x:t>BC1</x:t>
  </x:si>
  <x:si>
    <x:t>BC2</x:t>
  </x:si>
  <x:si>
    <x:t>BC3</x:t>
  </x:si>
  <x:si>
    <x:t>BC4</x:t>
  </x:si>
  <x:si>
    <x:t>BC5</x:t>
  </x:si>
  <x:si>
    <x:t>BC6</x:t>
  </x:si>
  <x:si>
    <x:t>MATERIAL</x:t>
  </x:si>
  <x:si>
    <x:t>BRIDGING TYPE</x:t>
  </x:si>
  <x:si>
    <x:t>MEMBER "B"</x:t>
  </x:si>
  <x:si>
    <x:t xml:space="preserve">NOTES
</x:t>
  </x:si>
  <x:si>
    <x:t>Clip</x:t>
  </x:si>
  <x:si>
    <x:t>Paint=</x:t>
  </x:si>
  <x:si>
    <x:t>Suggested Brg Slope based on Joist Slope and Support Skew</x:t>
  </x:si>
  <x:si>
    <x:t>8200 Woolery Way | Fallon, NV 89406 | www.newmill.com</x:t>
  </x:si>
  <x:si>
    <x:t>BC Mat'l</x:t>
  </x:si>
  <x:si>
    <x:t>BCXL Kick</x:t>
  </x:si>
  <x:si>
    <x:t>BCXR Kick</x:t>
  </x:si>
  <x:si>
    <x:t>BC Size
(Lo Kick)</x:t>
  </x:si>
  <x:si>
    <x:t>:Release Code</x:t>
  </x:si>
  <x:si>
    <x:t>:Release Counter (col "W")</x:t>
  </x:si>
  <x:si>
    <x:t>:Released for Fab?</x:t>
  </x:si>
  <x:si>
    <x:t>:Can this PR be Deleted?</x:t>
  </x:si>
  <x:si>
    <x:t>6248 Edgemere Blvd, PO Box 107 | El Paso, TX 79925 | www.newmill.com</x:t>
  </x:si>
  <x:si>
    <x:t>870-722-4245</x:t>
  </x:si>
  <x:si>
    <x:t>915-298-5050</x:t>
  </x:si>
  <x:si>
    <x:t>915-298-4040</x:t>
  </x:si>
  <x:si>
    <x:t>870-722-4262</x:t>
  </x:si>
  <x:si>
    <x:t>870-722-4292</x:t>
  </x:si>
  <x:si>
    <x:t>775-867-2140</x:t>
  </x:si>
  <x:si>
    <x:t>775-867-2060</x:t>
  </x:si>
  <x:si>
    <x:t>&lt; &gt;</x:t>
  </x:si>
  <x:si>
    <x:t>Version:</x:t>
  </x:si>
  <x:si>
    <x:t>L-OAL</x:t>
  </x:si>
  <x:si>
    <x:t>L-PTP</x:t>
  </x:si>
  <x:si>
    <x:t>R-OAL</x:t>
  </x:si>
  <x:si>
    <x:t>R-PTP</x:t>
  </x:si>
  <x:si>
    <x:t>L-BL</x:t>
  </x:si>
  <x:si>
    <x:t>R-BL</x:t>
  </x:si>
  <x:si>
    <x:t>BA1</x:t>
  </x:si>
  <x:si>
    <x:t>BA2</x:t>
  </x:si>
  <x:si>
    <x:t>BA Detailed?</x:t>
  </x:si>
  <x:si>
    <x:t>Bay Dimension</x:t>
  </x:si>
  <x:si>
    <x:t>Ft</x:t>
  </x:si>
  <x:si>
    <x:t>In</x:t>
  </x:si>
  <x:si>
    <x:t>TC
Slope</x:t>
  </x:si>
  <x:si>
    <x:t>JDS OAL</x:t>
  </x:si>
  <x:si>
    <x:t>P2P OAL</x:t>
  </x:si>
  <x:si>
    <x:t>Difference</x:t>
  </x:si>
  <x:si>
    <x:t>&lt;AutoCalc</x:t>
  </x:si>
  <x:si>
    <x:t>PTP&gt;</x:t>
  </x:si>
  <x:si>
    <x:t>&lt;PTP</x:t>
  </x:si>
  <x:si>
    <x:t>JDS Data&gt;</x:t>
  </x:si>
  <x:si>
    <x:t>AutoCalc&gt;</x:t>
  </x:si>
  <x:si>
    <x:t>vAutoCalc</x:t>
  </x:si>
  <x:si>
    <x:t>^AutoCalc</x:t>
  </x:si>
  <x:si>
    <x:t>Valid.&gt;</x:t>
  </x:si>
  <x:si>
    <x:t>&lt;Valid.</x:t>
  </x:si>
  <x:si>
    <x:t>&lt;Valid</x:t>
  </x:si>
  <x:si>
    <x:t>Vaild.&gt;</x:t>
  </x:si>
  <x:si>
    <x:t>&lt;Vaild.</x:t>
  </x:si>
  <x:si>
    <x:t>XW</x:t>
  </x:si>
  <x:si>
    <x:t>XWB</x:t>
  </x:si>
  <x:si>
    <x:t>XB</x:t>
  </x:si>
  <x:si>
    <x:t>User Input&gt;</x:t>
  </x:si>
  <x:si>
    <x:t>&lt;User Input</x:t>
  </x:si>
  <x:si>
    <x:t>TY</x:t>
  </x:si>
  <x:si>
    <x:t>Joist TCX Code</x:t>
  </x:si>
  <x:si>
    <x:t>Girder TCX Code</x:t>
  </x:si>
  <x:si>
    <x:t>GDR
GA.</x:t>
  </x:si>
  <x:si>
    <x:t>HOLE
X/16</x:t>
  </x:si>
  <x:si>
    <x:t>GIRDER T.C. HOLES</x:t>
  </x:si>
  <x:si>
    <x:t>OSHA
N,F,B</x:t>
  </x:si>
  <x:si>
    <x:t>L.E.</x:t>
  </x:si>
  <x:si>
    <x:t>R.E.</x:t>
  </x:si>
  <x:si>
    <x:t>LOAD CASE</x:t>
  </x:si>
  <x:si>
    <x:t>LC2</x:t>
  </x:si>
  <x:si>
    <x:t>LC3</x:t>
  </x:si>
  <x:si>
    <x:t>LC4</x:t>
  </x:si>
  <x:si>
    <x:t>LC5</x:t>
  </x:si>
  <x:si>
    <x:t>&lt;Vlaid.</x:t>
  </x:si>
  <x:si>
    <x:t>Add-in Location:</x:t>
  </x:si>
  <x:si>
    <x:t>LL (CLL)</x:t>
  </x:si>
  <x:si>
    <x:t>CDL</x:t>
  </x:si>
  <x:si>
    <x:t>80DLH15</x:t>
  </x:si>
  <x:si>
    <x:t>80DLH16</x:t>
  </x:si>
  <x:si>
    <x:t>80DLH17</x:t>
  </x:si>
  <x:si>
    <x:t>80DLH18</x:t>
  </x:si>
  <x:si>
    <x:t>80DLH19</x:t>
  </x:si>
  <x:si>
    <x:t>80DLH20</x:t>
  </x:si>
  <x:si>
    <x:t>88DLH16</x:t>
  </x:si>
  <x:si>
    <x:t>88DLH17</x:t>
  </x:si>
  <x:si>
    <x:t>88DLH18</x:t>
  </x:si>
  <x:si>
    <x:t>88DLH19</x:t>
  </x:si>
  <x:si>
    <x:t>88DLH20</x:t>
  </x:si>
  <x:si>
    <x:t>88DLH21</x:t>
  </x:si>
  <x:si>
    <x:t>96DLH17</x:t>
  </x:si>
  <x:si>
    <x:t>96DLH18</x:t>
  </x:si>
  <x:si>
    <x:t>96DLH19</x:t>
  </x:si>
  <x:si>
    <x:t>96DLH20</x:t>
  </x:si>
  <x:si>
    <x:t>96DLH21</x:t>
  </x:si>
  <x:si>
    <x:t>96DLH22</x:t>
  </x:si>
  <x:si>
    <x:t>104DLH18</x:t>
  </x:si>
  <x:si>
    <x:t>104DLH19</x:t>
  </x:si>
  <x:si>
    <x:t>104DLH20</x:t>
  </x:si>
  <x:si>
    <x:t>104DLH21</x:t>
  </x:si>
  <x:si>
    <x:t>104DLH22</x:t>
  </x:si>
  <x:si>
    <x:t>104DLH23</x:t>
  </x:si>
  <x:si>
    <x:t>112DLH19</x:t>
  </x:si>
  <x:si>
    <x:t>112DLH20</x:t>
  </x:si>
  <x:si>
    <x:t>112DLH21</x:t>
  </x:si>
  <x:si>
    <x:t>112DLH22</x:t>
  </x:si>
  <x:si>
    <x:t>112DLH23</x:t>
  </x:si>
  <x:si>
    <x:t>112DLH24</x:t>
  </x:si>
  <x:si>
    <x:t>120DLH20</x:t>
  </x:si>
  <x:si>
    <x:t>120DLH21</x:t>
  </x:si>
  <x:si>
    <x:t>120DLH22</x:t>
  </x:si>
  <x:si>
    <x:t>120DLH23</x:t>
  </x:si>
  <x:si>
    <x:t>120DLH24</x:t>
  </x:si>
  <x:si>
    <x:t>120DLH25</x:t>
  </x:si>
  <x:si>
    <x:t>Min. Clear Bearing</x:t>
  </x:si>
  <x:si>
    <x:t>Max BL Offset</x:t>
  </x:si>
  <x:si>
    <x:t>BCX "X"</x:t>
  </x:si>
  <x:si>
    <x:t>White?</x:t>
  </x:si>
  <x:si>
    <x:t>Girder Mark</x:t>
  </x:si>
  <x:si>
    <x:t>Brg Slope (X"/Ft.)</x:t>
  </x:si>
  <x:si>
    <x:t>Print PTP:</x:t>
  </x:si>
  <x:si>
    <x:t>Large Format Printing:</x:t>
  </x:si>
  <x:si>
    <x:t>Brg Slope
(X"/Ft.)</x:t>
  </x:si>
  <x:si>
    <x:t>B Excl.</x:t>
  </x:si>
  <x:si>
    <x:t>A12</x:t>
  </x:si>
  <x:si>
    <x:t>A14</x:t>
  </x:si>
  <x:si>
    <x:t>Bolted Types</x:t>
  </x:si>
  <x:si>
    <x:t>Expanded Margins:</x:t>
  </x:si>
  <x:si>
    <x:t>Default BL Over-ride</x:t>
  </x:si>
  <x:si>
    <x:t>New</x:t>
  </x:si>
  <x:si>
    <x:t>Old</x:t>
  </x:si>
  <x:si>
    <x:r>
      <x:t>Comments:</x:t>
    </x:r>
    <x:r>
      <x:rPr>
        <x:sz val="8"/>
        <x:rFont val="Arial"/>
        <x:family val="2"/>
      </x:rPr>
      <x:t xml:space="preserve"> (&lt;alt&gt; + &lt;enter&gt; to start new line.)</x:t>
    </x:r>
  </x:si>
  <x:si>
    <x:t>Support Width
Min. / Max.</x:t>
  </x:si>
  <x:si>
    <x:t>Joist TC Slope (X"/Ft.)</x:t>
  </x:si>
  <x:si>
    <x:t>B.L. Over-ride</x:t>
  </x:si>
  <x:si>
    <x:t>Girder TC Slope (X"/Ft.)</x:t>
  </x:si>
  <x:si>
    <x:t>02</x:t>
  </x:si>
  <x:si>
    <x:t>2</x:t>
  </x:si>
  <x:si>
    <x:t>100 Diuguids Lane | Salem, VA 24153 | www.newmill.com</x:t>
  </x:si>
  <x:si>
    <x:t>A12A</x:t>
  </x:si>
  <x:si>
    <x:t>A12B</x:t>
  </x:si>
  <x:si>
    <x:t>A13A</x:t>
  </x:si>
  <x:si>
    <x:t>A14A</x:t>
  </x:si>
  <x:si>
    <x:t>A14B</x:t>
  </x:si>
  <x:si>
    <x:t>1010</x:t>
  </x:si>
  <x:si>
    <x:t>1011</x:t>
  </x:si>
  <x:si>
    <x:t>1012</x:t>
  </x:si>
  <x:si>
    <x:t>1018</x:t>
  </x:si>
  <x:si>
    <x:t>Mat'ls</x:t>
  </x:si>
  <x:si>
    <x:t>A16A</x:t>
  </x:si>
  <x:si>
    <x:t>A16B</x:t>
  </x:si>
  <x:si>
    <x:t>A18A</x:t>
  </x:si>
  <x:si>
    <x:t>A18B</x:t>
  </x:si>
  <x:si>
    <x:t>A20A</x:t>
  </x:si>
  <x:si>
    <x:t>A20B</x:t>
  </x:si>
  <x:si>
    <x:t>A22A</x:t>
  </x:si>
  <x:si>
    <x:t>A22B</x:t>
  </x:si>
  <x:si>
    <x:t>A24A</x:t>
  </x:si>
  <x:si>
    <x:t>A24B</x:t>
  </x:si>
  <x:si>
    <x:t>A26A</x:t>
  </x:si>
  <x:si>
    <x:t>A26B</x:t>
  </x:si>
  <x:si>
    <x:t>A28A</x:t>
  </x:si>
  <x:si>
    <x:t>A28B</x:t>
  </x:si>
  <x:si>
    <x:t>A30A</x:t>
  </x:si>
  <x:si>
    <x:t>A30B</x:t>
  </x:si>
  <x:si>
    <x:t>A32A</x:t>
  </x:si>
  <x:si>
    <x:t>A32B</x:t>
  </x:si>
  <x:si>
    <x:t>A33A</x:t>
  </x:si>
  <x:si>
    <x:t>A34A</x:t>
  </x:si>
  <x:si>
    <x:t>A35A</x:t>
  </x:si>
  <x:si>
    <x:t>A36A</x:t>
  </x:si>
  <x:si>
    <x:t>A36B</x:t>
  </x:si>
  <x:si>
    <x:t>A37A</x:t>
  </x:si>
  <x:si>
    <x:t>A38A</x:t>
  </x:si>
  <x:si>
    <x:t>A38B</x:t>
  </x:si>
  <x:si>
    <x:t>A39A</x:t>
  </x:si>
  <x:si>
    <x:t>A39B</x:t>
  </x:si>
  <x:si>
    <x:t>A40A</x:t>
  </x:si>
  <x:si>
    <x:t>A40B</x:t>
  </x:si>
  <x:si>
    <x:t>A41A</x:t>
  </x:si>
  <x:si>
    <x:t>A42A</x:t>
  </x:si>
  <x:si>
    <x:t>A42B</x:t>
  </x:si>
  <x:si>
    <x:t>A43A</x:t>
  </x:si>
  <x:si>
    <x:t>A44A</x:t>
  </x:si>
  <x:si>
    <x:t>A44B</x:t>
  </x:si>
  <x:si>
    <x:t>A46A</x:t>
  </x:si>
  <x:si>
    <x:t>A48A</x:t>
  </x:si>
  <x:si>
    <x:t>A50A</x:t>
  </x:si>
  <x:si>
    <x:t>A51A</x:t>
  </x:si>
  <x:si>
    <x:t>A70A</x:t>
  </x:si>
  <x:si>
    <x:t>A71A</x:t>
  </x:si>
  <x:si>
    <x:t>A72A</x:t>
  </x:si>
  <x:si>
    <x:t>A73A</x:t>
  </x:si>
  <x:si>
    <x:t>A97A</x:t>
  </x:si>
  <x:si>
    <x:t>A98A</x:t>
  </x:si>
  <x:si>
    <x:t>A99A</x:t>
  </x:si>
  <x:si>
    <x:t>1210</x:t>
  </x:si>
  <x:si>
    <x:t>1211</x:t>
  </x:si>
  <x:si>
    <x:t>1212</x:t>
  </x:si>
  <x:si>
    <x:t>1218</x:t>
  </x:si>
  <x:si>
    <x:t>1510</x:t>
  </x:si>
  <x:si>
    <x:t>1511</x:t>
  </x:si>
  <x:si>
    <x:t>1512</x:t>
  </x:si>
  <x:si>
    <x:t>1513</x:t>
  </x:si>
  <x:si>
    <x:t>1514</x:t>
  </x:si>
  <x:si>
    <x:t>1515</x:t>
  </x:si>
  <x:si>
    <x:t>1517</x:t>
  </x:si>
  <x:si>
    <x:t>1518</x:t>
  </x:si>
  <x:si>
    <x:t>1525</x:t>
  </x:si>
  <x:si>
    <x:t>1711</x:t>
  </x:si>
  <x:si>
    <x:t>1712</x:t>
  </x:si>
  <x:si>
    <x:t>1714</x:t>
  </x:si>
  <x:si>
    <x:t>1715</x:t>
  </x:si>
  <x:si>
    <x:t>1717</x:t>
  </x:si>
  <x:si>
    <x:t>1718</x:t>
  </x:si>
  <x:si>
    <x:t>1725</x:t>
  </x:si>
  <x:si>
    <x:t>2012</x:t>
  </x:si>
  <x:si>
    <x:t>2014</x:t>
  </x:si>
  <x:si>
    <x:t>2015</x:t>
  </x:si>
  <x:si>
    <x:t>2016</x:t>
  </x:si>
  <x:si>
    <x:t>2017</x:t>
  </x:si>
  <x:si>
    <x:t>2018</x:t>
  </x:si>
  <x:si>
    <x:t>2020</x:t>
  </x:si>
  <x:si>
    <x:t>2021</x:t>
  </x:si>
  <x:si>
    <x:t>2023</x:t>
  </x:si>
  <x:si>
    <x:t>2024</x:t>
  </x:si>
  <x:si>
    <x:t>2025</x:t>
  </x:si>
  <x:si>
    <x:t>2028</x:t>
  </x:si>
  <x:si>
    <x:t>2031</x:t>
  </x:si>
  <x:si>
    <x:t>2518</x:t>
  </x:si>
  <x:si>
    <x:t>2521</x:t>
  </x:si>
  <x:si>
    <x:t>2523</x:t>
  </x:si>
  <x:si>
    <x:t>2525</x:t>
  </x:si>
  <x:si>
    <x:t>2528</x:t>
  </x:si>
  <x:si>
    <x:t>2531</x:t>
  </x:si>
  <x:si>
    <x:t>3018</x:t>
  </x:si>
  <x:si>
    <x:t>3022</x:t>
  </x:si>
  <x:si>
    <x:t>3025</x:t>
  </x:si>
  <x:si>
    <x:t>3028</x:t>
  </x:si>
  <x:si>
    <x:t>3029</x:t>
  </x:si>
  <x:si>
    <x:t>3031</x:t>
  </x:si>
  <x:si>
    <x:t>3037</x:t>
  </x:si>
  <x:si>
    <x:t>3528</x:t>
  </x:si>
  <x:si>
    <x:t>3531</x:t>
  </x:si>
  <x:si>
    <x:t>3534</x:t>
  </x:si>
  <x:si>
    <x:t>3537</x:t>
  </x:si>
  <x:si>
    <x:t>4025</x:t>
  </x:si>
  <x:si>
    <x:t>4031</x:t>
  </x:si>
  <x:si>
    <x:t>4034</x:t>
  </x:si>
  <x:si>
    <x:t>4037</x:t>
  </x:si>
  <x:si>
    <x:t>4043</x:t>
  </x:si>
  <x:si>
    <x:t>4050</x:t>
  </x:si>
  <x:si>
    <x:t>5043</x:t>
  </x:si>
  <x:si>
    <x:t>5050</x:t>
  </x:si>
  <x:si>
    <x:t>6043</x:t>
  </x:si>
  <x:si>
    <x:t>6050</x:t>
  </x:si>
  <x:si>
    <x:t>6056</x:t>
  </x:si>
  <x:si>
    <x:t>6062</x:t>
  </x:si>
  <x:si>
    <x:t>6075</x:t>
  </x:si>
  <x:si>
    <x:t>6010</x:t>
  </x:si>
  <x:si>
    <x:t>8050</x:t>
  </x:si>
  <x:si>
    <x:t>8062</x:t>
  </x:si>
  <x:si>
    <x:t>8075</x:t>
  </x:si>
  <x:si>
    <x:t>8010</x:t>
  </x:si>
  <x:si>
    <x:t>8011</x:t>
  </x:si>
  <x:si>
    <x:t>1001</x:t>
  </x:si>
  <x:si>
    <x:t>1002</x:t>
  </x:si>
  <x:si>
    <x:t>^^^^^</x:t>
  </x:si>
  <x:si>
    <x:t># of KB
per Gird.</x:t>
  </x:si>
  <x:si>
    <x:t># KB Req'd</x:t>
  </x:si>
  <x:si>
    <x:t>Calc skews on masonry supports</x:t>
  </x:si>
  <x:si>
    <x:t>Mas Skew</x:t>
  </x:si>
  <x:si>
    <x:t>W2 Width</x:t>
  </x:si>
  <x:si>
    <x:t>8</x:t>
  </x:si>
  <x:si>
    <x:t>9</x:t>
  </x:si>
  <x:si>
    <x:t>21739 Road E-16 | Continental, OH 45831 | www.newmill.com</x:t>
  </x:si>
  <x:si>
    <x:t>Input Required</x:t>
  </x:si>
  <x:si>
    <x:t>Addn'l Joist Location / P#xx validation</x:t>
  </x:si>
  <x:si>
    <x:t>"True" if error, False if no error</x:t>
  </x:si>
  <x:si>
    <x:t>AR/AS</x:t>
  </x:si>
  <x:si>
    <x:t>AV/AW</x:t>
  </x:si>
  <x:si>
    <x:t>AZ/BA</x:t>
  </x:si>
  <x:si>
    <x:t>BD/BE</x:t>
  </x:si>
  <x:si>
    <x:t>A or B
&lt; Dep/1.15</x:t>
  </x:si>
  <x:si>
    <x:t>Template Version:</x:t>
  </x:si>
  <x:si>
    <x:t>Build:</x:t>
  </x:si>
  <x:si>
    <x:t>Template Date:</x:t>
  </x:si>
  <x:si>
    <x:t>Ft-In</x:t>
  </x:si>
  <x:si>
    <x:t>1992 NW Bascom Norris Drive | Lake City, FL 32055 | www.newmill.com</x:t>
  </x:si>
  <x:si>
    <x:t>3565 Highway 32 N | Hope, AR 71801 | www.newmill.com</x:t>
  </x:si>
  <x:si>
    <x:t>775-428-0600</x:t>
  </x:si>
  <x:si>
    <x:t>775-867-2169</x:t>
  </x:si>
  <x:si>
    <x:t>870-722-4100</x:t>
  </x:si>
  <x:si>
    <x:t>Code</x:t>
  </x:si>
  <x:si>
    <x:t>Auto-Fill Note</x:t>
  </x:si>
  <x:si>
    <x:t>SP</x:t>
  </x:si>
  <x:si>
    <x:t>DP</x:t>
  </x:si>
  <x:si>
    <x:t>TP</x:t>
  </x:si>
  <x:si>
    <x:t>Validation List</x:t>
  </x:si>
  <x:si>
    <x:t>Min Thickness of TC = 0.xxx"</x:t>
  </x:si>
  <x:si>
    <x:t>Min Thickness of BC = 0.xxx"</x:t>
  </x:si>
  <x:si>
    <x:t>Add Self-Weight to Design</x:t>
  </x:si>
  <x:si>
    <x:t>ESFR</x:t>
  </x:si>
  <x:si>
    <x:t>Note #</x:t>
  </x:si>
  <x:si>
    <x:t>TCXSup</x:t>
  </x:si>
  <x:si>
    <x:t>StgSlt</x:t>
  </x:si>
  <x:si>
    <x:t>SpSlt</x:t>
  </x:si>
  <x:si>
    <x:t>TCThk</x:t>
  </x:si>
  <x:si>
    <x:t>BCThk</x:t>
  </x:si>
  <x:si>
    <x:t>BPThk</x:t>
  </x:si>
  <x:si>
    <x:t>TCXMax</x:t>
  </x:si>
  <x:si>
    <x:t>BCBrg</x:t>
  </x:si>
  <x:si>
    <x:t>BClip</x:t>
  </x:si>
  <x:si>
    <x:t>BC7</x:t>
  </x:si>
  <x:si>
    <x:t>BC8</x:t>
  </x:si>
  <x:si>
    <x:t>(PLF - UNO)</x:t>
  </x:si>
  <x:si>
    <x:t>DefLL</x:t>
  </x:si>
  <x:si>
    <x:t>DefTL</x:t>
  </x:si>
  <x:si>
    <x:t>DefTCX</x:t>
  </x:si>
  <x:si>
    <x:t>DefSP</x:t>
  </x:si>
  <x:si>
    <x:t>##º Half(Full)-Skew, NS(FS), LE(RE)</x:t>
  </x:si>
  <x:si>
    <x:t>AC</x:t>
  </x:si>
  <x:si>
    <x:t>BW</x:t>
  </x:si>
  <x:si>
    <x:t>SC</x:t>
  </x:si>
  <x:si>
    <x:t>HS</x:t>
  </x:si>
  <x:si>
    <x:t>VS</x:t>
  </x:si>
  <x:si>
    <x:t>MS</x:t>
  </x:si>
  <x:si>
    <x:t>SSR</x:t>
  </x:si>
  <x:si>
    <x:t>##" Dia (##"H x ##"W) Duct @ #'-# from L-OAL</x:t>
  </x:si>
  <x:si>
    <x:t>#"Dia Pipes, 8" Below Top/Jst, 15" Horiz Clearance @ ##'-#,  ##'-# &amp;  ##'-# from L-OAL</x:t>
  </x:si>
  <x:si>
    <x:t>AddSlt</x:t>
  </x:si>
  <x:si>
    <x:t>ClrBrg</x:t>
  </x:si>
  <x:si>
    <x:t>Min Clear Bearing = #" @ LE(RE)(BE)</x:t>
  </x:si>
  <x:si>
    <x:t>Horiz Field Splice: See Detail on J1.xx</x:t>
  </x:si>
  <x:si>
    <x:t>Vert Field Splice: Type xx, Near Midspan</x:t>
  </x:si>
  <x:si>
    <x:t>Multiple Vert Field Splices: Type xx</x:t>
  </x:si>
  <x:si>
    <x:t>Standing Seam Roof: TC Lateral Support @ ##" Max.</x:t>
  </x:si>
  <x:si>
    <x:t>JS/HDR</x:t>
  </x:si>
  <x:si>
    <x:t>SpChd</x:t>
  </x:si>
  <x:si>
    <x:t>SpWeb</x:t>
  </x:si>
  <x:si>
    <x:t>##"^2 Min Chord Area</x:t>
  </x:si>
  <x:si>
    <x:t>##"^2 Min Web Area</x:t>
  </x:si>
  <x:si>
    <x:t>Domestic Steel Required (ARRA)</x:t>
  </x:si>
  <x:si>
    <x:t>LRFD</x:t>
  </x:si>
  <x:si>
    <x:t>**LRFD**   **LRFD**   **LRFD**</x:t>
  </x:si>
  <x:si>
    <x:t>L. Brg Width
(WF HALF-WIDTH)</x:t>
  </x:si>
  <x:si>
    <x:t>R. Brg Width
(WF HALF-WIDTH)</x:t>
  </x:si>
  <x:si>
    <x:t>Support Type "M" - Masonry W/ Shelf ∡</x:t>
  </x:si>
  <x:si>
    <x:t>P</x:t>
  </x:si>
  <x:si>
    <x:t>vValidation</x:t>
  </x:si>
  <x:si>
    <x:t>^Validation</x:t>
  </x:si>
  <x:si>
    <x:t>Seat Depth Over-ride</x:t>
  </x:si>
  <x:si>
    <x:t>SHAPES</x:t>
  </x:si>
  <x:si>
    <x:t>Single Pitch: (Ctr Depth=Designation) ##" Depth @ LBL, ##" Depth @ RBL</x:t>
  </x:si>
  <x:si>
    <x:t>Double Pitch: Ridge @ ##’-## From LBL (Depth=Designation), ##" Depth @ LBL, ##" Depth @ RBL</x:t>
  </x:si>
  <x:si>
    <x:t>Triple Pitch: Ridge Left @ ##’-## From LBL (Depth=Designation), ##" Depth @ LBL, ##" Depth @ RBL, Ridge Right @ ##'-## From LBL</x:t>
  </x:si>
  <x:si>
    <x:t>Arched Chords: (Depth=Designation) ##" TC Radius</x:t>
  </x:si>
  <x:si>
    <x:t>Bowstring: Ridge @ ##’-## From LBL (Depth=Designation), ##" Depth @ LBL, ##" TC Radius</x:t>
  </x:si>
  <x:si>
    <x:t>DEFLECTION</x:t>
  </x:si>
  <x:si>
    <x:t>LL Deflection = L/###|Deflection=L/### Due To ### PLF LL|LL Deflection=L/### (LL/TL Ratio = ##%)</x:t>
  </x:si>
  <x:si>
    <x:t>TL Deflection = L/###, Ck Std Camber Satisfies DL Def</x:t>
  </x:si>
  <x:si>
    <x:t>Special Deflection = ##" Max Due To ### PLF LL|DL|TL</x:t>
  </x:si>
  <x:si>
    <x:t>TCXL|TCXR Deflection = ##" Max Due To ### PLF LL|DL|TL</x:t>
  </x:si>
  <x:si>
    <x:t>BEARING SEATS</x:t>
  </x:si>
  <x:si>
    <x:t>Max Depth of TCXL|TCXR = ##"</x:t>
  </x:si>
  <x:si>
    <x:t>NoRein</x:t>
  </x:si>
  <x:si>
    <x:t>Rein</x:t>
  </x:si>
  <x:si>
    <x:t>Tie Pl Provided for Load Transfer, No Rein Req’d</x:t>
  </x:si>
  <x:si>
    <x:t>KnifePL</x:t>
  </x:si>
  <x:si>
    <x:t>KickLd</x:t>
  </x:si>
  <x:si>
    <x:t>Knife Pl Provided for Load Transfer, TC/Seat Gap Clear for 1st ##” @ LE|RE|BE</x:t>
  </x:si>
  <x:si>
    <x:t>Axial Load Due To Kicker, No Rein Req’d</x:t>
  </x:si>
  <x:si>
    <x:t>Roll</x:t>
  </x:si>
  <x:si>
    <x:t>Seat Rollover Force = ##Kips @ LE|RE|BE</x:t>
  </x:si>
  <x:si>
    <x:t>Bottom Chord Bearing @ LE|RE|BE</x:t>
  </x:si>
  <x:si>
    <x:t>Stagger Seat Slots LE|RE: ##" NS, ##" FS</x:t>
  </x:si>
  <x:si>
    <x:t>Special Seat Slots: #"x#" Slots, Ga=#" @ LE|RE|BE</x:t>
  </x:si>
  <x:si>
    <x:t>Addn'l Seat Slots @ #" from L-OAL|R-OAL</x:t>
  </x:si>
  <x:si>
    <x:t>Min Thickness of Base Plate = 0.xxx" @ LE|RE|BE</x:t>
  </x:si>
  <x:si>
    <x:t>MaxWidth</x:t>
  </x:si>
  <x:si>
    <x:t>Max Width of TC &amp; Base Plate|BC for 1st ##” @ LE|RE|BE</x:t>
  </x:si>
  <x:si>
    <x:t>MISCELLANEOUS</x:t>
  </x:si>
  <x:si>
    <x:t>DomStl</x:t>
  </x:si>
  <x:si>
    <x:t>Camber = #"|Camber for DL|50% Std Camber|No Camber</x:t>
  </x:si>
  <x:si>
    <x:t>Bridging Clip(s) Required per Plan</x:t>
  </x:si>
  <x:si>
    <x:t>SpConn</x:t>
  </x:si>
  <x:si>
    <x:t>Special Connection @ (location), See Section ##</x:t>
  </x:si>
  <x:si>
    <x:t>GENERAL</x:t>
  </x:si>
  <x:si>
    <x:t>Special Note Here (special condition not matching pre-defined codes)</x:t>
  </x:si>
  <x:si>
    <x:t>Backup</x:t>
  </x:si>
  <x:si>
    <x:t>End of Girder
Over-ride</x:t>
  </x:si>
  <x:si>
    <x:t>End of Joist
Over-ride</x:t>
  </x:si>
  <x:si>
    <x:t>Overspan Check</x:t>
  </x:si>
  <x:si>
    <x:t>I think this is obsolete….</x:t>
  </x:si>
  <x:si>
    <x:t>Valid Panel Layout</x:t>
  </x:si>
  <x:si>
    <x:t>Panel Layout (B/N/F)</x:t>
  </x:si>
  <x:si>
    <x:t>Std TC Gage</x:t>
  </x:si>
  <x:si>
    <x:t>TC Gap</x:t>
  </x:si>
  <x:si>
    <x:t>Sect</x:t>
  </x:si>
  <x:si>
    <x:t>Sup</x:t>
  </x:si>
  <x:si>
    <x:t>E/J-Ft</x:t>
  </x:si>
  <x:si>
    <x:t>E/J-In</x:t>
  </x:si>
  <x:si>
    <x:t>TCX Ty</x:t>
  </x:si>
  <x:si>
    <x:t>Ga</x:t>
  </x:si>
  <x:si>
    <x:t>BCX Ty</x:t>
  </x:si>
  <x:si>
    <x:t>Flg/TC Gage
Min. / Max.</x:t>
  </x:si>
  <x:si>
    <x:t>Scissor: Ridge @ ##’-## From LBL (Vert Depth=Designation), BC Rise ##” @ Ridge From LBL, ##" Vert Depth @ LBL, ##" Vert Depth @ RBL, ##" BC Elev difference @ RBL</x:t>
  </x:si>
  <x:si>
    <x:t>ShrtBrg</x:t>
  </x:si>
  <x:si>
    <x:t>Short Bearing = #” @ LE|RE|BE</x:t>
  </x:si>
  <x:si>
    <x:t>TCXL|TCXR Supported @ End</x:t>
  </x:si>
  <x:si>
    <x:t>Reinforce Seats @ LE|RE|BE for Axial Load Transfer</x:t>
  </x:si>
  <x:si>
    <x:t>Skew</x:t>
  </x:si>
  <x:si>
    <x:t>Camb</x:t>
  </x:si>
  <x:si>
    <x:t>Duct</x:t>
  </x:si>
  <x:si>
    <x:t>Self</x:t>
  </x:si>
  <x:si>
    <x:t>RndShrtSlt</x:t>
  </x:si>
  <x:si>
    <x:t>#/#" Round Holes|#/#”x1” Slots, Ga=#” @ LE|RE|BE</x:t>
  </x:si>
  <x:si>
    <x:t>ChdWdth</x:t>
  </x:si>
  <x:si>
    <x:t>Min|Max Width of TC|BC = ##”</x:t>
  </x:si>
  <x:si>
    <x:t>Vier</x:t>
  </x:si>
  <x:si>
    <x:t>AlignPnls</x:t>
  </x:si>
  <x:si>
    <x:t>SpBund</x:t>
  </x:si>
  <x:si>
    <x:t>BIM</x:t>
  </x:si>
  <x:si>
    <x:t>Calcs</x:t>
  </x:si>
  <x:si>
    <x:t>Prof</x:t>
  </x:si>
  <x:si>
    <x:t>UnDef</x:t>
  </x:si>
  <x:si>
    <x:t>Align Panels of Adjacent Jsts</x:t>
  </x:si>
  <x:si>
    <x:t>Special Bundling Req’d, See Attached Listing</x:t>
  </x:si>
  <x:si>
    <x:t>Building Information Modeling, Inform Dtlr When Design Completed</x:t>
  </x:si>
  <x:si>
    <x:t>Sealed Calcs req’d for Record|Appl</x:t>
  </x:si>
  <x:si>
    <x:t>Joist|Girder Profiles Req’d</x:t>
  </x:si>
  <x:si>
    <x:t>Vierendeel Panel, ##” W x ##” H, Bottom Left Corner of Opening @ ##” From Bot/Jst, ##’-##” From L-OAL</x:t>
  </x:si>
  <x:si>
    <x:t>Layout=BL</x:t>
  </x:si>
  <x:si>
    <x:t>Sum Layout</x:t>
  </x:si>
  <x:si>
    <x:t>Line Selected</x:t>
  </x:si>
  <x:si>
    <x:t>W2 Half-Width</x:t>
  </x:si>
  <x:si>
    <x:t>CB-L on Brg Slope</x:t>
  </x:si>
  <x:si>
    <x:t>TCXL on Brg Slope</x:t>
  </x:si>
  <x:si>
    <x:t>CB-R on Brg Slope</x:t>
  </x:si>
  <x:si>
    <x:t>TCXR on Brg Slope</x:t>
  </x:si>
  <x:si>
    <x:t>TC Gage Values (min TC width)</x:t>
  </x:si>
  <x:si>
    <x:t>Changing the following values is not recommended.</x:t>
  </x:si>
  <x:si>
    <x:t>Consider Slope for OSHA Bolting if &gt;</x:t>
  </x:si>
  <x:si>
    <x:t>OSHA Slope:</x:t>
  </x:si>
  <x:si>
    <x:t>LH&lt;7</x:t>
  </x:si>
  <x:si>
    <x:t>Ft-</x:t>
  </x:si>
  <x:si>
    <x:t>WH</x:t>
  </x:si>
  <x:si>
    <x:t>Default Color Codes
(Page "K (1)" ONLY)</x:t>
  </x:si>
  <x:si>
    <x:t>K (1)</x:t>
  </x:si>
  <x:si>
    <x:t>KCS Series</x:t>
  </x:si>
  <x:si>
    <x:t>JS Series</x:t>
  </x:si>
  <x:si>
    <x:t>LH Series (&lt;07)</x:t>
  </x:si>
  <x:si>
    <x:t>LH Series (&gt;06)</x:t>
  </x:si>
  <x:si>
    <x:t>DLH Series</x:t>
  </x:si>
  <x:si>
    <x:t>SLH Series</x:t>
  </x:si>
  <x:si>
    <x:t>CJ Series</x:t>
  </x:si>
  <x:si>
    <x:t>Plant-by-Plant Settings</x:t>
  </x:si>
  <x:si>
    <x:t>Girder A/B Ratio</x:t>
  </x:si>
  <x:si>
    <x:t>Butler</x:t>
  </x:si>
  <x:si>
    <x:t>Salem</x:t>
  </x:si>
  <x:si>
    <x:t>Lake City</x:t>
  </x:si>
  <x:si>
    <x:t>Hope</x:t>
  </x:si>
  <x:si>
    <x:t>El Paso</x:t>
  </x:si>
  <x:si>
    <x:t>Fallon</x:t>
  </x:si>
  <x:si>
    <x:t>A/B Ratio:</x:t>
  </x:si>
  <x:si>
    <x:t>Prior to 4/13/18:</x:t>
  </x:si>
  <x:si>
    <x:t>List of Seq from K(**) Pages:</x:t>
  </x:si>
  <x:si>
    <x:t>Sht#</x:t>
  </x:si>
  <x:si>
    <x:t>Trad</x:t>
  </x:si>
  <x:si>
    <x:t>Qty</x:t>
  </x:si>
  <x:si>
    <x:t>Leg Dim</x:t>
  </x:si>
  <x:si>
    <x:t>Ck Fitup</x:t>
  </x:si>
  <x:si>
    <x:t>Max Leg</x:t>
  </x:si>
  <x:si>
    <x:t>Diag</x:t>
  </x:si>
  <x:si>
    <x:t>Hor</x:t>
  </x:si>
  <x:si>
    <x:t>Point-Point BIM Data and Graphical Load Data</x:t>
  </x:si>
  <x:si>
    <x:t>Trib Width - R</x:t>
  </x:si>
  <x:si>
    <x:t>Trib Width</x:t>
  </x:si>
  <x:si>
    <x:t>&lt;JDS Data</x:t>
  </x:si>
  <x:si>
    <x:t>Material</x:t>
  </x:si>
  <x:si>
    <x:t>Elev</x:t>
  </x:si>
  <x:si>
    <x:t>Slp 1</x:t>
  </x:si>
  <x:si>
    <x:t>Slp 2</x:t>
  </x:si>
  <x:si>
    <x:t>nil</x:t>
  </x:si>
  <x:si>
    <x:t>"A" Mark</x:t>
  </x:si>
  <x:si>
    <x:t>"A" Depth</x:t>
  </x:si>
  <x:si>
    <x:t>"B" Mark</x:t>
  </x:si>
  <x:si>
    <x:t>"B" Depth</x:t>
  </x:si>
  <x:si>
    <x:t>Spacing
Ft</x:t>
  </x:si>
  <x:si>
    <x:t>Spacing
In</x:t>
  </x:si>
  <x:si>
    <x:t># of KBs</x:t>
  </x:si>
  <x:si>
    <x:t>AC (tbl tab)</x:t>
  </x:si>
  <x:si>
    <x:t>AC (this tab)</x:t>
  </x:si>
  <x:si>
    <x:t>IsAC-Bom:</x:t>
  </x:si>
  <x:si>
    <x:t>Designation</x:t>
  </x:si>
  <x:si>
    <x:t># Rows Req</x:t>
  </x:si>
  <x:si>
    <x:t>Panel
N/F/B</x:t>
  </x:si>
  <x:si>
    <x:t>Panel "A"
Feet</x:t>
  </x:si>
  <x:si>
    <x:t>Panel "A"
Inch</x:t>
  </x:si>
  <x:si>
    <x:t># Interior Panels</x:t>
  </x:si>
  <x:si>
    <x:t>Int Pnl Sp
Inch</x:t>
  </x:si>
  <x:si>
    <x:t>Int Pnl Sp
Feet</x:t>
  </x:si>
  <x:si>
    <x:t>SpNote</x:t>
  </x:si>
  <x:si>
    <x:t>Row Counter</x:t>
  </x:si>
  <x:si>
    <x:t>BOM Synced:</x:t>
  </x:si>
  <x:si>
    <x:t>B_B</x:t>
  </x:si>
  <x:si>
    <x:t>Job Info.</x:t>
  </x:si>
  <x:si>
    <x:t>SectInfo</x:t>
  </x:si>
  <x:si>
    <x:t>Discrepancy Check</x:t>
  </x:si>
  <x:si>
    <x:t>B_A</x:t>
  </x:si>
  <x:si>
    <x:t>J_B</x:t>
  </x:si>
  <x:si>
    <x:t>J_A</x:t>
  </x:si>
  <x:si>
    <x:t>G_B</x:t>
  </x:si>
  <x:si>
    <x:t>G_A</x:t>
  </x:si>
  <x:si>
    <x:t>Date Saved:</x:t>
  </x:si>
  <x:si>
    <x:r>
      <x:t>&lt;</x:t>
    </x:r>
    <x:r>
      <x:rPr>
        <x:sz val="7"/>
        <x:color indexed="55"/>
        <x:rFont val="Arial"/>
        <x:family val="2"/>
      </x:rPr>
      <x:t>Plant Settings</x:t>
    </x:r>
  </x:si>
  <x:si>
    <x:r>
      <x:t>Plant Settings</x:t>
    </x:r>
    <x:r>
      <x:rPr>
        <x:sz val="8"/>
        <x:color indexed="55"/>
        <x:rFont val="Arial Black"/>
        <x:family val="2"/>
      </x:rPr>
      <x:t>&gt;</x:t>
    </x:r>
  </x:si>
  <x:si>
    <x:t>Number of Manual Saves:</x:t>
  </x:si>
  <x:si>
    <x:t>Manual Changes
Saved By:</x:t>
  </x:si>
  <x:si>
    <x:t>SEQUENCE DESCRIPTION</x:t>
  </x:si>
  <x:si>
    <x:t>Total K Dtl'd:</x:t>
  </x:si>
  <x:si>
    <x:t>Total LH Dtl'd:</x:t>
  </x:si>
  <x:si>
    <x:t>Total G Dtl'd:</x:t>
  </x:si>
  <x:si>
    <x:t>Total JS/Hdr Dtl'd:</x:t>
  </x:si>
  <x:si>
    <x:t>Total Brdg Dtl'd:</x:t>
  </x:si>
  <x:si>
    <x:t>Total # Seq:</x:t>
  </x:si>
  <x:si>
    <x:t># Rows:</x:t>
  </x:si>
  <x:si>
    <x:t>Is AC BOM?</x:t>
  </x:si>
  <x:si>
    <x:t>Bridging Pages</x:t>
  </x:si>
  <x:si>
    <x:t>No Data Here
Hidden column on BOM
"Mark" used to be 2 merged cells</x:t>
  </x:si>
  <x:si>
    <x:t>Jst A
Mark</x:t>
  </x:si>
  <x:si>
    <x:t>Jst A
Depth</x:t>
  </x:si>
  <x:si>
    <x:t>Jst B
Mark</x:t>
  </x:si>
  <x:si>
    <x:t>Jst B
Depth</x:t>
  </x:si>
  <x:si>
    <x:t>Space
Ft</x:t>
  </x:si>
  <x:si>
    <x:t>Space
In</x:t>
  </x:si>
  <x:si>
    <x:t>Brdg Rows</x:t>
  </x:si>
  <x:si>
    <x:t>Seq Row:</x:t>
  </x:si>
  <x:si>
    <x:t>Sequencing Pages</x:t>
  </x:si>
  <x:si>
    <x:t>Seq Nums&gt;&gt;&gt;&gt;
Marks\/ \/</x:t>
  </x:si>
  <x:si>
    <x:t>Jst Rows</x:t>
  </x:si>
  <x:si>
    <x:t>Seq Col:</x:t>
  </x:si>
  <x:si>
    <x:t>Mark Match on Page2</x:t>
  </x:si>
  <x:si>
    <x:t>Mark Match on Page1</x:t>
  </x:si>
  <x:si>
    <x:t>1</x:t>
  </x:si>
  <x:si>
    <x:t>3</x:t>
  </x:si>
  <x:si>
    <x:t>4</x:t>
  </x:si>
  <x:si>
    <x:t>5</x:t>
  </x:si>
  <x:si>
    <x:t>6</x:t>
  </x:si>
  <x:si>
    <x:t>Girders</x:t>
  </x:si>
  <x:si>
    <x:t>G1</x:t>
  </x:si>
  <x:si>
    <x:t>-</x:t>
  </x:si>
  <x:si>
    <x:t>G2</x:t>
  </x:si>
  <x:si>
    <x:t>G3</x:t>
  </x:si>
  <x:si>
    <x:t>G4</x:t>
  </x:si>
  <x:si>
    <x:t>G5</x:t>
  </x:si>
  <x:si>
    <x:t>G6</x:t>
  </x:si>
  <x:si>
    <x:t>G7</x:t>
  </x:si>
  <x:si>
    <x:t>G8</x:t>
  </x:si>
  <x:si>
    <x:t>G9</x:t>
  </x:si>
  <x:si>
    <x:t>G10</x:t>
  </x:si>
  <x:si>
    <x:t>G11</x:t>
  </x:si>
  <x:si>
    <x:t>G12</x:t>
  </x:si>
  <x:si>
    <x:t>G13</x:t>
  </x:si>
  <x:si>
    <x:t>G14</x:t>
  </x:si>
  <x:si>
    <x:t>G15</x:t>
  </x:si>
  <x:si>
    <x:t>G16</x:t>
  </x:si>
  <x:si>
    <x:t>G17</x:t>
  </x:si>
  <x:si>
    <x:t>G18</x:t>
  </x:si>
  <x:si>
    <x:t>G19</x:t>
  </x:si>
  <x:si>
    <x:t>G20</x:t>
  </x:si>
  <x:si>
    <x:t>G21</x:t>
  </x:si>
  <x:si>
    <x:t>G22</x:t>
  </x:si>
  <x:si>
    <x:t>G23</x:t>
  </x:si>
  <x:si>
    <x:t>G24</x:t>
  </x:si>
  <x:si>
    <x:t>G25</x:t>
  </x:si>
  <x:si>
    <x:t>G26</x:t>
  </x:si>
  <x:si>
    <x:t>G27</x:t>
  </x:si>
  <x:si>
    <x:t>G28</x:t>
  </x:si>
  <x:si>
    <x:t>G29</x:t>
  </x:si>
  <x:si>
    <x:t>G30</x:t>
  </x:si>
  <x:si>
    <x:t>G31</x:t>
  </x:si>
  <x:si>
    <x:t>G32</x:t>
  </x:si>
  <x:si>
    <x:t>G33</x:t>
  </x:si>
  <x:si>
    <x:t>G34</x:t>
  </x:si>
  <x:si>
    <x:t>G35</x:t>
  </x:si>
  <x:si>
    <x:t>G36</x:t>
  </x:si>
  <x:si>
    <x:t>G37</x:t>
  </x:si>
  <x:si>
    <x:t>G38</x:t>
  </x:si>
  <x:si>
    <x:t>G39</x:t>
  </x:si>
  <x:si>
    <x:t>G40</x:t>
  </x:si>
  <x:si>
    <x:t>G41</x:t>
  </x:si>
  <x:si>
    <x:t>G42</x:t>
  </x:si>
  <x:si>
    <x:t>G43</x:t>
  </x:si>
  <x:si>
    <x:t>G44</x:t>
  </x:si>
  <x:si>
    <x:t>G45</x:t>
  </x:si>
  <x:si>
    <x:t>G46</x:t>
  </x:si>
  <x:si>
    <x:t>G47</x:t>
  </x:si>
  <x:si>
    <x:t>G48</x:t>
  </x:si>
  <x:si>
    <x:t>G49</x:t>
  </x:si>
  <x:si>
    <x:t>G50</x:t>
  </x:si>
  <x:si>
    <x:t>G51</x:t>
  </x:si>
  <x:si>
    <x:t>G52</x:t>
  </x:si>
  <x:si>
    <x:t>G53</x:t>
  </x:si>
  <x:si>
    <x:t>G54</x:t>
  </x:si>
  <x:si>
    <x:t>G55</x:t>
  </x:si>
  <x:si>
    <x:t>G56</x:t>
  </x:si>
  <x:si>
    <x:t>G57</x:t>
  </x:si>
  <x:si>
    <x:t>G58</x:t>
  </x:si>
  <x:si>
    <x:t>G59</x:t>
  </x:si>
  <x:si>
    <x:t>G60</x:t>
  </x:si>
  <x:si>
    <x:t>Joists</x:t>
  </x:si>
  <x:si>
    <x:t>J1</x:t>
  </x:si>
  <x:si>
    <x:t>J2</x:t>
  </x:si>
  <x:si>
    <x:t>TJ3</x:t>
  </x:si>
  <x:si>
    <x:t>J4</x:t>
  </x:si>
  <x:si>
    <x:t>J5</x:t>
  </x:si>
  <x:si>
    <x:t>TJ6</x:t>
  </x:si>
  <x:si>
    <x:t>J7</x:t>
  </x:si>
  <x:si>
    <x:t>J8</x:t>
  </x:si>
  <x:si>
    <x:t>J9</x:t>
  </x:si>
  <x:si>
    <x:t>J10</x:t>
  </x:si>
  <x:si>
    <x:t>J11</x:t>
  </x:si>
  <x:si>
    <x:t>J12</x:t>
  </x:si>
  <x:si>
    <x:t>J13</x:t>
  </x:si>
  <x:si>
    <x:t>J14</x:t>
  </x:si>
  <x:si>
    <x:t>J15</x:t>
  </x:si>
  <x:si>
    <x:t>J16</x:t>
  </x:si>
  <x:si>
    <x:t>J17</x:t>
  </x:si>
  <x:si>
    <x:t>TJ18</x:t>
  </x:si>
  <x:si>
    <x:t>J19</x:t>
  </x:si>
  <x:si>
    <x:t>TJ20</x:t>
  </x:si>
  <x:si>
    <x:t>J21</x:t>
  </x:si>
  <x:si>
    <x:t>J22</x:t>
  </x:si>
  <x:si>
    <x:t>TJ23</x:t>
  </x:si>
  <x:si>
    <x:t>TJ24</x:t>
  </x:si>
  <x:si>
    <x:t>J25</x:t>
  </x:si>
  <x:si>
    <x:t>J26</x:t>
  </x:si>
  <x:si>
    <x:t>TJ27</x:t>
  </x:si>
  <x:si>
    <x:t>J28</x:t>
  </x:si>
  <x:si>
    <x:t>TJ29</x:t>
  </x:si>
  <x:si>
    <x:t>TJ30</x:t>
  </x:si>
  <x:si>
    <x:t>J31</x:t>
  </x:si>
  <x:si>
    <x:t>J32</x:t>
  </x:si>
  <x:si>
    <x:t>J33</x:t>
  </x:si>
  <x:si>
    <x:t>J34</x:t>
  </x:si>
  <x:si>
    <x:t>J35</x:t>
  </x:si>
  <x:si>
    <x:t>J36</x:t>
  </x:si>
  <x:si>
    <x:t>TJ37</x:t>
  </x:si>
  <x:si>
    <x:t>J38</x:t>
  </x:si>
  <x:si>
    <x:t>TJ39</x:t>
  </x:si>
  <x:si>
    <x:t>TJ40</x:t>
  </x:si>
  <x:si>
    <x:t>TJ41</x:t>
  </x:si>
  <x:si>
    <x:t>J42</x:t>
  </x:si>
  <x:si>
    <x:t>J43</x:t>
  </x:si>
  <x:si>
    <x:t>TJ44</x:t>
  </x:si>
  <x:si>
    <x:t>J45</x:t>
  </x:si>
  <x:si>
    <x:t>TJ46</x:t>
  </x:si>
  <x:si>
    <x:t>TJ47</x:t>
  </x:si>
  <x:si>
    <x:t>TJ48</x:t>
  </x:si>
  <x:si>
    <x:t>J49</x:t>
  </x:si>
  <x:si>
    <x:t>J50</x:t>
  </x:si>
  <x:si>
    <x:t>TJ51</x:t>
  </x:si>
  <x:si>
    <x:t>J52</x:t>
  </x:si>
  <x:si>
    <x:t>TJ53</x:t>
  </x:si>
  <x:si>
    <x:t>TJ54</x:t>
  </x:si>
  <x:si>
    <x:t>J55</x:t>
  </x:si>
  <x:si>
    <x:t>TJ56</x:t>
  </x:si>
  <x:si>
    <x:t>J57</x:t>
  </x:si>
  <x:si>
    <x:t>J58</x:t>
  </x:si>
  <x:si>
    <x:t>J59</x:t>
  </x:si>
  <x:si>
    <x:t>TJ60</x:t>
  </x:si>
  <x:si>
    <x:t>J61</x:t>
  </x:si>
  <x:si>
    <x:t>TJ62</x:t>
  </x:si>
  <x:si>
    <x:t>TJ63</x:t>
  </x:si>
  <x:si>
    <x:t>J64</x:t>
  </x:si>
  <x:si>
    <x:t>TJ65</x:t>
  </x:si>
  <x:si>
    <x:t>J66</x:t>
  </x:si>
  <x:si>
    <x:t>J67</x:t>
  </x:si>
  <x:si>
    <x:t>TJ68</x:t>
  </x:si>
  <x:si>
    <x:t>J69</x:t>
  </x:si>
  <x:si>
    <x:t>J70</x:t>
  </x:si>
  <x:si>
    <x:t>J71</x:t>
  </x:si>
  <x:si>
    <x:t>TJ72</x:t>
  </x:si>
  <x:si>
    <x:t>TJ73</x:t>
  </x:si>
  <x:si>
    <x:t>J74</x:t>
  </x:si>
  <x:si>
    <x:t>J75</x:t>
  </x:si>
  <x:si>
    <x:t>TJ76</x:t>
  </x:si>
  <x:si>
    <x:t>J77</x:t>
  </x:si>
  <x:si>
    <x:t>TJ78</x:t>
  </x:si>
  <x:si>
    <x:t>TJ79</x:t>
  </x:si>
  <x:si>
    <x:t>TJ80</x:t>
  </x:si>
  <x:si>
    <x:t>TJ81</x:t>
  </x:si>
  <x:si>
    <x:t>J82</x:t>
  </x:si>
  <x:si>
    <x:t>J83</x:t>
  </x:si>
  <x:si>
    <x:t>J84</x:t>
  </x:si>
  <x:si>
    <x:t>J85</x:t>
  </x:si>
  <x:si>
    <x:t>J86</x:t>
  </x:si>
  <x:si>
    <x:t>J87</x:t>
  </x:si>
  <x:si>
    <x:t>J88</x:t>
  </x:si>
  <x:si>
    <x:t>J89</x:t>
  </x:si>
  <x:si>
    <x:t>J90</x:t>
  </x:si>
  <x:si>
    <x:t>J91</x:t>
  </x:si>
  <x:si>
    <x:t>J92</x:t>
  </x:si>
  <x:si>
    <x:t>TJ93</x:t>
  </x:si>
  <x:si>
    <x:t>J94</x:t>
  </x:si>
  <x:si>
    <x:t>J95</x:t>
  </x:si>
  <x:si>
    <x:t>J96</x:t>
  </x:si>
  <x:si>
    <x:t>J97</x:t>
  </x:si>
  <x:si>
    <x:t>J98</x:t>
  </x:si>
  <x:si>
    <x:t>J99</x:t>
  </x:si>
  <x:si>
    <x:t>J100</x:t>
  </x:si>
  <x:si>
    <x:t>J101</x:t>
  </x:si>
  <x:si>
    <x:t>TJ102</x:t>
  </x:si>
  <x:si>
    <x:t>J103</x:t>
  </x:si>
  <x:si>
    <x:t>J104</x:t>
  </x:si>
  <x:si>
    <x:t>J105</x:t>
  </x:si>
  <x:si>
    <x:t>J106</x:t>
  </x:si>
  <x:si>
    <x:t>J107</x:t>
  </x:si>
  <x:si>
    <x:t>J108</x:t>
  </x:si>
  <x:si>
    <x:t>TJ109</x:t>
  </x:si>
  <x:si>
    <x:t>J110</x:t>
  </x:si>
  <x:si>
    <x:t>J111</x:t>
  </x:si>
  <x:si>
    <x:t>J112</x:t>
  </x:si>
  <x:si>
    <x:t>J113</x:t>
  </x:si>
  <x:si>
    <x:t>J114</x:t>
  </x:si>
  <x:si>
    <x:t>TJ115</x:t>
  </x:si>
  <x:si>
    <x:t>J116</x:t>
  </x:si>
  <x:si>
    <x:t>J117</x:t>
  </x:si>
  <x:si>
    <x:t>J118</x:t>
  </x:si>
  <x:si>
    <x:t>TJ119</x:t>
  </x:si>
  <x:si>
    <x:t>J120</x:t>
  </x:si>
  <x:si>
    <x:t>J121</x:t>
  </x:si>
  <x:si>
    <x:t>J122</x:t>
  </x:si>
  <x:si>
    <x:t>J123</x:t>
  </x:si>
  <x:si>
    <x:t>J124</x:t>
  </x:si>
  <x:si>
    <x:t>TJ125</x:t>
  </x:si>
  <x:si>
    <x:t>TJ126</x:t>
  </x:si>
  <x:si>
    <x:t>J127</x:t>
  </x:si>
  <x:si>
    <x:t>J128</x:t>
  </x:si>
  <x:si>
    <x:t>J129</x:t>
  </x:si>
  <x:si>
    <x:t>TJ130</x:t>
  </x:si>
  <x:si>
    <x:t>TJ131</x:t>
  </x:si>
  <x:si>
    <x:t>TJ132</x:t>
  </x:si>
  <x:si>
    <x:t>J133</x:t>
  </x:si>
  <x:si>
    <x:t>J134</x:t>
  </x:si>
  <x:si>
    <x:t>J135</x:t>
  </x:si>
  <x:si>
    <x:t>J136</x:t>
  </x:si>
  <x:si>
    <x:t>TJ137</x:t>
  </x:si>
  <x:si>
    <x:t>J138</x:t>
  </x:si>
  <x:si>
    <x:t>J139</x:t>
  </x:si>
  <x:si>
    <x:t>TJ140</x:t>
  </x:si>
  <x:si>
    <x:t>J141</x:t>
  </x:si>
  <x:si>
    <x:t>TJ142</x:t>
  </x:si>
  <x:si>
    <x:t>TJ143</x:t>
  </x:si>
  <x:si>
    <x:t>J144</x:t>
  </x:si>
  <x:si>
    <x:t>J145</x:t>
  </x:si>
  <x:si>
    <x:t>TJ146</x:t>
  </x:si>
  <x:si>
    <x:t>J147</x:t>
  </x:si>
  <x:si>
    <x:t>TJ148</x:t>
  </x:si>
  <x:si>
    <x:t>TJ149</x:t>
  </x:si>
  <x:si>
    <x:t>TJ150</x:t>
  </x:si>
  <x:si>
    <x:t>TJ151</x:t>
  </x:si>
  <x:si>
    <x:t>TJ152</x:t>
  </x:si>
  <x:si>
    <x:t>J153</x:t>
  </x:si>
  <x:si>
    <x:t>J154</x:t>
  </x:si>
  <x:si>
    <x:t>J155</x:t>
  </x:si>
  <x:si>
    <x:t>J156</x:t>
  </x:si>
  <x:si>
    <x:t>TJ157</x:t>
  </x:si>
  <x:si>
    <x:t>J158</x:t>
  </x:si>
  <x:si>
    <x:t>TJ159</x:t>
  </x:si>
  <x:si>
    <x:t>TJ160</x:t>
  </x:si>
  <x:si>
    <x:t>TJ161</x:t>
  </x:si>
  <x:si>
    <x:t>TJ162</x:t>
  </x:si>
  <x:si>
    <x:t>TJ163</x:t>
  </x:si>
  <x:si>
    <x:t>J164</x:t>
  </x:si>
  <x:si>
    <x:t>J165</x:t>
  </x:si>
  <x:si>
    <x:t>J166</x:t>
  </x:si>
  <x:si>
    <x:t>TJ167</x:t>
  </x:si>
  <x:si>
    <x:t>TJ168</x:t>
  </x:si>
  <x:si>
    <x:t>J169</x:t>
  </x:si>
  <x:si>
    <x:t>J170</x:t>
  </x:si>
  <x:si>
    <x:t>J171</x:t>
  </x:si>
  <x:si>
    <x:t>J172</x:t>
  </x:si>
  <x:si>
    <x:t>J173</x:t>
  </x:si>
  <x:si>
    <x:t>J174</x:t>
  </x:si>
  <x:si>
    <x:t>TJ175</x:t>
  </x:si>
  <x:si>
    <x:t>J176</x:t>
  </x:si>
  <x:si>
    <x:t>J177</x:t>
  </x:si>
  <x:si>
    <x:t>J178</x:t>
  </x:si>
  <x:si>
    <x:t>J179</x:t>
  </x:si>
  <x:si>
    <x:t>J180</x:t>
  </x:si>
  <x:si>
    <x:t>J181</x:t>
  </x:si>
  <x:si>
    <x:t>TJ182</x:t>
  </x:si>
  <x:si>
    <x:t>TJ183</x:t>
  </x:si>
  <x:si>
    <x:t>J184</x:t>
  </x:si>
  <x:si>
    <x:t>J185</x:t>
  </x:si>
  <x:si>
    <x:t>J186</x:t>
  </x:si>
  <x:si>
    <x:t>TJ187</x:t>
  </x:si>
  <x:si>
    <x:t>J188</x:t>
  </x:si>
  <x:si>
    <x:t>TJ189</x:t>
  </x:si>
  <x:si>
    <x:t>J190</x:t>
  </x:si>
  <x:si>
    <x:t>TJ191</x:t>
  </x:si>
  <x:si>
    <x:t>J192</x:t>
  </x:si>
  <x:si>
    <x:t>J193</x:t>
  </x:si>
  <x:si>
    <x:t>J194</x:t>
  </x:si>
  <x:si>
    <x:t>TJ195</x:t>
  </x:si>
  <x:si>
    <x:t>TJ196</x:t>
  </x:si>
  <x:si>
    <x:t>J197</x:t>
  </x:si>
  <x:si>
    <x:t>J198</x:t>
  </x:si>
  <x:si>
    <x:t>TJ199</x:t>
  </x:si>
  <x:si>
    <x:t>TJ200</x:t>
  </x:si>
  <x:si>
    <x:t>J201</x:t>
  </x:si>
  <x:si>
    <x:t>TJ202</x:t>
  </x:si>
  <x:si>
    <x:t>J203</x:t>
  </x:si>
  <x:si>
    <x:t>J204</x:t>
  </x:si>
  <x:si>
    <x:t>J205</x:t>
  </x:si>
  <x:si>
    <x:t>J206</x:t>
  </x:si>
  <x:si>
    <x:t>J207</x:t>
  </x:si>
  <x:si>
    <x:t>TJ208</x:t>
  </x:si>
  <x:si>
    <x:t>J209</x:t>
  </x:si>
  <x:si>
    <x:t>J210</x:t>
  </x:si>
  <x:si>
    <x:t>J211</x:t>
  </x:si>
  <x:si>
    <x:t>TJ212</x:t>
  </x:si>
  <x:si>
    <x:t>TJ213</x:t>
  </x:si>
  <x:si>
    <x:t>J214</x:t>
  </x:si>
  <x:si>
    <x:t>J215</x:t>
  </x:si>
  <x:si>
    <x:t>TJ216</x:t>
  </x:si>
  <x:si>
    <x:t>TJ217</x:t>
  </x:si>
  <x:si>
    <x:t>TJ218</x:t>
  </x:si>
  <x:si>
    <x:t>J219</x:t>
  </x:si>
  <x:si>
    <x:t>J220</x:t>
  </x:si>
  <x:si>
    <x:t>J221</x:t>
  </x:si>
  <x:si>
    <x:t>TJ222</x:t>
  </x:si>
  <x:si>
    <x:t>TJ223</x:t>
  </x:si>
  <x:si>
    <x:t>TJ224</x:t>
  </x:si>
  <x:si>
    <x:t>J225</x:t>
  </x:si>
  <x:si>
    <x:t>TJ226</x:t>
  </x:si>
  <x:si>
    <x:t>J227</x:t>
  </x:si>
  <x:si>
    <x:t>J228</x:t>
  </x:si>
  <x:si>
    <x:t>J229</x:t>
  </x:si>
  <x:si>
    <x:t>J230</x:t>
  </x:si>
  <x:si>
    <x:t>J231</x:t>
  </x:si>
  <x:si>
    <x:t>J232</x:t>
  </x:si>
  <x:si>
    <x:t>J233</x:t>
  </x:si>
  <x:si>
    <x:t>TJ234</x:t>
  </x:si>
  <x:si>
    <x:t>TJ235</x:t>
  </x:si>
  <x:si>
    <x:t>J236</x:t>
  </x:si>
  <x:si>
    <x:t>J237</x:t>
  </x:si>
  <x:si>
    <x:t>TJ238</x:t>
  </x:si>
  <x:si>
    <x:t>J239</x:t>
  </x:si>
  <x:si>
    <x:t>TJ240</x:t>
  </x:si>
  <x:si>
    <x:t>TJ241</x:t>
  </x:si>
  <x:si>
    <x:t>TJ242</x:t>
  </x:si>
  <x:si>
    <x:t>J243</x:t>
  </x:si>
  <x:si>
    <x:t>TJ244</x:t>
  </x:si>
  <x:si>
    <x:t>J245</x:t>
  </x:si>
  <x:si>
    <x:t>J246</x:t>
  </x:si>
  <x:si>
    <x:t>TJ247</x:t>
  </x:si>
  <x:si>
    <x:t>J248</x:t>
  </x:si>
  <x:si>
    <x:t>J249</x:t>
  </x:si>
  <x:si>
    <x:t>J250</x:t>
  </x:si>
  <x:si>
    <x:t>J251</x:t>
  </x:si>
  <x:si>
    <x:t>J252</x:t>
  </x:si>
  <x:si>
    <x:t>J253</x:t>
  </x:si>
  <x:si>
    <x:t>J254</x:t>
  </x:si>
  <x:si>
    <x:t>J255</x:t>
  </x:si>
  <x:si>
    <x:t>J256</x:t>
  </x:si>
  <x:si>
    <x:t>J257</x:t>
  </x:si>
  <x:si>
    <x:t>J258</x:t>
  </x:si>
  <x:si>
    <x:t>TJ259</x:t>
  </x:si>
  <x:si>
    <x:t>J260</x:t>
  </x:si>
  <x:si>
    <x:t>J261</x:t>
  </x:si>
  <x:si>
    <x:t>J262</x:t>
  </x:si>
  <x:si>
    <x:t>TJ263</x:t>
  </x:si>
  <x:si>
    <x:t>J264</x:t>
  </x:si>
  <x:si>
    <x:t>TJ265</x:t>
  </x:si>
  <x:si>
    <x:t>TJ266</x:t>
  </x:si>
  <x:si>
    <x:t>J267</x:t>
  </x:si>
  <x:si>
    <x:t>J268</x:t>
  </x:si>
  <x:si>
    <x:t>J269</x:t>
  </x:si>
  <x:si>
    <x:t>J270</x:t>
  </x:si>
  <x:si>
    <x:t>TJ271</x:t>
  </x:si>
  <x:si>
    <x:t>TJ272</x:t>
  </x:si>
  <x:si>
    <x:t>J273</x:t>
  </x:si>
  <x:si>
    <x:t>J274</x:t>
  </x:si>
  <x:si>
    <x:t>TJ275</x:t>
  </x:si>
  <x:si>
    <x:t>TJ276</x:t>
  </x:si>
  <x:si>
    <x:t>J277</x:t>
  </x:si>
  <x:si>
    <x:t>TJ278</x:t>
  </x:si>
  <x:si>
    <x:t>J279</x:t>
  </x:si>
  <x:si>
    <x:t>J280</x:t>
  </x:si>
  <x:si>
    <x:t>J281</x:t>
  </x:si>
  <x:si>
    <x:t>TJ282</x:t>
  </x:si>
  <x:si>
    <x:t>J283</x:t>
  </x:si>
  <x:si>
    <x:t>J284</x:t>
  </x:si>
  <x:si>
    <x:t>J285</x:t>
  </x:si>
  <x:si>
    <x:t>J286</x:t>
  </x:si>
  <x:si>
    <x:t>TJ287</x:t>
  </x:si>
  <x:si>
    <x:t>TJ288</x:t>
  </x:si>
  <x:si>
    <x:t>J289</x:t>
  </x:si>
  <x:si>
    <x:t>J290</x:t>
  </x:si>
  <x:si>
    <x:t>J291</x:t>
  </x:si>
  <x:si>
    <x:t>TJ292</x:t>
  </x:si>
  <x:si>
    <x:t>TJ293</x:t>
  </x:si>
  <x:si>
    <x:t>TJ294</x:t>
  </x:si>
  <x:si>
    <x:t>J295</x:t>
  </x:si>
  <x:si>
    <x:t>J296</x:t>
  </x:si>
  <x:si>
    <x:t>J297</x:t>
  </x:si>
  <x:si>
    <x:t>J298</x:t>
  </x:si>
  <x:si>
    <x:t>J299</x:t>
  </x:si>
  <x:si>
    <x:t>TJ300</x:t>
  </x:si>
  <x:si>
    <x:t>J301</x:t>
  </x:si>
  <x:si>
    <x:t>J302</x:t>
  </x:si>
  <x:si>
    <x:t>J303</x:t>
  </x:si>
  <x:si>
    <x:t>J304</x:t>
  </x:si>
  <x:si>
    <x:t>TJ305</x:t>
  </x:si>
  <x:si>
    <x:t>TJ306</x:t>
  </x:si>
  <x:si>
    <x:t>J307</x:t>
  </x:si>
  <x:si>
    <x:t>TJ308</x:t>
  </x:si>
  <x:si>
    <x:t>J309</x:t>
  </x:si>
  <x:si>
    <x:t>J310</x:t>
  </x:si>
  <x:si>
    <x:t>J311</x:t>
  </x:si>
  <x:si>
    <x:t>ADD LOAD (ALL MECH</x:t>
  </x:si>
  <x:si>
    <x:t>UNITS ARE &lt;500#)</x:t>
  </x:si>
  <x:si>
    <x:t>TYP AXIAL UNO</x:t>
  </x:si>
  <x:si>
    <x:t>4" MAIN (PARA)</x:t>
  </x:si>
  <x:si>
    <x:t>GIRDER TYP ADD LOAD</x:t>
  </x:si>
  <x:si>
    <x:t>GIRDER /JOIST AXIAL</x:t>
  </x:si>
  <x:si>
    <x:t>GIRDERS IN SUICIDE BAY</x:t>
  </x:si>
  <x:si>
    <x:t>AXIAL IN LIEU OF TYP</x:t>
  </x:si>
  <x:si>
    <x:t>10</x:t>
  </x:si>
  <x:si>
    <x:t>GIRDER @ 4" MAIN</x:t>
  </x:si>
  <x:si>
    <x:t>11</x:t>
  </x:si>
  <x:si>
    <x:t>4" MAIN (PERP)</x:t>
  </x:si>
  <x:si>
    <x:t>12</x:t>
  </x:si>
  <x:si>
    <x:t>6" MAIN (PARA)</x:t>
  </x:si>
  <x:si>
    <x:t>13</x:t>
  </x:si>
  <x:si>
    <x:t>GIRDER @ 6" MAIN</x:t>
  </x:si>
  <x:si>
    <x:t>14</x:t>
  </x:si>
  <x:si>
    <x:t>6" MAIN ( PERP)</x:t>
  </x:si>
  <x:si>
    <x:t>15</x:t>
  </x:si>
  <x:si>
    <x:t>8" MAIN (PARA)</x:t>
  </x:si>
  <x:si>
    <x:t>16</x:t>
  </x:si>
  <x:si>
    <x:t>8" MAIN (PERP)</x:t>
  </x:si>
  <x:si>
    <x:t>17</x:t>
  </x:si>
  <x:si>
    <x:t>18</x:t>
  </x:si>
  <x:si>
    <x:t>19</x:t>
  </x:si>
  <x:si>
    <x:t>20</x:t>
  </x:si>
  <x:si>
    <x:t>21</x:t>
  </x:si>
  <x:si>
    <x:t>22</x:t>
  </x:si>
  <x:si>
    <x:t>23</x:t>
  </x:si>
  <x:si>
    <x:t>24</x:t>
  </x:si>
  <x:si>
    <x:t>25</x:t>
  </x:si>
  <x:si>
    <x:t>8" MAIN ( PERP)</x:t>
  </x:si>
  <x:si>
    <x:t>26</x:t>
  </x:si>
  <x:si>
    <x:t>27</x:t>
  </x:si>
  <x:si>
    <x:t>28</x:t>
  </x:si>
  <x:si>
    <x:t>29</x:t>
  </x:si>
  <x:si>
    <x:t>30</x:t>
  </x:si>
  <x:si>
    <x:t>4" MAIN ( PERP)</x:t>
  </x:si>
  <x:si>
    <x:t>31</x:t>
  </x:si>
  <x:si>
    <x:t>32</x:t>
  </x:si>
  <x:si>
    <x:t>33</x:t>
  </x:si>
  <x:si>
    <x:t>34</x:t>
  </x:si>
  <x:si>
    <x:t>35</x:t>
  </x:si>
  <x:si>
    <x:t>36</x:t>
  </x:si>
  <x:si>
    <x:t>37</x:t>
  </x:si>
  <x:si>
    <x:t>38</x:t>
  </x:si>
  <x:si>
    <x:t>39</x:t>
  </x:si>
  <x:si>
    <x:t>40</x:t>
  </x:si>
  <x:si>
    <x:t>41</x:t>
  </x:si>
  <x:si>
    <x:t>42</x:t>
  </x:si>
  <x:si>
    <x:t>43</x:t>
  </x:si>
  <x:si>
    <x:t>44</x:t>
  </x:si>
  <x:si>
    <x:t>45</x:t>
  </x:si>
  <x:si>
    <x:t>46</x:t>
  </x:si>
  <x:si>
    <x:t>6" MAIN</x:t>
  </x:si>
  <x:si>
    <x:t>47</x:t>
  </x:si>
  <x:si>
    <x:t>48</x:t>
  </x:si>
  <x:si>
    <x:t>4" &amp; 6" MAIN</x:t>
  </x:si>
  <x:si>
    <x:t>49</x:t>
  </x:si>
  <x:si>
    <x:t>50</x:t>
  </x:si>
  <x:si>
    <x:t>51</x:t>
  </x:si>
  <x:si>
    <x:t>52</x:t>
  </x:si>
  <x:si>
    <x:t>MAX TC &amp; SEAT WIDTH = 11 1/8" @ BE</x:t>
  </x:si>
  <x:si>
    <x:t>54 DEGREE HALF SKEW RE NS</x:t>
  </x:si>
  <x:si>
    <x:t>56 DEGREE HALF SKEW RE FS</x:t>
  </x:si>
  <x:si>
    <x:t>D</x:t>
  </x:si>
  <x:si>
    <x:t>AXIAL THRU SEAT  LE, HOLD WOOD CLR 3" - AXIAL THRU TIE PL RE, HOLD WOOD CLR 4"</x:t>
  </x:si>
  <x:si>
    <x:t>F</x:t>
  </x:si>
  <x:si>
    <x:t>AXIAL THRU TIE PL LE, HOLD WOOD CLR 4" - AXIAL THRU SEAT RE, NO WOOD HOLDBACK</x:t>
  </x:si>
  <x:si>
    <x:t>AXIAL REDUCES TO ZERO @ LE - AXIAL THRU KNIFE PL RE - HOLD CLR 1'-7" RE - SEBL = 5"</x:t>
  </x:si>
  <x:si>
    <x:t>H</x:t>
  </x:si>
  <x:si>
    <x:t>AXIAL THRU KNIFE PL LE - HOLD CLR 1'-7" - AXIAL REDUCES TO ZERO AT RE</x:t>
  </x:si>
  <x:si>
    <x:t>I</x:t>
  </x:si>
  <x:si>
    <x:t>BRANCHLINE @ 4'-6 7/8", 14'-0 7/8", 24'-0 7/8", 34'-0 7/8", 44'-0 7/8", &amp; 54'-0 7/8" FROM</x:t>
  </x:si>
  <x:si>
    <x:t>LE OAL</x:t>
  </x:si>
  <x:si>
    <x:t>J</x:t>
  </x:si>
  <x:si>
    <x:t>BRANCHLINE @ 4'-11 3/4", 14'-11 3/4", 24'-11 3/4", 34'-11 3/4" &amp; 44'-11 3/4" FROM LE OAL</x:t>
  </x:si>
  <x:si>
    <x:t>BRANCHLINE @ 4'-6 7/8", 14'-0 7/8", 24'-0 7/8", 34'-0 7/8" &amp; 44'-0 7/8 FROM LE OAL</x:t>
  </x:si>
  <x:si>
    <x:t>BRANCHLINE @ 5'-2", 15'-2", 25'-2", 35'-2", 45'-2" &amp; 55'-2" FROM LE OAL</x:t>
  </x:si>
  <x:si>
    <x:t>BRANCHLINE @ 5'-2", 15'-2", 25'-2", 35'-2" &amp; 45'-2" FROM LE OAL</x:t>
  </x:si>
  <x:si>
    <x:t>O</x:t>
  </x:si>
  <x:si>
    <x:t>BRANCHLINE @ 5'-2", 15'-2", 25'-2" &amp; 35'-2" FROM LE OAL</x:t>
  </x:si>
  <x:si>
    <x:t>BRANCHLINE @ 5'-2", 15'-2" &amp; 25'-2" FROM LE OAL</x:t>
  </x:si>
  <x:si>
    <x:t>Q</x:t>
  </x:si>
  <x:si>
    <x:t>BRANCHLINE @ 5'-2" &amp; 15'-2" FROM LE OAL</x:t>
  </x:si>
  <x:si>
    <x:t>6" MAIN @ 9'-3 7/8" FROM LE OAL</x:t>
  </x:si>
  <x:si>
    <x:t>6" MAIN @ 1'-10 7/8" FROM LE OAL</x:t>
  </x:si>
  <x:si>
    <x:t>T</x:t>
  </x:si>
  <x:si>
    <x:t>8" MAIN  @ 19'-0 7/8" FROM LE OAL</x:t>
  </x:si>
  <x:si>
    <x:t>8" MAIN (MAX) @ 16'-6 3/8" &amp; 19'-0 7/8" FROM LE OAL</x:t>
  </x:si>
  <x:si>
    <x:t>V</x:t>
  </x:si>
  <x:si>
    <x:t>6" MAIN (MAX) @ 3RD PP</x:t>
  </x:si>
  <x:si>
    <x:t>W</x:t>
  </x:si>
  <x:si>
    <x:t>6" MAIN (MAX) @ 2ND &amp; 6TH PP</x:t>
  </x:si>
  <x:si>
    <x:t>X</x:t>
  </x:si>
  <x:si>
    <x:t>6" MAIN (MAX) @ 6TH PP</x:t>
  </x:si>
  <x:si>
    <x:t>Y</x:t>
  </x:si>
  <x:si>
    <x:t>6" MAIN (MAX) @ 5TH PP</x:t>
  </x:si>
  <x:si>
    <x:t>Z</x:t>
  </x:si>
  <x:si>
    <x:t>6" MAIN (MAX) @ 1ST &amp; 6TH PP</x:t>
  </x:si>
  <x:si>
    <x:t>AA</x:t>
  </x:si>
  <x:si>
    <x:t>6" MAIN  @ 28'-2" FROM LE OAL</x:t>
  </x:si>
  <x:si>
    <x:t>AB</x:t>
  </x:si>
  <x:si>
    <x:t>4" MAIN  @ 20'-2 7/8" FROM LE OAL</x:t>
  </x:si>
  <x:si>
    <x:t>6" MAIN  @ 21'-8 7/8" FROM LE OAL</x:t>
  </x:si>
  <x:si>
    <x:t>AD</x:t>
  </x:si>
  <x:si>
    <x:t>6" MAIN  @ 7'-6 7/8" FROM LE OAL</x:t>
  </x:si>
  <x:si>
    <x:t>AE</x:t>
  </x:si>
  <x:si>
    <x:t>SLOTS @ 1 5/8" NS &amp; 4 1/4" FS RE OAL</x:t>
  </x:si>
  <x:si>
    <x:t>AF</x:t>
  </x:si>
  <x:si>
    <x:t>BRANCHLINE @ 4'-0 7/8", 14'-0 7/8", 24'-0 7/8", 34'-0 7/8", 44'-0 7/8" &amp; 54'-0 7/8" FROM</x:t>
  </x:si>
  <x:si>
    <x:t>AG</x:t>
  </x:si>
  <x:si>
    <x:t>BRANCHLINE @ 4'-11 3/4", 14'-11 3/4" &amp; 24'-11 3/4" FROM LE OAL</x:t>
  </x:si>
  <x:si>
    <x:t>AH</x:t>
  </x:si>
  <x:si>
    <x:t>BRANCHLINE @ 4'-11 3/4" &amp; 14'-11 3/4" FROM LE OAL</x:t>
  </x:si>
  <x:si>
    <x:t>AI</x:t>
  </x:si>
  <x:si>
    <x:t>BRANCHLINE @ 4'-11 3/4" FROM LE OAL</x:t>
  </x:si>
  <x:si>
    <x:t>AJ</x:t>
  </x:si>
  <x:si>
    <x:t>BRANCHLINE @ 4'-11 3/4", 14'-11 3/4", 24'-11 3/4" &amp; 34'-11 3/4"  FROM LE OAL</x:t>
  </x:si>
  <x:si>
    <x:t>AK</x:t>
  </x:si>
  <x:si>
    <x:t>BRANCHLINE @ 4'-8", 14'-8", 24'-8", 34'-8", 44'-8" &amp; 54'-8" FROM LE OAL</x:t>
  </x:si>
  <x:si>
    <x:t>AL</x:t>
  </x:si>
  <x:si>
    <x:t>BRANCHLINE @ 4'-9", 14'-9", 24'-9", 34'-9", 44'-9" &amp; 54'-9" FROM LE OAL</x:t>
  </x:si>
  <x:si>
    <x:t>AM</x:t>
  </x:si>
  <x:si>
    <x:t>BRANCHLINE @ 4'-8", 14'-8", 24'-8", 34'-8" &amp; 44'-8" FROM LE OAL</x:t>
  </x:si>
  <x:si>
    <x:t>AN</x:t>
  </x:si>
  <x:si>
    <x:t>BRANCHLINE @ 4'-5 3/4", 14'-5 3/4", 24'-5 3/4" &amp; 34'-5 3/4" FROM LE OAL</x:t>
  </x:si>
  <x:si>
    <x:t>AO</x:t>
  </x:si>
  <x:si>
    <x:t>BRANCHLINE @ 4'-9", 14'-9", 24'-9" &amp; 34'-9" FROM LE OAL</x:t>
  </x:si>
  <x:si>
    <x:t>AP</x:t>
  </x:si>
  <x:si>
    <x:t>BRANCHLINE @ 4'-5 3/4", 14'-5 3/4" &amp; 24'-5 3/4"  FROM LE OAL</x:t>
  </x:si>
  <x:si>
    <x:t>AQ</x:t>
  </x:si>
  <x:si>
    <x:t>BRANCHLINE @ 4'-5 3/4" &amp; 14'-5 3/4"  FROM LE OAL</x:t>
  </x:si>
  <x:si>
    <x:t>AR</x:t>
  </x:si>
  <x:si>
    <x:t>BRANCHLINE @ 4'-5 3/4" FROM LE OAL</x:t>
  </x:si>
  <x:si>
    <x:t>AS</x:t>
  </x:si>
  <x:si>
    <x:t>BRANCHLINE @ 3'-9 3/4", 7'-11 3/4", 12'-9 3/4", 23'-9 3/4", 32'-9 3/4" &amp; 40'-9 3/4" FROM</x:t>
  </x:si>
  <x:si>
    <x:t>AT</x:t>
  </x:si>
  <x:si>
    <x:t>BRANCHLINE @ 3'-9 3/4", 7'-11 3/4", 12'-9 3/4", 23'-9 3/4" &amp;  32'-9 3/4" FROM LE OAL</x:t>
  </x:si>
  <x:si>
    <x:t>AU</x:t>
  </x:si>
  <x:si>
    <x:t>BRANCHLINE @ 3'-9 3/4", 7'-11 3/4", 12'-9 3/4" &amp;  23'-9 3/4" FROM LE OAL</x:t>
  </x:si>
  <x:si>
    <x:t>AV</x:t>
  </x:si>
  <x:si>
    <x:t>BRANCHLINE @ 3'-9 3/4", 7'-11 3/4" &amp;  12'-9 3/4" FROM LE OAL</x:t>
  </x:si>
  <x:si>
    <x:t>AW</x:t>
  </x:si>
  <x:si>
    <x:t>BRANCHLINE @ 3'-9 3/4" &amp; 7'-11 3/4" FROM LE OAL</x:t>
  </x:si>
  <x:si>
    <x:t>BRANCHLINE @ 4'-0", 8'-2", 13'-0", 24'-0", 33'-0" &amp; 41'-0" FROM LE OAL</x:t>
  </x:si>
  <x:si>
    <x:t>AY</x:t>
  </x:si>
  <x:si>
    <x:t>BRANCHLINE @ 4'-1", 8'-3", 13'-1", 24'-1", 33'-1" &amp; 41'-1" FROM LE OAL</x:t>
  </x:si>
  <x:si>
    <x:t>AZ</x:t>
  </x:si>
  <x:si>
    <x:t>BRANCHLINE @ 4'-10 7/8", 14'-10 7/8", 24'-10 7/8", 34'-10 7/8" &amp; 44'-10 7/8" FROM LE OAL</x:t>
  </x:si>
  <x:si>
    <x:t>BA</x:t>
  </x:si>
  <x:si>
    <x:t>4" MAIN @ 54'-1 3/8" FROM LE OAL</x:t>
  </x:si>
  <x:si>
    <x:t>BB</x:t>
  </x:si>
  <x:si>
    <x:t>AXIAL REDUCES TO ZERO @ LE, NO WOOD CUTBACK - AXIAL THRU TIE PL RE, HOLD WOOD CLR 4"</x:t>
  </x:si>
  <x:si>
    <x:t>6" MAIN (MAX) @ PP#1</x:t>
  </x:si>
  <x:si>
    <x:t>36 DEGREE HALF SKEW RE FS</x:t>
  </x:si>
  <x:si>
    <x:t>6" MAIN @ 51'-7 1/4" FROM LE OAL</x:t>
  </x:si>
  <x:si>
    <x:t>BF</x:t>
  </x:si>
  <x:si>
    <x:t>SLOTS @ 3 7/8" FS, 1" NS FROM LE OAL</x:t>
  </x:si>
  <x:si>
    <x:t>BG</x:t>
  </x:si>
  <x:si>
    <x:t>6" MAIN @ 16'-9" FROM LE OAL</x:t>
  </x:si>
  <x:si>
    <x:t>BH</x:t>
  </x:si>
  <x:si>
    <x:t>6" MAIN @ 7'-0 3/8" FROM LE OAL</x:t>
  </x:si>
  <x:si>
    <x:t>BI</x:t>
  </x:si>
  <x:si>
    <x:t>4" MAIN @ PP #1 AND 6" MAIN @ PP#7</x:t>
  </x:si>
  <x:si>
    <x:t>BJ</x:t>
  </x:si>
  <x:si>
    <x:t>6" MAIN @ 8'-11 3/4" FROM LE OAL</x:t>
  </x:si>
  <x:si>
    <x:t>BK</x:t>
  </x:si>
  <x:si>
    <x:t>6" MAIN @ 7'-0 7/8" FROM LE OAL</x:t>
  </x:si>
  <x:si>
    <x:t>6" MAIN @ 2'-0 7/8" FROM LE OAL</x:t>
  </x:si>
  <x:si>
    <x:t>BM</x:t>
  </x:si>
  <x:si>
    <x:t>8" MAIN @ 18'-2 7/8" FROM LE OAL</x:t>
  </x:si>
  <x:si>
    <x:t>BN</x:t>
  </x:si>
  <x:si>
    <x:t>6" MAIN @ 10'-0 7/8" FROM LE OAL</x:t>
  </x:si>
  <x:si>
    <x:t>BO</x:t>
  </x:si>
  <x:si>
    <x:t>6" MAIN @ 8'-0 7/8" FROM LE OAL</x:t>
  </x:si>
  <x:si>
    <x:t>BP</x:t>
  </x:si>
  <x:si>
    <x:t>6" MAIN @ 9'-2" FROM LE OAL</x:t>
  </x:si>
  <x:si>
    <x:t>BQ</x:t>
  </x:si>
  <x:si>
    <x:t>6" MAIN @ 28'-0 1/2" FROM LE OAL</x:t>
  </x:si>
  <x:si>
    <x:t>6" MAIN @ 16'-5 3/4" FROM LE OAL</x:t>
  </x:si>
  <x:si>
    <x:t>BS</x:t>
  </x:si>
  <x:si>
    <x:t>6" MAIN @ 34'-2" FROM LE OAL</x:t>
  </x:si>
  <x:si>
    <x:t>BT</x:t>
  </x:si>
  <x:si>
    <x:t>4" MAIN @ 41'-9 3/4" FROM LE OAL</x:t>
  </x:si>
  <x:si>
    <x:t>BU</x:t>
  </x:si>
  <x:si>
    <x:t>4" MAIN @ 7'-3 3/4" FROM LE OAL</x:t>
  </x:si>
  <x:si>
    <x:t>BV</x:t>
  </x:si>
  <x:si>
    <x:t>6" MAIN @ 39'-11 3/4" FROM LE OAL</x:t>
  </x:si>
  <x:si>
    <x:t>4" MAIN @ 38'-8" FROM LE OAL</x:t>
  </x:si>
  <x:si>
    <x:t>BX</x:t>
  </x:si>
  <x:si>
    <x:t>4" MAIN @ 27'-5 3/4" FROM LE OAL</x:t>
  </x:si>
  <x:si>
    <x:t>BY</x:t>
  </x:si>
  <x:si>
    <x:t>4" MAIN @ 16'-3 1/2" FROM LE OAL</x:t>
  </x:si>
  <x:si>
    <x:t>BZ</x:t>
  </x:si>
  <x:si>
    <x:t>4" MAIN @ 5'-1 3/8" FROM LE OAL</x:t>
  </x:si>
  <x:si>
    <x:t>4" MAIN @ 43'-11 1/4" FROM LE OAL</x:t>
  </x:si>
  <x:si>
    <x:t>4" MAIN @ 32'-9"  FROM LE OAL</x:t>
  </x:si>
  <x:si>
    <x:t>CC</x:t>
  </x:si>
  <x:si>
    <x:t>4" MAIN @ 21'-6 3/4"FROM LE OAL</x:t>
  </x:si>
  <x:si>
    <x:t>CD</x:t>
  </x:si>
  <x:si>
    <x:t>4" MAIN @ 10'-4 1/2" FROM LE OAL</x:t>
  </x:si>
  <x:si>
    <x:t>CE</x:t>
  </x:si>
  <x:si>
    <x:t>4" MAIN @ 38'-0 1/4" FROM LE OAL</x:t>
  </x:si>
  <x:si>
    <x:t>CF</x:t>
  </x:si>
  <x:si>
    <x:t>4" MAIN @ 26'-10" FROM LE OAL</x:t>
  </x:si>
  <x:si>
    <x:t>CG</x:t>
  </x:si>
  <x:si>
    <x:t>4" MAIN @ 15'-7" FROM LE OAL</x:t>
  </x:si>
  <x:si>
    <x:t>CH</x:t>
  </x:si>
  <x:si>
    <x:t>4" MAIN @ 4'-5 5/8" FROM LE OAL</x:t>
  </x:si>
  <x:si>
    <x:t>CI</x:t>
  </x:si>
  <x:si>
    <x:t>4" MAIN @ 53'-3 1/2" FROM LE OAL</x:t>
  </x:si>
  <x:si>
    <x:t>4" MAIN @ 42'-1 1/4" FROM LE OAL</x:t>
  </x:si>
  <x:si>
    <x:t>CK</x:t>
  </x:si>
  <x:si>
    <x:t>4" MAIN @ 30'-11" FROM LE OAL</x:t>
  </x:si>
  <x:si>
    <x:t>4" MAIN @ 19'-8 3/4" FROM LE OAL</x:t>
  </x:si>
  <x:si>
    <x:t>CM</x:t>
  </x:si>
  <x:si>
    <x:t>4" MAIN @ 8'-6 5/8" FROM LE OAL</x:t>
  </x:si>
  <x:si>
    <x:t>CN</x:t>
  </x:si>
  <x:si>
    <x:t>AXIAL REDUCES TO ZERO @ LE, NO WOOD HOLDBACK - AXIAL THRU SEAT RE, NO WOOD HOLDBACK</x:t>
  </x:si>
  <x:si>
    <x:t>CO</x:t>
  </x:si>
  <x:si>
    <x:t>AXIAL THRU TIE PLATE LE, HOLD WOOD CLR 8" - AXIAL REDUCES TO 11K @ SEAT RE, NO WOOD CUTBACK</x:t>
  </x:si>
  <x:si>
    <x:t>BRANCHLINE @ 5'-3", 15'-3", 25'-3", 35'-3", 45'-3" &amp; 55'-3" FROM LE OAL</x:t>
  </x:si>
  <x:si>
    <x:t>CQ</x:t>
  </x:si>
  <x:si>
    <x:t>AXAL THRU TIE PLATE BE - HOLD WOOD CLEAR 8" LE &amp; 4" RE</x:t>
  </x:si>
  <x:si>
    <x:t>CR</x:t>
  </x:si>
  <x:si>
    <x:t>AXIAL THRU KNIFE PL BE - HOLD CLEAR 1'-7" BE</x:t>
  </x:si>
  <x:si>
    <x:t>CS</x:t>
  </x:si>
  <x:si>
    <x:t>AXIAL THRU KNIFE PL BE - HOLD CLEAR 8" LE &amp; 1'-7" RE</x:t>
  </x:si>
  <x:si>
    <x:t>CT</x:t>
  </x:si>
  <x:si>
    <x:t>4" MAIN @ 39'-9 3/4" FROM LE OAL</x:t>
  </x:si>
  <x:si>
    <x:t>CU</x:t>
  </x:si>
  <x:si>
    <x:t>4" MAIN @ 18'-1 7/8" FROM LE OAL</x:t>
  </x:si>
  <x:si>
    <x:t>CV</x:t>
  </x:si>
  <x:si>
    <x:t>CW</x:t>
  </x:si>
  <x:si>
    <x:t>8" MAIN @ 18'-11 7/8" FROM LE OAL</x:t>
  </x:si>
  <x:si>
    <x:t>CX</x:t>
  </x:si>
  <x:si>
    <x:t>CY</x:t>
  </x:si>
  <x:si>
    <x:t>6" MAIN @ 1'-11 3/8" FROM LE OAL</x:t>
  </x:si>
  <x:si>
    <x:t>6" MAIN @ 1'-11 7/8" FROM LE OAL</x:t>
  </x:si>
  <x:si>
    <x:t>DA</x:t>
  </x:si>
  <x:si>
    <x:t>6" MAIN @ 2'-0 3/8" FROM LE OAL</x:t>
  </x:si>
  <x:si>
    <x:t>DB</x:t>
  </x:si>
  <x:si>
    <x:t>6" MAIN @ 2'-11 1/4" FROM LE OAL</x:t>
  </x:si>
  <x:si>
    <x:t>DC</x:t>
  </x:si>
  <x:si>
    <x:t>4" MAIN @ 34'-10 3/8" FROM LE OAL</x:t>
  </x:si>
  <x:si>
    <x:t>DD</x:t>
  </x:si>
  <x:si>
    <x:t>4" MAIN @ 45'-11 3/4" FROM LE OAL</x:t>
  </x:si>
  <x:si>
    <x:t>DE</x:t>
  </x:si>
  <x:si>
    <x:t>4" MAIN @ 57'-1 1/4" FROM LE OAL</x:t>
  </x:si>
  <x:si>
    <x:t>DF</x:t>
  </x:si>
  <x:si>
    <x:t>4" MAIN @ 8'-2 5/8" FROM LE OAL</x:t>
  </x:si>
  <x:si>
    <x:t>DG</x:t>
  </x:si>
  <x:si>
    <x:t>4" MAIN @ 19'-4 1/8" FROM LE OAL</x:t>
  </x:si>
  <x:si>
    <x:t>DH</x:t>
  </x:si>
  <x:si>
    <x:t>4" MAIN @ 30'-4 7/8" FROM LE OAL</x:t>
  </x:si>
  <x:si>
    <x:t>DI</x:t>
  </x:si>
  <x:si>
    <x:t>4" MAIN @ 41'-7" FROM LE OAL</x:t>
  </x:si>
  <x:si>
    <x:t>DJ</x:t>
  </x:si>
  <x:si>
    <x:t>4" MAIN @ 52'-8 1/2" FROM LE OAL</x:t>
  </x:si>
  <x:si>
    <x:t>DK</x:t>
  </x:si>
  <x:si>
    <x:t>4" MAIN @ 3'-10" FROM LE OAL</x:t>
  </x:si>
  <x:si>
    <x:t>4" MAIN @ 14'-11 1/2" FROM LE OAL</x:t>
  </x:si>
  <x:si>
    <x:t>DM</x:t>
  </x:si>
  <x:si>
    <x:t>4" MAIN @ 26'-1" FROM LE OAL</x:t>
  </x:si>
  <x:si>
    <x:t>DN</x:t>
  </x:si>
  <x:si>
    <x:t>4" MAIN @ 37'-2 3/8" FROM LE OAL</x:t>
  </x:si>
  <x:si>
    <x:t>DO</x:t>
  </x:si>
  <x:si>
    <x:t>4" MAIN @ 53'-10 1/2" FROM LE OAL</x:t>
  </x:si>
  <x:si>
    <x:t>DR</x:t>
  </x:si>
  <x:si>
    <x:t>6" MAIN @ 58'-11 3/4" FROM LE OAL</x:t>
  </x:si>
  <x:si>
    <x:t>DU</x:t>
  </x:si>
  <x:si>
    <x:t>6" MAIN @ 15'-3 3/4" FROM LE OAL</x:t>
  </x:si>
  <x:si>
    <x:t>DV</x:t>
  </x:si>
  <x:si>
    <x:t>DW</x:t>
  </x:si>
  <x:si>
    <x:t>4" MAIN @ 21'-11" FROM LE OAL</x:t>
  </x:si>
  <x:si>
    <x:t>DX</x:t>
  </x:si>
  <x:si>
    <x:t>4" MAIN @ 30'-9" FROM LE OAL</x:t>
  </x:si>
  <x:si>
    <x:t>DY</x:t>
  </x:si>
  <x:si>
    <x:t>6" MAIN @ 21'-4 7/8" FROM LE OAL</x:t>
  </x:si>
  <x:si>
    <x:t>DZ</x:t>
  </x:si>
  <x:si>
    <x:t>MAX TC &amp; SEAT WIDTH = 11 1/8" @ RE</x:t>
  </x:si>
  <x:si>
    <x:t>EA</x:t>
  </x:si>
  <x:si>
    <x:t>SEBL = 5"</x:t>
  </x:si>
  <x:si>
    <x:t>EB</x:t>
  </x:si>
  <x:si>
    <x:t>BRANCHLINE @ 4'-11", 14'-11", 24'-11", 34'-11", 44'-11" &amp; 54'-11" FROM LE OAL</x:t>
  </x:si>
  <x:si>
    <x:t>EC</x:t>
  </x:si>
  <x:si>
    <x:t>BRANCHLINE @ 4'-11", 14'-11", 24'-11", 34'-11" &amp; 44'-11" FROM LE OAL</x:t>
  </x:si>
  <x:si>
    <x:t>ED</x:t>
  </x:si>
  <x:si>
    <x:t>6" MAIN @ 28'-3" FROM LE OAL</x:t>
  </x:si>
  <x:si>
    <x:t>EE</x:t>
  </x:si>
  <x:si>
    <x:t>NOT USED</x:t>
  </x:si>
  <x:si>
    <x:t>EF</x:t>
  </x:si>
  <x:si>
    <x:t>AXIAL THEU SEAT LE, HOLD WOOD CLR 3" - TCX SUPPORTED @ RE, AXIAL THRU SEAT RE, NO WOOD</x:t>
  </x:si>
  <x:si>
    <x:t>HOLDBACK</x:t>
  </x:si>
  <x:si>
    <x:t>EG</x:t>
  </x:si>
  <x:si>
    <x:t>SLOTS AT 6 1/4" NS &amp; 1" FS @ RE OAL</x:t>
  </x:si>
  <x:si>
    <x:t>EH</x:t>
  </x:si>
  <x:si>
    <x:t>BRANCHLINES @ 4'-11" &amp; 14'-11" FROM LE OAL</x:t>
  </x:si>
  <x:si>
    <x:t>EI</x:t>
  </x:si>
  <x:si>
    <x:t>AXIAL THRU TIE PL LE, HOLD WOOD CLR 4" - AXIAL THRU SEAT RE, NO WOOD HOLDBACK, TCX SUPPORTED</x:t>
  </x:si>
  <x:si>
    <x:t>EJ</x:t>
  </x:si>
  <x:si>
    <x:t>EK</x:t>
  </x:si>
  <x:si>
    <x:t>6" MAIN @ 39'-11" FROM LE OAL</x:t>
  </x:si>
  <x:si>
    <x:t>EL</x:t>
  </x:si>
  <x:si>
    <x:t>AXIAL THRU TIE PL BE - HOLD WOOD CLR 1'-4" LE &amp; 4" RE</x:t>
  </x:si>
  <x:si>
    <x:t>EM</x:t>
  </x:si>
  <x:si>
    <x:t>SEBR = 5"</x:t>
  </x:si>
  <x:si>
    <x:t>EN</x:t>
  </x:si>
  <x:si>
    <x:t>BRANCHLINE @ 4'-11", 14'-11" &amp; 24'-11"FROM LE OAL</x:t>
  </x:si>
  <x:si>
    <x:t>EO</x:t>
  </x:si>
  <x:si>
    <x:t>SLOTS AT 1 7/8" NS &amp; 5 1/2" FS @ RE OAL</x:t>
  </x:si>
  <x:si>
    <x:t>EP</x:t>
  </x:si>
  <x:si>
    <x:t>EQ</x:t>
  </x:si>
  <x:si>
    <x:t>SLOTS @ 8 5/16" NS &amp; 1 11/16" FS @ RE OAL</x:t>
  </x:si>
  <x:si>
    <x:t>Std Gray Primer: One Shop Coat</x:t>
  </x:si>
  <x:si>
    <x:t>54G7N6.5K2.1</x:t>
  </x:si>
  <x:si>
    <x:t>54G8N6.5K2.1</x:t>
  </x:si>
  <x:si>
    <x:t>54G7N13.4K3.9</x:t>
  </x:si>
  <x:si>
    <x:t>#6</x:t>
  </x:si>
  <x:si>
    <x:t>#1</x:t>
  </x:si>
  <x:si>
    <x:t>54G8N13.4K3.9</x:t>
  </x:si>
  <x:si>
    <x:t>#5</x:t>
  </x:si>
  <x:si>
    <x:t>#7</x:t>
  </x:si>
  <x:si>
    <x:t>54G3N13.4K3.9</x:t>
  </x:si>
  <x:si>
    <x:t>54G5N13.4K3.9</x:t>
  </x:si>
  <x:si>
    <x:t>54G5N13.7K3.9</x:t>
  </x:si>
  <x:si>
    <x:t>#2</x:t>
  </x:si>
  <x:si>
    <x:t>54G7N13.7K3.9</x:t>
  </x:si>
  <x:si>
    <x:t>54G4N13.4K3.9</x:t>
  </x:si>
  <x:si>
    <x:t>Make sure the joists bearing on this girder extend 2" past centerline.  If the joists end</x:t>
  </x:si>
  <x:si>
    <x:t>reactions are NOT on the girder centerline then an Engineers evaluation is required.</x:t>
  </x:si>
  <x:si>
    <x:t>Does not have the minimum required bearing on the LEFT end.</x:t>
  </x:si>
  <x:si>
    <x:t>Verify girder has sufficient minimum required bearing on LEFT ends.  Girders with a</x:t>
  </x:si>
  <x:si>
    <x:t>self-weight greater than 50 plf. require 6" minimum bearing on steel.</x:t>
  </x:si>
  <x:si>
    <x:t>The number of intermediate joist spaces does not seem to match the designation specified.</x:t>
  </x:si>
  <x:si>
    <x:t>Further investigation is recommended.</x:t>
  </x:si>
  <x:si>
    <x:t>Does not have the minimum required bearing on the RIGHT end.</x:t>
  </x:si>
  <x:si>
    <x:t>Joist is bearing within 8" of the seat on the RIGHT end - Contact the Engineer of Record</x:t>
  </x:si>
  <x:si>
    <x:t>for reduced point load at this location.</x:t>
  </x:si>
  <x:si>
    <x:t>Verify girder has sufficient minimum required bearing on RIGHT ends.  Girders with a</x:t>
  </x:si>
  <x:si>
    <x:t>Verify girder has sufficient minimum required bearing on BOTH ends.  Girders with a</x:t>
  </x:si>
  <x:si>
    <x:t>36LH270/120</x:t>
  </x:si>
  <x:si>
    <x:t>30K240/140</x:t>
  </x:si>
  <x:si>
    <x:t>30K310/160</x:t>
  </x:si>
  <x:si>
    <x:t>2.5K310/160</x:t>
  </x:si>
  <x:si>
    <x:t>DESIGN PER IBC 2012</x:t>
  </x:si>
  <x:si>
    <x:t>SDS = 0.408</x:t>
  </x:si>
  <x:si>
    <x:t>LIVE LOAD DEFLECTION = L/360</x:t>
  </x:si>
  <x:si>
    <x:t>1/4" MIN SEAT THICKNESS</x:t>
  </x:si>
  <x:si>
    <x:t>USE #14 x 2" LONG WOOD SCREWS @ 24" O.C. STAGGERED - USE 8" O.C. EACH LEG WHEN AXIAL IS</x:t>
  </x:si>
  <x:si>
    <x:t>LARGER THAN 11K</x:t>
  </x:si>
  <x:si>
    <x:t>ENG REVIEW BY HZ</x:t>
  </x:si>
  <x:si>
    <x:t>JOISTS: TIE PL BE - HOLD WOOD CLR 4" BE TYP UNO</x:t>
  </x:si>
  <x:si>
    <x:t>GIRDERS: KINIFE PL BE - HOLD CLR 1'-7" BE TYP UNO</x:t>
  </x:si>
  <x:si>
    <x:t>BRANCHLINE @ 4'-11 3/4", 14'-11 3/4", 24'-11 3/4", 34'-11 3/4", 44'-11 3/4" &amp; 54'-11 3/4"</x:t>
  </x:si>
  <x:si>
    <x:t>FROM LE OAL TYP UNO</x:t>
  </x:si>
  <x:si>
    <x:t>FIELD USE CALCS REQUIRED</x:t>
  </x:si>
  <x:si>
    <x:t>2" BRANCHLINE 9 1/2" BELOW JOIST TOP CHORD AND MAINS @ 1'-8" BELOW JOIST TOP CHORD</x:t>
  </x:si>
  <x:si>
    <x:t>GIRDER L = 45% UNO</x:t>
  </x:si>
  <x:si>
    <x:t>SUNPOINT CROSSING</x:t>
  </x:si>
  <x:si>
    <x:t>LAS VEGAS, NV</x:t>
  </x:si>
  <x:si>
    <x:t>9118-0062</x:t>
  </x:si>
  <x:si>
    <x:t>CJA</x:t>
  </x:si>
  <x:si>
    <x:t>LS</x:t>
  </x:si>
  <x:si>
    <x:t>N (1)</x:t>
  </x:si>
  <x:si>
    <x:t>N (2)</x:t>
  </x:si>
  <x:si>
    <x:t>N (3)</x:t>
  </x:si>
  <x:si>
    <x:t>N (4)</x:t>
  </x:si>
  <x:si>
    <x:t>N (5)</x:t>
  </x:si>
  <x:si>
    <x:t>L (1)</x:t>
  </x:si>
  <x:si>
    <x:t>L (2)</x:t>
  </x:si>
  <x:si>
    <x:t>L (3)</x:t>
  </x:si>
  <x:si>
    <x:t>L (4)</x:t>
  </x:si>
  <x:si>
    <x:t>L (5)</x:t>
  </x:si>
  <x:si>
    <x:t>S (1)</x:t>
  </x:si>
  <x:si>
    <x:t>S (2)</x:t>
  </x:si>
  <x:si>
    <x:t>S (3)</x:t>
  </x:si>
  <x:si>
    <x:t>S (4)</x:t>
  </x:si>
  <x:si>
    <x:t>S (5)</x:t>
  </x:si>
  <x:si>
    <x:t>S (6)</x:t>
  </x:si>
  <x:si>
    <x:t>S (7)</x:t>
  </x:si>
  <x:si>
    <x:t>S (8)</x:t>
  </x:si>
  <x:si>
    <x:t>S (9)</x:t>
  </x:si>
  <x:si>
    <x:t>S (10)</x:t>
  </x:si>
  <x:si>
    <x:t>S (11)</x:t>
  </x:si>
  <x:si>
    <x:t>G (1)</x:t>
  </x:si>
  <x:si>
    <x:t>[G,V,DZ](4,5,6,8,10)</x:t>
  </x:si>
  <x:si>
    <x:t>[A](4,5,6,8)</x:t>
  </x:si>
  <x:si>
    <x:t>[G,V,DZ](4,5,6,8,13)</x:t>
  </x:si>
  <x:si>
    <x:t>[V,EA](4,5,7,13)</x:t>
  </x:si>
  <x:si>
    <x:t>[V](4,5,7,10)</x:t>
  </x:si>
  <x:si>
    <x:t>(4,5,7)</x:t>
  </x:si>
  <x:si>
    <x:t>[Z](4,5,7,47)</x:t>
  </x:si>
  <x:si>
    <x:t>[Y](4,5,7,10)</x:t>
  </x:si>
  <x:si>
    <x:t>[W](4,5,7,48)</x:t>
  </x:si>
  <x:si>
    <x:t>[X](4,5,7,13)</x:t>
  </x:si>
  <x:si>
    <x:t>[G,BI](4,5,7,50)</x:t>
  </x:si>
  <x:si>
    <x:t>G (2)</x:t>
  </x:si>
  <x:si>
    <x:t>[B,H,EQ](4,5,7,13)</x:t>
  </x:si>
  <x:si>
    <x:t>(4,5,7,10)</x:t>
  </x:si>
  <x:si>
    <x:t>[X](4,5,7,10)</x:t>
  </x:si>
  <x:si>
    <x:t>[BC](4,5,7,17)</x:t>
  </x:si>
  <x:si>
    <x:t>[Z](4,5,7,10)</x:t>
  </x:si>
  <x:si>
    <x:t>[EA](4,5,7,13)</x:t>
  </x:si>
  <x:si>
    <x:t>[C,H,BA,EO](4,5,7,10)</x:t>
  </x:si>
  <x:si>
    <x:t>(4,5,7,13)</x:t>
  </x:si>
  <x:si>
    <x:t>[BC](4,5,7,10)</x:t>
  </x:si>
  <x:si>
    <x:t>[BE](4,5,7,13)</x:t>
  </x:si>
  <x:si>
    <x:t>[C,H,EO](4,5,7,10)</x:t>
  </x:si>
  <x:si>
    <x:t>[BC](4,5,7)</x:t>
  </x:si>
  <x:si>
    <x:t>[C,H,EO](4,5,7,49)</x:t>
  </x:si>
  <x:si>
    <x:t>[BJ,CR,EM](4,5,6,8,13)</x:t>
  </x:si>
  <x:si>
    <x:t>[G,BU,DZ](4,5,6,8,13)</x:t>
  </x:si>
  <x:si>
    <x:t>[G,EM](4,5,6,8,13)</x:t>
  </x:si>
  <x:si>
    <x:t>G (3)</x:t>
  </x:si>
  <x:si>
    <x:t>[CR,EA](4,5,6,8,13)</x:t>
  </x:si>
  <x:si>
    <x:t>[H,BD,EO](4,5,7,13)</x:t>
  </x:si>
  <x:si>
    <x:t>[DQ](4,5,7,10)</x:t>
  </x:si>
  <x:si>
    <x:t>[BC](4,5,7,13)</x:t>
  </x:si>
  <x:si>
    <x:t>[H,BD,DX,EO](4,5,7,10)</x:t>
  </x:si>
  <x:si>
    <x:t>[H,BD,DW,EO](4,5,7,10)</x:t>
  </x:si>
  <x:si>
    <x:t>[G,DV](4,5,7,10)</x:t>
  </x:si>
  <x:si>
    <x:t>[G,DU](4,5,7,13)</x:t>
  </x:si>
  <x:si>
    <x:t>[G,DZ](4,5,6,8,10)</x:t>
  </x:si>
  <x:si>
    <x:t>J (1)</x:t>
  </x:si>
  <x:si>
    <x:t>[L,CN](1,2)</x:t>
  </x:si>
  <x:si>
    <x:t>[L,CN](1,2,3)</x:t>
  </x:si>
  <x:si>
    <x:t>[CO,CP](1,5)</x:t>
  </x:si>
  <x:si>
    <x:t>[L,CN](1,9)</x:t>
  </x:si>
  <x:si>
    <x:t>[L,CN](1,2,12)</x:t>
  </x:si>
  <x:si>
    <x:t>[C,AE,CO,CP,ED](1,5,12,23)</x:t>
  </x:si>
  <x:si>
    <x:t>[C,L,AA,CN](1,2,23)</x:t>
  </x:si>
  <x:si>
    <x:t>[C,N,AA,CN](1,2,23)</x:t>
  </x:si>
  <x:si>
    <x:t>[C,O,AA,CN](1,2,23)</x:t>
  </x:si>
  <x:si>
    <x:t>[C,O,AA,CN](1,2,12,23)</x:t>
  </x:si>
  <x:si>
    <x:t>[C,P,CN](1,2,12)</x:t>
  </x:si>
  <x:si>
    <x:t>[C,P,CN](1,2)</x:t>
  </x:si>
  <x:si>
    <x:t>[C,Q,CN](1,2)</x:t>
  </x:si>
  <x:si>
    <x:t>[D,I,AC](1,2,14)</x:t>
  </x:si>
  <x:si>
    <x:t>[D,I,AC](1,2,12,14)</x:t>
  </x:si>
  <x:si>
    <x:t>[D,I,R](1,2,12,14,18)</x:t>
  </x:si>
  <x:si>
    <x:t>J (2)</x:t>
  </x:si>
  <x:si>
    <x:t>[D,I,R](1,2,18)</x:t>
  </x:si>
  <x:si>
    <x:t>[D,I,R](1,2,3,18)</x:t>
  </x:si>
  <x:si>
    <x:t>[D,I,S](1,2,15,18,19)</x:t>
  </x:si>
  <x:si>
    <x:t>[D,I,S](1,2,15,16,19)</x:t>
  </x:si>
  <x:si>
    <x:t>[D,I,S,T](1,2,12,16,19)</x:t>
  </x:si>
  <x:si>
    <x:t>[D,I,T](1,2,12,16,19)</x:t>
  </x:si>
  <x:si>
    <x:t>[D,I,T](1,2,16)</x:t>
  </x:si>
  <x:si>
    <x:t>[D,I,T](1,2,12,16,21)</x:t>
  </x:si>
  <x:si>
    <x:t>[D,I,T,AD](1,2,12,16,21)</x:t>
  </x:si>
  <x:si>
    <x:t>[D,I,T,AD](1,2,16,21)</x:t>
  </x:si>
  <x:si>
    <x:t>[D,I,S,T](1,2,16,19,21,46)</x:t>
  </x:si>
  <x:si>
    <x:t>[D,I,S,U](1,2,15,16,20)</x:t>
  </x:si>
  <x:si>
    <x:t>[D,I,U](1,2,15,16,19,20)</x:t>
  </x:si>
  <x:si>
    <x:t>[D,I,U](1,2,16,20)</x:t>
  </x:si>
  <x:si>
    <x:t>[D,I,U](1,2,3,16,20)</x:t>
  </x:si>
  <x:si>
    <x:t>[D,I,U](1,2,15,16,20)</x:t>
  </x:si>
  <x:si>
    <x:t>(1,2)</x:t>
  </x:si>
  <x:si>
    <x:t>(1,2,12)</x:t>
  </x:si>
  <x:si>
    <x:t>(1,2,3)</x:t>
  </x:si>
  <x:si>
    <x:t>[EB](1,2)</x:t>
  </x:si>
  <x:si>
    <x:t>[EB](1,2,12)</x:t>
  </x:si>
  <x:si>
    <x:t>J (3)</x:t>
  </x:si>
  <x:si>
    <x:t>[EC](1,2)</x:t>
  </x:si>
  <x:si>
    <x:t>[EC](1,2,12)</x:t>
  </x:si>
  <x:si>
    <x:t>[D,K,AB](1,2,11)</x:t>
  </x:si>
  <x:si>
    <x:t>[D,K,AB](1,2,11,12)</x:t>
  </x:si>
  <x:si>
    <x:t>[D,K](1,2)</x:t>
  </x:si>
  <x:si>
    <x:t>[D,K](1,2,3)</x:t>
  </x:si>
  <x:si>
    <x:t>[D,K](1,2,12)</x:t>
  </x:si>
  <x:si>
    <x:t>[D,I,DY](1,2,14)</x:t>
  </x:si>
  <x:si>
    <x:t>J (4)</x:t>
  </x:si>
  <x:si>
    <x:t>[D,I,DY](1,2,12,14)</x:t>
  </x:si>
  <x:si>
    <x:t>[D,I,S](1,2,12,18,19,46)</x:t>
  </x:si>
  <x:si>
    <x:t>[D,I,S](1,2,12,19)</x:t>
  </x:si>
  <x:si>
    <x:t>[D,I,T](1,2,15,16,19)</x:t>
  </x:si>
  <x:si>
    <x:t>[D,I,T](1,2,3,16)</x:t>
  </x:si>
  <x:si>
    <x:t>[D,I,T](1,2,12,16)</x:t>
  </x:si>
  <x:si>
    <x:t>[D,I,U](1,2,12,16,20)</x:t>
  </x:si>
  <x:si>
    <x:t>[EB](1,2,3)</x:t>
  </x:si>
  <x:si>
    <x:t>[EC](1,2,3)</x:t>
  </x:si>
  <x:si>
    <x:t>[D,AZ](1,2,3)</x:t>
  </x:si>
  <x:si>
    <x:t>[D,AZ](1,2)</x:t>
  </x:si>
  <x:si>
    <x:t>[D,AZ](1,9)</x:t>
  </x:si>
  <x:si>
    <x:t>[D,AZ](1,2,12)</x:t>
  </x:si>
  <x:si>
    <x:t>[F,AW,BD](1,2,3)</x:t>
  </x:si>
  <x:si>
    <x:t>[F,AV,BD](1,2)</x:t>
  </x:si>
  <x:si>
    <x:t>[F,AU,BD](1,2)</x:t>
  </x:si>
  <x:si>
    <x:t>[F,AT,BD](1,2,12)</x:t>
  </x:si>
  <x:si>
    <x:t>J (5)</x:t>
  </x:si>
  <x:si>
    <x:t>[F,AS,BD](1,2,12)</x:t>
  </x:si>
  <x:si>
    <x:t>[AY,BD,BF,CO](1,5)</x:t>
  </x:si>
  <x:si>
    <x:t>[AX,BB](1,2)</x:t>
  </x:si>
  <x:si>
    <x:t>[AX,BB,BQ](1,2,23)</x:t>
  </x:si>
  <x:si>
    <x:t>[F,AR,BD,CN](1,2)</x:t>
  </x:si>
  <x:si>
    <x:t>[F,AQ,BD,CN](1,2,12,20)</x:t>
  </x:si>
  <x:si>
    <x:t>[F,AQ,BD,BR,CN](1,2,12,20)</x:t>
  </x:si>
  <x:si>
    <x:t>[F,AP,BD,BR,CN](1,2,20)</x:t>
  </x:si>
  <x:si>
    <x:t>[F,AN,BD,BR,CN](1,2,20)</x:t>
  </x:si>
  <x:si>
    <x:t>[AO,BD,BF,BG,CO](1,5,12,20,28)</x:t>
  </x:si>
  <x:si>
    <x:t>[AM,BD,BS,CN](1,2,12,28)</x:t>
  </x:si>
  <x:si>
    <x:t>[AM,BD,BS,CN](1,2,28)</x:t>
  </x:si>
  <x:si>
    <x:t>[AK,BD,BS,CN](1,2,28)</x:t>
  </x:si>
  <x:si>
    <x:t>[AK,BS,CN](1,2,12,28)</x:t>
  </x:si>
  <x:si>
    <x:t>[AK,CN](1,2,12)</x:t>
  </x:si>
  <x:si>
    <x:t>[AK,CN](1,2)</x:t>
  </x:si>
  <x:si>
    <x:t>[AL,CO](1,5)</x:t>
  </x:si>
  <x:si>
    <x:t>[AK,CN](1,9)</x:t>
  </x:si>
  <x:si>
    <x:t>[AK,CN](1,2,3)</x:t>
  </x:si>
  <x:si>
    <x:t>[BB,BP](1,2,3,27)</x:t>
  </x:si>
  <x:si>
    <x:t>[BB,BP](1,2,27)</x:t>
  </x:si>
  <x:si>
    <x:t>[D,AF,BO](1,2,27)</x:t>
  </x:si>
  <x:si>
    <x:t>[D,AF,BO](1,2,12,26,27)</x:t>
  </x:si>
  <x:si>
    <x:t>J (6)</x:t>
  </x:si>
  <x:si>
    <x:t>[D,AF,BN,BO](1,2,12,26,27)</x:t>
  </x:si>
  <x:si>
    <x:t>[D,AF,BN,BO](1,2,3,26,27)</x:t>
  </x:si>
  <x:si>
    <x:t>[D,AF,BN,BO](1,2,26,27)</x:t>
  </x:si>
  <x:si>
    <x:t>[D,S,AF,BN](1,2,15,19,26)</x:t>
  </x:si>
  <x:si>
    <x:t>[D,S,AF,BM,BN](1,2,15,19,25,26)</x:t>
  </x:si>
  <x:si>
    <x:t>[D,AF,BM](1,2,12,19,25)</x:t>
  </x:si>
  <x:si>
    <x:t>[D,AF,BM](1,2,25)</x:t>
  </x:si>
  <x:si>
    <x:t>[D,AF,BM](1,2,15,19,25)</x:t>
  </x:si>
  <x:si>
    <x:t>[D,S,AF,BM](1,2,15,19,25)</x:t>
  </x:si>
  <x:si>
    <x:t>[D,S,AF,BM](1,2,19,25)</x:t>
  </x:si>
  <x:si>
    <x:t>[D,S,AF,BM](1,2,12,19,25)</x:t>
  </x:si>
  <x:si>
    <x:t>[D,AF,BM](1,2,12,25)</x:t>
  </x:si>
  <x:si>
    <x:t>[D,AF,BM](1,2,3,25)</x:t>
  </x:si>
  <x:si>
    <x:t>[D,AF,BM](1,2,15,25)</x:t>
  </x:si>
  <x:si>
    <x:t>[J](1,2)</x:t>
  </x:si>
  <x:si>
    <x:t>[J](1,2,12)</x:t>
  </x:si>
  <x:si>
    <x:t>[CP,CQ](1,5)</x:t>
  </x:si>
  <x:si>
    <x:t>[J](1,2,3)</x:t>
  </x:si>
  <x:si>
    <x:t>J (7)</x:t>
  </x:si>
  <x:si>
    <x:t>[EC](1,5)</x:t>
  </x:si>
  <x:si>
    <x:t>[J,BT,EJ](1,2,24)</x:t>
  </x:si>
  <x:si>
    <x:t>[J,BT,EJ](1,2,12,24)</x:t>
  </x:si>
  <x:si>
    <x:t>[J,EJ](1,2,12)</x:t>
  </x:si>
  <x:si>
    <x:t>[J,EJ](1,2)</x:t>
  </x:si>
  <x:si>
    <x:t>[EC,EJ](1,5)</x:t>
  </x:si>
  <x:si>
    <x:t>[J,EJ](1,2,3)</x:t>
  </x:si>
  <x:si>
    <x:t>[EC,EJ](1,2,3)</x:t>
  </x:si>
  <x:si>
    <x:t>[EC,EJ](1,2)</x:t>
  </x:si>
  <x:si>
    <x:t>[B,AF,EF](1,2,3)</x:t>
  </x:si>
  <x:si>
    <x:t>[D,AF](1,2)</x:t>
  </x:si>
  <x:si>
    <x:t>[D,AF](1,9)</x:t>
  </x:si>
  <x:si>
    <x:t>J (8)</x:t>
  </x:si>
  <x:si>
    <x:t>[D,AF](1,2,12)</x:t>
  </x:si>
  <x:si>
    <x:t>[B,F,AH,CM](1,2,27)</x:t>
  </x:si>
  <x:si>
    <x:t>[B,F,AG,CL](1,2,14)</x:t>
  </x:si>
  <x:si>
    <x:t>[B,F,AJ,CK](1,2,33)</x:t>
  </x:si>
  <x:si>
    <x:t>[B,F,J,CJ](1,2,24)</x:t>
  </x:si>
  <x:si>
    <x:t>[B,F,CI](1,2,32)</x:t>
  </x:si>
  <x:si>
    <x:t>(1,9)</x:t>
  </x:si>
  <x:si>
    <x:t>(1,2,19)</x:t>
  </x:si>
  <x:si>
    <x:t>[D,AF,BL](1,2,19)</x:t>
  </x:si>
  <x:si>
    <x:t>[D,AF,BL](1,2,12,19)</x:t>
  </x:si>
  <x:si>
    <x:t>[D,AF,BK](1,2,12,21)</x:t>
  </x:si>
  <x:si>
    <x:t>[D,AF,BK](1,2,21)</x:t>
  </x:si>
  <x:si>
    <x:t>[D,AF,BK](1,2,3,21)</x:t>
  </x:si>
  <x:si>
    <x:t>[D,S,AF](1,2,15,19,21)</x:t>
  </x:si>
  <x:si>
    <x:t>[D,AF,BK,BM](1,2,12,21,25)</x:t>
  </x:si>
  <x:si>
    <x:t>[D,AF,BK,BM](1,2,21,25)</x:t>
  </x:si>
  <x:si>
    <x:t>[D,AF,BK,BM](1,2,12,19,21,25)</x:t>
  </x:si>
  <x:si>
    <x:t>[D,S,AF,BK,BM](1,2,15,19,21,25)</x:t>
  </x:si>
  <x:si>
    <x:t>[B,F,AI,CH](1,2,30)</x:t>
  </x:si>
  <x:si>
    <x:t>[B,F,CG,EG,EH](1,2,20)</x:t>
  </x:si>
  <x:si>
    <x:t>J (9)</x:t>
  </x:si>
  <x:si>
    <x:t>[B,F,AG,CF](1,2,23)</x:t>
  </x:si>
  <x:si>
    <x:t>[B,F,AJ,CE](1,2,29)</x:t>
  </x:si>
  <x:si>
    <x:t>[B,J,EI](1,2)</x:t>
  </x:si>
  <x:si>
    <x:t>[J](1,9)</x:t>
  </x:si>
  <x:si>
    <x:t>[B,F,AH,CD](1,2,26)</x:t>
  </x:si>
  <x:si>
    <x:t>[B,F,AG,CC](1,2,14)</x:t>
  </x:si>
  <x:si>
    <x:t>[B,F,AJ,CB,EG](1,2,28)</x:t>
  </x:si>
  <x:si>
    <x:t>[B,F,J,CA](1,2,31)</x:t>
  </x:si>
  <x:si>
    <x:t>[B,F,AI,BZ](1,2,30)</x:t>
  </x:si>
  <x:si>
    <x:t>[B,F,AH,BY](1,2,20)</x:t>
  </x:si>
  <x:si>
    <x:t>[B,F,AG,BX](1,2,23)</x:t>
  </x:si>
  <x:si>
    <x:t>[B,F,J,BW](1,2,29)</x:t>
  </x:si>
  <x:si>
    <x:t>[B,J,BV,EI](1,2,29)</x:t>
  </x:si>
  <x:si>
    <x:t>[EC,EK,EL](1,12,22,29)</x:t>
  </x:si>
  <x:si>
    <x:t>[J,BV](1,2,12,29)</x:t>
  </x:si>
  <x:si>
    <x:t>[B,F,AG](1,2,12)</x:t>
  </x:si>
  <x:si>
    <x:t>[B,F,AJ](1,2,12)</x:t>
  </x:si>
  <x:si>
    <x:t>[J,EJ](1,3,9)</x:t>
  </x:si>
  <x:si>
    <x:t>[EC,EJ](1,2,12)</x:t>
  </x:si>
  <x:si>
    <x:t>[B,F,AH](1,2)</x:t>
  </x:si>
  <x:si>
    <x:t>[B,F,AG](1,2)</x:t>
  </x:si>
  <x:si>
    <x:t>J (10)</x:t>
  </x:si>
  <x:si>
    <x:t>[B,F,J,AE](1,2,12)</x:t>
  </x:si>
  <x:si>
    <x:t>[EJ](1,2)</x:t>
  </x:si>
  <x:si>
    <x:t>[EJ](1,2,12)</x:t>
  </x:si>
  <x:si>
    <x:t>[EJ](1,9)</x:t>
  </x:si>
  <x:si>
    <x:t>[EB,EJ](1,2,12)</x:t>
  </x:si>
  <x:si>
    <x:t>[EB,EJ](1,2)</x:t>
  </x:si>
  <x:si>
    <x:t>[EJ](1,2,3)</x:t>
  </x:si>
  <x:si>
    <x:t>[EB,EJ](1,2,3)</x:t>
  </x:si>
  <x:si>
    <x:t>[B,F,AI,DK](1,2,41)</x:t>
  </x:si>
  <x:si>
    <x:t>[B,F,AH,DL](1,2,42)</x:t>
  </x:si>
  <x:si>
    <x:t>[B,F,AG,DM](1,2,43)</x:t>
  </x:si>
  <x:si>
    <x:t>[B,F,AJ,DN](1,2,44)</x:t>
  </x:si>
  <x:si>
    <x:t>[B,F,DO](1,2,32)</x:t>
  </x:si>
  <x:si>
    <x:t>[B,DR,EI](1,2,45)</x:t>
  </x:si>
  <x:si>
    <x:t>[DR](1,2,45)</x:t>
  </x:si>
  <x:si>
    <x:t>[DR](1,9,45)</x:t>
  </x:si>
  <x:si>
    <x:t>[DR](1,2,12,45)</x:t>
  </x:si>
  <x:si>
    <x:t>J (11)</x:t>
  </x:si>
  <x:si>
    <x:t>[B,F,AI,DF](1,2,39)</x:t>
  </x:si>
  <x:si>
    <x:t>[B,F,AH,DG](1,2,35)</x:t>
  </x:si>
  <x:si>
    <x:t>[B,F,AE,DH,EN](1,2,33)</x:t>
  </x:si>
  <x:si>
    <x:t>[B,F,J,L,DI](1,2,40)</x:t>
  </x:si>
  <x:si>
    <x:t>[B,F,DJ](1,2,32)</x:t>
  </x:si>
  <x:si>
    <x:t>[B,F,AG](1,2,3,52)</x:t>
  </x:si>
  <x:si>
    <x:t>[B,F,AJ,DC](1,2,3,36)</x:t>
  </x:si>
  <x:si>
    <x:t>[B,F,J,DD](1,2,37)</x:t>
  </x:si>
  <x:si>
    <x:t>[DE](1,2,38)</x:t>
  </x:si>
  <x:si>
    <x:t>[DB](1,2,19)</x:t>
  </x:si>
  <x:si>
    <x:t>[D,AF,DA](1,2,19)</x:t>
  </x:si>
  <x:si>
    <x:t>[D,AF,DA](1,2,12,19)</x:t>
  </x:si>
  <x:si>
    <x:t>[D,AF,CX](1,2,12,19,21)</x:t>
  </x:si>
  <x:si>
    <x:t>[D,AF,CX](1,2,21)</x:t>
  </x:si>
  <x:si>
    <x:t>[D,AF,CX](1,2,12,21)</x:t>
  </x:si>
  <x:si>
    <x:t>J (12)</x:t>
  </x:si>
  <x:si>
    <x:t>[D,AF,CX](1,2,15,21)</x:t>
  </x:si>
  <x:si>
    <x:t>[D,AF,CW,CX,CZ](1,2,15,16,19,21)</x:t>
  </x:si>
  <x:si>
    <x:t>[D,AF,CW,CZ](1,2,12,16,19,21)</x:t>
  </x:si>
  <x:si>
    <x:t>[D,AF,CW,CZ](1,2,16,19)</x:t>
  </x:si>
  <x:si>
    <x:t>[D,AF,CW,CZ](1,2,12,16,19)</x:t>
  </x:si>
  <x:si>
    <x:t>[D,AF,CW](1,2,12,16)</x:t>
  </x:si>
  <x:si>
    <x:t>[D,AF,CW](1,2,16)</x:t>
  </x:si>
  <x:si>
    <x:t>[D,AF,CW](1,2,3,16)</x:t>
  </x:si>
  <x:si>
    <x:t>[D,AF](1,2,3)</x:t>
  </x:si>
  <x:si>
    <x:t>[CN](1,2)</x:t>
  </x:si>
  <x:si>
    <x:t>[CN](1,2,3)</x:t>
  </x:si>
  <x:si>
    <x:t>[CN](1,9)</x:t>
  </x:si>
  <x:si>
    <x:t>[EJ](1,2,12,34)</x:t>
  </x:si>
  <x:si>
    <x:t>[CT,EJ](1,2,12,34)</x:t>
  </x:si>
  <x:si>
    <x:t>[CT,EJ](1,2,34)</x:t>
  </x:si>
  <x:si>
    <x:t>J (13)</x:t>
  </x:si>
  <x:si>
    <x:t>[D,AF,CW](1,2,15,16)</x:t>
  </x:si>
  <x:si>
    <x:t>[D,AF,CW,CX,CY](1,2,15,16,19,21)</x:t>
  </x:si>
  <x:si>
    <x:t>[D,AF,CW,CX,CY](1,2,12,16,19,21)</x:t>
  </x:si>
  <x:si>
    <x:t>[D,AF,CW](1,2,12,16,19)</x:t>
  </x:si>
  <x:si>
    <x:t>[D,AF,CW](1,2,16,19)</x:t>
  </x:si>
  <x:si>
    <x:t>[D,AF,CV,CW,DP](1,2,15,16,19,21)</x:t>
  </x:si>
  <x:si>
    <x:t>[D,AF,BH,DP](1,2,15,19,21)</x:t>
  </x:si>
  <x:si>
    <x:t>[D,AF,BH](1,2,12,21)</x:t>
  </x:si>
  <x:si>
    <x:t>[D,AF,BH](1,2,21)</x:t>
  </x:si>
  <x:si>
    <x:t>[D,AF,BH](1,2,3,21)</x:t>
  </x:si>
  <x:si>
    <x:t>[D,AF,BH](1,2,12,21,35)</x:t>
  </x:si>
  <x:si>
    <x:t>[D,AF,CU](1,2,12,35)</x:t>
  </x:si>
  <x:si>
    <x:t>[D,AF,CU](1,2,35)</x:t>
  </x:si>
  <x:si>
    <x:t>NET UPLIFT, Ck Load on TCX</x:t>
  </x:si>
  <x:si>
    <x:t>Ck Load on TCX</x:t>
  </x:si>
  <x:si>
    <x:t>B (1)</x:t>
  </x:si>
  <x:si>
    <x:t>JB2</x:t>
  </x:si>
  <x:si>
    <x:t>JB3</x:t>
  </x:si>
  <x:si>
    <x:t>AXIAL THRU TIE PL LE, HOLD WOOD CLR 4" - 11K (MAX) AXIAL THRU SEAT RE, HOLD WOOD CLR 3"</x:t>
  </x:si>
  <x:si>
    <x:t>ER</x:t>
  </x:si>
  <x:si>
    <x:t>AXIAL THRU KNIFE PL LE, HOLD CLR 1'-7" - AXIAL THRU TIE PL RE</x:t>
  </x:si>
  <x:si>
    <x:t>ES</x:t>
  </x:si>
  <x:si>
    <x:t>AXIAL THRU TIE PL LE - AXIAL THRU KNIFE PL RE, HOLD CLR 1'-7"</x:t>
  </x:si>
  <x:si>
    <x:t>TYP  ALL JOISTS</x:t>
  </x:si>
  <x:si>
    <x:t>(4,5)</x:t>
  </x:si>
  <x:si>
    <x:t>[G,BI](4,5,50)</x:t>
  </x:si>
  <x:si>
    <x:t>[B,H,EQ](4,5,13)</x:t>
  </x:si>
  <x:si>
    <x:t>(4,5,10)</x:t>
  </x:si>
  <x:si>
    <x:t>[X](4,5,10)</x:t>
  </x:si>
  <x:si>
    <x:t>[BC](4,5,17)</x:t>
  </x:si>
  <x:si>
    <x:t>[EA](4,5,13)</x:t>
  </x:si>
  <x:si>
    <x:t>[C,H,BA,EO](4,5,10)</x:t>
  </x:si>
  <x:si>
    <x:t>[X, ER](4,5,13)</x:t>
  </x:si>
  <x:si>
    <x:t>(4,5,13)</x:t>
  </x:si>
  <x:si>
    <x:t>[BC](4,5,10)</x:t>
  </x:si>
  <x:si>
    <x:t>[BE](4,5,13)</x:t>
  </x:si>
  <x:si>
    <x:t>[C,H,EO](4,5,10)</x:t>
  </x:si>
  <x:si>
    <x:t>53</x:t>
  </x:si>
  <x:si>
    <x:t>2 x 4" MAINS @ GIRDER</x:t>
  </x:si>
  <x:si>
    <x:t>[Z](4,5,53)</x:t>
  </x:si>
  <x:si>
    <x:t>[BJ,CR,EM](4,5,6,13)</x:t>
  </x:si>
  <x:si>
    <x:t>[A](4,5,6)</x:t>
  </x:si>
  <x:si>
    <x:t>[G,BU,DZ](4,5,6,13)</x:t>
  </x:si>
  <x:si>
    <x:t>[EM, ES](4,5,6,13)</x:t>
  </x:si>
  <x:si>
    <x:t>[CR,EA](4,5,6,13)</x:t>
  </x:si>
  <x:si>
    <x:t>[G,DZ](4,5,6,10)</x:t>
  </x:si>
  <x:si>
    <x:t>[H,BD,EO](4,5,13)</x:t>
  </x:si>
  <x:si>
    <x:t>[BC](4,5,13)</x:t>
  </x:si>
  <x:si>
    <x:t>[H,BD,DX,EO](4,5,10)</x:t>
  </x:si>
  <x:si>
    <x:t>[H,BD,DW,EO](4,5,10)</x:t>
  </x:si>
  <x:si>
    <x:t>[G,DV](4,5,10)</x:t>
  </x:si>
  <x:si>
    <x:t>[DU, ES](4,5,13)</x:t>
  </x:si>
  <x:si>
    <x:t>[AX,BB](1,2,12)</x:t>
  </x:si>
  <x:si>
    <x:t>J95A</x:t>
  </x:si>
  <x:si>
    <x:t>ALL 2.5K JOIST SUBSTITUTES - DESIGNER SHOULD CONTACT HZ FOR DESIGN SPECS - 8.5K AXIAL LOAD ON JOIST SUB</x:t>
  </x:si>
  <x:si>
    <x:t>[AX,BB,BQ](1,2,12,23)</x:t>
  </x:si>
</x:sst>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8"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s>
  <fills count="25">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theme="0" tint="-0.249977111117893"/>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3059">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49" fontId="120" fillId="0" borderId="182" xfId="0" applyNumberFormat="1" applyFont="1" applyFill="1" applyBorder="1" applyAlignment="1" applyProtection="1">
      <alignment horizontal="center" vertical="center"/>
      <protection locked="0"/>
    </xf>
    <xf numFmtId="49"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49" fontId="120" fillId="0" borderId="168" xfId="0" applyNumberFormat="1" applyFont="1" applyFill="1" applyBorder="1" applyAlignment="1" applyProtection="1">
      <alignment horizontal="center" vertical="center"/>
      <protection locked="0"/>
    </xf>
    <xf numFmtId="49"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49" fontId="120" fillId="0" borderId="169" xfId="0" applyNumberFormat="1" applyFont="1" applyFill="1" applyBorder="1" applyAlignment="1" applyProtection="1">
      <alignment horizontal="center" vertical="center"/>
      <protection locked="0"/>
    </xf>
    <xf numFmtId="49"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12" fontId="47" fillId="20" borderId="12" xfId="0" applyNumberFormat="1" applyFont="1" applyFill="1" applyBorder="1" applyAlignment="1" applyProtection="1">
      <alignment horizontal="center"/>
      <protection hidden="1"/>
    </xf>
    <xf numFmtId="12" fontId="47" fillId="20" borderId="25" xfId="0" applyNumberFormat="1" applyFont="1" applyFill="1" applyBorder="1" applyAlignment="1" applyProtection="1">
      <alignment horizontal="center"/>
      <protection hidden="1"/>
    </xf>
    <xf numFmtId="12" fontId="47" fillId="20" borderId="31" xfId="0" applyNumberFormat="1" applyFont="1" applyFill="1" applyBorder="1" applyAlignment="1" applyProtection="1">
      <alignment horizontal="center"/>
      <protection hidden="1"/>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1"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3" borderId="382" xfId="2" applyFont="1" applyFill="1" applyBorder="1" applyAlignment="1" applyProtection="1">
      <alignment horizontal="center" wrapText="1"/>
      <protection hidden="1"/>
    </xf>
    <xf numFmtId="0" fontId="3" fillId="23"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49" fontId="120" fillId="0" borderId="168" xfId="0" applyNumberFormat="1" applyFont="1" applyFill="1" applyBorder="1" applyAlignment="1" applyProtection="1">
      <alignment horizontal="center" vertical="center"/>
    </xf>
    <xf numFmtId="49"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0" fontId="125" fillId="0" borderId="0" xfId="0" applyNumberFormat="1" applyFont="1" applyFill="1" applyBorder="1" applyAlignment="1" applyProtection="1">
      <alignment horizontal="lef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73" fillId="0" borderId="10" xfId="0" applyFont="1" applyFill="1" applyBorder="1" applyAlignment="1" applyProtection="1">
      <alignment horizontal="right" vertical="top"/>
    </xf>
    <xf numFmtId="0" fontId="73" fillId="0" borderId="11" xfId="0" applyFont="1" applyFill="1" applyBorder="1" applyAlignment="1" applyProtection="1">
      <alignment horizontal="right" vertical="top"/>
    </xf>
    <xf numFmtId="0" fontId="72" fillId="0" borderId="259" xfId="0" applyFont="1" applyFill="1" applyBorder="1" applyAlignment="1" applyProtection="1">
      <alignment horizontal="center" vertical="center" wrapText="1"/>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protection locked="0"/>
    </xf>
    <xf numFmtId="0" fontId="73" fillId="0" borderId="0" xfId="0" applyFont="1" applyFill="1" applyBorder="1" applyAlignment="1" applyProtection="1">
      <alignment horizontal="right"/>
    </xf>
    <xf numFmtId="0" fontId="72" fillId="0" borderId="267"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center"/>
    </xf>
    <xf numFmtId="0" fontId="15" fillId="2" borderId="0" xfId="0" applyFont="1" applyFill="1" applyBorder="1" applyAlignment="1" applyProtection="1">
      <alignment horizontal="center" vertic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0" fontId="134" fillId="0" borderId="8" xfId="0" applyFont="1" applyFill="1" applyBorder="1" applyAlignment="1" applyProtection="1">
      <alignment horizontal="center"/>
    </xf>
    <xf numFmtId="0" fontId="134" fillId="0" borderId="12" xfId="0" applyFont="1" applyFill="1" applyBorder="1" applyAlignment="1" applyProtection="1">
      <alignment horizontal="center"/>
    </xf>
    <xf numFmtId="188" fontId="134" fillId="0" borderId="11" xfId="0" applyNumberFormat="1" applyFont="1" applyFill="1" applyBorder="1" applyAlignment="1" applyProtection="1">
      <alignment horizontal="right"/>
    </xf>
    <xf numFmtId="170" fontId="134" fillId="0" borderId="22" xfId="0" applyNumberFormat="1" applyFont="1" applyFill="1" applyBorder="1" applyAlignment="1" applyProtection="1">
      <alignment horizontal="left"/>
    </xf>
    <xf numFmtId="165" fontId="134" fillId="0" borderId="12" xfId="0" applyNumberFormat="1" applyFont="1" applyFill="1" applyBorder="1" applyAlignment="1" applyProtection="1">
      <alignment horizontal="center"/>
    </xf>
    <xf numFmtId="171" fontId="134" fillId="0" borderId="12" xfId="0" applyNumberFormat="1" applyFont="1" applyFill="1" applyBorder="1" applyAlignment="1" applyProtection="1">
      <alignment horizontal="center"/>
    </xf>
    <xf numFmtId="1" fontId="134" fillId="0" borderId="21" xfId="0" applyNumberFormat="1" applyFont="1" applyFill="1" applyBorder="1" applyAlignment="1" applyProtection="1">
      <alignment horizontal="center"/>
    </xf>
    <xf numFmtId="0" fontId="134" fillId="0" borderId="9" xfId="0" applyFont="1" applyFill="1" applyBorder="1" applyAlignment="1" applyProtection="1">
      <alignment horizontal="center"/>
    </xf>
    <xf numFmtId="0" fontId="134" fillId="0" borderId="25" xfId="0" applyFont="1" applyFill="1" applyBorder="1" applyAlignment="1" applyProtection="1">
      <alignment horizontal="center"/>
    </xf>
    <xf numFmtId="188" fontId="134" fillId="0" borderId="117" xfId="0" applyNumberFormat="1" applyFont="1" applyFill="1" applyBorder="1" applyAlignment="1" applyProtection="1">
      <alignment horizontal="right"/>
    </xf>
    <xf numFmtId="170" fontId="134" fillId="0" borderId="145" xfId="0" applyNumberFormat="1" applyFont="1" applyFill="1" applyBorder="1" applyAlignment="1" applyProtection="1">
      <alignment horizontal="left"/>
    </xf>
    <xf numFmtId="165" fontId="134" fillId="0" borderId="25" xfId="0" applyNumberFormat="1" applyFont="1" applyFill="1" applyBorder="1" applyAlignment="1" applyProtection="1">
      <alignment horizontal="center"/>
    </xf>
    <xf numFmtId="171" fontId="134" fillId="0" borderId="25" xfId="0" applyNumberFormat="1" applyFont="1" applyFill="1" applyBorder="1" applyAlignment="1" applyProtection="1">
      <alignment horizontal="center"/>
    </xf>
    <xf numFmtId="1" fontId="134" fillId="0" borderId="26" xfId="0" applyNumberFormat="1" applyFont="1" applyFill="1" applyBorder="1" applyAlignment="1" applyProtection="1">
      <alignment horizontal="center"/>
    </xf>
    <xf numFmtId="49" fontId="121" fillId="0" borderId="333" xfId="0" applyNumberFormat="1" applyFont="1" applyFill="1" applyBorder="1" applyAlignment="1" applyProtection="1">
      <alignment horizontal="center"/>
    </xf>
    <xf numFmtId="49" fontId="121" fillId="0" borderId="161" xfId="0" applyNumberFormat="1" applyFont="1" applyFill="1" applyBorder="1" applyAlignment="1" applyProtection="1">
      <alignment horizontal="center"/>
    </xf>
    <xf numFmtId="49" fontId="121" fillId="0" borderId="320" xfId="0" applyNumberFormat="1" applyFont="1" applyFill="1" applyBorder="1" applyAlignment="1" applyProtection="1">
      <alignment horizontal="center"/>
    </xf>
    <xf numFmtId="49" fontId="120" fillId="0" borderId="297" xfId="0" applyNumberFormat="1" applyFont="1" applyFill="1" applyBorder="1" applyAlignment="1" applyProtection="1">
      <alignment horizontal="center"/>
    </xf>
    <xf numFmtId="49" fontId="120" fillId="0" borderId="221" xfId="0" applyNumberFormat="1" applyFont="1" applyFill="1" applyBorder="1" applyAlignment="1" applyProtection="1">
      <alignment horizontal="center"/>
    </xf>
    <xf numFmtId="49" fontId="120" fillId="0" borderId="222" xfId="0" applyNumberFormat="1" applyFont="1" applyFill="1" applyBorder="1" applyAlignment="1" applyProtection="1">
      <alignment horizontal="center"/>
    </xf>
    <xf numFmtId="1" fontId="120" fillId="0" borderId="297" xfId="0" applyNumberFormat="1" applyFont="1" applyFill="1" applyBorder="1" applyAlignment="1" applyProtection="1">
      <alignment horizontal="center"/>
    </xf>
    <xf numFmtId="188" fontId="120" fillId="0" borderId="222" xfId="0" applyNumberFormat="1" applyFont="1" applyFill="1" applyBorder="1" applyAlignment="1" applyProtection="1">
      <alignment horizontal="right"/>
    </xf>
    <xf numFmtId="186" fontId="120" fillId="0" borderId="354" xfId="0" applyNumberFormat="1" applyFont="1" applyFill="1" applyBorder="1" applyAlignment="1" applyProtection="1">
      <alignment horizontal="left"/>
    </xf>
    <xf numFmtId="49" fontId="120" fillId="0" borderId="333" xfId="0" applyNumberFormat="1" applyFont="1" applyFill="1" applyBorder="1" applyAlignment="1" applyProtection="1">
      <alignment horizontal="center"/>
    </xf>
    <xf numFmtId="49" fontId="116" fillId="0" borderId="333" xfId="0" applyNumberFormat="1" applyFont="1" applyFill="1" applyBorder="1" applyAlignment="1" applyProtection="1">
      <alignment horizontal="center"/>
    </xf>
    <xf numFmtId="49" fontId="120" fillId="0" borderId="333" xfId="0" applyNumberFormat="1" applyFont="1" applyFill="1" applyBorder="1" applyAlignment="1" applyProtection="1">
      <alignment horizontal="left"/>
    </xf>
    <xf numFmtId="49" fontId="120" fillId="16" borderId="0"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xf>
    <xf numFmtId="49" fontId="120" fillId="0" borderId="103" xfId="0" applyNumberFormat="1" applyFont="1" applyFill="1" applyBorder="1" applyAlignment="1" applyProtection="1">
      <alignment horizontal="center"/>
    </xf>
    <xf numFmtId="49" fontId="120" fillId="0" borderId="104" xfId="0" applyNumberFormat="1" applyFont="1" applyFill="1" applyBorder="1" applyAlignment="1" applyProtection="1">
      <alignment horizontal="center"/>
    </xf>
    <xf numFmtId="1" fontId="120" fillId="0" borderId="124" xfId="0" applyNumberFormat="1" applyFont="1" applyFill="1" applyBorder="1" applyAlignment="1" applyProtection="1">
      <alignment horizontal="center"/>
    </xf>
    <xf numFmtId="188" fontId="120" fillId="0" borderId="104" xfId="0" applyNumberFormat="1" applyFont="1" applyFill="1" applyBorder="1" applyAlignment="1" applyProtection="1">
      <alignment horizontal="right"/>
    </xf>
    <xf numFmtId="186" fontId="120" fillId="0" borderId="160" xfId="0" applyNumberFormat="1" applyFont="1" applyFill="1" applyBorder="1" applyAlignment="1" applyProtection="1">
      <alignment horizontal="left"/>
    </xf>
    <xf numFmtId="49" fontId="120" fillId="0" borderId="161" xfId="0" applyNumberFormat="1" applyFont="1" applyFill="1" applyBorder="1" applyAlignment="1" applyProtection="1">
      <alignment horizontal="center"/>
    </xf>
    <xf numFmtId="49" fontId="116" fillId="0" borderId="161" xfId="0" applyNumberFormat="1" applyFont="1" applyFill="1" applyBorder="1" applyAlignment="1" applyProtection="1">
      <alignment horizontal="center"/>
    </xf>
    <xf numFmtId="49" fontId="120" fillId="0" borderId="161" xfId="0" applyNumberFormat="1" applyFont="1" applyFill="1" applyBorder="1" applyAlignment="1" applyProtection="1">
      <alignment horizontal="left"/>
    </xf>
    <xf numFmtId="49" fontId="120" fillId="0" borderId="161" xfId="2" applyNumberFormat="1" applyFont="1" applyFill="1" applyBorder="1" applyAlignment="1" applyProtection="1">
      <alignment horizontal="left"/>
    </xf>
    <xf numFmtId="49" fontId="120" fillId="16" borderId="0" xfId="2"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xf>
    <xf numFmtId="49" fontId="120" fillId="0" borderId="120" xfId="0" applyNumberFormat="1" applyFont="1" applyFill="1" applyBorder="1" applyAlignment="1" applyProtection="1">
      <alignment horizontal="center"/>
    </xf>
    <xf numFmtId="49" fontId="120" fillId="0" borderId="338" xfId="0" applyNumberFormat="1" applyFont="1" applyFill="1" applyBorder="1" applyAlignment="1" applyProtection="1">
      <alignment horizontal="center"/>
    </xf>
    <xf numFmtId="1" fontId="120" fillId="0" borderId="125" xfId="0" applyNumberFormat="1" applyFont="1" applyFill="1" applyBorder="1" applyAlignment="1" applyProtection="1">
      <alignment horizontal="center"/>
    </xf>
    <xf numFmtId="188" fontId="120" fillId="0" borderId="338" xfId="0" applyNumberFormat="1" applyFont="1" applyFill="1" applyBorder="1" applyAlignment="1" applyProtection="1">
      <alignment horizontal="right"/>
    </xf>
    <xf numFmtId="186" fontId="120" fillId="0" borderId="316" xfId="0" applyNumberFormat="1" applyFont="1" applyFill="1" applyBorder="1" applyAlignment="1" applyProtection="1">
      <alignment horizontal="left"/>
    </xf>
    <xf numFmtId="49" fontId="120" fillId="0" borderId="320" xfId="0" applyNumberFormat="1" applyFont="1" applyFill="1" applyBorder="1" applyAlignment="1" applyProtection="1">
      <alignment horizontal="center"/>
    </xf>
    <xf numFmtId="49" fontId="120" fillId="0" borderId="320" xfId="0" applyNumberFormat="1" applyFont="1" applyFill="1" applyBorder="1" applyAlignment="1" applyProtection="1">
      <alignment horizontal="left"/>
    </xf>
    <xf numFmtId="49" fontId="121" fillId="0" borderId="353" xfId="0" applyNumberFormat="1" applyFont="1" applyFill="1" applyBorder="1" applyAlignment="1" applyProtection="1">
      <alignment horizontal="center" vertical="center"/>
    </xf>
    <xf numFmtId="49" fontId="122" fillId="0" borderId="353" xfId="0" applyNumberFormat="1" applyFont="1" applyFill="1" applyBorder="1" applyAlignment="1" applyProtection="1">
      <alignment horizontal="right" vertical="center"/>
    </xf>
    <xf numFmtId="169" fontId="122" fillId="0" borderId="223" xfId="0" applyNumberFormat="1" applyFont="1" applyFill="1" applyBorder="1" applyAlignment="1" applyProtection="1">
      <alignment horizontal="center" vertical="center"/>
    </xf>
    <xf numFmtId="169" fontId="122" fillId="0" borderId="354" xfId="0" applyNumberFormat="1" applyFont="1" applyFill="1" applyBorder="1" applyAlignment="1" applyProtection="1">
      <alignment horizontal="left" vertical="center"/>
    </xf>
    <xf numFmtId="49" fontId="121" fillId="0" borderId="315" xfId="0" applyNumberFormat="1" applyFont="1" applyFill="1" applyBorder="1" applyAlignment="1" applyProtection="1">
      <alignment horizontal="center" vertical="center"/>
    </xf>
    <xf numFmtId="49" fontId="122" fillId="0" borderId="315" xfId="0" applyNumberFormat="1" applyFont="1" applyFill="1" applyBorder="1" applyAlignment="1" applyProtection="1">
      <alignment horizontal="right" vertical="center"/>
    </xf>
    <xf numFmtId="169" fontId="122" fillId="0" borderId="107" xfId="0" applyNumberFormat="1" applyFont="1" applyFill="1" applyBorder="1" applyAlignment="1" applyProtection="1">
      <alignment horizontal="center" vertical="center"/>
    </xf>
    <xf numFmtId="169" fontId="122" fillId="0" borderId="160" xfId="0" applyNumberFormat="1" applyFont="1" applyFill="1" applyBorder="1" applyAlignment="1" applyProtection="1">
      <alignment horizontal="left" vertical="center"/>
    </xf>
    <xf numFmtId="49" fontId="121" fillId="0" borderId="317" xfId="0" applyNumberFormat="1" applyFont="1" applyFill="1" applyBorder="1" applyAlignment="1" applyProtection="1">
      <alignment horizontal="center" vertical="center"/>
    </xf>
    <xf numFmtId="49" fontId="122" fillId="0" borderId="317" xfId="0" applyNumberFormat="1" applyFont="1" applyFill="1" applyBorder="1" applyAlignment="1" applyProtection="1">
      <alignment horizontal="right" vertical="center"/>
    </xf>
    <xf numFmtId="169" fontId="122" fillId="0" borderId="341" xfId="0" applyNumberFormat="1" applyFont="1" applyFill="1" applyBorder="1" applyAlignment="1" applyProtection="1">
      <alignment horizontal="center" vertical="center"/>
    </xf>
    <xf numFmtId="169" fontId="122" fillId="0" borderId="316" xfId="0" applyNumberFormat="1" applyFont="1" applyFill="1" applyBorder="1" applyAlignment="1" applyProtection="1">
      <alignment horizontal="left" vertical="center"/>
    </xf>
    <xf numFmtId="1" fontId="121" fillId="0" borderId="224" xfId="0" applyNumberFormat="1" applyFont="1" applyFill="1" applyBorder="1" applyAlignment="1" applyProtection="1">
      <alignment horizontal="center"/>
    </xf>
    <xf numFmtId="1" fontId="121" fillId="0" borderId="221" xfId="0" applyNumberFormat="1" applyFont="1" applyFill="1" applyBorder="1" applyAlignment="1" applyProtection="1">
      <alignment horizontal="center"/>
    </xf>
    <xf numFmtId="1" fontId="121" fillId="0" borderId="296" xfId="0" applyNumberFormat="1" applyFont="1" applyFill="1" applyBorder="1" applyAlignment="1" applyProtection="1">
      <alignment horizontal="center"/>
    </xf>
    <xf numFmtId="1" fontId="121" fillId="0" borderId="105" xfId="0" applyNumberFormat="1" applyFont="1" applyFill="1" applyBorder="1" applyAlignment="1" applyProtection="1">
      <alignment horizontal="center"/>
    </xf>
    <xf numFmtId="1" fontId="121" fillId="0" borderId="103" xfId="0" applyNumberFormat="1" applyFont="1" applyFill="1" applyBorder="1" applyAlignment="1" applyProtection="1">
      <alignment horizontal="center"/>
    </xf>
    <xf numFmtId="1" fontId="121" fillId="0" borderId="106" xfId="0" applyNumberFormat="1" applyFont="1" applyFill="1" applyBorder="1" applyAlignment="1" applyProtection="1">
      <alignment horizontal="center"/>
    </xf>
    <xf numFmtId="1" fontId="121" fillId="0" borderId="332" xfId="0" applyNumberFormat="1" applyFont="1" applyFill="1" applyBorder="1" applyAlignment="1" applyProtection="1">
      <alignment horizontal="center"/>
    </xf>
    <xf numFmtId="1" fontId="121" fillId="0" borderId="120" xfId="0" applyNumberFormat="1" applyFont="1" applyFill="1" applyBorder="1" applyAlignment="1" applyProtection="1">
      <alignment horizontal="center"/>
    </xf>
    <xf numFmtId="1" fontId="121" fillId="0" borderId="121" xfId="0" applyNumberFormat="1" applyFont="1" applyFill="1" applyBorder="1" applyAlignment="1" applyProtection="1">
      <alignment horizontal="center"/>
    </xf>
    <xf numFmtId="49" fontId="121" fillId="0" borderId="62" xfId="0" applyNumberFormat="1" applyFont="1" applyFill="1" applyBorder="1" applyAlignment="1" applyProtection="1">
      <alignment horizontal="center"/>
    </xf>
    <xf numFmtId="49" fontId="121" fillId="0" borderId="82" xfId="0" applyNumberFormat="1" applyFont="1" applyFill="1" applyBorder="1" applyAlignment="1" applyProtection="1">
      <alignment horizontal="center"/>
    </xf>
    <xf numFmtId="49" fontId="121" fillId="0" borderId="63" xfId="0" applyNumberFormat="1" applyFont="1" applyFill="1" applyBorder="1" applyAlignment="1" applyProtection="1">
      <alignment horizontal="center"/>
    </xf>
    <xf numFmtId="0" fontId="120" fillId="0" borderId="336" xfId="0" applyNumberFormat="1" applyFont="1" applyFill="1" applyBorder="1" applyAlignment="1" applyProtection="1">
      <alignment horizontal="center" vertical="center"/>
    </xf>
    <xf numFmtId="1" fontId="120" fillId="0" borderId="123" xfId="0" applyNumberFormat="1" applyFont="1" applyFill="1" applyBorder="1" applyAlignment="1" applyProtection="1">
      <alignment horizontal="center" vertical="center"/>
    </xf>
    <xf numFmtId="0" fontId="120" fillId="0" borderId="123" xfId="0" applyNumberFormat="1" applyFont="1" applyFill="1" applyBorder="1" applyAlignment="1" applyProtection="1">
      <alignment horizontal="center" vertical="center"/>
    </xf>
    <xf numFmtId="188" fontId="126" fillId="0" borderId="334" xfId="0" applyNumberFormat="1" applyFont="1" applyFill="1" applyBorder="1" applyAlignment="1" applyProtection="1">
      <alignment horizontal="right" vertical="center"/>
    </xf>
    <xf numFmtId="170" fontId="126" fillId="0" borderId="340" xfId="0" applyNumberFormat="1" applyFont="1" applyFill="1" applyBorder="1" applyAlignment="1" applyProtection="1">
      <alignment horizontal="left" vertical="center"/>
    </xf>
    <xf numFmtId="170" fontId="126" fillId="0" borderId="342" xfId="0" applyNumberFormat="1" applyFont="1" applyFill="1" applyBorder="1" applyAlignment="1" applyProtection="1">
      <alignment horizontal="center" vertical="center"/>
    </xf>
    <xf numFmtId="188" fontId="126" fillId="0" borderId="340" xfId="0" applyNumberFormat="1" applyFont="1" applyFill="1" applyBorder="1" applyAlignment="1" applyProtection="1">
      <alignment horizontal="right" vertical="center"/>
    </xf>
    <xf numFmtId="170" fontId="126" fillId="0" borderId="335" xfId="0" applyNumberFormat="1" applyFont="1" applyFill="1" applyBorder="1" applyAlignment="1" applyProtection="1">
      <alignment horizontal="left" vertical="center"/>
    </xf>
    <xf numFmtId="0" fontId="126" fillId="0" borderId="123" xfId="0" applyNumberFormat="1" applyFont="1" applyFill="1" applyBorder="1" applyAlignment="1" applyProtection="1">
      <alignment horizontal="center" vertical="center"/>
    </xf>
    <xf numFmtId="0" fontId="126" fillId="0" borderId="334" xfId="0" applyNumberFormat="1" applyFont="1" applyFill="1" applyBorder="1" applyAlignment="1" applyProtection="1">
      <alignment horizontal="center" vertical="center"/>
    </xf>
    <xf numFmtId="170" fontId="126" fillId="0" borderId="336" xfId="0" applyNumberFormat="1" applyFont="1" applyFill="1" applyBorder="1" applyAlignment="1" applyProtection="1">
      <alignment horizontal="center" vertical="center"/>
    </xf>
    <xf numFmtId="170" fontId="126" fillId="0" borderId="337" xfId="0" applyNumberFormat="1" applyFont="1" applyFill="1" applyBorder="1" applyAlignment="1" applyProtection="1">
      <alignment horizontal="center" vertical="center"/>
    </xf>
    <xf numFmtId="188" fontId="126" fillId="0" borderId="343" xfId="0" applyNumberFormat="1" applyFont="1" applyFill="1" applyBorder="1" applyAlignment="1" applyProtection="1">
      <alignment horizontal="right" vertical="center"/>
    </xf>
    <xf numFmtId="167" fontId="126" fillId="0" borderId="335" xfId="0" applyNumberFormat="1" applyFont="1" applyFill="1" applyBorder="1" applyAlignment="1" applyProtection="1">
      <alignment horizontal="center" vertical="center"/>
    </xf>
    <xf numFmtId="167" fontId="126" fillId="0" borderId="334" xfId="0" applyNumberFormat="1" applyFont="1" applyFill="1" applyBorder="1" applyAlignment="1" applyProtection="1">
      <alignment horizontal="center" vertical="center"/>
    </xf>
    <xf numFmtId="49" fontId="126" fillId="0" borderId="103" xfId="0" applyNumberFormat="1" applyFont="1" applyFill="1" applyBorder="1" applyAlignment="1" applyProtection="1">
      <alignment horizontal="left" vertical="center"/>
    </xf>
    <xf numFmtId="1" fontId="126" fillId="0" borderId="342" xfId="0" applyNumberFormat="1" applyFont="1" applyBorder="1" applyAlignment="1" applyProtection="1">
      <alignment horizontal="center" vertical="center"/>
    </xf>
    <xf numFmtId="0" fontId="120" fillId="0" borderId="125" xfId="0" applyNumberFormat="1" applyFont="1" applyFill="1" applyBorder="1" applyAlignment="1" applyProtection="1">
      <alignment horizontal="center" vertical="center"/>
    </xf>
    <xf numFmtId="1" fontId="120" fillId="0" borderId="120" xfId="0" applyNumberFormat="1" applyFont="1" applyFill="1" applyBorder="1" applyAlignment="1" applyProtection="1">
      <alignment horizontal="center" vertical="center"/>
    </xf>
    <xf numFmtId="0" fontId="120" fillId="0" borderId="120" xfId="0" applyNumberFormat="1" applyFont="1" applyFill="1" applyBorder="1" applyAlignment="1" applyProtection="1">
      <alignment horizontal="center" vertical="center"/>
    </xf>
    <xf numFmtId="188" fontId="126" fillId="0" borderId="338" xfId="0" applyNumberFormat="1" applyFont="1" applyFill="1" applyBorder="1" applyAlignment="1" applyProtection="1">
      <alignment horizontal="right" vertical="center"/>
    </xf>
    <xf numFmtId="170" fontId="126" fillId="0" borderId="341" xfId="0" applyNumberFormat="1" applyFont="1" applyFill="1" applyBorder="1" applyAlignment="1" applyProtection="1">
      <alignment horizontal="left" vertical="center"/>
    </xf>
    <xf numFmtId="170" fontId="126" fillId="0" borderId="320" xfId="0" applyNumberFormat="1" applyFont="1" applyFill="1" applyBorder="1" applyAlignment="1" applyProtection="1">
      <alignment horizontal="center" vertical="center"/>
    </xf>
    <xf numFmtId="188" fontId="126" fillId="0" borderId="341" xfId="0" applyNumberFormat="1" applyFont="1" applyFill="1" applyBorder="1" applyAlignment="1" applyProtection="1">
      <alignment horizontal="right" vertical="center"/>
    </xf>
    <xf numFmtId="170" fontId="126" fillId="0" borderId="332" xfId="0" applyNumberFormat="1" applyFont="1" applyFill="1" applyBorder="1" applyAlignment="1" applyProtection="1">
      <alignment horizontal="left" vertical="center"/>
    </xf>
    <xf numFmtId="0" fontId="126" fillId="0" borderId="120" xfId="0" applyNumberFormat="1" applyFont="1" applyFill="1" applyBorder="1" applyAlignment="1" applyProtection="1">
      <alignment horizontal="center" vertical="center"/>
    </xf>
    <xf numFmtId="0" fontId="126" fillId="0" borderId="338" xfId="0" applyNumberFormat="1" applyFont="1" applyFill="1" applyBorder="1" applyAlignment="1" applyProtection="1">
      <alignment horizontal="center" vertical="center"/>
    </xf>
    <xf numFmtId="170" fontId="126" fillId="0" borderId="125" xfId="0" applyNumberFormat="1" applyFont="1" applyFill="1" applyBorder="1" applyAlignment="1" applyProtection="1">
      <alignment horizontal="center" vertical="center"/>
    </xf>
    <xf numFmtId="170" fontId="126" fillId="0" borderId="121" xfId="0" applyNumberFormat="1" applyFont="1" applyFill="1" applyBorder="1" applyAlignment="1" applyProtection="1">
      <alignment horizontal="center" vertical="center"/>
    </xf>
    <xf numFmtId="188" fontId="126" fillId="0" borderId="317" xfId="0" applyNumberFormat="1" applyFont="1" applyFill="1" applyBorder="1" applyAlignment="1" applyProtection="1">
      <alignment horizontal="right" vertical="center"/>
    </xf>
    <xf numFmtId="167" fontId="126" fillId="0" borderId="332" xfId="0" applyNumberFormat="1" applyFont="1" applyFill="1" applyBorder="1" applyAlignment="1" applyProtection="1">
      <alignment horizontal="center" vertical="center"/>
    </xf>
    <xf numFmtId="167" fontId="126" fillId="0" borderId="338" xfId="0" applyNumberFormat="1" applyFont="1" applyFill="1" applyBorder="1" applyAlignment="1" applyProtection="1">
      <alignment horizontal="center" vertical="center"/>
    </xf>
    <xf numFmtId="1" fontId="126" fillId="0" borderId="320" xfId="0" applyNumberFormat="1" applyFont="1" applyBorder="1" applyAlignment="1" applyProtection="1">
      <alignment horizontal="center" vertical="center"/>
    </xf>
    <xf numFmtId="0" fontId="120" fillId="0" borderId="297" xfId="0" applyNumberFormat="1" applyFont="1" applyFill="1" applyBorder="1" applyAlignment="1" applyProtection="1">
      <alignment horizontal="center"/>
    </xf>
    <xf numFmtId="0" fontId="126" fillId="0" borderId="221" xfId="0" applyNumberFormat="1" applyFont="1" applyFill="1" applyBorder="1" applyAlignment="1" applyProtection="1">
      <alignment horizontal="center"/>
    </xf>
    <xf numFmtId="188" fontId="126" fillId="0" borderId="222" xfId="0" applyNumberFormat="1" applyFont="1" applyFill="1" applyBorder="1" applyAlignment="1" applyProtection="1">
      <alignment horizontal="right"/>
    </xf>
    <xf numFmtId="170" fontId="126" fillId="0" borderId="224" xfId="0" applyNumberFormat="1" applyFont="1" applyFill="1" applyBorder="1" applyAlignment="1" applyProtection="1">
      <alignment horizontal="left"/>
    </xf>
    <xf numFmtId="166" fontId="126" fillId="0" borderId="222" xfId="0" applyNumberFormat="1" applyFont="1" applyFill="1" applyBorder="1" applyAlignment="1" applyProtection="1">
      <alignment horizontal="center"/>
    </xf>
    <xf numFmtId="0" fontId="126" fillId="0" borderId="351" xfId="0" applyNumberFormat="1" applyFont="1" applyFill="1" applyBorder="1" applyAlignment="1" applyProtection="1">
      <alignment horizontal="center"/>
    </xf>
    <xf numFmtId="170" fontId="126" fillId="0" borderId="221" xfId="0" applyNumberFormat="1" applyFont="1" applyFill="1" applyBorder="1" applyAlignment="1" applyProtection="1">
      <alignment horizontal="center"/>
    </xf>
    <xf numFmtId="170" fontId="126" fillId="0" borderId="222" xfId="0" applyNumberFormat="1" applyFont="1" applyFill="1" applyBorder="1" applyAlignment="1" applyProtection="1">
      <alignment horizontal="center"/>
    </xf>
    <xf numFmtId="170" fontId="126" fillId="0" borderId="297" xfId="0" applyNumberFormat="1" applyFont="1" applyFill="1" applyBorder="1" applyAlignment="1" applyProtection="1">
      <alignment horizontal="center"/>
    </xf>
    <xf numFmtId="170" fontId="126" fillId="0" borderId="352" xfId="0" applyNumberFormat="1" applyFont="1" applyFill="1" applyBorder="1" applyAlignment="1" applyProtection="1">
      <alignment horizontal="center"/>
    </xf>
    <xf numFmtId="188" fontId="126" fillId="0" borderId="223" xfId="0" applyNumberFormat="1" applyFont="1" applyFill="1" applyBorder="1" applyAlignment="1" applyProtection="1">
      <alignment horizontal="right"/>
    </xf>
    <xf numFmtId="166" fontId="126" fillId="0" borderId="221" xfId="0" applyNumberFormat="1" applyFont="1" applyFill="1" applyBorder="1" applyAlignment="1" applyProtection="1">
      <alignment horizontal="center"/>
    </xf>
    <xf numFmtId="0" fontId="126" fillId="0" borderId="337" xfId="0" applyNumberFormat="1" applyFont="1" applyFill="1" applyBorder="1" applyAlignment="1" applyProtection="1">
      <alignment horizontal="center"/>
    </xf>
    <xf numFmtId="188" fontId="126" fillId="0" borderId="343" xfId="0" applyNumberFormat="1" applyFont="1" applyFill="1" applyBorder="1" applyAlignment="1" applyProtection="1">
      <alignment horizontal="right"/>
    </xf>
    <xf numFmtId="0" fontId="126" fillId="0" borderId="296" xfId="0" applyNumberFormat="1" applyFont="1" applyFill="1" applyBorder="1" applyAlignment="1" applyProtection="1">
      <alignment horizontal="center"/>
    </xf>
    <xf numFmtId="188" fontId="126" fillId="24" borderId="315" xfId="0" applyNumberFormat="1" applyFont="1" applyFill="1" applyBorder="1" applyAlignment="1" applyProtection="1">
      <alignment horizontal="right"/>
    </xf>
    <xf numFmtId="170" fontId="126" fillId="24" borderId="105" xfId="0" applyNumberFormat="1" applyFont="1" applyFill="1" applyBorder="1" applyAlignment="1" applyProtection="1">
      <alignment horizontal="left"/>
    </xf>
    <xf numFmtId="0" fontId="126" fillId="24" borderId="106" xfId="0" applyNumberFormat="1" applyFont="1" applyFill="1" applyBorder="1" applyAlignment="1" applyProtection="1">
      <alignment horizontal="center"/>
    </xf>
    <xf numFmtId="0" fontId="120" fillId="0" borderId="125" xfId="0" applyNumberFormat="1" applyFont="1" applyFill="1" applyBorder="1" applyAlignment="1" applyProtection="1">
      <alignment horizontal="center"/>
    </xf>
    <xf numFmtId="0" fontId="126" fillId="0" borderId="120" xfId="0" applyNumberFormat="1" applyFont="1" applyFill="1" applyBorder="1" applyAlignment="1" applyProtection="1">
      <alignment horizontal="center"/>
    </xf>
    <xf numFmtId="188" fontId="126" fillId="0" borderId="338" xfId="0" applyNumberFormat="1" applyFont="1" applyFill="1" applyBorder="1" applyAlignment="1" applyProtection="1">
      <alignment horizontal="right"/>
    </xf>
    <xf numFmtId="170" fontId="126" fillId="0" borderId="332" xfId="0" applyNumberFormat="1" applyFont="1" applyFill="1" applyBorder="1" applyAlignment="1" applyProtection="1">
      <alignment horizontal="left"/>
    </xf>
    <xf numFmtId="166" fontId="126" fillId="0" borderId="338" xfId="0" applyNumberFormat="1" applyFont="1" applyFill="1" applyBorder="1" applyAlignment="1" applyProtection="1">
      <alignment horizontal="center"/>
    </xf>
    <xf numFmtId="0" fontId="126" fillId="0" borderId="349" xfId="0" applyNumberFormat="1" applyFont="1" applyFill="1" applyBorder="1" applyAlignment="1" applyProtection="1">
      <alignment horizontal="center"/>
    </xf>
    <xf numFmtId="170" fontId="126" fillId="0" borderId="120" xfId="0" applyNumberFormat="1" applyFont="1" applyFill="1" applyBorder="1" applyAlignment="1" applyProtection="1">
      <alignment horizontal="center"/>
    </xf>
    <xf numFmtId="170" fontId="126" fillId="0" borderId="338" xfId="0" applyNumberFormat="1" applyFont="1" applyFill="1" applyBorder="1" applyAlignment="1" applyProtection="1">
      <alignment horizontal="center"/>
    </xf>
    <xf numFmtId="170" fontId="126" fillId="0" borderId="125" xfId="0" applyNumberFormat="1" applyFont="1" applyFill="1" applyBorder="1" applyAlignment="1" applyProtection="1">
      <alignment horizontal="center"/>
    </xf>
    <xf numFmtId="170" fontId="126" fillId="0" borderId="350" xfId="0" applyNumberFormat="1" applyFont="1" applyFill="1" applyBorder="1" applyAlignment="1" applyProtection="1">
      <alignment horizontal="center"/>
    </xf>
    <xf numFmtId="188" fontId="126" fillId="0" borderId="341" xfId="0" applyNumberFormat="1" applyFont="1" applyFill="1" applyBorder="1" applyAlignment="1" applyProtection="1">
      <alignment horizontal="right"/>
    </xf>
    <xf numFmtId="166" fontId="126" fillId="0" borderId="120" xfId="0" applyNumberFormat="1" applyFont="1" applyFill="1" applyBorder="1" applyAlignment="1" applyProtection="1">
      <alignment horizontal="center"/>
    </xf>
    <xf numFmtId="0" fontId="126" fillId="0" borderId="121" xfId="0" applyNumberFormat="1" applyFont="1" applyFill="1" applyBorder="1" applyAlignment="1" applyProtection="1">
      <alignment horizontal="center"/>
    </xf>
    <xf numFmtId="188" fontId="126" fillId="0" borderId="317" xfId="0" applyNumberFormat="1" applyFont="1" applyFill="1" applyBorder="1" applyAlignment="1" applyProtection="1">
      <alignment horizontal="right"/>
    </xf>
    <xf numFmtId="0" fontId="120" fillId="0" borderId="297" xfId="0" applyNumberFormat="1" applyFont="1" applyFill="1" applyBorder="1" applyAlignment="1" applyProtection="1">
      <alignment horizontal="center" vertical="center"/>
    </xf>
    <xf numFmtId="1" fontId="120" fillId="0" borderId="221" xfId="0" applyNumberFormat="1" applyFont="1" applyFill="1" applyBorder="1" applyAlignment="1" applyProtection="1">
      <alignment horizontal="center" vertical="center"/>
    </xf>
    <xf numFmtId="0" fontId="120" fillId="0" borderId="221" xfId="0" applyNumberFormat="1" applyFont="1" applyFill="1" applyBorder="1" applyAlignment="1" applyProtection="1">
      <alignment horizontal="center" vertical="center"/>
    </xf>
    <xf numFmtId="188" fontId="126" fillId="0" borderId="222" xfId="0" applyNumberFormat="1" applyFont="1" applyFill="1" applyBorder="1" applyAlignment="1" applyProtection="1">
      <alignment horizontal="right" vertical="center"/>
    </xf>
    <xf numFmtId="170" fontId="126" fillId="0" borderId="223" xfId="0" applyNumberFormat="1" applyFont="1" applyFill="1" applyBorder="1" applyAlignment="1" applyProtection="1">
      <alignment horizontal="left" vertical="center"/>
    </xf>
    <xf numFmtId="170" fontId="126" fillId="0" borderId="333" xfId="0" applyNumberFormat="1" applyFont="1" applyFill="1" applyBorder="1" applyAlignment="1" applyProtection="1">
      <alignment horizontal="center" vertical="center"/>
    </xf>
    <xf numFmtId="188" fontId="126" fillId="0" borderId="223" xfId="0" applyNumberFormat="1" applyFont="1" applyFill="1" applyBorder="1" applyAlignment="1" applyProtection="1">
      <alignment horizontal="right" vertical="center"/>
    </xf>
    <xf numFmtId="170" fontId="126" fillId="0" borderId="224" xfId="0" applyNumberFormat="1" applyFont="1" applyFill="1" applyBorder="1" applyAlignment="1" applyProtection="1">
      <alignment horizontal="left" vertical="center"/>
    </xf>
    <xf numFmtId="0" fontId="126" fillId="0" borderId="221" xfId="0" applyNumberFormat="1" applyFont="1" applyFill="1" applyBorder="1" applyAlignment="1" applyProtection="1">
      <alignment horizontal="center" vertical="center"/>
    </xf>
    <xf numFmtId="0" fontId="126" fillId="0" borderId="222" xfId="0" applyNumberFormat="1" applyFont="1" applyFill="1" applyBorder="1" applyAlignment="1" applyProtection="1">
      <alignment horizontal="center" vertical="center"/>
    </xf>
    <xf numFmtId="170" fontId="126" fillId="0" borderId="297" xfId="0" applyNumberFormat="1" applyFont="1" applyFill="1" applyBorder="1" applyAlignment="1" applyProtection="1">
      <alignment horizontal="center" vertical="center"/>
    </xf>
    <xf numFmtId="170" fontId="126" fillId="0" borderId="296" xfId="0" applyNumberFormat="1" applyFont="1" applyFill="1" applyBorder="1" applyAlignment="1" applyProtection="1">
      <alignment horizontal="center" vertical="center"/>
    </xf>
    <xf numFmtId="188" fontId="126" fillId="0" borderId="353" xfId="0" applyNumberFormat="1" applyFont="1" applyFill="1" applyBorder="1" applyAlignment="1" applyProtection="1">
      <alignment horizontal="right" vertical="center"/>
    </xf>
    <xf numFmtId="167" fontId="126" fillId="0" borderId="224" xfId="0" applyNumberFormat="1" applyFont="1" applyFill="1" applyBorder="1" applyAlignment="1" applyProtection="1">
      <alignment horizontal="center" vertical="center"/>
    </xf>
    <xf numFmtId="167" fontId="126" fillId="0" borderId="222" xfId="0" applyNumberFormat="1" applyFont="1" applyFill="1" applyBorder="1" applyAlignment="1" applyProtection="1">
      <alignment horizontal="center" vertical="center"/>
    </xf>
    <xf numFmtId="1" fontId="126" fillId="0" borderId="354" xfId="0" applyNumberFormat="1" applyFont="1" applyBorder="1" applyAlignment="1" applyProtection="1">
      <alignment horizontal="center" vertical="center"/>
    </xf>
    <xf numFmtId="1" fontId="126" fillId="0" borderId="316" xfId="0" applyNumberFormat="1" applyFont="1" applyBorder="1" applyAlignment="1" applyProtection="1">
      <alignment horizontal="center" vertical="center"/>
    </xf>
    <xf numFmtId="170" fontId="126" fillId="0" borderId="296" xfId="0" applyNumberFormat="1" applyFont="1" applyFill="1" applyBorder="1" applyAlignment="1" applyProtection="1">
      <alignment horizontal="center"/>
    </xf>
    <xf numFmtId="188" fontId="126" fillId="0" borderId="353" xfId="0" applyNumberFormat="1" applyFont="1" applyFill="1" applyBorder="1" applyAlignment="1" applyProtection="1">
      <alignment horizontal="right"/>
    </xf>
    <xf numFmtId="188" fontId="126" fillId="24" borderId="107" xfId="0" applyNumberFormat="1" applyFont="1" applyFill="1" applyBorder="1" applyAlignment="1" applyProtection="1">
      <alignment horizontal="right"/>
    </xf>
    <xf numFmtId="170" fontId="126" fillId="0" borderId="121" xfId="0" applyNumberFormat="1" applyFont="1" applyFill="1" applyBorder="1" applyAlignment="1" applyProtection="1">
      <alignment horizontal="center"/>
    </xf>
    <xf numFmtId="49" fontId="126" fillId="0" borderId="160" xfId="0" applyNumberFormat="1" applyFont="1" applyFill="1" applyBorder="1" applyAlignment="1" applyProtection="1">
      <alignment horizontal="left"/>
    </xf>
    <xf numFmtId="0" fontId="120" fillId="0" borderId="120" xfId="0" applyNumberFormat="1" applyFont="1" applyFill="1" applyBorder="1" applyAlignment="1" applyProtection="1">
      <alignment horizontal="center"/>
    </xf>
    <xf numFmtId="170" fontId="126" fillId="0" borderId="316" xfId="0" applyNumberFormat="1" applyFont="1" applyFill="1" applyBorder="1" applyAlignment="1" applyProtection="1">
      <alignment horizontal="left"/>
    </xf>
    <xf numFmtId="12" fontId="126" fillId="0" borderId="120" xfId="0" applyNumberFormat="1" applyFont="1" applyFill="1" applyBorder="1" applyAlignment="1" applyProtection="1">
      <alignment horizontal="center"/>
    </xf>
    <xf numFmtId="12" fontId="126" fillId="0" borderId="338" xfId="0" applyNumberFormat="1" applyFont="1" applyFill="1" applyBorder="1" applyAlignment="1" applyProtection="1">
      <alignment horizontal="center"/>
    </xf>
    <xf numFmtId="167" fontId="126" fillId="0" borderId="125" xfId="0" applyNumberFormat="1" applyFont="1" applyFill="1" applyBorder="1" applyAlignment="1" applyProtection="1">
      <alignment horizontal="center"/>
    </xf>
    <xf numFmtId="167" fontId="126" fillId="0" borderId="121" xfId="0" applyNumberFormat="1" applyFont="1" applyFill="1" applyBorder="1" applyAlignment="1" applyProtection="1">
      <alignment horizontal="center"/>
    </xf>
    <xf numFmtId="3" fontId="120" fillId="0" borderId="0" xfId="0" applyNumberFormat="1" applyFont="1" applyFill="1" applyBorder="1" applyAlignment="1" applyProtection="1">
      <alignment horizontal="left" indent="2"/>
    </xf>
    <xf numFmtId="170" fontId="126" fillId="0" borderId="341" xfId="0" applyNumberFormat="1" applyFont="1" applyFill="1" applyBorder="1" applyAlignment="1" applyProtection="1">
      <alignment horizontal="left"/>
    </xf>
    <xf numFmtId="12" fontId="126" fillId="0" borderId="121" xfId="0" applyNumberFormat="1" applyFont="1" applyFill="1" applyBorder="1" applyAlignment="1" applyProtection="1">
      <alignment horizontal="center"/>
    </xf>
    <xf numFmtId="0" fontId="126" fillId="0" borderId="338" xfId="0" applyNumberFormat="1" applyFont="1" applyFill="1" applyBorder="1" applyAlignment="1" applyProtection="1">
      <alignment horizontal="center"/>
    </xf>
    <xf numFmtId="0" fontId="120" fillId="24" borderId="124" xfId="0" applyNumberFormat="1" applyFont="1" applyFill="1" applyBorder="1" applyAlignment="1" applyProtection="1">
      <alignment horizontal="center"/>
    </xf>
    <xf numFmtId="0" fontId="120" fillId="24" borderId="104" xfId="0" applyNumberFormat="1" applyFont="1" applyFill="1" applyBorder="1" applyAlignment="1" applyProtection="1">
      <alignment horizontal="center"/>
    </xf>
    <xf numFmtId="0" fontId="120" fillId="0" borderId="106" xfId="0" applyNumberFormat="1" applyFont="1" applyFill="1" applyBorder="1" applyAlignment="1" applyProtection="1">
      <alignment horizontal="center"/>
    </xf>
    <xf numFmtId="171" fontId="120" fillId="0" borderId="106" xfId="0" applyNumberFormat="1" applyFont="1" applyFill="1" applyBorder="1" applyAlignment="1" applyProtection="1">
      <alignment horizontal="center"/>
    </xf>
    <xf numFmtId="0" fontId="120" fillId="0" borderId="105" xfId="0" applyNumberFormat="1" applyFont="1" applyFill="1" applyBorder="1" applyAlignment="1" applyProtection="1">
      <alignment horizontal="center"/>
    </xf>
    <xf numFmtId="171" fontId="120" fillId="0" borderId="104" xfId="0" applyNumberFormat="1" applyFont="1" applyFill="1" applyBorder="1" applyAlignment="1" applyProtection="1">
      <alignment horizontal="center"/>
    </xf>
    <xf numFmtId="183" fontId="120" fillId="0" borderId="315" xfId="0" applyNumberFormat="1" applyFont="1" applyFill="1" applyBorder="1" applyAlignment="1" applyProtection="1">
      <alignment horizontal="right"/>
    </xf>
    <xf numFmtId="171" fontId="120" fillId="0" borderId="160" xfId="0" applyNumberFormat="1" applyFont="1" applyFill="1" applyBorder="1" applyAlignment="1" applyProtection="1">
      <alignment horizontal="left"/>
    </xf>
    <xf numFmtId="186" fontId="120" fillId="0" borderId="105" xfId="0" applyNumberFormat="1" applyFont="1" applyFill="1" applyBorder="1" applyAlignment="1" applyProtection="1">
      <alignment horizontal="center"/>
    </xf>
    <xf numFmtId="186" fontId="120" fillId="0" borderId="103" xfId="0" applyNumberFormat="1" applyFont="1" applyFill="1" applyBorder="1" applyAlignment="1" applyProtection="1">
      <alignment horizontal="center"/>
    </xf>
    <xf numFmtId="186" fontId="120" fillId="0" borderId="106" xfId="0" applyNumberFormat="1" applyFont="1" applyFill="1" applyBorder="1" applyAlignment="1" applyProtection="1">
      <alignment horizontal="center"/>
    </xf>
    <xf numFmtId="0" fontId="120" fillId="0" borderId="160" xfId="0" applyNumberFormat="1" applyFont="1" applyFill="1" applyBorder="1" applyAlignment="1" applyProtection="1">
      <alignment horizontal="left"/>
    </xf>
    <xf numFmtId="0" fontId="120" fillId="0" borderId="104" xfId="0" applyNumberFormat="1" applyFont="1" applyFill="1" applyBorder="1" applyAlignment="1" applyProtection="1">
      <alignment horizontal="center"/>
    </xf>
    <xf numFmtId="0" fontId="120" fillId="0" borderId="338" xfId="0" applyNumberFormat="1" applyFont="1" applyFill="1" applyBorder="1" applyAlignment="1" applyProtection="1">
      <alignment horizontal="center"/>
    </xf>
    <xf numFmtId="0" fontId="120" fillId="0" borderId="121" xfId="0" applyNumberFormat="1" applyFont="1" applyFill="1" applyBorder="1" applyAlignment="1" applyProtection="1">
      <alignment horizontal="center"/>
    </xf>
    <xf numFmtId="171" fontId="120" fillId="0" borderId="121" xfId="0" applyNumberFormat="1" applyFont="1" applyFill="1" applyBorder="1" applyAlignment="1" applyProtection="1">
      <alignment horizontal="center"/>
    </xf>
    <xf numFmtId="0" fontId="120" fillId="0" borderId="332" xfId="0" applyNumberFormat="1" applyFont="1" applyFill="1" applyBorder="1" applyAlignment="1" applyProtection="1">
      <alignment horizontal="center"/>
    </xf>
    <xf numFmtId="171" fontId="120" fillId="0" borderId="338" xfId="0" applyNumberFormat="1" applyFont="1" applyFill="1" applyBorder="1" applyAlignment="1" applyProtection="1">
      <alignment horizontal="center"/>
    </xf>
    <xf numFmtId="183" fontId="120" fillId="0" borderId="317" xfId="0" applyNumberFormat="1" applyFont="1" applyFill="1" applyBorder="1" applyAlignment="1" applyProtection="1">
      <alignment horizontal="right"/>
    </xf>
    <xf numFmtId="171" fontId="120" fillId="0" borderId="316" xfId="0" applyNumberFormat="1" applyFont="1" applyFill="1" applyBorder="1" applyAlignment="1" applyProtection="1">
      <alignment horizontal="left"/>
    </xf>
    <xf numFmtId="186" fontId="120" fillId="0" borderId="332" xfId="0" applyNumberFormat="1" applyFont="1" applyFill="1" applyBorder="1" applyAlignment="1" applyProtection="1">
      <alignment horizontal="center"/>
    </xf>
    <xf numFmtId="186" fontId="120" fillId="0" borderId="120" xfId="0" applyNumberFormat="1" applyFont="1" applyFill="1" applyBorder="1" applyAlignment="1" applyProtection="1">
      <alignment horizontal="center"/>
    </xf>
    <xf numFmtId="186" fontId="120" fillId="0" borderId="121" xfId="0" applyNumberFormat="1" applyFont="1" applyFill="1" applyBorder="1" applyAlignment="1" applyProtection="1">
      <alignment horizontal="center"/>
    </xf>
    <xf numFmtId="0" fontId="120" fillId="0" borderId="316" xfId="0" applyNumberFormat="1" applyFont="1" applyFill="1" applyBorder="1" applyAlignment="1" applyProtection="1">
      <alignment horizontal="left"/>
    </xf>
    <xf numFmtId="0" fontId="126" fillId="24" borderId="103" xfId="0" applyNumberFormat="1" applyFont="1" applyFill="1" applyBorder="1" applyAlignment="1" applyProtection="1">
      <alignment horizontal="center"/>
    </xf>
    <xf numFmtId="188" fontId="126" fillId="24" borderId="104" xfId="0" applyNumberFormat="1" applyFont="1" applyFill="1" applyBorder="1" applyAlignment="1" applyProtection="1">
      <alignment horizontal="right"/>
    </xf>
    <xf numFmtId="170" fontId="126" fillId="24" borderId="103" xfId="0" applyNumberFormat="1" applyFont="1" applyFill="1" applyBorder="1" applyAlignment="1" applyProtection="1">
      <alignment horizontal="center"/>
    </xf>
    <xf numFmtId="170" fontId="126" fillId="24" borderId="106" xfId="0" applyNumberFormat="1" applyFont="1" applyFill="1" applyBorder="1" applyAlignment="1" applyProtection="1">
      <alignment horizontal="center"/>
    </xf>
    <xf numFmtId="170" fontId="126" fillId="24" borderId="348" xfId="0" applyNumberFormat="1" applyFont="1" applyFill="1" applyBorder="1" applyAlignment="1" applyProtection="1">
      <alignment horizontal="center"/>
    </xf>
    <xf numFmtId="0" fontId="126" fillId="24" borderId="347" xfId="0" applyNumberFormat="1" applyFont="1" applyFill="1" applyBorder="1" applyAlignment="1" applyProtection="1">
      <alignment horizontal="center"/>
    </xf>
    <xf numFmtId="170" fontId="126" fillId="24" borderId="124" xfId="0" applyNumberFormat="1" applyFont="1" applyFill="1" applyBorder="1" applyAlignment="1" applyProtection="1">
      <alignment horizontal="center"/>
    </xf>
    <xf numFmtId="170" fontId="126" fillId="24" borderId="224" xfId="0" applyNumberFormat="1" applyFont="1" applyFill="1" applyBorder="1" applyAlignment="1" applyProtection="1">
      <alignment horizontal="left" vertical="center"/>
    </xf>
    <xf numFmtId="188" fontId="126" fillId="24" borderId="104" xfId="0" applyNumberFormat="1" applyFont="1" applyFill="1" applyBorder="1" applyAlignment="1" applyProtection="1">
      <alignment horizontal="right" vertical="center"/>
    </xf>
    <xf numFmtId="170" fontId="126" fillId="24" borderId="105" xfId="0" applyNumberFormat="1" applyFont="1" applyFill="1" applyBorder="1" applyAlignment="1" applyProtection="1">
      <alignment horizontal="left" vertical="center"/>
    </xf>
    <xf numFmtId="0" fontId="126" fillId="24" borderId="104" xfId="0" applyNumberFormat="1" applyFont="1" applyFill="1" applyBorder="1" applyAlignment="1" applyProtection="1">
      <alignment horizontal="center" vertical="center"/>
    </xf>
    <xf numFmtId="188" fontId="126" fillId="24" borderId="223" xfId="0" applyNumberFormat="1" applyFont="1" applyFill="1" applyBorder="1" applyAlignment="1" applyProtection="1">
      <alignment horizontal="right"/>
    </xf>
    <xf numFmtId="170" fontId="126" fillId="24" borderId="224" xfId="0" applyNumberFormat="1" applyFont="1" applyFill="1" applyBorder="1" applyAlignment="1" applyProtection="1">
      <alignment horizontal="left"/>
    </xf>
    <xf numFmtId="0" fontId="126" fillId="24" borderId="296" xfId="0" applyNumberFormat="1" applyFont="1" applyFill="1" applyBorder="1" applyAlignment="1" applyProtection="1">
      <alignment horizontal="center"/>
    </xf>
    <xf numFmtId="170" fontId="126" fillId="24" borderId="297" xfId="0" applyNumberFormat="1" applyFont="1" applyFill="1" applyBorder="1" applyAlignment="1" applyProtection="1">
      <alignment horizontal="center"/>
    </xf>
    <xf numFmtId="12" fontId="126" fillId="24" borderId="106" xfId="0" applyNumberFormat="1" applyFont="1" applyFill="1" applyBorder="1" applyAlignment="1" applyProtection="1">
      <alignment horizontal="center"/>
    </xf>
    <xf numFmtId="49" fontId="126" fillId="24" borderId="103" xfId="0" applyNumberFormat="1" applyFont="1" applyFill="1" applyBorder="1" applyAlignment="1" applyProtection="1">
      <alignment horizontal="left" vertical="center"/>
    </xf>
    <xf numFmtId="49" fontId="126" fillId="24" borderId="160" xfId="0" applyNumberFormat="1" applyFont="1" applyFill="1" applyBorder="1" applyAlignment="1" applyProtection="1">
      <alignment horizontal="left"/>
    </xf>
    <xf numFmtId="0" fontId="120" fillId="24" borderId="103" xfId="0" applyNumberFormat="1" applyFont="1" applyFill="1" applyBorder="1" applyAlignment="1" applyProtection="1">
      <alignment horizontal="center"/>
    </xf>
    <xf numFmtId="0" fontId="125" fillId="0" borderId="0" xfId="0" applyNumberFormat="1" applyFont="1" applyFill="1" applyBorder="1" applyAlignment="1" applyProtection="1">
      <alignment horizontal="left"/>
      <protection locked="0"/>
    </xf>
    <xf numFmtId="0" fontId="0" fillId="0" borderId="0" xfId="0" applyFill="1" applyAlignment="1">
      <alignment horizontal="center"/>
    </xf>
    <xf numFmtId="0" fontId="3" fillId="23"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49" fontId="15" fillId="0" borderId="0" xfId="0" applyNumberFormat="1" applyFont="1" applyFill="1" applyBorder="1" applyAlignment="1" applyProtection="1">
      <alignment horizontal="left"/>
    </xf>
    <xf numFmtId="0" fontId="48" fillId="0" borderId="0" xfId="0" applyFont="1" applyAlignment="1" applyProtection="1"/>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5" fillId="0" borderId="0" xfId="0" applyFont="1" applyFill="1" applyBorder="1" applyAlignment="1" applyProtection="1">
      <alignment horizontal="left" indent="1"/>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48" fillId="2" borderId="0" xfId="0" applyFont="1" applyFill="1" applyBorder="1" applyAlignment="1" applyProtection="1">
      <alignment horizontal="left" indent="1"/>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2" fillId="0" borderId="340"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2" fillId="0" borderId="344"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263" xfId="0" applyFont="1" applyFill="1" applyBorder="1" applyAlignment="1" applyProtection="1">
      <alignment horizontal="center" wrapText="1"/>
      <protection hidden="1"/>
    </xf>
    <xf numFmtId="0" fontId="71" fillId="22" borderId="0" xfId="0" applyNumberFormat="1" applyFont="1" applyFill="1" applyBorder="1" applyAlignment="1" applyProtection="1">
      <alignment horizontal="left"/>
      <protection locked="0"/>
    </xf>
    <xf numFmtId="0" fontId="0" fillId="22"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48" fillId="0" borderId="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7"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84" fillId="2" borderId="33" xfId="0" applyFont="1" applyFill="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72" fillId="0" borderId="339" xfId="0" applyFont="1" applyFill="1" applyBorder="1" applyAlignment="1" applyProtection="1">
      <alignment horizontal="center" vertical="center"/>
    </xf>
    <xf numFmtId="3" fontId="124" fillId="0" borderId="16" xfId="0" applyNumberFormat="1" applyFont="1" applyFill="1" applyBorder="1" applyAlignment="1" applyProtection="1">
      <alignment horizontal="center"/>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3" fillId="23"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3" borderId="379" xfId="0" applyFont="1" applyFill="1" applyBorder="1" applyAlignment="1" applyProtection="1">
      <alignment horizont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3"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0" xfId="0" applyBorder="1" applyAlignment="1">
      <alignment wrapText="1"/>
    </xf>
    <xf numFmtId="0" fontId="0" fillId="0" borderId="53"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144" fillId="0" borderId="254" xfId="0" applyFont="1" applyFill="1" applyBorder="1" applyAlignment="1" applyProtection="1">
      <alignment horizontal="center" vertical="center"/>
    </xf>
    <xf numFmtId="0" fontId="3" fillId="23"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254" xfId="0" applyFont="1" applyFill="1" applyBorder="1" applyAlignment="1" applyProtection="1">
      <alignment horizontal="center" vertical="center"/>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3" fillId="0" borderId="0" xfId="0" applyFont="1" applyFill="1" applyBorder="1" applyAlignment="1" applyProtection="1">
      <alignment horizontal="center" vertical="center"/>
      <protection hidden="1"/>
    </xf>
    <xf numFmtId="0" fontId="0" fillId="0" borderId="0" xfId="0" applyAlignment="1"/>
    <xf numFmtId="0" fontId="7" fillId="0" borderId="258"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1"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8"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0" fontId="0" fillId="0" borderId="390" xfId="0" applyBorder="1" applyAlignment="1">
      <alignment horizontal="center" wrapText="1"/>
    </xf>
    <xf numFmtId="0" fontId="0" fillId="0" borderId="389" xfId="0" applyBorder="1" applyAlignment="1">
      <alignment horizontal="center" wrapText="1"/>
    </xf>
    <xf numFmtId="0" fontId="0" fillId="0" borderId="232" xfId="0" applyBorder="1" applyAlignment="1">
      <alignment horizontal="center" wrapText="1"/>
    </xf>
    <xf numFmtId="0" fontId="0" fillId="0" borderId="238" xfId="0" applyBorder="1" applyAlignment="1">
      <alignment horizontal="center" wrapText="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0" fillId="0" borderId="102" xfId="0" applyBorder="1" applyAlignment="1" applyProtection="1">
      <alignment horizontal="center" vertical="center" wrapText="1"/>
      <protection hidden="1"/>
    </xf>
    <xf numFmtId="0" fontId="14" fillId="0" borderId="119" xfId="0" applyFont="1" applyFill="1" applyBorder="1" applyAlignment="1" applyProtection="1">
      <alignment horizontal="center" vertical="center"/>
      <protection hidden="1"/>
    </xf>
    <xf numFmtId="0" fontId="28" fillId="0" borderId="0" xfId="0" applyFont="1" applyProtection="1"/>
    <xf numFmtId="0" fontId="48" fillId="0" borderId="16" xfId="0" applyFont="1" applyFill="1" applyBorder="1" applyAlignment="1" applyProtection="1">
      <alignment horizontal="left"/>
    </xf>
    <xf numFmtId="0" fontId="73" fillId="0" borderId="10"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15" borderId="390" xfId="0" applyFill="1" applyBorder="1" applyAlignment="1">
      <alignment horizontal="center" wrapText="1"/>
    </xf>
    <xf numFmtId="0" fontId="4" fillId="23"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28" fillId="2" borderId="0" xfId="0" applyFont="1" applyFill="1" applyAlignment="1" applyProtection="1">
      <alignment textRotation="90"/>
    </xf>
    <xf numFmtId="0" fontId="0" fillId="0" borderId="0" xfId="0" applyAlignment="1">
      <alignment textRotation="90"/>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28" fillId="0" borderId="367" xfId="0" applyFont="1" applyFill="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28" fillId="2" borderId="102"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lignment wrapText="1"/>
    </xf>
    <xf numFmtId="0" fontId="28" fillId="2" borderId="287" xfId="0" applyFont="1" applyFill="1" applyBorder="1" applyAlignment="1" applyProtection="1">
      <alignment horizontal="center"/>
      <protection hidden="1"/>
    </xf>
    <xf numFmtId="0" fontId="28" fillId="0" borderId="57" xfId="0" applyFont="1" applyBorder="1" applyAlignment="1">
      <alignment horizontal="center"/>
    </xf>
    <xf numFmtId="0" fontId="28" fillId="0" borderId="33" xfId="0" applyFont="1" applyBorder="1" applyAlignment="1">
      <alignment wrapText="1"/>
    </xf>
    <xf numFmtId="0" fontId="15" fillId="2" borderId="57" xfId="0" applyFont="1" applyFill="1" applyBorder="1" applyAlignment="1" applyProtection="1">
      <alignment horizontal="center"/>
    </xf>
    <xf numFmtId="14" fontId="48" fillId="2" borderId="0" xfId="0" applyNumberFormat="1" applyFont="1" applyFill="1" applyAlignment="1" applyProtection="1"/>
    <xf numFmtId="14" fontId="0" fillId="0" borderId="47" xfId="0" applyNumberFormat="1" applyBorder="1" applyAlignment="1"/>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9" xfId="0" applyFont="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115" xfId="0" applyFont="1" applyFill="1" applyBorder="1" applyAlignment="1">
      <alignment wrapText="1"/>
    </xf>
    <xf numFmtId="0" fontId="28" fillId="8" borderId="114" xfId="0" applyFont="1" applyFill="1" applyBorder="1" applyAlignment="1">
      <alignment wrapText="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252" xfId="0" applyFont="1" applyFill="1" applyBorder="1" applyAlignment="1" applyProtection="1">
      <alignment horizontal="center" vertical="center" wrapText="1"/>
      <protection hidden="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0" fontId="28" fillId="2" borderId="294" xfId="0" applyFont="1" applyFill="1" applyBorder="1" applyAlignment="1" applyProtection="1">
      <alignment horizont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28" fillId="16" borderId="33" xfId="0" applyFont="1" applyFill="1" applyBorder="1" applyAlignment="1" applyProtection="1">
      <alignment horizontal="center" wrapText="1"/>
      <protection hidden="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03" xfId="0" applyFont="1" applyFill="1" applyBorder="1" applyAlignment="1" applyProtection="1">
      <alignment horizontal="center" vertical="center"/>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261" xfId="0" applyFont="1" applyFill="1" applyBorder="1" applyAlignment="1" applyProtection="1">
      <alignment horizontal="center" vertical="center"/>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49" fontId="121" fillId="0" borderId="105" xfId="0" applyNumberFormat="1" applyFont="1" applyFill="1" applyBorder="1" applyAlignment="1" applyProtection="1">
      <alignment horizontal="left"/>
    </xf>
    <xf numFmtId="49" fontId="121" fillId="0" borderId="103" xfId="0" applyNumberFormat="1" applyFont="1" applyFill="1" applyBorder="1" applyAlignment="1" applyProtection="1">
      <alignment horizontal="left"/>
    </xf>
    <xf numFmtId="49" fontId="121" fillId="0" borderId="106" xfId="0" applyNumberFormat="1" applyFont="1" applyFill="1" applyBorder="1" applyAlignment="1" applyProtection="1">
      <alignment horizontal="left"/>
    </xf>
    <xf numFmtId="49" fontId="121" fillId="0" borderId="332" xfId="0" applyNumberFormat="1" applyFont="1" applyFill="1" applyBorder="1" applyAlignment="1" applyProtection="1">
      <alignment horizontal="left"/>
    </xf>
    <xf numFmtId="49" fontId="121" fillId="0" borderId="120" xfId="0" applyNumberFormat="1" applyFont="1" applyFill="1" applyBorder="1" applyAlignment="1" applyProtection="1">
      <alignment horizontal="left"/>
    </xf>
    <xf numFmtId="49" fontId="121" fillId="0" borderId="121" xfId="0" applyNumberFormat="1" applyFont="1" applyFill="1" applyBorder="1" applyAlignment="1" applyProtection="1">
      <alignment horizontal="left"/>
    </xf>
    <xf numFmtId="49" fontId="121" fillId="0" borderId="224" xfId="0" applyNumberFormat="1" applyFont="1" applyFill="1" applyBorder="1" applyAlignment="1" applyProtection="1">
      <alignment horizontal="left"/>
    </xf>
    <xf numFmtId="49" fontId="121" fillId="0" borderId="221" xfId="0" applyNumberFormat="1" applyFont="1" applyFill="1" applyBorder="1" applyAlignment="1" applyProtection="1">
      <alignment horizontal="left"/>
    </xf>
    <xf numFmtId="49" fontId="121" fillId="0" borderId="296" xfId="0" applyNumberFormat="1" applyFont="1" applyFill="1" applyBorder="1" applyAlignment="1" applyProtection="1">
      <alignment horizontal="left"/>
    </xf>
    <xf numFmtId="49" fontId="121" fillId="0" borderId="355" xfId="0" applyNumberFormat="1" applyFont="1" applyFill="1" applyBorder="1" applyAlignment="1" applyProtection="1">
      <alignment horizontal="left"/>
    </xf>
    <xf numFmtId="49" fontId="121" fillId="0" borderId="122" xfId="0" applyNumberFormat="1" applyFont="1" applyFill="1" applyBorder="1" applyAlignment="1" applyProtection="1">
      <alignment horizontal="left"/>
    </xf>
    <xf numFmtId="49" fontId="121" fillId="0" borderId="356" xfId="0" applyNumberFormat="1" applyFont="1" applyFill="1" applyBorder="1" applyAlignment="1" applyProtection="1">
      <alignment horizontal="left"/>
    </xf>
    <xf numFmtId="0" fontId="121" fillId="0" borderId="105" xfId="0" applyNumberFormat="1" applyFont="1" applyFill="1" applyBorder="1" applyAlignment="1" applyProtection="1">
      <alignment horizontal="left" vertical="center"/>
    </xf>
    <xf numFmtId="0" fontId="121" fillId="0" borderId="103" xfId="0" applyNumberFormat="1" applyFont="1" applyFill="1" applyBorder="1" applyAlignment="1" applyProtection="1">
      <alignment horizontal="left" vertical="center"/>
    </xf>
    <xf numFmtId="0" fontId="121" fillId="0" borderId="103" xfId="0" applyFont="1" applyBorder="1" applyAlignment="1" applyProtection="1">
      <alignment horizontal="left" vertical="center"/>
    </xf>
    <xf numFmtId="0" fontId="121" fillId="0" borderId="106" xfId="0" applyFont="1" applyBorder="1" applyAlignment="1" applyProtection="1">
      <alignment horizontal="left" vertical="center"/>
    </xf>
    <xf numFmtId="0" fontId="121" fillId="0" borderId="332" xfId="0" applyNumberFormat="1" applyFont="1" applyFill="1" applyBorder="1" applyAlignment="1" applyProtection="1">
      <alignment horizontal="left" vertical="center"/>
    </xf>
    <xf numFmtId="0" fontId="121" fillId="0" borderId="120" xfId="0" applyNumberFormat="1" applyFont="1" applyFill="1" applyBorder="1" applyAlignment="1" applyProtection="1">
      <alignment horizontal="left" vertical="center"/>
    </xf>
    <xf numFmtId="0" fontId="121" fillId="0" borderId="120" xfId="0" applyFont="1" applyBorder="1" applyAlignment="1" applyProtection="1">
      <alignment horizontal="left" vertical="center"/>
    </xf>
    <xf numFmtId="0" fontId="121" fillId="0" borderId="121" xfId="0" applyFont="1" applyBorder="1" applyAlignment="1" applyProtection="1">
      <alignment horizontal="left" vertical="center"/>
    </xf>
    <xf numFmtId="0" fontId="121" fillId="0" borderId="315" xfId="0" applyNumberFormat="1" applyFont="1" applyFill="1" applyBorder="1" applyAlignment="1" applyProtection="1">
      <alignment horizontal="left" vertical="center"/>
    </xf>
    <xf numFmtId="0" fontId="121" fillId="0" borderId="107" xfId="0" applyNumberFormat="1" applyFont="1" applyFill="1" applyBorder="1" applyAlignment="1" applyProtection="1">
      <alignment horizontal="left" vertical="center"/>
    </xf>
    <xf numFmtId="0" fontId="121" fillId="0" borderId="160" xfId="0" applyNumberFormat="1" applyFont="1" applyFill="1" applyBorder="1" applyAlignment="1" applyProtection="1">
      <alignment horizontal="left" vertical="center"/>
    </xf>
    <xf numFmtId="0" fontId="121" fillId="0" borderId="224" xfId="0" applyNumberFormat="1" applyFont="1" applyFill="1" applyBorder="1" applyAlignment="1" applyProtection="1">
      <alignment horizontal="left" vertical="center"/>
    </xf>
    <xf numFmtId="0" fontId="121" fillId="0" borderId="221" xfId="0" applyNumberFormat="1" applyFont="1" applyFill="1" applyBorder="1" applyAlignment="1" applyProtection="1">
      <alignment horizontal="left" vertical="center"/>
    </xf>
    <xf numFmtId="0" fontId="121" fillId="0" borderId="221" xfId="0" applyFont="1" applyBorder="1" applyAlignment="1" applyProtection="1">
      <alignment horizontal="left" vertical="center"/>
    </xf>
    <xf numFmtId="0" fontId="121" fillId="0" borderId="296" xfId="0" applyFont="1" applyBorder="1" applyAlignment="1" applyProtection="1">
      <alignment horizontal="left" vertical="center"/>
    </xf>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cellXfs>
  <cellStyles count="4">
    <cellStyle name="Normal" xfId="0" builtinId="0"/>
    <cellStyle name="Normal 2" xfId="2"/>
    <cellStyle name="Normal 3" xfId="1"/>
    <cellStyle name="Normal 3 2" xfId="3"/>
  </cellStyles>
  <dxfs count="2023">
    <dxf>
      <font>
        <b/>
        <i val="0"/>
        <color rgb="FF006600"/>
      </font>
      <fill>
        <patternFill>
          <bgColor rgb="FFF5EBF5"/>
        </patternFill>
      </fill>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auto="1"/>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color rgb="FFFF0000"/>
      </font>
    </dxf>
    <dxf>
      <font>
        <b/>
        <i val="0"/>
        <color auto="1"/>
      </font>
      <fill>
        <patternFill>
          <bgColor rgb="FFF5EBF5"/>
        </patternFill>
      </fill>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auto="1"/>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color rgb="FFFF0000"/>
      </font>
    </dxf>
    <dxf>
      <font>
        <b/>
        <i val="0"/>
        <color auto="1"/>
      </font>
      <fill>
        <patternFill>
          <bgColor rgb="FFF5EBF5"/>
        </patternFill>
      </fill>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font>
        <color theme="0" tint="-0.34998626667073579"/>
      </font>
    </dxf>
    <dxf>
      <border>
        <left/>
        <right/>
        <top/>
        <bottom/>
      </border>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006600"/>
      </font>
      <fill>
        <patternFill>
          <bgColor rgb="FFF5EBF5"/>
        </patternFill>
      </fill>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ill>
        <patternFill>
          <bgColor indexed="10"/>
        </patternFill>
      </fill>
    </dxf>
    <dxf>
      <font>
        <condense val="0"/>
        <extend val="0"/>
        <color indexed="10"/>
      </font>
    </dxf>
    <dxf>
      <font>
        <b/>
        <i val="0"/>
        <color auto="1"/>
      </font>
      <fill>
        <patternFill>
          <bgColor rgb="FFF5EBF5"/>
        </patternFill>
      </fill>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ill>
        <patternFill>
          <bgColor indexed="13"/>
        </patternFill>
      </fill>
    </dxf>
    <dxf>
      <font>
        <b/>
        <i val="0"/>
        <condense val="0"/>
        <extend val="0"/>
        <color indexed="10"/>
      </font>
    </dxf>
    <dxf>
      <fill>
        <patternFill>
          <bgColor indexed="13"/>
        </patternFill>
      </fill>
    </dxf>
    <dxf>
      <font>
        <b/>
        <i val="0"/>
        <condense val="0"/>
        <extend val="0"/>
        <color indexed="10"/>
      </font>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auto="1"/>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color rgb="FFFF0000"/>
      </font>
    </dxf>
    <dxf>
      <font>
        <b/>
        <i val="0"/>
        <color auto="1"/>
      </font>
      <fill>
        <patternFill>
          <bgColor rgb="FFF5EBF5"/>
        </patternFill>
      </fill>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haredStrings" Target="sharedStrings.xml"/><Relationship Id="rId7" Type="http://schemas.openxmlformats.org/officeDocument/2006/relationships/worksheet" Target="worksheets/sheet7.xml"/><Relationship Id="rId71" Type="http://schemas.microsoft.com/office/2006/relationships/attachedToolbars" Target="attachedToolbars.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2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5.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4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4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7.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25136475" y="28575"/>
          <a:ext cx="2819400" cy="1790700"/>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22450425" y="57150"/>
          <a:ext cx="2619375" cy="1752600"/>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13906500" y="28575"/>
          <a:ext cx="2695575" cy="151447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13906500" y="1562101"/>
          <a:ext cx="2695575" cy="136207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067550" y="2790825"/>
          <a:ext cx="1581150" cy="1609725"/>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067550" y="4676775"/>
          <a:ext cx="1581150"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067550" y="6562725"/>
          <a:ext cx="1581150"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067550" y="10363200"/>
          <a:ext cx="1581150"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1038225</xdr:colOff>
          <xdr:row>27</xdr:row>
          <xdr:rowOff>9525</xdr:rowOff>
        </xdr:from>
        <xdr:to>
          <xdr:col>4</xdr:col>
          <xdr:colOff>76200</xdr:colOff>
          <xdr:row>28</xdr:row>
          <xdr:rowOff>9525</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752850" y="2762250"/>
              <a:ext cx="1562100" cy="400050"/>
              <a:chOff x="3752850" y="2762250"/>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50" y="2762250"/>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752850" y="3257550"/>
              <a:ext cx="1571625" cy="695325"/>
              <a:chOff x="3752850" y="3257550"/>
              <a:chExt cx="1571625"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50" y="3257550"/>
                <a:ext cx="1571625" cy="695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285875" y="5114925"/>
              <a:ext cx="2733675" cy="981075"/>
              <a:chOff x="1285875" y="5057775"/>
              <a:chExt cx="2733675" cy="981075"/>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50"/>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38175" y="2762250"/>
              <a:ext cx="3048000" cy="847725"/>
              <a:chOff x="638175" y="2762250"/>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50"/>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752850" y="4048125"/>
              <a:ext cx="1571625" cy="914400"/>
              <a:chOff x="3752850" y="4048125"/>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50" y="4048125"/>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0.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0500-000002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3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0900-0000B1572400}"/>
            </a:ext>
          </a:extLst>
        </xdr:cNvPr>
        <xdr:cNvGrpSpPr>
          <a:grpSpLocks/>
        </xdr:cNvGrpSpPr>
      </xdr:nvGrpSpPr>
      <xdr:grpSpPr bwMode="auto">
        <a:xfrm>
          <a:off x="18735675" y="28575"/>
          <a:ext cx="0" cy="1790700"/>
          <a:chOff x="2623" y="3"/>
          <a:chExt cx="296" cy="188"/>
        </a:xfrm>
      </xdr:grpSpPr>
      <xdr:grpSp>
        <xdr:nvGrpSpPr>
          <xdr:cNvPr id="9"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0900-00006C572400}"/>
            </a:ext>
          </a:extLst>
        </xdr:cNvPr>
        <xdr:cNvGrpSpPr>
          <a:grpSpLocks/>
        </xdr:cNvGrpSpPr>
      </xdr:nvGrpSpPr>
      <xdr:grpSpPr bwMode="auto">
        <a:xfrm>
          <a:off x="18735675" y="57150"/>
          <a:ext cx="0" cy="1752600"/>
          <a:chOff x="4176" y="123"/>
          <a:chExt cx="353" cy="199"/>
        </a:xfrm>
      </xdr:grpSpPr>
      <xdr:sp macro="" textlink="">
        <xdr:nvSpPr>
          <xdr:cNvPr id="36"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0900-000002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0900-000073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0900-000003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0B00-00001EED2300}"/>
            </a:ext>
          </a:extLst>
        </xdr:cNvPr>
        <xdr:cNvGrpSpPr>
          <a:grpSpLocks/>
        </xdr:cNvGrpSpPr>
      </xdr:nvGrpSpPr>
      <xdr:grpSpPr bwMode="auto">
        <a:xfrm>
          <a:off x="9658350" y="28575"/>
          <a:ext cx="0" cy="1514475"/>
          <a:chOff x="4176" y="123"/>
          <a:chExt cx="353" cy="199"/>
        </a:xfrm>
      </xdr:grpSpPr>
      <xdr:sp macro="" textlink="">
        <xdr:nvSpPr>
          <xdr:cNvPr id="16"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0B00-0000A3EE2300}"/>
            </a:ext>
          </a:extLst>
        </xdr:cNvPr>
        <xdr:cNvGrpSpPr>
          <a:grpSpLocks/>
        </xdr:cNvGrpSpPr>
      </xdr:nvGrpSpPr>
      <xdr:grpSpPr bwMode="auto">
        <a:xfrm>
          <a:off x="9658350" y="1562101"/>
          <a:ext cx="0" cy="1362075"/>
          <a:chOff x="1487" y="158"/>
          <a:chExt cx="353" cy="179"/>
        </a:xfrm>
      </xdr:grpSpPr>
      <xdr:grpSp>
        <xdr:nvGrpSpPr>
          <xdr:cNvPr id="72"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0B00-00000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0B00-000003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0D00-0000656B2500}"/>
            </a:ext>
          </a:extLst>
        </xdr:cNvPr>
        <xdr:cNvGrpSpPr>
          <a:grpSpLocks/>
        </xdr:cNvGrpSpPr>
      </xdr:nvGrpSpPr>
      <xdr:grpSpPr bwMode="auto">
        <a:xfrm>
          <a:off x="4524375" y="1514475"/>
          <a:ext cx="2705100" cy="2533650"/>
          <a:chOff x="475" y="163"/>
          <a:chExt cx="284" cy="258"/>
        </a:xfrm>
      </xdr:grpSpPr>
      <xdr:grpSp>
        <xdr:nvGrpSpPr>
          <xdr:cNvPr id="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0D00-0000636B2500}"/>
            </a:ext>
          </a:extLst>
        </xdr:cNvPr>
        <xdr:cNvGrpSpPr>
          <a:grpSpLocks/>
        </xdr:cNvGrpSpPr>
      </xdr:nvGrpSpPr>
      <xdr:grpSpPr bwMode="auto">
        <a:xfrm>
          <a:off x="1495425" y="1514475"/>
          <a:ext cx="1323975" cy="2533650"/>
          <a:chOff x="157" y="163"/>
          <a:chExt cx="139" cy="258"/>
        </a:xfrm>
      </xdr:grpSpPr>
      <xdr:pic>
        <xdr:nvPicPr>
          <xdr:cNvPr id="16"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24000"/>
          <a:ext cx="9015413" cy="2533650"/>
          <a:chOff x="0" y="164"/>
          <a:chExt cx="948" cy="258"/>
        </a:xfrm>
      </xdr:grpSpPr>
      <xdr:sp macro="" textlink="">
        <xdr:nvSpPr>
          <xdr:cNvPr id="27"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0D00-00005D6B2500}"/>
            </a:ext>
          </a:extLst>
        </xdr:cNvPr>
        <xdr:cNvGrpSpPr>
          <a:grpSpLocks/>
        </xdr:cNvGrpSpPr>
      </xdr:nvGrpSpPr>
      <xdr:grpSpPr bwMode="auto">
        <a:xfrm>
          <a:off x="2914650" y="1514475"/>
          <a:ext cx="1647825" cy="2533650"/>
          <a:chOff x="306" y="163"/>
          <a:chExt cx="173" cy="258"/>
        </a:xfrm>
      </xdr:grpSpPr>
      <xdr:sp macro="" textlink="">
        <xdr:nvSpPr>
          <xdr:cNvPr id="33"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0D00-0000666B2500}"/>
            </a:ext>
          </a:extLst>
        </xdr:cNvPr>
        <xdr:cNvGrpSpPr>
          <a:grpSpLocks/>
        </xdr:cNvGrpSpPr>
      </xdr:nvGrpSpPr>
      <xdr:grpSpPr bwMode="auto">
        <a:xfrm>
          <a:off x="7239000" y="1514475"/>
          <a:ext cx="1790700" cy="2533650"/>
          <a:chOff x="760" y="163"/>
          <a:chExt cx="188" cy="258"/>
        </a:xfrm>
      </xdr:grpSpPr>
      <xdr:pic>
        <xdr:nvPicPr>
          <xdr:cNvPr id="40"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mbsreno-fs\Engr\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1.v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1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1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1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1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1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1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1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8.xml"/><Relationship Id="rId1" Type="http://schemas.openxmlformats.org/officeDocument/2006/relationships/printerSettings" Target="../printerSettings/printerSettings41.bin"/><Relationship Id="rId4" Type="http://schemas.openxmlformats.org/officeDocument/2006/relationships/comments" Target="../comments2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9.xml"/><Relationship Id="rId1" Type="http://schemas.openxmlformats.org/officeDocument/2006/relationships/printerSettings" Target="../printerSettings/printerSettings42.bin"/><Relationship Id="rId4" Type="http://schemas.openxmlformats.org/officeDocument/2006/relationships/comments" Target="../comments2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40.xml"/><Relationship Id="rId1" Type="http://schemas.openxmlformats.org/officeDocument/2006/relationships/printerSettings" Target="../printerSettings/printerSettings43.bin"/><Relationship Id="rId4" Type="http://schemas.openxmlformats.org/officeDocument/2006/relationships/comments" Target="../comments2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41.xml"/><Relationship Id="rId1" Type="http://schemas.openxmlformats.org/officeDocument/2006/relationships/printerSettings" Target="../printerSettings/printerSettings44.bin"/><Relationship Id="rId4" Type="http://schemas.openxmlformats.org/officeDocument/2006/relationships/comments" Target="../comments2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42.xml"/><Relationship Id="rId1" Type="http://schemas.openxmlformats.org/officeDocument/2006/relationships/printerSettings" Target="../printerSettings/printerSettings45.bin"/><Relationship Id="rId4" Type="http://schemas.openxmlformats.org/officeDocument/2006/relationships/comments" Target="../comments2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43.xml"/><Relationship Id="rId1" Type="http://schemas.openxmlformats.org/officeDocument/2006/relationships/printerSettings" Target="../printerSettings/printerSettings46.bin"/><Relationship Id="rId4" Type="http://schemas.openxmlformats.org/officeDocument/2006/relationships/comments" Target="../comments2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44.xml"/><Relationship Id="rId1" Type="http://schemas.openxmlformats.org/officeDocument/2006/relationships/printerSettings" Target="../printerSettings/printerSettings47.bin"/><Relationship Id="rId4" Type="http://schemas.openxmlformats.org/officeDocument/2006/relationships/comments" Target="../comments2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45.xml"/><Relationship Id="rId1" Type="http://schemas.openxmlformats.org/officeDocument/2006/relationships/printerSettings" Target="../printerSettings/printerSettings48.bin"/><Relationship Id="rId4" Type="http://schemas.openxmlformats.org/officeDocument/2006/relationships/comments" Target="../comments2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46.xml"/><Relationship Id="rId1" Type="http://schemas.openxmlformats.org/officeDocument/2006/relationships/printerSettings" Target="../printerSettings/printerSettings49.bin"/><Relationship Id="rId4" Type="http://schemas.openxmlformats.org/officeDocument/2006/relationships/comments" Target="../comments2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47.xml"/><Relationship Id="rId1" Type="http://schemas.openxmlformats.org/officeDocument/2006/relationships/printerSettings" Target="../printerSettings/printerSettings50.bin"/><Relationship Id="rId4" Type="http://schemas.openxmlformats.org/officeDocument/2006/relationships/comments" Target="../comments3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48.xml"/><Relationship Id="rId1" Type="http://schemas.openxmlformats.org/officeDocument/2006/relationships/printerSettings" Target="../printerSettings/printerSettings51.bin"/><Relationship Id="rId4" Type="http://schemas.openxmlformats.org/officeDocument/2006/relationships/comments" Target="../comments3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49.xml"/><Relationship Id="rId1" Type="http://schemas.openxmlformats.org/officeDocument/2006/relationships/printerSettings" Target="../printerSettings/printerSettings52.bin"/><Relationship Id="rId4" Type="http://schemas.openxmlformats.org/officeDocument/2006/relationships/comments" Target="../comments3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50.xml"/><Relationship Id="rId1" Type="http://schemas.openxmlformats.org/officeDocument/2006/relationships/printerSettings" Target="../printerSettings/printerSettings53.bin"/><Relationship Id="rId4" Type="http://schemas.openxmlformats.org/officeDocument/2006/relationships/comments" Target="../comments3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51.xml"/><Relationship Id="rId1" Type="http://schemas.openxmlformats.org/officeDocument/2006/relationships/printerSettings" Target="../printerSettings/printerSettings54.bin"/><Relationship Id="rId4" Type="http://schemas.openxmlformats.org/officeDocument/2006/relationships/comments" Target="../comments3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52.xml"/><Relationship Id="rId1" Type="http://schemas.openxmlformats.org/officeDocument/2006/relationships/printerSettings" Target="../printerSettings/printerSettings55.bin"/><Relationship Id="rId4" Type="http://schemas.openxmlformats.org/officeDocument/2006/relationships/comments" Target="../comments3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53.xml"/><Relationship Id="rId1" Type="http://schemas.openxmlformats.org/officeDocument/2006/relationships/printerSettings" Target="../printerSettings/printerSettings56.bin"/><Relationship Id="rId4" Type="http://schemas.openxmlformats.org/officeDocument/2006/relationships/comments" Target="../comments3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54.xml"/><Relationship Id="rId1" Type="http://schemas.openxmlformats.org/officeDocument/2006/relationships/printerSettings" Target="../printerSettings/printerSettings57.bin"/><Relationship Id="rId4" Type="http://schemas.openxmlformats.org/officeDocument/2006/relationships/comments" Target="../comments3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55.xml"/><Relationship Id="rId1" Type="http://schemas.openxmlformats.org/officeDocument/2006/relationships/printerSettings" Target="../printerSettings/printerSettings58.bin"/><Relationship Id="rId4" Type="http://schemas.openxmlformats.org/officeDocument/2006/relationships/comments" Target="../comments3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56.xml"/><Relationship Id="rId1" Type="http://schemas.openxmlformats.org/officeDocument/2006/relationships/printerSettings" Target="../printerSettings/printerSettings59.bin"/><Relationship Id="rId4" Type="http://schemas.openxmlformats.org/officeDocument/2006/relationships/comments" Target="../comments3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57.xml"/><Relationship Id="rId1" Type="http://schemas.openxmlformats.org/officeDocument/2006/relationships/printerSettings" Target="../printerSettings/printerSettings60.bin"/><Relationship Id="rId4" Type="http://schemas.openxmlformats.org/officeDocument/2006/relationships/comments" Target="../comments4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58.xml"/><Relationship Id="rId1" Type="http://schemas.openxmlformats.org/officeDocument/2006/relationships/printerSettings" Target="../printerSettings/printerSettings61.bin"/><Relationship Id="rId4" Type="http://schemas.openxmlformats.org/officeDocument/2006/relationships/comments" Target="../comments4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59.xml"/><Relationship Id="rId1" Type="http://schemas.openxmlformats.org/officeDocument/2006/relationships/printerSettings" Target="../printerSettings/printerSettings62.bin"/><Relationship Id="rId4" Type="http://schemas.openxmlformats.org/officeDocument/2006/relationships/comments" Target="../comments4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60.xml"/><Relationship Id="rId1" Type="http://schemas.openxmlformats.org/officeDocument/2006/relationships/printerSettings" Target="../printerSettings/printerSettings63.bin"/><Relationship Id="rId4" Type="http://schemas.openxmlformats.org/officeDocument/2006/relationships/comments" Target="../comments4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61.xml"/><Relationship Id="rId1" Type="http://schemas.openxmlformats.org/officeDocument/2006/relationships/printerSettings" Target="../printerSettings/printerSettings64.bin"/><Relationship Id="rId4" Type="http://schemas.openxmlformats.org/officeDocument/2006/relationships/comments" Target="../comments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310"/>
  <sheetViews>
    <sheetView workbookViewId="0">
      <selection activeCell="L37" sqref="L37"/>
    </sheetView>
  </sheetViews>
  <sheetFormatPr defaultRowHeight="12.75" x14ac:dyDescent="0.2"/>
  <cols>
    <col min="1" max="1" width="9.5703125" style="39" bestFit="1" customWidth="1"/>
    <col min="2" max="16384" width="9.140625" style="39"/>
  </cols>
  <sheetData>
    <row r="1" spans="1:19" x14ac:dyDescent="0.2">
      <c r="A1" s="39" t="s">
        <v>77</v>
      </c>
      <c r="B1" s="142" t="s">
        <v>604</v>
      </c>
      <c r="F1" s="142"/>
      <c r="G1" s="142"/>
      <c r="H1" s="142"/>
      <c r="I1" s="142"/>
      <c r="J1" s="142"/>
      <c r="K1" s="142"/>
      <c r="M1" s="2214" t="s">
        <v>605</v>
      </c>
      <c r="N1" s="2214"/>
      <c r="O1" s="142"/>
      <c r="P1" s="142"/>
      <c r="Q1" s="142"/>
      <c r="R1" s="142"/>
      <c r="S1" s="142"/>
    </row>
    <row r="2" spans="1:19" x14ac:dyDescent="0.2">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
      <c r="A42" s="39" t="s">
        <v>181</v>
      </c>
      <c r="B42" s="142" t="s">
        <v>604</v>
      </c>
      <c r="F42" s="142"/>
      <c r="G42" s="142"/>
      <c r="H42" s="142"/>
      <c r="I42" s="142"/>
      <c r="J42" s="142"/>
      <c r="K42" s="142"/>
      <c r="N42" s="142"/>
      <c r="O42" s="142"/>
      <c r="P42" s="142"/>
      <c r="Q42" s="142"/>
      <c r="R42" s="142"/>
      <c r="S42" s="142"/>
    </row>
    <row r="43" spans="1:19" x14ac:dyDescent="0.2">
      <c r="A43" s="39" t="s">
        <v>182</v>
      </c>
      <c r="B43" s="142" t="s">
        <v>604</v>
      </c>
      <c r="F43" s="144"/>
      <c r="G43" s="142"/>
      <c r="H43" s="142"/>
      <c r="I43" s="142"/>
      <c r="J43" s="142"/>
      <c r="K43" s="142"/>
      <c r="N43" s="144"/>
      <c r="O43" s="142"/>
      <c r="P43" s="142"/>
      <c r="Q43" s="142"/>
      <c r="R43" s="142"/>
      <c r="S43" s="142"/>
    </row>
    <row r="44" spans="1:19" x14ac:dyDescent="0.2">
      <c r="A44" s="39" t="s">
        <v>183</v>
      </c>
      <c r="B44" s="142" t="s">
        <v>604</v>
      </c>
      <c r="F44" s="144"/>
      <c r="G44" s="142"/>
      <c r="H44" s="142"/>
      <c r="I44" s="142"/>
      <c r="J44" s="142"/>
      <c r="K44" s="142"/>
      <c r="N44" s="144"/>
      <c r="O44" s="142"/>
      <c r="P44" s="142"/>
      <c r="Q44" s="142"/>
      <c r="R44" s="142"/>
      <c r="S44" s="142"/>
    </row>
    <row r="45" spans="1:19" x14ac:dyDescent="0.2">
      <c r="A45" s="39" t="s">
        <v>184</v>
      </c>
      <c r="B45" s="142" t="s">
        <v>604</v>
      </c>
      <c r="F45" s="144"/>
      <c r="G45" s="142"/>
      <c r="H45" s="142"/>
      <c r="I45" s="142"/>
      <c r="J45" s="142"/>
      <c r="K45" s="142"/>
      <c r="N45" s="144"/>
      <c r="O45" s="142"/>
      <c r="P45" s="142"/>
      <c r="Q45" s="142"/>
      <c r="R45" s="142"/>
      <c r="S45" s="142"/>
    </row>
    <row r="46" spans="1:19" x14ac:dyDescent="0.2">
      <c r="A46" s="39" t="s">
        <v>185</v>
      </c>
      <c r="B46" s="142" t="s">
        <v>604</v>
      </c>
      <c r="F46" s="144"/>
      <c r="G46" s="142"/>
      <c r="H46" s="142"/>
      <c r="I46" s="142"/>
      <c r="J46" s="142"/>
      <c r="K46" s="142"/>
      <c r="N46" s="144"/>
      <c r="O46" s="142"/>
      <c r="P46" s="142"/>
      <c r="Q46" s="142"/>
      <c r="R46" s="142"/>
      <c r="S46" s="142"/>
    </row>
    <row r="47" spans="1:19" x14ac:dyDescent="0.2">
      <c r="A47" s="39" t="s">
        <v>186</v>
      </c>
      <c r="B47" s="142" t="s">
        <v>604</v>
      </c>
      <c r="F47" s="144"/>
      <c r="G47" s="142"/>
      <c r="H47" s="142"/>
      <c r="I47" s="142"/>
      <c r="J47" s="142"/>
      <c r="K47" s="142"/>
      <c r="N47" s="144"/>
      <c r="O47" s="142"/>
      <c r="P47" s="142"/>
      <c r="Q47" s="142"/>
      <c r="R47" s="142"/>
      <c r="S47" s="142"/>
    </row>
    <row r="48" spans="1:19" x14ac:dyDescent="0.2">
      <c r="A48" s="39" t="s">
        <v>187</v>
      </c>
      <c r="B48" s="142" t="s">
        <v>604</v>
      </c>
      <c r="F48" s="142"/>
      <c r="G48" s="142"/>
      <c r="H48" s="142"/>
      <c r="I48" s="142"/>
      <c r="J48" s="142"/>
      <c r="K48" s="142"/>
      <c r="N48" s="144"/>
      <c r="O48" s="142"/>
      <c r="P48" s="142"/>
      <c r="Q48" s="142"/>
      <c r="R48" s="142"/>
      <c r="S48" s="142"/>
    </row>
    <row r="49" spans="1:19" x14ac:dyDescent="0.2">
      <c r="A49" s="39" t="s">
        <v>188</v>
      </c>
      <c r="B49" s="142" t="s">
        <v>604</v>
      </c>
      <c r="F49" s="142"/>
      <c r="G49" s="142"/>
      <c r="H49" s="142"/>
      <c r="I49" s="142"/>
      <c r="J49" s="142"/>
      <c r="K49" s="142"/>
      <c r="N49" s="144"/>
      <c r="O49" s="142"/>
      <c r="P49" s="142"/>
      <c r="Q49" s="142"/>
      <c r="R49" s="142"/>
      <c r="S49" s="142"/>
    </row>
    <row r="50" spans="1:19" x14ac:dyDescent="0.2">
      <c r="A50" s="39" t="s">
        <v>189</v>
      </c>
      <c r="B50" s="142" t="s">
        <v>604</v>
      </c>
      <c r="F50" s="144"/>
      <c r="G50" s="142"/>
      <c r="H50" s="142"/>
      <c r="I50" s="142"/>
      <c r="J50" s="142"/>
      <c r="K50" s="142"/>
      <c r="N50" s="144"/>
      <c r="O50" s="142"/>
      <c r="P50" s="142"/>
      <c r="Q50" s="142"/>
      <c r="R50" s="142"/>
      <c r="S50" s="142"/>
    </row>
    <row r="51" spans="1:19" x14ac:dyDescent="0.2">
      <c r="A51" s="39" t="s">
        <v>190</v>
      </c>
      <c r="B51" s="142" t="s">
        <v>604</v>
      </c>
      <c r="F51" s="144"/>
      <c r="G51" s="142"/>
      <c r="H51" s="142"/>
      <c r="I51" s="142"/>
      <c r="J51" s="142"/>
      <c r="K51" s="142"/>
      <c r="N51" s="144"/>
      <c r="O51" s="142"/>
      <c r="P51" s="142"/>
      <c r="Q51" s="142"/>
      <c r="R51" s="142"/>
      <c r="S51" s="142"/>
    </row>
    <row r="52" spans="1:19" x14ac:dyDescent="0.2">
      <c r="A52" s="39" t="s">
        <v>191</v>
      </c>
      <c r="B52" s="142" t="s">
        <v>604</v>
      </c>
      <c r="F52" s="144"/>
      <c r="G52" s="142"/>
      <c r="H52" s="142"/>
      <c r="I52" s="142"/>
      <c r="J52" s="142"/>
      <c r="K52" s="142"/>
      <c r="N52" s="144"/>
      <c r="O52" s="142"/>
      <c r="P52" s="142"/>
      <c r="Q52" s="142"/>
      <c r="R52" s="142"/>
      <c r="S52" s="142"/>
    </row>
    <row r="53" spans="1:19" x14ac:dyDescent="0.2">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
      <c r="A117" s="39" t="s">
        <v>254</v>
      </c>
      <c r="B117" s="142">
        <v>33</v>
      </c>
      <c r="C117" s="142">
        <v>11</v>
      </c>
      <c r="F117" s="142"/>
      <c r="G117" s="142"/>
      <c r="H117" s="142"/>
      <c r="I117" s="142"/>
      <c r="J117" s="142"/>
      <c r="K117" s="142"/>
      <c r="N117" s="142"/>
      <c r="O117" s="142"/>
      <c r="P117" s="142"/>
      <c r="Q117" s="142"/>
      <c r="R117" s="142"/>
      <c r="S117" s="142"/>
    </row>
    <row r="118" spans="1:19" x14ac:dyDescent="0.2">
      <c r="A118" s="39" t="s">
        <v>255</v>
      </c>
      <c r="B118" s="142" t="s">
        <v>604</v>
      </c>
      <c r="C118" s="142">
        <v>11</v>
      </c>
      <c r="F118" s="142"/>
      <c r="G118" s="142"/>
      <c r="H118" s="142"/>
      <c r="I118" s="142"/>
      <c r="J118" s="142"/>
      <c r="K118" s="142"/>
      <c r="N118" s="142"/>
      <c r="O118" s="142"/>
      <c r="P118" s="142"/>
      <c r="Q118" s="142"/>
      <c r="R118" s="142"/>
      <c r="S118" s="142"/>
    </row>
    <row r="119" spans="1:19" x14ac:dyDescent="0.2">
      <c r="A119" s="39" t="s">
        <v>256</v>
      </c>
      <c r="B119" s="142" t="s">
        <v>604</v>
      </c>
      <c r="C119" s="142">
        <v>11</v>
      </c>
      <c r="F119" s="142"/>
      <c r="G119" s="142"/>
      <c r="H119" s="142"/>
      <c r="I119" s="142"/>
      <c r="J119" s="142"/>
      <c r="K119" s="142"/>
      <c r="N119" s="142"/>
      <c r="O119" s="142"/>
      <c r="P119" s="142"/>
      <c r="Q119" s="142"/>
      <c r="R119" s="142"/>
      <c r="S119" s="142"/>
    </row>
    <row r="120" spans="1:19" x14ac:dyDescent="0.2">
      <c r="A120" s="39" t="s">
        <v>257</v>
      </c>
      <c r="B120" s="142" t="s">
        <v>604</v>
      </c>
      <c r="C120" s="142">
        <v>12</v>
      </c>
      <c r="F120" s="142"/>
      <c r="G120" s="142"/>
      <c r="H120" s="142"/>
      <c r="I120" s="142"/>
      <c r="J120" s="142"/>
      <c r="K120" s="142"/>
      <c r="N120" s="142"/>
      <c r="O120" s="142"/>
      <c r="P120" s="142"/>
      <c r="Q120" s="142"/>
      <c r="R120" s="142"/>
      <c r="S120" s="142"/>
    </row>
    <row r="121" spans="1:19" x14ac:dyDescent="0.2">
      <c r="A121" s="39" t="s">
        <v>258</v>
      </c>
      <c r="B121" s="142" t="s">
        <v>604</v>
      </c>
      <c r="C121" s="142">
        <v>12</v>
      </c>
      <c r="F121" s="142"/>
      <c r="G121" s="142"/>
      <c r="H121" s="142"/>
      <c r="I121" s="142"/>
      <c r="J121" s="142"/>
      <c r="K121" s="142"/>
      <c r="N121" s="142"/>
      <c r="O121" s="142"/>
      <c r="P121" s="142"/>
      <c r="Q121" s="142"/>
      <c r="R121" s="142"/>
      <c r="S121" s="142"/>
    </row>
    <row r="122" spans="1:19" x14ac:dyDescent="0.2">
      <c r="A122" s="39" t="s">
        <v>259</v>
      </c>
      <c r="B122" s="142" t="s">
        <v>604</v>
      </c>
      <c r="C122" s="142">
        <v>13</v>
      </c>
      <c r="F122" s="142"/>
      <c r="G122" s="142"/>
      <c r="H122" s="142"/>
      <c r="I122" s="142"/>
      <c r="J122" s="142"/>
      <c r="K122" s="142"/>
      <c r="N122" s="142"/>
      <c r="O122" s="142"/>
      <c r="P122" s="142"/>
      <c r="Q122" s="142"/>
      <c r="R122" s="142"/>
      <c r="S122" s="142"/>
    </row>
    <row r="123" spans="1:19" x14ac:dyDescent="0.2">
      <c r="A123" s="39" t="s">
        <v>260</v>
      </c>
      <c r="B123" s="142" t="s">
        <v>604</v>
      </c>
      <c r="C123" s="142">
        <v>13</v>
      </c>
      <c r="F123" s="142"/>
      <c r="G123" s="142"/>
      <c r="H123" s="142"/>
      <c r="I123" s="142"/>
      <c r="J123" s="142"/>
      <c r="K123" s="142"/>
      <c r="N123" s="142"/>
      <c r="O123" s="142"/>
      <c r="P123" s="142"/>
      <c r="Q123" s="142"/>
      <c r="R123" s="142"/>
      <c r="S123" s="142"/>
    </row>
    <row r="124" spans="1:19" x14ac:dyDescent="0.2">
      <c r="A124" s="39" t="s">
        <v>261</v>
      </c>
      <c r="B124" s="142" t="s">
        <v>604</v>
      </c>
      <c r="C124" s="142">
        <v>14</v>
      </c>
      <c r="F124" s="142"/>
      <c r="G124" s="142"/>
      <c r="H124" s="142"/>
      <c r="I124" s="142"/>
      <c r="J124" s="142"/>
      <c r="K124" s="142"/>
      <c r="N124" s="142"/>
      <c r="O124" s="142"/>
      <c r="P124" s="142"/>
      <c r="Q124" s="142"/>
      <c r="R124" s="142"/>
      <c r="S124" s="142"/>
    </row>
    <row r="125" spans="1:19" x14ac:dyDescent="0.2">
      <c r="A125" s="39" t="s">
        <v>262</v>
      </c>
      <c r="B125" s="142">
        <v>33</v>
      </c>
      <c r="C125" s="142">
        <v>11</v>
      </c>
      <c r="F125" s="142"/>
      <c r="G125" s="142"/>
      <c r="H125" s="142"/>
      <c r="I125" s="142"/>
      <c r="J125" s="142"/>
      <c r="K125" s="142"/>
      <c r="N125" s="142"/>
      <c r="O125" s="142"/>
      <c r="P125" s="142"/>
      <c r="Q125" s="142"/>
      <c r="R125" s="142"/>
      <c r="S125" s="142"/>
    </row>
    <row r="126" spans="1:19" x14ac:dyDescent="0.2">
      <c r="A126" s="39" t="s">
        <v>263</v>
      </c>
      <c r="B126" s="142">
        <v>38</v>
      </c>
      <c r="C126" s="142">
        <v>11</v>
      </c>
      <c r="F126" s="142"/>
      <c r="G126" s="142"/>
      <c r="H126" s="142"/>
      <c r="I126" s="142"/>
      <c r="J126" s="142"/>
      <c r="K126" s="142"/>
      <c r="N126" s="142"/>
      <c r="O126" s="142"/>
      <c r="P126" s="142"/>
      <c r="Q126" s="142"/>
      <c r="R126" s="142"/>
      <c r="S126" s="142"/>
    </row>
    <row r="127" spans="1:19" x14ac:dyDescent="0.2">
      <c r="A127" s="39" t="s">
        <v>264</v>
      </c>
      <c r="B127" s="142" t="s">
        <v>604</v>
      </c>
      <c r="C127" s="142">
        <v>11</v>
      </c>
      <c r="F127" s="142"/>
      <c r="G127" s="142"/>
      <c r="H127" s="142"/>
      <c r="I127" s="142"/>
      <c r="J127" s="142"/>
      <c r="K127" s="142"/>
      <c r="N127" s="142"/>
      <c r="O127" s="142"/>
      <c r="P127" s="142"/>
      <c r="Q127" s="142"/>
      <c r="R127" s="142"/>
      <c r="S127" s="142"/>
    </row>
    <row r="128" spans="1:19" x14ac:dyDescent="0.2">
      <c r="A128" s="39" t="s">
        <v>265</v>
      </c>
      <c r="B128" s="142" t="s">
        <v>604</v>
      </c>
      <c r="C128" s="142">
        <v>12</v>
      </c>
      <c r="F128" s="142"/>
      <c r="G128" s="142"/>
      <c r="H128" s="142"/>
      <c r="I128" s="142"/>
      <c r="J128" s="142"/>
      <c r="K128" s="142"/>
      <c r="N128" s="142"/>
      <c r="O128" s="142"/>
      <c r="P128" s="142"/>
      <c r="Q128" s="142"/>
      <c r="R128" s="142"/>
      <c r="S128" s="142"/>
    </row>
    <row r="129" spans="1:19" x14ac:dyDescent="0.2">
      <c r="A129" s="39" t="s">
        <v>266</v>
      </c>
      <c r="B129" s="142" t="s">
        <v>604</v>
      </c>
      <c r="C129" s="142">
        <v>12</v>
      </c>
      <c r="F129" s="142"/>
      <c r="G129" s="142"/>
      <c r="H129" s="142"/>
      <c r="I129" s="142"/>
      <c r="J129" s="142"/>
      <c r="K129" s="142"/>
      <c r="N129" s="142"/>
      <c r="O129" s="142"/>
      <c r="P129" s="142"/>
      <c r="Q129" s="142"/>
      <c r="R129" s="142"/>
      <c r="S129" s="142"/>
    </row>
    <row r="130" spans="1:19" x14ac:dyDescent="0.2">
      <c r="A130" s="39" t="s">
        <v>267</v>
      </c>
      <c r="B130" s="142" t="s">
        <v>604</v>
      </c>
      <c r="C130" s="142">
        <v>13</v>
      </c>
      <c r="F130" s="142"/>
      <c r="G130" s="142"/>
      <c r="H130" s="142"/>
      <c r="I130" s="142"/>
      <c r="J130" s="142"/>
      <c r="K130" s="142"/>
      <c r="N130" s="142"/>
      <c r="O130" s="142"/>
      <c r="P130" s="142"/>
      <c r="Q130" s="142"/>
      <c r="R130" s="142"/>
      <c r="S130" s="142"/>
    </row>
    <row r="131" spans="1:19" x14ac:dyDescent="0.2">
      <c r="A131" s="39" t="s">
        <v>268</v>
      </c>
      <c r="B131" s="142" t="s">
        <v>604</v>
      </c>
      <c r="C131" s="142">
        <v>13</v>
      </c>
      <c r="F131" s="142"/>
      <c r="G131" s="142"/>
      <c r="H131" s="142"/>
      <c r="I131" s="142"/>
      <c r="J131" s="142"/>
      <c r="K131" s="142"/>
      <c r="N131" s="142"/>
      <c r="O131" s="142"/>
      <c r="P131" s="142"/>
      <c r="Q131" s="142"/>
      <c r="R131" s="142"/>
      <c r="S131" s="142"/>
    </row>
    <row r="132" spans="1:19" x14ac:dyDescent="0.2">
      <c r="A132" s="39" t="s">
        <v>269</v>
      </c>
      <c r="B132" s="142" t="s">
        <v>604</v>
      </c>
      <c r="C132" s="142">
        <v>14</v>
      </c>
      <c r="F132" s="142"/>
      <c r="G132" s="142"/>
      <c r="H132" s="142"/>
      <c r="I132" s="142"/>
      <c r="J132" s="142"/>
      <c r="K132" s="142"/>
      <c r="N132" s="142"/>
      <c r="O132" s="142"/>
      <c r="P132" s="142"/>
      <c r="Q132" s="142"/>
      <c r="R132" s="142"/>
      <c r="S132" s="142"/>
    </row>
    <row r="133" spans="1:19" x14ac:dyDescent="0.2">
      <c r="A133" s="39" t="s">
        <v>270</v>
      </c>
      <c r="B133" s="142" t="s">
        <v>604</v>
      </c>
      <c r="C133" s="142">
        <v>14</v>
      </c>
      <c r="F133" s="142"/>
      <c r="G133" s="142"/>
      <c r="H133" s="142"/>
      <c r="I133" s="142"/>
      <c r="J133" s="142"/>
      <c r="K133" s="142"/>
      <c r="N133" s="142"/>
      <c r="O133" s="142"/>
      <c r="P133" s="142"/>
      <c r="Q133" s="142"/>
      <c r="R133" s="142"/>
      <c r="S133" s="142"/>
    </row>
    <row r="134" spans="1:19" x14ac:dyDescent="0.2">
      <c r="A134" s="39" t="s">
        <v>271</v>
      </c>
      <c r="B134" s="142">
        <v>35</v>
      </c>
      <c r="C134" s="142">
        <v>11</v>
      </c>
      <c r="F134" s="142"/>
      <c r="G134" s="142"/>
      <c r="H134" s="142"/>
      <c r="I134" s="142"/>
      <c r="J134" s="142"/>
      <c r="K134" s="142"/>
      <c r="N134" s="142"/>
      <c r="O134" s="142"/>
      <c r="P134" s="142"/>
      <c r="Q134" s="142"/>
      <c r="R134" s="142"/>
      <c r="S134" s="142"/>
    </row>
    <row r="135" spans="1:19" x14ac:dyDescent="0.2">
      <c r="A135" s="39" t="s">
        <v>272</v>
      </c>
      <c r="B135" s="142">
        <v>39</v>
      </c>
      <c r="C135" s="142">
        <v>11</v>
      </c>
      <c r="F135" s="142"/>
      <c r="G135" s="142"/>
      <c r="H135" s="142"/>
      <c r="I135" s="142"/>
      <c r="J135" s="142"/>
      <c r="K135" s="142"/>
      <c r="N135" s="142"/>
      <c r="O135" s="142"/>
      <c r="P135" s="142"/>
      <c r="Q135" s="142"/>
      <c r="R135" s="142"/>
      <c r="S135" s="142"/>
    </row>
    <row r="136" spans="1:19" x14ac:dyDescent="0.2">
      <c r="A136" s="39" t="s">
        <v>273</v>
      </c>
      <c r="B136" s="142">
        <v>40</v>
      </c>
      <c r="C136" s="142">
        <v>12</v>
      </c>
      <c r="F136" s="142"/>
      <c r="G136" s="142"/>
      <c r="H136" s="142"/>
      <c r="I136" s="142"/>
      <c r="J136" s="142"/>
      <c r="K136" s="142"/>
      <c r="N136" s="142"/>
      <c r="O136" s="142"/>
      <c r="P136" s="142"/>
      <c r="Q136" s="142"/>
      <c r="R136" s="142"/>
      <c r="S136" s="142"/>
    </row>
    <row r="137" spans="1:19" x14ac:dyDescent="0.2">
      <c r="A137" s="39" t="s">
        <v>274</v>
      </c>
      <c r="B137" s="142">
        <v>45</v>
      </c>
      <c r="C137" s="142">
        <v>12</v>
      </c>
      <c r="F137" s="142"/>
      <c r="G137" s="142"/>
      <c r="H137" s="142"/>
      <c r="I137" s="142"/>
      <c r="J137" s="142"/>
      <c r="K137" s="142"/>
      <c r="N137" s="142"/>
      <c r="O137" s="142"/>
      <c r="P137" s="142"/>
      <c r="Q137" s="142"/>
      <c r="R137" s="142"/>
      <c r="S137" s="142"/>
    </row>
    <row r="138" spans="1:19" x14ac:dyDescent="0.2">
      <c r="A138" s="39" t="s">
        <v>275</v>
      </c>
      <c r="B138" s="142" t="s">
        <v>604</v>
      </c>
      <c r="C138" s="142">
        <v>13</v>
      </c>
      <c r="F138" s="142"/>
      <c r="G138" s="142"/>
      <c r="H138" s="142"/>
      <c r="I138" s="142"/>
      <c r="J138" s="142"/>
      <c r="K138" s="142"/>
      <c r="N138" s="142"/>
      <c r="O138" s="142"/>
      <c r="P138" s="142"/>
      <c r="Q138" s="142"/>
      <c r="R138" s="142"/>
      <c r="S138" s="142"/>
    </row>
    <row r="139" spans="1:19" x14ac:dyDescent="0.2">
      <c r="A139" s="39" t="s">
        <v>276</v>
      </c>
      <c r="B139" s="142" t="s">
        <v>604</v>
      </c>
      <c r="C139" s="142">
        <v>13</v>
      </c>
      <c r="F139" s="142"/>
      <c r="G139" s="142"/>
      <c r="H139" s="142"/>
      <c r="I139" s="142"/>
      <c r="J139" s="142"/>
      <c r="K139" s="142"/>
      <c r="N139" s="142"/>
      <c r="O139" s="142"/>
      <c r="P139" s="142"/>
      <c r="Q139" s="142"/>
      <c r="R139" s="142"/>
      <c r="S139" s="142"/>
    </row>
    <row r="140" spans="1:19" x14ac:dyDescent="0.2">
      <c r="A140" s="39" t="s">
        <v>277</v>
      </c>
      <c r="B140" s="142" t="s">
        <v>604</v>
      </c>
      <c r="C140" s="142">
        <v>14</v>
      </c>
      <c r="F140" s="142"/>
      <c r="G140" s="142"/>
      <c r="H140" s="142"/>
      <c r="I140" s="142"/>
      <c r="J140" s="142"/>
      <c r="K140" s="142"/>
      <c r="N140" s="142"/>
      <c r="O140" s="142"/>
      <c r="P140" s="142"/>
      <c r="Q140" s="142"/>
      <c r="R140" s="142"/>
      <c r="S140" s="142"/>
    </row>
    <row r="141" spans="1:19" x14ac:dyDescent="0.2">
      <c r="A141" s="39" t="s">
        <v>278</v>
      </c>
      <c r="B141" s="142" t="s">
        <v>604</v>
      </c>
      <c r="C141" s="142">
        <v>14</v>
      </c>
      <c r="F141" s="142"/>
      <c r="G141" s="142"/>
      <c r="H141" s="142"/>
      <c r="I141" s="142"/>
      <c r="J141" s="142"/>
      <c r="K141" s="142"/>
      <c r="N141" s="142"/>
      <c r="O141" s="142"/>
      <c r="P141" s="142"/>
      <c r="Q141" s="142"/>
      <c r="R141" s="142"/>
      <c r="S141" s="142"/>
    </row>
    <row r="142" spans="1:19" x14ac:dyDescent="0.2">
      <c r="A142" s="39" t="s">
        <v>279</v>
      </c>
      <c r="B142" s="142" t="s">
        <v>604</v>
      </c>
      <c r="C142" s="142">
        <v>16</v>
      </c>
      <c r="F142" s="142"/>
      <c r="G142" s="142"/>
      <c r="H142" s="142"/>
      <c r="I142" s="142"/>
      <c r="J142" s="142"/>
      <c r="K142" s="142"/>
      <c r="N142" s="142"/>
      <c r="O142" s="142"/>
      <c r="P142" s="142"/>
      <c r="Q142" s="142"/>
      <c r="R142" s="142"/>
      <c r="S142" s="142"/>
    </row>
    <row r="143" spans="1:19" x14ac:dyDescent="0.2">
      <c r="A143" s="39" t="s">
        <v>280</v>
      </c>
      <c r="B143" s="142">
        <v>42</v>
      </c>
      <c r="C143" s="142">
        <v>12</v>
      </c>
      <c r="F143" s="142"/>
      <c r="G143" s="142"/>
      <c r="H143" s="142"/>
      <c r="I143" s="142"/>
      <c r="J143" s="142"/>
      <c r="K143" s="142"/>
      <c r="N143" s="142"/>
      <c r="O143" s="142"/>
      <c r="P143" s="142"/>
      <c r="Q143" s="142"/>
      <c r="R143" s="142"/>
      <c r="S143" s="142"/>
    </row>
    <row r="144" spans="1:19" x14ac:dyDescent="0.2">
      <c r="A144" s="39" t="s">
        <v>281</v>
      </c>
      <c r="B144" s="142">
        <v>46</v>
      </c>
      <c r="C144" s="142">
        <v>12</v>
      </c>
      <c r="F144" s="142"/>
      <c r="G144" s="142"/>
      <c r="H144" s="142"/>
      <c r="I144" s="142"/>
      <c r="J144" s="142"/>
      <c r="K144" s="142"/>
      <c r="N144" s="142"/>
      <c r="O144" s="142"/>
      <c r="P144" s="142"/>
      <c r="Q144" s="142"/>
      <c r="R144" s="142"/>
      <c r="S144" s="142"/>
    </row>
    <row r="145" spans="1:19" x14ac:dyDescent="0.2">
      <c r="A145" s="39" t="s">
        <v>282</v>
      </c>
      <c r="B145" s="142">
        <v>54</v>
      </c>
      <c r="C145" s="142">
        <v>13</v>
      </c>
      <c r="F145" s="142"/>
      <c r="G145" s="142"/>
      <c r="H145" s="142"/>
      <c r="I145" s="142"/>
      <c r="J145" s="142"/>
      <c r="K145" s="142"/>
      <c r="N145" s="142"/>
      <c r="O145" s="142"/>
      <c r="P145" s="142"/>
      <c r="Q145" s="142"/>
      <c r="R145" s="142"/>
      <c r="S145" s="142"/>
    </row>
    <row r="146" spans="1:19" x14ac:dyDescent="0.2">
      <c r="A146" s="39" t="s">
        <v>283</v>
      </c>
      <c r="B146" s="142">
        <v>54</v>
      </c>
      <c r="C146" s="142">
        <v>13</v>
      </c>
      <c r="F146" s="142"/>
      <c r="G146" s="142"/>
      <c r="H146" s="142"/>
      <c r="I146" s="142"/>
      <c r="J146" s="142"/>
      <c r="K146" s="142"/>
      <c r="N146" s="142"/>
      <c r="O146" s="142"/>
      <c r="P146" s="142"/>
      <c r="Q146" s="142"/>
      <c r="R146" s="142"/>
      <c r="S146" s="142"/>
    </row>
    <row r="147" spans="1:19" x14ac:dyDescent="0.2">
      <c r="A147" s="39" t="s">
        <v>284</v>
      </c>
      <c r="B147" s="142" t="s">
        <v>604</v>
      </c>
      <c r="C147" s="142">
        <v>14</v>
      </c>
      <c r="F147" s="142"/>
      <c r="G147" s="142"/>
      <c r="H147" s="142"/>
      <c r="I147" s="142"/>
      <c r="J147" s="142"/>
      <c r="K147" s="142"/>
      <c r="N147" s="142"/>
      <c r="O147" s="142"/>
      <c r="P147" s="142"/>
      <c r="Q147" s="142"/>
      <c r="R147" s="142"/>
      <c r="S147" s="142"/>
    </row>
    <row r="148" spans="1:19" x14ac:dyDescent="0.2">
      <c r="A148" s="39" t="s">
        <v>285</v>
      </c>
      <c r="B148" s="142" t="s">
        <v>604</v>
      </c>
      <c r="C148" s="142">
        <v>14</v>
      </c>
      <c r="F148" s="142"/>
      <c r="G148" s="142"/>
      <c r="H148" s="142"/>
      <c r="I148" s="142"/>
      <c r="J148" s="142"/>
      <c r="K148" s="142"/>
      <c r="N148" s="142"/>
      <c r="O148" s="142"/>
      <c r="P148" s="142"/>
      <c r="Q148" s="142"/>
      <c r="R148" s="142"/>
      <c r="S148" s="142"/>
    </row>
    <row r="149" spans="1:19" x14ac:dyDescent="0.2">
      <c r="A149" s="39" t="s">
        <v>286</v>
      </c>
      <c r="B149" s="142" t="s">
        <v>604</v>
      </c>
      <c r="C149" s="142">
        <v>16</v>
      </c>
      <c r="F149" s="142"/>
      <c r="G149" s="142"/>
      <c r="H149" s="142"/>
      <c r="I149" s="142"/>
      <c r="J149" s="142"/>
      <c r="K149" s="142"/>
      <c r="N149" s="142"/>
      <c r="O149" s="142"/>
      <c r="P149" s="142"/>
      <c r="Q149" s="142"/>
      <c r="R149" s="142"/>
      <c r="S149" s="142"/>
    </row>
    <row r="150" spans="1:19" x14ac:dyDescent="0.2">
      <c r="A150" s="39" t="s">
        <v>287</v>
      </c>
      <c r="B150" s="142" t="s">
        <v>604</v>
      </c>
      <c r="C150" s="142">
        <v>16</v>
      </c>
      <c r="F150" s="142"/>
      <c r="G150" s="142"/>
      <c r="H150" s="142"/>
      <c r="I150" s="142"/>
      <c r="J150" s="142"/>
      <c r="K150" s="142"/>
      <c r="N150" s="142"/>
      <c r="O150" s="142"/>
      <c r="P150" s="142"/>
      <c r="Q150" s="142"/>
      <c r="R150" s="142"/>
      <c r="S150" s="142"/>
    </row>
    <row r="151" spans="1:19" x14ac:dyDescent="0.2">
      <c r="A151" s="39" t="s">
        <v>288</v>
      </c>
      <c r="B151" s="142" t="s">
        <v>604</v>
      </c>
      <c r="C151" s="142">
        <v>16</v>
      </c>
      <c r="F151" s="142"/>
      <c r="G151" s="142"/>
      <c r="H151" s="142"/>
      <c r="I151" s="142"/>
      <c r="J151" s="142"/>
      <c r="K151" s="142"/>
      <c r="N151" s="142"/>
      <c r="O151" s="142"/>
      <c r="P151" s="142"/>
      <c r="Q151" s="142"/>
      <c r="R151" s="142"/>
      <c r="S151" s="142"/>
    </row>
    <row r="152" spans="1:19" x14ac:dyDescent="0.2">
      <c r="A152" s="39" t="s">
        <v>289</v>
      </c>
      <c r="B152" s="142">
        <v>47</v>
      </c>
      <c r="C152" s="142">
        <v>12</v>
      </c>
      <c r="F152" s="142"/>
      <c r="G152" s="142"/>
      <c r="H152" s="142"/>
      <c r="I152" s="142"/>
      <c r="J152" s="142"/>
      <c r="K152" s="142"/>
      <c r="N152" s="142"/>
      <c r="O152" s="142"/>
      <c r="P152" s="142"/>
      <c r="Q152" s="142"/>
      <c r="R152" s="142"/>
      <c r="S152" s="142"/>
    </row>
    <row r="153" spans="1:19" x14ac:dyDescent="0.2">
      <c r="A153" s="39" t="s">
        <v>290</v>
      </c>
      <c r="B153" s="142">
        <v>47</v>
      </c>
      <c r="C153" s="142">
        <v>13</v>
      </c>
      <c r="F153" s="142"/>
      <c r="G153" s="142"/>
      <c r="H153" s="142"/>
      <c r="I153" s="142"/>
      <c r="J153" s="142"/>
      <c r="K153" s="142"/>
      <c r="N153" s="142"/>
      <c r="O153" s="142"/>
      <c r="P153" s="142"/>
      <c r="Q153" s="142"/>
      <c r="R153" s="142"/>
      <c r="S153" s="142"/>
    </row>
    <row r="154" spans="1:19" x14ac:dyDescent="0.2">
      <c r="A154" s="39" t="s">
        <v>291</v>
      </c>
      <c r="B154" s="142">
        <v>55</v>
      </c>
      <c r="C154" s="142">
        <v>13</v>
      </c>
      <c r="F154" s="142"/>
      <c r="G154" s="142"/>
      <c r="H154" s="142"/>
      <c r="I154" s="142"/>
      <c r="J154" s="142"/>
      <c r="K154" s="142"/>
      <c r="N154" s="142"/>
      <c r="O154" s="142"/>
      <c r="P154" s="142"/>
      <c r="Q154" s="142"/>
      <c r="R154" s="142"/>
      <c r="S154" s="142"/>
    </row>
    <row r="155" spans="1:19" x14ac:dyDescent="0.2">
      <c r="A155" s="39" t="s">
        <v>292</v>
      </c>
      <c r="B155" s="142" t="s">
        <v>604</v>
      </c>
      <c r="C155" s="142">
        <v>14</v>
      </c>
      <c r="F155" s="142"/>
      <c r="G155" s="142"/>
      <c r="H155" s="142"/>
      <c r="I155" s="142"/>
      <c r="J155" s="142"/>
      <c r="K155" s="142"/>
      <c r="N155" s="142"/>
      <c r="O155" s="142"/>
      <c r="P155" s="142"/>
      <c r="Q155" s="142"/>
      <c r="R155" s="142"/>
      <c r="S155" s="142"/>
    </row>
    <row r="156" spans="1:19" x14ac:dyDescent="0.2">
      <c r="A156" s="39" t="s">
        <v>293</v>
      </c>
      <c r="B156" s="142" t="s">
        <v>604</v>
      </c>
      <c r="C156" s="142">
        <v>14</v>
      </c>
      <c r="F156" s="142"/>
      <c r="G156" s="142"/>
      <c r="H156" s="142"/>
      <c r="I156" s="142"/>
      <c r="J156" s="142"/>
      <c r="K156" s="142"/>
      <c r="N156" s="142"/>
      <c r="O156" s="142"/>
      <c r="P156" s="142"/>
      <c r="Q156" s="142"/>
      <c r="R156" s="142"/>
      <c r="S156" s="142"/>
    </row>
    <row r="157" spans="1:19" x14ac:dyDescent="0.2">
      <c r="A157" s="39" t="s">
        <v>294</v>
      </c>
      <c r="B157" s="142" t="s">
        <v>604</v>
      </c>
      <c r="C157" s="142">
        <v>16</v>
      </c>
      <c r="F157" s="142"/>
      <c r="G157" s="142"/>
      <c r="H157" s="142"/>
      <c r="I157" s="142"/>
      <c r="J157" s="142"/>
      <c r="K157" s="142"/>
      <c r="N157" s="142"/>
      <c r="O157" s="142"/>
      <c r="P157" s="142"/>
      <c r="Q157" s="142"/>
      <c r="R157" s="142"/>
      <c r="S157" s="142"/>
    </row>
    <row r="158" spans="1:19" x14ac:dyDescent="0.2">
      <c r="A158" s="39" t="s">
        <v>295</v>
      </c>
      <c r="B158" s="142" t="s">
        <v>604</v>
      </c>
      <c r="C158" s="142">
        <v>16</v>
      </c>
      <c r="F158" s="142"/>
      <c r="G158" s="142"/>
      <c r="H158" s="142"/>
      <c r="I158" s="142"/>
      <c r="J158" s="142"/>
      <c r="K158" s="142"/>
      <c r="N158" s="142"/>
      <c r="O158" s="142"/>
      <c r="P158" s="142"/>
      <c r="Q158" s="142"/>
      <c r="R158" s="142"/>
      <c r="S158" s="142"/>
    </row>
    <row r="159" spans="1:19" x14ac:dyDescent="0.2">
      <c r="A159" s="39" t="s">
        <v>296</v>
      </c>
      <c r="B159" s="142" t="s">
        <v>604</v>
      </c>
      <c r="C159" s="142">
        <v>16</v>
      </c>
      <c r="F159" s="142"/>
      <c r="G159" s="142"/>
      <c r="H159" s="142"/>
      <c r="I159" s="142"/>
      <c r="J159" s="142"/>
      <c r="K159" s="142"/>
      <c r="N159" s="142"/>
      <c r="O159" s="142"/>
      <c r="P159" s="142"/>
      <c r="Q159" s="142"/>
      <c r="R159" s="142"/>
      <c r="S159" s="142"/>
    </row>
    <row r="160" spans="1:19" x14ac:dyDescent="0.2">
      <c r="A160" s="39" t="s">
        <v>297</v>
      </c>
      <c r="B160" s="142" t="s">
        <v>604</v>
      </c>
      <c r="C160" s="142">
        <v>16</v>
      </c>
      <c r="F160" s="142"/>
      <c r="G160" s="142"/>
      <c r="H160" s="142"/>
      <c r="I160" s="142"/>
      <c r="J160" s="142"/>
      <c r="K160" s="142"/>
      <c r="N160" s="142"/>
      <c r="O160" s="142"/>
      <c r="P160" s="142"/>
      <c r="Q160" s="142"/>
      <c r="R160" s="142"/>
      <c r="S160" s="142"/>
    </row>
    <row r="161" spans="1:19" x14ac:dyDescent="0.2">
      <c r="A161" s="39" t="s">
        <v>298</v>
      </c>
      <c r="B161" s="142" t="s">
        <v>604</v>
      </c>
      <c r="C161" s="142">
        <v>21</v>
      </c>
      <c r="F161" s="142"/>
      <c r="G161" s="142"/>
      <c r="H161" s="142"/>
      <c r="I161" s="142"/>
      <c r="J161" s="142"/>
      <c r="K161" s="142"/>
      <c r="N161" s="142"/>
      <c r="O161" s="142"/>
      <c r="P161" s="142"/>
      <c r="Q161" s="142"/>
      <c r="R161" s="142"/>
      <c r="S161" s="142"/>
    </row>
    <row r="162" spans="1:19" x14ac:dyDescent="0.2">
      <c r="A162" s="39" t="s">
        <v>299</v>
      </c>
      <c r="B162" s="142">
        <v>47</v>
      </c>
      <c r="C162" s="142">
        <v>13</v>
      </c>
      <c r="F162" s="142"/>
      <c r="G162" s="142"/>
      <c r="H162" s="142"/>
      <c r="I162" s="142"/>
      <c r="J162" s="142"/>
      <c r="K162" s="142"/>
      <c r="N162" s="142"/>
      <c r="O162" s="142"/>
      <c r="P162" s="142"/>
      <c r="Q162" s="142"/>
      <c r="R162" s="142"/>
      <c r="S162" s="142"/>
    </row>
    <row r="163" spans="1:19" x14ac:dyDescent="0.2">
      <c r="A163" s="39" t="s">
        <v>300</v>
      </c>
      <c r="B163" s="142">
        <v>47</v>
      </c>
      <c r="C163" s="142">
        <v>13</v>
      </c>
      <c r="F163" s="142"/>
      <c r="G163" s="142"/>
      <c r="H163" s="142"/>
      <c r="I163" s="142"/>
      <c r="J163" s="142"/>
      <c r="K163" s="142"/>
      <c r="N163" s="142"/>
      <c r="O163" s="142"/>
      <c r="P163" s="142"/>
      <c r="Q163" s="142"/>
      <c r="R163" s="142"/>
      <c r="S163" s="142"/>
    </row>
    <row r="164" spans="1:19" x14ac:dyDescent="0.2">
      <c r="A164" s="39" t="s">
        <v>301</v>
      </c>
      <c r="B164" s="142">
        <v>57</v>
      </c>
      <c r="C164" s="142">
        <v>14</v>
      </c>
      <c r="F164" s="142"/>
      <c r="G164" s="142"/>
      <c r="H164" s="142"/>
      <c r="I164" s="142"/>
      <c r="J164" s="142"/>
      <c r="K164" s="142"/>
      <c r="N164" s="142"/>
      <c r="O164" s="142"/>
      <c r="P164" s="142"/>
      <c r="Q164" s="142"/>
      <c r="R164" s="142"/>
      <c r="S164" s="142"/>
    </row>
    <row r="165" spans="1:19" x14ac:dyDescent="0.2">
      <c r="A165" s="39" t="s">
        <v>302</v>
      </c>
      <c r="B165" s="142">
        <v>60</v>
      </c>
      <c r="C165" s="142">
        <v>14</v>
      </c>
      <c r="F165" s="142"/>
      <c r="G165" s="142"/>
      <c r="H165" s="142"/>
      <c r="I165" s="142"/>
      <c r="J165" s="142"/>
      <c r="K165" s="142"/>
      <c r="N165" s="142"/>
      <c r="O165" s="142"/>
      <c r="P165" s="142"/>
      <c r="Q165" s="142"/>
      <c r="R165" s="142"/>
      <c r="S165" s="142"/>
    </row>
    <row r="166" spans="1:19" x14ac:dyDescent="0.2">
      <c r="A166" s="39" t="s">
        <v>303</v>
      </c>
      <c r="B166" s="142">
        <v>60</v>
      </c>
      <c r="C166" s="142">
        <v>16</v>
      </c>
      <c r="F166" s="142"/>
      <c r="G166" s="142"/>
      <c r="H166" s="142"/>
      <c r="I166" s="142"/>
      <c r="J166" s="142"/>
      <c r="K166" s="142"/>
      <c r="N166" s="142"/>
      <c r="O166" s="142"/>
      <c r="P166" s="142"/>
      <c r="Q166" s="142"/>
      <c r="R166" s="142"/>
      <c r="S166" s="142"/>
    </row>
    <row r="167" spans="1:19" x14ac:dyDescent="0.2">
      <c r="A167" s="39" t="s">
        <v>304</v>
      </c>
      <c r="B167" s="142">
        <v>60</v>
      </c>
      <c r="C167" s="142">
        <v>16</v>
      </c>
      <c r="F167" s="142"/>
      <c r="G167" s="142"/>
      <c r="H167" s="142"/>
      <c r="I167" s="142"/>
      <c r="J167" s="142"/>
      <c r="K167" s="142"/>
      <c r="N167" s="142"/>
      <c r="O167" s="142"/>
      <c r="P167" s="142"/>
      <c r="Q167" s="142"/>
      <c r="R167" s="142"/>
      <c r="S167" s="142"/>
    </row>
    <row r="168" spans="1:19" x14ac:dyDescent="0.2">
      <c r="A168" s="39" t="s">
        <v>305</v>
      </c>
      <c r="B168" s="142">
        <v>60</v>
      </c>
      <c r="C168" s="142">
        <v>16</v>
      </c>
      <c r="F168" s="142"/>
      <c r="G168" s="142"/>
      <c r="H168" s="142"/>
      <c r="I168" s="142"/>
      <c r="J168" s="142"/>
      <c r="K168" s="142"/>
      <c r="N168" s="142"/>
      <c r="O168" s="142"/>
      <c r="P168" s="142"/>
      <c r="Q168" s="142"/>
      <c r="R168" s="142"/>
      <c r="S168" s="142"/>
    </row>
    <row r="169" spans="1:19" x14ac:dyDescent="0.2">
      <c r="A169" s="39" t="s">
        <v>306</v>
      </c>
      <c r="B169" s="142">
        <v>60</v>
      </c>
      <c r="C169" s="142">
        <v>16</v>
      </c>
      <c r="F169" s="142"/>
      <c r="G169" s="142"/>
      <c r="H169" s="142"/>
      <c r="I169" s="142"/>
      <c r="J169" s="142"/>
      <c r="K169" s="142"/>
      <c r="N169" s="142"/>
      <c r="O169" s="142"/>
      <c r="P169" s="142"/>
      <c r="Q169" s="142"/>
      <c r="R169" s="142"/>
      <c r="S169" s="142"/>
    </row>
    <row r="170" spans="1:19" x14ac:dyDescent="0.2">
      <c r="A170" s="39" t="s">
        <v>307</v>
      </c>
      <c r="B170" s="142">
        <v>60</v>
      </c>
      <c r="C170" s="142">
        <v>21</v>
      </c>
      <c r="F170" s="142"/>
      <c r="G170" s="142"/>
      <c r="H170" s="142"/>
      <c r="I170" s="142"/>
      <c r="J170" s="142"/>
      <c r="K170" s="142"/>
      <c r="N170" s="142"/>
      <c r="O170" s="142"/>
      <c r="P170" s="142"/>
      <c r="Q170" s="142"/>
      <c r="R170" s="142"/>
      <c r="S170" s="142"/>
    </row>
    <row r="171" spans="1:19" x14ac:dyDescent="0.2">
      <c r="A171" s="39" t="s">
        <v>308</v>
      </c>
      <c r="B171" s="142">
        <v>47</v>
      </c>
      <c r="C171" s="142">
        <v>13</v>
      </c>
      <c r="F171" s="142"/>
      <c r="G171" s="142"/>
      <c r="H171" s="142"/>
      <c r="I171" s="142"/>
      <c r="J171" s="142"/>
      <c r="K171" s="142"/>
      <c r="N171" s="142"/>
      <c r="O171" s="142"/>
      <c r="P171" s="142"/>
      <c r="Q171" s="142"/>
      <c r="R171" s="142"/>
      <c r="S171" s="142"/>
    </row>
    <row r="172" spans="1:19" x14ac:dyDescent="0.2">
      <c r="A172" s="39" t="s">
        <v>150</v>
      </c>
      <c r="B172" s="142">
        <v>47</v>
      </c>
      <c r="C172" s="142">
        <v>14</v>
      </c>
      <c r="F172" s="142"/>
      <c r="G172" s="142"/>
      <c r="H172" s="142"/>
      <c r="I172" s="142"/>
      <c r="J172" s="142"/>
      <c r="K172" s="142"/>
      <c r="N172" s="142"/>
      <c r="O172" s="142"/>
      <c r="P172" s="142"/>
      <c r="Q172" s="142"/>
      <c r="R172" s="142"/>
      <c r="S172" s="142"/>
    </row>
    <row r="173" spans="1:19" x14ac:dyDescent="0.2">
      <c r="A173" s="39" t="s">
        <v>309</v>
      </c>
      <c r="B173" s="142">
        <v>60</v>
      </c>
      <c r="C173" s="142">
        <v>14</v>
      </c>
      <c r="F173" s="142"/>
      <c r="G173" s="142"/>
      <c r="H173" s="142"/>
      <c r="I173" s="142"/>
      <c r="J173" s="142"/>
      <c r="K173" s="142"/>
      <c r="N173" s="142"/>
      <c r="O173" s="142"/>
      <c r="P173" s="142"/>
      <c r="Q173" s="142"/>
      <c r="R173" s="142"/>
      <c r="S173" s="142"/>
    </row>
    <row r="174" spans="1:19" x14ac:dyDescent="0.2">
      <c r="A174" s="39" t="s">
        <v>310</v>
      </c>
      <c r="B174" s="142">
        <v>60</v>
      </c>
      <c r="C174" s="142">
        <v>16</v>
      </c>
      <c r="F174" s="142"/>
      <c r="G174" s="142"/>
      <c r="H174" s="142"/>
      <c r="I174" s="142"/>
      <c r="J174" s="142"/>
      <c r="K174" s="142"/>
      <c r="N174" s="142"/>
      <c r="O174" s="142"/>
      <c r="P174" s="142"/>
      <c r="Q174" s="142"/>
      <c r="R174" s="142"/>
      <c r="S174" s="142"/>
    </row>
    <row r="175" spans="1:19" x14ac:dyDescent="0.2">
      <c r="A175" s="39" t="s">
        <v>311</v>
      </c>
      <c r="B175" s="142">
        <v>60</v>
      </c>
      <c r="C175" s="142">
        <v>16</v>
      </c>
      <c r="F175" s="142"/>
      <c r="G175" s="142"/>
      <c r="H175" s="142"/>
      <c r="I175" s="142"/>
      <c r="J175" s="142"/>
      <c r="K175" s="142"/>
      <c r="N175" s="142"/>
      <c r="O175" s="142"/>
      <c r="P175" s="142"/>
      <c r="Q175" s="142"/>
      <c r="R175" s="142"/>
      <c r="S175" s="142"/>
    </row>
    <row r="176" spans="1:19" x14ac:dyDescent="0.2">
      <c r="A176" s="39" t="s">
        <v>312</v>
      </c>
      <c r="B176" s="142">
        <v>60</v>
      </c>
      <c r="C176" s="142">
        <v>16</v>
      </c>
      <c r="F176" s="142"/>
      <c r="G176" s="142"/>
      <c r="H176" s="142"/>
      <c r="I176" s="142"/>
      <c r="J176" s="142"/>
      <c r="K176" s="142"/>
      <c r="N176" s="142"/>
      <c r="O176" s="142"/>
      <c r="P176" s="142"/>
      <c r="Q176" s="142"/>
      <c r="R176" s="142"/>
      <c r="S176" s="142"/>
    </row>
    <row r="177" spans="1:19" x14ac:dyDescent="0.2">
      <c r="A177" s="39" t="s">
        <v>313</v>
      </c>
      <c r="B177" s="142">
        <v>60</v>
      </c>
      <c r="C177" s="142">
        <v>16</v>
      </c>
      <c r="F177" s="142"/>
      <c r="G177" s="142"/>
      <c r="H177" s="142"/>
      <c r="I177" s="142"/>
      <c r="J177" s="142"/>
      <c r="K177" s="142"/>
      <c r="N177" s="142"/>
      <c r="O177" s="142"/>
      <c r="P177" s="142"/>
      <c r="Q177" s="142"/>
      <c r="R177" s="142"/>
      <c r="S177" s="142"/>
    </row>
    <row r="178" spans="1:19" x14ac:dyDescent="0.2">
      <c r="A178" s="39" t="s">
        <v>314</v>
      </c>
      <c r="B178" s="142">
        <v>60</v>
      </c>
      <c r="C178" s="142">
        <v>21</v>
      </c>
      <c r="F178" s="142"/>
      <c r="G178" s="142"/>
      <c r="H178" s="142"/>
      <c r="I178" s="142"/>
      <c r="J178" s="142"/>
      <c r="K178" s="142"/>
      <c r="N178" s="142"/>
      <c r="O178" s="142"/>
      <c r="P178" s="142"/>
      <c r="Q178" s="142"/>
      <c r="R178" s="142"/>
      <c r="S178" s="142"/>
    </row>
    <row r="179" spans="1:19" x14ac:dyDescent="0.2">
      <c r="A179" s="39" t="s">
        <v>315</v>
      </c>
      <c r="B179" s="142">
        <v>60</v>
      </c>
      <c r="C179" s="142">
        <v>21</v>
      </c>
      <c r="F179" s="142"/>
      <c r="G179" s="142"/>
      <c r="H179" s="142"/>
      <c r="I179" s="142"/>
      <c r="J179" s="142"/>
      <c r="K179" s="142"/>
      <c r="N179" s="142"/>
      <c r="O179" s="142"/>
      <c r="P179" s="142"/>
      <c r="Q179" s="142"/>
      <c r="R179" s="142"/>
      <c r="S179" s="142"/>
    </row>
    <row r="180" spans="1:19" x14ac:dyDescent="0.2">
      <c r="A180" s="39" t="s">
        <v>316</v>
      </c>
      <c r="B180" s="142">
        <v>52</v>
      </c>
      <c r="C180" s="142">
        <v>14</v>
      </c>
      <c r="F180" s="142"/>
      <c r="G180" s="142"/>
      <c r="H180" s="142"/>
      <c r="I180" s="142"/>
      <c r="J180" s="142"/>
      <c r="K180" s="142"/>
      <c r="N180" s="142"/>
      <c r="O180" s="142"/>
      <c r="P180" s="142"/>
      <c r="Q180" s="142"/>
      <c r="R180" s="142"/>
      <c r="S180" s="142"/>
    </row>
    <row r="181" spans="1:19" x14ac:dyDescent="0.2">
      <c r="A181" s="39" t="s">
        <v>317</v>
      </c>
      <c r="B181" s="142">
        <v>60</v>
      </c>
      <c r="C181" s="142">
        <v>14</v>
      </c>
      <c r="F181" s="142"/>
      <c r="G181" s="142"/>
      <c r="H181" s="142"/>
      <c r="I181" s="142"/>
      <c r="J181" s="142"/>
      <c r="K181" s="142"/>
      <c r="N181" s="142"/>
      <c r="O181" s="142"/>
      <c r="P181" s="142"/>
      <c r="Q181" s="142"/>
      <c r="R181" s="142"/>
      <c r="S181" s="142"/>
    </row>
    <row r="182" spans="1:19" x14ac:dyDescent="0.2">
      <c r="A182" s="39" t="s">
        <v>318</v>
      </c>
      <c r="B182" s="142">
        <v>60</v>
      </c>
      <c r="C182" s="142">
        <v>16</v>
      </c>
      <c r="F182" s="142"/>
      <c r="G182" s="142"/>
      <c r="H182" s="142"/>
      <c r="I182" s="142"/>
      <c r="J182" s="142"/>
      <c r="K182" s="142"/>
      <c r="N182" s="142"/>
      <c r="O182" s="142"/>
      <c r="P182" s="142"/>
      <c r="Q182" s="142"/>
      <c r="R182" s="142"/>
      <c r="S182" s="142"/>
    </row>
    <row r="183" spans="1:19" x14ac:dyDescent="0.2">
      <c r="A183" s="39" t="s">
        <v>319</v>
      </c>
      <c r="B183" s="142">
        <v>60</v>
      </c>
      <c r="C183" s="142">
        <v>16</v>
      </c>
      <c r="F183" s="142"/>
      <c r="G183" s="142"/>
      <c r="H183" s="142"/>
      <c r="I183" s="142"/>
      <c r="J183" s="142"/>
      <c r="K183" s="142"/>
      <c r="N183" s="142"/>
      <c r="O183" s="142"/>
      <c r="P183" s="142"/>
      <c r="Q183" s="142"/>
      <c r="R183" s="142"/>
      <c r="S183" s="142"/>
    </row>
    <row r="184" spans="1:19" x14ac:dyDescent="0.2">
      <c r="A184" s="39" t="s">
        <v>320</v>
      </c>
      <c r="B184" s="142">
        <v>60</v>
      </c>
      <c r="C184" s="142">
        <v>16</v>
      </c>
      <c r="F184" s="142"/>
      <c r="G184" s="142"/>
      <c r="H184" s="142"/>
      <c r="I184" s="142"/>
      <c r="J184" s="142"/>
      <c r="K184" s="142"/>
      <c r="N184" s="142"/>
      <c r="O184" s="142"/>
      <c r="P184" s="142"/>
      <c r="Q184" s="142"/>
      <c r="R184" s="142"/>
      <c r="S184" s="142"/>
    </row>
    <row r="185" spans="1:19" x14ac:dyDescent="0.2">
      <c r="A185" s="39" t="s">
        <v>321</v>
      </c>
      <c r="B185" s="142">
        <v>60</v>
      </c>
      <c r="C185" s="142">
        <v>16</v>
      </c>
      <c r="F185" s="142"/>
      <c r="G185" s="142"/>
      <c r="H185" s="142"/>
      <c r="I185" s="142"/>
      <c r="J185" s="142"/>
      <c r="K185" s="142"/>
      <c r="N185" s="142"/>
      <c r="O185" s="142"/>
      <c r="P185" s="142"/>
      <c r="Q185" s="142"/>
      <c r="R185" s="142"/>
      <c r="S185" s="142"/>
    </row>
    <row r="186" spans="1:19" x14ac:dyDescent="0.2">
      <c r="A186" s="39" t="s">
        <v>322</v>
      </c>
      <c r="B186" s="142">
        <v>60</v>
      </c>
      <c r="C186" s="142">
        <v>21</v>
      </c>
      <c r="F186" s="142"/>
      <c r="G186" s="142"/>
      <c r="H186" s="142"/>
      <c r="I186" s="142"/>
      <c r="J186" s="142"/>
      <c r="K186" s="142"/>
      <c r="N186" s="142"/>
      <c r="O186" s="142"/>
      <c r="P186" s="142"/>
      <c r="Q186" s="142"/>
      <c r="R186" s="142"/>
      <c r="S186" s="142"/>
    </row>
    <row r="187" spans="1:19" x14ac:dyDescent="0.2">
      <c r="A187" s="39" t="s">
        <v>323</v>
      </c>
      <c r="B187" s="142">
        <v>60</v>
      </c>
      <c r="C187" s="142">
        <v>21</v>
      </c>
      <c r="F187" s="142"/>
      <c r="G187" s="142"/>
      <c r="H187" s="142"/>
      <c r="I187" s="142"/>
      <c r="J187" s="142"/>
      <c r="K187" s="142"/>
      <c r="N187" s="142"/>
      <c r="O187" s="142"/>
      <c r="P187" s="142"/>
      <c r="Q187" s="142"/>
      <c r="R187" s="142"/>
      <c r="S187" s="142"/>
    </row>
    <row r="188" spans="1:19" x14ac:dyDescent="0.2">
      <c r="A188" s="39" t="s">
        <v>324</v>
      </c>
      <c r="B188" s="142">
        <v>60</v>
      </c>
      <c r="C188" s="142">
        <v>21</v>
      </c>
      <c r="F188" s="142"/>
      <c r="G188" s="142"/>
      <c r="H188" s="142"/>
      <c r="I188" s="142"/>
      <c r="J188" s="142"/>
      <c r="K188" s="142"/>
      <c r="N188" s="142"/>
      <c r="O188" s="142"/>
      <c r="P188" s="142"/>
      <c r="Q188" s="142"/>
      <c r="R188" s="142"/>
      <c r="S188" s="142"/>
    </row>
    <row r="189" spans="1:19" x14ac:dyDescent="0.2">
      <c r="A189" s="39" t="s">
        <v>325</v>
      </c>
      <c r="B189" s="142">
        <v>60</v>
      </c>
      <c r="C189" s="142">
        <v>14</v>
      </c>
      <c r="F189" s="142"/>
      <c r="G189" s="142"/>
      <c r="H189" s="142"/>
      <c r="I189" s="142"/>
      <c r="J189" s="142"/>
      <c r="K189" s="142"/>
      <c r="N189" s="142"/>
      <c r="O189" s="142"/>
      <c r="P189" s="142"/>
      <c r="Q189" s="142"/>
      <c r="R189" s="142"/>
      <c r="S189" s="142"/>
    </row>
    <row r="190" spans="1:19" x14ac:dyDescent="0.2">
      <c r="A190" s="39" t="s">
        <v>326</v>
      </c>
      <c r="B190" s="142">
        <v>60</v>
      </c>
      <c r="C190" s="142">
        <v>16</v>
      </c>
      <c r="F190" s="142"/>
      <c r="G190" s="142"/>
      <c r="H190" s="142"/>
      <c r="I190" s="142"/>
      <c r="J190" s="142"/>
      <c r="K190" s="142"/>
      <c r="N190" s="142"/>
      <c r="O190" s="142"/>
      <c r="P190" s="142"/>
      <c r="Q190" s="142"/>
      <c r="R190" s="142"/>
      <c r="S190" s="142"/>
    </row>
    <row r="191" spans="1:19" x14ac:dyDescent="0.2">
      <c r="A191" s="39" t="s">
        <v>327</v>
      </c>
      <c r="B191" s="142">
        <v>60</v>
      </c>
      <c r="C191" s="142">
        <v>16</v>
      </c>
      <c r="F191" s="142"/>
      <c r="G191" s="142"/>
      <c r="H191" s="142"/>
      <c r="I191" s="142"/>
      <c r="J191" s="142"/>
      <c r="K191" s="142"/>
      <c r="N191" s="142"/>
      <c r="O191" s="142"/>
      <c r="P191" s="142"/>
      <c r="Q191" s="142"/>
      <c r="R191" s="142"/>
      <c r="S191" s="142"/>
    </row>
    <row r="192" spans="1:19" x14ac:dyDescent="0.2">
      <c r="A192" s="39" t="s">
        <v>328</v>
      </c>
      <c r="B192" s="142">
        <v>60</v>
      </c>
      <c r="C192" s="142">
        <v>16</v>
      </c>
      <c r="F192" s="142"/>
      <c r="G192" s="142"/>
      <c r="H192" s="142"/>
      <c r="I192" s="142"/>
      <c r="J192" s="142"/>
      <c r="K192" s="142"/>
      <c r="N192" s="142"/>
      <c r="O192" s="142"/>
      <c r="P192" s="142"/>
      <c r="Q192" s="142"/>
      <c r="R192" s="142"/>
      <c r="S192" s="142"/>
    </row>
    <row r="193" spans="1:19" x14ac:dyDescent="0.2">
      <c r="A193" s="39" t="s">
        <v>329</v>
      </c>
      <c r="B193" s="142">
        <v>60</v>
      </c>
      <c r="C193" s="142">
        <v>16</v>
      </c>
      <c r="F193" s="142"/>
      <c r="G193" s="142"/>
      <c r="H193" s="142"/>
      <c r="I193" s="142"/>
      <c r="J193" s="142"/>
      <c r="K193" s="142"/>
      <c r="N193" s="142"/>
      <c r="O193" s="142"/>
      <c r="P193" s="142"/>
      <c r="Q193" s="142"/>
      <c r="R193" s="142"/>
      <c r="S193" s="142"/>
    </row>
    <row r="194" spans="1:19" x14ac:dyDescent="0.2">
      <c r="A194" s="39" t="s">
        <v>330</v>
      </c>
      <c r="B194" s="142">
        <v>60</v>
      </c>
      <c r="C194" s="142">
        <v>21</v>
      </c>
      <c r="F194" s="142"/>
      <c r="G194" s="142"/>
      <c r="H194" s="142"/>
      <c r="I194" s="142"/>
      <c r="J194" s="142"/>
      <c r="K194" s="142"/>
      <c r="N194" s="142"/>
      <c r="O194" s="142"/>
      <c r="P194" s="142"/>
      <c r="Q194" s="142"/>
      <c r="R194" s="142"/>
      <c r="S194" s="142"/>
    </row>
    <row r="195" spans="1:19" x14ac:dyDescent="0.2">
      <c r="A195" s="39" t="s">
        <v>331</v>
      </c>
      <c r="B195" s="142">
        <v>60</v>
      </c>
      <c r="C195" s="142">
        <v>21</v>
      </c>
      <c r="F195" s="142"/>
      <c r="G195" s="142"/>
      <c r="H195" s="142"/>
      <c r="I195" s="142"/>
      <c r="J195" s="142"/>
      <c r="K195" s="142"/>
      <c r="N195" s="142"/>
      <c r="O195" s="142"/>
      <c r="P195" s="142"/>
      <c r="Q195" s="142"/>
      <c r="R195" s="142"/>
      <c r="S195" s="142"/>
    </row>
    <row r="196" spans="1:19" x14ac:dyDescent="0.2">
      <c r="A196" s="39" t="s">
        <v>332</v>
      </c>
      <c r="B196" s="142">
        <v>60</v>
      </c>
      <c r="C196" s="142">
        <v>21</v>
      </c>
      <c r="F196" s="142"/>
      <c r="G196" s="142"/>
      <c r="H196" s="142"/>
      <c r="I196" s="142"/>
      <c r="J196" s="142"/>
      <c r="K196" s="142"/>
      <c r="N196" s="142"/>
      <c r="O196" s="142"/>
      <c r="P196" s="142"/>
      <c r="Q196" s="142"/>
      <c r="R196" s="142"/>
      <c r="S196" s="142"/>
    </row>
    <row r="197" spans="1:19" x14ac:dyDescent="0.2">
      <c r="A197" s="39" t="s">
        <v>333</v>
      </c>
      <c r="B197" s="142">
        <v>60</v>
      </c>
      <c r="C197" s="142">
        <v>14</v>
      </c>
      <c r="F197" s="142"/>
      <c r="G197" s="142"/>
      <c r="H197" s="142"/>
      <c r="I197" s="142"/>
      <c r="J197" s="142"/>
      <c r="K197" s="142"/>
      <c r="N197" s="142"/>
      <c r="O197" s="142"/>
      <c r="P197" s="142"/>
      <c r="Q197" s="142"/>
      <c r="R197" s="142"/>
      <c r="S197" s="142"/>
    </row>
    <row r="198" spans="1:19" x14ac:dyDescent="0.2">
      <c r="A198" s="39" t="s">
        <v>334</v>
      </c>
      <c r="B198" s="142">
        <v>60</v>
      </c>
      <c r="C198" s="142">
        <v>16</v>
      </c>
      <c r="F198" s="142"/>
      <c r="G198" s="142"/>
      <c r="H198" s="142"/>
      <c r="I198" s="142"/>
      <c r="J198" s="142"/>
      <c r="K198" s="142"/>
      <c r="N198" s="142"/>
      <c r="O198" s="142"/>
      <c r="P198" s="142"/>
      <c r="Q198" s="142"/>
      <c r="R198" s="142"/>
      <c r="S198" s="142"/>
    </row>
    <row r="199" spans="1:19" x14ac:dyDescent="0.2">
      <c r="A199" s="39" t="s">
        <v>335</v>
      </c>
      <c r="B199" s="142">
        <v>60</v>
      </c>
      <c r="C199" s="142">
        <v>16</v>
      </c>
    </row>
    <row r="200" spans="1:19" x14ac:dyDescent="0.2">
      <c r="A200" s="39" t="s">
        <v>336</v>
      </c>
      <c r="B200" s="142">
        <v>60</v>
      </c>
      <c r="C200" s="142">
        <v>16</v>
      </c>
    </row>
    <row r="201" spans="1:19" x14ac:dyDescent="0.2">
      <c r="A201" s="39" t="s">
        <v>337</v>
      </c>
      <c r="B201" s="142">
        <v>60</v>
      </c>
      <c r="C201" s="142">
        <v>16</v>
      </c>
    </row>
    <row r="202" spans="1:19" x14ac:dyDescent="0.2">
      <c r="A202" s="39" t="s">
        <v>338</v>
      </c>
      <c r="B202" s="142">
        <v>60</v>
      </c>
      <c r="C202" s="142">
        <v>21</v>
      </c>
    </row>
    <row r="203" spans="1:19" x14ac:dyDescent="0.2">
      <c r="A203" s="39" t="s">
        <v>339</v>
      </c>
      <c r="B203" s="142">
        <v>60</v>
      </c>
      <c r="C203" s="142">
        <v>21</v>
      </c>
    </row>
    <row r="204" spans="1:19" x14ac:dyDescent="0.2">
      <c r="A204" s="39" t="s">
        <v>340</v>
      </c>
      <c r="B204" s="142">
        <v>60</v>
      </c>
      <c r="C204" s="142">
        <v>21</v>
      </c>
    </row>
    <row r="205" spans="1:19" x14ac:dyDescent="0.2">
      <c r="A205" s="39" t="s">
        <v>341</v>
      </c>
      <c r="B205" s="142">
        <v>60</v>
      </c>
      <c r="C205" s="142">
        <v>16</v>
      </c>
    </row>
    <row r="206" spans="1:19" x14ac:dyDescent="0.2">
      <c r="A206" s="39" t="s">
        <v>342</v>
      </c>
      <c r="B206" s="142">
        <v>60</v>
      </c>
      <c r="C206" s="142">
        <v>16</v>
      </c>
    </row>
    <row r="207" spans="1:19" x14ac:dyDescent="0.2">
      <c r="A207" s="39" t="s">
        <v>343</v>
      </c>
      <c r="B207" s="142">
        <v>60</v>
      </c>
      <c r="C207" s="142">
        <v>16</v>
      </c>
    </row>
    <row r="208" spans="1:19" x14ac:dyDescent="0.2">
      <c r="A208" s="39" t="s">
        <v>344</v>
      </c>
      <c r="B208" s="142">
        <v>60</v>
      </c>
      <c r="C208" s="142">
        <v>16</v>
      </c>
    </row>
    <row r="209" spans="1:3" x14ac:dyDescent="0.2">
      <c r="A209" s="39" t="s">
        <v>345</v>
      </c>
      <c r="B209" s="142">
        <v>60</v>
      </c>
      <c r="C209" s="142">
        <v>21</v>
      </c>
    </row>
    <row r="210" spans="1:3" x14ac:dyDescent="0.2">
      <c r="A210" s="39" t="s">
        <v>346</v>
      </c>
      <c r="B210" s="142">
        <v>60</v>
      </c>
      <c r="C210" s="142">
        <v>21</v>
      </c>
    </row>
    <row r="211" spans="1:3" x14ac:dyDescent="0.2">
      <c r="A211" s="39" t="s">
        <v>347</v>
      </c>
      <c r="B211" s="142">
        <v>60</v>
      </c>
      <c r="C211" s="142">
        <v>21</v>
      </c>
    </row>
    <row r="212" spans="1:3" x14ac:dyDescent="0.2">
      <c r="A212" s="39" t="s">
        <v>348</v>
      </c>
      <c r="B212" s="142">
        <v>60</v>
      </c>
      <c r="C212" s="142">
        <v>16</v>
      </c>
    </row>
    <row r="213" spans="1:3" x14ac:dyDescent="0.2">
      <c r="A213" s="39" t="s">
        <v>349</v>
      </c>
      <c r="B213" s="142">
        <v>60</v>
      </c>
      <c r="C213" s="142">
        <v>16</v>
      </c>
    </row>
    <row r="214" spans="1:3" x14ac:dyDescent="0.2">
      <c r="A214" s="39" t="s">
        <v>350</v>
      </c>
      <c r="B214" s="142">
        <v>60</v>
      </c>
      <c r="C214" s="142">
        <v>16</v>
      </c>
    </row>
    <row r="215" spans="1:3" x14ac:dyDescent="0.2">
      <c r="A215" s="39" t="s">
        <v>351</v>
      </c>
      <c r="B215" s="142">
        <v>60</v>
      </c>
      <c r="C215" s="142">
        <v>21</v>
      </c>
    </row>
    <row r="216" spans="1:3" x14ac:dyDescent="0.2">
      <c r="A216" s="39" t="s">
        <v>352</v>
      </c>
      <c r="B216" s="142">
        <v>60</v>
      </c>
      <c r="C216" s="142">
        <v>21</v>
      </c>
    </row>
    <row r="217" spans="1:3" x14ac:dyDescent="0.2">
      <c r="A217" s="39" t="s">
        <v>353</v>
      </c>
      <c r="B217" s="142">
        <v>60</v>
      </c>
      <c r="C217" s="142">
        <v>21</v>
      </c>
    </row>
    <row r="218" spans="1:3" x14ac:dyDescent="0.2">
      <c r="A218" s="39" t="s">
        <v>354</v>
      </c>
      <c r="B218" s="142">
        <v>60</v>
      </c>
      <c r="C218" s="142">
        <v>26</v>
      </c>
    </row>
    <row r="219" spans="1:3" x14ac:dyDescent="0.2">
      <c r="A219" s="39" t="s">
        <v>355</v>
      </c>
      <c r="B219" s="142">
        <v>60</v>
      </c>
      <c r="C219" s="142">
        <v>16</v>
      </c>
    </row>
    <row r="220" spans="1:3" x14ac:dyDescent="0.2">
      <c r="A220" s="39" t="s">
        <v>356</v>
      </c>
      <c r="B220" s="142">
        <v>60</v>
      </c>
      <c r="C220" s="142">
        <v>16</v>
      </c>
    </row>
    <row r="221" spans="1:3" x14ac:dyDescent="0.2">
      <c r="A221" s="39" t="s">
        <v>357</v>
      </c>
      <c r="B221" s="142">
        <v>60</v>
      </c>
      <c r="C221" s="142">
        <v>16</v>
      </c>
    </row>
    <row r="222" spans="1:3" x14ac:dyDescent="0.2">
      <c r="A222" s="39" t="s">
        <v>358</v>
      </c>
      <c r="B222" s="142">
        <v>60</v>
      </c>
      <c r="C222" s="142">
        <v>21</v>
      </c>
    </row>
    <row r="223" spans="1:3" x14ac:dyDescent="0.2">
      <c r="A223" s="39" t="s">
        <v>359</v>
      </c>
      <c r="B223" s="142">
        <v>60</v>
      </c>
      <c r="C223" s="142">
        <v>21</v>
      </c>
    </row>
    <row r="224" spans="1:3" x14ac:dyDescent="0.2">
      <c r="A224" s="39" t="s">
        <v>360</v>
      </c>
      <c r="B224" s="142">
        <v>60</v>
      </c>
      <c r="C224" s="142">
        <v>21</v>
      </c>
    </row>
    <row r="225" spans="1:3" x14ac:dyDescent="0.2">
      <c r="A225" s="39" t="s">
        <v>361</v>
      </c>
      <c r="B225" s="142">
        <v>60</v>
      </c>
      <c r="C225" s="142">
        <v>26</v>
      </c>
    </row>
    <row r="226" spans="1:3" x14ac:dyDescent="0.2">
      <c r="A226" s="39" t="s">
        <v>362</v>
      </c>
      <c r="B226" s="142">
        <v>60</v>
      </c>
      <c r="C226" s="142">
        <v>16</v>
      </c>
    </row>
    <row r="227" spans="1:3" x14ac:dyDescent="0.2">
      <c r="A227" s="39" t="s">
        <v>363</v>
      </c>
      <c r="B227" s="142">
        <v>60</v>
      </c>
      <c r="C227" s="142">
        <v>16</v>
      </c>
    </row>
    <row r="228" spans="1:3" x14ac:dyDescent="0.2">
      <c r="A228" s="39" t="s">
        <v>364</v>
      </c>
      <c r="B228" s="142">
        <v>60</v>
      </c>
      <c r="C228" s="142">
        <v>21</v>
      </c>
    </row>
    <row r="229" spans="1:3" x14ac:dyDescent="0.2">
      <c r="A229" s="39" t="s">
        <v>365</v>
      </c>
      <c r="B229" s="142">
        <v>60</v>
      </c>
      <c r="C229" s="142">
        <v>21</v>
      </c>
    </row>
    <row r="230" spans="1:3" x14ac:dyDescent="0.2">
      <c r="A230" s="39" t="s">
        <v>366</v>
      </c>
      <c r="B230" s="142">
        <v>60</v>
      </c>
      <c r="C230" s="142">
        <v>21</v>
      </c>
    </row>
    <row r="231" spans="1:3" x14ac:dyDescent="0.2">
      <c r="A231" s="39" t="s">
        <v>367</v>
      </c>
      <c r="B231" s="142">
        <v>60</v>
      </c>
      <c r="C231" s="142">
        <v>26</v>
      </c>
    </row>
    <row r="232" spans="1:3" x14ac:dyDescent="0.2">
      <c r="A232" s="39" t="s">
        <v>368</v>
      </c>
      <c r="B232" s="142">
        <v>60</v>
      </c>
      <c r="C232" s="142">
        <v>26</v>
      </c>
    </row>
    <row r="233" spans="1:3" x14ac:dyDescent="0.2">
      <c r="A233" s="39" t="s">
        <v>369</v>
      </c>
      <c r="B233" s="142">
        <v>60</v>
      </c>
      <c r="C233" s="142">
        <v>16</v>
      </c>
    </row>
    <row r="234" spans="1:3" x14ac:dyDescent="0.2">
      <c r="A234" s="39" t="s">
        <v>370</v>
      </c>
      <c r="B234" s="142">
        <v>60</v>
      </c>
      <c r="C234" s="142">
        <v>21</v>
      </c>
    </row>
    <row r="235" spans="1:3" x14ac:dyDescent="0.2">
      <c r="A235" s="39" t="s">
        <v>371</v>
      </c>
      <c r="B235" s="142">
        <v>60</v>
      </c>
      <c r="C235" s="142">
        <v>21</v>
      </c>
    </row>
    <row r="236" spans="1:3" x14ac:dyDescent="0.2">
      <c r="A236" s="39" t="s">
        <v>372</v>
      </c>
      <c r="B236" s="142">
        <v>60</v>
      </c>
      <c r="C236" s="142">
        <v>21</v>
      </c>
    </row>
    <row r="237" spans="1:3" x14ac:dyDescent="0.2">
      <c r="A237" s="39" t="s">
        <v>373</v>
      </c>
      <c r="B237" s="142">
        <v>60</v>
      </c>
      <c r="C237" s="142">
        <v>26</v>
      </c>
    </row>
    <row r="238" spans="1:3" x14ac:dyDescent="0.2">
      <c r="A238" s="39" t="s">
        <v>374</v>
      </c>
      <c r="B238" s="142">
        <v>60</v>
      </c>
      <c r="C238" s="142">
        <v>26</v>
      </c>
    </row>
    <row r="239" spans="1:3" x14ac:dyDescent="0.2">
      <c r="A239" s="145" t="s">
        <v>791</v>
      </c>
      <c r="B239" s="146">
        <v>60</v>
      </c>
      <c r="C239" s="146">
        <v>21</v>
      </c>
    </row>
    <row r="240" spans="1:3" x14ac:dyDescent="0.2">
      <c r="A240" s="145" t="s">
        <v>792</v>
      </c>
      <c r="B240" s="146">
        <v>60</v>
      </c>
      <c r="C240" s="146">
        <v>21</v>
      </c>
    </row>
    <row r="241" spans="1:3" x14ac:dyDescent="0.2">
      <c r="A241" s="145" t="s">
        <v>793</v>
      </c>
      <c r="B241" s="146">
        <v>60</v>
      </c>
      <c r="C241" s="146">
        <v>21</v>
      </c>
    </row>
    <row r="242" spans="1:3" x14ac:dyDescent="0.2">
      <c r="A242" s="145" t="s">
        <v>794</v>
      </c>
      <c r="B242" s="146">
        <v>60</v>
      </c>
      <c r="C242" s="146">
        <v>21</v>
      </c>
    </row>
    <row r="243" spans="1:3" x14ac:dyDescent="0.2">
      <c r="A243" s="147" t="s">
        <v>795</v>
      </c>
      <c r="B243" s="148">
        <v>60</v>
      </c>
      <c r="C243" s="148">
        <v>26</v>
      </c>
    </row>
    <row r="244" spans="1:3" x14ac:dyDescent="0.2">
      <c r="A244" s="147" t="s">
        <v>796</v>
      </c>
      <c r="B244" s="148">
        <v>60</v>
      </c>
      <c r="C244" s="148">
        <v>26</v>
      </c>
    </row>
    <row r="245" spans="1:3" x14ac:dyDescent="0.2">
      <c r="A245" s="145" t="s">
        <v>797</v>
      </c>
      <c r="B245" s="146">
        <v>60</v>
      </c>
      <c r="C245" s="146">
        <v>21</v>
      </c>
    </row>
    <row r="246" spans="1:3" x14ac:dyDescent="0.2">
      <c r="A246" s="145" t="s">
        <v>798</v>
      </c>
      <c r="B246" s="146">
        <v>60</v>
      </c>
      <c r="C246" s="146">
        <v>21</v>
      </c>
    </row>
    <row r="247" spans="1:3" x14ac:dyDescent="0.2">
      <c r="A247" s="145" t="s">
        <v>799</v>
      </c>
      <c r="B247" s="146">
        <v>60</v>
      </c>
      <c r="C247" s="146">
        <v>21</v>
      </c>
    </row>
    <row r="248" spans="1:3" x14ac:dyDescent="0.2">
      <c r="A248" s="147" t="s">
        <v>800</v>
      </c>
      <c r="B248" s="148">
        <v>60</v>
      </c>
      <c r="C248" s="148">
        <v>26</v>
      </c>
    </row>
    <row r="249" spans="1:3" x14ac:dyDescent="0.2">
      <c r="A249" s="147" t="s">
        <v>801</v>
      </c>
      <c r="B249" s="148">
        <v>60</v>
      </c>
      <c r="C249" s="148">
        <v>26</v>
      </c>
    </row>
    <row r="250" spans="1:3" x14ac:dyDescent="0.2">
      <c r="A250" s="149" t="s">
        <v>802</v>
      </c>
      <c r="B250" s="150">
        <v>60</v>
      </c>
      <c r="C250" s="150">
        <v>30</v>
      </c>
    </row>
    <row r="251" spans="1:3" x14ac:dyDescent="0.2">
      <c r="A251" s="145" t="s">
        <v>803</v>
      </c>
      <c r="B251" s="146">
        <v>60</v>
      </c>
      <c r="C251" s="146">
        <v>21</v>
      </c>
    </row>
    <row r="252" spans="1:3" x14ac:dyDescent="0.2">
      <c r="A252" s="145" t="s">
        <v>804</v>
      </c>
      <c r="B252" s="146">
        <v>60</v>
      </c>
      <c r="C252" s="146">
        <v>21</v>
      </c>
    </row>
    <row r="253" spans="1:3" x14ac:dyDescent="0.2">
      <c r="A253" s="147" t="s">
        <v>805</v>
      </c>
      <c r="B253" s="148">
        <v>60</v>
      </c>
      <c r="C253" s="148">
        <v>26</v>
      </c>
    </row>
    <row r="254" spans="1:3" x14ac:dyDescent="0.2">
      <c r="A254" s="147" t="s">
        <v>806</v>
      </c>
      <c r="B254" s="148">
        <v>60</v>
      </c>
      <c r="C254" s="148">
        <v>26</v>
      </c>
    </row>
    <row r="255" spans="1:3" x14ac:dyDescent="0.2">
      <c r="A255" s="149" t="s">
        <v>807</v>
      </c>
      <c r="B255" s="150">
        <v>60</v>
      </c>
      <c r="C255" s="150">
        <v>30</v>
      </c>
    </row>
    <row r="256" spans="1:3" x14ac:dyDescent="0.2">
      <c r="A256" s="149" t="s">
        <v>808</v>
      </c>
      <c r="B256" s="150">
        <v>60</v>
      </c>
      <c r="C256" s="150">
        <v>30</v>
      </c>
    </row>
    <row r="257" spans="1:3" x14ac:dyDescent="0.2">
      <c r="A257" s="145" t="s">
        <v>809</v>
      </c>
      <c r="B257" s="146">
        <v>60</v>
      </c>
      <c r="C257" s="146">
        <v>21</v>
      </c>
    </row>
    <row r="258" spans="1:3" x14ac:dyDescent="0.2">
      <c r="A258" s="147" t="s">
        <v>810</v>
      </c>
      <c r="B258" s="148">
        <v>60</v>
      </c>
      <c r="C258" s="148">
        <v>26</v>
      </c>
    </row>
    <row r="259" spans="1:3" x14ac:dyDescent="0.2">
      <c r="A259" s="147" t="s">
        <v>811</v>
      </c>
      <c r="B259" s="148">
        <v>60</v>
      </c>
      <c r="C259" s="148">
        <v>26</v>
      </c>
    </row>
    <row r="260" spans="1:3" x14ac:dyDescent="0.2">
      <c r="A260" s="149" t="s">
        <v>812</v>
      </c>
      <c r="B260" s="150">
        <v>60</v>
      </c>
      <c r="C260" s="150">
        <v>30</v>
      </c>
    </row>
    <row r="261" spans="1:3" x14ac:dyDescent="0.2">
      <c r="A261" s="149" t="s">
        <v>813</v>
      </c>
      <c r="B261" s="150">
        <v>60</v>
      </c>
      <c r="C261" s="150">
        <v>30</v>
      </c>
    </row>
    <row r="262" spans="1:3" x14ac:dyDescent="0.2">
      <c r="A262" s="149" t="s">
        <v>814</v>
      </c>
      <c r="B262" s="150">
        <v>60</v>
      </c>
      <c r="C262" s="150">
        <v>30</v>
      </c>
    </row>
    <row r="263" spans="1:3" x14ac:dyDescent="0.2">
      <c r="A263" s="147" t="s">
        <v>815</v>
      </c>
      <c r="B263" s="148">
        <v>60</v>
      </c>
      <c r="C263" s="148">
        <v>26</v>
      </c>
    </row>
    <row r="264" spans="1:3" x14ac:dyDescent="0.2">
      <c r="A264" s="147" t="s">
        <v>816</v>
      </c>
      <c r="B264" s="148">
        <v>60</v>
      </c>
      <c r="C264" s="148">
        <v>26</v>
      </c>
    </row>
    <row r="265" spans="1:3" x14ac:dyDescent="0.2">
      <c r="A265" s="149" t="s">
        <v>817</v>
      </c>
      <c r="B265" s="150">
        <v>60</v>
      </c>
      <c r="C265" s="150">
        <v>30</v>
      </c>
    </row>
    <row r="266" spans="1:3" x14ac:dyDescent="0.2">
      <c r="A266" s="149" t="s">
        <v>818</v>
      </c>
      <c r="B266" s="150">
        <v>60</v>
      </c>
      <c r="C266" s="150">
        <v>30</v>
      </c>
    </row>
    <row r="267" spans="1:3" x14ac:dyDescent="0.2">
      <c r="A267" s="149" t="s">
        <v>819</v>
      </c>
      <c r="B267" s="150">
        <v>60</v>
      </c>
      <c r="C267" s="150">
        <v>30</v>
      </c>
    </row>
    <row r="268" spans="1:3" x14ac:dyDescent="0.2">
      <c r="A268" s="149" t="s">
        <v>820</v>
      </c>
      <c r="B268" s="150">
        <v>60</v>
      </c>
      <c r="C268" s="150">
        <v>30</v>
      </c>
    </row>
    <row r="269" spans="1:3" x14ac:dyDescent="0.2">
      <c r="A269" s="147" t="s">
        <v>821</v>
      </c>
      <c r="B269" s="148">
        <v>60</v>
      </c>
      <c r="C269" s="148">
        <v>26</v>
      </c>
    </row>
    <row r="270" spans="1:3" x14ac:dyDescent="0.2">
      <c r="A270" s="149" t="s">
        <v>822</v>
      </c>
      <c r="B270" s="150">
        <v>60</v>
      </c>
      <c r="C270" s="150">
        <v>30</v>
      </c>
    </row>
    <row r="271" spans="1:3" x14ac:dyDescent="0.2">
      <c r="A271" s="149" t="s">
        <v>823</v>
      </c>
      <c r="B271" s="150">
        <v>60</v>
      </c>
      <c r="C271" s="150">
        <v>30</v>
      </c>
    </row>
    <row r="272" spans="1:3" x14ac:dyDescent="0.2">
      <c r="A272" s="149" t="s">
        <v>824</v>
      </c>
      <c r="B272" s="150">
        <v>60</v>
      </c>
      <c r="C272" s="150">
        <v>30</v>
      </c>
    </row>
    <row r="273" spans="1:3" x14ac:dyDescent="0.2">
      <c r="A273" s="149" t="s">
        <v>825</v>
      </c>
      <c r="B273" s="150">
        <v>60</v>
      </c>
      <c r="C273" s="150">
        <v>30</v>
      </c>
    </row>
    <row r="274" spans="1:3" x14ac:dyDescent="0.2">
      <c r="A274" s="149" t="s">
        <v>826</v>
      </c>
      <c r="B274" s="150">
        <v>60</v>
      </c>
      <c r="C274" s="150">
        <v>30</v>
      </c>
    </row>
    <row r="275" spans="1:3" x14ac:dyDescent="0.2">
      <c r="A275" s="145" t="s">
        <v>418</v>
      </c>
      <c r="B275" s="146">
        <v>60</v>
      </c>
      <c r="C275" s="146">
        <v>21</v>
      </c>
    </row>
    <row r="276" spans="1:3" x14ac:dyDescent="0.2">
      <c r="A276" s="145" t="s">
        <v>419</v>
      </c>
      <c r="B276" s="146">
        <v>60</v>
      </c>
      <c r="C276" s="146">
        <v>21</v>
      </c>
    </row>
    <row r="277" spans="1:3" x14ac:dyDescent="0.2">
      <c r="A277" s="145" t="s">
        <v>420</v>
      </c>
      <c r="B277" s="146">
        <v>60</v>
      </c>
      <c r="C277" s="146">
        <v>21</v>
      </c>
    </row>
    <row r="278" spans="1:3" x14ac:dyDescent="0.2">
      <c r="A278" s="145" t="s">
        <v>421</v>
      </c>
      <c r="B278" s="146">
        <v>60</v>
      </c>
      <c r="C278" s="146">
        <v>21</v>
      </c>
    </row>
    <row r="279" spans="1:3" x14ac:dyDescent="0.2">
      <c r="A279" s="147" t="s">
        <v>422</v>
      </c>
      <c r="B279" s="148">
        <v>60</v>
      </c>
      <c r="C279" s="148">
        <v>26</v>
      </c>
    </row>
    <row r="280" spans="1:3" x14ac:dyDescent="0.2">
      <c r="A280" s="147" t="s">
        <v>423</v>
      </c>
      <c r="B280" s="148">
        <v>60</v>
      </c>
      <c r="C280" s="148">
        <v>26</v>
      </c>
    </row>
    <row r="281" spans="1:3" x14ac:dyDescent="0.2">
      <c r="A281" s="145" t="s">
        <v>424</v>
      </c>
      <c r="B281" s="146">
        <v>60</v>
      </c>
      <c r="C281" s="146">
        <v>21</v>
      </c>
    </row>
    <row r="282" spans="1:3" x14ac:dyDescent="0.2">
      <c r="A282" s="145" t="s">
        <v>425</v>
      </c>
      <c r="B282" s="146">
        <v>60</v>
      </c>
      <c r="C282" s="146">
        <v>21</v>
      </c>
    </row>
    <row r="283" spans="1:3" x14ac:dyDescent="0.2">
      <c r="A283" s="145" t="s">
        <v>426</v>
      </c>
      <c r="B283" s="146">
        <v>60</v>
      </c>
      <c r="C283" s="146">
        <v>21</v>
      </c>
    </row>
    <row r="284" spans="1:3" x14ac:dyDescent="0.2">
      <c r="A284" s="147" t="s">
        <v>427</v>
      </c>
      <c r="B284" s="148">
        <v>60</v>
      </c>
      <c r="C284" s="148">
        <v>26</v>
      </c>
    </row>
    <row r="285" spans="1:3" x14ac:dyDescent="0.2">
      <c r="A285" s="147" t="s">
        <v>428</v>
      </c>
      <c r="B285" s="148">
        <v>60</v>
      </c>
      <c r="C285" s="148">
        <v>26</v>
      </c>
    </row>
    <row r="286" spans="1:3" x14ac:dyDescent="0.2">
      <c r="A286" s="149" t="s">
        <v>429</v>
      </c>
      <c r="B286" s="150">
        <v>60</v>
      </c>
      <c r="C286" s="150">
        <v>30</v>
      </c>
    </row>
    <row r="287" spans="1:3" x14ac:dyDescent="0.2">
      <c r="A287" s="145" t="s">
        <v>430</v>
      </c>
      <c r="B287" s="146">
        <v>60</v>
      </c>
      <c r="C287" s="146">
        <v>21</v>
      </c>
    </row>
    <row r="288" spans="1:3" x14ac:dyDescent="0.2">
      <c r="A288" s="145" t="s">
        <v>431</v>
      </c>
      <c r="B288" s="146">
        <v>60</v>
      </c>
      <c r="C288" s="146">
        <v>21</v>
      </c>
    </row>
    <row r="289" spans="1:3" x14ac:dyDescent="0.2">
      <c r="A289" s="147" t="s">
        <v>432</v>
      </c>
      <c r="B289" s="148">
        <v>60</v>
      </c>
      <c r="C289" s="148">
        <v>26</v>
      </c>
    </row>
    <row r="290" spans="1:3" x14ac:dyDescent="0.2">
      <c r="A290" s="147" t="s">
        <v>433</v>
      </c>
      <c r="B290" s="148">
        <v>60</v>
      </c>
      <c r="C290" s="148">
        <v>26</v>
      </c>
    </row>
    <row r="291" spans="1:3" x14ac:dyDescent="0.2">
      <c r="A291" s="149" t="s">
        <v>434</v>
      </c>
      <c r="B291" s="150">
        <v>60</v>
      </c>
      <c r="C291" s="150">
        <v>30</v>
      </c>
    </row>
    <row r="292" spans="1:3" x14ac:dyDescent="0.2">
      <c r="A292" s="149" t="s">
        <v>435</v>
      </c>
      <c r="B292" s="150">
        <v>60</v>
      </c>
      <c r="C292" s="150">
        <v>30</v>
      </c>
    </row>
    <row r="293" spans="1:3" x14ac:dyDescent="0.2">
      <c r="A293" s="145" t="s">
        <v>436</v>
      </c>
      <c r="B293" s="146">
        <v>60</v>
      </c>
      <c r="C293" s="146">
        <v>21</v>
      </c>
    </row>
    <row r="294" spans="1:3" x14ac:dyDescent="0.2">
      <c r="A294" s="147" t="s">
        <v>437</v>
      </c>
      <c r="B294" s="148">
        <v>60</v>
      </c>
      <c r="C294" s="148">
        <v>26</v>
      </c>
    </row>
    <row r="295" spans="1:3" x14ac:dyDescent="0.2">
      <c r="A295" s="147" t="s">
        <v>438</v>
      </c>
      <c r="B295" s="148">
        <v>60</v>
      </c>
      <c r="C295" s="148">
        <v>26</v>
      </c>
    </row>
    <row r="296" spans="1:3" x14ac:dyDescent="0.2">
      <c r="A296" s="149" t="s">
        <v>439</v>
      </c>
      <c r="B296" s="150">
        <v>60</v>
      </c>
      <c r="C296" s="150">
        <v>30</v>
      </c>
    </row>
    <row r="297" spans="1:3" x14ac:dyDescent="0.2">
      <c r="A297" s="149" t="s">
        <v>440</v>
      </c>
      <c r="B297" s="150">
        <v>60</v>
      </c>
      <c r="C297" s="150">
        <v>30</v>
      </c>
    </row>
    <row r="298" spans="1:3" x14ac:dyDescent="0.2">
      <c r="A298" s="149" t="s">
        <v>441</v>
      </c>
      <c r="B298" s="150">
        <v>60</v>
      </c>
      <c r="C298" s="150">
        <v>30</v>
      </c>
    </row>
    <row r="299" spans="1:3" x14ac:dyDescent="0.2">
      <c r="A299" s="147" t="s">
        <v>442</v>
      </c>
      <c r="B299" s="148">
        <v>60</v>
      </c>
      <c r="C299" s="148">
        <v>26</v>
      </c>
    </row>
    <row r="300" spans="1:3" x14ac:dyDescent="0.2">
      <c r="A300" s="147" t="s">
        <v>443</v>
      </c>
      <c r="B300" s="148">
        <v>60</v>
      </c>
      <c r="C300" s="148">
        <v>26</v>
      </c>
    </row>
    <row r="301" spans="1:3" x14ac:dyDescent="0.2">
      <c r="A301" s="149" t="s">
        <v>444</v>
      </c>
      <c r="B301" s="150">
        <v>60</v>
      </c>
      <c r="C301" s="150">
        <v>30</v>
      </c>
    </row>
    <row r="302" spans="1:3" x14ac:dyDescent="0.2">
      <c r="A302" s="149" t="s">
        <v>445</v>
      </c>
      <c r="B302" s="150">
        <v>60</v>
      </c>
      <c r="C302" s="150">
        <v>30</v>
      </c>
    </row>
    <row r="303" spans="1:3" x14ac:dyDescent="0.2">
      <c r="A303" s="149" t="s">
        <v>446</v>
      </c>
      <c r="B303" s="150">
        <v>60</v>
      </c>
      <c r="C303" s="150">
        <v>30</v>
      </c>
    </row>
    <row r="304" spans="1:3" x14ac:dyDescent="0.2">
      <c r="A304" s="149" t="s">
        <v>447</v>
      </c>
      <c r="B304" s="150">
        <v>60</v>
      </c>
      <c r="C304" s="150">
        <v>30</v>
      </c>
    </row>
    <row r="305" spans="1:3" x14ac:dyDescent="0.2">
      <c r="A305" s="147" t="s">
        <v>448</v>
      </c>
      <c r="B305" s="148">
        <v>60</v>
      </c>
      <c r="C305" s="148">
        <v>26</v>
      </c>
    </row>
    <row r="306" spans="1:3" x14ac:dyDescent="0.2">
      <c r="A306" s="149" t="s">
        <v>453</v>
      </c>
      <c r="B306" s="150">
        <v>60</v>
      </c>
      <c r="C306" s="150">
        <v>30</v>
      </c>
    </row>
    <row r="307" spans="1:3" x14ac:dyDescent="0.2">
      <c r="A307" s="149" t="s">
        <v>452</v>
      </c>
      <c r="B307" s="150">
        <v>60</v>
      </c>
      <c r="C307" s="150">
        <v>30</v>
      </c>
    </row>
    <row r="308" spans="1:3" x14ac:dyDescent="0.2">
      <c r="A308" s="149" t="s">
        <v>451</v>
      </c>
      <c r="B308" s="150">
        <v>60</v>
      </c>
      <c r="C308" s="150">
        <v>30</v>
      </c>
    </row>
    <row r="309" spans="1:3" x14ac:dyDescent="0.2">
      <c r="A309" s="149" t="s">
        <v>450</v>
      </c>
      <c r="B309" s="150">
        <v>60</v>
      </c>
      <c r="C309" s="150">
        <v>30</v>
      </c>
    </row>
    <row r="310" spans="1:3" x14ac:dyDescent="0.2">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L83"/>
  <sheetViews>
    <sheetView topLeftCell="AG1" zoomScale="75" zoomScaleNormal="75" workbookViewId="0">
      <selection activeCell="BL2" sqref="BL2"/>
    </sheetView>
  </sheetViews>
  <sheetFormatPr defaultRowHeight="12.75" x14ac:dyDescent="0.2"/>
  <cols>
    <col min="1" max="20" width="9.140625" style="1672"/>
    <col min="21" max="22" width="9.140625" style="1673"/>
    <col min="23" max="54" width="9.140625" style="1672"/>
    <col min="55" max="16384" width="9.140625" style="1671"/>
  </cols>
  <sheetData>
    <row r="1" spans="1:64" ht="30" customHeight="1" thickBot="1" x14ac:dyDescent="0.25">
      <c r="A1" s="1720" t="s">
        <v>673</v>
      </c>
      <c r="B1" s="1719" t="s">
        <v>1182</v>
      </c>
      <c r="C1" s="1719" t="s">
        <v>1207</v>
      </c>
      <c r="D1" s="2215" t="str">
        <f>IF($BL$1,"Bay Length","Overall Length")</f>
        <v>Overall Length</v>
      </c>
      <c r="E1" s="2216"/>
      <c r="F1" s="1717" t="str">
        <f>IF($BL$1,"L Sect #","TC Width")</f>
        <v>TC Width</v>
      </c>
      <c r="G1" s="1717" t="str">
        <f>IF($BL$1,"L Min Sup Wid","TCXL Feet")</f>
        <v>TCXL Feet</v>
      </c>
      <c r="H1" s="1717" t="str">
        <f>IF($BL$1,"L Max Sup Wid","TCXL Inch")</f>
        <v>TCXL Inch</v>
      </c>
      <c r="I1" s="1717" t="str">
        <f>IF($BL$1,"L Min Flg Ga","TCXL Type")</f>
        <v>TCXL Type</v>
      </c>
      <c r="J1" s="1717" t="str">
        <f>IF($BL$1,"L Max Flg Ga","TCXR Feet")</f>
        <v>TCXR Feet</v>
      </c>
      <c r="K1" s="1717" t="str">
        <f>IF($BL$1,"L Skew","TCXR Inch")</f>
        <v>TCXR Inch</v>
      </c>
      <c r="L1" s="1717" t="str">
        <f>IF($BL$1,"L Brg Slp","TCXR Type")</f>
        <v>TCXR Type</v>
      </c>
      <c r="M1" s="1717" t="str">
        <f>IF($BL$1,"R Sect #","BDL")</f>
        <v>BDL</v>
      </c>
      <c r="N1" s="1717" t="str">
        <f>IF($BL$1,"R Min Sup Wid","BDR")</f>
        <v>BDR</v>
      </c>
      <c r="O1" s="1717" t="str">
        <f>IF($BL$1,"R Max Sup Wid","BCXL Feet")</f>
        <v>BCXL Feet</v>
      </c>
      <c r="P1" s="1717" t="str">
        <f>IF($BL$1,"R Min Flg Ga","BCXL Inch")</f>
        <v>BCXL Inch</v>
      </c>
      <c r="Q1" s="1717" t="str">
        <f>IF($BL$1,"R Max Flg Ga","BCXR Feet")</f>
        <v>BCXR Feet</v>
      </c>
      <c r="R1" s="1717" t="str">
        <f>IF($BL$1,"R Skew","BCXR Inch")</f>
        <v>BCXR Inch</v>
      </c>
      <c r="S1" s="1717" t="str">
        <f>IF($BL$1,"R Brg Slp","HL Feet")</f>
        <v>HL Feet</v>
      </c>
      <c r="T1" s="1717" t="str">
        <f>IF($BL$1,"TC Slope","HL Inch")</f>
        <v>HL Inch</v>
      </c>
      <c r="U1" s="1717" t="str">
        <f>IF($BL$1,"Load Notes","HR Feet")</f>
        <v>HR Feet</v>
      </c>
      <c r="V1" s="1717" t="str">
        <f>IF($BL$1,"Spcl Notes","HR Inch")</f>
        <v>HR Inch</v>
      </c>
      <c r="W1" s="1717" t="str">
        <f>IF($BL$1,"# KB","Slot Ga")</f>
        <v>Slot Ga</v>
      </c>
      <c r="X1" s="1717" t="str">
        <f>IF($BL$1,"TC Width","L Seat Slp")</f>
        <v>L Seat Slp</v>
      </c>
      <c r="Y1" s="1717" t="str">
        <f>IF($BL$1,"TCL Override","R Seat Slp")</f>
        <v>R Seat Slp</v>
      </c>
      <c r="Z1" s="1717" t="str">
        <f>IF($BL$1,"TCR Override","Load Notes")</f>
        <v>Load Notes</v>
      </c>
      <c r="AA1" s="1717" t="str">
        <f>IF($BL$1,"L-BL Override","Spcl Notes")</f>
        <v>Spcl Notes</v>
      </c>
      <c r="AB1" s="1718" t="str">
        <f>IF($BL$1,"R-BL Override","# KB")</f>
        <v># KB</v>
      </c>
      <c r="AC1" s="1717" t="str">
        <f>IF($BL$1,"BDL Override","-")</f>
        <v>-</v>
      </c>
      <c r="AD1" s="1716" t="str">
        <f>IF($BL$1,"BDR Override","-")</f>
        <v>-</v>
      </c>
      <c r="AE1" s="1715" t="s">
        <v>1209</v>
      </c>
      <c r="AF1" s="1715" t="s">
        <v>1210</v>
      </c>
      <c r="AG1" s="1715" t="s">
        <v>1211</v>
      </c>
      <c r="AH1" s="1715" t="s">
        <v>1212</v>
      </c>
      <c r="AI1" s="1715" t="s">
        <v>1214</v>
      </c>
      <c r="AJ1" s="1715" t="s">
        <v>1213</v>
      </c>
      <c r="AK1" s="1714" t="str">
        <f>IF($BL$1,"Load (Kip)","Panel ""B"" Feet")</f>
        <v>Panel "B" Feet</v>
      </c>
      <c r="AL1" s="1714" t="str">
        <f>IF($BL$1,"OSHA N/F/B","Panel ""B"" Inch")</f>
        <v>Panel "B" Inch</v>
      </c>
      <c r="AM1" s="1714" t="str">
        <f>IF($BL$1,"Girder TC Ga","Load (Kip)")</f>
        <v>Load (Kip)</v>
      </c>
      <c r="AN1" s="1714" t="str">
        <f>IF($BL$1,"Jst Hole (x/16)","OSHA N/F/B")</f>
        <v>OSHA N/F/B</v>
      </c>
      <c r="AO1" s="1714" t="str">
        <f>IF($BL$1,"Joist Gage","Girder TC Gage")</f>
        <v>Girder TC Gage</v>
      </c>
      <c r="AP1" s="1714" t="str">
        <f>IF($BL$1,"TC Hole L","Girder TC Hole (x/16)")</f>
        <v>Girder TC Hole (x/16)</v>
      </c>
      <c r="AQ1" s="1714" t="str">
        <f>IF($BL$1,"TC Hole R","Joist Gage")</f>
        <v>Joist Gage</v>
      </c>
      <c r="AR1" s="1714" t="str">
        <f>IF($BL$1,"Add Jst#1 Feet","TCHoleL")</f>
        <v>TCHoleL</v>
      </c>
      <c r="AS1" s="1714" t="str">
        <f>IF($BL$1,"Add Jst#1 Inch","TC Hole R")</f>
        <v>TC Hole R</v>
      </c>
      <c r="AT1" s="1714" t="str">
        <f>IF($BL$1,"Add Jst#1 Load","Add Jst#1 Feet")</f>
        <v>Add Jst#1 Feet</v>
      </c>
      <c r="AU1" s="1714" t="str">
        <f>IF($BL$1,"Add Jst#1 Bolt N/F/B","Add Jst#1 inch")</f>
        <v>Add Jst#1 inch</v>
      </c>
      <c r="AV1" s="1714" t="str">
        <f>IF($BL$1,"Add Jst#2 Feet","Add Jst#1 Load")</f>
        <v>Add Jst#1 Load</v>
      </c>
      <c r="AW1" s="1714" t="str">
        <f>IF($BL$1,"Add Jst#2 Inch","Add Jst#1 Bolt N/F/B")</f>
        <v>Add Jst#1 Bolt N/F/B</v>
      </c>
      <c r="AX1" s="1714" t="str">
        <f>IF($BL$1,"Add Jst#2 Load","Add Jst#2 Feet")</f>
        <v>Add Jst#2 Feet</v>
      </c>
      <c r="AY1" s="1714" t="str">
        <f>IF($BL$1,"Add Jst#2 Bolt N/F/B","Add Jst#2 inch")</f>
        <v>Add Jst#2 inch</v>
      </c>
      <c r="AZ1" s="1714" t="str">
        <f>IF($BL$1,"Add Jst#3 Feet","Add Jst#2 Load")</f>
        <v>Add Jst#2 Load</v>
      </c>
      <c r="BA1" s="1714" t="str">
        <f>IF($BL$1,"Add Jst#3 Inch","Add Jst#2 Bolt N/F/B")</f>
        <v>Add Jst#2 Bolt N/F/B</v>
      </c>
      <c r="BB1" s="1714" t="str">
        <f>IF($BL$1,"Add Jst#3 Load","Add Jst#3 Feet")</f>
        <v>Add Jst#3 Feet</v>
      </c>
      <c r="BC1" s="1714" t="str">
        <f>IF($BL$1,"Add Jst#3 Bolt N/F/B","Add Jst#3 inch")</f>
        <v>Add Jst#3 inch</v>
      </c>
      <c r="BD1" s="1714" t="str">
        <f>IF($BL$1,"Add Jst#4 Feet","Add Jst#3 Load")</f>
        <v>Add Jst#3 Load</v>
      </c>
      <c r="BE1" s="1714" t="str">
        <f>IF($BL$1,"Add Jst#4 Inch","Add Jst#3 Bolt N/F/B")</f>
        <v>Add Jst#3 Bolt N/F/B</v>
      </c>
      <c r="BF1" s="1714" t="str">
        <f>IF($BL$1,"Add Jst#4 Load","Add Jst#4 Feet")</f>
        <v>Add Jst#4 Feet</v>
      </c>
      <c r="BG1" s="1714" t="str">
        <f>IF($BL$1,"Add Jst#4 Bolt N/F/B","Add Jst#4 inch")</f>
        <v>Add Jst#4 inch</v>
      </c>
      <c r="BH1" s="1714" t="str">
        <f>IF($BL$1,"-","Add Jst#4 Load")</f>
        <v>Add Jst#4 Load</v>
      </c>
      <c r="BI1" s="1714" t="str">
        <f>IF($BL$1,"-","Add Jst#4 Bolt N/F/B")</f>
        <v>Add Jst#4 Bolt N/F/B</v>
      </c>
      <c r="BJ1" s="1713" t="str">
        <f>IF($BL$1,"# Rows Req'd","# Rows Req'd")</f>
        <v># Rows Req'd</v>
      </c>
      <c r="BK1" s="1712" t="s">
        <v>1240</v>
      </c>
      <c r="BL1" s="1671" t="b">
        <f>'Job Info.'!U4</f>
        <v>0</v>
      </c>
    </row>
    <row r="2" spans="1:64" x14ac:dyDescent="0.2">
      <c r="A2" s="1711" t="s">
        <v>1263</v>
      </c>
      <c r="B2" s="1697">
        <v>2</v>
      </c>
      <c r="C2" s="1696" t="s">
        <v>1952</v>
      </c>
      <c r="D2" s="1704">
        <v>49</v>
      </c>
      <c r="E2" s="1703">
        <v>2.25</v>
      </c>
      <c r="F2" s="1697">
        <v>11.125</v>
      </c>
      <c r="G2" s="1710"/>
      <c r="H2" s="1709"/>
      <c r="I2" s="1710"/>
      <c r="J2" s="1709">
        <v>0</v>
      </c>
      <c r="K2" s="1697">
        <v>1.75</v>
      </c>
      <c r="L2" s="1697" t="s">
        <v>114</v>
      </c>
      <c r="M2" s="1697">
        <v>7.5</v>
      </c>
      <c r="N2" s="1710">
        <v>7.5</v>
      </c>
      <c r="O2" s="1709">
        <v>-9.9999999999999995E-8</v>
      </c>
      <c r="P2" s="1710">
        <v>-0.125</v>
      </c>
      <c r="Q2" s="1709">
        <v>0</v>
      </c>
      <c r="R2" s="1697">
        <v>8.5</v>
      </c>
      <c r="S2" s="1697">
        <v>0</v>
      </c>
      <c r="T2" s="1697">
        <v>4</v>
      </c>
      <c r="U2" s="1708">
        <v>0</v>
      </c>
      <c r="V2" s="1707">
        <v>6.25</v>
      </c>
      <c r="W2" s="1697">
        <v>5</v>
      </c>
      <c r="X2" s="1697">
        <v>0.38595006347862898</v>
      </c>
      <c r="Y2" s="1696">
        <v>-0.38595006347862898</v>
      </c>
      <c r="Z2" s="1706" t="s">
        <v>2023</v>
      </c>
      <c r="AA2" s="1705"/>
      <c r="AB2" s="1697"/>
      <c r="AC2" s="1704"/>
      <c r="AD2" s="1703"/>
      <c r="AE2" s="1697" t="s">
        <v>34</v>
      </c>
      <c r="AF2" s="1696">
        <v>6</v>
      </c>
      <c r="AG2" s="1702">
        <v>2.375</v>
      </c>
      <c r="AH2" s="1697">
        <v>5</v>
      </c>
      <c r="AI2" s="1702">
        <v>7</v>
      </c>
      <c r="AJ2" s="1702">
        <v>2</v>
      </c>
      <c r="AK2" s="1702">
        <v>7</v>
      </c>
      <c r="AL2" s="1701">
        <v>0.125</v>
      </c>
      <c r="AM2" s="1700"/>
      <c r="AN2" s="1697"/>
      <c r="AO2" s="1696">
        <v>5</v>
      </c>
      <c r="AP2" s="1701">
        <v>13</v>
      </c>
      <c r="AQ2" s="1700">
        <v>4</v>
      </c>
      <c r="AR2" s="1697"/>
      <c r="AS2" s="1697">
        <v>1.75</v>
      </c>
      <c r="AT2" s="1701"/>
      <c r="AU2" s="1700"/>
      <c r="AV2" s="1697"/>
      <c r="AW2" s="1697"/>
      <c r="AX2" s="1699"/>
      <c r="AY2" s="1698"/>
      <c r="AZ2" s="1697"/>
      <c r="BA2" s="1696"/>
      <c r="BB2" s="1695"/>
      <c r="BC2" s="1695"/>
      <c r="BD2" s="1695"/>
      <c r="BE2" s="1695"/>
      <c r="BF2" s="1695"/>
      <c r="BG2" s="1695"/>
      <c r="BH2" s="1695"/>
      <c r="BI2" s="1695"/>
      <c r="BJ2" s="1694">
        <v>1</v>
      </c>
      <c r="BK2" s="1693" t="s">
        <v>1239</v>
      </c>
      <c r="BL2" s="1692">
        <f>SUM(BJ:BJ)</f>
        <v>65</v>
      </c>
    </row>
    <row r="3" spans="1:64" x14ac:dyDescent="0.2">
      <c r="A3" s="1688" t="s">
        <v>1265</v>
      </c>
      <c r="B3" s="1677">
        <v>1</v>
      </c>
      <c r="C3" s="1677" t="s">
        <v>1952</v>
      </c>
      <c r="D3" s="1682">
        <v>49</v>
      </c>
      <c r="E3" s="1681">
        <v>11.5</v>
      </c>
      <c r="F3" s="1677">
        <v>11.125</v>
      </c>
      <c r="G3" s="1687">
        <v>0</v>
      </c>
      <c r="H3" s="1686">
        <v>1.75</v>
      </c>
      <c r="I3" s="1687" t="s">
        <v>114</v>
      </c>
      <c r="J3" s="1686">
        <v>0</v>
      </c>
      <c r="K3" s="1677">
        <v>1.75</v>
      </c>
      <c r="L3" s="1677" t="s">
        <v>114</v>
      </c>
      <c r="M3" s="1677">
        <v>7.5</v>
      </c>
      <c r="N3" s="1687">
        <v>7.5</v>
      </c>
      <c r="O3" s="1686">
        <v>0</v>
      </c>
      <c r="P3" s="1687">
        <v>5.75</v>
      </c>
      <c r="Q3" s="1686">
        <v>0</v>
      </c>
      <c r="R3" s="1677">
        <v>7.875</v>
      </c>
      <c r="S3" s="1677">
        <v>0</v>
      </c>
      <c r="T3" s="1677">
        <v>6.25</v>
      </c>
      <c r="U3" s="1685">
        <v>0</v>
      </c>
      <c r="V3" s="1685">
        <v>6.25</v>
      </c>
      <c r="W3" s="1677">
        <v>5</v>
      </c>
      <c r="X3" s="1677"/>
      <c r="Y3" s="1677"/>
      <c r="Z3" s="1684" t="s">
        <v>2024</v>
      </c>
      <c r="AA3" s="1683"/>
      <c r="AB3" s="1677"/>
      <c r="AC3" s="1682"/>
      <c r="AD3" s="1681"/>
      <c r="AE3" s="1677" t="s">
        <v>34</v>
      </c>
      <c r="AF3" s="1677">
        <v>6</v>
      </c>
      <c r="AG3" s="1680">
        <v>10</v>
      </c>
      <c r="AH3" s="1677">
        <v>5</v>
      </c>
      <c r="AI3" s="1680">
        <v>7</v>
      </c>
      <c r="AJ3" s="1680">
        <v>2</v>
      </c>
      <c r="AK3" s="1680">
        <v>7</v>
      </c>
      <c r="AL3" s="1679">
        <v>0</v>
      </c>
      <c r="AM3" s="1678"/>
      <c r="AN3" s="1677"/>
      <c r="AO3" s="1677">
        <v>5</v>
      </c>
      <c r="AP3" s="1679">
        <v>13</v>
      </c>
      <c r="AQ3" s="1678">
        <v>4</v>
      </c>
      <c r="AR3" s="1677">
        <v>1.75</v>
      </c>
      <c r="AS3" s="1689">
        <v>1.75</v>
      </c>
      <c r="AT3" s="1679"/>
      <c r="AU3" s="1678"/>
      <c r="AV3" s="1677"/>
      <c r="AW3" s="1677"/>
      <c r="AX3" s="1679"/>
      <c r="AY3" s="1678"/>
      <c r="AZ3" s="1689"/>
      <c r="BA3" s="1689"/>
      <c r="BB3" s="1676"/>
      <c r="BC3" s="1676"/>
      <c r="BD3" s="1676"/>
      <c r="BE3" s="1676"/>
      <c r="BF3" s="1676"/>
      <c r="BG3" s="1676"/>
      <c r="BH3" s="1676"/>
      <c r="BI3" s="1676"/>
      <c r="BJ3" s="1675">
        <v>1</v>
      </c>
      <c r="BL3" s="1692"/>
    </row>
    <row r="4" spans="1:64" x14ac:dyDescent="0.2">
      <c r="A4" s="1688" t="s">
        <v>1266</v>
      </c>
      <c r="B4" s="1677">
        <v>1</v>
      </c>
      <c r="C4" s="1677" t="s">
        <v>1953</v>
      </c>
      <c r="D4" s="1682">
        <v>59</v>
      </c>
      <c r="E4" s="1681">
        <v>11.5</v>
      </c>
      <c r="F4" s="1677">
        <v>11.125</v>
      </c>
      <c r="G4" s="1687">
        <v>0</v>
      </c>
      <c r="H4" s="1686">
        <v>1.75</v>
      </c>
      <c r="I4" s="1687" t="s">
        <v>114</v>
      </c>
      <c r="J4" s="1686">
        <v>0</v>
      </c>
      <c r="K4" s="1677">
        <v>1.75</v>
      </c>
      <c r="L4" s="1677" t="s">
        <v>114</v>
      </c>
      <c r="M4" s="1677">
        <v>7.5</v>
      </c>
      <c r="N4" s="1687">
        <v>7.5</v>
      </c>
      <c r="O4" s="1686">
        <v>0</v>
      </c>
      <c r="P4" s="1687">
        <v>5.75</v>
      </c>
      <c r="Q4" s="1686">
        <v>0</v>
      </c>
      <c r="R4" s="1677">
        <v>7.875</v>
      </c>
      <c r="S4" s="1677">
        <v>0</v>
      </c>
      <c r="T4" s="1677">
        <v>6.25</v>
      </c>
      <c r="U4" s="1685">
        <v>0</v>
      </c>
      <c r="V4" s="1685">
        <v>6.25</v>
      </c>
      <c r="W4" s="1677">
        <v>5</v>
      </c>
      <c r="X4" s="1677"/>
      <c r="Y4" s="1677"/>
      <c r="Z4" s="1684" t="s">
        <v>2024</v>
      </c>
      <c r="AA4" s="1683"/>
      <c r="AB4" s="1677"/>
      <c r="AC4" s="1682"/>
      <c r="AD4" s="1681"/>
      <c r="AE4" s="1677" t="s">
        <v>34</v>
      </c>
      <c r="AF4" s="1677">
        <v>7</v>
      </c>
      <c r="AG4" s="1680">
        <v>4</v>
      </c>
      <c r="AH4" s="1677">
        <v>6</v>
      </c>
      <c r="AI4" s="1680">
        <v>7</v>
      </c>
      <c r="AJ4" s="1680">
        <v>6</v>
      </c>
      <c r="AK4" s="1680">
        <v>7</v>
      </c>
      <c r="AL4" s="1679">
        <v>4</v>
      </c>
      <c r="AM4" s="1678"/>
      <c r="AN4" s="1677"/>
      <c r="AO4" s="1677">
        <v>5</v>
      </c>
      <c r="AP4" s="1691">
        <v>13</v>
      </c>
      <c r="AQ4" s="1690">
        <v>4</v>
      </c>
      <c r="AR4" s="1677">
        <v>1.75</v>
      </c>
      <c r="AS4" s="1677">
        <v>1.75</v>
      </c>
      <c r="AT4" s="1679"/>
      <c r="AU4" s="1678"/>
      <c r="AV4" s="1677"/>
      <c r="AW4" s="1677"/>
      <c r="AX4" s="1679"/>
      <c r="AY4" s="1678"/>
      <c r="AZ4" s="1677"/>
      <c r="BA4" s="1689"/>
      <c r="BB4" s="1676"/>
      <c r="BC4" s="1676"/>
      <c r="BD4" s="1676"/>
      <c r="BE4" s="1676"/>
      <c r="BF4" s="1676"/>
      <c r="BG4" s="1676"/>
      <c r="BH4" s="1676"/>
      <c r="BI4" s="1676"/>
      <c r="BJ4" s="1675">
        <v>1</v>
      </c>
    </row>
    <row r="5" spans="1:64" x14ac:dyDescent="0.2">
      <c r="A5" s="1688" t="s">
        <v>1267</v>
      </c>
      <c r="B5" s="1677">
        <v>1</v>
      </c>
      <c r="C5" s="1677" t="s">
        <v>1953</v>
      </c>
      <c r="D5" s="1682">
        <v>60</v>
      </c>
      <c r="E5" s="1681">
        <v>0</v>
      </c>
      <c r="F5" s="1677">
        <v>11.125</v>
      </c>
      <c r="G5" s="1687">
        <v>0</v>
      </c>
      <c r="H5" s="1686">
        <v>1.75</v>
      </c>
      <c r="I5" s="1687" t="s">
        <v>114</v>
      </c>
      <c r="J5" s="1686">
        <v>0</v>
      </c>
      <c r="K5" s="1677">
        <v>1.75</v>
      </c>
      <c r="L5" s="1677" t="s">
        <v>114</v>
      </c>
      <c r="M5" s="1677">
        <v>7.5</v>
      </c>
      <c r="N5" s="1687">
        <v>7.5</v>
      </c>
      <c r="O5" s="1686">
        <v>0</v>
      </c>
      <c r="P5" s="1687">
        <v>8.875</v>
      </c>
      <c r="Q5" s="1686">
        <v>0</v>
      </c>
      <c r="R5" s="1677">
        <v>4.875</v>
      </c>
      <c r="S5" s="1677">
        <v>0</v>
      </c>
      <c r="T5" s="1677">
        <v>6.25</v>
      </c>
      <c r="U5" s="1685">
        <v>0</v>
      </c>
      <c r="V5" s="1685">
        <v>6.25</v>
      </c>
      <c r="W5" s="1677">
        <v>5</v>
      </c>
      <c r="X5" s="1677">
        <v>-0.46666666666666701</v>
      </c>
      <c r="Y5" s="1677">
        <v>0.46666666666666701</v>
      </c>
      <c r="Z5" s="1684" t="s">
        <v>2024</v>
      </c>
      <c r="AA5" s="1683"/>
      <c r="AB5" s="1677"/>
      <c r="AC5" s="1682"/>
      <c r="AD5" s="1681"/>
      <c r="AE5" s="1677" t="s">
        <v>34</v>
      </c>
      <c r="AF5" s="1677">
        <v>7</v>
      </c>
      <c r="AG5" s="1680">
        <v>3.875</v>
      </c>
      <c r="AH5" s="1677">
        <v>6</v>
      </c>
      <c r="AI5" s="1680">
        <v>7</v>
      </c>
      <c r="AJ5" s="1680">
        <v>6.125</v>
      </c>
      <c r="AK5" s="1680">
        <v>7</v>
      </c>
      <c r="AL5" s="1679">
        <v>3.875</v>
      </c>
      <c r="AM5" s="1678"/>
      <c r="AN5" s="1677"/>
      <c r="AO5" s="1677">
        <v>5</v>
      </c>
      <c r="AP5" s="1679">
        <v>13</v>
      </c>
      <c r="AQ5" s="1678">
        <v>4</v>
      </c>
      <c r="AR5" s="1677">
        <v>1.75</v>
      </c>
      <c r="AS5" s="1677">
        <v>1.75</v>
      </c>
      <c r="AT5" s="1679"/>
      <c r="AU5" s="1678"/>
      <c r="AV5" s="1677"/>
      <c r="AW5" s="1677"/>
      <c r="AX5" s="1679"/>
      <c r="AY5" s="1678"/>
      <c r="AZ5" s="1677"/>
      <c r="BA5" s="1689"/>
      <c r="BB5" s="1676"/>
      <c r="BC5" s="1676"/>
      <c r="BD5" s="1676"/>
      <c r="BE5" s="1676"/>
      <c r="BF5" s="1676"/>
      <c r="BG5" s="1676"/>
      <c r="BH5" s="1676"/>
      <c r="BI5" s="1676"/>
      <c r="BJ5" s="1675">
        <v>1</v>
      </c>
    </row>
    <row r="6" spans="1:64" x14ac:dyDescent="0.2">
      <c r="A6" s="1688" t="s">
        <v>1268</v>
      </c>
      <c r="B6" s="1677">
        <v>2</v>
      </c>
      <c r="C6" s="1677" t="s">
        <v>1953</v>
      </c>
      <c r="D6" s="1682">
        <v>59</v>
      </c>
      <c r="E6" s="1681">
        <v>2.375</v>
      </c>
      <c r="F6" s="1677">
        <v>11.125</v>
      </c>
      <c r="G6" s="1687"/>
      <c r="H6" s="1686"/>
      <c r="I6" s="1687"/>
      <c r="J6" s="1686">
        <v>0</v>
      </c>
      <c r="K6" s="1677">
        <v>1.75</v>
      </c>
      <c r="L6" s="1677" t="s">
        <v>114</v>
      </c>
      <c r="M6" s="1677">
        <v>7.5</v>
      </c>
      <c r="N6" s="1687">
        <v>7.5</v>
      </c>
      <c r="O6" s="1686">
        <v>0</v>
      </c>
      <c r="P6" s="1687">
        <v>0</v>
      </c>
      <c r="Q6" s="1686">
        <v>0</v>
      </c>
      <c r="R6" s="1677">
        <v>8.375</v>
      </c>
      <c r="S6" s="1677">
        <v>0</v>
      </c>
      <c r="T6" s="1677">
        <v>4</v>
      </c>
      <c r="U6" s="1685">
        <v>0</v>
      </c>
      <c r="V6" s="1685">
        <v>6.25</v>
      </c>
      <c r="W6" s="1677">
        <v>5</v>
      </c>
      <c r="X6" s="1677"/>
      <c r="Y6" s="1677"/>
      <c r="Z6" s="1684" t="s">
        <v>2025</v>
      </c>
      <c r="AA6" s="1683"/>
      <c r="AB6" s="1677"/>
      <c r="AC6" s="1682"/>
      <c r="AD6" s="1681"/>
      <c r="AE6" s="1677" t="s">
        <v>1703</v>
      </c>
      <c r="AF6" s="1677">
        <v>6</v>
      </c>
      <c r="AG6" s="1680">
        <v>8.5</v>
      </c>
      <c r="AH6" s="1677">
        <v>6</v>
      </c>
      <c r="AI6" s="1680">
        <v>7</v>
      </c>
      <c r="AJ6" s="1680">
        <v>6</v>
      </c>
      <c r="AK6" s="1680">
        <v>7</v>
      </c>
      <c r="AL6" s="1679">
        <v>4.125</v>
      </c>
      <c r="AM6" s="1678"/>
      <c r="AN6" s="1677"/>
      <c r="AO6" s="1677">
        <v>5</v>
      </c>
      <c r="AP6" s="1679">
        <v>13</v>
      </c>
      <c r="AQ6" s="1678">
        <v>4</v>
      </c>
      <c r="AR6" s="1677"/>
      <c r="AS6" s="1677">
        <v>1.75</v>
      </c>
      <c r="AT6" s="1679"/>
      <c r="AU6" s="1678"/>
      <c r="AV6" s="1677"/>
      <c r="AW6" s="1677"/>
      <c r="AX6" s="1679"/>
      <c r="AY6" s="1678"/>
      <c r="AZ6" s="1677"/>
      <c r="BA6" s="1677"/>
      <c r="BB6" s="1676"/>
      <c r="BC6" s="1676"/>
      <c r="BD6" s="1676"/>
      <c r="BE6" s="1676"/>
      <c r="BF6" s="1676"/>
      <c r="BG6" s="1676"/>
      <c r="BH6" s="1676"/>
      <c r="BI6" s="1676"/>
      <c r="BJ6" s="1675">
        <v>1</v>
      </c>
    </row>
    <row r="7" spans="1:64" x14ac:dyDescent="0.2">
      <c r="A7" s="1688" t="s">
        <v>1269</v>
      </c>
      <c r="B7" s="1677">
        <v>8</v>
      </c>
      <c r="C7" s="1677" t="s">
        <v>1954</v>
      </c>
      <c r="D7" s="1682">
        <v>51</v>
      </c>
      <c r="E7" s="1681">
        <v>5.75</v>
      </c>
      <c r="F7" s="1677">
        <v>11.125</v>
      </c>
      <c r="G7" s="1687"/>
      <c r="H7" s="1686"/>
      <c r="I7" s="1687"/>
      <c r="J7" s="1686">
        <v>0</v>
      </c>
      <c r="K7" s="1677">
        <v>1.75</v>
      </c>
      <c r="L7" s="1677" t="s">
        <v>114</v>
      </c>
      <c r="M7" s="1677">
        <v>7.5</v>
      </c>
      <c r="N7" s="1687">
        <v>7.5</v>
      </c>
      <c r="O7" s="1686">
        <v>0</v>
      </c>
      <c r="P7" s="1687">
        <v>1</v>
      </c>
      <c r="Q7" s="1686">
        <v>0</v>
      </c>
      <c r="R7" s="1677">
        <v>6.75</v>
      </c>
      <c r="S7" s="1677">
        <v>0</v>
      </c>
      <c r="T7" s="1677">
        <v>2</v>
      </c>
      <c r="U7" s="1685">
        <v>0</v>
      </c>
      <c r="V7" s="1685">
        <v>6.25</v>
      </c>
      <c r="W7" s="1677">
        <v>5</v>
      </c>
      <c r="X7" s="1677"/>
      <c r="Y7" s="1677"/>
      <c r="Z7" s="1684" t="s">
        <v>2026</v>
      </c>
      <c r="AA7" s="1683"/>
      <c r="AB7" s="1677"/>
      <c r="AC7" s="1682"/>
      <c r="AD7" s="1681"/>
      <c r="AE7" s="1677" t="s">
        <v>35</v>
      </c>
      <c r="AF7" s="1677">
        <v>7</v>
      </c>
      <c r="AG7" s="1680">
        <v>6</v>
      </c>
      <c r="AH7" s="1677">
        <v>5</v>
      </c>
      <c r="AI7" s="1680">
        <v>8</v>
      </c>
      <c r="AJ7" s="1680">
        <v>0</v>
      </c>
      <c r="AK7" s="1680">
        <v>3</v>
      </c>
      <c r="AL7" s="1679">
        <v>10</v>
      </c>
      <c r="AM7" s="1678"/>
      <c r="AN7" s="1677"/>
      <c r="AO7" s="1677">
        <v>5</v>
      </c>
      <c r="AP7" s="1679">
        <v>13</v>
      </c>
      <c r="AQ7" s="1678">
        <v>4</v>
      </c>
      <c r="AR7" s="1677"/>
      <c r="AS7" s="1677"/>
      <c r="AT7" s="1679" t="s">
        <v>1061</v>
      </c>
      <c r="AU7" s="1678" t="s">
        <v>1955</v>
      </c>
      <c r="AV7" s="1677"/>
      <c r="AW7" s="1677" t="s">
        <v>35</v>
      </c>
      <c r="AX7" s="1679"/>
      <c r="AY7" s="1678"/>
      <c r="AZ7" s="1677"/>
      <c r="BA7" s="1677"/>
      <c r="BB7" s="1676"/>
      <c r="BC7" s="1676"/>
      <c r="BD7" s="1676"/>
      <c r="BE7" s="1676"/>
      <c r="BF7" s="1676"/>
      <c r="BG7" s="1676"/>
      <c r="BH7" s="1676"/>
      <c r="BI7" s="1676"/>
      <c r="BJ7" s="1675">
        <v>1</v>
      </c>
    </row>
    <row r="8" spans="1:64" x14ac:dyDescent="0.2">
      <c r="A8" s="1688" t="s">
        <v>1270</v>
      </c>
      <c r="B8" s="1677">
        <v>8</v>
      </c>
      <c r="C8" s="1677" t="s">
        <v>1954</v>
      </c>
      <c r="D8" s="1682">
        <v>51</v>
      </c>
      <c r="E8" s="1681">
        <v>11.5</v>
      </c>
      <c r="F8" s="1677">
        <v>11.125</v>
      </c>
      <c r="G8" s="1687">
        <v>0</v>
      </c>
      <c r="H8" s="1686">
        <v>1.75</v>
      </c>
      <c r="I8" s="1687" t="s">
        <v>114</v>
      </c>
      <c r="J8" s="1686">
        <v>0</v>
      </c>
      <c r="K8" s="1677">
        <v>1.75</v>
      </c>
      <c r="L8" s="1677" t="s">
        <v>114</v>
      </c>
      <c r="M8" s="1677">
        <v>7.5</v>
      </c>
      <c r="N8" s="1687">
        <v>7.5</v>
      </c>
      <c r="O8" s="1686">
        <v>0</v>
      </c>
      <c r="P8" s="1687">
        <v>6.75</v>
      </c>
      <c r="Q8" s="1686">
        <v>0</v>
      </c>
      <c r="R8" s="1677">
        <v>6.75</v>
      </c>
      <c r="S8" s="1677">
        <v>0</v>
      </c>
      <c r="T8" s="1677">
        <v>6.25</v>
      </c>
      <c r="U8" s="1685">
        <v>0</v>
      </c>
      <c r="V8" s="1685">
        <v>6.25</v>
      </c>
      <c r="W8" s="1677">
        <v>5</v>
      </c>
      <c r="X8" s="1677"/>
      <c r="Y8" s="1677"/>
      <c r="Z8" s="1684" t="s">
        <v>2027</v>
      </c>
      <c r="AA8" s="1683"/>
      <c r="AB8" s="1677"/>
      <c r="AC8" s="1682"/>
      <c r="AD8" s="1681"/>
      <c r="AE8" s="1677" t="s">
        <v>35</v>
      </c>
      <c r="AF8" s="1677">
        <v>3</v>
      </c>
      <c r="AG8" s="1680">
        <v>10</v>
      </c>
      <c r="AH8" s="1677">
        <v>5</v>
      </c>
      <c r="AI8" s="1680">
        <v>8</v>
      </c>
      <c r="AJ8" s="1680">
        <v>0</v>
      </c>
      <c r="AK8" s="1680">
        <v>7</v>
      </c>
      <c r="AL8" s="1679">
        <v>10</v>
      </c>
      <c r="AM8" s="1678"/>
      <c r="AN8" s="1677"/>
      <c r="AO8" s="1677">
        <v>5</v>
      </c>
      <c r="AP8" s="1679">
        <v>13</v>
      </c>
      <c r="AQ8" s="1678">
        <v>4</v>
      </c>
      <c r="AR8" s="1677"/>
      <c r="AS8" s="1677">
        <v>1.75</v>
      </c>
      <c r="AT8" s="1679" t="s">
        <v>1061</v>
      </c>
      <c r="AU8" s="1678" t="s">
        <v>1956</v>
      </c>
      <c r="AV8" s="1677"/>
      <c r="AW8" s="1677" t="s">
        <v>35</v>
      </c>
      <c r="AX8" s="1679"/>
      <c r="AY8" s="1678"/>
      <c r="AZ8" s="1677"/>
      <c r="BA8" s="1677"/>
      <c r="BB8" s="1676"/>
      <c r="BC8" s="1676"/>
      <c r="BD8" s="1676"/>
      <c r="BE8" s="1676"/>
      <c r="BF8" s="1676"/>
      <c r="BG8" s="1676"/>
      <c r="BH8" s="1676"/>
      <c r="BI8" s="1676"/>
      <c r="BJ8" s="1675">
        <v>1</v>
      </c>
    </row>
    <row r="9" spans="1:64" x14ac:dyDescent="0.2">
      <c r="A9" s="1688" t="s">
        <v>1271</v>
      </c>
      <c r="B9" s="1677">
        <v>56</v>
      </c>
      <c r="C9" s="1677" t="s">
        <v>1954</v>
      </c>
      <c r="D9" s="1682">
        <v>51</v>
      </c>
      <c r="E9" s="1681">
        <v>11.5</v>
      </c>
      <c r="F9" s="1677">
        <v>11.125</v>
      </c>
      <c r="G9" s="1687">
        <v>0</v>
      </c>
      <c r="H9" s="1686">
        <v>1.75</v>
      </c>
      <c r="I9" s="1687" t="s">
        <v>114</v>
      </c>
      <c r="J9" s="1686">
        <v>0</v>
      </c>
      <c r="K9" s="1677">
        <v>1.75</v>
      </c>
      <c r="L9" s="1677" t="s">
        <v>114</v>
      </c>
      <c r="M9" s="1677">
        <v>7.5</v>
      </c>
      <c r="N9" s="1687">
        <v>7.5</v>
      </c>
      <c r="O9" s="1686">
        <v>0</v>
      </c>
      <c r="P9" s="1687">
        <v>6.75</v>
      </c>
      <c r="Q9" s="1686">
        <v>0</v>
      </c>
      <c r="R9" s="1677">
        <v>6.75</v>
      </c>
      <c r="S9" s="1677">
        <v>0</v>
      </c>
      <c r="T9" s="1677">
        <v>6.25</v>
      </c>
      <c r="U9" s="1685">
        <v>0</v>
      </c>
      <c r="V9" s="1685">
        <v>6.25</v>
      </c>
      <c r="W9" s="1677">
        <v>5</v>
      </c>
      <c r="X9" s="1677"/>
      <c r="Y9" s="1677"/>
      <c r="Z9" s="1684" t="s">
        <v>2028</v>
      </c>
      <c r="AA9" s="1683"/>
      <c r="AB9" s="1677"/>
      <c r="AC9" s="1682"/>
      <c r="AD9" s="1681"/>
      <c r="AE9" s="1677" t="s">
        <v>35</v>
      </c>
      <c r="AF9" s="1677">
        <v>3</v>
      </c>
      <c r="AG9" s="1680">
        <v>10</v>
      </c>
      <c r="AH9" s="1677">
        <v>5</v>
      </c>
      <c r="AI9" s="1680">
        <v>8</v>
      </c>
      <c r="AJ9" s="1680">
        <v>0</v>
      </c>
      <c r="AK9" s="1680">
        <v>7</v>
      </c>
      <c r="AL9" s="1679">
        <v>10</v>
      </c>
      <c r="AM9" s="1678"/>
      <c r="AN9" s="1677"/>
      <c r="AO9" s="1677">
        <v>5</v>
      </c>
      <c r="AP9" s="1679">
        <v>13</v>
      </c>
      <c r="AQ9" s="1678">
        <v>4</v>
      </c>
      <c r="AR9" s="1677"/>
      <c r="AS9" s="1677">
        <v>1.75</v>
      </c>
      <c r="AT9" s="1679" t="s">
        <v>1061</v>
      </c>
      <c r="AU9" s="1678" t="s">
        <v>1956</v>
      </c>
      <c r="AV9" s="1677"/>
      <c r="AW9" s="1677" t="s">
        <v>35</v>
      </c>
      <c r="AX9" s="1679"/>
      <c r="AY9" s="1678"/>
      <c r="AZ9" s="1677"/>
      <c r="BA9" s="1677"/>
      <c r="BB9" s="1676"/>
      <c r="BC9" s="1676"/>
      <c r="BD9" s="1676"/>
      <c r="BE9" s="1676"/>
      <c r="BF9" s="1676"/>
      <c r="BG9" s="1676"/>
      <c r="BH9" s="1676"/>
      <c r="BI9" s="1676"/>
      <c r="BJ9" s="1675">
        <v>1</v>
      </c>
    </row>
    <row r="10" spans="1:64" x14ac:dyDescent="0.2">
      <c r="A10" s="1688" t="s">
        <v>1272</v>
      </c>
      <c r="B10" s="1677">
        <v>4</v>
      </c>
      <c r="C10" s="1677" t="s">
        <v>1954</v>
      </c>
      <c r="D10" s="1682">
        <v>51</v>
      </c>
      <c r="E10" s="1681">
        <v>11.5</v>
      </c>
      <c r="F10" s="1677">
        <v>11.125</v>
      </c>
      <c r="G10" s="1687">
        <v>0</v>
      </c>
      <c r="H10" s="1686">
        <v>1.75</v>
      </c>
      <c r="I10" s="1687" t="s">
        <v>114</v>
      </c>
      <c r="J10" s="1686">
        <v>0</v>
      </c>
      <c r="K10" s="1677">
        <v>1.75</v>
      </c>
      <c r="L10" s="1677" t="s">
        <v>114</v>
      </c>
      <c r="M10" s="1677">
        <v>7.5</v>
      </c>
      <c r="N10" s="1687">
        <v>7.5</v>
      </c>
      <c r="O10" s="1686">
        <v>0</v>
      </c>
      <c r="P10" s="1687">
        <v>6.75</v>
      </c>
      <c r="Q10" s="1686">
        <v>0</v>
      </c>
      <c r="R10" s="1677">
        <v>6.75</v>
      </c>
      <c r="S10" s="1677">
        <v>0</v>
      </c>
      <c r="T10" s="1677">
        <v>6.25</v>
      </c>
      <c r="U10" s="1685">
        <v>0</v>
      </c>
      <c r="V10" s="1685">
        <v>6.25</v>
      </c>
      <c r="W10" s="1677">
        <v>5</v>
      </c>
      <c r="X10" s="1677"/>
      <c r="Y10" s="1677"/>
      <c r="Z10" s="1684" t="s">
        <v>2029</v>
      </c>
      <c r="AA10" s="1683"/>
      <c r="AB10" s="1677"/>
      <c r="AC10" s="1682"/>
      <c r="AD10" s="1681"/>
      <c r="AE10" s="1677" t="s">
        <v>35</v>
      </c>
      <c r="AF10" s="1677">
        <v>3</v>
      </c>
      <c r="AG10" s="1680">
        <v>10</v>
      </c>
      <c r="AH10" s="1677">
        <v>5</v>
      </c>
      <c r="AI10" s="1680">
        <v>8</v>
      </c>
      <c r="AJ10" s="1680">
        <v>0</v>
      </c>
      <c r="AK10" s="1680">
        <v>7</v>
      </c>
      <c r="AL10" s="1679">
        <v>10</v>
      </c>
      <c r="AM10" s="1678"/>
      <c r="AN10" s="1677"/>
      <c r="AO10" s="1677">
        <v>5</v>
      </c>
      <c r="AP10" s="1679">
        <v>13</v>
      </c>
      <c r="AQ10" s="1678">
        <v>4</v>
      </c>
      <c r="AR10" s="1677"/>
      <c r="AS10" s="1677">
        <v>1.75</v>
      </c>
      <c r="AT10" s="1679" t="s">
        <v>1061</v>
      </c>
      <c r="AU10" s="1678" t="s">
        <v>1956</v>
      </c>
      <c r="AV10" s="1677"/>
      <c r="AW10" s="1677" t="s">
        <v>35</v>
      </c>
      <c r="AX10" s="1679"/>
      <c r="AY10" s="1678"/>
      <c r="AZ10" s="1677"/>
      <c r="BA10" s="1677"/>
      <c r="BB10" s="1676"/>
      <c r="BC10" s="1676"/>
      <c r="BD10" s="1676"/>
      <c r="BE10" s="1676"/>
      <c r="BF10" s="1676"/>
      <c r="BG10" s="1676"/>
      <c r="BH10" s="1676"/>
      <c r="BI10" s="1676"/>
      <c r="BJ10" s="1675">
        <v>1</v>
      </c>
    </row>
    <row r="11" spans="1:64" x14ac:dyDescent="0.2">
      <c r="A11" s="1688" t="s">
        <v>1273</v>
      </c>
      <c r="B11" s="1677">
        <v>4</v>
      </c>
      <c r="C11" s="1677" t="s">
        <v>1954</v>
      </c>
      <c r="D11" s="1682">
        <v>51</v>
      </c>
      <c r="E11" s="1681">
        <v>11.5</v>
      </c>
      <c r="F11" s="1677">
        <v>11.125</v>
      </c>
      <c r="G11" s="1687">
        <v>0</v>
      </c>
      <c r="H11" s="1686">
        <v>1.75</v>
      </c>
      <c r="I11" s="1687" t="s">
        <v>114</v>
      </c>
      <c r="J11" s="1686">
        <v>0</v>
      </c>
      <c r="K11" s="1677">
        <v>1.75</v>
      </c>
      <c r="L11" s="1677" t="s">
        <v>114</v>
      </c>
      <c r="M11" s="1677">
        <v>7.5</v>
      </c>
      <c r="N11" s="1687">
        <v>7.5</v>
      </c>
      <c r="O11" s="1686">
        <v>0</v>
      </c>
      <c r="P11" s="1687">
        <v>6.75</v>
      </c>
      <c r="Q11" s="1686">
        <v>0</v>
      </c>
      <c r="R11" s="1677">
        <v>6.75</v>
      </c>
      <c r="S11" s="1677">
        <v>0</v>
      </c>
      <c r="T11" s="1677">
        <v>6.25</v>
      </c>
      <c r="U11" s="1685">
        <v>0</v>
      </c>
      <c r="V11" s="1685">
        <v>6.25</v>
      </c>
      <c r="W11" s="1677">
        <v>5</v>
      </c>
      <c r="X11" s="1677"/>
      <c r="Y11" s="1677"/>
      <c r="Z11" s="1684" t="s">
        <v>2030</v>
      </c>
      <c r="AA11" s="1683"/>
      <c r="AB11" s="1677"/>
      <c r="AC11" s="1682"/>
      <c r="AD11" s="1681"/>
      <c r="AE11" s="1677" t="s">
        <v>35</v>
      </c>
      <c r="AF11" s="1677">
        <v>3</v>
      </c>
      <c r="AG11" s="1680">
        <v>10</v>
      </c>
      <c r="AH11" s="1677">
        <v>5</v>
      </c>
      <c r="AI11" s="1680">
        <v>8</v>
      </c>
      <c r="AJ11" s="1680">
        <v>0</v>
      </c>
      <c r="AK11" s="1680">
        <v>7</v>
      </c>
      <c r="AL11" s="1679">
        <v>10</v>
      </c>
      <c r="AM11" s="1678"/>
      <c r="AN11" s="1677"/>
      <c r="AO11" s="1677">
        <v>5</v>
      </c>
      <c r="AP11" s="1679">
        <v>13</v>
      </c>
      <c r="AQ11" s="1678">
        <v>4</v>
      </c>
      <c r="AR11" s="1677"/>
      <c r="AS11" s="1677">
        <v>1.75</v>
      </c>
      <c r="AT11" s="1679" t="s">
        <v>1061</v>
      </c>
      <c r="AU11" s="1678" t="s">
        <v>1956</v>
      </c>
      <c r="AV11" s="1677"/>
      <c r="AW11" s="1677" t="s">
        <v>35</v>
      </c>
      <c r="AX11" s="1679"/>
      <c r="AY11" s="1678"/>
      <c r="AZ11" s="1677"/>
      <c r="BA11" s="1677"/>
      <c r="BB11" s="1676"/>
      <c r="BC11" s="1676"/>
      <c r="BD11" s="1676"/>
      <c r="BE11" s="1676"/>
      <c r="BF11" s="1676"/>
      <c r="BG11" s="1676"/>
      <c r="BH11" s="1676"/>
      <c r="BI11" s="1676"/>
      <c r="BJ11" s="1675">
        <v>1</v>
      </c>
    </row>
    <row r="12" spans="1:64" x14ac:dyDescent="0.2">
      <c r="A12" s="1688" t="s">
        <v>1274</v>
      </c>
      <c r="B12" s="1677">
        <v>1</v>
      </c>
      <c r="C12" s="1677" t="s">
        <v>1953</v>
      </c>
      <c r="D12" s="1682">
        <v>60</v>
      </c>
      <c r="E12" s="1681">
        <v>0</v>
      </c>
      <c r="F12" s="1677">
        <v>11.125</v>
      </c>
      <c r="G12" s="1687">
        <v>0</v>
      </c>
      <c r="H12" s="1686">
        <v>1.75</v>
      </c>
      <c r="I12" s="1687" t="s">
        <v>114</v>
      </c>
      <c r="J12" s="1686">
        <v>0</v>
      </c>
      <c r="K12" s="1677">
        <v>1.75</v>
      </c>
      <c r="L12" s="1677" t="s">
        <v>114</v>
      </c>
      <c r="M12" s="1677">
        <v>7.5</v>
      </c>
      <c r="N12" s="1687">
        <v>7.5</v>
      </c>
      <c r="O12" s="1686">
        <v>0</v>
      </c>
      <c r="P12" s="1687">
        <v>4.875</v>
      </c>
      <c r="Q12" s="1686">
        <v>0</v>
      </c>
      <c r="R12" s="1677">
        <v>8.875</v>
      </c>
      <c r="S12" s="1677">
        <v>0</v>
      </c>
      <c r="T12" s="1677">
        <v>6.25</v>
      </c>
      <c r="U12" s="1685">
        <v>0</v>
      </c>
      <c r="V12" s="1685">
        <v>6.25</v>
      </c>
      <c r="W12" s="1677">
        <v>5</v>
      </c>
      <c r="X12" s="1677">
        <v>0.46666666666666701</v>
      </c>
      <c r="Y12" s="1677">
        <v>-0.46666666666666701</v>
      </c>
      <c r="Z12" s="1684" t="s">
        <v>2024</v>
      </c>
      <c r="AA12" s="1683"/>
      <c r="AB12" s="1677"/>
      <c r="AC12" s="1682"/>
      <c r="AD12" s="1681"/>
      <c r="AE12" s="1677" t="s">
        <v>34</v>
      </c>
      <c r="AF12" s="1677">
        <v>7</v>
      </c>
      <c r="AG12" s="1680">
        <v>3.875</v>
      </c>
      <c r="AH12" s="1677">
        <v>6</v>
      </c>
      <c r="AI12" s="1680">
        <v>7</v>
      </c>
      <c r="AJ12" s="1680">
        <v>6.125</v>
      </c>
      <c r="AK12" s="1680">
        <v>7</v>
      </c>
      <c r="AL12" s="1679">
        <v>3.875</v>
      </c>
      <c r="AM12" s="1678"/>
      <c r="AN12" s="1677"/>
      <c r="AO12" s="1677">
        <v>5</v>
      </c>
      <c r="AP12" s="1679">
        <v>13</v>
      </c>
      <c r="AQ12" s="1678">
        <v>4</v>
      </c>
      <c r="AR12" s="1677">
        <v>1.75</v>
      </c>
      <c r="AS12" s="1677">
        <v>1.75</v>
      </c>
      <c r="AT12" s="1679"/>
      <c r="AU12" s="1678"/>
      <c r="AV12" s="1677"/>
      <c r="AW12" s="1677"/>
      <c r="AX12" s="1679"/>
      <c r="AY12" s="1678"/>
      <c r="AZ12" s="1677"/>
      <c r="BA12" s="1677"/>
      <c r="BB12" s="1676"/>
      <c r="BC12" s="1676"/>
      <c r="BD12" s="1676"/>
      <c r="BE12" s="1676"/>
      <c r="BF12" s="1676"/>
      <c r="BG12" s="1676"/>
      <c r="BH12" s="1676"/>
      <c r="BI12" s="1676"/>
      <c r="BJ12" s="1675">
        <v>1</v>
      </c>
    </row>
    <row r="13" spans="1:64" x14ac:dyDescent="0.2">
      <c r="A13" s="1688" t="s">
        <v>1275</v>
      </c>
      <c r="B13" s="1677">
        <v>1</v>
      </c>
      <c r="C13" s="1677" t="s">
        <v>1953</v>
      </c>
      <c r="D13" s="1682">
        <v>59</v>
      </c>
      <c r="E13" s="1681">
        <v>11.5</v>
      </c>
      <c r="F13" s="1677">
        <v>11.125</v>
      </c>
      <c r="G13" s="1687">
        <v>0</v>
      </c>
      <c r="H13" s="1686">
        <v>1.75</v>
      </c>
      <c r="I13" s="1687" t="s">
        <v>114</v>
      </c>
      <c r="J13" s="1686">
        <v>0</v>
      </c>
      <c r="K13" s="1677">
        <v>1.75</v>
      </c>
      <c r="L13" s="1677" t="s">
        <v>114</v>
      </c>
      <c r="M13" s="1677">
        <v>7.5</v>
      </c>
      <c r="N13" s="1687">
        <v>7.5</v>
      </c>
      <c r="O13" s="1686">
        <v>0</v>
      </c>
      <c r="P13" s="1687">
        <v>7.875</v>
      </c>
      <c r="Q13" s="1686">
        <v>0</v>
      </c>
      <c r="R13" s="1677">
        <v>5.75</v>
      </c>
      <c r="S13" s="1677">
        <v>0</v>
      </c>
      <c r="T13" s="1677">
        <v>6.25</v>
      </c>
      <c r="U13" s="1685">
        <v>0</v>
      </c>
      <c r="V13" s="1685">
        <v>6.25</v>
      </c>
      <c r="W13" s="1677">
        <v>5</v>
      </c>
      <c r="X13" s="1677"/>
      <c r="Y13" s="1677"/>
      <c r="Z13" s="1684" t="s">
        <v>2024</v>
      </c>
      <c r="AA13" s="1683"/>
      <c r="AB13" s="1677"/>
      <c r="AC13" s="1682"/>
      <c r="AD13" s="1681"/>
      <c r="AE13" s="1677" t="s">
        <v>34</v>
      </c>
      <c r="AF13" s="1677">
        <v>7</v>
      </c>
      <c r="AG13" s="1680">
        <v>4</v>
      </c>
      <c r="AH13" s="1677">
        <v>6</v>
      </c>
      <c r="AI13" s="1680">
        <v>7</v>
      </c>
      <c r="AJ13" s="1680">
        <v>6</v>
      </c>
      <c r="AK13" s="1680">
        <v>7</v>
      </c>
      <c r="AL13" s="1679">
        <v>4</v>
      </c>
      <c r="AM13" s="1678"/>
      <c r="AN13" s="1677"/>
      <c r="AO13" s="1677">
        <v>5</v>
      </c>
      <c r="AP13" s="1679">
        <v>13</v>
      </c>
      <c r="AQ13" s="1678">
        <v>4</v>
      </c>
      <c r="AR13" s="1677">
        <v>1.75</v>
      </c>
      <c r="AS13" s="1677">
        <v>1.75</v>
      </c>
      <c r="AT13" s="1679"/>
      <c r="AU13" s="1678"/>
      <c r="AV13" s="1677"/>
      <c r="AW13" s="1677"/>
      <c r="AX13" s="1679"/>
      <c r="AY13" s="1678"/>
      <c r="AZ13" s="1677"/>
      <c r="BA13" s="1677"/>
      <c r="BB13" s="1676"/>
      <c r="BC13" s="1676"/>
      <c r="BD13" s="1676"/>
      <c r="BE13" s="1676"/>
      <c r="BF13" s="1676"/>
      <c r="BG13" s="1676"/>
      <c r="BH13" s="1676"/>
      <c r="BI13" s="1676"/>
      <c r="BJ13" s="1675">
        <v>1</v>
      </c>
    </row>
    <row r="14" spans="1:64" x14ac:dyDescent="0.2">
      <c r="A14" s="1688" t="s">
        <v>1276</v>
      </c>
      <c r="B14" s="1677">
        <v>1</v>
      </c>
      <c r="C14" s="1677" t="s">
        <v>1952</v>
      </c>
      <c r="D14" s="1682">
        <v>49</v>
      </c>
      <c r="E14" s="1681">
        <v>11.5</v>
      </c>
      <c r="F14" s="1677">
        <v>11.125</v>
      </c>
      <c r="G14" s="1687">
        <v>0</v>
      </c>
      <c r="H14" s="1686">
        <v>1.75</v>
      </c>
      <c r="I14" s="1687" t="s">
        <v>114</v>
      </c>
      <c r="J14" s="1686">
        <v>0</v>
      </c>
      <c r="K14" s="1677">
        <v>1.75</v>
      </c>
      <c r="L14" s="1677" t="s">
        <v>114</v>
      </c>
      <c r="M14" s="1677">
        <v>7.5</v>
      </c>
      <c r="N14" s="1687">
        <v>7.5</v>
      </c>
      <c r="O14" s="1686">
        <v>0</v>
      </c>
      <c r="P14" s="1687">
        <v>7.875</v>
      </c>
      <c r="Q14" s="1686">
        <v>0</v>
      </c>
      <c r="R14" s="1677">
        <v>5.75</v>
      </c>
      <c r="S14" s="1677">
        <v>0</v>
      </c>
      <c r="T14" s="1677">
        <v>6.25</v>
      </c>
      <c r="U14" s="1685">
        <v>0</v>
      </c>
      <c r="V14" s="1685">
        <v>6.25</v>
      </c>
      <c r="W14" s="1677">
        <v>5</v>
      </c>
      <c r="X14" s="1677"/>
      <c r="Y14" s="1677"/>
      <c r="Z14" s="1684" t="s">
        <v>2024</v>
      </c>
      <c r="AA14" s="1683"/>
      <c r="AB14" s="1677"/>
      <c r="AC14" s="1682"/>
      <c r="AD14" s="1681"/>
      <c r="AE14" s="1677" t="s">
        <v>34</v>
      </c>
      <c r="AF14" s="1677">
        <v>7</v>
      </c>
      <c r="AG14" s="1680">
        <v>0</v>
      </c>
      <c r="AH14" s="1677">
        <v>5</v>
      </c>
      <c r="AI14" s="1680">
        <v>7</v>
      </c>
      <c r="AJ14" s="1680">
        <v>2</v>
      </c>
      <c r="AK14" s="1680">
        <v>6</v>
      </c>
      <c r="AL14" s="1679">
        <v>10</v>
      </c>
      <c r="AM14" s="1678"/>
      <c r="AN14" s="1677"/>
      <c r="AO14" s="1677">
        <v>5</v>
      </c>
      <c r="AP14" s="1679">
        <v>13</v>
      </c>
      <c r="AQ14" s="1678">
        <v>4</v>
      </c>
      <c r="AR14" s="1677">
        <v>1.75</v>
      </c>
      <c r="AS14" s="1677">
        <v>1.75</v>
      </c>
      <c r="AT14" s="1679"/>
      <c r="AU14" s="1678"/>
      <c r="AV14" s="1677"/>
      <c r="AW14" s="1677"/>
      <c r="AX14" s="1679"/>
      <c r="AY14" s="1678"/>
      <c r="AZ14" s="1677"/>
      <c r="BA14" s="1677"/>
      <c r="BB14" s="1676"/>
      <c r="BC14" s="1676"/>
      <c r="BD14" s="1676"/>
      <c r="BE14" s="1676"/>
      <c r="BF14" s="1676"/>
      <c r="BG14" s="1676"/>
      <c r="BH14" s="1676"/>
      <c r="BI14" s="1676"/>
      <c r="BJ14" s="1675">
        <v>1</v>
      </c>
    </row>
    <row r="15" spans="1:64" x14ac:dyDescent="0.2">
      <c r="A15" s="1688" t="s">
        <v>1277</v>
      </c>
      <c r="B15" s="1677">
        <v>4</v>
      </c>
      <c r="C15" s="1677" t="s">
        <v>1954</v>
      </c>
      <c r="D15" s="1682">
        <v>51</v>
      </c>
      <c r="E15" s="1681">
        <v>11.5</v>
      </c>
      <c r="F15" s="1677">
        <v>11.125</v>
      </c>
      <c r="G15" s="1687">
        <v>0</v>
      </c>
      <c r="H15" s="1686">
        <v>1.75</v>
      </c>
      <c r="I15" s="1687" t="s">
        <v>114</v>
      </c>
      <c r="J15" s="1686">
        <v>0</v>
      </c>
      <c r="K15" s="1677">
        <v>1.75</v>
      </c>
      <c r="L15" s="1677" t="s">
        <v>114</v>
      </c>
      <c r="M15" s="1677">
        <v>7.5</v>
      </c>
      <c r="N15" s="1687">
        <v>7.5</v>
      </c>
      <c r="O15" s="1686">
        <v>0</v>
      </c>
      <c r="P15" s="1687">
        <v>6.75</v>
      </c>
      <c r="Q15" s="1686">
        <v>0</v>
      </c>
      <c r="R15" s="1677">
        <v>6.75</v>
      </c>
      <c r="S15" s="1677">
        <v>0</v>
      </c>
      <c r="T15" s="1677">
        <v>6.25</v>
      </c>
      <c r="U15" s="1685">
        <v>0</v>
      </c>
      <c r="V15" s="1685">
        <v>6.25</v>
      </c>
      <c r="W15" s="1677">
        <v>5</v>
      </c>
      <c r="X15" s="1677"/>
      <c r="Y15" s="1677"/>
      <c r="Z15" s="1684" t="s">
        <v>2031</v>
      </c>
      <c r="AA15" s="1683"/>
      <c r="AB15" s="1677"/>
      <c r="AC15" s="1682"/>
      <c r="AD15" s="1681"/>
      <c r="AE15" s="1677" t="s">
        <v>35</v>
      </c>
      <c r="AF15" s="1677">
        <v>3</v>
      </c>
      <c r="AG15" s="1680">
        <v>10</v>
      </c>
      <c r="AH15" s="1677">
        <v>5</v>
      </c>
      <c r="AI15" s="1680">
        <v>8</v>
      </c>
      <c r="AJ15" s="1680">
        <v>0</v>
      </c>
      <c r="AK15" s="1680">
        <v>7</v>
      </c>
      <c r="AL15" s="1679">
        <v>10</v>
      </c>
      <c r="AM15" s="1678"/>
      <c r="AN15" s="1677"/>
      <c r="AO15" s="1677">
        <v>5</v>
      </c>
      <c r="AP15" s="1679">
        <v>13</v>
      </c>
      <c r="AQ15" s="1678">
        <v>4</v>
      </c>
      <c r="AR15" s="1677"/>
      <c r="AS15" s="1677">
        <v>1.75</v>
      </c>
      <c r="AT15" s="1679" t="s">
        <v>1061</v>
      </c>
      <c r="AU15" s="1678" t="s">
        <v>1956</v>
      </c>
      <c r="AV15" s="1677"/>
      <c r="AW15" s="1677" t="s">
        <v>35</v>
      </c>
      <c r="AX15" s="1679"/>
      <c r="AY15" s="1678"/>
      <c r="AZ15" s="1677"/>
      <c r="BA15" s="1677"/>
      <c r="BB15" s="1676"/>
      <c r="BC15" s="1676"/>
      <c r="BD15" s="1676"/>
      <c r="BE15" s="1676"/>
      <c r="BF15" s="1676"/>
      <c r="BG15" s="1676"/>
      <c r="BH15" s="1676"/>
      <c r="BI15" s="1676"/>
      <c r="BJ15" s="1675">
        <v>1</v>
      </c>
    </row>
    <row r="16" spans="1:64" x14ac:dyDescent="0.2">
      <c r="A16" s="1688" t="s">
        <v>1278</v>
      </c>
      <c r="B16" s="1677">
        <v>4</v>
      </c>
      <c r="C16" s="1677" t="s">
        <v>1954</v>
      </c>
      <c r="D16" s="1682">
        <v>51</v>
      </c>
      <c r="E16" s="1681">
        <v>11.5</v>
      </c>
      <c r="F16" s="1677">
        <v>11.125</v>
      </c>
      <c r="G16" s="1687">
        <v>0</v>
      </c>
      <c r="H16" s="1686">
        <v>1.75</v>
      </c>
      <c r="I16" s="1687" t="s">
        <v>114</v>
      </c>
      <c r="J16" s="1686">
        <v>0</v>
      </c>
      <c r="K16" s="1677">
        <v>1.75</v>
      </c>
      <c r="L16" s="1677" t="s">
        <v>114</v>
      </c>
      <c r="M16" s="1677">
        <v>7.5</v>
      </c>
      <c r="N16" s="1687">
        <v>7.5</v>
      </c>
      <c r="O16" s="1686">
        <v>0</v>
      </c>
      <c r="P16" s="1687">
        <v>6.75</v>
      </c>
      <c r="Q16" s="1686">
        <v>0</v>
      </c>
      <c r="R16" s="1677">
        <v>6.75</v>
      </c>
      <c r="S16" s="1677">
        <v>0</v>
      </c>
      <c r="T16" s="1677">
        <v>6.25</v>
      </c>
      <c r="U16" s="1685">
        <v>0</v>
      </c>
      <c r="V16" s="1685">
        <v>6.25</v>
      </c>
      <c r="W16" s="1677">
        <v>5</v>
      </c>
      <c r="X16" s="1677"/>
      <c r="Y16" s="1677"/>
      <c r="Z16" s="1684" t="s">
        <v>2032</v>
      </c>
      <c r="AA16" s="1683"/>
      <c r="AB16" s="1677"/>
      <c r="AC16" s="1682"/>
      <c r="AD16" s="1681"/>
      <c r="AE16" s="1677" t="s">
        <v>35</v>
      </c>
      <c r="AF16" s="1677">
        <v>3</v>
      </c>
      <c r="AG16" s="1680">
        <v>10</v>
      </c>
      <c r="AH16" s="1677">
        <v>5</v>
      </c>
      <c r="AI16" s="1680">
        <v>8</v>
      </c>
      <c r="AJ16" s="1680">
        <v>0</v>
      </c>
      <c r="AK16" s="1680">
        <v>7</v>
      </c>
      <c r="AL16" s="1679">
        <v>10</v>
      </c>
      <c r="AM16" s="1678"/>
      <c r="AN16" s="1677"/>
      <c r="AO16" s="1677">
        <v>5</v>
      </c>
      <c r="AP16" s="1679">
        <v>13</v>
      </c>
      <c r="AQ16" s="1678">
        <v>4</v>
      </c>
      <c r="AR16" s="1677"/>
      <c r="AS16" s="1677">
        <v>1.75</v>
      </c>
      <c r="AT16" s="1679" t="s">
        <v>1061</v>
      </c>
      <c r="AU16" s="1678" t="s">
        <v>1956</v>
      </c>
      <c r="AV16" s="1677"/>
      <c r="AW16" s="1677" t="s">
        <v>35</v>
      </c>
      <c r="AX16" s="1679"/>
      <c r="AY16" s="1678"/>
      <c r="AZ16" s="1677"/>
      <c r="BA16" s="1677"/>
      <c r="BB16" s="1676"/>
      <c r="BC16" s="1676"/>
      <c r="BD16" s="1676"/>
      <c r="BE16" s="1676"/>
      <c r="BF16" s="1676"/>
      <c r="BG16" s="1676"/>
      <c r="BH16" s="1676"/>
      <c r="BI16" s="1676"/>
      <c r="BJ16" s="1675">
        <v>1</v>
      </c>
    </row>
    <row r="17" spans="1:62" x14ac:dyDescent="0.2">
      <c r="A17" s="1688" t="s">
        <v>1279</v>
      </c>
      <c r="B17" s="1677">
        <v>1</v>
      </c>
      <c r="C17" s="1677" t="s">
        <v>1957</v>
      </c>
      <c r="D17" s="1682">
        <v>59</v>
      </c>
      <c r="E17" s="1681">
        <v>1.5</v>
      </c>
      <c r="F17" s="1677">
        <v>11.125</v>
      </c>
      <c r="G17" s="1687"/>
      <c r="H17" s="1686"/>
      <c r="I17" s="1687"/>
      <c r="J17" s="1686">
        <v>0</v>
      </c>
      <c r="K17" s="1677">
        <v>1.75</v>
      </c>
      <c r="L17" s="1677" t="s">
        <v>114</v>
      </c>
      <c r="M17" s="1677">
        <v>7.5</v>
      </c>
      <c r="N17" s="1687">
        <v>7.5</v>
      </c>
      <c r="O17" s="1686">
        <v>-9.9999999999999995E-8</v>
      </c>
      <c r="P17" s="1687">
        <v>-0.125</v>
      </c>
      <c r="Q17" s="1686">
        <v>0</v>
      </c>
      <c r="R17" s="1677">
        <v>8</v>
      </c>
      <c r="S17" s="1677">
        <v>0</v>
      </c>
      <c r="T17" s="1677">
        <v>3</v>
      </c>
      <c r="U17" s="1685">
        <v>0</v>
      </c>
      <c r="V17" s="1685">
        <v>6.25</v>
      </c>
      <c r="W17" s="1677">
        <v>5</v>
      </c>
      <c r="X17" s="1677"/>
      <c r="Y17" s="1677"/>
      <c r="Z17" s="1684" t="s">
        <v>2033</v>
      </c>
      <c r="AA17" s="1683"/>
      <c r="AB17" s="1677"/>
      <c r="AC17" s="1682"/>
      <c r="AD17" s="1681"/>
      <c r="AE17" s="1677" t="s">
        <v>35</v>
      </c>
      <c r="AF17" s="1677">
        <v>5</v>
      </c>
      <c r="AG17" s="1680">
        <v>6.375</v>
      </c>
      <c r="AH17" s="1677">
        <v>6</v>
      </c>
      <c r="AI17" s="1680">
        <v>8</v>
      </c>
      <c r="AJ17" s="1680">
        <v>0</v>
      </c>
      <c r="AK17" s="1680">
        <v>5</v>
      </c>
      <c r="AL17" s="1679">
        <v>5.375</v>
      </c>
      <c r="AM17" s="1678"/>
      <c r="AN17" s="1677"/>
      <c r="AO17" s="1677">
        <v>5</v>
      </c>
      <c r="AP17" s="1679">
        <v>13</v>
      </c>
      <c r="AQ17" s="1678">
        <v>4</v>
      </c>
      <c r="AR17" s="1677"/>
      <c r="AS17" s="1677">
        <v>1.75</v>
      </c>
      <c r="AT17" s="1679"/>
      <c r="AU17" s="1678"/>
      <c r="AV17" s="1677"/>
      <c r="AW17" s="1677"/>
      <c r="AX17" s="1679"/>
      <c r="AY17" s="1678"/>
      <c r="AZ17" s="1677"/>
      <c r="BA17" s="1677"/>
      <c r="BB17" s="1676"/>
      <c r="BC17" s="1676"/>
      <c r="BD17" s="1676"/>
      <c r="BE17" s="1676"/>
      <c r="BF17" s="1676"/>
      <c r="BG17" s="1676"/>
      <c r="BH17" s="1676"/>
      <c r="BI17" s="1676"/>
      <c r="BJ17" s="1675">
        <v>1</v>
      </c>
    </row>
    <row r="18" spans="1:62" x14ac:dyDescent="0.2">
      <c r="A18" s="1688" t="s">
        <v>1280</v>
      </c>
      <c r="B18" s="1677">
        <v>1</v>
      </c>
      <c r="C18" s="1677" t="s">
        <v>1957</v>
      </c>
      <c r="D18" s="1682">
        <v>57</v>
      </c>
      <c r="E18" s="1681">
        <v>2.75</v>
      </c>
      <c r="F18" s="1677">
        <v>11.125</v>
      </c>
      <c r="G18" s="1687">
        <v>0</v>
      </c>
      <c r="H18" s="1686">
        <v>1.75</v>
      </c>
      <c r="I18" s="1687" t="s">
        <v>114</v>
      </c>
      <c r="J18" s="1686">
        <v>0</v>
      </c>
      <c r="K18" s="1677">
        <v>1.125</v>
      </c>
      <c r="L18" s="1677" t="s">
        <v>114</v>
      </c>
      <c r="M18" s="1677">
        <v>7.5</v>
      </c>
      <c r="N18" s="1687">
        <v>7.5</v>
      </c>
      <c r="O18" s="1686">
        <v>0</v>
      </c>
      <c r="P18" s="1687">
        <v>6.75</v>
      </c>
      <c r="Q18" s="1686">
        <v>0</v>
      </c>
      <c r="R18" s="1677">
        <v>1</v>
      </c>
      <c r="S18" s="1677">
        <v>0</v>
      </c>
      <c r="T18" s="1677">
        <v>6.25</v>
      </c>
      <c r="U18" s="1685">
        <v>0</v>
      </c>
      <c r="V18" s="1685">
        <v>6</v>
      </c>
      <c r="W18" s="1677">
        <v>5</v>
      </c>
      <c r="X18" s="1677"/>
      <c r="Y18" s="1677"/>
      <c r="Z18" s="1684" t="s">
        <v>2035</v>
      </c>
      <c r="AA18" s="1683"/>
      <c r="AB18" s="1677"/>
      <c r="AC18" s="1682"/>
      <c r="AD18" s="1681"/>
      <c r="AE18" s="1677" t="s">
        <v>34</v>
      </c>
      <c r="AF18" s="1677">
        <v>7</v>
      </c>
      <c r="AG18" s="1680">
        <v>10</v>
      </c>
      <c r="AH18" s="1677">
        <v>5</v>
      </c>
      <c r="AI18" s="1680">
        <v>8</v>
      </c>
      <c r="AJ18" s="1680">
        <v>0</v>
      </c>
      <c r="AK18" s="1680">
        <v>9</v>
      </c>
      <c r="AL18" s="1679">
        <v>1.875</v>
      </c>
      <c r="AM18" s="1678"/>
      <c r="AN18" s="1677"/>
      <c r="AO18" s="1677">
        <v>5</v>
      </c>
      <c r="AP18" s="1679">
        <v>13</v>
      </c>
      <c r="AQ18" s="1678">
        <v>4</v>
      </c>
      <c r="AR18" s="1677">
        <v>1.75</v>
      </c>
      <c r="AS18" s="1677"/>
      <c r="AT18" s="1679"/>
      <c r="AU18" s="1678"/>
      <c r="AV18" s="1677"/>
      <c r="AW18" s="1677"/>
      <c r="AX18" s="1679"/>
      <c r="AY18" s="1678"/>
      <c r="AZ18" s="1677"/>
      <c r="BA18" s="1677"/>
      <c r="BB18" s="1676"/>
      <c r="BC18" s="1676"/>
      <c r="BD18" s="1676"/>
      <c r="BE18" s="1676"/>
      <c r="BF18" s="1676"/>
      <c r="BG18" s="1676"/>
      <c r="BH18" s="1676"/>
      <c r="BI18" s="1676"/>
      <c r="BJ18" s="1675">
        <v>2</v>
      </c>
    </row>
    <row r="19" spans="1:62" x14ac:dyDescent="0.2">
      <c r="A19" s="1688"/>
      <c r="B19" s="1677"/>
      <c r="C19" s="1677"/>
      <c r="D19" s="1682"/>
      <c r="E19" s="1681"/>
      <c r="F19" s="1677"/>
      <c r="G19" s="1687"/>
      <c r="H19" s="1686"/>
      <c r="I19" s="1687"/>
      <c r="J19" s="1686"/>
      <c r="K19" s="1677"/>
      <c r="L19" s="1677"/>
      <c r="M19" s="1677"/>
      <c r="N19" s="1687"/>
      <c r="O19" s="1686"/>
      <c r="P19" s="1687"/>
      <c r="Q19" s="1686"/>
      <c r="R19" s="1677"/>
      <c r="S19" s="1677"/>
      <c r="T19" s="1677"/>
      <c r="U19" s="1685"/>
      <c r="V19" s="1685"/>
      <c r="W19" s="1677"/>
      <c r="X19" s="1677"/>
      <c r="Y19" s="1677"/>
      <c r="Z19" s="1684"/>
      <c r="AA19" s="1683"/>
      <c r="AB19" s="1677"/>
      <c r="AC19" s="1682"/>
      <c r="AD19" s="1681"/>
      <c r="AE19" s="1677" t="s">
        <v>1703</v>
      </c>
      <c r="AF19" s="1677">
        <v>7</v>
      </c>
      <c r="AG19" s="1680">
        <v>10</v>
      </c>
      <c r="AH19" s="1677">
        <v>6</v>
      </c>
      <c r="AI19" s="1680">
        <v>8</v>
      </c>
      <c r="AJ19" s="1680">
        <v>0</v>
      </c>
      <c r="AK19" s="1680">
        <v>1</v>
      </c>
      <c r="AL19" s="1679">
        <v>1.875</v>
      </c>
      <c r="AM19" s="1678"/>
      <c r="AN19" s="1677"/>
      <c r="AO19" s="1677"/>
      <c r="AP19" s="1679"/>
      <c r="AQ19" s="1678"/>
      <c r="AR19" s="1677"/>
      <c r="AS19" s="1677"/>
      <c r="AT19" s="1679"/>
      <c r="AU19" s="1678"/>
      <c r="AV19" s="1677"/>
      <c r="AW19" s="1677"/>
      <c r="AX19" s="1679"/>
      <c r="AY19" s="1678"/>
      <c r="AZ19" s="1677"/>
      <c r="BA19" s="1677"/>
      <c r="BB19" s="1676"/>
      <c r="BC19" s="1676"/>
      <c r="BD19" s="1676"/>
      <c r="BE19" s="1676"/>
      <c r="BF19" s="1676"/>
      <c r="BG19" s="1676"/>
      <c r="BH19" s="1676"/>
      <c r="BI19" s="1676"/>
      <c r="BJ19" s="1675"/>
    </row>
    <row r="20" spans="1:62" x14ac:dyDescent="0.2">
      <c r="A20" s="1688" t="s">
        <v>1281</v>
      </c>
      <c r="B20" s="1677">
        <v>1</v>
      </c>
      <c r="C20" s="1677" t="s">
        <v>1954</v>
      </c>
      <c r="D20" s="1682">
        <v>51</v>
      </c>
      <c r="E20" s="1681">
        <v>11.5</v>
      </c>
      <c r="F20" s="1677">
        <v>11.125</v>
      </c>
      <c r="G20" s="1687">
        <v>0</v>
      </c>
      <c r="H20" s="1686">
        <v>1.75</v>
      </c>
      <c r="I20" s="1687" t="s">
        <v>114</v>
      </c>
      <c r="J20" s="1686">
        <v>0</v>
      </c>
      <c r="K20" s="1677">
        <v>1.75</v>
      </c>
      <c r="L20" s="1677" t="s">
        <v>114</v>
      </c>
      <c r="M20" s="1677">
        <v>7.5</v>
      </c>
      <c r="N20" s="1687">
        <v>7.5</v>
      </c>
      <c r="O20" s="1686">
        <v>0</v>
      </c>
      <c r="P20" s="1687">
        <v>6.75</v>
      </c>
      <c r="Q20" s="1686">
        <v>0</v>
      </c>
      <c r="R20" s="1677">
        <v>6.75</v>
      </c>
      <c r="S20" s="1677">
        <v>0</v>
      </c>
      <c r="T20" s="1677">
        <v>6.25</v>
      </c>
      <c r="U20" s="1685">
        <v>0</v>
      </c>
      <c r="V20" s="1685">
        <v>6.25</v>
      </c>
      <c r="W20" s="1677">
        <v>5</v>
      </c>
      <c r="X20" s="1677"/>
      <c r="Y20" s="1677"/>
      <c r="Z20" s="1684" t="s">
        <v>2036</v>
      </c>
      <c r="AA20" s="1683"/>
      <c r="AB20" s="1677"/>
      <c r="AC20" s="1682"/>
      <c r="AD20" s="1681"/>
      <c r="AE20" s="1677" t="s">
        <v>35</v>
      </c>
      <c r="AF20" s="1677">
        <v>3</v>
      </c>
      <c r="AG20" s="1680">
        <v>10</v>
      </c>
      <c r="AH20" s="1677">
        <v>5</v>
      </c>
      <c r="AI20" s="1680">
        <v>8</v>
      </c>
      <c r="AJ20" s="1680">
        <v>0</v>
      </c>
      <c r="AK20" s="1680">
        <v>7</v>
      </c>
      <c r="AL20" s="1679">
        <v>10</v>
      </c>
      <c r="AM20" s="1678"/>
      <c r="AN20" s="1677"/>
      <c r="AO20" s="1677">
        <v>5</v>
      </c>
      <c r="AP20" s="1679">
        <v>13</v>
      </c>
      <c r="AQ20" s="1678">
        <v>4</v>
      </c>
      <c r="AR20" s="1677">
        <v>1.75</v>
      </c>
      <c r="AS20" s="1677"/>
      <c r="AT20" s="1679"/>
      <c r="AU20" s="1678"/>
      <c r="AV20" s="1677"/>
      <c r="AW20" s="1677"/>
      <c r="AX20" s="1679"/>
      <c r="AY20" s="1678"/>
      <c r="AZ20" s="1677"/>
      <c r="BA20" s="1677"/>
      <c r="BB20" s="1676"/>
      <c r="BC20" s="1676"/>
      <c r="BD20" s="1676"/>
      <c r="BE20" s="1676"/>
      <c r="BF20" s="1676"/>
      <c r="BG20" s="1676"/>
      <c r="BH20" s="1676"/>
      <c r="BI20" s="1676"/>
      <c r="BJ20" s="1675">
        <v>1</v>
      </c>
    </row>
    <row r="21" spans="1:62" x14ac:dyDescent="0.2">
      <c r="A21" s="1688" t="s">
        <v>1282</v>
      </c>
      <c r="B21" s="1677">
        <v>8</v>
      </c>
      <c r="C21" s="1677" t="s">
        <v>1954</v>
      </c>
      <c r="D21" s="1682">
        <v>51</v>
      </c>
      <c r="E21" s="1681">
        <v>11.5</v>
      </c>
      <c r="F21" s="1677">
        <v>11.125</v>
      </c>
      <c r="G21" s="1687">
        <v>0</v>
      </c>
      <c r="H21" s="1686">
        <v>1.75</v>
      </c>
      <c r="I21" s="1687" t="s">
        <v>114</v>
      </c>
      <c r="J21" s="1686">
        <v>0</v>
      </c>
      <c r="K21" s="1677">
        <v>1.75</v>
      </c>
      <c r="L21" s="1677" t="s">
        <v>114</v>
      </c>
      <c r="M21" s="1677">
        <v>7.5</v>
      </c>
      <c r="N21" s="1687">
        <v>7.5</v>
      </c>
      <c r="O21" s="1686">
        <v>0</v>
      </c>
      <c r="P21" s="1687">
        <v>6.75</v>
      </c>
      <c r="Q21" s="1686">
        <v>0</v>
      </c>
      <c r="R21" s="1677">
        <v>6.75</v>
      </c>
      <c r="S21" s="1677">
        <v>0</v>
      </c>
      <c r="T21" s="1677">
        <v>6.25</v>
      </c>
      <c r="U21" s="1685">
        <v>0</v>
      </c>
      <c r="V21" s="1685">
        <v>6.25</v>
      </c>
      <c r="W21" s="1677">
        <v>5</v>
      </c>
      <c r="X21" s="1677"/>
      <c r="Y21" s="1677"/>
      <c r="Z21" s="1684" t="s">
        <v>2028</v>
      </c>
      <c r="AA21" s="1683"/>
      <c r="AB21" s="1677"/>
      <c r="AC21" s="1682"/>
      <c r="AD21" s="1681"/>
      <c r="AE21" s="1677" t="s">
        <v>35</v>
      </c>
      <c r="AF21" s="1677">
        <v>3</v>
      </c>
      <c r="AG21" s="1680">
        <v>10</v>
      </c>
      <c r="AH21" s="1677">
        <v>5</v>
      </c>
      <c r="AI21" s="1680">
        <v>8</v>
      </c>
      <c r="AJ21" s="1680">
        <v>0</v>
      </c>
      <c r="AK21" s="1680">
        <v>7</v>
      </c>
      <c r="AL21" s="1679">
        <v>10</v>
      </c>
      <c r="AM21" s="1678"/>
      <c r="AN21" s="1677"/>
      <c r="AO21" s="1677">
        <v>5</v>
      </c>
      <c r="AP21" s="1679">
        <v>13</v>
      </c>
      <c r="AQ21" s="1678">
        <v>4</v>
      </c>
      <c r="AR21" s="1677"/>
      <c r="AS21" s="1677"/>
      <c r="AT21" s="1679" t="s">
        <v>1061</v>
      </c>
      <c r="AU21" s="1678" t="s">
        <v>1956</v>
      </c>
      <c r="AV21" s="1677"/>
      <c r="AW21" s="1677" t="s">
        <v>35</v>
      </c>
      <c r="AX21" s="1679"/>
      <c r="AY21" s="1678"/>
      <c r="AZ21" s="1677"/>
      <c r="BA21" s="1677"/>
      <c r="BB21" s="1676"/>
      <c r="BC21" s="1676"/>
      <c r="BD21" s="1676"/>
      <c r="BE21" s="1676"/>
      <c r="BF21" s="1676"/>
      <c r="BG21" s="1676"/>
      <c r="BH21" s="1676"/>
      <c r="BI21" s="1676"/>
      <c r="BJ21" s="1675">
        <v>1</v>
      </c>
    </row>
    <row r="22" spans="1:62" x14ac:dyDescent="0.2">
      <c r="A22" s="1688" t="s">
        <v>1283</v>
      </c>
      <c r="B22" s="1677">
        <v>4</v>
      </c>
      <c r="C22" s="1677" t="s">
        <v>1954</v>
      </c>
      <c r="D22" s="1682">
        <v>51</v>
      </c>
      <c r="E22" s="1681">
        <v>11.5</v>
      </c>
      <c r="F22" s="1677">
        <v>11.125</v>
      </c>
      <c r="G22" s="1687">
        <v>0</v>
      </c>
      <c r="H22" s="1686">
        <v>1.75</v>
      </c>
      <c r="I22" s="1687" t="s">
        <v>114</v>
      </c>
      <c r="J22" s="1686">
        <v>0</v>
      </c>
      <c r="K22" s="1677">
        <v>1.75</v>
      </c>
      <c r="L22" s="1677" t="s">
        <v>114</v>
      </c>
      <c r="M22" s="1677">
        <v>7.5</v>
      </c>
      <c r="N22" s="1687">
        <v>7.5</v>
      </c>
      <c r="O22" s="1686">
        <v>0</v>
      </c>
      <c r="P22" s="1687">
        <v>6.75</v>
      </c>
      <c r="Q22" s="1686">
        <v>0</v>
      </c>
      <c r="R22" s="1677">
        <v>6.75</v>
      </c>
      <c r="S22" s="1677">
        <v>0</v>
      </c>
      <c r="T22" s="1677">
        <v>6.25</v>
      </c>
      <c r="U22" s="1685">
        <v>0</v>
      </c>
      <c r="V22" s="1685">
        <v>6.25</v>
      </c>
      <c r="W22" s="1677">
        <v>5</v>
      </c>
      <c r="X22" s="1677"/>
      <c r="Y22" s="1677"/>
      <c r="Z22" s="1684" t="s">
        <v>2037</v>
      </c>
      <c r="AA22" s="1683"/>
      <c r="AB22" s="1677"/>
      <c r="AC22" s="1682"/>
      <c r="AD22" s="1681"/>
      <c r="AE22" s="1677" t="s">
        <v>35</v>
      </c>
      <c r="AF22" s="1677">
        <v>3</v>
      </c>
      <c r="AG22" s="1680">
        <v>10</v>
      </c>
      <c r="AH22" s="1677">
        <v>5</v>
      </c>
      <c r="AI22" s="1680">
        <v>8</v>
      </c>
      <c r="AJ22" s="1680">
        <v>0</v>
      </c>
      <c r="AK22" s="1680">
        <v>7</v>
      </c>
      <c r="AL22" s="1679">
        <v>10</v>
      </c>
      <c r="AM22" s="1678"/>
      <c r="AN22" s="1677"/>
      <c r="AO22" s="1677">
        <v>5</v>
      </c>
      <c r="AP22" s="1679">
        <v>13</v>
      </c>
      <c r="AQ22" s="1678">
        <v>4</v>
      </c>
      <c r="AR22" s="1677"/>
      <c r="AS22" s="1677">
        <v>1.75</v>
      </c>
      <c r="AT22" s="1679" t="s">
        <v>1061</v>
      </c>
      <c r="AU22" s="1678" t="s">
        <v>1956</v>
      </c>
      <c r="AV22" s="1677"/>
      <c r="AW22" s="1677" t="s">
        <v>35</v>
      </c>
      <c r="AX22" s="1679"/>
      <c r="AY22" s="1678"/>
      <c r="AZ22" s="1677"/>
      <c r="BA22" s="1677"/>
      <c r="BB22" s="1676"/>
      <c r="BC22" s="1676"/>
      <c r="BD22" s="1676"/>
      <c r="BE22" s="1676"/>
      <c r="BF22" s="1676"/>
      <c r="BG22" s="1676"/>
      <c r="BH22" s="1676"/>
      <c r="BI22" s="1676"/>
      <c r="BJ22" s="1675">
        <v>1</v>
      </c>
    </row>
    <row r="23" spans="1:62" x14ac:dyDescent="0.2">
      <c r="A23" s="1688" t="s">
        <v>1284</v>
      </c>
      <c r="B23" s="1677">
        <v>4</v>
      </c>
      <c r="C23" s="1677" t="s">
        <v>1954</v>
      </c>
      <c r="D23" s="1682">
        <v>51</v>
      </c>
      <c r="E23" s="1681">
        <v>11.5</v>
      </c>
      <c r="F23" s="1677">
        <v>11.125</v>
      </c>
      <c r="G23" s="1687">
        <v>0</v>
      </c>
      <c r="H23" s="1686">
        <v>1.75</v>
      </c>
      <c r="I23" s="1687" t="s">
        <v>114</v>
      </c>
      <c r="J23" s="1686">
        <v>0</v>
      </c>
      <c r="K23" s="1677">
        <v>1.75</v>
      </c>
      <c r="L23" s="1677" t="s">
        <v>114</v>
      </c>
      <c r="M23" s="1677">
        <v>7.5</v>
      </c>
      <c r="N23" s="1687">
        <v>7.5</v>
      </c>
      <c r="O23" s="1686">
        <v>0</v>
      </c>
      <c r="P23" s="1687">
        <v>6.75</v>
      </c>
      <c r="Q23" s="1686">
        <v>0</v>
      </c>
      <c r="R23" s="1677">
        <v>6.75</v>
      </c>
      <c r="S23" s="1677">
        <v>0</v>
      </c>
      <c r="T23" s="1677">
        <v>6.25</v>
      </c>
      <c r="U23" s="1685">
        <v>0</v>
      </c>
      <c r="V23" s="1685">
        <v>6.25</v>
      </c>
      <c r="W23" s="1677">
        <v>5</v>
      </c>
      <c r="X23" s="1677"/>
      <c r="Y23" s="1677"/>
      <c r="Z23" s="1684" t="s">
        <v>2038</v>
      </c>
      <c r="AA23" s="1683"/>
      <c r="AB23" s="1677"/>
      <c r="AC23" s="1682"/>
      <c r="AD23" s="1681"/>
      <c r="AE23" s="1677" t="s">
        <v>35</v>
      </c>
      <c r="AF23" s="1677">
        <v>3</v>
      </c>
      <c r="AG23" s="1680">
        <v>10</v>
      </c>
      <c r="AH23" s="1677">
        <v>5</v>
      </c>
      <c r="AI23" s="1680">
        <v>8</v>
      </c>
      <c r="AJ23" s="1680">
        <v>0</v>
      </c>
      <c r="AK23" s="1680">
        <v>7</v>
      </c>
      <c r="AL23" s="1679">
        <v>10</v>
      </c>
      <c r="AM23" s="1678"/>
      <c r="AN23" s="1677"/>
      <c r="AO23" s="1677">
        <v>5</v>
      </c>
      <c r="AP23" s="1679">
        <v>13</v>
      </c>
      <c r="AQ23" s="1678">
        <v>4</v>
      </c>
      <c r="AR23" s="1677"/>
      <c r="AS23" s="1677">
        <v>1.75</v>
      </c>
      <c r="AT23" s="1679" t="s">
        <v>1061</v>
      </c>
      <c r="AU23" s="1678" t="s">
        <v>1956</v>
      </c>
      <c r="AV23" s="1677"/>
      <c r="AW23" s="1677" t="s">
        <v>35</v>
      </c>
      <c r="AX23" s="1679"/>
      <c r="AY23" s="1678"/>
      <c r="AZ23" s="1677"/>
      <c r="BA23" s="1677"/>
      <c r="BB23" s="1676"/>
      <c r="BC23" s="1676"/>
      <c r="BD23" s="1676"/>
      <c r="BE23" s="1676"/>
      <c r="BF23" s="1676"/>
      <c r="BG23" s="1676"/>
      <c r="BH23" s="1676"/>
      <c r="BI23" s="1676"/>
      <c r="BJ23" s="1675">
        <v>1</v>
      </c>
    </row>
    <row r="24" spans="1:62" x14ac:dyDescent="0.2">
      <c r="A24" s="1688" t="s">
        <v>1285</v>
      </c>
      <c r="B24" s="1677">
        <v>4</v>
      </c>
      <c r="C24" s="1677" t="s">
        <v>1954</v>
      </c>
      <c r="D24" s="1682">
        <v>51</v>
      </c>
      <c r="E24" s="1681">
        <v>11.5</v>
      </c>
      <c r="F24" s="1677">
        <v>11.125</v>
      </c>
      <c r="G24" s="1687">
        <v>0</v>
      </c>
      <c r="H24" s="1686">
        <v>1.75</v>
      </c>
      <c r="I24" s="1687" t="s">
        <v>114</v>
      </c>
      <c r="J24" s="1686">
        <v>0</v>
      </c>
      <c r="K24" s="1677">
        <v>1.75</v>
      </c>
      <c r="L24" s="1677" t="s">
        <v>114</v>
      </c>
      <c r="M24" s="1677">
        <v>7.5</v>
      </c>
      <c r="N24" s="1687">
        <v>7.5</v>
      </c>
      <c r="O24" s="1686">
        <v>0</v>
      </c>
      <c r="P24" s="1687">
        <v>6.75</v>
      </c>
      <c r="Q24" s="1686">
        <v>0</v>
      </c>
      <c r="R24" s="1677">
        <v>6.75</v>
      </c>
      <c r="S24" s="1677">
        <v>0</v>
      </c>
      <c r="T24" s="1677">
        <v>6.25</v>
      </c>
      <c r="U24" s="1685">
        <v>0</v>
      </c>
      <c r="V24" s="1685">
        <v>6.25</v>
      </c>
      <c r="W24" s="1677">
        <v>5</v>
      </c>
      <c r="X24" s="1677"/>
      <c r="Y24" s="1677"/>
      <c r="Z24" s="1684" t="s">
        <v>2039</v>
      </c>
      <c r="AA24" s="1683"/>
      <c r="AB24" s="1677"/>
      <c r="AC24" s="1682"/>
      <c r="AD24" s="1681"/>
      <c r="AE24" s="1677" t="s">
        <v>35</v>
      </c>
      <c r="AF24" s="1677">
        <v>3</v>
      </c>
      <c r="AG24" s="1680">
        <v>10</v>
      </c>
      <c r="AH24" s="1677">
        <v>5</v>
      </c>
      <c r="AI24" s="1680">
        <v>8</v>
      </c>
      <c r="AJ24" s="1680">
        <v>0</v>
      </c>
      <c r="AK24" s="1680">
        <v>7</v>
      </c>
      <c r="AL24" s="1679">
        <v>10</v>
      </c>
      <c r="AM24" s="1678"/>
      <c r="AN24" s="1677"/>
      <c r="AO24" s="1677">
        <v>5</v>
      </c>
      <c r="AP24" s="1679">
        <v>13</v>
      </c>
      <c r="AQ24" s="1678">
        <v>4</v>
      </c>
      <c r="AR24" s="1677"/>
      <c r="AS24" s="1677">
        <v>1.75</v>
      </c>
      <c r="AT24" s="1679" t="s">
        <v>1061</v>
      </c>
      <c r="AU24" s="1678" t="s">
        <v>1956</v>
      </c>
      <c r="AV24" s="1677"/>
      <c r="AW24" s="1677" t="s">
        <v>35</v>
      </c>
      <c r="AX24" s="1679"/>
      <c r="AY24" s="1678"/>
      <c r="AZ24" s="1677"/>
      <c r="BA24" s="1677"/>
      <c r="BB24" s="1676"/>
      <c r="BC24" s="1676"/>
      <c r="BD24" s="1676"/>
      <c r="BE24" s="1676"/>
      <c r="BF24" s="1676"/>
      <c r="BG24" s="1676"/>
      <c r="BH24" s="1676"/>
      <c r="BI24" s="1676"/>
      <c r="BJ24" s="1675">
        <v>1</v>
      </c>
    </row>
    <row r="25" spans="1:62" x14ac:dyDescent="0.2">
      <c r="A25" s="1688" t="s">
        <v>1286</v>
      </c>
      <c r="B25" s="1677">
        <v>3</v>
      </c>
      <c r="C25" s="1677" t="s">
        <v>1954</v>
      </c>
      <c r="D25" s="1682">
        <v>51</v>
      </c>
      <c r="E25" s="1681">
        <v>5.75</v>
      </c>
      <c r="F25" s="1677">
        <v>11.125</v>
      </c>
      <c r="G25" s="1687"/>
      <c r="H25" s="1686"/>
      <c r="I25" s="1687"/>
      <c r="J25" s="1686">
        <v>0</v>
      </c>
      <c r="K25" s="1677">
        <v>1.75</v>
      </c>
      <c r="L25" s="1677" t="s">
        <v>114</v>
      </c>
      <c r="M25" s="1677">
        <v>7.5</v>
      </c>
      <c r="N25" s="1687">
        <v>7.5</v>
      </c>
      <c r="O25" s="1686">
        <v>0</v>
      </c>
      <c r="P25" s="1687">
        <v>1</v>
      </c>
      <c r="Q25" s="1686">
        <v>0</v>
      </c>
      <c r="R25" s="1677">
        <v>6.75</v>
      </c>
      <c r="S25" s="1677">
        <v>0</v>
      </c>
      <c r="T25" s="1677">
        <v>2</v>
      </c>
      <c r="U25" s="1685">
        <v>0</v>
      </c>
      <c r="V25" s="1685">
        <v>6.25</v>
      </c>
      <c r="W25" s="1677">
        <v>5</v>
      </c>
      <c r="X25" s="1677"/>
      <c r="Y25" s="1677"/>
      <c r="Z25" s="1684" t="s">
        <v>2040</v>
      </c>
      <c r="AA25" s="1683"/>
      <c r="AB25" s="1677"/>
      <c r="AC25" s="1682"/>
      <c r="AD25" s="1681"/>
      <c r="AE25" s="1677" t="s">
        <v>35</v>
      </c>
      <c r="AF25" s="1677">
        <v>7</v>
      </c>
      <c r="AG25" s="1680">
        <v>6</v>
      </c>
      <c r="AH25" s="1677">
        <v>5</v>
      </c>
      <c r="AI25" s="1680">
        <v>8</v>
      </c>
      <c r="AJ25" s="1680">
        <v>0</v>
      </c>
      <c r="AK25" s="1680">
        <v>3</v>
      </c>
      <c r="AL25" s="1679">
        <v>10</v>
      </c>
      <c r="AM25" s="1678"/>
      <c r="AN25" s="1677"/>
      <c r="AO25" s="1677">
        <v>5</v>
      </c>
      <c r="AP25" s="1679">
        <v>13</v>
      </c>
      <c r="AQ25" s="1678">
        <v>4</v>
      </c>
      <c r="AR25" s="1677"/>
      <c r="AS25" s="1677">
        <v>1.75</v>
      </c>
      <c r="AT25" s="1679"/>
      <c r="AU25" s="1678"/>
      <c r="AV25" s="1677"/>
      <c r="AW25" s="1677"/>
      <c r="AX25" s="1679"/>
      <c r="AY25" s="1678"/>
      <c r="AZ25" s="1677"/>
      <c r="BA25" s="1677"/>
      <c r="BB25" s="1676"/>
      <c r="BC25" s="1676"/>
      <c r="BD25" s="1676"/>
      <c r="BE25" s="1676"/>
      <c r="BF25" s="1676"/>
      <c r="BG25" s="1676"/>
      <c r="BH25" s="1676"/>
      <c r="BI25" s="1676"/>
      <c r="BJ25" s="1675">
        <v>1</v>
      </c>
    </row>
    <row r="26" spans="1:62" x14ac:dyDescent="0.2">
      <c r="A26" s="1688" t="s">
        <v>1287</v>
      </c>
      <c r="B26" s="1677">
        <v>3</v>
      </c>
      <c r="C26" s="1677" t="s">
        <v>1954</v>
      </c>
      <c r="D26" s="1682">
        <v>51</v>
      </c>
      <c r="E26" s="1681">
        <v>11.5</v>
      </c>
      <c r="F26" s="1677">
        <v>11.125</v>
      </c>
      <c r="G26" s="1687">
        <v>0</v>
      </c>
      <c r="H26" s="1686">
        <v>1.75</v>
      </c>
      <c r="I26" s="1687" t="s">
        <v>114</v>
      </c>
      <c r="J26" s="1686">
        <v>0</v>
      </c>
      <c r="K26" s="1677">
        <v>1.75</v>
      </c>
      <c r="L26" s="1677" t="s">
        <v>114</v>
      </c>
      <c r="M26" s="1677">
        <v>7.5</v>
      </c>
      <c r="N26" s="1687">
        <v>7.5</v>
      </c>
      <c r="O26" s="1686">
        <v>0</v>
      </c>
      <c r="P26" s="1687">
        <v>6.75</v>
      </c>
      <c r="Q26" s="1686">
        <v>0</v>
      </c>
      <c r="R26" s="1677">
        <v>6.75</v>
      </c>
      <c r="S26" s="1677">
        <v>0</v>
      </c>
      <c r="T26" s="1677">
        <v>6.25</v>
      </c>
      <c r="U26" s="1685">
        <v>0</v>
      </c>
      <c r="V26" s="1685">
        <v>6.25</v>
      </c>
      <c r="W26" s="1677">
        <v>5</v>
      </c>
      <c r="X26" s="1677"/>
      <c r="Y26" s="1677"/>
      <c r="Z26" s="1684" t="s">
        <v>2036</v>
      </c>
      <c r="AA26" s="1683"/>
      <c r="AB26" s="1677"/>
      <c r="AC26" s="1682"/>
      <c r="AD26" s="1681"/>
      <c r="AE26" s="1677" t="s">
        <v>35</v>
      </c>
      <c r="AF26" s="1677">
        <v>3</v>
      </c>
      <c r="AG26" s="1680">
        <v>10</v>
      </c>
      <c r="AH26" s="1677">
        <v>5</v>
      </c>
      <c r="AI26" s="1680">
        <v>8</v>
      </c>
      <c r="AJ26" s="1680">
        <v>0</v>
      </c>
      <c r="AK26" s="1680">
        <v>7</v>
      </c>
      <c r="AL26" s="1679">
        <v>10</v>
      </c>
      <c r="AM26" s="1678"/>
      <c r="AN26" s="1677"/>
      <c r="AO26" s="1677">
        <v>5</v>
      </c>
      <c r="AP26" s="1679">
        <v>13</v>
      </c>
      <c r="AQ26" s="1678">
        <v>4</v>
      </c>
      <c r="AR26" s="1677">
        <v>1.75</v>
      </c>
      <c r="AS26" s="1677"/>
      <c r="AT26" s="1679"/>
      <c r="AU26" s="1678"/>
      <c r="AV26" s="1677"/>
      <c r="AW26" s="1677"/>
      <c r="AX26" s="1679"/>
      <c r="AY26" s="1678"/>
      <c r="AZ26" s="1677"/>
      <c r="BA26" s="1677"/>
      <c r="BB26" s="1676"/>
      <c r="BC26" s="1676"/>
      <c r="BD26" s="1676"/>
      <c r="BE26" s="1676"/>
      <c r="BF26" s="1676"/>
      <c r="BG26" s="1676"/>
      <c r="BH26" s="1676"/>
      <c r="BI26" s="1676"/>
      <c r="BJ26" s="1675">
        <v>1</v>
      </c>
    </row>
    <row r="27" spans="1:62" x14ac:dyDescent="0.2">
      <c r="A27" s="1688" t="s">
        <v>1288</v>
      </c>
      <c r="B27" s="1677">
        <v>1</v>
      </c>
      <c r="C27" s="1677" t="s">
        <v>1957</v>
      </c>
      <c r="D27" s="1682">
        <v>58</v>
      </c>
      <c r="E27" s="1681">
        <v>11.375</v>
      </c>
      <c r="F27" s="1677">
        <v>11.125</v>
      </c>
      <c r="G27" s="1687">
        <v>0</v>
      </c>
      <c r="H27" s="1686">
        <v>1.75</v>
      </c>
      <c r="I27" s="1687" t="s">
        <v>114</v>
      </c>
      <c r="J27" s="1686"/>
      <c r="K27" s="1677"/>
      <c r="L27" s="1677"/>
      <c r="M27" s="1677">
        <v>7.5</v>
      </c>
      <c r="N27" s="1687">
        <v>7.5</v>
      </c>
      <c r="O27" s="1686">
        <v>0</v>
      </c>
      <c r="P27" s="1687">
        <v>6.75</v>
      </c>
      <c r="Q27" s="1686">
        <v>0</v>
      </c>
      <c r="R27" s="1677">
        <v>1</v>
      </c>
      <c r="S27" s="1677">
        <v>0</v>
      </c>
      <c r="T27" s="1677">
        <v>6.25</v>
      </c>
      <c r="U27" s="1685">
        <v>0</v>
      </c>
      <c r="V27" s="1685">
        <v>3.875</v>
      </c>
      <c r="W27" s="1677">
        <v>5</v>
      </c>
      <c r="X27" s="1677"/>
      <c r="Y27" s="1677"/>
      <c r="Z27" s="1684" t="s">
        <v>2041</v>
      </c>
      <c r="AA27" s="1683"/>
      <c r="AB27" s="1677"/>
      <c r="AC27" s="1682"/>
      <c r="AD27" s="1681"/>
      <c r="AE27" s="1677" t="s">
        <v>34</v>
      </c>
      <c r="AF27" s="1677">
        <v>7</v>
      </c>
      <c r="AG27" s="1680">
        <v>10</v>
      </c>
      <c r="AH27" s="1677">
        <v>6</v>
      </c>
      <c r="AI27" s="1680">
        <v>8</v>
      </c>
      <c r="AJ27" s="1680">
        <v>0</v>
      </c>
      <c r="AK27" s="1680">
        <v>2</v>
      </c>
      <c r="AL27" s="1679">
        <v>11.625</v>
      </c>
      <c r="AM27" s="1678"/>
      <c r="AN27" s="1677"/>
      <c r="AO27" s="1677">
        <v>5</v>
      </c>
      <c r="AP27" s="1679">
        <v>13</v>
      </c>
      <c r="AQ27" s="1678">
        <v>4</v>
      </c>
      <c r="AR27" s="1677">
        <v>1.75</v>
      </c>
      <c r="AS27" s="1677"/>
      <c r="AT27" s="1679"/>
      <c r="AU27" s="1678"/>
      <c r="AV27" s="1677"/>
      <c r="AW27" s="1677"/>
      <c r="AX27" s="1679"/>
      <c r="AY27" s="1678"/>
      <c r="AZ27" s="1677"/>
      <c r="BA27" s="1677"/>
      <c r="BB27" s="1676"/>
      <c r="BC27" s="1676"/>
      <c r="BD27" s="1676"/>
      <c r="BE27" s="1676"/>
      <c r="BF27" s="1676"/>
      <c r="BG27" s="1676"/>
      <c r="BH27" s="1676"/>
      <c r="BI27" s="1676"/>
      <c r="BJ27" s="1675">
        <v>2</v>
      </c>
    </row>
    <row r="28" spans="1:62" x14ac:dyDescent="0.2">
      <c r="A28" s="1688"/>
      <c r="B28" s="1677"/>
      <c r="C28" s="1677"/>
      <c r="D28" s="1682"/>
      <c r="E28" s="1681"/>
      <c r="F28" s="1677"/>
      <c r="G28" s="1687"/>
      <c r="H28" s="1686"/>
      <c r="I28" s="1687"/>
      <c r="J28" s="1686"/>
      <c r="K28" s="1677"/>
      <c r="L28" s="1677"/>
      <c r="M28" s="1677"/>
      <c r="N28" s="1687"/>
      <c r="O28" s="1686"/>
      <c r="P28" s="1687"/>
      <c r="Q28" s="1686"/>
      <c r="R28" s="1677"/>
      <c r="S28" s="1677"/>
      <c r="T28" s="1677"/>
      <c r="U28" s="1685"/>
      <c r="V28" s="1685"/>
      <c r="W28" s="1677"/>
      <c r="X28" s="1677"/>
      <c r="Y28" s="1677"/>
      <c r="Z28" s="1684"/>
      <c r="AA28" s="1683"/>
      <c r="AB28" s="1677"/>
      <c r="AC28" s="1682"/>
      <c r="AD28" s="1681"/>
      <c r="AE28" s="1677" t="s">
        <v>1703</v>
      </c>
      <c r="AF28" s="1677">
        <v>7</v>
      </c>
      <c r="AG28" s="1680">
        <v>10</v>
      </c>
      <c r="AH28" s="1677">
        <v>5</v>
      </c>
      <c r="AI28" s="1680">
        <v>8</v>
      </c>
      <c r="AJ28" s="1680">
        <v>0</v>
      </c>
      <c r="AK28" s="1680">
        <v>10</v>
      </c>
      <c r="AL28" s="1679">
        <v>11.625</v>
      </c>
      <c r="AM28" s="1678"/>
      <c r="AN28" s="1677"/>
      <c r="AO28" s="1677"/>
      <c r="AP28" s="1679"/>
      <c r="AQ28" s="1678"/>
      <c r="AR28" s="1677"/>
      <c r="AS28" s="1677"/>
      <c r="AT28" s="1679"/>
      <c r="AU28" s="1678"/>
      <c r="AV28" s="1677"/>
      <c r="AW28" s="1677"/>
      <c r="AX28" s="1679"/>
      <c r="AY28" s="1678"/>
      <c r="AZ28" s="1677"/>
      <c r="BA28" s="1677"/>
      <c r="BB28" s="1676"/>
      <c r="BC28" s="1676"/>
      <c r="BD28" s="1676"/>
      <c r="BE28" s="1676"/>
      <c r="BF28" s="1676"/>
      <c r="BG28" s="1676"/>
      <c r="BH28" s="1676"/>
      <c r="BI28" s="1676"/>
      <c r="BJ28" s="1675"/>
    </row>
    <row r="29" spans="1:62" x14ac:dyDescent="0.2">
      <c r="A29" s="1688" t="s">
        <v>1289</v>
      </c>
      <c r="B29" s="1677">
        <v>1</v>
      </c>
      <c r="C29" s="1677" t="s">
        <v>1954</v>
      </c>
      <c r="D29" s="1682">
        <v>51</v>
      </c>
      <c r="E29" s="1681">
        <v>1.5</v>
      </c>
      <c r="F29" s="1677">
        <v>11.125</v>
      </c>
      <c r="G29" s="1687">
        <v>0</v>
      </c>
      <c r="H29" s="1686">
        <v>1.75</v>
      </c>
      <c r="I29" s="1687" t="s">
        <v>114</v>
      </c>
      <c r="J29" s="1686"/>
      <c r="K29" s="1677"/>
      <c r="L29" s="1677"/>
      <c r="M29" s="1677">
        <v>7.5</v>
      </c>
      <c r="N29" s="1687">
        <v>7.5</v>
      </c>
      <c r="O29" s="1686">
        <v>0</v>
      </c>
      <c r="P29" s="1687">
        <v>6.75</v>
      </c>
      <c r="Q29" s="1686">
        <v>0</v>
      </c>
      <c r="R29" s="1677">
        <v>1</v>
      </c>
      <c r="S29" s="1677">
        <v>0</v>
      </c>
      <c r="T29" s="1677">
        <v>6.25</v>
      </c>
      <c r="U29" s="1685">
        <v>0</v>
      </c>
      <c r="V29" s="1685">
        <v>3</v>
      </c>
      <c r="W29" s="1677">
        <v>5</v>
      </c>
      <c r="X29" s="1677"/>
      <c r="Y29" s="1677"/>
      <c r="Z29" s="1684" t="s">
        <v>2032</v>
      </c>
      <c r="AA29" s="1683"/>
      <c r="AB29" s="1677"/>
      <c r="AC29" s="1682"/>
      <c r="AD29" s="1681"/>
      <c r="AE29" s="1677" t="s">
        <v>35</v>
      </c>
      <c r="AF29" s="1677">
        <v>3</v>
      </c>
      <c r="AG29" s="1680">
        <v>10</v>
      </c>
      <c r="AH29" s="1677">
        <v>5</v>
      </c>
      <c r="AI29" s="1680">
        <v>8</v>
      </c>
      <c r="AJ29" s="1680">
        <v>0</v>
      </c>
      <c r="AK29" s="1680">
        <v>7</v>
      </c>
      <c r="AL29" s="1679">
        <v>1.75</v>
      </c>
      <c r="AM29" s="1678"/>
      <c r="AN29" s="1677"/>
      <c r="AO29" s="1677">
        <v>5</v>
      </c>
      <c r="AP29" s="1679">
        <v>13</v>
      </c>
      <c r="AQ29" s="1678">
        <v>4</v>
      </c>
      <c r="AR29" s="1677"/>
      <c r="AS29" s="1677"/>
      <c r="AT29" s="1679" t="s">
        <v>1061</v>
      </c>
      <c r="AU29" s="1678" t="s">
        <v>1956</v>
      </c>
      <c r="AV29" s="1677"/>
      <c r="AW29" s="1677" t="s">
        <v>35</v>
      </c>
      <c r="AX29" s="1679"/>
      <c r="AY29" s="1678"/>
      <c r="AZ29" s="1677"/>
      <c r="BA29" s="1677"/>
      <c r="BB29" s="1676"/>
      <c r="BC29" s="1676"/>
      <c r="BD29" s="1676"/>
      <c r="BE29" s="1676"/>
      <c r="BF29" s="1676"/>
      <c r="BG29" s="1676"/>
      <c r="BH29" s="1676"/>
      <c r="BI29" s="1676"/>
      <c r="BJ29" s="1675">
        <v>1</v>
      </c>
    </row>
    <row r="30" spans="1:62" x14ac:dyDescent="0.2">
      <c r="A30" s="1688" t="s">
        <v>1290</v>
      </c>
      <c r="B30" s="1677">
        <v>1</v>
      </c>
      <c r="C30" s="1677" t="s">
        <v>1954</v>
      </c>
      <c r="D30" s="1682">
        <v>51</v>
      </c>
      <c r="E30" s="1681">
        <v>11.5</v>
      </c>
      <c r="F30" s="1677">
        <v>11.125</v>
      </c>
      <c r="G30" s="1687">
        <v>0</v>
      </c>
      <c r="H30" s="1686">
        <v>1.75</v>
      </c>
      <c r="I30" s="1687" t="s">
        <v>114</v>
      </c>
      <c r="J30" s="1686">
        <v>0</v>
      </c>
      <c r="K30" s="1677">
        <v>1.75</v>
      </c>
      <c r="L30" s="1677" t="s">
        <v>114</v>
      </c>
      <c r="M30" s="1677">
        <v>7.5</v>
      </c>
      <c r="N30" s="1687">
        <v>7.5</v>
      </c>
      <c r="O30" s="1686">
        <v>0</v>
      </c>
      <c r="P30" s="1687">
        <v>6.75</v>
      </c>
      <c r="Q30" s="1686">
        <v>0</v>
      </c>
      <c r="R30" s="1677">
        <v>6.75</v>
      </c>
      <c r="S30" s="1677">
        <v>0</v>
      </c>
      <c r="T30" s="1677">
        <v>6.25</v>
      </c>
      <c r="U30" s="1685">
        <v>0</v>
      </c>
      <c r="V30" s="1685">
        <v>6.25</v>
      </c>
      <c r="W30" s="1677">
        <v>5</v>
      </c>
      <c r="X30" s="1677"/>
      <c r="Y30" s="1677"/>
      <c r="Z30" s="1684" t="s">
        <v>2028</v>
      </c>
      <c r="AA30" s="1683"/>
      <c r="AB30" s="1677"/>
      <c r="AC30" s="1682"/>
      <c r="AD30" s="1681"/>
      <c r="AE30" s="1677" t="s">
        <v>35</v>
      </c>
      <c r="AF30" s="1677">
        <v>3</v>
      </c>
      <c r="AG30" s="1680">
        <v>10</v>
      </c>
      <c r="AH30" s="1677">
        <v>5</v>
      </c>
      <c r="AI30" s="1680">
        <v>8</v>
      </c>
      <c r="AJ30" s="1680">
        <v>0</v>
      </c>
      <c r="AK30" s="1680">
        <v>7</v>
      </c>
      <c r="AL30" s="1679">
        <v>10</v>
      </c>
      <c r="AM30" s="1678"/>
      <c r="AN30" s="1677"/>
      <c r="AO30" s="1677">
        <v>5</v>
      </c>
      <c r="AP30" s="1679">
        <v>13</v>
      </c>
      <c r="AQ30" s="1678">
        <v>4</v>
      </c>
      <c r="AR30" s="1677"/>
      <c r="AS30" s="1677">
        <v>1.75</v>
      </c>
      <c r="AT30" s="1679" t="s">
        <v>1061</v>
      </c>
      <c r="AU30" s="1678" t="s">
        <v>1956</v>
      </c>
      <c r="AV30" s="1677"/>
      <c r="AW30" s="1677" t="s">
        <v>35</v>
      </c>
      <c r="AX30" s="1679" t="s">
        <v>1061</v>
      </c>
      <c r="AY30" s="1678" t="s">
        <v>1958</v>
      </c>
      <c r="AZ30" s="1677"/>
      <c r="BA30" s="1677" t="s">
        <v>1703</v>
      </c>
      <c r="BB30" s="1676"/>
      <c r="BC30" s="1676"/>
      <c r="BD30" s="1676"/>
      <c r="BE30" s="1676"/>
      <c r="BF30" s="1676"/>
      <c r="BG30" s="1676"/>
      <c r="BH30" s="1676"/>
      <c r="BI30" s="1676"/>
      <c r="BJ30" s="1675">
        <v>1</v>
      </c>
    </row>
    <row r="31" spans="1:62" x14ac:dyDescent="0.2">
      <c r="A31" s="1688" t="s">
        <v>1291</v>
      </c>
      <c r="B31" s="1677">
        <v>2</v>
      </c>
      <c r="C31" s="1677" t="s">
        <v>1954</v>
      </c>
      <c r="D31" s="1682">
        <v>51</v>
      </c>
      <c r="E31" s="1681">
        <v>11.5</v>
      </c>
      <c r="F31" s="1677">
        <v>11.125</v>
      </c>
      <c r="G31" s="1687">
        <v>0</v>
      </c>
      <c r="H31" s="1686">
        <v>1.75</v>
      </c>
      <c r="I31" s="1687" t="s">
        <v>114</v>
      </c>
      <c r="J31" s="1686">
        <v>0</v>
      </c>
      <c r="K31" s="1677">
        <v>1.75</v>
      </c>
      <c r="L31" s="1677" t="s">
        <v>114</v>
      </c>
      <c r="M31" s="1677">
        <v>7.5</v>
      </c>
      <c r="N31" s="1687">
        <v>7.5</v>
      </c>
      <c r="O31" s="1686">
        <v>0</v>
      </c>
      <c r="P31" s="1687">
        <v>6.75</v>
      </c>
      <c r="Q31" s="1686">
        <v>0</v>
      </c>
      <c r="R31" s="1677">
        <v>6.75</v>
      </c>
      <c r="S31" s="1677">
        <v>0</v>
      </c>
      <c r="T31" s="1677">
        <v>6.25</v>
      </c>
      <c r="U31" s="1685">
        <v>0</v>
      </c>
      <c r="V31" s="1685">
        <v>6.25</v>
      </c>
      <c r="W31" s="1677">
        <v>5</v>
      </c>
      <c r="X31" s="1677"/>
      <c r="Y31" s="1677"/>
      <c r="Z31" s="1684" t="s">
        <v>2042</v>
      </c>
      <c r="AA31" s="1683"/>
      <c r="AB31" s="1677"/>
      <c r="AC31" s="1682"/>
      <c r="AD31" s="1681"/>
      <c r="AE31" s="1677" t="s">
        <v>35</v>
      </c>
      <c r="AF31" s="1677">
        <v>3</v>
      </c>
      <c r="AG31" s="1680">
        <v>10</v>
      </c>
      <c r="AH31" s="1677">
        <v>5</v>
      </c>
      <c r="AI31" s="1680">
        <v>8</v>
      </c>
      <c r="AJ31" s="1680">
        <v>0</v>
      </c>
      <c r="AK31" s="1680">
        <v>7</v>
      </c>
      <c r="AL31" s="1679">
        <v>10</v>
      </c>
      <c r="AM31" s="1678"/>
      <c r="AN31" s="1677"/>
      <c r="AO31" s="1677">
        <v>5</v>
      </c>
      <c r="AP31" s="1679">
        <v>13</v>
      </c>
      <c r="AQ31" s="1678">
        <v>4</v>
      </c>
      <c r="AR31" s="1677"/>
      <c r="AS31" s="1677"/>
      <c r="AT31" s="1679" t="s">
        <v>1061</v>
      </c>
      <c r="AU31" s="1678" t="s">
        <v>1956</v>
      </c>
      <c r="AV31" s="1677"/>
      <c r="AW31" s="1677" t="s">
        <v>35</v>
      </c>
      <c r="AX31" s="1679"/>
      <c r="AY31" s="1678"/>
      <c r="AZ31" s="1677"/>
      <c r="BA31" s="1677"/>
      <c r="BB31" s="1676"/>
      <c r="BC31" s="1676"/>
      <c r="BD31" s="1676"/>
      <c r="BE31" s="1676"/>
      <c r="BF31" s="1676"/>
      <c r="BG31" s="1676"/>
      <c r="BH31" s="1676"/>
      <c r="BI31" s="1676"/>
      <c r="BJ31" s="1675">
        <v>1</v>
      </c>
    </row>
    <row r="32" spans="1:62" x14ac:dyDescent="0.2">
      <c r="A32" s="1688" t="s">
        <v>1292</v>
      </c>
      <c r="B32" s="1677">
        <v>7</v>
      </c>
      <c r="C32" s="1677" t="s">
        <v>1954</v>
      </c>
      <c r="D32" s="1682">
        <v>51</v>
      </c>
      <c r="E32" s="1681">
        <v>11.5</v>
      </c>
      <c r="F32" s="1677">
        <v>11.125</v>
      </c>
      <c r="G32" s="1687">
        <v>0</v>
      </c>
      <c r="H32" s="1686">
        <v>1.75</v>
      </c>
      <c r="I32" s="1687" t="s">
        <v>114</v>
      </c>
      <c r="J32" s="1686">
        <v>0</v>
      </c>
      <c r="K32" s="1677">
        <v>1.75</v>
      </c>
      <c r="L32" s="1677" t="s">
        <v>114</v>
      </c>
      <c r="M32" s="1677">
        <v>7.5</v>
      </c>
      <c r="N32" s="1687">
        <v>7.5</v>
      </c>
      <c r="O32" s="1686">
        <v>0</v>
      </c>
      <c r="P32" s="1687">
        <v>6.75</v>
      </c>
      <c r="Q32" s="1686">
        <v>0</v>
      </c>
      <c r="R32" s="1677">
        <v>6.75</v>
      </c>
      <c r="S32" s="1677">
        <v>0</v>
      </c>
      <c r="T32" s="1677">
        <v>6.25</v>
      </c>
      <c r="U32" s="1685">
        <v>0</v>
      </c>
      <c r="V32" s="1685">
        <v>6.25</v>
      </c>
      <c r="W32" s="1677">
        <v>5</v>
      </c>
      <c r="X32" s="1677"/>
      <c r="Y32" s="1677"/>
      <c r="Z32" s="1684" t="s">
        <v>2043</v>
      </c>
      <c r="AA32" s="1683"/>
      <c r="AB32" s="1677"/>
      <c r="AC32" s="1682"/>
      <c r="AD32" s="1681"/>
      <c r="AE32" s="1677" t="s">
        <v>35</v>
      </c>
      <c r="AF32" s="1677">
        <v>3</v>
      </c>
      <c r="AG32" s="1680">
        <v>10</v>
      </c>
      <c r="AH32" s="1677">
        <v>5</v>
      </c>
      <c r="AI32" s="1680">
        <v>8</v>
      </c>
      <c r="AJ32" s="1680">
        <v>0</v>
      </c>
      <c r="AK32" s="1680">
        <v>7</v>
      </c>
      <c r="AL32" s="1679">
        <v>10</v>
      </c>
      <c r="AM32" s="1678"/>
      <c r="AN32" s="1677"/>
      <c r="AO32" s="1677">
        <v>5</v>
      </c>
      <c r="AP32" s="1679">
        <v>13</v>
      </c>
      <c r="AQ32" s="1678">
        <v>4</v>
      </c>
      <c r="AR32" s="1677"/>
      <c r="AS32" s="1677">
        <v>1.75</v>
      </c>
      <c r="AT32" s="1679" t="s">
        <v>1061</v>
      </c>
      <c r="AU32" s="1678" t="s">
        <v>1956</v>
      </c>
      <c r="AV32" s="1677"/>
      <c r="AW32" s="1677" t="s">
        <v>35</v>
      </c>
      <c r="AX32" s="1679"/>
      <c r="AY32" s="1678"/>
      <c r="AZ32" s="1677"/>
      <c r="BA32" s="1677"/>
      <c r="BB32" s="1676"/>
      <c r="BC32" s="1676"/>
      <c r="BD32" s="1676"/>
      <c r="BE32" s="1676"/>
      <c r="BF32" s="1676"/>
      <c r="BG32" s="1676"/>
      <c r="BH32" s="1676"/>
      <c r="BI32" s="1676"/>
      <c r="BJ32" s="1675">
        <v>1</v>
      </c>
    </row>
    <row r="33" spans="1:62" x14ac:dyDescent="0.2">
      <c r="A33" s="1688" t="s">
        <v>1293</v>
      </c>
      <c r="B33" s="1677">
        <v>8</v>
      </c>
      <c r="C33" s="1677" t="s">
        <v>1954</v>
      </c>
      <c r="D33" s="1682">
        <v>51</v>
      </c>
      <c r="E33" s="1681">
        <v>11.5</v>
      </c>
      <c r="F33" s="1677">
        <v>11.125</v>
      </c>
      <c r="G33" s="1687">
        <v>0</v>
      </c>
      <c r="H33" s="1686">
        <v>1.75</v>
      </c>
      <c r="I33" s="1687" t="s">
        <v>114</v>
      </c>
      <c r="J33" s="1686">
        <v>0</v>
      </c>
      <c r="K33" s="1677">
        <v>1.75</v>
      </c>
      <c r="L33" s="1677" t="s">
        <v>114</v>
      </c>
      <c r="M33" s="1677">
        <v>7.5</v>
      </c>
      <c r="N33" s="1687">
        <v>7.5</v>
      </c>
      <c r="O33" s="1686">
        <v>0</v>
      </c>
      <c r="P33" s="1687">
        <v>6.75</v>
      </c>
      <c r="Q33" s="1686">
        <v>0</v>
      </c>
      <c r="R33" s="1677">
        <v>6.75</v>
      </c>
      <c r="S33" s="1677">
        <v>0</v>
      </c>
      <c r="T33" s="1677">
        <v>6.25</v>
      </c>
      <c r="U33" s="1685">
        <v>0</v>
      </c>
      <c r="V33" s="1685">
        <v>6.25</v>
      </c>
      <c r="W33" s="1677">
        <v>5</v>
      </c>
      <c r="X33" s="1677"/>
      <c r="Y33" s="1677"/>
      <c r="Z33" s="1684" t="s">
        <v>2042</v>
      </c>
      <c r="AA33" s="1683"/>
      <c r="AB33" s="1677"/>
      <c r="AC33" s="1682"/>
      <c r="AD33" s="1681"/>
      <c r="AE33" s="1677" t="s">
        <v>35</v>
      </c>
      <c r="AF33" s="1677">
        <v>3</v>
      </c>
      <c r="AG33" s="1680">
        <v>10</v>
      </c>
      <c r="AH33" s="1677">
        <v>5</v>
      </c>
      <c r="AI33" s="1680">
        <v>8</v>
      </c>
      <c r="AJ33" s="1680">
        <v>0</v>
      </c>
      <c r="AK33" s="1680">
        <v>7</v>
      </c>
      <c r="AL33" s="1679">
        <v>10</v>
      </c>
      <c r="AM33" s="1678"/>
      <c r="AN33" s="1677"/>
      <c r="AO33" s="1677">
        <v>5</v>
      </c>
      <c r="AP33" s="1679">
        <v>13</v>
      </c>
      <c r="AQ33" s="1678">
        <v>4</v>
      </c>
      <c r="AR33" s="1677"/>
      <c r="AS33" s="1677">
        <v>1.75</v>
      </c>
      <c r="AT33" s="1679" t="s">
        <v>1061</v>
      </c>
      <c r="AU33" s="1678" t="s">
        <v>1956</v>
      </c>
      <c r="AV33" s="1677"/>
      <c r="AW33" s="1677" t="s">
        <v>35</v>
      </c>
      <c r="AX33" s="1679"/>
      <c r="AY33" s="1678"/>
      <c r="AZ33" s="1677"/>
      <c r="BA33" s="1677"/>
      <c r="BB33" s="1676"/>
      <c r="BC33" s="1676"/>
      <c r="BD33" s="1676"/>
      <c r="BE33" s="1676"/>
      <c r="BF33" s="1676"/>
      <c r="BG33" s="1676"/>
      <c r="BH33" s="1676"/>
      <c r="BI33" s="1676"/>
      <c r="BJ33" s="1675">
        <v>1</v>
      </c>
    </row>
    <row r="34" spans="1:62" x14ac:dyDescent="0.2">
      <c r="A34" s="1688" t="s">
        <v>1294</v>
      </c>
      <c r="B34" s="1677">
        <v>4</v>
      </c>
      <c r="C34" s="1677" t="s">
        <v>1954</v>
      </c>
      <c r="D34" s="1682">
        <v>51</v>
      </c>
      <c r="E34" s="1681">
        <v>11.5</v>
      </c>
      <c r="F34" s="1677">
        <v>11.125</v>
      </c>
      <c r="G34" s="1687">
        <v>0</v>
      </c>
      <c r="H34" s="1686">
        <v>1.75</v>
      </c>
      <c r="I34" s="1687" t="s">
        <v>114</v>
      </c>
      <c r="J34" s="1686">
        <v>0</v>
      </c>
      <c r="K34" s="1677">
        <v>1.75</v>
      </c>
      <c r="L34" s="1677" t="s">
        <v>114</v>
      </c>
      <c r="M34" s="1677">
        <v>7.5</v>
      </c>
      <c r="N34" s="1687">
        <v>7.5</v>
      </c>
      <c r="O34" s="1686">
        <v>0</v>
      </c>
      <c r="P34" s="1687">
        <v>6.75</v>
      </c>
      <c r="Q34" s="1686">
        <v>0</v>
      </c>
      <c r="R34" s="1677">
        <v>6.75</v>
      </c>
      <c r="S34" s="1677">
        <v>0</v>
      </c>
      <c r="T34" s="1677">
        <v>6.25</v>
      </c>
      <c r="U34" s="1685">
        <v>0</v>
      </c>
      <c r="V34" s="1685">
        <v>6.25</v>
      </c>
      <c r="W34" s="1677">
        <v>5</v>
      </c>
      <c r="X34" s="1677"/>
      <c r="Y34" s="1677"/>
      <c r="Z34" s="1684" t="s">
        <v>2044</v>
      </c>
      <c r="AA34" s="1683"/>
      <c r="AB34" s="1677"/>
      <c r="AC34" s="1682"/>
      <c r="AD34" s="1681"/>
      <c r="AE34" s="1677" t="s">
        <v>35</v>
      </c>
      <c r="AF34" s="1677">
        <v>3</v>
      </c>
      <c r="AG34" s="1680">
        <v>10</v>
      </c>
      <c r="AH34" s="1677">
        <v>5</v>
      </c>
      <c r="AI34" s="1680">
        <v>8</v>
      </c>
      <c r="AJ34" s="1680">
        <v>0</v>
      </c>
      <c r="AK34" s="1680">
        <v>7</v>
      </c>
      <c r="AL34" s="1679">
        <v>10</v>
      </c>
      <c r="AM34" s="1678"/>
      <c r="AN34" s="1677"/>
      <c r="AO34" s="1677">
        <v>5</v>
      </c>
      <c r="AP34" s="1679">
        <v>13</v>
      </c>
      <c r="AQ34" s="1678">
        <v>4</v>
      </c>
      <c r="AR34" s="1677"/>
      <c r="AS34" s="1677">
        <v>1.75</v>
      </c>
      <c r="AT34" s="1679" t="s">
        <v>1061</v>
      </c>
      <c r="AU34" s="1678" t="s">
        <v>1956</v>
      </c>
      <c r="AV34" s="1677"/>
      <c r="AW34" s="1677" t="s">
        <v>35</v>
      </c>
      <c r="AX34" s="1679"/>
      <c r="AY34" s="1678"/>
      <c r="AZ34" s="1677"/>
      <c r="BA34" s="1677"/>
      <c r="BB34" s="1676"/>
      <c r="BC34" s="1676"/>
      <c r="BD34" s="1676"/>
      <c r="BE34" s="1676"/>
      <c r="BF34" s="1676"/>
      <c r="BG34" s="1676"/>
      <c r="BH34" s="1676"/>
      <c r="BI34" s="1676"/>
      <c r="BJ34" s="1675">
        <v>1</v>
      </c>
    </row>
    <row r="35" spans="1:62" x14ac:dyDescent="0.2">
      <c r="A35" s="1688" t="s">
        <v>1295</v>
      </c>
      <c r="B35" s="1677">
        <v>1</v>
      </c>
      <c r="C35" s="1677" t="s">
        <v>1954</v>
      </c>
      <c r="D35" s="1682">
        <v>48</v>
      </c>
      <c r="E35" s="1681">
        <v>5.875</v>
      </c>
      <c r="F35" s="1677">
        <v>11.125</v>
      </c>
      <c r="G35" s="1687">
        <v>0</v>
      </c>
      <c r="H35" s="1686">
        <v>1.75</v>
      </c>
      <c r="I35" s="1687" t="s">
        <v>114</v>
      </c>
      <c r="J35" s="1686"/>
      <c r="K35" s="1677"/>
      <c r="L35" s="1677"/>
      <c r="M35" s="1677">
        <v>7.5</v>
      </c>
      <c r="N35" s="1687">
        <v>7.5</v>
      </c>
      <c r="O35" s="1686">
        <v>0</v>
      </c>
      <c r="P35" s="1687">
        <v>6.75</v>
      </c>
      <c r="Q35" s="1686">
        <v>0</v>
      </c>
      <c r="R35" s="1677">
        <v>1</v>
      </c>
      <c r="S35" s="1677">
        <v>0</v>
      </c>
      <c r="T35" s="1677">
        <v>6.25</v>
      </c>
      <c r="U35" s="1685">
        <v>0</v>
      </c>
      <c r="V35" s="1685">
        <v>3.875</v>
      </c>
      <c r="W35" s="1677">
        <v>5</v>
      </c>
      <c r="X35" s="1677"/>
      <c r="Y35" s="1677"/>
      <c r="Z35" s="1684" t="s">
        <v>2045</v>
      </c>
      <c r="AA35" s="1683"/>
      <c r="AB35" s="1677"/>
      <c r="AC35" s="1682"/>
      <c r="AD35" s="1681"/>
      <c r="AE35" s="1677" t="s">
        <v>35</v>
      </c>
      <c r="AF35" s="1677">
        <v>7</v>
      </c>
      <c r="AG35" s="1680">
        <v>10</v>
      </c>
      <c r="AH35" s="1677">
        <v>4</v>
      </c>
      <c r="AI35" s="1680">
        <v>8</v>
      </c>
      <c r="AJ35" s="1680">
        <v>0</v>
      </c>
      <c r="AK35" s="1680">
        <v>8</v>
      </c>
      <c r="AL35" s="1679">
        <v>6.125</v>
      </c>
      <c r="AM35" s="1678"/>
      <c r="AN35" s="1677"/>
      <c r="AO35" s="1677">
        <v>5</v>
      </c>
      <c r="AP35" s="1679">
        <v>13</v>
      </c>
      <c r="AQ35" s="1678">
        <v>4</v>
      </c>
      <c r="AR35" s="1677"/>
      <c r="AS35" s="1677"/>
      <c r="AT35" s="1679"/>
      <c r="AU35" s="1678"/>
      <c r="AV35" s="1677"/>
      <c r="AW35" s="1677"/>
      <c r="AX35" s="1679"/>
      <c r="AY35" s="1678"/>
      <c r="AZ35" s="1677"/>
      <c r="BA35" s="1677"/>
      <c r="BB35" s="1676"/>
      <c r="BC35" s="1676"/>
      <c r="BD35" s="1676"/>
      <c r="BE35" s="1676"/>
      <c r="BF35" s="1676"/>
      <c r="BG35" s="1676"/>
      <c r="BH35" s="1676"/>
      <c r="BI35" s="1676"/>
      <c r="BJ35" s="1675">
        <v>1</v>
      </c>
    </row>
    <row r="36" spans="1:62" x14ac:dyDescent="0.2">
      <c r="A36" s="1688" t="s">
        <v>1296</v>
      </c>
      <c r="B36" s="1677">
        <v>1</v>
      </c>
      <c r="C36" s="1677" t="s">
        <v>1954</v>
      </c>
      <c r="D36" s="1682">
        <v>51</v>
      </c>
      <c r="E36" s="1681">
        <v>11.5</v>
      </c>
      <c r="F36" s="1677">
        <v>11.125</v>
      </c>
      <c r="G36" s="1687">
        <v>0</v>
      </c>
      <c r="H36" s="1686">
        <v>1.75</v>
      </c>
      <c r="I36" s="1687" t="s">
        <v>114</v>
      </c>
      <c r="J36" s="1686">
        <v>0</v>
      </c>
      <c r="K36" s="1677">
        <v>1.75</v>
      </c>
      <c r="L36" s="1677" t="s">
        <v>114</v>
      </c>
      <c r="M36" s="1677">
        <v>7.5</v>
      </c>
      <c r="N36" s="1687">
        <v>7.5</v>
      </c>
      <c r="O36" s="1686">
        <v>0</v>
      </c>
      <c r="P36" s="1687">
        <v>6.75</v>
      </c>
      <c r="Q36" s="1686">
        <v>0</v>
      </c>
      <c r="R36" s="1677">
        <v>6.75</v>
      </c>
      <c r="S36" s="1677">
        <v>0</v>
      </c>
      <c r="T36" s="1677">
        <v>6.25</v>
      </c>
      <c r="U36" s="1685">
        <v>0</v>
      </c>
      <c r="V36" s="1685">
        <v>6.25</v>
      </c>
      <c r="W36" s="1677">
        <v>5</v>
      </c>
      <c r="X36" s="1677"/>
      <c r="Y36" s="1677"/>
      <c r="Z36" s="1684" t="s">
        <v>2042</v>
      </c>
      <c r="AA36" s="1683"/>
      <c r="AB36" s="1677"/>
      <c r="AC36" s="1682"/>
      <c r="AD36" s="1681"/>
      <c r="AE36" s="1677" t="s">
        <v>35</v>
      </c>
      <c r="AF36" s="1677">
        <v>3</v>
      </c>
      <c r="AG36" s="1680">
        <v>10</v>
      </c>
      <c r="AH36" s="1677">
        <v>5</v>
      </c>
      <c r="AI36" s="1680">
        <v>8</v>
      </c>
      <c r="AJ36" s="1680">
        <v>0</v>
      </c>
      <c r="AK36" s="1680">
        <v>7</v>
      </c>
      <c r="AL36" s="1679">
        <v>10</v>
      </c>
      <c r="AM36" s="1678"/>
      <c r="AN36" s="1677"/>
      <c r="AO36" s="1677">
        <v>5</v>
      </c>
      <c r="AP36" s="1679">
        <v>13</v>
      </c>
      <c r="AQ36" s="1678">
        <v>4</v>
      </c>
      <c r="AR36" s="1677"/>
      <c r="AS36" s="1677"/>
      <c r="AT36" s="1679" t="s">
        <v>1061</v>
      </c>
      <c r="AU36" s="1678" t="s">
        <v>1956</v>
      </c>
      <c r="AV36" s="1677"/>
      <c r="AW36" s="1677" t="s">
        <v>35</v>
      </c>
      <c r="AX36" s="1679"/>
      <c r="AY36" s="1678"/>
      <c r="AZ36" s="1677"/>
      <c r="BA36" s="1677"/>
      <c r="BB36" s="1676"/>
      <c r="BC36" s="1676"/>
      <c r="BD36" s="1676"/>
      <c r="BE36" s="1676"/>
      <c r="BF36" s="1676"/>
      <c r="BG36" s="1676"/>
      <c r="BH36" s="1676"/>
      <c r="BI36" s="1676"/>
      <c r="BJ36" s="1675">
        <v>1</v>
      </c>
    </row>
    <row r="37" spans="1:62" x14ac:dyDescent="0.2">
      <c r="A37" s="1688" t="s">
        <v>1297</v>
      </c>
      <c r="B37" s="1677">
        <v>1</v>
      </c>
      <c r="C37" s="1677" t="s">
        <v>1954</v>
      </c>
      <c r="D37" s="1682">
        <v>51</v>
      </c>
      <c r="E37" s="1681">
        <v>11.5</v>
      </c>
      <c r="F37" s="1677">
        <v>11.125</v>
      </c>
      <c r="G37" s="1687">
        <v>0</v>
      </c>
      <c r="H37" s="1686">
        <v>1.75</v>
      </c>
      <c r="I37" s="1687" t="s">
        <v>114</v>
      </c>
      <c r="J37" s="1686">
        <v>0</v>
      </c>
      <c r="K37" s="1677">
        <v>1.75</v>
      </c>
      <c r="L37" s="1677" t="s">
        <v>114</v>
      </c>
      <c r="M37" s="1677">
        <v>7.5</v>
      </c>
      <c r="N37" s="1687">
        <v>7.5</v>
      </c>
      <c r="O37" s="1686">
        <v>0</v>
      </c>
      <c r="P37" s="1687">
        <v>6.75</v>
      </c>
      <c r="Q37" s="1686">
        <v>0</v>
      </c>
      <c r="R37" s="1677">
        <v>6.75</v>
      </c>
      <c r="S37" s="1677">
        <v>0</v>
      </c>
      <c r="T37" s="1677">
        <v>6.25</v>
      </c>
      <c r="U37" s="1685">
        <v>0</v>
      </c>
      <c r="V37" s="1685">
        <v>6.25</v>
      </c>
      <c r="W37" s="1677">
        <v>5</v>
      </c>
      <c r="X37" s="1677"/>
      <c r="Y37" s="1677"/>
      <c r="Z37" s="1684" t="s">
        <v>2046</v>
      </c>
      <c r="AA37" s="1683"/>
      <c r="AB37" s="1677"/>
      <c r="AC37" s="1682"/>
      <c r="AD37" s="1681"/>
      <c r="AE37" s="1677" t="s">
        <v>35</v>
      </c>
      <c r="AF37" s="1677">
        <v>3</v>
      </c>
      <c r="AG37" s="1680">
        <v>10</v>
      </c>
      <c r="AH37" s="1677">
        <v>5</v>
      </c>
      <c r="AI37" s="1680">
        <v>8</v>
      </c>
      <c r="AJ37" s="1680">
        <v>0</v>
      </c>
      <c r="AK37" s="1680">
        <v>7</v>
      </c>
      <c r="AL37" s="1679">
        <v>10</v>
      </c>
      <c r="AM37" s="1678"/>
      <c r="AN37" s="1677"/>
      <c r="AO37" s="1677">
        <v>5</v>
      </c>
      <c r="AP37" s="1679">
        <v>13</v>
      </c>
      <c r="AQ37" s="1678">
        <v>4</v>
      </c>
      <c r="AR37" s="1677"/>
      <c r="AS37" s="1677">
        <v>1.75</v>
      </c>
      <c r="AT37" s="1679" t="s">
        <v>1061</v>
      </c>
      <c r="AU37" s="1678" t="s">
        <v>1956</v>
      </c>
      <c r="AV37" s="1677"/>
      <c r="AW37" s="1677" t="s">
        <v>35</v>
      </c>
      <c r="AX37" s="1679"/>
      <c r="AY37" s="1678"/>
      <c r="AZ37" s="1677"/>
      <c r="BA37" s="1677"/>
      <c r="BB37" s="1676"/>
      <c r="BC37" s="1676"/>
      <c r="BD37" s="1676"/>
      <c r="BE37" s="1676"/>
      <c r="BF37" s="1676"/>
      <c r="BG37" s="1676"/>
      <c r="BH37" s="1676"/>
      <c r="BI37" s="1676"/>
      <c r="BJ37" s="1675">
        <v>1</v>
      </c>
    </row>
    <row r="38" spans="1:62" x14ac:dyDescent="0.2">
      <c r="A38" s="1688" t="s">
        <v>1298</v>
      </c>
      <c r="B38" s="1677">
        <v>1</v>
      </c>
      <c r="C38" s="1677" t="s">
        <v>1957</v>
      </c>
      <c r="D38" s="1682">
        <v>64</v>
      </c>
      <c r="E38" s="1681">
        <v>8.625</v>
      </c>
      <c r="F38" s="1677">
        <v>11.125</v>
      </c>
      <c r="G38" s="1687">
        <v>0</v>
      </c>
      <c r="H38" s="1686">
        <v>1.75</v>
      </c>
      <c r="I38" s="1687" t="s">
        <v>114</v>
      </c>
      <c r="J38" s="1686"/>
      <c r="K38" s="1677"/>
      <c r="L38" s="1677"/>
      <c r="M38" s="1677">
        <v>7.5</v>
      </c>
      <c r="N38" s="1687">
        <v>7.5</v>
      </c>
      <c r="O38" s="1686">
        <v>0</v>
      </c>
      <c r="P38" s="1687">
        <v>6.75</v>
      </c>
      <c r="Q38" s="1686">
        <v>0</v>
      </c>
      <c r="R38" s="1677">
        <v>1</v>
      </c>
      <c r="S38" s="1677">
        <v>0</v>
      </c>
      <c r="T38" s="1677">
        <v>6.25</v>
      </c>
      <c r="U38" s="1685">
        <v>0</v>
      </c>
      <c r="V38" s="1685">
        <v>3.875</v>
      </c>
      <c r="W38" s="1677">
        <v>5</v>
      </c>
      <c r="X38" s="1677"/>
      <c r="Y38" s="1677"/>
      <c r="Z38" s="1684" t="s">
        <v>2047</v>
      </c>
      <c r="AA38" s="1683"/>
      <c r="AB38" s="1677"/>
      <c r="AC38" s="1682"/>
      <c r="AD38" s="1681"/>
      <c r="AE38" s="1677" t="s">
        <v>34</v>
      </c>
      <c r="AF38" s="1677">
        <v>3</v>
      </c>
      <c r="AG38" s="1680">
        <v>10</v>
      </c>
      <c r="AH38" s="1677">
        <v>7</v>
      </c>
      <c r="AI38" s="1680">
        <v>8</v>
      </c>
      <c r="AJ38" s="1680">
        <v>0</v>
      </c>
      <c r="AK38" s="1680">
        <v>4</v>
      </c>
      <c r="AL38" s="1679">
        <v>8.875</v>
      </c>
      <c r="AM38" s="1678"/>
      <c r="AN38" s="1677"/>
      <c r="AO38" s="1677">
        <v>5</v>
      </c>
      <c r="AP38" s="1679">
        <v>13</v>
      </c>
      <c r="AQ38" s="1678">
        <v>4</v>
      </c>
      <c r="AR38" s="1677"/>
      <c r="AS38" s="1677"/>
      <c r="AT38" s="1679" t="s">
        <v>1061</v>
      </c>
      <c r="AU38" s="1678" t="s">
        <v>1956</v>
      </c>
      <c r="AV38" s="1677"/>
      <c r="AW38" s="1677" t="s">
        <v>35</v>
      </c>
      <c r="AX38" s="1679" t="s">
        <v>1061</v>
      </c>
      <c r="AY38" s="1678" t="s">
        <v>1959</v>
      </c>
      <c r="AZ38" s="1677"/>
      <c r="BA38" s="1677" t="s">
        <v>34</v>
      </c>
      <c r="BB38" s="1676"/>
      <c r="BC38" s="1676"/>
      <c r="BD38" s="1676"/>
      <c r="BE38" s="1676"/>
      <c r="BF38" s="1676"/>
      <c r="BG38" s="1676"/>
      <c r="BH38" s="1676"/>
      <c r="BI38" s="1676"/>
      <c r="BJ38" s="1675">
        <v>2</v>
      </c>
    </row>
    <row r="39" spans="1:62" x14ac:dyDescent="0.2">
      <c r="A39" s="1688"/>
      <c r="B39" s="1677"/>
      <c r="C39" s="1677"/>
      <c r="D39" s="1682"/>
      <c r="E39" s="1681"/>
      <c r="F39" s="1677"/>
      <c r="G39" s="1687"/>
      <c r="H39" s="1686"/>
      <c r="I39" s="1687"/>
      <c r="J39" s="1686"/>
      <c r="K39" s="1677"/>
      <c r="L39" s="1677"/>
      <c r="M39" s="1677"/>
      <c r="N39" s="1687"/>
      <c r="O39" s="1686"/>
      <c r="P39" s="1687"/>
      <c r="Q39" s="1686"/>
      <c r="R39" s="1677"/>
      <c r="S39" s="1677"/>
      <c r="T39" s="1677"/>
      <c r="U39" s="1685"/>
      <c r="V39" s="1685"/>
      <c r="W39" s="1677"/>
      <c r="X39" s="1677"/>
      <c r="Y39" s="1677"/>
      <c r="Z39" s="1684"/>
      <c r="AA39" s="1683"/>
      <c r="AB39" s="1677"/>
      <c r="AC39" s="1682"/>
      <c r="AD39" s="1681"/>
      <c r="AE39" s="1677" t="s">
        <v>1703</v>
      </c>
      <c r="AF39" s="1677">
        <v>3</v>
      </c>
      <c r="AG39" s="1680">
        <v>10</v>
      </c>
      <c r="AH39" s="1677">
        <v>5</v>
      </c>
      <c r="AI39" s="1680">
        <v>8</v>
      </c>
      <c r="AJ39" s="1680">
        <v>0</v>
      </c>
      <c r="AK39" s="1680">
        <v>20</v>
      </c>
      <c r="AL39" s="1679">
        <v>8.875</v>
      </c>
      <c r="AM39" s="1678"/>
      <c r="AN39" s="1677"/>
      <c r="AO39" s="1677"/>
      <c r="AP39" s="1679"/>
      <c r="AQ39" s="1678"/>
      <c r="AR39" s="1677"/>
      <c r="AS39" s="1677"/>
      <c r="AT39" s="1679"/>
      <c r="AU39" s="1678"/>
      <c r="AV39" s="1677"/>
      <c r="AW39" s="1677"/>
      <c r="AX39" s="1679"/>
      <c r="AY39" s="1678"/>
      <c r="AZ39" s="1677"/>
      <c r="BA39" s="1677"/>
      <c r="BB39" s="1676"/>
      <c r="BC39" s="1676"/>
      <c r="BD39" s="1676"/>
      <c r="BE39" s="1676"/>
      <c r="BF39" s="1676"/>
      <c r="BG39" s="1676"/>
      <c r="BH39" s="1676"/>
      <c r="BI39" s="1676"/>
      <c r="BJ39" s="1675"/>
    </row>
    <row r="40" spans="1:62" x14ac:dyDescent="0.2">
      <c r="A40" s="1688" t="s">
        <v>1299</v>
      </c>
      <c r="B40" s="1677">
        <v>1</v>
      </c>
      <c r="C40" s="1677" t="s">
        <v>1953</v>
      </c>
      <c r="D40" s="1682">
        <v>59</v>
      </c>
      <c r="E40" s="1681">
        <v>5.75</v>
      </c>
      <c r="F40" s="1677">
        <v>11.125</v>
      </c>
      <c r="G40" s="1687">
        <v>0</v>
      </c>
      <c r="H40" s="1686">
        <v>1.75</v>
      </c>
      <c r="I40" s="1687" t="s">
        <v>114</v>
      </c>
      <c r="J40" s="1686"/>
      <c r="K40" s="1677"/>
      <c r="L40" s="1677"/>
      <c r="M40" s="1677">
        <v>7.5</v>
      </c>
      <c r="N40" s="1687">
        <v>7.5</v>
      </c>
      <c r="O40" s="1686">
        <v>0</v>
      </c>
      <c r="P40" s="1687">
        <v>6.75</v>
      </c>
      <c r="Q40" s="1686">
        <v>0</v>
      </c>
      <c r="R40" s="1677">
        <v>1.5</v>
      </c>
      <c r="S40" s="1677">
        <v>0</v>
      </c>
      <c r="T40" s="1677">
        <v>6.25</v>
      </c>
      <c r="U40" s="1685">
        <v>0</v>
      </c>
      <c r="V40" s="1685">
        <v>2</v>
      </c>
      <c r="W40" s="1677">
        <v>5</v>
      </c>
      <c r="X40" s="1677"/>
      <c r="Y40" s="1677"/>
      <c r="Z40" s="1684" t="s">
        <v>2048</v>
      </c>
      <c r="AA40" s="1683"/>
      <c r="AB40" s="1677"/>
      <c r="AC40" s="1682"/>
      <c r="AD40" s="1681"/>
      <c r="AE40" s="1677" t="s">
        <v>35</v>
      </c>
      <c r="AF40" s="1677">
        <v>3</v>
      </c>
      <c r="AG40" s="1680">
        <v>10</v>
      </c>
      <c r="AH40" s="1677">
        <v>6</v>
      </c>
      <c r="AI40" s="1680">
        <v>8</v>
      </c>
      <c r="AJ40" s="1680">
        <v>0</v>
      </c>
      <c r="AK40" s="1680">
        <v>7</v>
      </c>
      <c r="AL40" s="1679">
        <v>6</v>
      </c>
      <c r="AM40" s="1678"/>
      <c r="AN40" s="1677" t="s">
        <v>34</v>
      </c>
      <c r="AO40" s="1677">
        <v>5</v>
      </c>
      <c r="AP40" s="1679">
        <v>13</v>
      </c>
      <c r="AQ40" s="1678">
        <v>4</v>
      </c>
      <c r="AR40" s="1677">
        <v>1.75</v>
      </c>
      <c r="AS40" s="1677"/>
      <c r="AT40" s="1679"/>
      <c r="AU40" s="1678"/>
      <c r="AV40" s="1677"/>
      <c r="AW40" s="1677"/>
      <c r="AX40" s="1679"/>
      <c r="AY40" s="1678"/>
      <c r="AZ40" s="1677"/>
      <c r="BA40" s="1677"/>
      <c r="BB40" s="1676"/>
      <c r="BC40" s="1676"/>
      <c r="BD40" s="1676"/>
      <c r="BE40" s="1676"/>
      <c r="BF40" s="1676"/>
      <c r="BG40" s="1676"/>
      <c r="BH40" s="1676"/>
      <c r="BI40" s="1676"/>
      <c r="BJ40" s="1675">
        <v>1</v>
      </c>
    </row>
    <row r="41" spans="1:62" x14ac:dyDescent="0.2">
      <c r="A41" s="1688" t="s">
        <v>1300</v>
      </c>
      <c r="B41" s="1677">
        <v>1</v>
      </c>
      <c r="C41" s="1677" t="s">
        <v>1952</v>
      </c>
      <c r="D41" s="1682">
        <v>49</v>
      </c>
      <c r="E41" s="1681">
        <v>11.5</v>
      </c>
      <c r="F41" s="1677">
        <v>11.125</v>
      </c>
      <c r="G41" s="1687">
        <v>0</v>
      </c>
      <c r="H41" s="1686">
        <v>1.75</v>
      </c>
      <c r="I41" s="1687" t="s">
        <v>114</v>
      </c>
      <c r="J41" s="1686">
        <v>0</v>
      </c>
      <c r="K41" s="1677">
        <v>1.75</v>
      </c>
      <c r="L41" s="1677" t="s">
        <v>114</v>
      </c>
      <c r="M41" s="1677">
        <v>7.5</v>
      </c>
      <c r="N41" s="1687">
        <v>7.5</v>
      </c>
      <c r="O41" s="1686">
        <v>0</v>
      </c>
      <c r="P41" s="1687">
        <v>5.75</v>
      </c>
      <c r="Q41" s="1686">
        <v>0</v>
      </c>
      <c r="R41" s="1677">
        <v>7.875</v>
      </c>
      <c r="S41" s="1677">
        <v>0</v>
      </c>
      <c r="T41" s="1677">
        <v>6.25</v>
      </c>
      <c r="U41" s="1685">
        <v>0</v>
      </c>
      <c r="V41" s="1685">
        <v>6.25</v>
      </c>
      <c r="W41" s="1677">
        <v>5</v>
      </c>
      <c r="X41" s="1677"/>
      <c r="Y41" s="1677"/>
      <c r="Z41" s="1684" t="s">
        <v>2024</v>
      </c>
      <c r="AA41" s="1683"/>
      <c r="AB41" s="1677"/>
      <c r="AC41" s="1682"/>
      <c r="AD41" s="1681"/>
      <c r="AE41" s="1677" t="s">
        <v>1703</v>
      </c>
      <c r="AF41" s="1677">
        <v>7</v>
      </c>
      <c r="AG41" s="1680">
        <v>10</v>
      </c>
      <c r="AH41" s="1677">
        <v>5</v>
      </c>
      <c r="AI41" s="1680">
        <v>8</v>
      </c>
      <c r="AJ41" s="1680">
        <v>0</v>
      </c>
      <c r="AK41" s="1680">
        <v>1</v>
      </c>
      <c r="AL41" s="1679">
        <v>10</v>
      </c>
      <c r="AM41" s="1678"/>
      <c r="AN41" s="1677"/>
      <c r="AO41" s="1677">
        <v>5</v>
      </c>
      <c r="AP41" s="1679">
        <v>13</v>
      </c>
      <c r="AQ41" s="1678">
        <v>4</v>
      </c>
      <c r="AR41" s="1677">
        <v>1.75</v>
      </c>
      <c r="AS41" s="1677">
        <v>1.75</v>
      </c>
      <c r="AT41" s="1679"/>
      <c r="AU41" s="1678"/>
      <c r="AV41" s="1677"/>
      <c r="AW41" s="1677"/>
      <c r="AX41" s="1679"/>
      <c r="AY41" s="1678"/>
      <c r="AZ41" s="1677"/>
      <c r="BA41" s="1677"/>
      <c r="BB41" s="1676"/>
      <c r="BC41" s="1676"/>
      <c r="BD41" s="1676"/>
      <c r="BE41" s="1676"/>
      <c r="BF41" s="1676"/>
      <c r="BG41" s="1676"/>
      <c r="BH41" s="1676"/>
      <c r="BI41" s="1676"/>
      <c r="BJ41" s="1675">
        <v>1</v>
      </c>
    </row>
    <row r="42" spans="1:62" x14ac:dyDescent="0.2">
      <c r="A42" s="1688" t="s">
        <v>1301</v>
      </c>
      <c r="B42" s="1677">
        <v>2</v>
      </c>
      <c r="C42" s="1677" t="s">
        <v>1952</v>
      </c>
      <c r="D42" s="1682">
        <v>49</v>
      </c>
      <c r="E42" s="1681">
        <v>11.5</v>
      </c>
      <c r="F42" s="1677">
        <v>11.125</v>
      </c>
      <c r="G42" s="1687">
        <v>0</v>
      </c>
      <c r="H42" s="1686">
        <v>1.75</v>
      </c>
      <c r="I42" s="1687" t="s">
        <v>114</v>
      </c>
      <c r="J42" s="1686">
        <v>0</v>
      </c>
      <c r="K42" s="1677">
        <v>1.75</v>
      </c>
      <c r="L42" s="1677" t="s">
        <v>114</v>
      </c>
      <c r="M42" s="1677">
        <v>7.5</v>
      </c>
      <c r="N42" s="1687">
        <v>7.5</v>
      </c>
      <c r="O42" s="1686">
        <v>0</v>
      </c>
      <c r="P42" s="1687">
        <v>7.875</v>
      </c>
      <c r="Q42" s="1686">
        <v>0</v>
      </c>
      <c r="R42" s="1677">
        <v>5.75</v>
      </c>
      <c r="S42" s="1677">
        <v>0</v>
      </c>
      <c r="T42" s="1677">
        <v>6.25</v>
      </c>
      <c r="U42" s="1685">
        <v>0</v>
      </c>
      <c r="V42" s="1685">
        <v>6.25</v>
      </c>
      <c r="W42" s="1677">
        <v>5</v>
      </c>
      <c r="X42" s="1677"/>
      <c r="Y42" s="1677"/>
      <c r="Z42" s="1684" t="s">
        <v>2024</v>
      </c>
      <c r="AA42" s="1683"/>
      <c r="AB42" s="1677"/>
      <c r="AC42" s="1682"/>
      <c r="AD42" s="1681"/>
      <c r="AE42" s="1677" t="s">
        <v>1703</v>
      </c>
      <c r="AF42" s="1677">
        <v>6</v>
      </c>
      <c r="AG42" s="1680">
        <v>10</v>
      </c>
      <c r="AH42" s="1677">
        <v>5</v>
      </c>
      <c r="AI42" s="1680">
        <v>7</v>
      </c>
      <c r="AJ42" s="1680">
        <v>2</v>
      </c>
      <c r="AK42" s="1680">
        <v>7</v>
      </c>
      <c r="AL42" s="1679">
        <v>0</v>
      </c>
      <c r="AM42" s="1678"/>
      <c r="AN42" s="1677"/>
      <c r="AO42" s="1677">
        <v>5</v>
      </c>
      <c r="AP42" s="1679">
        <v>13</v>
      </c>
      <c r="AQ42" s="1678">
        <v>4</v>
      </c>
      <c r="AR42" s="1677">
        <v>1.75</v>
      </c>
      <c r="AS42" s="1677">
        <v>1.75</v>
      </c>
      <c r="AT42" s="1679"/>
      <c r="AU42" s="1678"/>
      <c r="AV42" s="1677"/>
      <c r="AW42" s="1677"/>
      <c r="AX42" s="1679"/>
      <c r="AY42" s="1678"/>
      <c r="AZ42" s="1677"/>
      <c r="BA42" s="1677"/>
      <c r="BB42" s="1676"/>
      <c r="BC42" s="1676"/>
      <c r="BD42" s="1676"/>
      <c r="BE42" s="1676"/>
      <c r="BF42" s="1676"/>
      <c r="BG42" s="1676"/>
      <c r="BH42" s="1676"/>
      <c r="BI42" s="1676"/>
      <c r="BJ42" s="1675">
        <v>1</v>
      </c>
    </row>
    <row r="43" spans="1:62" x14ac:dyDescent="0.2">
      <c r="A43" s="1688" t="s">
        <v>1302</v>
      </c>
      <c r="B43" s="1677">
        <v>1</v>
      </c>
      <c r="C43" s="1677" t="s">
        <v>1952</v>
      </c>
      <c r="D43" s="1682">
        <v>49</v>
      </c>
      <c r="E43" s="1681">
        <v>1.75</v>
      </c>
      <c r="F43" s="1677">
        <v>11.125</v>
      </c>
      <c r="G43" s="1687"/>
      <c r="H43" s="1686"/>
      <c r="I43" s="1687"/>
      <c r="J43" s="1686">
        <v>0</v>
      </c>
      <c r="K43" s="1677">
        <v>1.75</v>
      </c>
      <c r="L43" s="1677" t="s">
        <v>114</v>
      </c>
      <c r="M43" s="1677">
        <v>7.5</v>
      </c>
      <c r="N43" s="1687">
        <v>7.5</v>
      </c>
      <c r="O43" s="1686">
        <v>-9.9999999999999995E-8</v>
      </c>
      <c r="P43" s="1687">
        <v>-0.625</v>
      </c>
      <c r="Q43" s="1686">
        <v>0</v>
      </c>
      <c r="R43" s="1677">
        <v>8.5</v>
      </c>
      <c r="S43" s="1677">
        <v>0</v>
      </c>
      <c r="T43" s="1677">
        <v>3</v>
      </c>
      <c r="U43" s="1685">
        <v>0</v>
      </c>
      <c r="V43" s="1685">
        <v>6.25</v>
      </c>
      <c r="W43" s="1677">
        <v>5</v>
      </c>
      <c r="X43" s="1677">
        <v>0.38595006347862898</v>
      </c>
      <c r="Y43" s="1677">
        <v>-0.38595006347862898</v>
      </c>
      <c r="Z43" s="1684" t="s">
        <v>2049</v>
      </c>
      <c r="AA43" s="1683"/>
      <c r="AB43" s="1677"/>
      <c r="AC43" s="1682"/>
      <c r="AD43" s="1681"/>
      <c r="AE43" s="1677" t="s">
        <v>34</v>
      </c>
      <c r="AF43" s="1677">
        <v>6</v>
      </c>
      <c r="AG43" s="1680">
        <v>1.875</v>
      </c>
      <c r="AH43" s="1677">
        <v>5</v>
      </c>
      <c r="AI43" s="1680">
        <v>7</v>
      </c>
      <c r="AJ43" s="1680">
        <v>2</v>
      </c>
      <c r="AK43" s="1680">
        <v>7</v>
      </c>
      <c r="AL43" s="1679">
        <v>0.125</v>
      </c>
      <c r="AM43" s="1678"/>
      <c r="AN43" s="1677"/>
      <c r="AO43" s="1677">
        <v>5</v>
      </c>
      <c r="AP43" s="1679">
        <v>13</v>
      </c>
      <c r="AQ43" s="1678">
        <v>4</v>
      </c>
      <c r="AR43" s="1677"/>
      <c r="AS43" s="1677">
        <v>1.75</v>
      </c>
      <c r="AT43" s="1679"/>
      <c r="AU43" s="1678"/>
      <c r="AV43" s="1677"/>
      <c r="AW43" s="1677"/>
      <c r="AX43" s="1679"/>
      <c r="AY43" s="1678"/>
      <c r="AZ43" s="1677"/>
      <c r="BA43" s="1677"/>
      <c r="BB43" s="1676"/>
      <c r="BC43" s="1676"/>
      <c r="BD43" s="1676"/>
      <c r="BE43" s="1676"/>
      <c r="BF43" s="1676"/>
      <c r="BG43" s="1676"/>
      <c r="BH43" s="1676"/>
      <c r="BI43" s="1676"/>
      <c r="BJ43" s="1675">
        <v>1</v>
      </c>
    </row>
    <row r="44" spans="1:62" x14ac:dyDescent="0.2">
      <c r="A44" s="1688" t="s">
        <v>1303</v>
      </c>
      <c r="B44" s="1677">
        <v>1</v>
      </c>
      <c r="C44" s="1677" t="s">
        <v>1952</v>
      </c>
      <c r="D44" s="1682">
        <v>50</v>
      </c>
      <c r="E44" s="1681">
        <v>7.75</v>
      </c>
      <c r="F44" s="1677">
        <v>11.125</v>
      </c>
      <c r="G44" s="1687"/>
      <c r="H44" s="1686"/>
      <c r="I44" s="1687"/>
      <c r="J44" s="1686"/>
      <c r="K44" s="1677"/>
      <c r="L44" s="1677"/>
      <c r="M44" s="1677">
        <v>7.5</v>
      </c>
      <c r="N44" s="1687">
        <v>7.5</v>
      </c>
      <c r="O44" s="1686">
        <v>0</v>
      </c>
      <c r="P44" s="1687">
        <v>1</v>
      </c>
      <c r="Q44" s="1686">
        <v>0</v>
      </c>
      <c r="R44" s="1677">
        <v>1</v>
      </c>
      <c r="S44" s="1677">
        <v>0</v>
      </c>
      <c r="T44" s="1677">
        <v>3</v>
      </c>
      <c r="U44" s="1685">
        <v>0</v>
      </c>
      <c r="V44" s="1685">
        <v>2</v>
      </c>
      <c r="W44" s="1677">
        <v>5</v>
      </c>
      <c r="X44" s="1677"/>
      <c r="Y44" s="1677"/>
      <c r="Z44" s="1684" t="s">
        <v>2050</v>
      </c>
      <c r="AA44" s="1683"/>
      <c r="AB44" s="1677"/>
      <c r="AC44" s="1682"/>
      <c r="AD44" s="1681"/>
      <c r="AE44" s="1677" t="s">
        <v>34</v>
      </c>
      <c r="AF44" s="1677">
        <v>7</v>
      </c>
      <c r="AG44" s="1680">
        <v>1.75</v>
      </c>
      <c r="AH44" s="1677">
        <v>5</v>
      </c>
      <c r="AI44" s="1680">
        <v>8</v>
      </c>
      <c r="AJ44" s="1680">
        <v>0</v>
      </c>
      <c r="AK44" s="1680">
        <v>3</v>
      </c>
      <c r="AL44" s="1679">
        <v>6</v>
      </c>
      <c r="AM44" s="1678"/>
      <c r="AN44" s="1677"/>
      <c r="AO44" s="1677">
        <v>5</v>
      </c>
      <c r="AP44" s="1679">
        <v>13</v>
      </c>
      <c r="AQ44" s="1678">
        <v>4</v>
      </c>
      <c r="AR44" s="1677"/>
      <c r="AS44" s="1677"/>
      <c r="AT44" s="1679"/>
      <c r="AU44" s="1678"/>
      <c r="AV44" s="1677"/>
      <c r="AW44" s="1677"/>
      <c r="AX44" s="1679"/>
      <c r="AY44" s="1678"/>
      <c r="AZ44" s="1677"/>
      <c r="BA44" s="1677"/>
      <c r="BB44" s="1676"/>
      <c r="BC44" s="1676"/>
      <c r="BD44" s="1676"/>
      <c r="BE44" s="1676"/>
      <c r="BF44" s="1676"/>
      <c r="BG44" s="1676"/>
      <c r="BH44" s="1676"/>
      <c r="BI44" s="1676"/>
      <c r="BJ44" s="1675">
        <v>1</v>
      </c>
    </row>
    <row r="45" spans="1:62" x14ac:dyDescent="0.2">
      <c r="A45" s="1688" t="s">
        <v>1304</v>
      </c>
      <c r="B45" s="1677">
        <v>1</v>
      </c>
      <c r="C45" s="1677" t="s">
        <v>1952</v>
      </c>
      <c r="D45" s="1682">
        <v>51</v>
      </c>
      <c r="E45" s="1681">
        <v>5.75</v>
      </c>
      <c r="F45" s="1677">
        <v>11.125</v>
      </c>
      <c r="G45" s="1687"/>
      <c r="H45" s="1686"/>
      <c r="I45" s="1687"/>
      <c r="J45" s="1686">
        <v>0</v>
      </c>
      <c r="K45" s="1677">
        <v>1.75</v>
      </c>
      <c r="L45" s="1677" t="s">
        <v>114</v>
      </c>
      <c r="M45" s="1677">
        <v>7.5</v>
      </c>
      <c r="N45" s="1687">
        <v>7.5</v>
      </c>
      <c r="O45" s="1686">
        <v>0</v>
      </c>
      <c r="P45" s="1687">
        <v>1</v>
      </c>
      <c r="Q45" s="1686">
        <v>0</v>
      </c>
      <c r="R45" s="1677">
        <v>6.75</v>
      </c>
      <c r="S45" s="1677">
        <v>0</v>
      </c>
      <c r="T45" s="1677">
        <v>2</v>
      </c>
      <c r="U45" s="1685">
        <v>0</v>
      </c>
      <c r="V45" s="1685">
        <v>6.25</v>
      </c>
      <c r="W45" s="1677">
        <v>5</v>
      </c>
      <c r="X45" s="1677"/>
      <c r="Y45" s="1677"/>
      <c r="Z45" s="1684" t="s">
        <v>2052</v>
      </c>
      <c r="AA45" s="1683"/>
      <c r="AB45" s="1677"/>
      <c r="AC45" s="1682"/>
      <c r="AD45" s="1681"/>
      <c r="AE45" s="1677" t="s">
        <v>1703</v>
      </c>
      <c r="AF45" s="1677">
        <v>7</v>
      </c>
      <c r="AG45" s="1680">
        <v>6</v>
      </c>
      <c r="AH45" s="1677">
        <v>5</v>
      </c>
      <c r="AI45" s="1680">
        <v>8</v>
      </c>
      <c r="AJ45" s="1680">
        <v>0</v>
      </c>
      <c r="AK45" s="1680">
        <v>3</v>
      </c>
      <c r="AL45" s="1679">
        <v>10</v>
      </c>
      <c r="AM45" s="1678"/>
      <c r="AN45" s="1677"/>
      <c r="AO45" s="1677">
        <v>5</v>
      </c>
      <c r="AP45" s="1679">
        <v>13</v>
      </c>
      <c r="AQ45" s="1678">
        <v>4</v>
      </c>
      <c r="AR45" s="1677">
        <v>-4</v>
      </c>
      <c r="AS45" s="1677">
        <v>1.75</v>
      </c>
      <c r="AT45" s="1679"/>
      <c r="AU45" s="1678"/>
      <c r="AV45" s="1677"/>
      <c r="AW45" s="1677"/>
      <c r="AX45" s="1679"/>
      <c r="AY45" s="1678"/>
      <c r="AZ45" s="1677"/>
      <c r="BA45" s="1677"/>
      <c r="BB45" s="1676"/>
      <c r="BC45" s="1676"/>
      <c r="BD45" s="1676"/>
      <c r="BE45" s="1676"/>
      <c r="BF45" s="1676"/>
      <c r="BG45" s="1676"/>
      <c r="BH45" s="1676"/>
      <c r="BI45" s="1676"/>
      <c r="BJ45" s="1675">
        <v>1</v>
      </c>
    </row>
    <row r="46" spans="1:62" x14ac:dyDescent="0.2">
      <c r="A46" s="1688" t="s">
        <v>1305</v>
      </c>
      <c r="B46" s="1677">
        <v>1</v>
      </c>
      <c r="C46" s="1677" t="s">
        <v>1960</v>
      </c>
      <c r="D46" s="1682">
        <v>16</v>
      </c>
      <c r="E46" s="1681">
        <v>0.25</v>
      </c>
      <c r="F46" s="1677">
        <v>11.125</v>
      </c>
      <c r="G46" s="1687">
        <v>0</v>
      </c>
      <c r="H46" s="1686">
        <v>1.75</v>
      </c>
      <c r="I46" s="1687" t="s">
        <v>114</v>
      </c>
      <c r="J46" s="1686"/>
      <c r="K46" s="1677"/>
      <c r="L46" s="1677"/>
      <c r="M46" s="1677">
        <v>7.5</v>
      </c>
      <c r="N46" s="1687">
        <v>7.5</v>
      </c>
      <c r="O46" s="1686">
        <v>0</v>
      </c>
      <c r="P46" s="1687">
        <v>6.75</v>
      </c>
      <c r="Q46" s="1686">
        <v>0</v>
      </c>
      <c r="R46" s="1677">
        <v>1</v>
      </c>
      <c r="S46" s="1677">
        <v>0</v>
      </c>
      <c r="T46" s="1677">
        <v>6.25</v>
      </c>
      <c r="U46" s="1685">
        <v>0</v>
      </c>
      <c r="V46" s="1685">
        <v>3.875</v>
      </c>
      <c r="W46" s="1677">
        <v>5</v>
      </c>
      <c r="X46" s="1677"/>
      <c r="Y46" s="1677"/>
      <c r="Z46" s="1684" t="s">
        <v>2045</v>
      </c>
      <c r="AA46" s="1683"/>
      <c r="AB46" s="1677"/>
      <c r="AC46" s="1682"/>
      <c r="AD46" s="1681"/>
      <c r="AE46" s="1677" t="s">
        <v>35</v>
      </c>
      <c r="AF46" s="1677">
        <v>7</v>
      </c>
      <c r="AG46" s="1680">
        <v>10</v>
      </c>
      <c r="AH46" s="1677"/>
      <c r="AI46" s="1680"/>
      <c r="AJ46" s="1680"/>
      <c r="AK46" s="1680">
        <v>8</v>
      </c>
      <c r="AL46" s="1679">
        <v>0.5</v>
      </c>
      <c r="AM46" s="1678"/>
      <c r="AN46" s="1677"/>
      <c r="AO46" s="1677">
        <v>5</v>
      </c>
      <c r="AP46" s="1679">
        <v>13</v>
      </c>
      <c r="AQ46" s="1678">
        <v>4</v>
      </c>
      <c r="AR46" s="1677">
        <v>1.75</v>
      </c>
      <c r="AS46" s="1677"/>
      <c r="AT46" s="1679"/>
      <c r="AU46" s="1678"/>
      <c r="AV46" s="1677"/>
      <c r="AW46" s="1677"/>
      <c r="AX46" s="1679"/>
      <c r="AY46" s="1678"/>
      <c r="AZ46" s="1677"/>
      <c r="BA46" s="1677"/>
      <c r="BB46" s="1676"/>
      <c r="BC46" s="1676"/>
      <c r="BD46" s="1676"/>
      <c r="BE46" s="1676"/>
      <c r="BF46" s="1676"/>
      <c r="BG46" s="1676"/>
      <c r="BH46" s="1676"/>
      <c r="BI46" s="1676"/>
      <c r="BJ46" s="1675">
        <v>1</v>
      </c>
    </row>
    <row r="47" spans="1:62" x14ac:dyDescent="0.2">
      <c r="A47" s="1688" t="s">
        <v>1306</v>
      </c>
      <c r="B47" s="1677">
        <v>1</v>
      </c>
      <c r="C47" s="1677" t="s">
        <v>1961</v>
      </c>
      <c r="D47" s="1682">
        <v>32</v>
      </c>
      <c r="E47" s="1681">
        <v>3.125</v>
      </c>
      <c r="F47" s="1677">
        <v>11.125</v>
      </c>
      <c r="G47" s="1687">
        <v>0</v>
      </c>
      <c r="H47" s="1686">
        <v>1.75</v>
      </c>
      <c r="I47" s="1687" t="s">
        <v>114</v>
      </c>
      <c r="J47" s="1686"/>
      <c r="K47" s="1677"/>
      <c r="L47" s="1677"/>
      <c r="M47" s="1677">
        <v>7.5</v>
      </c>
      <c r="N47" s="1687">
        <v>7.5</v>
      </c>
      <c r="O47" s="1686">
        <v>0</v>
      </c>
      <c r="P47" s="1687">
        <v>6</v>
      </c>
      <c r="Q47" s="1686">
        <v>0</v>
      </c>
      <c r="R47" s="1677">
        <v>1.875</v>
      </c>
      <c r="S47" s="1677">
        <v>0</v>
      </c>
      <c r="T47" s="1677">
        <v>6.25</v>
      </c>
      <c r="U47" s="1685">
        <v>0</v>
      </c>
      <c r="V47" s="1685">
        <v>3.875</v>
      </c>
      <c r="W47" s="1677">
        <v>5</v>
      </c>
      <c r="X47" s="1677"/>
      <c r="Y47" s="1677"/>
      <c r="Z47" s="1684" t="s">
        <v>2045</v>
      </c>
      <c r="AA47" s="1683"/>
      <c r="AB47" s="1677"/>
      <c r="AC47" s="1682"/>
      <c r="AD47" s="1681"/>
      <c r="AE47" s="1677" t="s">
        <v>34</v>
      </c>
      <c r="AF47" s="1677">
        <v>3</v>
      </c>
      <c r="AG47" s="1680">
        <v>10</v>
      </c>
      <c r="AH47" s="1677">
        <v>3</v>
      </c>
      <c r="AI47" s="1680">
        <v>8</v>
      </c>
      <c r="AJ47" s="1680">
        <v>0</v>
      </c>
      <c r="AK47" s="1680">
        <v>4</v>
      </c>
      <c r="AL47" s="1679">
        <v>3.375</v>
      </c>
      <c r="AM47" s="1678"/>
      <c r="AN47" s="1677"/>
      <c r="AO47" s="1677">
        <v>5</v>
      </c>
      <c r="AP47" s="1679">
        <v>13</v>
      </c>
      <c r="AQ47" s="1678">
        <v>4</v>
      </c>
      <c r="AR47" s="1677"/>
      <c r="AS47" s="1677"/>
      <c r="AT47" s="1679" t="s">
        <v>1061</v>
      </c>
      <c r="AU47" s="1678" t="s">
        <v>1956</v>
      </c>
      <c r="AV47" s="1677"/>
      <c r="AW47" s="1677" t="s">
        <v>35</v>
      </c>
      <c r="AX47" s="1679"/>
      <c r="AY47" s="1678"/>
      <c r="AZ47" s="1677"/>
      <c r="BA47" s="1677"/>
      <c r="BB47" s="1676"/>
      <c r="BC47" s="1676"/>
      <c r="BD47" s="1676"/>
      <c r="BE47" s="1676"/>
      <c r="BF47" s="1676"/>
      <c r="BG47" s="1676"/>
      <c r="BH47" s="1676"/>
      <c r="BI47" s="1676"/>
      <c r="BJ47" s="1675">
        <v>2</v>
      </c>
    </row>
    <row r="48" spans="1:62" x14ac:dyDescent="0.2">
      <c r="A48" s="1688"/>
      <c r="B48" s="1677"/>
      <c r="C48" s="1677"/>
      <c r="D48" s="1682"/>
      <c r="E48" s="1681"/>
      <c r="F48" s="1677"/>
      <c r="G48" s="1687"/>
      <c r="H48" s="1686"/>
      <c r="I48" s="1687"/>
      <c r="J48" s="1686"/>
      <c r="K48" s="1677"/>
      <c r="L48" s="1677"/>
      <c r="M48" s="1677"/>
      <c r="N48" s="1687"/>
      <c r="O48" s="1686"/>
      <c r="P48" s="1687"/>
      <c r="Q48" s="1686"/>
      <c r="R48" s="1677"/>
      <c r="S48" s="1677"/>
      <c r="T48" s="1677"/>
      <c r="U48" s="1685"/>
      <c r="V48" s="1685"/>
      <c r="W48" s="1677"/>
      <c r="X48" s="1677"/>
      <c r="Y48" s="1677"/>
      <c r="Z48" s="1684"/>
      <c r="AA48" s="1683"/>
      <c r="AB48" s="1677"/>
      <c r="AC48" s="1682"/>
      <c r="AD48" s="1681"/>
      <c r="AE48" s="1677" t="s">
        <v>1703</v>
      </c>
      <c r="AF48" s="1677">
        <v>3</v>
      </c>
      <c r="AG48" s="1680">
        <v>10</v>
      </c>
      <c r="AH48" s="1677">
        <v>2</v>
      </c>
      <c r="AI48" s="1680">
        <v>8</v>
      </c>
      <c r="AJ48" s="1680">
        <v>0</v>
      </c>
      <c r="AK48" s="1680">
        <v>12</v>
      </c>
      <c r="AL48" s="1679">
        <v>3.375</v>
      </c>
      <c r="AM48" s="1678"/>
      <c r="AN48" s="1677"/>
      <c r="AO48" s="1677"/>
      <c r="AP48" s="1679"/>
      <c r="AQ48" s="1678"/>
      <c r="AR48" s="1677"/>
      <c r="AS48" s="1677"/>
      <c r="AT48" s="1679"/>
      <c r="AU48" s="1678"/>
      <c r="AV48" s="1677"/>
      <c r="AW48" s="1677"/>
      <c r="AX48" s="1679"/>
      <c r="AY48" s="1678"/>
      <c r="AZ48" s="1677"/>
      <c r="BA48" s="1677"/>
      <c r="BB48" s="1676"/>
      <c r="BC48" s="1676"/>
      <c r="BD48" s="1676"/>
      <c r="BE48" s="1676"/>
      <c r="BF48" s="1676"/>
      <c r="BG48" s="1676"/>
      <c r="BH48" s="1676"/>
      <c r="BI48" s="1676"/>
      <c r="BJ48" s="1675"/>
    </row>
    <row r="49" spans="1:62" x14ac:dyDescent="0.2">
      <c r="A49" s="1688" t="s">
        <v>1307</v>
      </c>
      <c r="B49" s="1677">
        <v>1</v>
      </c>
      <c r="C49" s="1677" t="s">
        <v>1962</v>
      </c>
      <c r="D49" s="1682">
        <v>42</v>
      </c>
      <c r="E49" s="1681">
        <v>1.25</v>
      </c>
      <c r="F49" s="1677">
        <v>11.125</v>
      </c>
      <c r="G49" s="1687">
        <v>0</v>
      </c>
      <c r="H49" s="1686">
        <v>1.75</v>
      </c>
      <c r="I49" s="1687" t="s">
        <v>114</v>
      </c>
      <c r="J49" s="1686"/>
      <c r="K49" s="1677"/>
      <c r="L49" s="1677"/>
      <c r="M49" s="1677">
        <v>7.5</v>
      </c>
      <c r="N49" s="1687">
        <v>7.5</v>
      </c>
      <c r="O49" s="1686">
        <v>0</v>
      </c>
      <c r="P49" s="1687">
        <v>6</v>
      </c>
      <c r="Q49" s="1686">
        <v>0</v>
      </c>
      <c r="R49" s="1677">
        <v>1.875</v>
      </c>
      <c r="S49" s="1677">
        <v>0</v>
      </c>
      <c r="T49" s="1677">
        <v>6.25</v>
      </c>
      <c r="U49" s="1685">
        <v>0</v>
      </c>
      <c r="V49" s="1685">
        <v>3.875</v>
      </c>
      <c r="W49" s="1677">
        <v>5</v>
      </c>
      <c r="X49" s="1677"/>
      <c r="Y49" s="1677"/>
      <c r="Z49" s="1684" t="s">
        <v>2053</v>
      </c>
      <c r="AA49" s="1683"/>
      <c r="AB49" s="1677"/>
      <c r="AC49" s="1682"/>
      <c r="AD49" s="1681"/>
      <c r="AE49" s="1677" t="s">
        <v>34</v>
      </c>
      <c r="AF49" s="1677">
        <v>3</v>
      </c>
      <c r="AG49" s="1680">
        <v>10</v>
      </c>
      <c r="AH49" s="1677">
        <v>4</v>
      </c>
      <c r="AI49" s="1680">
        <v>8</v>
      </c>
      <c r="AJ49" s="1680">
        <v>0</v>
      </c>
      <c r="AK49" s="1680">
        <v>6</v>
      </c>
      <c r="AL49" s="1679">
        <v>1.5</v>
      </c>
      <c r="AM49" s="1678"/>
      <c r="AN49" s="1677"/>
      <c r="AO49" s="1677">
        <v>5</v>
      </c>
      <c r="AP49" s="1679">
        <v>13</v>
      </c>
      <c r="AQ49" s="1678">
        <v>4</v>
      </c>
      <c r="AR49" s="1677"/>
      <c r="AS49" s="1677"/>
      <c r="AT49" s="1679" t="s">
        <v>1061</v>
      </c>
      <c r="AU49" s="1678" t="s">
        <v>1956</v>
      </c>
      <c r="AV49" s="1677"/>
      <c r="AW49" s="1677" t="s">
        <v>35</v>
      </c>
      <c r="AX49" s="1679" t="s">
        <v>1061</v>
      </c>
      <c r="AY49" s="1678" t="s">
        <v>1963</v>
      </c>
      <c r="AZ49" s="1677"/>
      <c r="BA49" s="1677" t="s">
        <v>1703</v>
      </c>
      <c r="BB49" s="1676"/>
      <c r="BC49" s="1676"/>
      <c r="BD49" s="1676"/>
      <c r="BE49" s="1676"/>
      <c r="BF49" s="1676"/>
      <c r="BG49" s="1676"/>
      <c r="BH49" s="1676"/>
      <c r="BI49" s="1676"/>
      <c r="BJ49" s="1675">
        <v>2</v>
      </c>
    </row>
    <row r="50" spans="1:62" x14ac:dyDescent="0.2">
      <c r="A50" s="1688"/>
      <c r="B50" s="1677"/>
      <c r="C50" s="1677"/>
      <c r="D50" s="1682"/>
      <c r="E50" s="1681"/>
      <c r="F50" s="1677"/>
      <c r="G50" s="1687"/>
      <c r="H50" s="1686"/>
      <c r="I50" s="1687"/>
      <c r="J50" s="1686"/>
      <c r="K50" s="1677"/>
      <c r="L50" s="1677"/>
      <c r="M50" s="1677"/>
      <c r="N50" s="1687"/>
      <c r="O50" s="1686"/>
      <c r="P50" s="1687"/>
      <c r="Q50" s="1686"/>
      <c r="R50" s="1677"/>
      <c r="S50" s="1677"/>
      <c r="T50" s="1677"/>
      <c r="U50" s="1685"/>
      <c r="V50" s="1685"/>
      <c r="W50" s="1677"/>
      <c r="X50" s="1677"/>
      <c r="Y50" s="1677"/>
      <c r="Z50" s="1684"/>
      <c r="AA50" s="1683"/>
      <c r="AB50" s="1677"/>
      <c r="AC50" s="1682"/>
      <c r="AD50" s="1681"/>
      <c r="AE50" s="1677" t="s">
        <v>1703</v>
      </c>
      <c r="AF50" s="1677">
        <v>3</v>
      </c>
      <c r="AG50" s="1680">
        <v>10</v>
      </c>
      <c r="AH50" s="1677">
        <v>3</v>
      </c>
      <c r="AI50" s="1680">
        <v>8</v>
      </c>
      <c r="AJ50" s="1680">
        <v>0</v>
      </c>
      <c r="AK50" s="1680">
        <v>14</v>
      </c>
      <c r="AL50" s="1679">
        <v>1.5</v>
      </c>
      <c r="AM50" s="1678"/>
      <c r="AN50" s="1677"/>
      <c r="AO50" s="1677"/>
      <c r="AP50" s="1679"/>
      <c r="AQ50" s="1678"/>
      <c r="AR50" s="1677"/>
      <c r="AS50" s="1677"/>
      <c r="AT50" s="1679"/>
      <c r="AU50" s="1678"/>
      <c r="AV50" s="1677"/>
      <c r="AW50" s="1677"/>
      <c r="AX50" s="1679"/>
      <c r="AY50" s="1678"/>
      <c r="AZ50" s="1677"/>
      <c r="BA50" s="1677"/>
      <c r="BB50" s="1676"/>
      <c r="BC50" s="1676"/>
      <c r="BD50" s="1676"/>
      <c r="BE50" s="1676"/>
      <c r="BF50" s="1676"/>
      <c r="BG50" s="1676"/>
      <c r="BH50" s="1676"/>
      <c r="BI50" s="1676"/>
      <c r="BJ50" s="1675"/>
    </row>
    <row r="51" spans="1:62" x14ac:dyDescent="0.2">
      <c r="A51" s="1688" t="s">
        <v>1308</v>
      </c>
      <c r="B51" s="1677">
        <v>1</v>
      </c>
      <c r="C51" s="1677" t="s">
        <v>1964</v>
      </c>
      <c r="D51" s="1682">
        <v>51</v>
      </c>
      <c r="E51" s="1681">
        <v>11.5</v>
      </c>
      <c r="F51" s="1677">
        <v>11.125</v>
      </c>
      <c r="G51" s="1687">
        <v>0</v>
      </c>
      <c r="H51" s="1686">
        <v>1.75</v>
      </c>
      <c r="I51" s="1687" t="s">
        <v>114</v>
      </c>
      <c r="J51" s="1686">
        <v>0</v>
      </c>
      <c r="K51" s="1677">
        <v>1.75</v>
      </c>
      <c r="L51" s="1677" t="s">
        <v>114</v>
      </c>
      <c r="M51" s="1677">
        <v>7.5</v>
      </c>
      <c r="N51" s="1687">
        <v>7.5</v>
      </c>
      <c r="O51" s="1686">
        <v>0</v>
      </c>
      <c r="P51" s="1687">
        <v>6.75</v>
      </c>
      <c r="Q51" s="1686">
        <v>0</v>
      </c>
      <c r="R51" s="1677">
        <v>6.75</v>
      </c>
      <c r="S51" s="1677">
        <v>0</v>
      </c>
      <c r="T51" s="1677">
        <v>6.25</v>
      </c>
      <c r="U51" s="1685">
        <v>0</v>
      </c>
      <c r="V51" s="1685">
        <v>6.25</v>
      </c>
      <c r="W51" s="1677">
        <v>5</v>
      </c>
      <c r="X51" s="1677"/>
      <c r="Y51" s="1677"/>
      <c r="Z51" s="1684" t="s">
        <v>2042</v>
      </c>
      <c r="AA51" s="1683"/>
      <c r="AB51" s="1677"/>
      <c r="AC51" s="1682"/>
      <c r="AD51" s="1681"/>
      <c r="AE51" s="1677" t="s">
        <v>35</v>
      </c>
      <c r="AF51" s="1677">
        <v>3</v>
      </c>
      <c r="AG51" s="1680">
        <v>10</v>
      </c>
      <c r="AH51" s="1677">
        <v>5</v>
      </c>
      <c r="AI51" s="1680">
        <v>8</v>
      </c>
      <c r="AJ51" s="1680">
        <v>0</v>
      </c>
      <c r="AK51" s="1680">
        <v>7</v>
      </c>
      <c r="AL51" s="1679">
        <v>10</v>
      </c>
      <c r="AM51" s="1678"/>
      <c r="AN51" s="1677"/>
      <c r="AO51" s="1677">
        <v>5</v>
      </c>
      <c r="AP51" s="1679">
        <v>13</v>
      </c>
      <c r="AQ51" s="1678">
        <v>4</v>
      </c>
      <c r="AR51" s="1677"/>
      <c r="AS51" s="1677">
        <v>1.75</v>
      </c>
      <c r="AT51" s="1679" t="s">
        <v>1061</v>
      </c>
      <c r="AU51" s="1678" t="s">
        <v>1956</v>
      </c>
      <c r="AV51" s="1677"/>
      <c r="AW51" s="1677" t="s">
        <v>35</v>
      </c>
      <c r="AX51" s="1679"/>
      <c r="AY51" s="1678"/>
      <c r="AZ51" s="1677"/>
      <c r="BA51" s="1677"/>
      <c r="BB51" s="1676"/>
      <c r="BC51" s="1676"/>
      <c r="BD51" s="1676"/>
      <c r="BE51" s="1676"/>
      <c r="BF51" s="1676"/>
      <c r="BG51" s="1676"/>
      <c r="BH51" s="1676"/>
      <c r="BI51" s="1676"/>
      <c r="BJ51" s="1675">
        <v>1</v>
      </c>
    </row>
    <row r="52" spans="1:62" x14ac:dyDescent="0.2">
      <c r="A52" s="1688" t="s">
        <v>1309</v>
      </c>
      <c r="B52" s="1677">
        <v>3</v>
      </c>
      <c r="C52" s="1677" t="s">
        <v>1954</v>
      </c>
      <c r="D52" s="1682">
        <v>51</v>
      </c>
      <c r="E52" s="1681">
        <v>11.5</v>
      </c>
      <c r="F52" s="1677">
        <v>11.125</v>
      </c>
      <c r="G52" s="1687">
        <v>0</v>
      </c>
      <c r="H52" s="1686">
        <v>1.75</v>
      </c>
      <c r="I52" s="1687" t="s">
        <v>114</v>
      </c>
      <c r="J52" s="1686">
        <v>0</v>
      </c>
      <c r="K52" s="1677">
        <v>1.75</v>
      </c>
      <c r="L52" s="1677" t="s">
        <v>114</v>
      </c>
      <c r="M52" s="1677">
        <v>7.5</v>
      </c>
      <c r="N52" s="1687">
        <v>7.5</v>
      </c>
      <c r="O52" s="1686">
        <v>0</v>
      </c>
      <c r="P52" s="1687">
        <v>6.75</v>
      </c>
      <c r="Q52" s="1686">
        <v>0</v>
      </c>
      <c r="R52" s="1677">
        <v>6.75</v>
      </c>
      <c r="S52" s="1677">
        <v>0</v>
      </c>
      <c r="T52" s="1677">
        <v>6.25</v>
      </c>
      <c r="U52" s="1685">
        <v>0</v>
      </c>
      <c r="V52" s="1685">
        <v>6.25</v>
      </c>
      <c r="W52" s="1677">
        <v>5</v>
      </c>
      <c r="X52" s="1677"/>
      <c r="Y52" s="1677"/>
      <c r="Z52" s="1684" t="s">
        <v>2054</v>
      </c>
      <c r="AA52" s="1683"/>
      <c r="AB52" s="1677"/>
      <c r="AC52" s="1682"/>
      <c r="AD52" s="1681"/>
      <c r="AE52" s="1677" t="s">
        <v>35</v>
      </c>
      <c r="AF52" s="1677">
        <v>3</v>
      </c>
      <c r="AG52" s="1680">
        <v>10</v>
      </c>
      <c r="AH52" s="1677">
        <v>5</v>
      </c>
      <c r="AI52" s="1680">
        <v>8</v>
      </c>
      <c r="AJ52" s="1680">
        <v>0</v>
      </c>
      <c r="AK52" s="1680">
        <v>7</v>
      </c>
      <c r="AL52" s="1679">
        <v>10</v>
      </c>
      <c r="AM52" s="1678"/>
      <c r="AN52" s="1677"/>
      <c r="AO52" s="1677">
        <v>5</v>
      </c>
      <c r="AP52" s="1679">
        <v>13</v>
      </c>
      <c r="AQ52" s="1678">
        <v>4</v>
      </c>
      <c r="AR52" s="1677"/>
      <c r="AS52" s="1677">
        <v>1.75</v>
      </c>
      <c r="AT52" s="1679" t="s">
        <v>1061</v>
      </c>
      <c r="AU52" s="1678" t="s">
        <v>1956</v>
      </c>
      <c r="AV52" s="1677"/>
      <c r="AW52" s="1677" t="s">
        <v>35</v>
      </c>
      <c r="AX52" s="1679"/>
      <c r="AY52" s="1678"/>
      <c r="AZ52" s="1677"/>
      <c r="BA52" s="1677"/>
      <c r="BB52" s="1676"/>
      <c r="BC52" s="1676"/>
      <c r="BD52" s="1676"/>
      <c r="BE52" s="1676"/>
      <c r="BF52" s="1676"/>
      <c r="BG52" s="1676"/>
      <c r="BH52" s="1676"/>
      <c r="BI52" s="1676"/>
      <c r="BJ52" s="1675">
        <v>1</v>
      </c>
    </row>
    <row r="53" spans="1:62" x14ac:dyDescent="0.2">
      <c r="A53" s="1688" t="s">
        <v>1310</v>
      </c>
      <c r="B53" s="1677">
        <v>14</v>
      </c>
      <c r="C53" s="1677" t="s">
        <v>1954</v>
      </c>
      <c r="D53" s="1682">
        <v>51</v>
      </c>
      <c r="E53" s="1681">
        <v>11.5</v>
      </c>
      <c r="F53" s="1677">
        <v>11.125</v>
      </c>
      <c r="G53" s="1687">
        <v>0</v>
      </c>
      <c r="H53" s="1686">
        <v>1.75</v>
      </c>
      <c r="I53" s="1687" t="s">
        <v>114</v>
      </c>
      <c r="J53" s="1686">
        <v>0</v>
      </c>
      <c r="K53" s="1677">
        <v>1.75</v>
      </c>
      <c r="L53" s="1677" t="s">
        <v>114</v>
      </c>
      <c r="M53" s="1677">
        <v>7.5</v>
      </c>
      <c r="N53" s="1687">
        <v>7.5</v>
      </c>
      <c r="O53" s="1686">
        <v>0</v>
      </c>
      <c r="P53" s="1687">
        <v>6.75</v>
      </c>
      <c r="Q53" s="1686">
        <v>0</v>
      </c>
      <c r="R53" s="1677">
        <v>6.75</v>
      </c>
      <c r="S53" s="1677">
        <v>0</v>
      </c>
      <c r="T53" s="1677">
        <v>6.25</v>
      </c>
      <c r="U53" s="1685">
        <v>0</v>
      </c>
      <c r="V53" s="1685">
        <v>6.25</v>
      </c>
      <c r="W53" s="1677">
        <v>5</v>
      </c>
      <c r="X53" s="1677"/>
      <c r="Y53" s="1677"/>
      <c r="Z53" s="1684" t="s">
        <v>2042</v>
      </c>
      <c r="AA53" s="1683"/>
      <c r="AB53" s="1677"/>
      <c r="AC53" s="1682"/>
      <c r="AD53" s="1681"/>
      <c r="AE53" s="1677" t="s">
        <v>35</v>
      </c>
      <c r="AF53" s="1677">
        <v>3</v>
      </c>
      <c r="AG53" s="1680">
        <v>10</v>
      </c>
      <c r="AH53" s="1677">
        <v>5</v>
      </c>
      <c r="AI53" s="1680">
        <v>8</v>
      </c>
      <c r="AJ53" s="1680">
        <v>0</v>
      </c>
      <c r="AK53" s="1680">
        <v>7</v>
      </c>
      <c r="AL53" s="1679">
        <v>10</v>
      </c>
      <c r="AM53" s="1678"/>
      <c r="AN53" s="1677"/>
      <c r="AO53" s="1677">
        <v>5</v>
      </c>
      <c r="AP53" s="1679">
        <v>13</v>
      </c>
      <c r="AQ53" s="1678">
        <v>4</v>
      </c>
      <c r="AR53" s="1677"/>
      <c r="AS53" s="1677">
        <v>1.75</v>
      </c>
      <c r="AT53" s="1679" t="s">
        <v>1061</v>
      </c>
      <c r="AU53" s="1678" t="s">
        <v>1956</v>
      </c>
      <c r="AV53" s="1677"/>
      <c r="AW53" s="1677" t="s">
        <v>35</v>
      </c>
      <c r="AX53" s="1679"/>
      <c r="AY53" s="1678"/>
      <c r="AZ53" s="1677"/>
      <c r="BA53" s="1677"/>
      <c r="BB53" s="1676"/>
      <c r="BC53" s="1676"/>
      <c r="BD53" s="1676"/>
      <c r="BE53" s="1676"/>
      <c r="BF53" s="1676"/>
      <c r="BG53" s="1676"/>
      <c r="BH53" s="1676"/>
      <c r="BI53" s="1676"/>
      <c r="BJ53" s="1675">
        <v>1</v>
      </c>
    </row>
    <row r="54" spans="1:62" x14ac:dyDescent="0.2">
      <c r="A54" s="1688" t="s">
        <v>1311</v>
      </c>
      <c r="B54" s="1677">
        <v>3</v>
      </c>
      <c r="C54" s="1677" t="s">
        <v>1954</v>
      </c>
      <c r="D54" s="1682">
        <v>51</v>
      </c>
      <c r="E54" s="1681">
        <v>11.5</v>
      </c>
      <c r="F54" s="1677">
        <v>11.125</v>
      </c>
      <c r="G54" s="1687">
        <v>0</v>
      </c>
      <c r="H54" s="1686">
        <v>1.75</v>
      </c>
      <c r="I54" s="1687" t="s">
        <v>114</v>
      </c>
      <c r="J54" s="1686">
        <v>0</v>
      </c>
      <c r="K54" s="1677">
        <v>1.75</v>
      </c>
      <c r="L54" s="1677" t="s">
        <v>114</v>
      </c>
      <c r="M54" s="1677">
        <v>7.5</v>
      </c>
      <c r="N54" s="1687">
        <v>7.5</v>
      </c>
      <c r="O54" s="1686">
        <v>0</v>
      </c>
      <c r="P54" s="1687">
        <v>6.75</v>
      </c>
      <c r="Q54" s="1686">
        <v>0</v>
      </c>
      <c r="R54" s="1677">
        <v>6.75</v>
      </c>
      <c r="S54" s="1677">
        <v>0</v>
      </c>
      <c r="T54" s="1677">
        <v>6.25</v>
      </c>
      <c r="U54" s="1685">
        <v>0</v>
      </c>
      <c r="V54" s="1685">
        <v>6.25</v>
      </c>
      <c r="W54" s="1677">
        <v>5</v>
      </c>
      <c r="X54" s="1677"/>
      <c r="Y54" s="1677"/>
      <c r="Z54" s="1684" t="s">
        <v>2055</v>
      </c>
      <c r="AA54" s="1683"/>
      <c r="AB54" s="1677"/>
      <c r="AC54" s="1682"/>
      <c r="AD54" s="1681"/>
      <c r="AE54" s="1677" t="s">
        <v>35</v>
      </c>
      <c r="AF54" s="1677">
        <v>3</v>
      </c>
      <c r="AG54" s="1680">
        <v>10</v>
      </c>
      <c r="AH54" s="1677">
        <v>5</v>
      </c>
      <c r="AI54" s="1680">
        <v>8</v>
      </c>
      <c r="AJ54" s="1680">
        <v>0</v>
      </c>
      <c r="AK54" s="1680">
        <v>7</v>
      </c>
      <c r="AL54" s="1679">
        <v>10</v>
      </c>
      <c r="AM54" s="1678"/>
      <c r="AN54" s="1677"/>
      <c r="AO54" s="1677">
        <v>5</v>
      </c>
      <c r="AP54" s="1679">
        <v>13</v>
      </c>
      <c r="AQ54" s="1678">
        <v>4</v>
      </c>
      <c r="AR54" s="1677"/>
      <c r="AS54" s="1677">
        <v>1.75</v>
      </c>
      <c r="AT54" s="1679" t="s">
        <v>1061</v>
      </c>
      <c r="AU54" s="1678" t="s">
        <v>1956</v>
      </c>
      <c r="AV54" s="1677"/>
      <c r="AW54" s="1677" t="s">
        <v>35</v>
      </c>
      <c r="AX54" s="1679"/>
      <c r="AY54" s="1678"/>
      <c r="AZ54" s="1677"/>
      <c r="BA54" s="1677"/>
      <c r="BB54" s="1676"/>
      <c r="BC54" s="1676"/>
      <c r="BD54" s="1676"/>
      <c r="BE54" s="1676"/>
      <c r="BF54" s="1676"/>
      <c r="BG54" s="1676"/>
      <c r="BH54" s="1676"/>
      <c r="BI54" s="1676"/>
      <c r="BJ54" s="1675">
        <v>1</v>
      </c>
    </row>
    <row r="55" spans="1:62" x14ac:dyDescent="0.2">
      <c r="A55" s="1688" t="s">
        <v>1312</v>
      </c>
      <c r="B55" s="1677">
        <v>6</v>
      </c>
      <c r="C55" s="1677" t="s">
        <v>1954</v>
      </c>
      <c r="D55" s="1682">
        <v>51</v>
      </c>
      <c r="E55" s="1681">
        <v>11.5</v>
      </c>
      <c r="F55" s="1677">
        <v>11.125</v>
      </c>
      <c r="G55" s="1687">
        <v>0</v>
      </c>
      <c r="H55" s="1686">
        <v>1.75</v>
      </c>
      <c r="I55" s="1687" t="s">
        <v>114</v>
      </c>
      <c r="J55" s="1686">
        <v>0</v>
      </c>
      <c r="K55" s="1677">
        <v>1.75</v>
      </c>
      <c r="L55" s="1677" t="s">
        <v>114</v>
      </c>
      <c r="M55" s="1677">
        <v>7.5</v>
      </c>
      <c r="N55" s="1687">
        <v>7.5</v>
      </c>
      <c r="O55" s="1686">
        <v>0</v>
      </c>
      <c r="P55" s="1687">
        <v>6.75</v>
      </c>
      <c r="Q55" s="1686">
        <v>0</v>
      </c>
      <c r="R55" s="1677">
        <v>6.75</v>
      </c>
      <c r="S55" s="1677">
        <v>0</v>
      </c>
      <c r="T55" s="1677">
        <v>6.25</v>
      </c>
      <c r="U55" s="1685">
        <v>0</v>
      </c>
      <c r="V55" s="1685">
        <v>6.25</v>
      </c>
      <c r="W55" s="1677">
        <v>5</v>
      </c>
      <c r="X55" s="1677"/>
      <c r="Y55" s="1677"/>
      <c r="Z55" s="1684" t="s">
        <v>2036</v>
      </c>
      <c r="AA55" s="1683"/>
      <c r="AB55" s="1677"/>
      <c r="AC55" s="1682"/>
      <c r="AD55" s="1681"/>
      <c r="AE55" s="1677" t="s">
        <v>35</v>
      </c>
      <c r="AF55" s="1677">
        <v>3</v>
      </c>
      <c r="AG55" s="1680">
        <v>10</v>
      </c>
      <c r="AH55" s="1677">
        <v>5</v>
      </c>
      <c r="AI55" s="1680">
        <v>8</v>
      </c>
      <c r="AJ55" s="1680">
        <v>0</v>
      </c>
      <c r="AK55" s="1680">
        <v>7</v>
      </c>
      <c r="AL55" s="1679">
        <v>10</v>
      </c>
      <c r="AM55" s="1678"/>
      <c r="AN55" s="1677"/>
      <c r="AO55" s="1677">
        <v>5</v>
      </c>
      <c r="AP55" s="1679">
        <v>13</v>
      </c>
      <c r="AQ55" s="1678">
        <v>4</v>
      </c>
      <c r="AR55" s="1677"/>
      <c r="AS55" s="1677">
        <v>1.75</v>
      </c>
      <c r="AT55" s="1679" t="s">
        <v>1061</v>
      </c>
      <c r="AU55" s="1678" t="s">
        <v>1956</v>
      </c>
      <c r="AV55" s="1677"/>
      <c r="AW55" s="1677" t="s">
        <v>35</v>
      </c>
      <c r="AX55" s="1679"/>
      <c r="AY55" s="1678"/>
      <c r="AZ55" s="1677"/>
      <c r="BA55" s="1677"/>
      <c r="BB55" s="1676"/>
      <c r="BC55" s="1676"/>
      <c r="BD55" s="1676"/>
      <c r="BE55" s="1676"/>
      <c r="BF55" s="1676"/>
      <c r="BG55" s="1676"/>
      <c r="BH55" s="1676"/>
      <c r="BI55" s="1676"/>
      <c r="BJ55" s="1675">
        <v>1</v>
      </c>
    </row>
    <row r="56" spans="1:62" x14ac:dyDescent="0.2">
      <c r="A56" s="1688" t="s">
        <v>1313</v>
      </c>
      <c r="B56" s="1677">
        <v>3</v>
      </c>
      <c r="C56" s="1677" t="s">
        <v>1954</v>
      </c>
      <c r="D56" s="1682">
        <v>51</v>
      </c>
      <c r="E56" s="1681">
        <v>11.5</v>
      </c>
      <c r="F56" s="1677">
        <v>11.125</v>
      </c>
      <c r="G56" s="1687">
        <v>0</v>
      </c>
      <c r="H56" s="1686">
        <v>1.75</v>
      </c>
      <c r="I56" s="1687" t="s">
        <v>114</v>
      </c>
      <c r="J56" s="1686">
        <v>0</v>
      </c>
      <c r="K56" s="1677">
        <v>1.75</v>
      </c>
      <c r="L56" s="1677" t="s">
        <v>114</v>
      </c>
      <c r="M56" s="1677">
        <v>7.5</v>
      </c>
      <c r="N56" s="1687">
        <v>7.5</v>
      </c>
      <c r="O56" s="1686">
        <v>0</v>
      </c>
      <c r="P56" s="1687">
        <v>6.75</v>
      </c>
      <c r="Q56" s="1686">
        <v>0</v>
      </c>
      <c r="R56" s="1677">
        <v>6.75</v>
      </c>
      <c r="S56" s="1677">
        <v>0</v>
      </c>
      <c r="T56" s="1677">
        <v>6.25</v>
      </c>
      <c r="U56" s="1685">
        <v>0</v>
      </c>
      <c r="V56" s="1685">
        <v>6.25</v>
      </c>
      <c r="W56" s="1677">
        <v>5</v>
      </c>
      <c r="X56" s="1677"/>
      <c r="Y56" s="1677"/>
      <c r="Z56" s="1684" t="s">
        <v>2037</v>
      </c>
      <c r="AA56" s="1683"/>
      <c r="AB56" s="1677"/>
      <c r="AC56" s="1682"/>
      <c r="AD56" s="1681"/>
      <c r="AE56" s="1677" t="s">
        <v>35</v>
      </c>
      <c r="AF56" s="1677">
        <v>3</v>
      </c>
      <c r="AG56" s="1680">
        <v>10</v>
      </c>
      <c r="AH56" s="1677">
        <v>5</v>
      </c>
      <c r="AI56" s="1680">
        <v>8</v>
      </c>
      <c r="AJ56" s="1680">
        <v>0</v>
      </c>
      <c r="AK56" s="1680">
        <v>7</v>
      </c>
      <c r="AL56" s="1679">
        <v>10</v>
      </c>
      <c r="AM56" s="1678"/>
      <c r="AN56" s="1677"/>
      <c r="AO56" s="1677">
        <v>5</v>
      </c>
      <c r="AP56" s="1679">
        <v>13</v>
      </c>
      <c r="AQ56" s="1678">
        <v>4</v>
      </c>
      <c r="AR56" s="1677"/>
      <c r="AS56" s="1677">
        <v>1.75</v>
      </c>
      <c r="AT56" s="1679" t="s">
        <v>1061</v>
      </c>
      <c r="AU56" s="1678" t="s">
        <v>1956</v>
      </c>
      <c r="AV56" s="1677"/>
      <c r="AW56" s="1677" t="s">
        <v>35</v>
      </c>
      <c r="AX56" s="1679"/>
      <c r="AY56" s="1678"/>
      <c r="AZ56" s="1677"/>
      <c r="BA56" s="1677"/>
      <c r="BB56" s="1676"/>
      <c r="BC56" s="1676"/>
      <c r="BD56" s="1676"/>
      <c r="BE56" s="1676"/>
      <c r="BF56" s="1676"/>
      <c r="BG56" s="1676"/>
      <c r="BH56" s="1676"/>
      <c r="BI56" s="1676"/>
      <c r="BJ56" s="1675">
        <v>1</v>
      </c>
    </row>
    <row r="57" spans="1:62" x14ac:dyDescent="0.2">
      <c r="A57" s="1688" t="s">
        <v>1314</v>
      </c>
      <c r="B57" s="1677">
        <v>1</v>
      </c>
      <c r="C57" s="1677" t="s">
        <v>1961</v>
      </c>
      <c r="D57" s="1682">
        <v>33</v>
      </c>
      <c r="E57" s="1681">
        <v>3.125</v>
      </c>
      <c r="F57" s="1677">
        <v>11.125</v>
      </c>
      <c r="G57" s="1687">
        <v>0</v>
      </c>
      <c r="H57" s="1686">
        <v>1.75</v>
      </c>
      <c r="I57" s="1687" t="s">
        <v>114</v>
      </c>
      <c r="J57" s="1686"/>
      <c r="K57" s="1677"/>
      <c r="L57" s="1677"/>
      <c r="M57" s="1677">
        <v>7.5</v>
      </c>
      <c r="N57" s="1687">
        <v>7.5</v>
      </c>
      <c r="O57" s="1686">
        <v>0</v>
      </c>
      <c r="P57" s="1687">
        <v>6.125</v>
      </c>
      <c r="Q57" s="1686">
        <v>0</v>
      </c>
      <c r="R57" s="1677">
        <v>1.625</v>
      </c>
      <c r="S57" s="1677">
        <v>0</v>
      </c>
      <c r="T57" s="1677">
        <v>6.25</v>
      </c>
      <c r="U57" s="1685">
        <v>0</v>
      </c>
      <c r="V57" s="1685">
        <v>3.875</v>
      </c>
      <c r="W57" s="1677">
        <v>5</v>
      </c>
      <c r="X57" s="1677"/>
      <c r="Y57" s="1677"/>
      <c r="Z57" s="1684" t="s">
        <v>2056</v>
      </c>
      <c r="AA57" s="1683"/>
      <c r="AB57" s="1677"/>
      <c r="AC57" s="1682"/>
      <c r="AD57" s="1681"/>
      <c r="AE57" s="1677" t="s">
        <v>35</v>
      </c>
      <c r="AF57" s="1677">
        <v>3</v>
      </c>
      <c r="AG57" s="1680">
        <v>10</v>
      </c>
      <c r="AH57" s="1677">
        <v>3</v>
      </c>
      <c r="AI57" s="1680">
        <v>8</v>
      </c>
      <c r="AJ57" s="1680">
        <v>0</v>
      </c>
      <c r="AK57" s="1680">
        <v>5</v>
      </c>
      <c r="AL57" s="1679">
        <v>3.375</v>
      </c>
      <c r="AM57" s="1678"/>
      <c r="AN57" s="1677"/>
      <c r="AO57" s="1677"/>
      <c r="AP57" s="1679"/>
      <c r="AQ57" s="1678"/>
      <c r="AR57" s="1677"/>
      <c r="AS57" s="1677"/>
      <c r="AT57" s="1679"/>
      <c r="AU57" s="1678"/>
      <c r="AV57" s="1677"/>
      <c r="AW57" s="1677"/>
      <c r="AX57" s="1679"/>
      <c r="AY57" s="1678"/>
      <c r="AZ57" s="1677"/>
      <c r="BA57" s="1677"/>
      <c r="BB57" s="1676"/>
      <c r="BC57" s="1676"/>
      <c r="BD57" s="1676"/>
      <c r="BE57" s="1676"/>
      <c r="BF57" s="1676"/>
      <c r="BG57" s="1676"/>
      <c r="BH57" s="1676"/>
      <c r="BI57" s="1676"/>
      <c r="BJ57" s="1675">
        <v>1</v>
      </c>
    </row>
    <row r="58" spans="1:62" x14ac:dyDescent="0.2">
      <c r="A58" s="1688" t="s">
        <v>1315</v>
      </c>
      <c r="B58" s="1677">
        <v>1</v>
      </c>
      <c r="C58" s="1677" t="s">
        <v>1965</v>
      </c>
      <c r="D58" s="1682">
        <v>24</v>
      </c>
      <c r="E58" s="1681">
        <v>5</v>
      </c>
      <c r="F58" s="1677">
        <v>11.125</v>
      </c>
      <c r="G58" s="1687">
        <v>0</v>
      </c>
      <c r="H58" s="1686">
        <v>1.75</v>
      </c>
      <c r="I58" s="1687" t="s">
        <v>114</v>
      </c>
      <c r="J58" s="1686"/>
      <c r="K58" s="1677"/>
      <c r="L58" s="1677"/>
      <c r="M58" s="1677">
        <v>7.5</v>
      </c>
      <c r="N58" s="1687">
        <v>7.5</v>
      </c>
      <c r="O58" s="1686">
        <v>0</v>
      </c>
      <c r="P58" s="1687">
        <v>6.75</v>
      </c>
      <c r="Q58" s="1686">
        <v>0</v>
      </c>
      <c r="R58" s="1677">
        <v>1</v>
      </c>
      <c r="S58" s="1677">
        <v>0</v>
      </c>
      <c r="T58" s="1677">
        <v>6.25</v>
      </c>
      <c r="U58" s="1685">
        <v>0</v>
      </c>
      <c r="V58" s="1685">
        <v>3.875</v>
      </c>
      <c r="W58" s="1677">
        <v>5</v>
      </c>
      <c r="X58" s="1677"/>
      <c r="Y58" s="1677"/>
      <c r="Z58" s="1684" t="s">
        <v>2057</v>
      </c>
      <c r="AA58" s="1683"/>
      <c r="AB58" s="1677"/>
      <c r="AC58" s="1682"/>
      <c r="AD58" s="1681"/>
      <c r="AE58" s="1677" t="s">
        <v>35</v>
      </c>
      <c r="AF58" s="1677">
        <v>7</v>
      </c>
      <c r="AG58" s="1680">
        <v>10</v>
      </c>
      <c r="AH58" s="1677">
        <v>1</v>
      </c>
      <c r="AI58" s="1680">
        <v>8</v>
      </c>
      <c r="AJ58" s="1680">
        <v>0</v>
      </c>
      <c r="AK58" s="1680">
        <v>8</v>
      </c>
      <c r="AL58" s="1679">
        <v>5.25</v>
      </c>
      <c r="AM58" s="1678"/>
      <c r="AN58" s="1677"/>
      <c r="AO58" s="1677">
        <v>5</v>
      </c>
      <c r="AP58" s="1679">
        <v>13</v>
      </c>
      <c r="AQ58" s="1678">
        <v>4</v>
      </c>
      <c r="AR58" s="1677">
        <v>1.75</v>
      </c>
      <c r="AS58" s="1677"/>
      <c r="AT58" s="1679"/>
      <c r="AU58" s="1678"/>
      <c r="AV58" s="1677"/>
      <c r="AW58" s="1677"/>
      <c r="AX58" s="1679"/>
      <c r="AY58" s="1678"/>
      <c r="AZ58" s="1677"/>
      <c r="BA58" s="1677"/>
      <c r="BB58" s="1676"/>
      <c r="BC58" s="1676"/>
      <c r="BD58" s="1676"/>
      <c r="BE58" s="1676"/>
      <c r="BF58" s="1676"/>
      <c r="BG58" s="1676"/>
      <c r="BH58" s="1676"/>
      <c r="BI58" s="1676"/>
      <c r="BJ58" s="1675">
        <v>1</v>
      </c>
    </row>
    <row r="59" spans="1:62" x14ac:dyDescent="0.2">
      <c r="A59" s="1688" t="s">
        <v>1316</v>
      </c>
      <c r="B59" s="1677">
        <v>1</v>
      </c>
      <c r="C59" s="1677" t="s">
        <v>1954</v>
      </c>
      <c r="D59" s="1682">
        <v>51</v>
      </c>
      <c r="E59" s="1681">
        <v>11.5</v>
      </c>
      <c r="F59" s="1677">
        <v>11.125</v>
      </c>
      <c r="G59" s="1687">
        <v>0</v>
      </c>
      <c r="H59" s="1686">
        <v>1.75</v>
      </c>
      <c r="I59" s="1687" t="s">
        <v>114</v>
      </c>
      <c r="J59" s="1686">
        <v>0</v>
      </c>
      <c r="K59" s="1677">
        <v>1.75</v>
      </c>
      <c r="L59" s="1677" t="s">
        <v>114</v>
      </c>
      <c r="M59" s="1677">
        <v>7.5</v>
      </c>
      <c r="N59" s="1687">
        <v>7.5</v>
      </c>
      <c r="O59" s="1686">
        <v>0</v>
      </c>
      <c r="P59" s="1687">
        <v>6.75</v>
      </c>
      <c r="Q59" s="1686">
        <v>0</v>
      </c>
      <c r="R59" s="1677">
        <v>6.75</v>
      </c>
      <c r="S59" s="1677">
        <v>0</v>
      </c>
      <c r="T59" s="1677">
        <v>6.25</v>
      </c>
      <c r="U59" s="1685">
        <v>0</v>
      </c>
      <c r="V59" s="1685">
        <v>6.25</v>
      </c>
      <c r="W59" s="1677">
        <v>5</v>
      </c>
      <c r="X59" s="1677"/>
      <c r="Y59" s="1677"/>
      <c r="Z59" s="1684" t="s">
        <v>2028</v>
      </c>
      <c r="AA59" s="1683"/>
      <c r="AB59" s="1677"/>
      <c r="AC59" s="1682"/>
      <c r="AD59" s="1681"/>
      <c r="AE59" s="1677" t="s">
        <v>35</v>
      </c>
      <c r="AF59" s="1677">
        <v>3</v>
      </c>
      <c r="AG59" s="1680">
        <v>10</v>
      </c>
      <c r="AH59" s="1677">
        <v>5</v>
      </c>
      <c r="AI59" s="1680">
        <v>8</v>
      </c>
      <c r="AJ59" s="1680">
        <v>0</v>
      </c>
      <c r="AK59" s="1680">
        <v>7</v>
      </c>
      <c r="AL59" s="1679">
        <v>10</v>
      </c>
      <c r="AM59" s="1678"/>
      <c r="AN59" s="1677"/>
      <c r="AO59" s="1677">
        <v>5</v>
      </c>
      <c r="AP59" s="1679">
        <v>13</v>
      </c>
      <c r="AQ59" s="1678">
        <v>4</v>
      </c>
      <c r="AR59" s="1677"/>
      <c r="AS59" s="1677">
        <v>1.75</v>
      </c>
      <c r="AT59" s="1679"/>
      <c r="AU59" s="1678"/>
      <c r="AV59" s="1677"/>
      <c r="AW59" s="1677"/>
      <c r="AX59" s="1679"/>
      <c r="AY59" s="1678"/>
      <c r="AZ59" s="1677"/>
      <c r="BA59" s="1677"/>
      <c r="BB59" s="1676"/>
      <c r="BC59" s="1676"/>
      <c r="BD59" s="1676"/>
      <c r="BE59" s="1676"/>
      <c r="BF59" s="1676"/>
      <c r="BG59" s="1676"/>
      <c r="BH59" s="1676"/>
      <c r="BI59" s="1676"/>
      <c r="BJ59" s="1675">
        <v>1</v>
      </c>
    </row>
    <row r="60" spans="1:62" x14ac:dyDescent="0.2">
      <c r="A60" s="1688" t="s">
        <v>1317</v>
      </c>
      <c r="B60" s="1677">
        <v>1</v>
      </c>
      <c r="C60" s="1677" t="s">
        <v>1957</v>
      </c>
      <c r="D60" s="1682">
        <v>59</v>
      </c>
      <c r="E60" s="1681">
        <v>1.5</v>
      </c>
      <c r="F60" s="1677">
        <v>11.125</v>
      </c>
      <c r="G60" s="1687"/>
      <c r="H60" s="1686"/>
      <c r="I60" s="1687"/>
      <c r="J60" s="1686">
        <v>0</v>
      </c>
      <c r="K60" s="1677">
        <v>1.75</v>
      </c>
      <c r="L60" s="1677" t="s">
        <v>114</v>
      </c>
      <c r="M60" s="1677">
        <v>7.5</v>
      </c>
      <c r="N60" s="1687">
        <v>7.5</v>
      </c>
      <c r="O60" s="1686">
        <v>0</v>
      </c>
      <c r="P60" s="1687">
        <v>1</v>
      </c>
      <c r="Q60" s="1686">
        <v>0</v>
      </c>
      <c r="R60" s="1677">
        <v>6.75</v>
      </c>
      <c r="S60" s="1677">
        <v>0</v>
      </c>
      <c r="T60" s="1677">
        <v>3</v>
      </c>
      <c r="U60" s="1685">
        <v>0</v>
      </c>
      <c r="V60" s="1685">
        <v>6.25</v>
      </c>
      <c r="W60" s="1677">
        <v>5</v>
      </c>
      <c r="X60" s="1677"/>
      <c r="Y60" s="1677"/>
      <c r="Z60" s="1684" t="s">
        <v>2058</v>
      </c>
      <c r="AA60" s="1683"/>
      <c r="AB60" s="1677"/>
      <c r="AC60" s="1682"/>
      <c r="AD60" s="1681"/>
      <c r="AE60" s="1677" t="s">
        <v>35</v>
      </c>
      <c r="AF60" s="1677">
        <v>3</v>
      </c>
      <c r="AG60" s="1680">
        <v>1.75</v>
      </c>
      <c r="AH60" s="1677">
        <v>6</v>
      </c>
      <c r="AI60" s="1680">
        <v>8</v>
      </c>
      <c r="AJ60" s="1680">
        <v>0</v>
      </c>
      <c r="AK60" s="1680">
        <v>7</v>
      </c>
      <c r="AL60" s="1679">
        <v>10</v>
      </c>
      <c r="AM60" s="1678"/>
      <c r="AN60" s="1677"/>
      <c r="AO60" s="1677">
        <v>5</v>
      </c>
      <c r="AP60" s="1679">
        <v>13</v>
      </c>
      <c r="AQ60" s="1678">
        <v>4</v>
      </c>
      <c r="AR60" s="1677"/>
      <c r="AS60" s="1677">
        <v>1.75</v>
      </c>
      <c r="AT60" s="1679"/>
      <c r="AU60" s="1678"/>
      <c r="AV60" s="1677"/>
      <c r="AW60" s="1677"/>
      <c r="AX60" s="1679"/>
      <c r="AY60" s="1678"/>
      <c r="AZ60" s="1677"/>
      <c r="BA60" s="1677"/>
      <c r="BB60" s="1676"/>
      <c r="BC60" s="1676"/>
      <c r="BD60" s="1676"/>
      <c r="BE60" s="1676"/>
      <c r="BF60" s="1676"/>
      <c r="BG60" s="1676"/>
      <c r="BH60" s="1676"/>
      <c r="BI60" s="1676"/>
      <c r="BJ60" s="1675">
        <v>1</v>
      </c>
    </row>
    <row r="61" spans="1:62" x14ac:dyDescent="0.2">
      <c r="A61" s="1688" t="s">
        <v>1318</v>
      </c>
      <c r="B61" s="1677">
        <v>1</v>
      </c>
      <c r="C61" s="1677" t="s">
        <v>1954</v>
      </c>
      <c r="D61" s="1682">
        <v>51</v>
      </c>
      <c r="E61" s="1681">
        <v>1.5</v>
      </c>
      <c r="F61" s="1677">
        <v>11.125</v>
      </c>
      <c r="G61" s="1687"/>
      <c r="H61" s="1686"/>
      <c r="I61" s="1687"/>
      <c r="J61" s="1686">
        <v>0</v>
      </c>
      <c r="K61" s="1677">
        <v>1.75</v>
      </c>
      <c r="L61" s="1677" t="s">
        <v>114</v>
      </c>
      <c r="M61" s="1677">
        <v>7.5</v>
      </c>
      <c r="N61" s="1687">
        <v>7.5</v>
      </c>
      <c r="O61" s="1686">
        <v>0</v>
      </c>
      <c r="P61" s="1687">
        <v>1</v>
      </c>
      <c r="Q61" s="1686">
        <v>0</v>
      </c>
      <c r="R61" s="1677">
        <v>6.75</v>
      </c>
      <c r="S61" s="1677">
        <v>0</v>
      </c>
      <c r="T61" s="1677">
        <v>3</v>
      </c>
      <c r="U61" s="1685">
        <v>0</v>
      </c>
      <c r="V61" s="1685">
        <v>6.25</v>
      </c>
      <c r="W61" s="1677">
        <v>5</v>
      </c>
      <c r="X61" s="1677"/>
      <c r="Y61" s="1677"/>
      <c r="Z61" s="1684" t="s">
        <v>2059</v>
      </c>
      <c r="AA61" s="1683"/>
      <c r="AB61" s="1677"/>
      <c r="AC61" s="1682"/>
      <c r="AD61" s="1681"/>
      <c r="AE61" s="1677" t="s">
        <v>35</v>
      </c>
      <c r="AF61" s="1677">
        <v>3</v>
      </c>
      <c r="AG61" s="1680">
        <v>1.75</v>
      </c>
      <c r="AH61" s="1677">
        <v>5</v>
      </c>
      <c r="AI61" s="1680">
        <v>8</v>
      </c>
      <c r="AJ61" s="1680">
        <v>0</v>
      </c>
      <c r="AK61" s="1680">
        <v>7</v>
      </c>
      <c r="AL61" s="1679">
        <v>10</v>
      </c>
      <c r="AM61" s="1678"/>
      <c r="AN61" s="1677"/>
      <c r="AO61" s="1677">
        <v>5</v>
      </c>
      <c r="AP61" s="1679">
        <v>13</v>
      </c>
      <c r="AQ61" s="1678">
        <v>4</v>
      </c>
      <c r="AR61" s="1677"/>
      <c r="AS61" s="1677">
        <v>1.75</v>
      </c>
      <c r="AT61" s="1679"/>
      <c r="AU61" s="1678"/>
      <c r="AV61" s="1677"/>
      <c r="AW61" s="1677"/>
      <c r="AX61" s="1679"/>
      <c r="AY61" s="1678"/>
      <c r="AZ61" s="1677"/>
      <c r="BA61" s="1677"/>
      <c r="BB61" s="1676"/>
      <c r="BC61" s="1676"/>
      <c r="BD61" s="1676"/>
      <c r="BE61" s="1676"/>
      <c r="BF61" s="1676"/>
      <c r="BG61" s="1676"/>
      <c r="BH61" s="1676"/>
      <c r="BI61" s="1676"/>
      <c r="BJ61" s="1675">
        <v>1</v>
      </c>
    </row>
    <row r="62" spans="1:62" x14ac:dyDescent="0.2">
      <c r="A62" s="1688" t="s">
        <v>1319</v>
      </c>
      <c r="B62" s="1677">
        <v>2</v>
      </c>
      <c r="C62" s="1677" t="s">
        <v>1953</v>
      </c>
      <c r="D62" s="1682">
        <v>59</v>
      </c>
      <c r="E62" s="1681">
        <v>1.5</v>
      </c>
      <c r="F62" s="1677">
        <v>11.125</v>
      </c>
      <c r="G62" s="1687"/>
      <c r="H62" s="1686"/>
      <c r="I62" s="1687"/>
      <c r="J62" s="1686">
        <v>0</v>
      </c>
      <c r="K62" s="1677">
        <v>1.75</v>
      </c>
      <c r="L62" s="1677" t="s">
        <v>114</v>
      </c>
      <c r="M62" s="1677">
        <v>7.5</v>
      </c>
      <c r="N62" s="1687">
        <v>7.5</v>
      </c>
      <c r="O62" s="1686">
        <v>0</v>
      </c>
      <c r="P62" s="1687">
        <v>0</v>
      </c>
      <c r="Q62" s="1686">
        <v>0</v>
      </c>
      <c r="R62" s="1677">
        <v>7.875</v>
      </c>
      <c r="S62" s="1677">
        <v>0</v>
      </c>
      <c r="T62" s="1677">
        <v>3</v>
      </c>
      <c r="U62" s="1685">
        <v>0</v>
      </c>
      <c r="V62" s="1685">
        <v>6.25</v>
      </c>
      <c r="W62" s="1677">
        <v>5</v>
      </c>
      <c r="X62" s="1677"/>
      <c r="Y62" s="1677"/>
      <c r="Z62" s="1684" t="s">
        <v>2060</v>
      </c>
      <c r="AA62" s="1683"/>
      <c r="AB62" s="1677"/>
      <c r="AC62" s="1682"/>
      <c r="AD62" s="1681"/>
      <c r="AE62" s="1677" t="s">
        <v>34</v>
      </c>
      <c r="AF62" s="1677">
        <v>3</v>
      </c>
      <c r="AG62" s="1680">
        <v>1.75</v>
      </c>
      <c r="AH62" s="1677">
        <v>6</v>
      </c>
      <c r="AI62" s="1680">
        <v>8</v>
      </c>
      <c r="AJ62" s="1680">
        <v>0</v>
      </c>
      <c r="AK62" s="1680">
        <v>7</v>
      </c>
      <c r="AL62" s="1679">
        <v>10</v>
      </c>
      <c r="AM62" s="1678"/>
      <c r="AN62" s="1677"/>
      <c r="AO62" s="1677">
        <v>5</v>
      </c>
      <c r="AP62" s="1679">
        <v>13</v>
      </c>
      <c r="AQ62" s="1678">
        <v>4</v>
      </c>
      <c r="AR62" s="1677"/>
      <c r="AS62" s="1677">
        <v>1.75</v>
      </c>
      <c r="AT62" s="1679"/>
      <c r="AU62" s="1678"/>
      <c r="AV62" s="1677"/>
      <c r="AW62" s="1677"/>
      <c r="AX62" s="1679"/>
      <c r="AY62" s="1678"/>
      <c r="AZ62" s="1677"/>
      <c r="BA62" s="1677"/>
      <c r="BB62" s="1676"/>
      <c r="BC62" s="1676"/>
      <c r="BD62" s="1676"/>
      <c r="BE62" s="1676"/>
      <c r="BF62" s="1676"/>
      <c r="BG62" s="1676"/>
      <c r="BH62" s="1676"/>
      <c r="BI62" s="1676"/>
      <c r="BJ62" s="1675">
        <v>1</v>
      </c>
    </row>
    <row r="63" spans="1:62" x14ac:dyDescent="0.2">
      <c r="A63" s="1688" t="s">
        <v>1320</v>
      </c>
      <c r="B63" s="1677">
        <v>1</v>
      </c>
      <c r="C63" s="1677" t="s">
        <v>1953</v>
      </c>
      <c r="D63" s="1682">
        <v>59</v>
      </c>
      <c r="E63" s="1681">
        <v>11.5</v>
      </c>
      <c r="F63" s="1677">
        <v>11.125</v>
      </c>
      <c r="G63" s="1687">
        <v>0</v>
      </c>
      <c r="H63" s="1686">
        <v>1.75</v>
      </c>
      <c r="I63" s="1687" t="s">
        <v>114</v>
      </c>
      <c r="J63" s="1686">
        <v>0</v>
      </c>
      <c r="K63" s="1677">
        <v>1.75</v>
      </c>
      <c r="L63" s="1677" t="s">
        <v>114</v>
      </c>
      <c r="M63" s="1677">
        <v>7.5</v>
      </c>
      <c r="N63" s="1687">
        <v>7.5</v>
      </c>
      <c r="O63" s="1686">
        <v>0</v>
      </c>
      <c r="P63" s="1687">
        <v>7.875</v>
      </c>
      <c r="Q63" s="1686">
        <v>0</v>
      </c>
      <c r="R63" s="1677">
        <v>5.75</v>
      </c>
      <c r="S63" s="1677">
        <v>0</v>
      </c>
      <c r="T63" s="1677">
        <v>6.25</v>
      </c>
      <c r="U63" s="1685">
        <v>0</v>
      </c>
      <c r="V63" s="1685">
        <v>6.25</v>
      </c>
      <c r="W63" s="1677">
        <v>5</v>
      </c>
      <c r="X63" s="1677"/>
      <c r="Y63" s="1677"/>
      <c r="Z63" s="1684" t="s">
        <v>2024</v>
      </c>
      <c r="AA63" s="1683"/>
      <c r="AB63" s="1677"/>
      <c r="AC63" s="1682"/>
      <c r="AD63" s="1681"/>
      <c r="AE63" s="1677" t="s">
        <v>1703</v>
      </c>
      <c r="AF63" s="1677">
        <v>3</v>
      </c>
      <c r="AG63" s="1680">
        <v>10</v>
      </c>
      <c r="AH63" s="1677">
        <v>6</v>
      </c>
      <c r="AI63" s="1680">
        <v>8</v>
      </c>
      <c r="AJ63" s="1680">
        <v>0</v>
      </c>
      <c r="AK63" s="1680">
        <v>7</v>
      </c>
      <c r="AL63" s="1679">
        <v>10</v>
      </c>
      <c r="AM63" s="1678"/>
      <c r="AN63" s="1677"/>
      <c r="AO63" s="1677">
        <v>5</v>
      </c>
      <c r="AP63" s="1679">
        <v>13</v>
      </c>
      <c r="AQ63" s="1678">
        <v>4</v>
      </c>
      <c r="AR63" s="1677">
        <v>1.75</v>
      </c>
      <c r="AS63" s="1677">
        <v>1.75</v>
      </c>
      <c r="AT63" s="1679"/>
      <c r="AU63" s="1678"/>
      <c r="AV63" s="1677"/>
      <c r="AW63" s="1677"/>
      <c r="AX63" s="1679"/>
      <c r="AY63" s="1678"/>
      <c r="AZ63" s="1677"/>
      <c r="BA63" s="1677"/>
      <c r="BB63" s="1676"/>
      <c r="BC63" s="1676"/>
      <c r="BD63" s="1676"/>
      <c r="BE63" s="1676"/>
      <c r="BF63" s="1676"/>
      <c r="BG63" s="1676"/>
      <c r="BH63" s="1676"/>
      <c r="BI63" s="1676"/>
      <c r="BJ63" s="1675">
        <v>1</v>
      </c>
    </row>
    <row r="64" spans="1:62" x14ac:dyDescent="0.2">
      <c r="A64" s="1688" t="s">
        <v>1321</v>
      </c>
      <c r="B64" s="1677">
        <v>1</v>
      </c>
      <c r="C64" s="1677" t="s">
        <v>1953</v>
      </c>
      <c r="D64" s="1682">
        <v>59</v>
      </c>
      <c r="E64" s="1681">
        <v>11.5</v>
      </c>
      <c r="F64" s="1677">
        <v>11.125</v>
      </c>
      <c r="G64" s="1687">
        <v>0</v>
      </c>
      <c r="H64" s="1686">
        <v>1.75</v>
      </c>
      <c r="I64" s="1687" t="s">
        <v>114</v>
      </c>
      <c r="J64" s="1686">
        <v>0</v>
      </c>
      <c r="K64" s="1677">
        <v>1.75</v>
      </c>
      <c r="L64" s="1677" t="s">
        <v>114</v>
      </c>
      <c r="M64" s="1677">
        <v>7.5</v>
      </c>
      <c r="N64" s="1687">
        <v>7.5</v>
      </c>
      <c r="O64" s="1686">
        <v>0</v>
      </c>
      <c r="P64" s="1687">
        <v>5.75</v>
      </c>
      <c r="Q64" s="1686">
        <v>0</v>
      </c>
      <c r="R64" s="1677">
        <v>7.875</v>
      </c>
      <c r="S64" s="1677">
        <v>0</v>
      </c>
      <c r="T64" s="1677">
        <v>6.25</v>
      </c>
      <c r="U64" s="1685">
        <v>0</v>
      </c>
      <c r="V64" s="1685">
        <v>6.25</v>
      </c>
      <c r="W64" s="1677">
        <v>5</v>
      </c>
      <c r="X64" s="1677"/>
      <c r="Y64" s="1677"/>
      <c r="Z64" s="1684" t="s">
        <v>2024</v>
      </c>
      <c r="AA64" s="1683"/>
      <c r="AB64" s="1677"/>
      <c r="AC64" s="1682"/>
      <c r="AD64" s="1681"/>
      <c r="AE64" s="1677" t="s">
        <v>1703</v>
      </c>
      <c r="AF64" s="1677">
        <v>7</v>
      </c>
      <c r="AG64" s="1680">
        <v>10</v>
      </c>
      <c r="AH64" s="1677">
        <v>6</v>
      </c>
      <c r="AI64" s="1680">
        <v>8</v>
      </c>
      <c r="AJ64" s="1680">
        <v>0</v>
      </c>
      <c r="AK64" s="1680">
        <v>3</v>
      </c>
      <c r="AL64" s="1679">
        <v>10</v>
      </c>
      <c r="AM64" s="1678"/>
      <c r="AN64" s="1677"/>
      <c r="AO64" s="1677">
        <v>5</v>
      </c>
      <c r="AP64" s="1679">
        <v>13</v>
      </c>
      <c r="AQ64" s="1678">
        <v>4</v>
      </c>
      <c r="AR64" s="1677">
        <v>1.75</v>
      </c>
      <c r="AS64" s="1677">
        <v>1.75</v>
      </c>
      <c r="AT64" s="1679"/>
      <c r="AU64" s="1678"/>
      <c r="AV64" s="1677"/>
      <c r="AW64" s="1677"/>
      <c r="AX64" s="1679"/>
      <c r="AY64" s="1678"/>
      <c r="AZ64" s="1677"/>
      <c r="BA64" s="1677"/>
      <c r="BB64" s="1676"/>
      <c r="BC64" s="1676"/>
      <c r="BD64" s="1676"/>
      <c r="BE64" s="1676"/>
      <c r="BF64" s="1676"/>
      <c r="BG64" s="1676"/>
      <c r="BH64" s="1676"/>
      <c r="BI64" s="1676"/>
      <c r="BJ64" s="1675">
        <v>1</v>
      </c>
    </row>
    <row r="65" spans="1:62" x14ac:dyDescent="0.2">
      <c r="A65" s="1688" t="s">
        <v>1322</v>
      </c>
      <c r="B65" s="1677">
        <v>3</v>
      </c>
      <c r="C65" s="1677" t="s">
        <v>1954</v>
      </c>
      <c r="D65" s="1682">
        <v>51</v>
      </c>
      <c r="E65" s="1681">
        <v>11.5</v>
      </c>
      <c r="F65" s="1677">
        <v>11.125</v>
      </c>
      <c r="G65" s="1687">
        <v>0</v>
      </c>
      <c r="H65" s="1686">
        <v>1.75</v>
      </c>
      <c r="I65" s="1687" t="s">
        <v>114</v>
      </c>
      <c r="J65" s="1686">
        <v>0</v>
      </c>
      <c r="K65" s="1677">
        <v>1.75</v>
      </c>
      <c r="L65" s="1677" t="s">
        <v>114</v>
      </c>
      <c r="M65" s="1677">
        <v>7.5</v>
      </c>
      <c r="N65" s="1687">
        <v>7.5</v>
      </c>
      <c r="O65" s="1686">
        <v>0</v>
      </c>
      <c r="P65" s="1687">
        <v>6.75</v>
      </c>
      <c r="Q65" s="1686">
        <v>0</v>
      </c>
      <c r="R65" s="1677">
        <v>6.75</v>
      </c>
      <c r="S65" s="1677">
        <v>0</v>
      </c>
      <c r="T65" s="1677">
        <v>6.25</v>
      </c>
      <c r="U65" s="1685">
        <v>0</v>
      </c>
      <c r="V65" s="1685">
        <v>6.25</v>
      </c>
      <c r="W65" s="1677">
        <v>5</v>
      </c>
      <c r="X65" s="1677"/>
      <c r="Y65" s="1677"/>
      <c r="Z65" s="1684" t="s">
        <v>2043</v>
      </c>
      <c r="AA65" s="1683"/>
      <c r="AB65" s="1677"/>
      <c r="AC65" s="1682"/>
      <c r="AD65" s="1681"/>
      <c r="AE65" s="1677" t="s">
        <v>35</v>
      </c>
      <c r="AF65" s="1677">
        <v>3</v>
      </c>
      <c r="AG65" s="1680">
        <v>10</v>
      </c>
      <c r="AH65" s="1677">
        <v>5</v>
      </c>
      <c r="AI65" s="1680">
        <v>8</v>
      </c>
      <c r="AJ65" s="1680">
        <v>0</v>
      </c>
      <c r="AK65" s="1680">
        <v>7</v>
      </c>
      <c r="AL65" s="1679">
        <v>10</v>
      </c>
      <c r="AM65" s="1678"/>
      <c r="AN65" s="1677"/>
      <c r="AO65" s="1677">
        <v>5</v>
      </c>
      <c r="AP65" s="1679">
        <v>13</v>
      </c>
      <c r="AQ65" s="1678">
        <v>4</v>
      </c>
      <c r="AR65" s="1677"/>
      <c r="AS65" s="1677">
        <v>1.75</v>
      </c>
      <c r="AT65" s="1679" t="s">
        <v>1061</v>
      </c>
      <c r="AU65" s="1678" t="s">
        <v>1956</v>
      </c>
      <c r="AV65" s="1677"/>
      <c r="AW65" s="1677" t="s">
        <v>35</v>
      </c>
      <c r="AX65" s="1679"/>
      <c r="AY65" s="1678"/>
      <c r="AZ65" s="1677"/>
      <c r="BA65" s="1677"/>
      <c r="BB65" s="1676"/>
      <c r="BC65" s="1676"/>
      <c r="BD65" s="1676"/>
      <c r="BE65" s="1676"/>
      <c r="BF65" s="1676"/>
      <c r="BG65" s="1676"/>
      <c r="BH65" s="1676"/>
      <c r="BI65" s="1676"/>
      <c r="BJ65" s="1675">
        <v>1</v>
      </c>
    </row>
    <row r="66" spans="1:62" x14ac:dyDescent="0.2">
      <c r="A66" s="1688" t="s">
        <v>1323</v>
      </c>
      <c r="B66" s="1677">
        <v>3</v>
      </c>
      <c r="C66" s="1677" t="s">
        <v>1954</v>
      </c>
      <c r="D66" s="1682">
        <v>51</v>
      </c>
      <c r="E66" s="1681">
        <v>5.75</v>
      </c>
      <c r="F66" s="1677">
        <v>11.125</v>
      </c>
      <c r="G66" s="1687"/>
      <c r="H66" s="1686"/>
      <c r="I66" s="1687"/>
      <c r="J66" s="1686">
        <v>0</v>
      </c>
      <c r="K66" s="1677">
        <v>1.75</v>
      </c>
      <c r="L66" s="1677" t="s">
        <v>114</v>
      </c>
      <c r="M66" s="1677">
        <v>7.5</v>
      </c>
      <c r="N66" s="1687">
        <v>7.5</v>
      </c>
      <c r="O66" s="1686">
        <v>0</v>
      </c>
      <c r="P66" s="1687">
        <v>1</v>
      </c>
      <c r="Q66" s="1686">
        <v>0</v>
      </c>
      <c r="R66" s="1677">
        <v>6.75</v>
      </c>
      <c r="S66" s="1677">
        <v>0</v>
      </c>
      <c r="T66" s="1677">
        <v>2</v>
      </c>
      <c r="U66" s="1685">
        <v>0</v>
      </c>
      <c r="V66" s="1685">
        <v>6.25</v>
      </c>
      <c r="W66" s="1677">
        <v>5</v>
      </c>
      <c r="X66" s="1677"/>
      <c r="Y66" s="1677"/>
      <c r="Z66" s="1684" t="s">
        <v>2042</v>
      </c>
      <c r="AA66" s="1683"/>
      <c r="AB66" s="1677"/>
      <c r="AC66" s="1682"/>
      <c r="AD66" s="1681"/>
      <c r="AE66" s="1677" t="s">
        <v>35</v>
      </c>
      <c r="AF66" s="1677">
        <v>7</v>
      </c>
      <c r="AG66" s="1680">
        <v>6</v>
      </c>
      <c r="AH66" s="1677">
        <v>5</v>
      </c>
      <c r="AI66" s="1680">
        <v>8</v>
      </c>
      <c r="AJ66" s="1680">
        <v>0</v>
      </c>
      <c r="AK66" s="1680">
        <v>3</v>
      </c>
      <c r="AL66" s="1679">
        <v>10</v>
      </c>
      <c r="AM66" s="1678"/>
      <c r="AN66" s="1677"/>
      <c r="AO66" s="1677">
        <v>5</v>
      </c>
      <c r="AP66" s="1679">
        <v>13</v>
      </c>
      <c r="AQ66" s="1678">
        <v>4</v>
      </c>
      <c r="AR66" s="1677"/>
      <c r="AS66" s="1677"/>
      <c r="AT66" s="1679" t="s">
        <v>1061</v>
      </c>
      <c r="AU66" s="1678" t="s">
        <v>1955</v>
      </c>
      <c r="AV66" s="1677"/>
      <c r="AW66" s="1677" t="s">
        <v>35</v>
      </c>
      <c r="AX66" s="1679"/>
      <c r="AY66" s="1678"/>
      <c r="AZ66" s="1677"/>
      <c r="BA66" s="1677"/>
      <c r="BB66" s="1676"/>
      <c r="BC66" s="1676"/>
      <c r="BD66" s="1676"/>
      <c r="BE66" s="1676"/>
      <c r="BF66" s="1676"/>
      <c r="BG66" s="1676"/>
      <c r="BH66" s="1676"/>
      <c r="BI66" s="1676"/>
      <c r="BJ66" s="1675">
        <v>1</v>
      </c>
    </row>
    <row r="67" spans="1:62" x14ac:dyDescent="0.2">
      <c r="A67" s="1688"/>
      <c r="B67" s="1677"/>
      <c r="C67" s="1677"/>
      <c r="D67" s="1682"/>
      <c r="E67" s="1681"/>
      <c r="F67" s="1677"/>
      <c r="G67" s="1687"/>
      <c r="H67" s="1686"/>
      <c r="I67" s="1687"/>
      <c r="J67" s="1686"/>
      <c r="K67" s="1677"/>
      <c r="L67" s="1677"/>
      <c r="M67" s="1677"/>
      <c r="N67" s="1687"/>
      <c r="O67" s="1686"/>
      <c r="P67" s="1687"/>
      <c r="Q67" s="1686"/>
      <c r="R67" s="1677"/>
      <c r="S67" s="1677"/>
      <c r="T67" s="1677"/>
      <c r="U67" s="1685"/>
      <c r="V67" s="1685"/>
      <c r="W67" s="1677"/>
      <c r="X67" s="1677"/>
      <c r="Y67" s="1677"/>
      <c r="Z67" s="1684"/>
      <c r="AA67" s="1683"/>
      <c r="AB67" s="1677"/>
      <c r="AC67" s="1682"/>
      <c r="AD67" s="1681"/>
      <c r="AE67" s="1677"/>
      <c r="AF67" s="1677"/>
      <c r="AG67" s="1680"/>
      <c r="AH67" s="1677"/>
      <c r="AI67" s="1680"/>
      <c r="AJ67" s="1680"/>
      <c r="AK67" s="1680"/>
      <c r="AL67" s="1679"/>
      <c r="AM67" s="1678"/>
      <c r="AN67" s="1677"/>
      <c r="AO67" s="1677"/>
      <c r="AP67" s="1679"/>
      <c r="AQ67" s="1678"/>
      <c r="AR67" s="1677"/>
      <c r="AS67" s="1677"/>
      <c r="AT67" s="1679"/>
      <c r="AU67" s="1678"/>
      <c r="AV67" s="1677"/>
      <c r="AW67" s="1677"/>
      <c r="AX67" s="1679"/>
      <c r="AY67" s="1678"/>
      <c r="AZ67" s="1677"/>
      <c r="BA67" s="1677"/>
      <c r="BB67" s="1676"/>
      <c r="BC67" s="1676"/>
      <c r="BD67" s="1676"/>
      <c r="BE67" s="1676"/>
      <c r="BF67" s="1676"/>
      <c r="BG67" s="1676"/>
      <c r="BH67" s="1676"/>
      <c r="BI67" s="1676"/>
      <c r="BJ67" s="1675"/>
    </row>
    <row r="68" spans="1:62" x14ac:dyDescent="0.2">
      <c r="A68" s="1688"/>
      <c r="B68" s="1677"/>
      <c r="C68" s="1677"/>
      <c r="D68" s="1682"/>
      <c r="E68" s="1681"/>
      <c r="F68" s="1677"/>
      <c r="G68" s="1687"/>
      <c r="H68" s="1686"/>
      <c r="I68" s="1687"/>
      <c r="J68" s="1686"/>
      <c r="K68" s="1677"/>
      <c r="L68" s="1677"/>
      <c r="M68" s="1677"/>
      <c r="N68" s="1687"/>
      <c r="O68" s="1686"/>
      <c r="P68" s="1687"/>
      <c r="Q68" s="1686"/>
      <c r="R68" s="1677"/>
      <c r="S68" s="1677"/>
      <c r="T68" s="1677"/>
      <c r="U68" s="1685"/>
      <c r="V68" s="1685"/>
      <c r="W68" s="1677"/>
      <c r="X68" s="1677"/>
      <c r="Y68" s="1677"/>
      <c r="Z68" s="1684"/>
      <c r="AA68" s="1683"/>
      <c r="AB68" s="1677"/>
      <c r="AC68" s="1682"/>
      <c r="AD68" s="1681"/>
      <c r="AE68" s="1677"/>
      <c r="AF68" s="1677"/>
      <c r="AG68" s="1680"/>
      <c r="AH68" s="1677"/>
      <c r="AI68" s="1680"/>
      <c r="AJ68" s="1680"/>
      <c r="AK68" s="1680"/>
      <c r="AL68" s="1679"/>
      <c r="AM68" s="1678"/>
      <c r="AN68" s="1677"/>
      <c r="AO68" s="1677"/>
      <c r="AP68" s="1679"/>
      <c r="AQ68" s="1678"/>
      <c r="AR68" s="1677"/>
      <c r="AS68" s="1677"/>
      <c r="AT68" s="1679"/>
      <c r="AU68" s="1678"/>
      <c r="AV68" s="1677"/>
      <c r="AW68" s="1677"/>
      <c r="AX68" s="1679"/>
      <c r="AY68" s="1678"/>
      <c r="AZ68" s="1677"/>
      <c r="BA68" s="1677"/>
      <c r="BB68" s="1676"/>
      <c r="BC68" s="1676"/>
      <c r="BD68" s="1676"/>
      <c r="BE68" s="1676"/>
      <c r="BF68" s="1676"/>
      <c r="BG68" s="1676"/>
      <c r="BH68" s="1676"/>
      <c r="BI68" s="1676"/>
      <c r="BJ68" s="1675"/>
    </row>
    <row r="69" spans="1:62" x14ac:dyDescent="0.2">
      <c r="A69" s="1688"/>
      <c r="B69" s="1677"/>
      <c r="C69" s="1677"/>
      <c r="D69" s="1682"/>
      <c r="E69" s="1681"/>
      <c r="F69" s="1677"/>
      <c r="G69" s="1687"/>
      <c r="H69" s="1686"/>
      <c r="I69" s="1687"/>
      <c r="J69" s="1686"/>
      <c r="K69" s="1677"/>
      <c r="L69" s="1677"/>
      <c r="M69" s="1677"/>
      <c r="N69" s="1687"/>
      <c r="O69" s="1686"/>
      <c r="P69" s="1687"/>
      <c r="Q69" s="1686"/>
      <c r="R69" s="1677"/>
      <c r="S69" s="1677"/>
      <c r="T69" s="1677"/>
      <c r="U69" s="1685"/>
      <c r="V69" s="1685"/>
      <c r="W69" s="1677"/>
      <c r="X69" s="1677"/>
      <c r="Y69" s="1677"/>
      <c r="Z69" s="1684"/>
      <c r="AA69" s="1683"/>
      <c r="AB69" s="1677"/>
      <c r="AC69" s="1682"/>
      <c r="AD69" s="1681"/>
      <c r="AE69" s="1677"/>
      <c r="AF69" s="1677"/>
      <c r="AG69" s="1680"/>
      <c r="AH69" s="1677"/>
      <c r="AI69" s="1680"/>
      <c r="AJ69" s="1680"/>
      <c r="AK69" s="1680"/>
      <c r="AL69" s="1679"/>
      <c r="AM69" s="1678"/>
      <c r="AN69" s="1677"/>
      <c r="AO69" s="1677"/>
      <c r="AP69" s="1679"/>
      <c r="AQ69" s="1678"/>
      <c r="AR69" s="1677"/>
      <c r="AS69" s="1677"/>
      <c r="AT69" s="1679"/>
      <c r="AU69" s="1678"/>
      <c r="AV69" s="1677"/>
      <c r="AW69" s="1677"/>
      <c r="AX69" s="1679"/>
      <c r="AY69" s="1678"/>
      <c r="AZ69" s="1677"/>
      <c r="BA69" s="1677"/>
      <c r="BB69" s="1676"/>
      <c r="BC69" s="1676"/>
      <c r="BD69" s="1676"/>
      <c r="BE69" s="1676"/>
      <c r="BF69" s="1676"/>
      <c r="BG69" s="1676"/>
      <c r="BH69" s="1676"/>
      <c r="BI69" s="1676"/>
      <c r="BJ69" s="1675"/>
    </row>
    <row r="70" spans="1:62" x14ac:dyDescent="0.2">
      <c r="A70" s="1688"/>
      <c r="B70" s="1677"/>
      <c r="C70" s="1677"/>
      <c r="D70" s="1682"/>
      <c r="E70" s="1681"/>
      <c r="F70" s="1677"/>
      <c r="G70" s="1687"/>
      <c r="H70" s="1686"/>
      <c r="I70" s="1687"/>
      <c r="J70" s="1686"/>
      <c r="K70" s="1677"/>
      <c r="L70" s="1677"/>
      <c r="M70" s="1677"/>
      <c r="N70" s="1687"/>
      <c r="O70" s="1686"/>
      <c r="P70" s="1687"/>
      <c r="Q70" s="1686"/>
      <c r="R70" s="1677"/>
      <c r="S70" s="1677"/>
      <c r="T70" s="1677"/>
      <c r="U70" s="1685"/>
      <c r="V70" s="1685"/>
      <c r="W70" s="1677"/>
      <c r="X70" s="1677"/>
      <c r="Y70" s="1677"/>
      <c r="Z70" s="1684"/>
      <c r="AA70" s="1683"/>
      <c r="AB70" s="1677"/>
      <c r="AC70" s="1682"/>
      <c r="AD70" s="1681"/>
      <c r="AE70" s="1677"/>
      <c r="AF70" s="1677"/>
      <c r="AG70" s="1680"/>
      <c r="AH70" s="1677"/>
      <c r="AI70" s="1680"/>
      <c r="AJ70" s="1680"/>
      <c r="AK70" s="1680"/>
      <c r="AL70" s="1679"/>
      <c r="AM70" s="1678"/>
      <c r="AN70" s="1677"/>
      <c r="AO70" s="1677"/>
      <c r="AP70" s="1679"/>
      <c r="AQ70" s="1678"/>
      <c r="AR70" s="1677"/>
      <c r="AS70" s="1677"/>
      <c r="AT70" s="1679"/>
      <c r="AU70" s="1678"/>
      <c r="AV70" s="1677"/>
      <c r="AW70" s="1677"/>
      <c r="AX70" s="1679"/>
      <c r="AY70" s="1678"/>
      <c r="AZ70" s="1677"/>
      <c r="BA70" s="1677"/>
      <c r="BB70" s="1676"/>
      <c r="BC70" s="1676"/>
      <c r="BD70" s="1676"/>
      <c r="BE70" s="1676"/>
      <c r="BF70" s="1676"/>
      <c r="BG70" s="1676"/>
      <c r="BH70" s="1676"/>
      <c r="BI70" s="1676"/>
      <c r="BJ70" s="1675"/>
    </row>
    <row r="71" spans="1:62" x14ac:dyDescent="0.2">
      <c r="A71" s="1688"/>
      <c r="B71" s="1677"/>
      <c r="C71" s="1677"/>
      <c r="D71" s="1682"/>
      <c r="E71" s="1681"/>
      <c r="F71" s="1677"/>
      <c r="G71" s="1687"/>
      <c r="H71" s="1686"/>
      <c r="I71" s="1687"/>
      <c r="J71" s="1686"/>
      <c r="K71" s="1677"/>
      <c r="L71" s="1677"/>
      <c r="M71" s="1677"/>
      <c r="N71" s="1687"/>
      <c r="O71" s="1686"/>
      <c r="P71" s="1687"/>
      <c r="Q71" s="1686"/>
      <c r="R71" s="1677"/>
      <c r="S71" s="1677"/>
      <c r="T71" s="1677"/>
      <c r="U71" s="1685"/>
      <c r="V71" s="1685"/>
      <c r="W71" s="1677"/>
      <c r="X71" s="1677"/>
      <c r="Y71" s="1677"/>
      <c r="Z71" s="1684"/>
      <c r="AA71" s="1683"/>
      <c r="AB71" s="1677"/>
      <c r="AC71" s="1682"/>
      <c r="AD71" s="1681"/>
      <c r="AE71" s="1677"/>
      <c r="AF71" s="1677"/>
      <c r="AG71" s="1680"/>
      <c r="AH71" s="1677"/>
      <c r="AI71" s="1680"/>
      <c r="AJ71" s="1680"/>
      <c r="AK71" s="1680"/>
      <c r="AL71" s="1679"/>
      <c r="AM71" s="1678"/>
      <c r="AN71" s="1677"/>
      <c r="AO71" s="1677"/>
      <c r="AP71" s="1679"/>
      <c r="AQ71" s="1678"/>
      <c r="AR71" s="1677"/>
      <c r="AS71" s="1677"/>
      <c r="AT71" s="1679"/>
      <c r="AU71" s="1678"/>
      <c r="AV71" s="1677"/>
      <c r="AW71" s="1677"/>
      <c r="AX71" s="1679"/>
      <c r="AY71" s="1678"/>
      <c r="AZ71" s="1677"/>
      <c r="BA71" s="1677"/>
      <c r="BB71" s="1676"/>
      <c r="BC71" s="1676"/>
      <c r="BD71" s="1676"/>
      <c r="BE71" s="1676"/>
      <c r="BF71" s="1676"/>
      <c r="BG71" s="1676"/>
      <c r="BH71" s="1676"/>
      <c r="BI71" s="1676"/>
      <c r="BJ71" s="1675"/>
    </row>
    <row r="72" spans="1:62" x14ac:dyDescent="0.2">
      <c r="A72" s="1688"/>
      <c r="B72" s="1677"/>
      <c r="C72" s="1677"/>
      <c r="D72" s="1682"/>
      <c r="E72" s="1681"/>
      <c r="F72" s="1677"/>
      <c r="G72" s="1687"/>
      <c r="H72" s="1686"/>
      <c r="I72" s="1687"/>
      <c r="J72" s="1686"/>
      <c r="K72" s="1677"/>
      <c r="L72" s="1677"/>
      <c r="M72" s="1677"/>
      <c r="N72" s="1687"/>
      <c r="O72" s="1686"/>
      <c r="P72" s="1687"/>
      <c r="Q72" s="1686"/>
      <c r="R72" s="1677"/>
      <c r="S72" s="1677"/>
      <c r="T72" s="1677"/>
      <c r="U72" s="1685"/>
      <c r="V72" s="1685"/>
      <c r="W72" s="1677"/>
      <c r="X72" s="1677"/>
      <c r="Y72" s="1677"/>
      <c r="Z72" s="1684"/>
      <c r="AA72" s="1683"/>
      <c r="AB72" s="1677"/>
      <c r="AC72" s="1682"/>
      <c r="AD72" s="1681"/>
      <c r="AE72" s="1677"/>
      <c r="AF72" s="1677"/>
      <c r="AG72" s="1680"/>
      <c r="AH72" s="1677"/>
      <c r="AI72" s="1680"/>
      <c r="AJ72" s="1680"/>
      <c r="AK72" s="1680"/>
      <c r="AL72" s="1679"/>
      <c r="AM72" s="1678"/>
      <c r="AN72" s="1677"/>
      <c r="AO72" s="1677"/>
      <c r="AP72" s="1679"/>
      <c r="AQ72" s="1678"/>
      <c r="AR72" s="1677"/>
      <c r="AS72" s="1677"/>
      <c r="AT72" s="1679"/>
      <c r="AU72" s="1678"/>
      <c r="AV72" s="1677"/>
      <c r="AW72" s="1677"/>
      <c r="AX72" s="1679"/>
      <c r="AY72" s="1678"/>
      <c r="AZ72" s="1677"/>
      <c r="BA72" s="1677"/>
      <c r="BB72" s="1676"/>
      <c r="BC72" s="1676"/>
      <c r="BD72" s="1676"/>
      <c r="BE72" s="1676"/>
      <c r="BF72" s="1676"/>
      <c r="BG72" s="1676"/>
      <c r="BH72" s="1676"/>
      <c r="BI72" s="1676"/>
      <c r="BJ72" s="1675"/>
    </row>
    <row r="73" spans="1:62" x14ac:dyDescent="0.2">
      <c r="A73" s="1688"/>
      <c r="B73" s="1677"/>
      <c r="C73" s="1677"/>
      <c r="D73" s="1682"/>
      <c r="E73" s="1681"/>
      <c r="F73" s="1677"/>
      <c r="G73" s="1687"/>
      <c r="H73" s="1686"/>
      <c r="I73" s="1687"/>
      <c r="J73" s="1686"/>
      <c r="K73" s="1677"/>
      <c r="L73" s="1677"/>
      <c r="M73" s="1677"/>
      <c r="N73" s="1687"/>
      <c r="O73" s="1686"/>
      <c r="P73" s="1687"/>
      <c r="Q73" s="1686"/>
      <c r="R73" s="1677"/>
      <c r="S73" s="1677"/>
      <c r="T73" s="1677"/>
      <c r="U73" s="1685"/>
      <c r="V73" s="1685"/>
      <c r="W73" s="1677"/>
      <c r="X73" s="1677"/>
      <c r="Y73" s="1677"/>
      <c r="Z73" s="1684"/>
      <c r="AA73" s="1683"/>
      <c r="AB73" s="1677"/>
      <c r="AC73" s="1682"/>
      <c r="AD73" s="1681"/>
      <c r="AE73" s="1677"/>
      <c r="AF73" s="1677"/>
      <c r="AG73" s="1680"/>
      <c r="AH73" s="1677"/>
      <c r="AI73" s="1680"/>
      <c r="AJ73" s="1680"/>
      <c r="AK73" s="1680"/>
      <c r="AL73" s="1679"/>
      <c r="AM73" s="1678"/>
      <c r="AN73" s="1677"/>
      <c r="AO73" s="1677"/>
      <c r="AP73" s="1679"/>
      <c r="AQ73" s="1678"/>
      <c r="AR73" s="1677"/>
      <c r="AS73" s="1677"/>
      <c r="AT73" s="1679"/>
      <c r="AU73" s="1678"/>
      <c r="AV73" s="1677"/>
      <c r="AW73" s="1677"/>
      <c r="AX73" s="1679"/>
      <c r="AY73" s="1678"/>
      <c r="AZ73" s="1677"/>
      <c r="BA73" s="1677"/>
      <c r="BB73" s="1676"/>
      <c r="BC73" s="1676"/>
      <c r="BD73" s="1676"/>
      <c r="BE73" s="1676"/>
      <c r="BF73" s="1676"/>
      <c r="BG73" s="1676"/>
      <c r="BH73" s="1676"/>
      <c r="BI73" s="1676"/>
      <c r="BJ73" s="1675"/>
    </row>
    <row r="74" spans="1:62" x14ac:dyDescent="0.2">
      <c r="A74" s="1688"/>
      <c r="B74" s="1677"/>
      <c r="C74" s="1677"/>
      <c r="D74" s="1682"/>
      <c r="E74" s="1681"/>
      <c r="F74" s="1677"/>
      <c r="G74" s="1687"/>
      <c r="H74" s="1686"/>
      <c r="I74" s="1687"/>
      <c r="J74" s="1686"/>
      <c r="K74" s="1677"/>
      <c r="L74" s="1677"/>
      <c r="M74" s="1677"/>
      <c r="N74" s="1687"/>
      <c r="O74" s="1686"/>
      <c r="P74" s="1687"/>
      <c r="Q74" s="1686"/>
      <c r="R74" s="1677"/>
      <c r="S74" s="1677"/>
      <c r="T74" s="1677"/>
      <c r="U74" s="1685"/>
      <c r="V74" s="1685"/>
      <c r="W74" s="1677"/>
      <c r="X74" s="1677"/>
      <c r="Y74" s="1677"/>
      <c r="Z74" s="1684"/>
      <c r="AA74" s="1683"/>
      <c r="AB74" s="1677"/>
      <c r="AC74" s="1682"/>
      <c r="AD74" s="1681"/>
      <c r="AE74" s="1677"/>
      <c r="AF74" s="1677"/>
      <c r="AG74" s="1680"/>
      <c r="AH74" s="1677"/>
      <c r="AI74" s="1680"/>
      <c r="AJ74" s="1680"/>
      <c r="AK74" s="1680"/>
      <c r="AL74" s="1679"/>
      <c r="AM74" s="1678"/>
      <c r="AN74" s="1677"/>
      <c r="AO74" s="1677"/>
      <c r="AP74" s="1679"/>
      <c r="AQ74" s="1678"/>
      <c r="AR74" s="1677"/>
      <c r="AS74" s="1677"/>
      <c r="AT74" s="1679"/>
      <c r="AU74" s="1678"/>
      <c r="AV74" s="1677"/>
      <c r="AW74" s="1677"/>
      <c r="AX74" s="1679"/>
      <c r="AY74" s="1678"/>
      <c r="AZ74" s="1677"/>
      <c r="BA74" s="1677"/>
      <c r="BB74" s="1676"/>
      <c r="BC74" s="1676"/>
      <c r="BD74" s="1676"/>
      <c r="BE74" s="1676"/>
      <c r="BF74" s="1676"/>
      <c r="BG74" s="1676"/>
      <c r="BH74" s="1676"/>
      <c r="BI74" s="1676"/>
      <c r="BJ74" s="1675"/>
    </row>
    <row r="75" spans="1:62" x14ac:dyDescent="0.2">
      <c r="A75" s="1688"/>
      <c r="B75" s="1677"/>
      <c r="C75" s="1677"/>
      <c r="D75" s="1682"/>
      <c r="E75" s="1681"/>
      <c r="F75" s="1677"/>
      <c r="G75" s="1687"/>
      <c r="H75" s="1686"/>
      <c r="I75" s="1687"/>
      <c r="J75" s="1686"/>
      <c r="K75" s="1677"/>
      <c r="L75" s="1677"/>
      <c r="M75" s="1677"/>
      <c r="N75" s="1687"/>
      <c r="O75" s="1686"/>
      <c r="P75" s="1687"/>
      <c r="Q75" s="1686"/>
      <c r="R75" s="1677"/>
      <c r="S75" s="1677"/>
      <c r="T75" s="1677"/>
      <c r="U75" s="1685"/>
      <c r="V75" s="1685"/>
      <c r="W75" s="1677"/>
      <c r="X75" s="1677"/>
      <c r="Y75" s="1677"/>
      <c r="Z75" s="1684"/>
      <c r="AA75" s="1683"/>
      <c r="AB75" s="1677"/>
      <c r="AC75" s="1682"/>
      <c r="AD75" s="1681"/>
      <c r="AE75" s="1677"/>
      <c r="AF75" s="1677"/>
      <c r="AG75" s="1680"/>
      <c r="AH75" s="1677"/>
      <c r="AI75" s="1680"/>
      <c r="AJ75" s="1680"/>
      <c r="AK75" s="1680"/>
      <c r="AL75" s="1679"/>
      <c r="AM75" s="1678"/>
      <c r="AN75" s="1677"/>
      <c r="AO75" s="1677"/>
      <c r="AP75" s="1679"/>
      <c r="AQ75" s="1678"/>
      <c r="AR75" s="1677"/>
      <c r="AS75" s="1677"/>
      <c r="AT75" s="1679"/>
      <c r="AU75" s="1678"/>
      <c r="AV75" s="1677"/>
      <c r="AW75" s="1677"/>
      <c r="AX75" s="1679"/>
      <c r="AY75" s="1678"/>
      <c r="AZ75" s="1677"/>
      <c r="BA75" s="1677"/>
      <c r="BB75" s="1676"/>
      <c r="BC75" s="1676"/>
      <c r="BD75" s="1676"/>
      <c r="BE75" s="1676"/>
      <c r="BF75" s="1676"/>
      <c r="BG75" s="1676"/>
      <c r="BH75" s="1676"/>
      <c r="BI75" s="1676"/>
      <c r="BJ75" s="1675"/>
    </row>
    <row r="76" spans="1:62" x14ac:dyDescent="0.2">
      <c r="A76" s="1688"/>
      <c r="B76" s="1677"/>
      <c r="C76" s="1677"/>
      <c r="D76" s="1682"/>
      <c r="E76" s="1681"/>
      <c r="F76" s="1677"/>
      <c r="G76" s="1687"/>
      <c r="H76" s="1686"/>
      <c r="I76" s="1687"/>
      <c r="J76" s="1686"/>
      <c r="K76" s="1677"/>
      <c r="L76" s="1677"/>
      <c r="M76" s="1677"/>
      <c r="N76" s="1687"/>
      <c r="O76" s="1686"/>
      <c r="P76" s="1687"/>
      <c r="Q76" s="1686"/>
      <c r="R76" s="1677"/>
      <c r="S76" s="1677"/>
      <c r="T76" s="1677"/>
      <c r="U76" s="1685"/>
      <c r="V76" s="1685"/>
      <c r="W76" s="1677"/>
      <c r="X76" s="1677"/>
      <c r="Y76" s="1677"/>
      <c r="Z76" s="1684"/>
      <c r="AA76" s="1683"/>
      <c r="AB76" s="1677"/>
      <c r="AC76" s="1682"/>
      <c r="AD76" s="1681"/>
      <c r="AE76" s="1677"/>
      <c r="AF76" s="1677"/>
      <c r="AG76" s="1680"/>
      <c r="AH76" s="1677"/>
      <c r="AI76" s="1680"/>
      <c r="AJ76" s="1680"/>
      <c r="AK76" s="1680"/>
      <c r="AL76" s="1679"/>
      <c r="AM76" s="1678"/>
      <c r="AN76" s="1677"/>
      <c r="AO76" s="1677"/>
      <c r="AP76" s="1679"/>
      <c r="AQ76" s="1678"/>
      <c r="AR76" s="1677"/>
      <c r="AS76" s="1677"/>
      <c r="AT76" s="1679"/>
      <c r="AU76" s="1678"/>
      <c r="AV76" s="1677"/>
      <c r="AW76" s="1677"/>
      <c r="AX76" s="1679"/>
      <c r="AY76" s="1678"/>
      <c r="AZ76" s="1677"/>
      <c r="BA76" s="1677"/>
      <c r="BB76" s="1676"/>
      <c r="BC76" s="1676"/>
      <c r="BD76" s="1676"/>
      <c r="BE76" s="1676"/>
      <c r="BF76" s="1676"/>
      <c r="BG76" s="1676"/>
      <c r="BH76" s="1676"/>
      <c r="BI76" s="1676"/>
      <c r="BJ76" s="1675"/>
    </row>
    <row r="77" spans="1:62" x14ac:dyDescent="0.2">
      <c r="A77" s="1688"/>
      <c r="B77" s="1677"/>
      <c r="C77" s="1677"/>
      <c r="D77" s="1682"/>
      <c r="E77" s="1681"/>
      <c r="F77" s="1677"/>
      <c r="G77" s="1687"/>
      <c r="H77" s="1686"/>
      <c r="I77" s="1687"/>
      <c r="J77" s="1686"/>
      <c r="K77" s="1677"/>
      <c r="L77" s="1677"/>
      <c r="M77" s="1677"/>
      <c r="N77" s="1687"/>
      <c r="O77" s="1686"/>
      <c r="P77" s="1687"/>
      <c r="Q77" s="1686"/>
      <c r="R77" s="1677"/>
      <c r="S77" s="1677"/>
      <c r="T77" s="1677"/>
      <c r="U77" s="1685"/>
      <c r="V77" s="1685"/>
      <c r="W77" s="1677"/>
      <c r="X77" s="1677"/>
      <c r="Y77" s="1677"/>
      <c r="Z77" s="1684"/>
      <c r="AA77" s="1683"/>
      <c r="AB77" s="1677"/>
      <c r="AC77" s="1682"/>
      <c r="AD77" s="1681"/>
      <c r="AE77" s="1677"/>
      <c r="AF77" s="1677"/>
      <c r="AG77" s="1680"/>
      <c r="AH77" s="1677"/>
      <c r="AI77" s="1680"/>
      <c r="AJ77" s="1680"/>
      <c r="AK77" s="1680"/>
      <c r="AL77" s="1679"/>
      <c r="AM77" s="1678"/>
      <c r="AN77" s="1677"/>
      <c r="AO77" s="1677"/>
      <c r="AP77" s="1679"/>
      <c r="AQ77" s="1678"/>
      <c r="AR77" s="1677"/>
      <c r="AS77" s="1677"/>
      <c r="AT77" s="1679"/>
      <c r="AU77" s="1678"/>
      <c r="AV77" s="1677"/>
      <c r="AW77" s="1677"/>
      <c r="AX77" s="1679"/>
      <c r="AY77" s="1678"/>
      <c r="AZ77" s="1677"/>
      <c r="BA77" s="1677"/>
      <c r="BB77" s="1676"/>
      <c r="BC77" s="1676"/>
      <c r="BD77" s="1676"/>
      <c r="BE77" s="1676"/>
      <c r="BF77" s="1676"/>
      <c r="BG77" s="1676"/>
      <c r="BH77" s="1676"/>
      <c r="BI77" s="1676"/>
      <c r="BJ77" s="1675"/>
    </row>
    <row r="78" spans="1:62" x14ac:dyDescent="0.2">
      <c r="A78" s="1688"/>
      <c r="B78" s="1677"/>
      <c r="C78" s="1677"/>
      <c r="D78" s="1682"/>
      <c r="E78" s="1681"/>
      <c r="F78" s="1677"/>
      <c r="G78" s="1687"/>
      <c r="H78" s="1686"/>
      <c r="I78" s="1687"/>
      <c r="J78" s="1686"/>
      <c r="K78" s="1677"/>
      <c r="L78" s="1677"/>
      <c r="M78" s="1677"/>
      <c r="N78" s="1687"/>
      <c r="O78" s="1686"/>
      <c r="P78" s="1687"/>
      <c r="Q78" s="1686"/>
      <c r="R78" s="1677"/>
      <c r="S78" s="1677"/>
      <c r="T78" s="1677"/>
      <c r="U78" s="1685"/>
      <c r="V78" s="1685"/>
      <c r="W78" s="1677"/>
      <c r="X78" s="1677"/>
      <c r="Y78" s="1677"/>
      <c r="Z78" s="1684"/>
      <c r="AA78" s="1683"/>
      <c r="AB78" s="1677"/>
      <c r="AC78" s="1682"/>
      <c r="AD78" s="1681"/>
      <c r="AE78" s="1677"/>
      <c r="AF78" s="1677"/>
      <c r="AG78" s="1680"/>
      <c r="AH78" s="1677"/>
      <c r="AI78" s="1680"/>
      <c r="AJ78" s="1680"/>
      <c r="AK78" s="1680"/>
      <c r="AL78" s="1679"/>
      <c r="AM78" s="1678"/>
      <c r="AN78" s="1677"/>
      <c r="AO78" s="1677"/>
      <c r="AP78" s="1679"/>
      <c r="AQ78" s="1678"/>
      <c r="AR78" s="1677"/>
      <c r="AS78" s="1677"/>
      <c r="AT78" s="1679"/>
      <c r="AU78" s="1678"/>
      <c r="AV78" s="1677"/>
      <c r="AW78" s="1677"/>
      <c r="AX78" s="1679"/>
      <c r="AY78" s="1678"/>
      <c r="AZ78" s="1677"/>
      <c r="BA78" s="1677"/>
      <c r="BB78" s="1676"/>
      <c r="BC78" s="1676"/>
      <c r="BD78" s="1676"/>
      <c r="BE78" s="1676"/>
      <c r="BF78" s="1676"/>
      <c r="BG78" s="1676"/>
      <c r="BH78" s="1676"/>
      <c r="BI78" s="1676"/>
      <c r="BJ78" s="1675"/>
    </row>
    <row r="79" spans="1:62" x14ac:dyDescent="0.2">
      <c r="A79" s="1688"/>
      <c r="B79" s="1677"/>
      <c r="C79" s="1677"/>
      <c r="D79" s="1682"/>
      <c r="E79" s="1681"/>
      <c r="F79" s="1677"/>
      <c r="G79" s="1687"/>
      <c r="H79" s="1686"/>
      <c r="I79" s="1687"/>
      <c r="J79" s="1686"/>
      <c r="K79" s="1677"/>
      <c r="L79" s="1677"/>
      <c r="M79" s="1677"/>
      <c r="N79" s="1687"/>
      <c r="O79" s="1686"/>
      <c r="P79" s="1687"/>
      <c r="Q79" s="1686"/>
      <c r="R79" s="1677"/>
      <c r="S79" s="1677"/>
      <c r="T79" s="1677"/>
      <c r="U79" s="1685"/>
      <c r="V79" s="1685"/>
      <c r="W79" s="1677"/>
      <c r="X79" s="1677"/>
      <c r="Y79" s="1677"/>
      <c r="Z79" s="1684"/>
      <c r="AA79" s="1683"/>
      <c r="AB79" s="1677"/>
      <c r="AC79" s="1682"/>
      <c r="AD79" s="1681"/>
      <c r="AE79" s="1677"/>
      <c r="AF79" s="1677"/>
      <c r="AG79" s="1680"/>
      <c r="AH79" s="1677"/>
      <c r="AI79" s="1680"/>
      <c r="AJ79" s="1680"/>
      <c r="AK79" s="1680"/>
      <c r="AL79" s="1679"/>
      <c r="AM79" s="1678"/>
      <c r="AN79" s="1677"/>
      <c r="AO79" s="1677"/>
      <c r="AP79" s="1679"/>
      <c r="AQ79" s="1678"/>
      <c r="AR79" s="1677"/>
      <c r="AS79" s="1677"/>
      <c r="AT79" s="1679"/>
      <c r="AU79" s="1678"/>
      <c r="AV79" s="1677"/>
      <c r="AW79" s="1677"/>
      <c r="AX79" s="1679"/>
      <c r="AY79" s="1678"/>
      <c r="AZ79" s="1677"/>
      <c r="BA79" s="1677"/>
      <c r="BB79" s="1676"/>
      <c r="BC79" s="1676"/>
      <c r="BD79" s="1676"/>
      <c r="BE79" s="1676"/>
      <c r="BF79" s="1676"/>
      <c r="BG79" s="1676"/>
      <c r="BH79" s="1676"/>
      <c r="BI79" s="1676"/>
      <c r="BJ79" s="1675"/>
    </row>
    <row r="80" spans="1:62" x14ac:dyDescent="0.2">
      <c r="A80" s="1688"/>
      <c r="B80" s="1677"/>
      <c r="C80" s="1677"/>
      <c r="D80" s="1682"/>
      <c r="E80" s="1681"/>
      <c r="F80" s="1677"/>
      <c r="G80" s="1687"/>
      <c r="H80" s="1686"/>
      <c r="I80" s="1687"/>
      <c r="J80" s="1686"/>
      <c r="K80" s="1677"/>
      <c r="L80" s="1677"/>
      <c r="M80" s="1677"/>
      <c r="N80" s="1687"/>
      <c r="O80" s="1686"/>
      <c r="P80" s="1687"/>
      <c r="Q80" s="1686"/>
      <c r="R80" s="1677"/>
      <c r="S80" s="1677"/>
      <c r="T80" s="1677"/>
      <c r="U80" s="1685"/>
      <c r="V80" s="1685"/>
      <c r="W80" s="1677"/>
      <c r="X80" s="1677"/>
      <c r="Y80" s="1677"/>
      <c r="Z80" s="1684"/>
      <c r="AA80" s="1683"/>
      <c r="AB80" s="1677"/>
      <c r="AC80" s="1682"/>
      <c r="AD80" s="1681"/>
      <c r="AE80" s="1677"/>
      <c r="AF80" s="1677"/>
      <c r="AG80" s="1680"/>
      <c r="AH80" s="1677"/>
      <c r="AI80" s="1680"/>
      <c r="AJ80" s="1680"/>
      <c r="AK80" s="1680"/>
      <c r="AL80" s="1679"/>
      <c r="AM80" s="1678"/>
      <c r="AN80" s="1677"/>
      <c r="AO80" s="1677"/>
      <c r="AP80" s="1679"/>
      <c r="AQ80" s="1678"/>
      <c r="AR80" s="1677"/>
      <c r="AS80" s="1677"/>
      <c r="AT80" s="1679"/>
      <c r="AU80" s="1678"/>
      <c r="AV80" s="1677"/>
      <c r="AW80" s="1677"/>
      <c r="AX80" s="1679"/>
      <c r="AY80" s="1678"/>
      <c r="AZ80" s="1677"/>
      <c r="BA80" s="1677"/>
      <c r="BB80" s="1676"/>
      <c r="BC80" s="1676"/>
      <c r="BD80" s="1676"/>
      <c r="BE80" s="1676"/>
      <c r="BF80" s="1676"/>
      <c r="BG80" s="1676"/>
      <c r="BH80" s="1676"/>
      <c r="BI80" s="1676"/>
      <c r="BJ80" s="1675"/>
    </row>
    <row r="81" spans="1:62" x14ac:dyDescent="0.2">
      <c r="A81" s="1688"/>
      <c r="B81" s="1677"/>
      <c r="C81" s="1677"/>
      <c r="D81" s="1682"/>
      <c r="E81" s="1681"/>
      <c r="F81" s="1677"/>
      <c r="G81" s="1687"/>
      <c r="H81" s="1686"/>
      <c r="I81" s="1687"/>
      <c r="J81" s="1686"/>
      <c r="K81" s="1677"/>
      <c r="L81" s="1677"/>
      <c r="M81" s="1677"/>
      <c r="N81" s="1687"/>
      <c r="O81" s="1686"/>
      <c r="P81" s="1687"/>
      <c r="Q81" s="1686"/>
      <c r="R81" s="1677"/>
      <c r="S81" s="1677"/>
      <c r="T81" s="1677"/>
      <c r="U81" s="1685"/>
      <c r="V81" s="1685"/>
      <c r="W81" s="1677"/>
      <c r="X81" s="1677"/>
      <c r="Y81" s="1677"/>
      <c r="Z81" s="1684"/>
      <c r="AA81" s="1683"/>
      <c r="AB81" s="1677"/>
      <c r="AC81" s="1682"/>
      <c r="AD81" s="1681"/>
      <c r="AE81" s="1677"/>
      <c r="AF81" s="1677"/>
      <c r="AG81" s="1680"/>
      <c r="AH81" s="1677"/>
      <c r="AI81" s="1680"/>
      <c r="AJ81" s="1680"/>
      <c r="AK81" s="1680"/>
      <c r="AL81" s="1679"/>
      <c r="AM81" s="1678"/>
      <c r="AN81" s="1677"/>
      <c r="AO81" s="1677"/>
      <c r="AP81" s="1679"/>
      <c r="AQ81" s="1678"/>
      <c r="AR81" s="1677"/>
      <c r="AS81" s="1677"/>
      <c r="AT81" s="1679"/>
      <c r="AU81" s="1678"/>
      <c r="AV81" s="1677"/>
      <c r="AW81" s="1677"/>
      <c r="AX81" s="1679"/>
      <c r="AY81" s="1678"/>
      <c r="AZ81" s="1677"/>
      <c r="BA81" s="1677"/>
      <c r="BB81" s="1676"/>
      <c r="BC81" s="1676"/>
      <c r="BD81" s="1676"/>
      <c r="BE81" s="1676"/>
      <c r="BF81" s="1676"/>
      <c r="BG81" s="1676"/>
      <c r="BH81" s="1676"/>
      <c r="BI81" s="1676"/>
      <c r="BJ81" s="1675"/>
    </row>
    <row r="82" spans="1:62" x14ac:dyDescent="0.2">
      <c r="A82" s="1688"/>
      <c r="B82" s="1677"/>
      <c r="C82" s="1677"/>
      <c r="D82" s="1682"/>
      <c r="E82" s="1681"/>
      <c r="F82" s="1677"/>
      <c r="G82" s="1687"/>
      <c r="H82" s="1686"/>
      <c r="I82" s="1687"/>
      <c r="J82" s="1686"/>
      <c r="K82" s="1677"/>
      <c r="L82" s="1677"/>
      <c r="M82" s="1677"/>
      <c r="N82" s="1687"/>
      <c r="O82" s="1686"/>
      <c r="P82" s="1687"/>
      <c r="Q82" s="1686"/>
      <c r="R82" s="1677"/>
      <c r="S82" s="1677"/>
      <c r="T82" s="1677"/>
      <c r="U82" s="1685"/>
      <c r="V82" s="1685"/>
      <c r="W82" s="1677"/>
      <c r="X82" s="1677"/>
      <c r="Y82" s="1677"/>
      <c r="Z82" s="1684"/>
      <c r="AA82" s="1683"/>
      <c r="AB82" s="1677"/>
      <c r="AC82" s="1682"/>
      <c r="AD82" s="1681"/>
      <c r="AE82" s="1677"/>
      <c r="AF82" s="1677"/>
      <c r="AG82" s="1680"/>
      <c r="AH82" s="1677"/>
      <c r="AI82" s="1680"/>
      <c r="AJ82" s="1680"/>
      <c r="AK82" s="1680"/>
      <c r="AL82" s="1679"/>
      <c r="AM82" s="1678"/>
      <c r="AN82" s="1677"/>
      <c r="AO82" s="1677"/>
      <c r="AP82" s="1679"/>
      <c r="AQ82" s="1678"/>
      <c r="AR82" s="1677"/>
      <c r="AS82" s="1677"/>
      <c r="AT82" s="1679"/>
      <c r="AU82" s="1678"/>
      <c r="AV82" s="1677"/>
      <c r="AW82" s="1677"/>
      <c r="AX82" s="1679"/>
      <c r="AY82" s="1678"/>
      <c r="AZ82" s="1677"/>
      <c r="BA82" s="1677"/>
      <c r="BB82" s="1676"/>
      <c r="BC82" s="1676"/>
      <c r="BD82" s="1676"/>
      <c r="BE82" s="1676"/>
      <c r="BF82" s="1676"/>
      <c r="BG82" s="1676"/>
      <c r="BH82" s="1676"/>
      <c r="BI82" s="1676"/>
      <c r="BJ82" s="1675"/>
    </row>
    <row r="83" spans="1:62" x14ac:dyDescent="0.2">
      <c r="BJ83" s="1674"/>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CO312"/>
  <sheetViews>
    <sheetView zoomScale="75" zoomScaleNormal="75" workbookViewId="0">
      <selection activeCell="AH2" sqref="AH2"/>
    </sheetView>
  </sheetViews>
  <sheetFormatPr defaultRowHeight="12.75" x14ac:dyDescent="0.2"/>
  <cols>
    <col min="1" max="1" width="9.140625" style="1780"/>
    <col min="2" max="2" width="9.140625" style="1781"/>
    <col min="3" max="3" width="17.5703125" style="1782" customWidth="1"/>
    <col min="4" max="4" width="9.140625" style="1783"/>
    <col min="5" max="5" width="9.140625" style="1784"/>
    <col min="6" max="6" width="9.140625" style="1785"/>
    <col min="7" max="8" width="9.140625" style="1786"/>
    <col min="9" max="9" width="9.140625" style="1787"/>
    <col min="10" max="12" width="9.140625" style="1786"/>
    <col min="13" max="13" width="9.140625" style="1788"/>
    <col min="14" max="14" width="9.140625" style="1785"/>
    <col min="15" max="16" width="9.140625" style="1786"/>
    <col min="17" max="17" width="9.140625" style="1787"/>
    <col min="18" max="20" width="9.140625" style="1786"/>
    <col min="21" max="21" width="9.140625" style="1788"/>
    <col min="22" max="22" width="9.140625" style="1789"/>
    <col min="23" max="23" width="9.140625" style="1790"/>
    <col min="24" max="24" width="9.140625" style="1791"/>
    <col min="25" max="25" width="10.7109375" style="1792" customWidth="1"/>
    <col min="26" max="26" width="10.7109375" style="1791" customWidth="1"/>
    <col min="27" max="27" width="10.7109375" style="1792" customWidth="1"/>
    <col min="28" max="28" width="10.7109375" style="1791" customWidth="1"/>
    <col min="29" max="29" width="10.7109375" style="1792" customWidth="1"/>
    <col min="30" max="30" width="10.7109375" style="1791" customWidth="1"/>
    <col min="31" max="31" width="10.7109375" style="1792" customWidth="1"/>
    <col min="32" max="32" width="10.7109375" style="1791" customWidth="1"/>
    <col min="33" max="34" width="8.7109375" style="1728" customWidth="1"/>
    <col min="35" max="51" width="2.7109375" style="1728" customWidth="1"/>
    <col min="52" max="52" width="6.7109375" style="1728" customWidth="1"/>
    <col min="53" max="68" width="9.140625" style="1728"/>
    <col min="69" max="70" width="8.7109375" style="1728" customWidth="1"/>
    <col min="71" max="75" width="2.7109375" style="1728" customWidth="1"/>
    <col min="76" max="77" width="8.7109375" style="1728" customWidth="1"/>
    <col min="78" max="78" width="6.7109375" style="1728" customWidth="1"/>
    <col min="79" max="79" width="12.7109375" style="1728" customWidth="1"/>
    <col min="80" max="16384" width="9.140625" style="1728"/>
  </cols>
  <sheetData>
    <row r="1" spans="1:93" ht="30" customHeight="1" thickBot="1" x14ac:dyDescent="0.25">
      <c r="A1" s="1721" t="s">
        <v>576</v>
      </c>
      <c r="B1" s="1722" t="s">
        <v>131</v>
      </c>
      <c r="C1" s="1722" t="s">
        <v>577</v>
      </c>
      <c r="D1" s="1722" t="str">
        <f>IF($AH$1,"Joist ""BayLength""","Overall Length")</f>
        <v>Overall Length</v>
      </c>
      <c r="E1" s="1723"/>
      <c r="F1" s="1724" t="str">
        <f>IF($AH$1,"Left Sect. #","TCXL Feet")</f>
        <v>TCXL Feet</v>
      </c>
      <c r="G1" s="1724" t="str">
        <f>IF($AH$1,"L Min Sup Width","TCXL Inch")</f>
        <v>TCXL Inch</v>
      </c>
      <c r="H1" s="1724" t="str">
        <f>IF($AH$1,"L Max Sup Width","TCXL Type")</f>
        <v>TCXL Type</v>
      </c>
      <c r="I1" s="1724" t="str">
        <f>IF($AH$1,"Left Bolt ""X""","TCXR Feet")</f>
        <v>TCXR Feet</v>
      </c>
      <c r="J1" s="1724" t="str">
        <f>IF($AH$1,"L Min Flg Ga","TCXR Inch")</f>
        <v>TCXR Inch</v>
      </c>
      <c r="K1" s="1724" t="str">
        <f>IF($AH$1,"L Max Flg Ga","TCXR Type")</f>
        <v>TCXR Type</v>
      </c>
      <c r="L1" s="1724" t="str">
        <f>IF($AH$1,"Left Skew","BDL")</f>
        <v>BDL</v>
      </c>
      <c r="M1" s="1724" t="str">
        <f>IF($AH$1,"Left Brg Slp","BDR")</f>
        <v>BDR</v>
      </c>
      <c r="N1" s="1724" t="str">
        <f>IF($AH$1,"Right Sect. #","BCXL Feet")</f>
        <v>BCXL Feet</v>
      </c>
      <c r="O1" s="1724" t="str">
        <f>IF($AH$1,"R Min Sup Width","BCXL Inch")</f>
        <v>BCXL Inch</v>
      </c>
      <c r="P1" s="1724" t="str">
        <f>IF($AH$1,"R Max Sup Width","BCXL Type")</f>
        <v>BCXL Type</v>
      </c>
      <c r="Q1" s="1724" t="str">
        <f>IF($AH$1,"Right Bolt ""X""","BCXR Feet")</f>
        <v>BCXR Feet</v>
      </c>
      <c r="R1" s="1724" t="str">
        <f>IF($AH$1,"R Min Flg Ga","BCXR Inch")</f>
        <v>BCXR Inch</v>
      </c>
      <c r="S1" s="1724" t="str">
        <f>IF($AH$1,"R Max Flg Ga","BCXR Type")</f>
        <v>BCXR Type</v>
      </c>
      <c r="T1" s="1724" t="str">
        <f>IF($AH$1,"Right Skew","HL Feet")</f>
        <v>HL Feet</v>
      </c>
      <c r="U1" s="1724" t="str">
        <f>IF($AH$1,"Right Brg Slp","HL Inch")</f>
        <v>HL Inch</v>
      </c>
      <c r="V1" s="1724" t="str">
        <f>IF($AH$1,"TC Slope","HR Feet")</f>
        <v>HR Feet</v>
      </c>
      <c r="W1" s="1724" t="str">
        <f>IF($AH$1,"Load Notes","HR Inch")</f>
        <v>HR Inch</v>
      </c>
      <c r="X1" s="1724" t="str">
        <f>IF($AH$1,"Spcl Notes","Slot Ga")</f>
        <v>Slot Ga</v>
      </c>
      <c r="Y1" s="1724" t="str">
        <f>IF($AH$1,"TC L Override","L Seat Slp")</f>
        <v>L Seat Slp</v>
      </c>
      <c r="Z1" s="1724" t="str">
        <f>IF($AH$1,"TCR Override","R Seat Slp")</f>
        <v>R Seat Slp</v>
      </c>
      <c r="AA1" s="1724" t="str">
        <f>IF($AH$1,"L-BL Override","Sp Notes")</f>
        <v>Sp Notes</v>
      </c>
      <c r="AB1" s="1724" t="str">
        <f>IF($AH$1,"R-BL Override","Ld Notes")</f>
        <v>Ld Notes</v>
      </c>
      <c r="AC1" s="1724" t="str">
        <f>IF($AH$1,"BCXL ""X""","-")</f>
        <v>-</v>
      </c>
      <c r="AD1" s="1724" t="str">
        <f>IF($AH$1,"BCXR ""X""","-")</f>
        <v>-</v>
      </c>
      <c r="AE1" s="1724" t="str">
        <f>IF($AH$1,"BDL Override","-")</f>
        <v>-</v>
      </c>
      <c r="AF1" s="1725" t="str">
        <f>IF($AH$1,"BDR Override","-")</f>
        <v>-</v>
      </c>
      <c r="AG1" s="1726" t="s">
        <v>1240</v>
      </c>
      <c r="AH1" s="1727" t="b">
        <f>'Job Info.'!U4</f>
        <v>0</v>
      </c>
      <c r="AZ1" s="2217" t="s">
        <v>1241</v>
      </c>
      <c r="BA1" s="1729" t="s">
        <v>673</v>
      </c>
      <c r="BB1" s="1730" t="s">
        <v>1242</v>
      </c>
      <c r="BC1" s="1731" t="s">
        <v>1182</v>
      </c>
      <c r="BD1" s="1732" t="s">
        <v>1192</v>
      </c>
      <c r="BE1" s="1733" t="s">
        <v>701</v>
      </c>
      <c r="BF1" s="1734" t="s">
        <v>718</v>
      </c>
      <c r="BG1" s="1729" t="s">
        <v>1243</v>
      </c>
      <c r="BH1" s="1735" t="s">
        <v>1244</v>
      </c>
      <c r="BI1" s="1736" t="s">
        <v>1245</v>
      </c>
      <c r="BJ1" s="1735" t="s">
        <v>1246</v>
      </c>
      <c r="BK1" s="1729" t="s">
        <v>1247</v>
      </c>
      <c r="BL1" s="1735" t="s">
        <v>1248</v>
      </c>
      <c r="BM1" s="1737" t="s">
        <v>1193</v>
      </c>
      <c r="BN1" s="1731" t="s">
        <v>1194</v>
      </c>
      <c r="BO1" s="1734" t="s">
        <v>1195</v>
      </c>
      <c r="BP1" s="1738" t="s">
        <v>517</v>
      </c>
      <c r="BQ1" s="1726" t="s">
        <v>1249</v>
      </c>
      <c r="BR1" s="1727">
        <f>COUNTA(BA:BA)-1</f>
        <v>0</v>
      </c>
      <c r="BX1" s="1728" t="s">
        <v>1250</v>
      </c>
      <c r="BY1" s="1728">
        <f>COUNTA(CA:CA)-1</f>
        <v>0</v>
      </c>
      <c r="BZ1" s="2217" t="s">
        <v>1251</v>
      </c>
      <c r="CA1" s="1739" t="s">
        <v>1252</v>
      </c>
      <c r="CB1" s="1740"/>
      <c r="CC1" s="1740"/>
      <c r="CD1" s="1740"/>
      <c r="CE1" s="1740"/>
      <c r="CF1" s="1740"/>
      <c r="CG1" s="1740"/>
      <c r="CH1" s="1740"/>
      <c r="CI1" s="1740"/>
      <c r="CJ1" s="1740"/>
      <c r="CK1" s="1740"/>
      <c r="CL1" s="1740"/>
      <c r="CM1" s="1740"/>
      <c r="CN1" s="1740"/>
      <c r="CO1" s="1741"/>
    </row>
    <row r="2" spans="1:93" ht="13.5" thickTop="1" x14ac:dyDescent="0.2">
      <c r="A2" s="1742" t="s">
        <v>1325</v>
      </c>
      <c r="B2" s="1743">
        <v>48</v>
      </c>
      <c r="C2" s="1744" t="s">
        <v>1978</v>
      </c>
      <c r="D2" s="1745">
        <v>59</v>
      </c>
      <c r="E2" s="1746">
        <v>4.25</v>
      </c>
      <c r="F2" s="1747">
        <v>0</v>
      </c>
      <c r="G2" s="1748">
        <v>3.625</v>
      </c>
      <c r="H2" s="1748" t="s">
        <v>114</v>
      </c>
      <c r="I2" s="1749" t="s">
        <v>117</v>
      </c>
      <c r="J2" s="1748"/>
      <c r="K2" s="1748"/>
      <c r="L2" s="1748">
        <v>3</v>
      </c>
      <c r="M2" s="1750">
        <v>3</v>
      </c>
      <c r="N2" s="1747"/>
      <c r="O2" s="1748"/>
      <c r="P2" s="1748"/>
      <c r="Q2" s="1749" t="s">
        <v>117</v>
      </c>
      <c r="R2" s="1748"/>
      <c r="S2" s="1748"/>
      <c r="T2" s="1748"/>
      <c r="U2" s="1750"/>
      <c r="V2" s="1751"/>
      <c r="W2" s="1752" t="s">
        <v>117</v>
      </c>
      <c r="X2" s="1753">
        <v>0</v>
      </c>
      <c r="Y2" s="1754" t="s">
        <v>117</v>
      </c>
      <c r="Z2" s="1753" t="s">
        <v>117</v>
      </c>
      <c r="AA2" s="1754" t="s">
        <v>2062</v>
      </c>
      <c r="AB2" s="1753"/>
      <c r="AC2" s="1754"/>
      <c r="AD2" s="1753"/>
      <c r="AE2" s="1754"/>
      <c r="AF2" s="1753"/>
      <c r="AG2" s="1755" t="s">
        <v>1253</v>
      </c>
      <c r="AH2" s="1727">
        <f>COUNTA(A:A)-1</f>
        <v>311</v>
      </c>
      <c r="AZ2" s="2218"/>
      <c r="BA2" s="1756"/>
      <c r="BB2" s="1757"/>
      <c r="BC2" s="1757"/>
      <c r="BD2" s="1757"/>
      <c r="BE2" s="1757"/>
      <c r="BF2" s="1757"/>
      <c r="BG2" s="1757"/>
      <c r="BH2" s="1757"/>
      <c r="BI2" s="1757"/>
      <c r="BJ2" s="1757"/>
      <c r="BK2" s="1757"/>
      <c r="BL2" s="1757"/>
      <c r="BM2" s="1757"/>
      <c r="BN2" s="1757"/>
      <c r="BO2" s="1757"/>
      <c r="BP2" s="1758"/>
      <c r="BX2" s="1728" t="s">
        <v>1254</v>
      </c>
      <c r="BY2" s="1728">
        <f>COUNTA(CB1:JS1)</f>
        <v>0</v>
      </c>
      <c r="BZ2" s="2219"/>
      <c r="CA2" s="1759"/>
      <c r="CB2" s="1760"/>
      <c r="CC2" s="1761"/>
      <c r="CD2" s="1761"/>
      <c r="CE2" s="1761"/>
      <c r="CF2" s="1761"/>
      <c r="CG2" s="1761"/>
      <c r="CH2" s="1761"/>
      <c r="CI2" s="1761"/>
      <c r="CJ2" s="1761"/>
      <c r="CK2" s="1761"/>
      <c r="CL2" s="1761"/>
      <c r="CM2" s="1761"/>
      <c r="CN2" s="1761"/>
      <c r="CO2" s="1762"/>
    </row>
    <row r="3" spans="1:93" x14ac:dyDescent="0.2">
      <c r="A3" s="1742" t="s">
        <v>1326</v>
      </c>
      <c r="B3" s="1743">
        <v>4</v>
      </c>
      <c r="C3" s="1744" t="s">
        <v>1978</v>
      </c>
      <c r="D3" s="1745">
        <v>59</v>
      </c>
      <c r="E3" s="1746">
        <v>4.25</v>
      </c>
      <c r="F3" s="1747">
        <v>0</v>
      </c>
      <c r="G3" s="1748">
        <v>3.625</v>
      </c>
      <c r="H3" s="1748" t="s">
        <v>114</v>
      </c>
      <c r="I3" s="1749" t="s">
        <v>117</v>
      </c>
      <c r="J3" s="1748"/>
      <c r="K3" s="1748"/>
      <c r="L3" s="1748">
        <v>3</v>
      </c>
      <c r="M3" s="1750">
        <v>3</v>
      </c>
      <c r="N3" s="1747"/>
      <c r="O3" s="1748"/>
      <c r="P3" s="1748"/>
      <c r="Q3" s="1749" t="s">
        <v>117</v>
      </c>
      <c r="R3" s="1748"/>
      <c r="S3" s="1748"/>
      <c r="T3" s="1748"/>
      <c r="U3" s="1750"/>
      <c r="V3" s="1751"/>
      <c r="W3" s="1752" t="s">
        <v>117</v>
      </c>
      <c r="X3" s="1753">
        <v>0</v>
      </c>
      <c r="Y3" s="1754" t="s">
        <v>117</v>
      </c>
      <c r="Z3" s="1753" t="s">
        <v>117</v>
      </c>
      <c r="AA3" s="1754" t="s">
        <v>2063</v>
      </c>
      <c r="AB3" s="1753"/>
      <c r="AC3" s="1754"/>
      <c r="AD3" s="1753"/>
      <c r="AE3" s="1754"/>
      <c r="AF3" s="1753"/>
      <c r="AZ3" s="2218"/>
      <c r="BA3" s="1763"/>
      <c r="BB3" s="1764"/>
      <c r="BC3" s="1764"/>
      <c r="BD3" s="1764"/>
      <c r="BE3" s="1764"/>
      <c r="BF3" s="1764"/>
      <c r="BG3" s="1764"/>
      <c r="BH3" s="1764"/>
      <c r="BI3" s="1764"/>
      <c r="BJ3" s="1764"/>
      <c r="BK3" s="1764"/>
      <c r="BL3" s="1764"/>
      <c r="BM3" s="1764"/>
      <c r="BN3" s="1764"/>
      <c r="BO3" s="1764"/>
      <c r="BP3" s="1765"/>
      <c r="BZ3" s="2219"/>
      <c r="CA3" s="1766"/>
      <c r="CB3" s="1763"/>
      <c r="CC3" s="1764"/>
      <c r="CD3" s="1764"/>
      <c r="CE3" s="1764"/>
      <c r="CF3" s="1764"/>
      <c r="CG3" s="1764"/>
      <c r="CH3" s="1764"/>
      <c r="CI3" s="1764"/>
      <c r="CJ3" s="1764"/>
      <c r="CK3" s="1764"/>
      <c r="CL3" s="1764"/>
      <c r="CM3" s="1764"/>
      <c r="CN3" s="1764"/>
      <c r="CO3" s="1765"/>
    </row>
    <row r="4" spans="1:93" x14ac:dyDescent="0.2">
      <c r="A4" s="1742" t="s">
        <v>1327</v>
      </c>
      <c r="B4" s="1743">
        <v>7</v>
      </c>
      <c r="C4" s="1744" t="s">
        <v>1978</v>
      </c>
      <c r="D4" s="1745">
        <v>59</v>
      </c>
      <c r="E4" s="1746">
        <v>5.25</v>
      </c>
      <c r="F4" s="1747">
        <v>0</v>
      </c>
      <c r="G4" s="1748">
        <v>4.625</v>
      </c>
      <c r="H4" s="1748" t="s">
        <v>114</v>
      </c>
      <c r="I4" s="1749" t="s">
        <v>117</v>
      </c>
      <c r="J4" s="1748"/>
      <c r="K4" s="1748"/>
      <c r="L4" s="1748">
        <v>3</v>
      </c>
      <c r="M4" s="1750">
        <v>3</v>
      </c>
      <c r="N4" s="1747">
        <v>0</v>
      </c>
      <c r="O4" s="1748">
        <v>10</v>
      </c>
      <c r="P4" s="1748">
        <v>2</v>
      </c>
      <c r="Q4" s="1749" t="s">
        <v>117</v>
      </c>
      <c r="R4" s="1748"/>
      <c r="S4" s="1748"/>
      <c r="T4" s="1748">
        <v>0</v>
      </c>
      <c r="U4" s="1750">
        <v>5.5</v>
      </c>
      <c r="V4" s="1751">
        <v>0</v>
      </c>
      <c r="W4" s="1752">
        <v>2</v>
      </c>
      <c r="X4" s="1753">
        <v>4</v>
      </c>
      <c r="Y4" s="1754" t="s">
        <v>117</v>
      </c>
      <c r="Z4" s="1753" t="s">
        <v>117</v>
      </c>
      <c r="AA4" s="1754" t="s">
        <v>2064</v>
      </c>
      <c r="AB4" s="1753"/>
      <c r="AC4" s="1754"/>
      <c r="AD4" s="1753"/>
      <c r="AE4" s="1754"/>
      <c r="AF4" s="1753"/>
      <c r="AZ4" s="2218"/>
      <c r="BA4" s="1763"/>
      <c r="BB4" s="1764"/>
      <c r="BC4" s="1764"/>
      <c r="BD4" s="1764"/>
      <c r="BE4" s="1764"/>
      <c r="BF4" s="1764"/>
      <c r="BG4" s="1764"/>
      <c r="BH4" s="1764"/>
      <c r="BI4" s="1764"/>
      <c r="BJ4" s="1764"/>
      <c r="BK4" s="1764"/>
      <c r="BL4" s="1764"/>
      <c r="BM4" s="1764"/>
      <c r="BN4" s="1764"/>
      <c r="BO4" s="1764"/>
      <c r="BP4" s="1765"/>
      <c r="BZ4" s="2219"/>
      <c r="CA4" s="1766"/>
      <c r="CB4" s="1763"/>
      <c r="CC4" s="1764"/>
      <c r="CD4" s="1764"/>
      <c r="CE4" s="1764"/>
      <c r="CF4" s="1764"/>
      <c r="CG4" s="1764"/>
      <c r="CH4" s="1764"/>
      <c r="CI4" s="1764"/>
      <c r="CJ4" s="1764"/>
      <c r="CK4" s="1764"/>
      <c r="CL4" s="1764"/>
      <c r="CM4" s="1764"/>
      <c r="CN4" s="1764"/>
      <c r="CO4" s="1765"/>
    </row>
    <row r="5" spans="1:93" x14ac:dyDescent="0.2">
      <c r="A5" s="1742" t="s">
        <v>1328</v>
      </c>
      <c r="B5" s="1743">
        <v>4</v>
      </c>
      <c r="C5" s="1744" t="s">
        <v>1978</v>
      </c>
      <c r="D5" s="1745">
        <v>59</v>
      </c>
      <c r="E5" s="1746">
        <v>4.25</v>
      </c>
      <c r="F5" s="1747">
        <v>0</v>
      </c>
      <c r="G5" s="1748">
        <v>3.625</v>
      </c>
      <c r="H5" s="1748" t="s">
        <v>114</v>
      </c>
      <c r="I5" s="1749" t="s">
        <v>117</v>
      </c>
      <c r="J5" s="1748"/>
      <c r="K5" s="1748"/>
      <c r="L5" s="1748">
        <v>3</v>
      </c>
      <c r="M5" s="1750">
        <v>3</v>
      </c>
      <c r="N5" s="1747"/>
      <c r="O5" s="1748"/>
      <c r="P5" s="1748"/>
      <c r="Q5" s="1749" t="s">
        <v>117</v>
      </c>
      <c r="R5" s="1748"/>
      <c r="S5" s="1748"/>
      <c r="T5" s="1748"/>
      <c r="U5" s="1750"/>
      <c r="V5" s="1751"/>
      <c r="W5" s="1752" t="s">
        <v>117</v>
      </c>
      <c r="X5" s="1753">
        <v>0</v>
      </c>
      <c r="Y5" s="1754" t="s">
        <v>117</v>
      </c>
      <c r="Z5" s="1753" t="s">
        <v>117</v>
      </c>
      <c r="AA5" s="1754" t="s">
        <v>2065</v>
      </c>
      <c r="AB5" s="1753"/>
      <c r="AC5" s="1754"/>
      <c r="AD5" s="1753"/>
      <c r="AE5" s="1754"/>
      <c r="AF5" s="1753"/>
      <c r="AZ5" s="2218"/>
      <c r="BA5" s="1763"/>
      <c r="BB5" s="1764"/>
      <c r="BC5" s="1764"/>
      <c r="BD5" s="1764"/>
      <c r="BE5" s="1764"/>
      <c r="BF5" s="1764"/>
      <c r="BG5" s="1764"/>
      <c r="BH5" s="1764"/>
      <c r="BI5" s="1764"/>
      <c r="BJ5" s="1764"/>
      <c r="BK5" s="1764"/>
      <c r="BL5" s="1764"/>
      <c r="BM5" s="1764"/>
      <c r="BN5" s="1764"/>
      <c r="BO5" s="1764"/>
      <c r="BP5" s="1765"/>
      <c r="BZ5" s="2219"/>
      <c r="CA5" s="1766"/>
      <c r="CB5" s="1763"/>
      <c r="CC5" s="1764"/>
      <c r="CD5" s="1764"/>
      <c r="CE5" s="1764"/>
      <c r="CF5" s="1764"/>
      <c r="CG5" s="1764"/>
      <c r="CH5" s="1764"/>
      <c r="CI5" s="1764"/>
      <c r="CJ5" s="1764"/>
      <c r="CK5" s="1764"/>
      <c r="CL5" s="1764"/>
      <c r="CM5" s="1764"/>
      <c r="CN5" s="1764"/>
      <c r="CO5" s="1765"/>
    </row>
    <row r="6" spans="1:93" ht="12.75" customHeight="1" x14ac:dyDescent="0.2">
      <c r="A6" s="1767" t="s">
        <v>1329</v>
      </c>
      <c r="B6" s="1768">
        <v>3</v>
      </c>
      <c r="C6" s="1769" t="s">
        <v>1978</v>
      </c>
      <c r="D6" s="1770">
        <v>59</v>
      </c>
      <c r="E6" s="1771">
        <v>4.25</v>
      </c>
      <c r="F6" s="1772">
        <v>0</v>
      </c>
      <c r="G6" s="1773">
        <v>3.625</v>
      </c>
      <c r="H6" s="1773" t="s">
        <v>114</v>
      </c>
      <c r="I6" s="1774" t="s">
        <v>117</v>
      </c>
      <c r="J6" s="1773"/>
      <c r="K6" s="1773"/>
      <c r="L6" s="1773">
        <v>3</v>
      </c>
      <c r="M6" s="1775">
        <v>3</v>
      </c>
      <c r="N6" s="1772"/>
      <c r="O6" s="1773"/>
      <c r="P6" s="1773"/>
      <c r="Q6" s="1774" t="s">
        <v>117</v>
      </c>
      <c r="R6" s="1773"/>
      <c r="S6" s="1773"/>
      <c r="T6" s="1773"/>
      <c r="U6" s="1775"/>
      <c r="V6" s="1776"/>
      <c r="W6" s="1777" t="s">
        <v>117</v>
      </c>
      <c r="X6" s="1778">
        <v>0</v>
      </c>
      <c r="Y6" s="1779" t="s">
        <v>117</v>
      </c>
      <c r="Z6" s="1778" t="s">
        <v>117</v>
      </c>
      <c r="AA6" s="1779" t="s">
        <v>2066</v>
      </c>
      <c r="AB6" s="1778"/>
      <c r="AC6" s="1779"/>
      <c r="AD6" s="1778"/>
      <c r="AE6" s="1779"/>
      <c r="AF6" s="1778"/>
      <c r="AZ6" s="2218"/>
      <c r="BA6" s="1763"/>
      <c r="BB6" s="1764"/>
      <c r="BC6" s="1764"/>
      <c r="BD6" s="1764"/>
      <c r="BE6" s="1764"/>
      <c r="BF6" s="1764"/>
      <c r="BG6" s="1764"/>
      <c r="BH6" s="1764"/>
      <c r="BI6" s="1764"/>
      <c r="BJ6" s="1764"/>
      <c r="BK6" s="1764"/>
      <c r="BL6" s="1764"/>
      <c r="BM6" s="1764"/>
      <c r="BN6" s="1764"/>
      <c r="BO6" s="1764"/>
      <c r="BP6" s="1765"/>
      <c r="BZ6" s="2219"/>
      <c r="CA6" s="1766"/>
      <c r="CB6" s="1763"/>
      <c r="CC6" s="1764"/>
      <c r="CD6" s="1764"/>
      <c r="CE6" s="1764"/>
      <c r="CF6" s="1764"/>
      <c r="CG6" s="1764"/>
      <c r="CH6" s="1764"/>
      <c r="CI6" s="1764"/>
      <c r="CJ6" s="1764"/>
      <c r="CK6" s="1764"/>
      <c r="CL6" s="1764"/>
      <c r="CM6" s="1764"/>
      <c r="CN6" s="1764"/>
      <c r="CO6" s="1765"/>
    </row>
    <row r="7" spans="1:93" x14ac:dyDescent="0.2">
      <c r="A7" s="1767" t="s">
        <v>1330</v>
      </c>
      <c r="B7" s="1768">
        <v>1</v>
      </c>
      <c r="C7" s="1769" t="s">
        <v>1978</v>
      </c>
      <c r="D7" s="1770">
        <v>59</v>
      </c>
      <c r="E7" s="1771">
        <v>3.375</v>
      </c>
      <c r="F7" s="1772">
        <v>0</v>
      </c>
      <c r="G7" s="1773">
        <v>4.625</v>
      </c>
      <c r="H7" s="1773" t="s">
        <v>114</v>
      </c>
      <c r="I7" s="1774">
        <v>0</v>
      </c>
      <c r="J7" s="1773">
        <v>0.125</v>
      </c>
      <c r="K7" s="1773" t="s">
        <v>114</v>
      </c>
      <c r="L7" s="1773">
        <v>3</v>
      </c>
      <c r="M7" s="1775">
        <v>3</v>
      </c>
      <c r="N7" s="1772">
        <v>0</v>
      </c>
      <c r="O7" s="1773">
        <v>10</v>
      </c>
      <c r="P7" s="1773">
        <v>2</v>
      </c>
      <c r="Q7" s="1774" t="s">
        <v>117</v>
      </c>
      <c r="R7" s="1773"/>
      <c r="S7" s="1773"/>
      <c r="T7" s="1773">
        <v>0</v>
      </c>
      <c r="U7" s="1775">
        <v>5.5</v>
      </c>
      <c r="V7" s="1776">
        <v>0</v>
      </c>
      <c r="W7" s="1777">
        <v>2.5</v>
      </c>
      <c r="X7" s="1778">
        <v>4</v>
      </c>
      <c r="Y7" s="1779" t="s">
        <v>117</v>
      </c>
      <c r="Z7" s="1778" t="s">
        <v>117</v>
      </c>
      <c r="AA7" s="1779" t="s">
        <v>2067</v>
      </c>
      <c r="AB7" s="1778"/>
      <c r="AC7" s="1779"/>
      <c r="AD7" s="1778"/>
      <c r="AE7" s="1779"/>
      <c r="AF7" s="1778"/>
      <c r="AZ7" s="2218"/>
      <c r="BA7" s="1763"/>
      <c r="BB7" s="1764"/>
      <c r="BC7" s="1764"/>
      <c r="BD7" s="1764"/>
      <c r="BE7" s="1764"/>
      <c r="BF7" s="1764"/>
      <c r="BG7" s="1764"/>
      <c r="BH7" s="1764"/>
      <c r="BI7" s="1764"/>
      <c r="BJ7" s="1764"/>
      <c r="BK7" s="1764"/>
      <c r="BL7" s="1764"/>
      <c r="BM7" s="1764"/>
      <c r="BN7" s="1764"/>
      <c r="BO7" s="1764"/>
      <c r="BP7" s="1765"/>
      <c r="BZ7" s="2219"/>
      <c r="CA7" s="1766"/>
      <c r="CB7" s="1763"/>
      <c r="CC7" s="1764"/>
      <c r="CD7" s="1764"/>
      <c r="CE7" s="1764"/>
      <c r="CF7" s="1764"/>
      <c r="CG7" s="1764"/>
      <c r="CH7" s="1764"/>
      <c r="CI7" s="1764"/>
      <c r="CJ7" s="1764"/>
      <c r="CK7" s="1764"/>
      <c r="CL7" s="1764"/>
      <c r="CM7" s="1764"/>
      <c r="CN7" s="1764"/>
      <c r="CO7" s="1765"/>
    </row>
    <row r="8" spans="1:93" x14ac:dyDescent="0.2">
      <c r="A8" s="1767" t="s">
        <v>1331</v>
      </c>
      <c r="B8" s="1768">
        <v>1</v>
      </c>
      <c r="C8" s="1769" t="s">
        <v>1978</v>
      </c>
      <c r="D8" s="1770">
        <v>54</v>
      </c>
      <c r="E8" s="1771">
        <v>2.375</v>
      </c>
      <c r="F8" s="1772">
        <v>0</v>
      </c>
      <c r="G8" s="1773">
        <v>3.625</v>
      </c>
      <c r="H8" s="1773" t="s">
        <v>114</v>
      </c>
      <c r="I8" s="1774">
        <v>0</v>
      </c>
      <c r="J8" s="1773">
        <v>0.125</v>
      </c>
      <c r="K8" s="1773" t="s">
        <v>114</v>
      </c>
      <c r="L8" s="1773">
        <v>3</v>
      </c>
      <c r="M8" s="1775">
        <v>3</v>
      </c>
      <c r="N8" s="1772"/>
      <c r="O8" s="1773"/>
      <c r="P8" s="1773"/>
      <c r="Q8" s="1774" t="s">
        <v>117</v>
      </c>
      <c r="R8" s="1773"/>
      <c r="S8" s="1773"/>
      <c r="T8" s="1773"/>
      <c r="U8" s="1775"/>
      <c r="V8" s="1776"/>
      <c r="W8" s="1777" t="s">
        <v>117</v>
      </c>
      <c r="X8" s="1778">
        <v>0</v>
      </c>
      <c r="Y8" s="1779" t="s">
        <v>117</v>
      </c>
      <c r="Z8" s="1778" t="s">
        <v>117</v>
      </c>
      <c r="AA8" s="1779" t="s">
        <v>2068</v>
      </c>
      <c r="AB8" s="1778"/>
      <c r="AC8" s="1779"/>
      <c r="AD8" s="1778"/>
      <c r="AE8" s="1779"/>
      <c r="AF8" s="1778"/>
      <c r="AZ8" s="2218"/>
      <c r="BA8" s="1763"/>
      <c r="BB8" s="1764"/>
      <c r="BC8" s="1764"/>
      <c r="BD8" s="1764"/>
      <c r="BE8" s="1764"/>
      <c r="BF8" s="1764"/>
      <c r="BG8" s="1764"/>
      <c r="BH8" s="1764"/>
      <c r="BI8" s="1764"/>
      <c r="BJ8" s="1764"/>
      <c r="BK8" s="1764"/>
      <c r="BL8" s="1764"/>
      <c r="BM8" s="1764"/>
      <c r="BN8" s="1764"/>
      <c r="BO8" s="1764"/>
      <c r="BP8" s="1765"/>
      <c r="BZ8" s="2219"/>
      <c r="CA8" s="1766"/>
      <c r="CB8" s="1763"/>
      <c r="CC8" s="1764"/>
      <c r="CD8" s="1764"/>
      <c r="CE8" s="1764"/>
      <c r="CF8" s="1764"/>
      <c r="CG8" s="1764"/>
      <c r="CH8" s="1764"/>
      <c r="CI8" s="1764"/>
      <c r="CJ8" s="1764"/>
      <c r="CK8" s="1764"/>
      <c r="CL8" s="1764"/>
      <c r="CM8" s="1764"/>
      <c r="CN8" s="1764"/>
      <c r="CO8" s="1765"/>
    </row>
    <row r="9" spans="1:93" x14ac:dyDescent="0.2">
      <c r="A9" s="1767" t="s">
        <v>1332</v>
      </c>
      <c r="B9" s="1768">
        <v>1</v>
      </c>
      <c r="C9" s="1769" t="s">
        <v>1979</v>
      </c>
      <c r="D9" s="1770">
        <v>49</v>
      </c>
      <c r="E9" s="1771">
        <v>2.375</v>
      </c>
      <c r="F9" s="1772">
        <v>0</v>
      </c>
      <c r="G9" s="1773">
        <v>3.625</v>
      </c>
      <c r="H9" s="1773" t="s">
        <v>114</v>
      </c>
      <c r="I9" s="1774" t="s">
        <v>117</v>
      </c>
      <c r="J9" s="1773"/>
      <c r="K9" s="1773"/>
      <c r="L9" s="1773">
        <v>3</v>
      </c>
      <c r="M9" s="1775">
        <v>3</v>
      </c>
      <c r="N9" s="1772"/>
      <c r="O9" s="1773"/>
      <c r="P9" s="1773"/>
      <c r="Q9" s="1774" t="s">
        <v>117</v>
      </c>
      <c r="R9" s="1773"/>
      <c r="S9" s="1773"/>
      <c r="T9" s="1773"/>
      <c r="U9" s="1775"/>
      <c r="V9" s="1776"/>
      <c r="W9" s="1777" t="s">
        <v>117</v>
      </c>
      <c r="X9" s="1778">
        <v>0</v>
      </c>
      <c r="Y9" s="1779" t="s">
        <v>117</v>
      </c>
      <c r="Z9" s="1778" t="s">
        <v>117</v>
      </c>
      <c r="AA9" s="1779" t="s">
        <v>2069</v>
      </c>
      <c r="AB9" s="1778"/>
      <c r="AC9" s="1779"/>
      <c r="AD9" s="1778"/>
      <c r="AE9" s="1779"/>
      <c r="AF9" s="1778"/>
      <c r="AZ9" s="2218"/>
      <c r="BA9" s="1763"/>
      <c r="BB9" s="1764"/>
      <c r="BC9" s="1764"/>
      <c r="BD9" s="1764"/>
      <c r="BE9" s="1764"/>
      <c r="BF9" s="1764"/>
      <c r="BG9" s="1764"/>
      <c r="BH9" s="1764"/>
      <c r="BI9" s="1764"/>
      <c r="BJ9" s="1764"/>
      <c r="BK9" s="1764"/>
      <c r="BL9" s="1764"/>
      <c r="BM9" s="1764"/>
      <c r="BN9" s="1764"/>
      <c r="BO9" s="1764"/>
      <c r="BP9" s="1765"/>
      <c r="BZ9" s="2219"/>
      <c r="CA9" s="1766"/>
      <c r="CB9" s="1763"/>
      <c r="CC9" s="1764"/>
      <c r="CD9" s="1764"/>
      <c r="CE9" s="1764"/>
      <c r="CF9" s="1764"/>
      <c r="CG9" s="1764"/>
      <c r="CH9" s="1764"/>
      <c r="CI9" s="1764"/>
      <c r="CJ9" s="1764"/>
      <c r="CK9" s="1764"/>
      <c r="CL9" s="1764"/>
      <c r="CM9" s="1764"/>
      <c r="CN9" s="1764"/>
      <c r="CO9" s="1765"/>
    </row>
    <row r="10" spans="1:93" x14ac:dyDescent="0.2">
      <c r="A10" s="1767" t="s">
        <v>1333</v>
      </c>
      <c r="B10" s="1768">
        <v>1</v>
      </c>
      <c r="C10" s="1769" t="s">
        <v>1979</v>
      </c>
      <c r="D10" s="1770">
        <v>44</v>
      </c>
      <c r="E10" s="1771">
        <v>2.375</v>
      </c>
      <c r="F10" s="1772">
        <v>0</v>
      </c>
      <c r="G10" s="1773">
        <v>3.625</v>
      </c>
      <c r="H10" s="1773" t="s">
        <v>114</v>
      </c>
      <c r="I10" s="1774" t="s">
        <v>117</v>
      </c>
      <c r="J10" s="1773"/>
      <c r="K10" s="1773"/>
      <c r="L10" s="1773">
        <v>3</v>
      </c>
      <c r="M10" s="1775">
        <v>3</v>
      </c>
      <c r="N10" s="1772"/>
      <c r="O10" s="1773"/>
      <c r="P10" s="1773"/>
      <c r="Q10" s="1774" t="s">
        <v>117</v>
      </c>
      <c r="R10" s="1773"/>
      <c r="S10" s="1773"/>
      <c r="T10" s="1773"/>
      <c r="U10" s="1775"/>
      <c r="V10" s="1776"/>
      <c r="W10" s="1777" t="s">
        <v>117</v>
      </c>
      <c r="X10" s="1778">
        <v>0</v>
      </c>
      <c r="Y10" s="1779" t="s">
        <v>117</v>
      </c>
      <c r="Z10" s="1778" t="s">
        <v>117</v>
      </c>
      <c r="AA10" s="1779" t="s">
        <v>2070</v>
      </c>
      <c r="AB10" s="1778"/>
      <c r="AC10" s="1779"/>
      <c r="AD10" s="1778"/>
      <c r="AE10" s="1779"/>
      <c r="AF10" s="1778"/>
      <c r="AZ10" s="2218"/>
      <c r="BA10" s="1763"/>
      <c r="BB10" s="1764"/>
      <c r="BC10" s="1764"/>
      <c r="BD10" s="1764"/>
      <c r="BE10" s="1764"/>
      <c r="BF10" s="1764"/>
      <c r="BG10" s="1764"/>
      <c r="BH10" s="1764"/>
      <c r="BI10" s="1764"/>
      <c r="BJ10" s="1764"/>
      <c r="BK10" s="1764"/>
      <c r="BL10" s="1764"/>
      <c r="BM10" s="1764"/>
      <c r="BN10" s="1764"/>
      <c r="BO10" s="1764"/>
      <c r="BP10" s="1765"/>
      <c r="BZ10" s="2219"/>
      <c r="CA10" s="1766"/>
      <c r="CB10" s="1763"/>
      <c r="CC10" s="1764"/>
      <c r="CD10" s="1764"/>
      <c r="CE10" s="1764"/>
      <c r="CF10" s="1764"/>
      <c r="CG10" s="1764"/>
      <c r="CH10" s="1764"/>
      <c r="CI10" s="1764"/>
      <c r="CJ10" s="1764"/>
      <c r="CK10" s="1764"/>
      <c r="CL10" s="1764"/>
      <c r="CM10" s="1764"/>
      <c r="CN10" s="1764"/>
      <c r="CO10" s="1765"/>
    </row>
    <row r="11" spans="1:93" x14ac:dyDescent="0.2">
      <c r="A11" s="1767" t="s">
        <v>1334</v>
      </c>
      <c r="B11" s="1768">
        <v>1</v>
      </c>
      <c r="C11" s="1769" t="s">
        <v>1980</v>
      </c>
      <c r="D11" s="1770">
        <v>39</v>
      </c>
      <c r="E11" s="1771">
        <v>2.375</v>
      </c>
      <c r="F11" s="1772">
        <v>0</v>
      </c>
      <c r="G11" s="1773">
        <v>3.625</v>
      </c>
      <c r="H11" s="1773" t="s">
        <v>114</v>
      </c>
      <c r="I11" s="1774" t="s">
        <v>117</v>
      </c>
      <c r="J11" s="1773"/>
      <c r="K11" s="1773"/>
      <c r="L11" s="1773">
        <v>3</v>
      </c>
      <c r="M11" s="1775">
        <v>3</v>
      </c>
      <c r="N11" s="1772"/>
      <c r="O11" s="1773"/>
      <c r="P11" s="1773"/>
      <c r="Q11" s="1774" t="s">
        <v>117</v>
      </c>
      <c r="R11" s="1773"/>
      <c r="S11" s="1773"/>
      <c r="T11" s="1773"/>
      <c r="U11" s="1775"/>
      <c r="V11" s="1776"/>
      <c r="W11" s="1777" t="s">
        <v>117</v>
      </c>
      <c r="X11" s="1778">
        <v>0</v>
      </c>
      <c r="Y11" s="1779" t="s">
        <v>117</v>
      </c>
      <c r="Z11" s="1778" t="s">
        <v>117</v>
      </c>
      <c r="AA11" s="1779" t="s">
        <v>2071</v>
      </c>
      <c r="AB11" s="1778"/>
      <c r="AC11" s="1779"/>
      <c r="AD11" s="1778"/>
      <c r="AE11" s="1779"/>
      <c r="AF11" s="1778"/>
      <c r="AZ11" s="2218"/>
      <c r="BA11" s="1763"/>
      <c r="BB11" s="1764"/>
      <c r="BC11" s="1764"/>
      <c r="BD11" s="1764"/>
      <c r="BE11" s="1764"/>
      <c r="BF11" s="1764"/>
      <c r="BG11" s="1764"/>
      <c r="BH11" s="1764"/>
      <c r="BI11" s="1764"/>
      <c r="BJ11" s="1764"/>
      <c r="BK11" s="1764"/>
      <c r="BL11" s="1764"/>
      <c r="BM11" s="1764"/>
      <c r="BN11" s="1764"/>
      <c r="BO11" s="1764"/>
      <c r="BP11" s="1765"/>
      <c r="BZ11" s="2219"/>
      <c r="CA11" s="1766"/>
      <c r="CB11" s="1763"/>
      <c r="CC11" s="1764"/>
      <c r="CD11" s="1764"/>
      <c r="CE11" s="1764"/>
      <c r="CF11" s="1764"/>
      <c r="CG11" s="1764"/>
      <c r="CH11" s="1764"/>
      <c r="CI11" s="1764"/>
      <c r="CJ11" s="1764"/>
      <c r="CK11" s="1764"/>
      <c r="CL11" s="1764"/>
      <c r="CM11" s="1764"/>
      <c r="CN11" s="1764"/>
      <c r="CO11" s="1765"/>
    </row>
    <row r="12" spans="1:93" x14ac:dyDescent="0.2">
      <c r="A12" s="1767" t="s">
        <v>1335</v>
      </c>
      <c r="B12" s="1768">
        <v>1</v>
      </c>
      <c r="C12" s="1769" t="s">
        <v>1980</v>
      </c>
      <c r="D12" s="1770">
        <v>34</v>
      </c>
      <c r="E12" s="1771">
        <v>2.375</v>
      </c>
      <c r="F12" s="1772">
        <v>0</v>
      </c>
      <c r="G12" s="1773">
        <v>3.625</v>
      </c>
      <c r="H12" s="1773" t="s">
        <v>114</v>
      </c>
      <c r="I12" s="1774" t="s">
        <v>117</v>
      </c>
      <c r="J12" s="1773"/>
      <c r="K12" s="1773"/>
      <c r="L12" s="1773">
        <v>3</v>
      </c>
      <c r="M12" s="1775">
        <v>3</v>
      </c>
      <c r="N12" s="1772"/>
      <c r="O12" s="1773"/>
      <c r="P12" s="1773"/>
      <c r="Q12" s="1774" t="s">
        <v>117</v>
      </c>
      <c r="R12" s="1773"/>
      <c r="S12" s="1773"/>
      <c r="T12" s="1773"/>
      <c r="U12" s="1775"/>
      <c r="V12" s="1776"/>
      <c r="W12" s="1777" t="s">
        <v>117</v>
      </c>
      <c r="X12" s="1778">
        <v>0</v>
      </c>
      <c r="Y12" s="1779" t="s">
        <v>117</v>
      </c>
      <c r="Z12" s="1778" t="s">
        <v>117</v>
      </c>
      <c r="AA12" s="1779" t="s">
        <v>2072</v>
      </c>
      <c r="AB12" s="1778"/>
      <c r="AC12" s="1779"/>
      <c r="AD12" s="1778"/>
      <c r="AE12" s="1779"/>
      <c r="AF12" s="1778"/>
      <c r="AZ12" s="2218"/>
      <c r="BA12" s="1763"/>
      <c r="BB12" s="1764"/>
      <c r="BC12" s="1764"/>
      <c r="BD12" s="1764"/>
      <c r="BE12" s="1764"/>
      <c r="BF12" s="1764"/>
      <c r="BG12" s="1764"/>
      <c r="BH12" s="1764"/>
      <c r="BI12" s="1764"/>
      <c r="BJ12" s="1764"/>
      <c r="BK12" s="1764"/>
      <c r="BL12" s="1764"/>
      <c r="BM12" s="1764"/>
      <c r="BN12" s="1764"/>
      <c r="BO12" s="1764"/>
      <c r="BP12" s="1765"/>
      <c r="BZ12" s="2219"/>
      <c r="CA12" s="1766"/>
      <c r="CB12" s="1763"/>
      <c r="CC12" s="1764"/>
      <c r="CD12" s="1764"/>
      <c r="CE12" s="1764"/>
      <c r="CF12" s="1764"/>
      <c r="CG12" s="1764"/>
      <c r="CH12" s="1764"/>
      <c r="CI12" s="1764"/>
      <c r="CJ12" s="1764"/>
      <c r="CK12" s="1764"/>
      <c r="CL12" s="1764"/>
      <c r="CM12" s="1764"/>
      <c r="CN12" s="1764"/>
      <c r="CO12" s="1765"/>
    </row>
    <row r="13" spans="1:93" x14ac:dyDescent="0.2">
      <c r="A13" s="1780" t="s">
        <v>1336</v>
      </c>
      <c r="B13" s="1781">
        <v>1</v>
      </c>
      <c r="C13" s="1782" t="s">
        <v>1980</v>
      </c>
      <c r="D13" s="1783">
        <v>29</v>
      </c>
      <c r="E13" s="1784">
        <v>2.375</v>
      </c>
      <c r="F13" s="1785">
        <v>0</v>
      </c>
      <c r="G13" s="1786">
        <v>3.625</v>
      </c>
      <c r="H13" s="1786" t="s">
        <v>114</v>
      </c>
      <c r="I13" s="1787" t="s">
        <v>117</v>
      </c>
      <c r="L13" s="1786">
        <v>3</v>
      </c>
      <c r="M13" s="1788">
        <v>3</v>
      </c>
      <c r="Q13" s="1787" t="s">
        <v>117</v>
      </c>
      <c r="W13" s="1790" t="s">
        <v>117</v>
      </c>
      <c r="X13" s="1791">
        <v>0</v>
      </c>
      <c r="Y13" s="1792" t="s">
        <v>117</v>
      </c>
      <c r="Z13" s="1791" t="s">
        <v>117</v>
      </c>
      <c r="AA13" s="1792" t="s">
        <v>2073</v>
      </c>
      <c r="AZ13" s="2218"/>
      <c r="BA13" s="1763"/>
      <c r="BB13" s="1764"/>
      <c r="BC13" s="1764"/>
      <c r="BD13" s="1764"/>
      <c r="BE13" s="1764"/>
      <c r="BF13" s="1764"/>
      <c r="BG13" s="1764"/>
      <c r="BH13" s="1764"/>
      <c r="BI13" s="1764"/>
      <c r="BJ13" s="1764"/>
      <c r="BK13" s="1764"/>
      <c r="BL13" s="1764"/>
      <c r="BM13" s="1764"/>
      <c r="BN13" s="1764"/>
      <c r="BO13" s="1764"/>
      <c r="BP13" s="1765"/>
      <c r="BZ13" s="2219"/>
      <c r="CA13" s="1766"/>
      <c r="CB13" s="1763"/>
      <c r="CC13" s="1764"/>
      <c r="CD13" s="1764"/>
      <c r="CE13" s="1764"/>
      <c r="CF13" s="1764"/>
      <c r="CG13" s="1764"/>
      <c r="CH13" s="1764"/>
      <c r="CI13" s="1764"/>
      <c r="CJ13" s="1764"/>
      <c r="CK13" s="1764"/>
      <c r="CL13" s="1764"/>
      <c r="CM13" s="1764"/>
      <c r="CN13" s="1764"/>
      <c r="CO13" s="1765"/>
    </row>
    <row r="14" spans="1:93" x14ac:dyDescent="0.2">
      <c r="A14" s="1780" t="s">
        <v>1337</v>
      </c>
      <c r="B14" s="1781">
        <v>1</v>
      </c>
      <c r="C14" s="1782" t="s">
        <v>1980</v>
      </c>
      <c r="D14" s="1783">
        <v>24</v>
      </c>
      <c r="E14" s="1784">
        <v>2.375</v>
      </c>
      <c r="F14" s="1785">
        <v>0</v>
      </c>
      <c r="G14" s="1786">
        <v>3.625</v>
      </c>
      <c r="H14" s="1786" t="s">
        <v>114</v>
      </c>
      <c r="I14" s="1787" t="s">
        <v>117</v>
      </c>
      <c r="L14" s="1786">
        <v>3</v>
      </c>
      <c r="M14" s="1788">
        <v>3</v>
      </c>
      <c r="Q14" s="1787" t="s">
        <v>117</v>
      </c>
      <c r="W14" s="1790" t="s">
        <v>117</v>
      </c>
      <c r="X14" s="1791">
        <v>0</v>
      </c>
      <c r="Y14" s="1792" t="s">
        <v>117</v>
      </c>
      <c r="Z14" s="1791" t="s">
        <v>117</v>
      </c>
      <c r="AA14" s="1792" t="s">
        <v>2074</v>
      </c>
      <c r="AZ14" s="2218"/>
      <c r="BA14" s="1763"/>
      <c r="BB14" s="1764"/>
      <c r="BC14" s="1764"/>
      <c r="BD14" s="1764"/>
      <c r="BE14" s="1764"/>
      <c r="BF14" s="1764"/>
      <c r="BG14" s="1764"/>
      <c r="BH14" s="1764"/>
      <c r="BI14" s="1764"/>
      <c r="BJ14" s="1764"/>
      <c r="BK14" s="1764"/>
      <c r="BL14" s="1764"/>
      <c r="BM14" s="1764"/>
      <c r="BN14" s="1764"/>
      <c r="BO14" s="1764"/>
      <c r="BP14" s="1765"/>
      <c r="BZ14" s="2219"/>
      <c r="CA14" s="1766"/>
      <c r="CB14" s="1763"/>
      <c r="CC14" s="1764"/>
      <c r="CD14" s="1764"/>
      <c r="CE14" s="1764"/>
      <c r="CF14" s="1764"/>
      <c r="CG14" s="1764"/>
      <c r="CH14" s="1764"/>
      <c r="CI14" s="1764"/>
      <c r="CJ14" s="1764"/>
      <c r="CK14" s="1764"/>
      <c r="CL14" s="1764"/>
      <c r="CM14" s="1764"/>
      <c r="CN14" s="1764"/>
      <c r="CO14" s="1765"/>
    </row>
    <row r="15" spans="1:93" x14ac:dyDescent="0.2">
      <c r="A15" s="1780" t="s">
        <v>1338</v>
      </c>
      <c r="B15" s="1781">
        <v>1</v>
      </c>
      <c r="C15" s="1782" t="s">
        <v>1978</v>
      </c>
      <c r="D15" s="1783">
        <v>59</v>
      </c>
      <c r="E15" s="1784">
        <v>0.625</v>
      </c>
      <c r="I15" s="1787">
        <v>0</v>
      </c>
      <c r="J15" s="1786">
        <v>1.375</v>
      </c>
      <c r="K15" s="1786" t="s">
        <v>114</v>
      </c>
      <c r="L15" s="1786">
        <v>3</v>
      </c>
      <c r="M15" s="1788">
        <v>3</v>
      </c>
      <c r="Q15" s="1787" t="s">
        <v>117</v>
      </c>
      <c r="W15" s="1790" t="s">
        <v>117</v>
      </c>
      <c r="X15" s="1791">
        <v>0</v>
      </c>
      <c r="Y15" s="1792" t="s">
        <v>117</v>
      </c>
      <c r="Z15" s="1791" t="s">
        <v>117</v>
      </c>
      <c r="AA15" s="1792" t="s">
        <v>2075</v>
      </c>
      <c r="AZ15" s="2218"/>
      <c r="BA15" s="1763"/>
      <c r="BB15" s="1764"/>
      <c r="BC15" s="1764"/>
      <c r="BD15" s="1764"/>
      <c r="BE15" s="1764"/>
      <c r="BF15" s="1764"/>
      <c r="BG15" s="1764"/>
      <c r="BH15" s="1764"/>
      <c r="BI15" s="1764"/>
      <c r="BJ15" s="1764"/>
      <c r="BK15" s="1764"/>
      <c r="BL15" s="1764"/>
      <c r="BM15" s="1764"/>
      <c r="BN15" s="1764"/>
      <c r="BO15" s="1764"/>
      <c r="BP15" s="1765"/>
      <c r="BZ15" s="2219"/>
      <c r="CA15" s="1766"/>
      <c r="CB15" s="1763"/>
      <c r="CC15" s="1764"/>
      <c r="CD15" s="1764"/>
      <c r="CE15" s="1764"/>
      <c r="CF15" s="1764"/>
      <c r="CG15" s="1764"/>
      <c r="CH15" s="1764"/>
      <c r="CI15" s="1764"/>
      <c r="CJ15" s="1764"/>
      <c r="CK15" s="1764"/>
      <c r="CL15" s="1764"/>
      <c r="CM15" s="1764"/>
      <c r="CN15" s="1764"/>
      <c r="CO15" s="1765"/>
    </row>
    <row r="16" spans="1:93" x14ac:dyDescent="0.2">
      <c r="A16" s="1780" t="s">
        <v>1339</v>
      </c>
      <c r="B16" s="1781">
        <v>1</v>
      </c>
      <c r="C16" s="1782" t="s">
        <v>1978</v>
      </c>
      <c r="D16" s="1783">
        <v>59</v>
      </c>
      <c r="E16" s="1784">
        <v>0.625</v>
      </c>
      <c r="I16" s="1787">
        <v>0</v>
      </c>
      <c r="J16" s="1786">
        <v>1.375</v>
      </c>
      <c r="K16" s="1786" t="s">
        <v>114</v>
      </c>
      <c r="L16" s="1786">
        <v>3</v>
      </c>
      <c r="M16" s="1788">
        <v>3</v>
      </c>
      <c r="Q16" s="1787" t="s">
        <v>117</v>
      </c>
      <c r="W16" s="1790" t="s">
        <v>117</v>
      </c>
      <c r="X16" s="1791">
        <v>0</v>
      </c>
      <c r="Y16" s="1792" t="s">
        <v>117</v>
      </c>
      <c r="Z16" s="1791" t="s">
        <v>117</v>
      </c>
      <c r="AA16" s="1792" t="s">
        <v>2076</v>
      </c>
      <c r="AZ16" s="2218"/>
      <c r="BA16" s="1763"/>
      <c r="BB16" s="1764"/>
      <c r="BC16" s="1764"/>
      <c r="BD16" s="1764"/>
      <c r="BE16" s="1764"/>
      <c r="BF16" s="1764"/>
      <c r="BG16" s="1764"/>
      <c r="BH16" s="1764"/>
      <c r="BI16" s="1764"/>
      <c r="BJ16" s="1764"/>
      <c r="BK16" s="1764"/>
      <c r="BL16" s="1764"/>
      <c r="BM16" s="1764"/>
      <c r="BN16" s="1764"/>
      <c r="BO16" s="1764"/>
      <c r="BP16" s="1765"/>
      <c r="BZ16" s="2219"/>
      <c r="CA16" s="1766"/>
      <c r="CB16" s="1763"/>
      <c r="CC16" s="1764"/>
      <c r="CD16" s="1764"/>
      <c r="CE16" s="1764"/>
      <c r="CF16" s="1764"/>
      <c r="CG16" s="1764"/>
      <c r="CH16" s="1764"/>
      <c r="CI16" s="1764"/>
      <c r="CJ16" s="1764"/>
      <c r="CK16" s="1764"/>
      <c r="CL16" s="1764"/>
      <c r="CM16" s="1764"/>
      <c r="CN16" s="1764"/>
      <c r="CO16" s="1765"/>
    </row>
    <row r="17" spans="1:93" x14ac:dyDescent="0.2">
      <c r="A17" s="1780" t="s">
        <v>1340</v>
      </c>
      <c r="B17" s="1781">
        <v>2</v>
      </c>
      <c r="C17" s="1782" t="s">
        <v>1978</v>
      </c>
      <c r="D17" s="1783">
        <v>59</v>
      </c>
      <c r="E17" s="1784">
        <v>0.625</v>
      </c>
      <c r="I17" s="1787">
        <v>0</v>
      </c>
      <c r="J17" s="1786">
        <v>1.375</v>
      </c>
      <c r="K17" s="1786" t="s">
        <v>114</v>
      </c>
      <c r="L17" s="1786">
        <v>3</v>
      </c>
      <c r="M17" s="1788">
        <v>3</v>
      </c>
      <c r="Q17" s="1787" t="s">
        <v>117</v>
      </c>
      <c r="W17" s="1790" t="s">
        <v>117</v>
      </c>
      <c r="X17" s="1791">
        <v>0</v>
      </c>
      <c r="Y17" s="1792" t="s">
        <v>117</v>
      </c>
      <c r="Z17" s="1791" t="s">
        <v>117</v>
      </c>
      <c r="AA17" s="1792" t="s">
        <v>2077</v>
      </c>
      <c r="AZ17" s="2218"/>
      <c r="BA17" s="1763"/>
      <c r="BB17" s="1764"/>
      <c r="BC17" s="1764"/>
      <c r="BD17" s="1764"/>
      <c r="BE17" s="1764"/>
      <c r="BF17" s="1764"/>
      <c r="BG17" s="1764"/>
      <c r="BH17" s="1764"/>
      <c r="BI17" s="1764"/>
      <c r="BJ17" s="1764"/>
      <c r="BK17" s="1764"/>
      <c r="BL17" s="1764"/>
      <c r="BM17" s="1764"/>
      <c r="BN17" s="1764"/>
      <c r="BO17" s="1764"/>
      <c r="BP17" s="1765"/>
      <c r="BZ17" s="2219"/>
      <c r="CA17" s="1766"/>
      <c r="CB17" s="1763"/>
      <c r="CC17" s="1764"/>
      <c r="CD17" s="1764"/>
      <c r="CE17" s="1764"/>
      <c r="CF17" s="1764"/>
      <c r="CG17" s="1764"/>
      <c r="CH17" s="1764"/>
      <c r="CI17" s="1764"/>
      <c r="CJ17" s="1764"/>
      <c r="CK17" s="1764"/>
      <c r="CL17" s="1764"/>
      <c r="CM17" s="1764"/>
      <c r="CN17" s="1764"/>
      <c r="CO17" s="1765"/>
    </row>
    <row r="18" spans="1:93" x14ac:dyDescent="0.2">
      <c r="A18" s="1780" t="s">
        <v>1341</v>
      </c>
      <c r="B18" s="1781">
        <v>18</v>
      </c>
      <c r="C18" s="1782" t="s">
        <v>1978</v>
      </c>
      <c r="D18" s="1783">
        <v>59</v>
      </c>
      <c r="E18" s="1784">
        <v>0.625</v>
      </c>
      <c r="I18" s="1787">
        <v>0</v>
      </c>
      <c r="J18" s="1786">
        <v>1.375</v>
      </c>
      <c r="K18" s="1786" t="s">
        <v>114</v>
      </c>
      <c r="L18" s="1786">
        <v>3</v>
      </c>
      <c r="M18" s="1788">
        <v>3</v>
      </c>
      <c r="Q18" s="1787" t="s">
        <v>117</v>
      </c>
      <c r="W18" s="1790" t="s">
        <v>117</v>
      </c>
      <c r="X18" s="1791">
        <v>0</v>
      </c>
      <c r="Y18" s="1792" t="s">
        <v>117</v>
      </c>
      <c r="Z18" s="1791" t="s">
        <v>117</v>
      </c>
      <c r="AA18" s="1792" t="s">
        <v>2079</v>
      </c>
      <c r="AZ18" s="2218"/>
      <c r="BA18" s="1763"/>
      <c r="BB18" s="1764"/>
      <c r="BC18" s="1764"/>
      <c r="BD18" s="1764"/>
      <c r="BE18" s="1764"/>
      <c r="BF18" s="1764"/>
      <c r="BG18" s="1764"/>
      <c r="BH18" s="1764"/>
      <c r="BI18" s="1764"/>
      <c r="BJ18" s="1764"/>
      <c r="BK18" s="1764"/>
      <c r="BL18" s="1764"/>
      <c r="BM18" s="1764"/>
      <c r="BN18" s="1764"/>
      <c r="BO18" s="1764"/>
      <c r="BP18" s="1765"/>
      <c r="BZ18" s="2219"/>
      <c r="CA18" s="1766"/>
      <c r="CB18" s="1763"/>
      <c r="CC18" s="1764"/>
      <c r="CD18" s="1764"/>
      <c r="CE18" s="1764"/>
      <c r="CF18" s="1764"/>
      <c r="CG18" s="1764"/>
      <c r="CH18" s="1764"/>
      <c r="CI18" s="1764"/>
      <c r="CJ18" s="1764"/>
      <c r="CK18" s="1764"/>
      <c r="CL18" s="1764"/>
      <c r="CM18" s="1764"/>
      <c r="CN18" s="1764"/>
      <c r="CO18" s="1765"/>
    </row>
    <row r="19" spans="1:93" x14ac:dyDescent="0.2">
      <c r="A19" s="1780" t="s">
        <v>1342</v>
      </c>
      <c r="B19" s="1781">
        <v>5</v>
      </c>
      <c r="C19" s="1782" t="s">
        <v>1978</v>
      </c>
      <c r="D19" s="1783">
        <v>59</v>
      </c>
      <c r="E19" s="1784">
        <v>0.625</v>
      </c>
      <c r="I19" s="1787">
        <v>0</v>
      </c>
      <c r="J19" s="1786">
        <v>1.375</v>
      </c>
      <c r="K19" s="1786" t="s">
        <v>114</v>
      </c>
      <c r="L19" s="1786">
        <v>3</v>
      </c>
      <c r="M19" s="1788">
        <v>3</v>
      </c>
      <c r="Q19" s="1787" t="s">
        <v>117</v>
      </c>
      <c r="T19" s="1786">
        <v>0</v>
      </c>
      <c r="U19" s="1788">
        <v>1.125</v>
      </c>
      <c r="V19" s="1789">
        <v>0</v>
      </c>
      <c r="W19" s="1790">
        <v>2.25</v>
      </c>
      <c r="X19" s="1791">
        <v>4</v>
      </c>
      <c r="Y19" s="1792" t="s">
        <v>117</v>
      </c>
      <c r="Z19" s="1791" t="s">
        <v>117</v>
      </c>
      <c r="AA19" s="1792" t="s">
        <v>2079</v>
      </c>
      <c r="AZ19" s="2218"/>
      <c r="BA19" s="1763"/>
      <c r="BB19" s="1764"/>
      <c r="BC19" s="1764"/>
      <c r="BD19" s="1764"/>
      <c r="BE19" s="1764"/>
      <c r="BF19" s="1764"/>
      <c r="BG19" s="1764"/>
      <c r="BH19" s="1764"/>
      <c r="BI19" s="1764"/>
      <c r="BJ19" s="1764"/>
      <c r="BK19" s="1764"/>
      <c r="BL19" s="1764"/>
      <c r="BM19" s="1764"/>
      <c r="BN19" s="1764"/>
      <c r="BO19" s="1764"/>
      <c r="BP19" s="1765"/>
      <c r="BZ19" s="2219"/>
      <c r="CA19" s="1766"/>
      <c r="CB19" s="1763"/>
      <c r="CC19" s="1764"/>
      <c r="CD19" s="1764"/>
      <c r="CE19" s="1764"/>
      <c r="CF19" s="1764"/>
      <c r="CG19" s="1764"/>
      <c r="CH19" s="1764"/>
      <c r="CI19" s="1764"/>
      <c r="CJ19" s="1764"/>
      <c r="CK19" s="1764"/>
      <c r="CL19" s="1764"/>
      <c r="CM19" s="1764"/>
      <c r="CN19" s="1764"/>
      <c r="CO19" s="1765"/>
    </row>
    <row r="20" spans="1:93" x14ac:dyDescent="0.2">
      <c r="A20" s="1780" t="s">
        <v>1343</v>
      </c>
      <c r="B20" s="1781">
        <v>4</v>
      </c>
      <c r="C20" s="1782" t="s">
        <v>1978</v>
      </c>
      <c r="D20" s="1783">
        <v>59</v>
      </c>
      <c r="E20" s="1784">
        <v>0.625</v>
      </c>
      <c r="I20" s="1787">
        <v>0</v>
      </c>
      <c r="J20" s="1786">
        <v>1.375</v>
      </c>
      <c r="K20" s="1786" t="s">
        <v>114</v>
      </c>
      <c r="L20" s="1786">
        <v>3</v>
      </c>
      <c r="M20" s="1788">
        <v>3</v>
      </c>
      <c r="Q20" s="1787" t="s">
        <v>117</v>
      </c>
      <c r="W20" s="1790" t="s">
        <v>117</v>
      </c>
      <c r="X20" s="1791">
        <v>0</v>
      </c>
      <c r="Y20" s="1792" t="s">
        <v>117</v>
      </c>
      <c r="Z20" s="1791" t="s">
        <v>117</v>
      </c>
      <c r="AA20" s="1792" t="s">
        <v>2080</v>
      </c>
      <c r="BA20" s="1763"/>
      <c r="BB20" s="1764"/>
      <c r="BC20" s="1764"/>
      <c r="BD20" s="1764"/>
      <c r="BE20" s="1764"/>
      <c r="BF20" s="1764"/>
      <c r="BG20" s="1764"/>
      <c r="BH20" s="1764"/>
      <c r="BI20" s="1764"/>
      <c r="BJ20" s="1764"/>
      <c r="BK20" s="1764"/>
      <c r="BL20" s="1764"/>
      <c r="BM20" s="1764"/>
      <c r="BN20" s="1764"/>
      <c r="BO20" s="1764"/>
      <c r="BP20" s="1765"/>
      <c r="CA20" s="1766"/>
      <c r="CB20" s="1763"/>
      <c r="CC20" s="1764"/>
      <c r="CD20" s="1764"/>
      <c r="CE20" s="1764"/>
      <c r="CF20" s="1764"/>
      <c r="CG20" s="1764"/>
      <c r="CH20" s="1764"/>
      <c r="CI20" s="1764"/>
      <c r="CJ20" s="1764"/>
      <c r="CK20" s="1764"/>
      <c r="CL20" s="1764"/>
      <c r="CM20" s="1764"/>
      <c r="CN20" s="1764"/>
      <c r="CO20" s="1765"/>
    </row>
    <row r="21" spans="1:93" x14ac:dyDescent="0.2">
      <c r="A21" s="1780" t="s">
        <v>1344</v>
      </c>
      <c r="B21" s="1781">
        <v>2</v>
      </c>
      <c r="C21" s="1782" t="s">
        <v>1978</v>
      </c>
      <c r="D21" s="1783">
        <v>58</v>
      </c>
      <c r="E21" s="1784">
        <v>11.875</v>
      </c>
      <c r="I21" s="1787">
        <v>0</v>
      </c>
      <c r="J21" s="1786">
        <v>0.625</v>
      </c>
      <c r="K21" s="1786" t="s">
        <v>114</v>
      </c>
      <c r="L21" s="1786">
        <v>3</v>
      </c>
      <c r="M21" s="1788">
        <v>3</v>
      </c>
      <c r="Q21" s="1787">
        <v>0</v>
      </c>
      <c r="R21" s="1786">
        <v>6.75</v>
      </c>
      <c r="S21" s="1786">
        <v>2</v>
      </c>
      <c r="T21" s="1786">
        <v>0</v>
      </c>
      <c r="U21" s="1788">
        <v>1.125</v>
      </c>
      <c r="V21" s="1789">
        <v>0</v>
      </c>
      <c r="W21" s="1790">
        <v>1.5</v>
      </c>
      <c r="X21" s="1791">
        <v>4</v>
      </c>
      <c r="Y21" s="1792" t="s">
        <v>117</v>
      </c>
      <c r="Z21" s="1791" t="s">
        <v>117</v>
      </c>
      <c r="AA21" s="1792" t="s">
        <v>2079</v>
      </c>
      <c r="BA21" s="1763"/>
      <c r="BB21" s="1764"/>
      <c r="BC21" s="1764"/>
      <c r="BD21" s="1764"/>
      <c r="BE21" s="1764"/>
      <c r="BF21" s="1764"/>
      <c r="BG21" s="1764"/>
      <c r="BH21" s="1764"/>
      <c r="BI21" s="1764"/>
      <c r="BJ21" s="1764"/>
      <c r="BK21" s="1764"/>
      <c r="BL21" s="1764"/>
      <c r="BM21" s="1764"/>
      <c r="BN21" s="1764"/>
      <c r="BO21" s="1764"/>
      <c r="BP21" s="1765"/>
      <c r="CA21" s="1766"/>
      <c r="CB21" s="1763"/>
      <c r="CC21" s="1764"/>
      <c r="CD21" s="1764"/>
      <c r="CE21" s="1764"/>
      <c r="CF21" s="1764"/>
      <c r="CG21" s="1764"/>
      <c r="CH21" s="1764"/>
      <c r="CI21" s="1764"/>
      <c r="CJ21" s="1764"/>
      <c r="CK21" s="1764"/>
      <c r="CL21" s="1764"/>
      <c r="CM21" s="1764"/>
      <c r="CN21" s="1764"/>
      <c r="CO21" s="1765"/>
    </row>
    <row r="22" spans="1:93" x14ac:dyDescent="0.2">
      <c r="A22" s="1780" t="s">
        <v>1345</v>
      </c>
      <c r="B22" s="1781">
        <v>1</v>
      </c>
      <c r="C22" s="1782" t="s">
        <v>1978</v>
      </c>
      <c r="D22" s="1783">
        <v>59</v>
      </c>
      <c r="E22" s="1784">
        <v>0.625</v>
      </c>
      <c r="I22" s="1787">
        <v>0</v>
      </c>
      <c r="J22" s="1786">
        <v>1.375</v>
      </c>
      <c r="K22" s="1786" t="s">
        <v>114</v>
      </c>
      <c r="L22" s="1786">
        <v>3</v>
      </c>
      <c r="M22" s="1788">
        <v>3</v>
      </c>
      <c r="Q22" s="1787" t="s">
        <v>117</v>
      </c>
      <c r="W22" s="1790" t="s">
        <v>117</v>
      </c>
      <c r="X22" s="1791">
        <v>0</v>
      </c>
      <c r="Y22" s="1792" t="s">
        <v>117</v>
      </c>
      <c r="Z22" s="1791" t="s">
        <v>117</v>
      </c>
      <c r="AA22" s="1792" t="s">
        <v>2081</v>
      </c>
      <c r="BA22" s="1763"/>
      <c r="BB22" s="1764"/>
      <c r="BC22" s="1764"/>
      <c r="BD22" s="1764"/>
      <c r="BE22" s="1764"/>
      <c r="BF22" s="1764"/>
      <c r="BG22" s="1764"/>
      <c r="BH22" s="1764"/>
      <c r="BI22" s="1764"/>
      <c r="BJ22" s="1764"/>
      <c r="BK22" s="1764"/>
      <c r="BL22" s="1764"/>
      <c r="BM22" s="1764"/>
      <c r="BN22" s="1764"/>
      <c r="BO22" s="1764"/>
      <c r="BP22" s="1765"/>
      <c r="CA22" s="1766"/>
      <c r="CB22" s="1763"/>
      <c r="CC22" s="1764"/>
      <c r="CD22" s="1764"/>
      <c r="CE22" s="1764"/>
      <c r="CF22" s="1764"/>
      <c r="CG22" s="1764"/>
      <c r="CH22" s="1764"/>
      <c r="CI22" s="1764"/>
      <c r="CJ22" s="1764"/>
      <c r="CK22" s="1764"/>
      <c r="CL22" s="1764"/>
      <c r="CM22" s="1764"/>
      <c r="CN22" s="1764"/>
      <c r="CO22" s="1765"/>
    </row>
    <row r="23" spans="1:93" x14ac:dyDescent="0.2">
      <c r="A23" s="1780" t="s">
        <v>1346</v>
      </c>
      <c r="B23" s="1781">
        <v>1</v>
      </c>
      <c r="C23" s="1782" t="s">
        <v>1978</v>
      </c>
      <c r="D23" s="1783">
        <v>59</v>
      </c>
      <c r="E23" s="1784">
        <v>0.625</v>
      </c>
      <c r="I23" s="1787">
        <v>0</v>
      </c>
      <c r="J23" s="1786">
        <v>1.375</v>
      </c>
      <c r="K23" s="1786" t="s">
        <v>114</v>
      </c>
      <c r="L23" s="1786">
        <v>3</v>
      </c>
      <c r="M23" s="1788">
        <v>3</v>
      </c>
      <c r="Q23" s="1787" t="s">
        <v>117</v>
      </c>
      <c r="W23" s="1790" t="s">
        <v>117</v>
      </c>
      <c r="X23" s="1791">
        <v>0</v>
      </c>
      <c r="Y23" s="1792" t="s">
        <v>117</v>
      </c>
      <c r="Z23" s="1791" t="s">
        <v>117</v>
      </c>
      <c r="AA23" s="1792" t="s">
        <v>2082</v>
      </c>
      <c r="BA23" s="1763"/>
      <c r="BB23" s="1764"/>
      <c r="BC23" s="1764"/>
      <c r="BD23" s="1764"/>
      <c r="BE23" s="1764"/>
      <c r="BF23" s="1764"/>
      <c r="BG23" s="1764"/>
      <c r="BH23" s="1764"/>
      <c r="BI23" s="1764"/>
      <c r="BJ23" s="1764"/>
      <c r="BK23" s="1764"/>
      <c r="BL23" s="1764"/>
      <c r="BM23" s="1764"/>
      <c r="BN23" s="1764"/>
      <c r="BO23" s="1764"/>
      <c r="BP23" s="1765"/>
      <c r="CA23" s="1766"/>
      <c r="CB23" s="1763"/>
      <c r="CC23" s="1764"/>
      <c r="CD23" s="1764"/>
      <c r="CE23" s="1764"/>
      <c r="CF23" s="1764"/>
      <c r="CG23" s="1764"/>
      <c r="CH23" s="1764"/>
      <c r="CI23" s="1764"/>
      <c r="CJ23" s="1764"/>
      <c r="CK23" s="1764"/>
      <c r="CL23" s="1764"/>
      <c r="CM23" s="1764"/>
      <c r="CN23" s="1764"/>
      <c r="CO23" s="1765"/>
    </row>
    <row r="24" spans="1:93" x14ac:dyDescent="0.2">
      <c r="A24" s="1780" t="s">
        <v>1347</v>
      </c>
      <c r="B24" s="1781">
        <v>1</v>
      </c>
      <c r="C24" s="1782" t="s">
        <v>1978</v>
      </c>
      <c r="D24" s="1783">
        <v>59</v>
      </c>
      <c r="E24" s="1784">
        <v>0.625</v>
      </c>
      <c r="I24" s="1787">
        <v>0</v>
      </c>
      <c r="J24" s="1786">
        <v>1.375</v>
      </c>
      <c r="K24" s="1786" t="s">
        <v>114</v>
      </c>
      <c r="L24" s="1786">
        <v>3</v>
      </c>
      <c r="M24" s="1788">
        <v>3</v>
      </c>
      <c r="Q24" s="1787" t="s">
        <v>117</v>
      </c>
      <c r="T24" s="1786">
        <v>0</v>
      </c>
      <c r="U24" s="1788">
        <v>1.125</v>
      </c>
      <c r="V24" s="1789">
        <v>0</v>
      </c>
      <c r="W24" s="1790">
        <v>2.25</v>
      </c>
      <c r="X24" s="1791">
        <v>4</v>
      </c>
      <c r="Y24" s="1792" t="s">
        <v>117</v>
      </c>
      <c r="Z24" s="1791" t="s">
        <v>117</v>
      </c>
      <c r="AA24" s="1792" t="s">
        <v>2083</v>
      </c>
      <c r="BA24" s="1763"/>
      <c r="BB24" s="1764"/>
      <c r="BC24" s="1764"/>
      <c r="BD24" s="1764"/>
      <c r="BE24" s="1764"/>
      <c r="BF24" s="1764"/>
      <c r="BG24" s="1764"/>
      <c r="BH24" s="1764"/>
      <c r="BI24" s="1764"/>
      <c r="BJ24" s="1764"/>
      <c r="BK24" s="1764"/>
      <c r="BL24" s="1764"/>
      <c r="BM24" s="1764"/>
      <c r="BN24" s="1764"/>
      <c r="BO24" s="1764"/>
      <c r="BP24" s="1765"/>
      <c r="CA24" s="1766"/>
      <c r="CB24" s="1763"/>
      <c r="CC24" s="1764"/>
      <c r="CD24" s="1764"/>
      <c r="CE24" s="1764"/>
      <c r="CF24" s="1764"/>
      <c r="CG24" s="1764"/>
      <c r="CH24" s="1764"/>
      <c r="CI24" s="1764"/>
      <c r="CJ24" s="1764"/>
      <c r="CK24" s="1764"/>
      <c r="CL24" s="1764"/>
      <c r="CM24" s="1764"/>
      <c r="CN24" s="1764"/>
      <c r="CO24" s="1765"/>
    </row>
    <row r="25" spans="1:93" x14ac:dyDescent="0.2">
      <c r="A25" s="1780" t="s">
        <v>1348</v>
      </c>
      <c r="B25" s="1781">
        <v>1</v>
      </c>
      <c r="C25" s="1782" t="s">
        <v>1978</v>
      </c>
      <c r="D25" s="1783">
        <v>59</v>
      </c>
      <c r="E25" s="1784">
        <v>0.625</v>
      </c>
      <c r="I25" s="1787">
        <v>0</v>
      </c>
      <c r="J25" s="1786">
        <v>1.375</v>
      </c>
      <c r="K25" s="1786" t="s">
        <v>114</v>
      </c>
      <c r="L25" s="1786">
        <v>3</v>
      </c>
      <c r="M25" s="1788">
        <v>3</v>
      </c>
      <c r="Q25" s="1787" t="s">
        <v>117</v>
      </c>
      <c r="T25" s="1786">
        <v>0</v>
      </c>
      <c r="U25" s="1788">
        <v>1.125</v>
      </c>
      <c r="V25" s="1789">
        <v>0</v>
      </c>
      <c r="W25" s="1790">
        <v>2.25</v>
      </c>
      <c r="X25" s="1791">
        <v>4</v>
      </c>
      <c r="Y25" s="1792" t="s">
        <v>117</v>
      </c>
      <c r="Z25" s="1791" t="s">
        <v>117</v>
      </c>
      <c r="AA25" s="1792" t="s">
        <v>2084</v>
      </c>
      <c r="BA25" s="1763"/>
      <c r="BB25" s="1764"/>
      <c r="BC25" s="1764"/>
      <c r="BD25" s="1764"/>
      <c r="BE25" s="1764"/>
      <c r="BF25" s="1764"/>
      <c r="BG25" s="1764"/>
      <c r="BH25" s="1764"/>
      <c r="BI25" s="1764"/>
      <c r="BJ25" s="1764"/>
      <c r="BK25" s="1764"/>
      <c r="BL25" s="1764"/>
      <c r="BM25" s="1764"/>
      <c r="BN25" s="1764"/>
      <c r="BO25" s="1764"/>
      <c r="BP25" s="1765"/>
      <c r="CA25" s="1766"/>
      <c r="CB25" s="1763"/>
      <c r="CC25" s="1764"/>
      <c r="CD25" s="1764"/>
      <c r="CE25" s="1764"/>
      <c r="CF25" s="1764"/>
      <c r="CG25" s="1764"/>
      <c r="CH25" s="1764"/>
      <c r="CI25" s="1764"/>
      <c r="CJ25" s="1764"/>
      <c r="CK25" s="1764"/>
      <c r="CL25" s="1764"/>
      <c r="CM25" s="1764"/>
      <c r="CN25" s="1764"/>
      <c r="CO25" s="1765"/>
    </row>
    <row r="26" spans="1:93" x14ac:dyDescent="0.2">
      <c r="A26" s="1780" t="s">
        <v>1349</v>
      </c>
      <c r="B26" s="1781">
        <v>14</v>
      </c>
      <c r="C26" s="1782" t="s">
        <v>1978</v>
      </c>
      <c r="D26" s="1783">
        <v>59</v>
      </c>
      <c r="E26" s="1784">
        <v>0.625</v>
      </c>
      <c r="I26" s="1787">
        <v>0</v>
      </c>
      <c r="J26" s="1786">
        <v>1.375</v>
      </c>
      <c r="K26" s="1786" t="s">
        <v>114</v>
      </c>
      <c r="L26" s="1786">
        <v>3</v>
      </c>
      <c r="M26" s="1788">
        <v>3</v>
      </c>
      <c r="Q26" s="1787" t="s">
        <v>117</v>
      </c>
      <c r="W26" s="1790" t="s">
        <v>117</v>
      </c>
      <c r="X26" s="1791">
        <v>0</v>
      </c>
      <c r="Y26" s="1792" t="s">
        <v>117</v>
      </c>
      <c r="Z26" s="1791" t="s">
        <v>117</v>
      </c>
      <c r="AA26" s="1792" t="s">
        <v>2085</v>
      </c>
      <c r="BA26" s="1763"/>
      <c r="BB26" s="1764"/>
      <c r="BC26" s="1764"/>
      <c r="BD26" s="1764"/>
      <c r="BE26" s="1764"/>
      <c r="BF26" s="1764"/>
      <c r="BG26" s="1764"/>
      <c r="BH26" s="1764"/>
      <c r="BI26" s="1764"/>
      <c r="BJ26" s="1764"/>
      <c r="BK26" s="1764"/>
      <c r="BL26" s="1764"/>
      <c r="BM26" s="1764"/>
      <c r="BN26" s="1764"/>
      <c r="BO26" s="1764"/>
      <c r="BP26" s="1765"/>
      <c r="CA26" s="1766"/>
      <c r="CB26" s="1763"/>
      <c r="CC26" s="1764"/>
      <c r="CD26" s="1764"/>
      <c r="CE26" s="1764"/>
      <c r="CF26" s="1764"/>
      <c r="CG26" s="1764"/>
      <c r="CH26" s="1764"/>
      <c r="CI26" s="1764"/>
      <c r="CJ26" s="1764"/>
      <c r="CK26" s="1764"/>
      <c r="CL26" s="1764"/>
      <c r="CM26" s="1764"/>
      <c r="CN26" s="1764"/>
      <c r="CO26" s="1765"/>
    </row>
    <row r="27" spans="1:93" x14ac:dyDescent="0.2">
      <c r="A27" s="1780" t="s">
        <v>1350</v>
      </c>
      <c r="B27" s="1781">
        <v>1</v>
      </c>
      <c r="C27" s="1782" t="s">
        <v>1978</v>
      </c>
      <c r="D27" s="1783">
        <v>59</v>
      </c>
      <c r="E27" s="1784">
        <v>0.625</v>
      </c>
      <c r="I27" s="1787">
        <v>0</v>
      </c>
      <c r="J27" s="1786">
        <v>1.375</v>
      </c>
      <c r="K27" s="1786" t="s">
        <v>114</v>
      </c>
      <c r="L27" s="1786">
        <v>3</v>
      </c>
      <c r="M27" s="1788">
        <v>3</v>
      </c>
      <c r="Q27" s="1787" t="s">
        <v>117</v>
      </c>
      <c r="W27" s="1790" t="s">
        <v>117</v>
      </c>
      <c r="X27" s="1791">
        <v>0</v>
      </c>
      <c r="Y27" s="1792" t="s">
        <v>117</v>
      </c>
      <c r="Z27" s="1791" t="s">
        <v>117</v>
      </c>
      <c r="AA27" s="1792" t="s">
        <v>2086</v>
      </c>
      <c r="BA27" s="1763"/>
      <c r="BB27" s="1764"/>
      <c r="BC27" s="1764"/>
      <c r="BD27" s="1764"/>
      <c r="BE27" s="1764"/>
      <c r="BF27" s="1764"/>
      <c r="BG27" s="1764"/>
      <c r="BH27" s="1764"/>
      <c r="BI27" s="1764"/>
      <c r="BJ27" s="1764"/>
      <c r="BK27" s="1764"/>
      <c r="BL27" s="1764"/>
      <c r="BM27" s="1764"/>
      <c r="BN27" s="1764"/>
      <c r="BO27" s="1764"/>
      <c r="BP27" s="1765"/>
      <c r="CA27" s="1766"/>
      <c r="CB27" s="1763"/>
      <c r="CC27" s="1764"/>
      <c r="CD27" s="1764"/>
      <c r="CE27" s="1764"/>
      <c r="CF27" s="1764"/>
      <c r="CG27" s="1764"/>
      <c r="CH27" s="1764"/>
      <c r="CI27" s="1764"/>
      <c r="CJ27" s="1764"/>
      <c r="CK27" s="1764"/>
      <c r="CL27" s="1764"/>
      <c r="CM27" s="1764"/>
      <c r="CN27" s="1764"/>
      <c r="CO27" s="1765"/>
    </row>
    <row r="28" spans="1:93" x14ac:dyDescent="0.2">
      <c r="A28" s="1780" t="s">
        <v>1351</v>
      </c>
      <c r="B28" s="1781">
        <v>1</v>
      </c>
      <c r="C28" s="1782" t="s">
        <v>1978</v>
      </c>
      <c r="D28" s="1783">
        <v>58</v>
      </c>
      <c r="E28" s="1784">
        <v>11.875</v>
      </c>
      <c r="I28" s="1787">
        <v>0</v>
      </c>
      <c r="J28" s="1786">
        <v>0.625</v>
      </c>
      <c r="K28" s="1786" t="s">
        <v>114</v>
      </c>
      <c r="L28" s="1786">
        <v>3</v>
      </c>
      <c r="M28" s="1788">
        <v>3</v>
      </c>
      <c r="Q28" s="1787">
        <v>0</v>
      </c>
      <c r="R28" s="1786">
        <v>6.75</v>
      </c>
      <c r="S28" s="1786">
        <v>2</v>
      </c>
      <c r="T28" s="1786">
        <v>0</v>
      </c>
      <c r="U28" s="1788">
        <v>1.125</v>
      </c>
      <c r="V28" s="1789">
        <v>0</v>
      </c>
      <c r="W28" s="1790">
        <v>1.5</v>
      </c>
      <c r="X28" s="1791">
        <v>4</v>
      </c>
      <c r="Y28" s="1792" t="s">
        <v>117</v>
      </c>
      <c r="Z28" s="1791" t="s">
        <v>117</v>
      </c>
      <c r="AA28" s="1792" t="s">
        <v>2087</v>
      </c>
      <c r="BA28" s="1763"/>
      <c r="BB28" s="1764"/>
      <c r="BC28" s="1764"/>
      <c r="BD28" s="1764"/>
      <c r="BE28" s="1764"/>
      <c r="BF28" s="1764"/>
      <c r="BG28" s="1764"/>
      <c r="BH28" s="1764"/>
      <c r="BI28" s="1764"/>
      <c r="BJ28" s="1764"/>
      <c r="BK28" s="1764"/>
      <c r="BL28" s="1764"/>
      <c r="BM28" s="1764"/>
      <c r="BN28" s="1764"/>
      <c r="BO28" s="1764"/>
      <c r="BP28" s="1765"/>
      <c r="CA28" s="1766"/>
      <c r="CB28" s="1763"/>
      <c r="CC28" s="1764"/>
      <c r="CD28" s="1764"/>
      <c r="CE28" s="1764"/>
      <c r="CF28" s="1764"/>
      <c r="CG28" s="1764"/>
      <c r="CH28" s="1764"/>
      <c r="CI28" s="1764"/>
      <c r="CJ28" s="1764"/>
      <c r="CK28" s="1764"/>
      <c r="CL28" s="1764"/>
      <c r="CM28" s="1764"/>
      <c r="CN28" s="1764"/>
      <c r="CO28" s="1765"/>
    </row>
    <row r="29" spans="1:93" x14ac:dyDescent="0.2">
      <c r="A29" s="1780" t="s">
        <v>1352</v>
      </c>
      <c r="B29" s="1781">
        <v>5</v>
      </c>
      <c r="C29" s="1782" t="s">
        <v>1978</v>
      </c>
      <c r="D29" s="1783">
        <v>59</v>
      </c>
      <c r="E29" s="1784">
        <v>0.625</v>
      </c>
      <c r="I29" s="1787">
        <v>0</v>
      </c>
      <c r="J29" s="1786">
        <v>1.375</v>
      </c>
      <c r="K29" s="1786" t="s">
        <v>114</v>
      </c>
      <c r="L29" s="1786">
        <v>3</v>
      </c>
      <c r="M29" s="1788">
        <v>3</v>
      </c>
      <c r="Q29" s="1787" t="s">
        <v>117</v>
      </c>
      <c r="W29" s="1790" t="s">
        <v>117</v>
      </c>
      <c r="X29" s="1791">
        <v>0</v>
      </c>
      <c r="Y29" s="1792" t="s">
        <v>117</v>
      </c>
      <c r="Z29" s="1791" t="s">
        <v>117</v>
      </c>
      <c r="AA29" s="1792" t="s">
        <v>2088</v>
      </c>
      <c r="BA29" s="1763"/>
      <c r="BB29" s="1764"/>
      <c r="BC29" s="1764"/>
      <c r="BD29" s="1764"/>
      <c r="BE29" s="1764"/>
      <c r="BF29" s="1764"/>
      <c r="BG29" s="1764"/>
      <c r="BH29" s="1764"/>
      <c r="BI29" s="1764"/>
      <c r="BJ29" s="1764"/>
      <c r="BK29" s="1764"/>
      <c r="BL29" s="1764"/>
      <c r="BM29" s="1764"/>
      <c r="BN29" s="1764"/>
      <c r="BO29" s="1764"/>
      <c r="BP29" s="1765"/>
      <c r="CA29" s="1766"/>
      <c r="CB29" s="1763"/>
      <c r="CC29" s="1764"/>
      <c r="CD29" s="1764"/>
      <c r="CE29" s="1764"/>
      <c r="CF29" s="1764"/>
      <c r="CG29" s="1764"/>
      <c r="CH29" s="1764"/>
      <c r="CI29" s="1764"/>
      <c r="CJ29" s="1764"/>
      <c r="CK29" s="1764"/>
      <c r="CL29" s="1764"/>
      <c r="CM29" s="1764"/>
      <c r="CN29" s="1764"/>
      <c r="CO29" s="1765"/>
    </row>
    <row r="30" spans="1:93" x14ac:dyDescent="0.2">
      <c r="A30" s="1780" t="s">
        <v>1353</v>
      </c>
      <c r="B30" s="1781">
        <v>1</v>
      </c>
      <c r="C30" s="1782" t="s">
        <v>1978</v>
      </c>
      <c r="D30" s="1783">
        <v>59</v>
      </c>
      <c r="E30" s="1784">
        <v>0.625</v>
      </c>
      <c r="I30" s="1787">
        <v>0</v>
      </c>
      <c r="J30" s="1786">
        <v>1.375</v>
      </c>
      <c r="K30" s="1786" t="s">
        <v>114</v>
      </c>
      <c r="L30" s="1786">
        <v>3</v>
      </c>
      <c r="M30" s="1788">
        <v>3</v>
      </c>
      <c r="Q30" s="1787" t="s">
        <v>117</v>
      </c>
      <c r="T30" s="1786">
        <v>0</v>
      </c>
      <c r="U30" s="1788">
        <v>1.125</v>
      </c>
      <c r="V30" s="1789">
        <v>0</v>
      </c>
      <c r="W30" s="1790">
        <v>2.25</v>
      </c>
      <c r="X30" s="1791">
        <v>4</v>
      </c>
      <c r="Y30" s="1792" t="s">
        <v>117</v>
      </c>
      <c r="Z30" s="1791" t="s">
        <v>117</v>
      </c>
      <c r="AA30" s="1792" t="s">
        <v>2089</v>
      </c>
      <c r="BA30" s="1763"/>
      <c r="BB30" s="1764"/>
      <c r="BC30" s="1764"/>
      <c r="BD30" s="1764"/>
      <c r="BE30" s="1764"/>
      <c r="BF30" s="1764"/>
      <c r="BG30" s="1764"/>
      <c r="BH30" s="1764"/>
      <c r="BI30" s="1764"/>
      <c r="BJ30" s="1764"/>
      <c r="BK30" s="1764"/>
      <c r="BL30" s="1764"/>
      <c r="BM30" s="1764"/>
      <c r="BN30" s="1764"/>
      <c r="BO30" s="1764"/>
      <c r="BP30" s="1765"/>
      <c r="CA30" s="1766"/>
      <c r="CB30" s="1763"/>
      <c r="CC30" s="1764"/>
      <c r="CD30" s="1764"/>
      <c r="CE30" s="1764"/>
      <c r="CF30" s="1764"/>
      <c r="CG30" s="1764"/>
      <c r="CH30" s="1764"/>
      <c r="CI30" s="1764"/>
      <c r="CJ30" s="1764"/>
      <c r="CK30" s="1764"/>
      <c r="CL30" s="1764"/>
      <c r="CM30" s="1764"/>
      <c r="CN30" s="1764"/>
      <c r="CO30" s="1765"/>
    </row>
    <row r="31" spans="1:93" x14ac:dyDescent="0.2">
      <c r="A31" s="1780" t="s">
        <v>1354</v>
      </c>
      <c r="B31" s="1781">
        <v>1</v>
      </c>
      <c r="C31" s="1782" t="s">
        <v>1978</v>
      </c>
      <c r="D31" s="1783">
        <v>59</v>
      </c>
      <c r="E31" s="1784">
        <v>0.625</v>
      </c>
      <c r="I31" s="1787">
        <v>0</v>
      </c>
      <c r="J31" s="1786">
        <v>1.375</v>
      </c>
      <c r="K31" s="1786" t="s">
        <v>114</v>
      </c>
      <c r="L31" s="1786">
        <v>3</v>
      </c>
      <c r="M31" s="1788">
        <v>3</v>
      </c>
      <c r="Q31" s="1787" t="s">
        <v>117</v>
      </c>
      <c r="T31" s="1786">
        <v>0</v>
      </c>
      <c r="U31" s="1788">
        <v>1.125</v>
      </c>
      <c r="V31" s="1789">
        <v>0</v>
      </c>
      <c r="W31" s="1790">
        <v>2.25</v>
      </c>
      <c r="X31" s="1791">
        <v>4</v>
      </c>
      <c r="Y31" s="1792" t="s">
        <v>117</v>
      </c>
      <c r="Z31" s="1791" t="s">
        <v>117</v>
      </c>
      <c r="AA31" s="1792" t="s">
        <v>2090</v>
      </c>
      <c r="BA31" s="1763"/>
      <c r="BB31" s="1764"/>
      <c r="BC31" s="1764"/>
      <c r="BD31" s="1764"/>
      <c r="BE31" s="1764"/>
      <c r="BF31" s="1764"/>
      <c r="BG31" s="1764"/>
      <c r="BH31" s="1764"/>
      <c r="BI31" s="1764"/>
      <c r="BJ31" s="1764"/>
      <c r="BK31" s="1764"/>
      <c r="BL31" s="1764"/>
      <c r="BM31" s="1764"/>
      <c r="BN31" s="1764"/>
      <c r="BO31" s="1764"/>
      <c r="BP31" s="1765"/>
      <c r="CA31" s="1766"/>
      <c r="CB31" s="1763"/>
      <c r="CC31" s="1764"/>
      <c r="CD31" s="1764"/>
      <c r="CE31" s="1764"/>
      <c r="CF31" s="1764"/>
      <c r="CG31" s="1764"/>
      <c r="CH31" s="1764"/>
      <c r="CI31" s="1764"/>
      <c r="CJ31" s="1764"/>
      <c r="CK31" s="1764"/>
      <c r="CL31" s="1764"/>
      <c r="CM31" s="1764"/>
      <c r="CN31" s="1764"/>
      <c r="CO31" s="1765"/>
    </row>
    <row r="32" spans="1:93" x14ac:dyDescent="0.2">
      <c r="A32" s="1780" t="s">
        <v>1355</v>
      </c>
      <c r="B32" s="1781">
        <v>1</v>
      </c>
      <c r="C32" s="1782" t="s">
        <v>1978</v>
      </c>
      <c r="D32" s="1783">
        <v>59</v>
      </c>
      <c r="E32" s="1784">
        <v>0.625</v>
      </c>
      <c r="I32" s="1787">
        <v>0</v>
      </c>
      <c r="J32" s="1786">
        <v>1.375</v>
      </c>
      <c r="K32" s="1786" t="s">
        <v>114</v>
      </c>
      <c r="L32" s="1786">
        <v>3</v>
      </c>
      <c r="M32" s="1788">
        <v>3</v>
      </c>
      <c r="Q32" s="1787" t="s">
        <v>117</v>
      </c>
      <c r="W32" s="1790" t="s">
        <v>117</v>
      </c>
      <c r="X32" s="1791">
        <v>0</v>
      </c>
      <c r="Y32" s="1792" t="s">
        <v>117</v>
      </c>
      <c r="Z32" s="1791" t="s">
        <v>117</v>
      </c>
      <c r="AA32" s="1792" t="s">
        <v>2091</v>
      </c>
      <c r="BA32" s="1763"/>
      <c r="BB32" s="1764"/>
      <c r="BC32" s="1764"/>
      <c r="BD32" s="1764"/>
      <c r="BE32" s="1764"/>
      <c r="BF32" s="1764"/>
      <c r="BG32" s="1764"/>
      <c r="BH32" s="1764"/>
      <c r="BI32" s="1764"/>
      <c r="BJ32" s="1764"/>
      <c r="BK32" s="1764"/>
      <c r="BL32" s="1764"/>
      <c r="BM32" s="1764"/>
      <c r="BN32" s="1764"/>
      <c r="BO32" s="1764"/>
      <c r="BP32" s="1765"/>
      <c r="CA32" s="1766"/>
      <c r="CB32" s="1763"/>
      <c r="CC32" s="1764"/>
      <c r="CD32" s="1764"/>
      <c r="CE32" s="1764"/>
      <c r="CF32" s="1764"/>
      <c r="CG32" s="1764"/>
      <c r="CH32" s="1764"/>
      <c r="CI32" s="1764"/>
      <c r="CJ32" s="1764"/>
      <c r="CK32" s="1764"/>
      <c r="CL32" s="1764"/>
      <c r="CM32" s="1764"/>
      <c r="CN32" s="1764"/>
      <c r="CO32" s="1765"/>
    </row>
    <row r="33" spans="1:93" x14ac:dyDescent="0.2">
      <c r="A33" s="1780" t="s">
        <v>1356</v>
      </c>
      <c r="B33" s="1781">
        <v>1</v>
      </c>
      <c r="C33" s="1782" t="s">
        <v>1978</v>
      </c>
      <c r="D33" s="1783">
        <v>59</v>
      </c>
      <c r="E33" s="1784">
        <v>0.625</v>
      </c>
      <c r="I33" s="1787">
        <v>0</v>
      </c>
      <c r="J33" s="1786">
        <v>1.375</v>
      </c>
      <c r="K33" s="1786" t="s">
        <v>114</v>
      </c>
      <c r="L33" s="1786">
        <v>3</v>
      </c>
      <c r="M33" s="1788">
        <v>3</v>
      </c>
      <c r="Q33" s="1787" t="s">
        <v>117</v>
      </c>
      <c r="W33" s="1790" t="s">
        <v>117</v>
      </c>
      <c r="X33" s="1791">
        <v>0</v>
      </c>
      <c r="Y33" s="1792" t="s">
        <v>117</v>
      </c>
      <c r="Z33" s="1791" t="s">
        <v>117</v>
      </c>
      <c r="AA33" s="1792" t="s">
        <v>2092</v>
      </c>
      <c r="BA33" s="1763"/>
      <c r="BB33" s="1764"/>
      <c r="BC33" s="1764"/>
      <c r="BD33" s="1764"/>
      <c r="BE33" s="1764"/>
      <c r="BF33" s="1764"/>
      <c r="BG33" s="1764"/>
      <c r="BH33" s="1764"/>
      <c r="BI33" s="1764"/>
      <c r="BJ33" s="1764"/>
      <c r="BK33" s="1764"/>
      <c r="BL33" s="1764"/>
      <c r="BM33" s="1764"/>
      <c r="BN33" s="1764"/>
      <c r="BO33" s="1764"/>
      <c r="BP33" s="1765"/>
      <c r="CA33" s="1766"/>
      <c r="CB33" s="1763"/>
      <c r="CC33" s="1764"/>
      <c r="CD33" s="1764"/>
      <c r="CE33" s="1764"/>
      <c r="CF33" s="1764"/>
      <c r="CG33" s="1764"/>
      <c r="CH33" s="1764"/>
      <c r="CI33" s="1764"/>
      <c r="CJ33" s="1764"/>
      <c r="CK33" s="1764"/>
      <c r="CL33" s="1764"/>
      <c r="CM33" s="1764"/>
      <c r="CN33" s="1764"/>
      <c r="CO33" s="1765"/>
    </row>
    <row r="34" spans="1:93" x14ac:dyDescent="0.2">
      <c r="A34" s="1780" t="s">
        <v>1357</v>
      </c>
      <c r="B34" s="1781">
        <v>2</v>
      </c>
      <c r="C34" s="1782" t="s">
        <v>1978</v>
      </c>
      <c r="D34" s="1783">
        <v>59</v>
      </c>
      <c r="E34" s="1784">
        <v>0.625</v>
      </c>
      <c r="I34" s="1787">
        <v>0</v>
      </c>
      <c r="J34" s="1786">
        <v>1.375</v>
      </c>
      <c r="K34" s="1786" t="s">
        <v>114</v>
      </c>
      <c r="L34" s="1786">
        <v>3</v>
      </c>
      <c r="M34" s="1788">
        <v>3</v>
      </c>
      <c r="Q34" s="1787" t="s">
        <v>117</v>
      </c>
      <c r="W34" s="1790" t="s">
        <v>117</v>
      </c>
      <c r="X34" s="1791">
        <v>0</v>
      </c>
      <c r="Y34" s="1792" t="s">
        <v>117</v>
      </c>
      <c r="Z34" s="1791" t="s">
        <v>117</v>
      </c>
      <c r="AA34" s="1792" t="s">
        <v>2093</v>
      </c>
      <c r="BA34" s="1763"/>
      <c r="BB34" s="1764"/>
      <c r="BC34" s="1764"/>
      <c r="BD34" s="1764"/>
      <c r="BE34" s="1764"/>
      <c r="BF34" s="1764"/>
      <c r="BG34" s="1764"/>
      <c r="BH34" s="1764"/>
      <c r="BI34" s="1764"/>
      <c r="BJ34" s="1764"/>
      <c r="BK34" s="1764"/>
      <c r="BL34" s="1764"/>
      <c r="BM34" s="1764"/>
      <c r="BN34" s="1764"/>
      <c r="BO34" s="1764"/>
      <c r="BP34" s="1765"/>
      <c r="CA34" s="1766"/>
      <c r="CB34" s="1763"/>
      <c r="CC34" s="1764"/>
      <c r="CD34" s="1764"/>
      <c r="CE34" s="1764"/>
      <c r="CF34" s="1764"/>
      <c r="CG34" s="1764"/>
      <c r="CH34" s="1764"/>
      <c r="CI34" s="1764"/>
      <c r="CJ34" s="1764"/>
      <c r="CK34" s="1764"/>
      <c r="CL34" s="1764"/>
      <c r="CM34" s="1764"/>
      <c r="CN34" s="1764"/>
      <c r="CO34" s="1765"/>
    </row>
    <row r="35" spans="1:93" x14ac:dyDescent="0.2">
      <c r="A35" s="1780" t="s">
        <v>1358</v>
      </c>
      <c r="B35" s="1781">
        <v>1</v>
      </c>
      <c r="C35" s="1782" t="s">
        <v>1978</v>
      </c>
      <c r="D35" s="1783">
        <v>59</v>
      </c>
      <c r="E35" s="1784">
        <v>0.625</v>
      </c>
      <c r="I35" s="1787">
        <v>0</v>
      </c>
      <c r="J35" s="1786">
        <v>1.375</v>
      </c>
      <c r="K35" s="1786" t="s">
        <v>114</v>
      </c>
      <c r="L35" s="1786">
        <v>3</v>
      </c>
      <c r="M35" s="1788">
        <v>3</v>
      </c>
      <c r="Q35" s="1787" t="s">
        <v>117</v>
      </c>
      <c r="W35" s="1790" t="s">
        <v>117</v>
      </c>
      <c r="X35" s="1791">
        <v>0</v>
      </c>
      <c r="Y35" s="1792" t="s">
        <v>117</v>
      </c>
      <c r="Z35" s="1791" t="s">
        <v>117</v>
      </c>
      <c r="AA35" s="1792" t="s">
        <v>2094</v>
      </c>
      <c r="BA35" s="1763"/>
      <c r="BB35" s="1764"/>
      <c r="BC35" s="1764"/>
      <c r="BD35" s="1764"/>
      <c r="BE35" s="1764"/>
      <c r="BF35" s="1764"/>
      <c r="BG35" s="1764"/>
      <c r="BH35" s="1764"/>
      <c r="BI35" s="1764"/>
      <c r="BJ35" s="1764"/>
      <c r="BK35" s="1764"/>
      <c r="BL35" s="1764"/>
      <c r="BM35" s="1764"/>
      <c r="BN35" s="1764"/>
      <c r="BO35" s="1764"/>
      <c r="BP35" s="1765"/>
      <c r="CA35" s="1766"/>
      <c r="CB35" s="1763"/>
      <c r="CC35" s="1764"/>
      <c r="CD35" s="1764"/>
      <c r="CE35" s="1764"/>
      <c r="CF35" s="1764"/>
      <c r="CG35" s="1764"/>
      <c r="CH35" s="1764"/>
      <c r="CI35" s="1764"/>
      <c r="CJ35" s="1764"/>
      <c r="CK35" s="1764"/>
      <c r="CL35" s="1764"/>
      <c r="CM35" s="1764"/>
      <c r="CN35" s="1764"/>
      <c r="CO35" s="1765"/>
    </row>
    <row r="36" spans="1:93" x14ac:dyDescent="0.2">
      <c r="A36" s="1780" t="s">
        <v>1359</v>
      </c>
      <c r="B36" s="1781">
        <v>48</v>
      </c>
      <c r="C36" s="1782" t="s">
        <v>1978</v>
      </c>
      <c r="D36" s="1783">
        <v>60</v>
      </c>
      <c r="E36" s="1784">
        <v>0</v>
      </c>
      <c r="F36" s="1785">
        <v>0</v>
      </c>
      <c r="G36" s="1786">
        <v>1.375</v>
      </c>
      <c r="H36" s="1786" t="s">
        <v>114</v>
      </c>
      <c r="I36" s="1787">
        <v>0</v>
      </c>
      <c r="J36" s="1786">
        <v>1.375</v>
      </c>
      <c r="K36" s="1786" t="s">
        <v>114</v>
      </c>
      <c r="L36" s="1786">
        <v>3</v>
      </c>
      <c r="M36" s="1788">
        <v>3</v>
      </c>
      <c r="Q36" s="1787" t="s">
        <v>117</v>
      </c>
      <c r="W36" s="1790" t="s">
        <v>117</v>
      </c>
      <c r="X36" s="1791">
        <v>0</v>
      </c>
      <c r="Y36" s="1792">
        <v>0.42999506612343696</v>
      </c>
      <c r="Z36" s="1791">
        <v>-0.42999506612343696</v>
      </c>
      <c r="AA36" s="1792" t="s">
        <v>2095</v>
      </c>
      <c r="BA36" s="1763"/>
      <c r="BB36" s="1764"/>
      <c r="BC36" s="1764"/>
      <c r="BD36" s="1764"/>
      <c r="BE36" s="1764"/>
      <c r="BF36" s="1764"/>
      <c r="BG36" s="1764"/>
      <c r="BH36" s="1764"/>
      <c r="BI36" s="1764"/>
      <c r="BJ36" s="1764"/>
      <c r="BK36" s="1764"/>
      <c r="BL36" s="1764"/>
      <c r="BM36" s="1764"/>
      <c r="BN36" s="1764"/>
      <c r="BO36" s="1764"/>
      <c r="BP36" s="1765"/>
      <c r="CA36" s="1766"/>
      <c r="CB36" s="1763"/>
      <c r="CC36" s="1764"/>
      <c r="CD36" s="1764"/>
      <c r="CE36" s="1764"/>
      <c r="CF36" s="1764"/>
      <c r="CG36" s="1764"/>
      <c r="CH36" s="1764"/>
      <c r="CI36" s="1764"/>
      <c r="CJ36" s="1764"/>
      <c r="CK36" s="1764"/>
      <c r="CL36" s="1764"/>
      <c r="CM36" s="1764"/>
      <c r="CN36" s="1764"/>
      <c r="CO36" s="1765"/>
    </row>
    <row r="37" spans="1:93" x14ac:dyDescent="0.2">
      <c r="A37" s="1780" t="s">
        <v>1360</v>
      </c>
      <c r="B37" s="1781">
        <v>9</v>
      </c>
      <c r="C37" s="1782" t="s">
        <v>1978</v>
      </c>
      <c r="D37" s="1783">
        <v>60</v>
      </c>
      <c r="E37" s="1784">
        <v>0</v>
      </c>
      <c r="F37" s="1785">
        <v>0</v>
      </c>
      <c r="G37" s="1786">
        <v>1.375</v>
      </c>
      <c r="H37" s="1786" t="s">
        <v>114</v>
      </c>
      <c r="I37" s="1787">
        <v>0</v>
      </c>
      <c r="J37" s="1786">
        <v>1.375</v>
      </c>
      <c r="K37" s="1786" t="s">
        <v>114</v>
      </c>
      <c r="L37" s="1786">
        <v>3</v>
      </c>
      <c r="M37" s="1788">
        <v>3</v>
      </c>
      <c r="Q37" s="1787" t="s">
        <v>117</v>
      </c>
      <c r="W37" s="1790" t="s">
        <v>117</v>
      </c>
      <c r="X37" s="1791">
        <v>0</v>
      </c>
      <c r="Y37" s="1792">
        <v>0.46666666666666701</v>
      </c>
      <c r="Z37" s="1791">
        <v>-0.46666666666666701</v>
      </c>
      <c r="AA37" s="1792" t="s">
        <v>2096</v>
      </c>
      <c r="BA37" s="1763"/>
      <c r="BB37" s="1764"/>
      <c r="BC37" s="1764"/>
      <c r="BD37" s="1764"/>
      <c r="BE37" s="1764"/>
      <c r="BF37" s="1764"/>
      <c r="BG37" s="1764"/>
      <c r="BH37" s="1764"/>
      <c r="BI37" s="1764"/>
      <c r="BJ37" s="1764"/>
      <c r="BK37" s="1764"/>
      <c r="BL37" s="1764"/>
      <c r="BM37" s="1764"/>
      <c r="BN37" s="1764"/>
      <c r="BO37" s="1764"/>
      <c r="BP37" s="1765"/>
      <c r="CA37" s="1766"/>
      <c r="CB37" s="1763"/>
      <c r="CC37" s="1764"/>
      <c r="CD37" s="1764"/>
      <c r="CE37" s="1764"/>
      <c r="CF37" s="1764"/>
      <c r="CG37" s="1764"/>
      <c r="CH37" s="1764"/>
      <c r="CI37" s="1764"/>
      <c r="CJ37" s="1764"/>
      <c r="CK37" s="1764"/>
      <c r="CL37" s="1764"/>
      <c r="CM37" s="1764"/>
      <c r="CN37" s="1764"/>
      <c r="CO37" s="1765"/>
    </row>
    <row r="38" spans="1:93" x14ac:dyDescent="0.2">
      <c r="A38" s="1780" t="s">
        <v>1361</v>
      </c>
      <c r="B38" s="1781">
        <v>10</v>
      </c>
      <c r="C38" s="1782" t="s">
        <v>1978</v>
      </c>
      <c r="D38" s="1783">
        <v>60</v>
      </c>
      <c r="E38" s="1784">
        <v>0</v>
      </c>
      <c r="F38" s="1785">
        <v>0</v>
      </c>
      <c r="G38" s="1786">
        <v>1.375</v>
      </c>
      <c r="H38" s="1786" t="s">
        <v>114</v>
      </c>
      <c r="I38" s="1787">
        <v>0</v>
      </c>
      <c r="J38" s="1786">
        <v>1.375</v>
      </c>
      <c r="K38" s="1786" t="s">
        <v>114</v>
      </c>
      <c r="L38" s="1786">
        <v>3</v>
      </c>
      <c r="M38" s="1788">
        <v>3</v>
      </c>
      <c r="Q38" s="1787" t="s">
        <v>117</v>
      </c>
      <c r="T38" s="1786">
        <v>0</v>
      </c>
      <c r="U38" s="1788">
        <v>2.25</v>
      </c>
      <c r="V38" s="1789">
        <v>0</v>
      </c>
      <c r="W38" s="1790">
        <v>2.25</v>
      </c>
      <c r="X38" s="1791">
        <v>4</v>
      </c>
      <c r="Y38" s="1792">
        <v>0.46666666666666701</v>
      </c>
      <c r="Z38" s="1791">
        <v>-0.46666666666666701</v>
      </c>
      <c r="AA38" s="1792" t="s">
        <v>2095</v>
      </c>
      <c r="BA38" s="1763"/>
      <c r="BB38" s="1764"/>
      <c r="BC38" s="1764"/>
      <c r="BD38" s="1764"/>
      <c r="BE38" s="1764"/>
      <c r="BF38" s="1764"/>
      <c r="BG38" s="1764"/>
      <c r="BH38" s="1764"/>
      <c r="BI38" s="1764"/>
      <c r="BJ38" s="1764"/>
      <c r="BK38" s="1764"/>
      <c r="BL38" s="1764"/>
      <c r="BM38" s="1764"/>
      <c r="BN38" s="1764"/>
      <c r="BO38" s="1764"/>
      <c r="BP38" s="1765"/>
      <c r="CA38" s="1766"/>
      <c r="CB38" s="1763"/>
      <c r="CC38" s="1764"/>
      <c r="CD38" s="1764"/>
      <c r="CE38" s="1764"/>
      <c r="CF38" s="1764"/>
      <c r="CG38" s="1764"/>
      <c r="CH38" s="1764"/>
      <c r="CI38" s="1764"/>
      <c r="CJ38" s="1764"/>
      <c r="CK38" s="1764"/>
      <c r="CL38" s="1764"/>
      <c r="CM38" s="1764"/>
      <c r="CN38" s="1764"/>
      <c r="CO38" s="1765"/>
    </row>
    <row r="39" spans="1:93" x14ac:dyDescent="0.2">
      <c r="A39" s="1780" t="s">
        <v>1362</v>
      </c>
      <c r="B39" s="1781">
        <v>6</v>
      </c>
      <c r="C39" s="1782" t="s">
        <v>1978</v>
      </c>
      <c r="D39" s="1783">
        <v>60</v>
      </c>
      <c r="E39" s="1784">
        <v>0</v>
      </c>
      <c r="F39" s="1785">
        <v>0</v>
      </c>
      <c r="G39" s="1786">
        <v>1.375</v>
      </c>
      <c r="H39" s="1786" t="s">
        <v>114</v>
      </c>
      <c r="I39" s="1787">
        <v>0</v>
      </c>
      <c r="J39" s="1786">
        <v>1.375</v>
      </c>
      <c r="K39" s="1786" t="s">
        <v>114</v>
      </c>
      <c r="L39" s="1786">
        <v>3</v>
      </c>
      <c r="M39" s="1788">
        <v>3</v>
      </c>
      <c r="Q39" s="1787" t="s">
        <v>117</v>
      </c>
      <c r="W39" s="1790" t="s">
        <v>117</v>
      </c>
      <c r="X39" s="1791">
        <v>0</v>
      </c>
      <c r="Y39" s="1792">
        <v>0.46666666666666701</v>
      </c>
      <c r="Z39" s="1791">
        <v>-0.46666666666666701</v>
      </c>
      <c r="AA39" s="1792" t="s">
        <v>2097</v>
      </c>
      <c r="BA39" s="1763"/>
      <c r="BB39" s="1764"/>
      <c r="BC39" s="1764"/>
      <c r="BD39" s="1764"/>
      <c r="BE39" s="1764"/>
      <c r="BF39" s="1764"/>
      <c r="BG39" s="1764"/>
      <c r="BH39" s="1764"/>
      <c r="BI39" s="1764"/>
      <c r="BJ39" s="1764"/>
      <c r="BK39" s="1764"/>
      <c r="BL39" s="1764"/>
      <c r="BM39" s="1764"/>
      <c r="BN39" s="1764"/>
      <c r="BO39" s="1764"/>
      <c r="BP39" s="1765"/>
      <c r="CA39" s="1766"/>
      <c r="CB39" s="1763"/>
      <c r="CC39" s="1764"/>
      <c r="CD39" s="1764"/>
      <c r="CE39" s="1764"/>
      <c r="CF39" s="1764"/>
      <c r="CG39" s="1764"/>
      <c r="CH39" s="1764"/>
      <c r="CI39" s="1764"/>
      <c r="CJ39" s="1764"/>
      <c r="CK39" s="1764"/>
      <c r="CL39" s="1764"/>
      <c r="CM39" s="1764"/>
      <c r="CN39" s="1764"/>
      <c r="CO39" s="1765"/>
    </row>
    <row r="40" spans="1:93" x14ac:dyDescent="0.2">
      <c r="A40" s="1780" t="s">
        <v>1363</v>
      </c>
      <c r="B40" s="1781">
        <v>3</v>
      </c>
      <c r="C40" s="1782" t="s">
        <v>1978</v>
      </c>
      <c r="D40" s="1783">
        <v>59</v>
      </c>
      <c r="E40" s="1784">
        <v>10.5</v>
      </c>
      <c r="F40" s="1785">
        <v>0</v>
      </c>
      <c r="G40" s="1786">
        <v>0.625</v>
      </c>
      <c r="H40" s="1786" t="s">
        <v>114</v>
      </c>
      <c r="I40" s="1787">
        <v>0</v>
      </c>
      <c r="J40" s="1786">
        <v>0.625</v>
      </c>
      <c r="K40" s="1786" t="s">
        <v>114</v>
      </c>
      <c r="L40" s="1786">
        <v>3</v>
      </c>
      <c r="M40" s="1788">
        <v>3</v>
      </c>
      <c r="N40" s="1785">
        <v>0</v>
      </c>
      <c r="O40" s="1786">
        <v>4.75</v>
      </c>
      <c r="P40" s="1786">
        <v>2</v>
      </c>
      <c r="Q40" s="1787">
        <v>0</v>
      </c>
      <c r="R40" s="1786">
        <v>7.375</v>
      </c>
      <c r="S40" s="1786">
        <v>2</v>
      </c>
      <c r="T40" s="1786">
        <v>0</v>
      </c>
      <c r="U40" s="1788">
        <v>1.5</v>
      </c>
      <c r="V40" s="1789">
        <v>0</v>
      </c>
      <c r="W40" s="1790">
        <v>1.5</v>
      </c>
      <c r="X40" s="1791">
        <v>4</v>
      </c>
      <c r="Y40" s="1792">
        <v>0.46666666666666701</v>
      </c>
      <c r="Z40" s="1791">
        <v>-0.46666666666666701</v>
      </c>
      <c r="AA40" s="1792" t="s">
        <v>2098</v>
      </c>
      <c r="BA40" s="1763"/>
      <c r="BB40" s="1764"/>
      <c r="BC40" s="1764"/>
      <c r="BD40" s="1764"/>
      <c r="BE40" s="1764"/>
      <c r="BF40" s="1764"/>
      <c r="BG40" s="1764"/>
      <c r="BH40" s="1764"/>
      <c r="BI40" s="1764"/>
      <c r="BJ40" s="1764"/>
      <c r="BK40" s="1764"/>
      <c r="BL40" s="1764"/>
      <c r="BM40" s="1764"/>
      <c r="BN40" s="1764"/>
      <c r="BO40" s="1764"/>
      <c r="BP40" s="1765"/>
      <c r="CA40" s="1766"/>
      <c r="CB40" s="1763"/>
      <c r="CC40" s="1764"/>
      <c r="CD40" s="1764"/>
      <c r="CE40" s="1764"/>
      <c r="CF40" s="1764"/>
      <c r="CG40" s="1764"/>
      <c r="CH40" s="1764"/>
      <c r="CI40" s="1764"/>
      <c r="CJ40" s="1764"/>
      <c r="CK40" s="1764"/>
      <c r="CL40" s="1764"/>
      <c r="CM40" s="1764"/>
      <c r="CN40" s="1764"/>
      <c r="CO40" s="1765"/>
    </row>
    <row r="41" spans="1:93" x14ac:dyDescent="0.2">
      <c r="A41" s="1780" t="s">
        <v>1364</v>
      </c>
      <c r="B41" s="1781">
        <v>2</v>
      </c>
      <c r="C41" s="1782" t="s">
        <v>1978</v>
      </c>
      <c r="D41" s="1783">
        <v>60</v>
      </c>
      <c r="E41" s="1784">
        <v>0</v>
      </c>
      <c r="F41" s="1785">
        <v>0</v>
      </c>
      <c r="G41" s="1786">
        <v>1.375</v>
      </c>
      <c r="H41" s="1786" t="s">
        <v>114</v>
      </c>
      <c r="I41" s="1787">
        <v>0</v>
      </c>
      <c r="J41" s="1786">
        <v>1.375</v>
      </c>
      <c r="K41" s="1786" t="s">
        <v>114</v>
      </c>
      <c r="L41" s="1786">
        <v>3</v>
      </c>
      <c r="M41" s="1788">
        <v>3</v>
      </c>
      <c r="Q41" s="1787" t="s">
        <v>117</v>
      </c>
      <c r="T41" s="1786">
        <v>0</v>
      </c>
      <c r="U41" s="1788">
        <v>2.25</v>
      </c>
      <c r="V41" s="1789">
        <v>0</v>
      </c>
      <c r="W41" s="1790">
        <v>2.25</v>
      </c>
      <c r="X41" s="1791">
        <v>4</v>
      </c>
      <c r="Y41" s="1792">
        <v>0.46666666666666701</v>
      </c>
      <c r="Z41" s="1791">
        <v>-0.46666666666666701</v>
      </c>
      <c r="AA41" s="1792" t="s">
        <v>2096</v>
      </c>
      <c r="BA41" s="1763"/>
      <c r="BB41" s="1764"/>
      <c r="BC41" s="1764"/>
      <c r="BD41" s="1764"/>
      <c r="BE41" s="1764"/>
      <c r="BF41" s="1764"/>
      <c r="BG41" s="1764"/>
      <c r="BH41" s="1764"/>
      <c r="BI41" s="1764"/>
      <c r="BJ41" s="1764"/>
      <c r="BK41" s="1764"/>
      <c r="BL41" s="1764"/>
      <c r="BM41" s="1764"/>
      <c r="BN41" s="1764"/>
      <c r="BO41" s="1764"/>
      <c r="BP41" s="1765"/>
      <c r="CA41" s="1766"/>
      <c r="CB41" s="1763"/>
      <c r="CC41" s="1764"/>
      <c r="CD41" s="1764"/>
      <c r="CE41" s="1764"/>
      <c r="CF41" s="1764"/>
      <c r="CG41" s="1764"/>
      <c r="CH41" s="1764"/>
      <c r="CI41" s="1764"/>
      <c r="CJ41" s="1764"/>
      <c r="CK41" s="1764"/>
      <c r="CL41" s="1764"/>
      <c r="CM41" s="1764"/>
      <c r="CN41" s="1764"/>
      <c r="CO41" s="1765"/>
    </row>
    <row r="42" spans="1:93" x14ac:dyDescent="0.2">
      <c r="A42" s="1780" t="s">
        <v>1365</v>
      </c>
      <c r="B42" s="1781">
        <v>1</v>
      </c>
      <c r="C42" s="1782" t="s">
        <v>1978</v>
      </c>
      <c r="D42" s="1783">
        <v>59</v>
      </c>
      <c r="E42" s="1784">
        <v>10.5</v>
      </c>
      <c r="F42" s="1785">
        <v>0</v>
      </c>
      <c r="G42" s="1786">
        <v>0.625</v>
      </c>
      <c r="H42" s="1786" t="s">
        <v>114</v>
      </c>
      <c r="I42" s="1787">
        <v>0</v>
      </c>
      <c r="J42" s="1786">
        <v>0.625</v>
      </c>
      <c r="K42" s="1786" t="s">
        <v>114</v>
      </c>
      <c r="L42" s="1786">
        <v>3</v>
      </c>
      <c r="M42" s="1788">
        <v>3</v>
      </c>
      <c r="N42" s="1785">
        <v>0</v>
      </c>
      <c r="O42" s="1786">
        <v>4.75</v>
      </c>
      <c r="P42" s="1786">
        <v>2</v>
      </c>
      <c r="Q42" s="1787">
        <v>0</v>
      </c>
      <c r="R42" s="1786">
        <v>7.375</v>
      </c>
      <c r="S42" s="1786">
        <v>2</v>
      </c>
      <c r="T42" s="1786">
        <v>0</v>
      </c>
      <c r="U42" s="1788">
        <v>1.5</v>
      </c>
      <c r="V42" s="1789">
        <v>0</v>
      </c>
      <c r="W42" s="1790">
        <v>1.5</v>
      </c>
      <c r="X42" s="1791">
        <v>4</v>
      </c>
      <c r="Y42" s="1792">
        <v>0.46666666666666701</v>
      </c>
      <c r="Z42" s="1791">
        <v>-0.46666666666666701</v>
      </c>
      <c r="AA42" s="1792" t="s">
        <v>2099</v>
      </c>
      <c r="BA42" s="1763"/>
      <c r="BB42" s="1764"/>
      <c r="BC42" s="1764"/>
      <c r="BD42" s="1764"/>
      <c r="BE42" s="1764"/>
      <c r="BF42" s="1764"/>
      <c r="BG42" s="1764"/>
      <c r="BH42" s="1764"/>
      <c r="BI42" s="1764"/>
      <c r="BJ42" s="1764"/>
      <c r="BK42" s="1764"/>
      <c r="BL42" s="1764"/>
      <c r="BM42" s="1764"/>
      <c r="BN42" s="1764"/>
      <c r="BO42" s="1764"/>
      <c r="BP42" s="1765"/>
      <c r="CA42" s="1766"/>
      <c r="CB42" s="1763"/>
      <c r="CC42" s="1764"/>
      <c r="CD42" s="1764"/>
      <c r="CE42" s="1764"/>
      <c r="CF42" s="1764"/>
      <c r="CG42" s="1764"/>
      <c r="CH42" s="1764"/>
      <c r="CI42" s="1764"/>
      <c r="CJ42" s="1764"/>
      <c r="CK42" s="1764"/>
      <c r="CL42" s="1764"/>
      <c r="CM42" s="1764"/>
      <c r="CN42" s="1764"/>
      <c r="CO42" s="1765"/>
    </row>
    <row r="43" spans="1:93" x14ac:dyDescent="0.2">
      <c r="A43" s="1780" t="s">
        <v>1366</v>
      </c>
      <c r="B43" s="1781">
        <v>126</v>
      </c>
      <c r="C43" s="1782" t="s">
        <v>1978</v>
      </c>
      <c r="D43" s="1783">
        <v>59</v>
      </c>
      <c r="E43" s="1784">
        <v>11.5</v>
      </c>
      <c r="F43" s="1785">
        <v>0</v>
      </c>
      <c r="G43" s="1786">
        <v>1.375</v>
      </c>
      <c r="H43" s="1786" t="s">
        <v>114</v>
      </c>
      <c r="I43" s="1787">
        <v>0</v>
      </c>
      <c r="J43" s="1786">
        <v>1.375</v>
      </c>
      <c r="K43" s="1786" t="s">
        <v>114</v>
      </c>
      <c r="L43" s="1786">
        <v>3</v>
      </c>
      <c r="M43" s="1788">
        <v>3</v>
      </c>
      <c r="Q43" s="1787" t="s">
        <v>117</v>
      </c>
      <c r="W43" s="1790" t="s">
        <v>117</v>
      </c>
      <c r="X43" s="1791">
        <v>0</v>
      </c>
      <c r="Y43" s="1792" t="s">
        <v>117</v>
      </c>
      <c r="Z43" s="1791" t="s">
        <v>117</v>
      </c>
      <c r="AA43" s="1792" t="s">
        <v>2095</v>
      </c>
      <c r="BA43" s="1793"/>
      <c r="BB43" s="1793"/>
      <c r="BC43" s="1793"/>
      <c r="BD43" s="1793"/>
      <c r="BE43" s="1793"/>
      <c r="BF43" s="1793"/>
      <c r="BG43" s="1793"/>
      <c r="BH43" s="1793"/>
      <c r="BI43" s="1793"/>
      <c r="BJ43" s="1793"/>
      <c r="BK43" s="1793"/>
      <c r="BL43" s="1793"/>
      <c r="BM43" s="1793"/>
      <c r="BN43" s="1793"/>
      <c r="BO43" s="1793"/>
      <c r="BP43" s="1793"/>
    </row>
    <row r="44" spans="1:93" x14ac:dyDescent="0.2">
      <c r="A44" s="1780" t="s">
        <v>1367</v>
      </c>
      <c r="B44" s="1781">
        <v>23</v>
      </c>
      <c r="C44" s="1782" t="s">
        <v>1978</v>
      </c>
      <c r="D44" s="1783">
        <v>59</v>
      </c>
      <c r="E44" s="1784">
        <v>11.5</v>
      </c>
      <c r="F44" s="1785">
        <v>0</v>
      </c>
      <c r="G44" s="1786">
        <v>1.375</v>
      </c>
      <c r="H44" s="1786" t="s">
        <v>114</v>
      </c>
      <c r="I44" s="1787">
        <v>0</v>
      </c>
      <c r="J44" s="1786">
        <v>1.375</v>
      </c>
      <c r="K44" s="1786" t="s">
        <v>114</v>
      </c>
      <c r="L44" s="1786">
        <v>3</v>
      </c>
      <c r="M44" s="1788">
        <v>3</v>
      </c>
      <c r="Q44" s="1787" t="s">
        <v>117</v>
      </c>
      <c r="W44" s="1790" t="s">
        <v>117</v>
      </c>
      <c r="X44" s="1791">
        <v>0</v>
      </c>
      <c r="Y44" s="1792" t="s">
        <v>117</v>
      </c>
      <c r="Z44" s="1791" t="s">
        <v>117</v>
      </c>
      <c r="AA44" s="1792" t="s">
        <v>2096</v>
      </c>
    </row>
    <row r="45" spans="1:93" x14ac:dyDescent="0.2">
      <c r="A45" s="1780" t="s">
        <v>1368</v>
      </c>
      <c r="B45" s="1781">
        <v>28</v>
      </c>
      <c r="C45" s="1782" t="s">
        <v>1978</v>
      </c>
      <c r="D45" s="1783">
        <v>59</v>
      </c>
      <c r="E45" s="1784">
        <v>11.5</v>
      </c>
      <c r="F45" s="1785">
        <v>0</v>
      </c>
      <c r="G45" s="1786">
        <v>1.375</v>
      </c>
      <c r="H45" s="1786" t="s">
        <v>114</v>
      </c>
      <c r="I45" s="1787">
        <v>0</v>
      </c>
      <c r="J45" s="1786">
        <v>1.375</v>
      </c>
      <c r="K45" s="1786" t="s">
        <v>114</v>
      </c>
      <c r="L45" s="1786">
        <v>3</v>
      </c>
      <c r="M45" s="1788">
        <v>3</v>
      </c>
      <c r="Q45" s="1787" t="s">
        <v>117</v>
      </c>
      <c r="T45" s="1786">
        <v>0</v>
      </c>
      <c r="U45" s="1788">
        <v>2.25</v>
      </c>
      <c r="V45" s="1789">
        <v>0</v>
      </c>
      <c r="W45" s="1790">
        <v>2.25</v>
      </c>
      <c r="X45" s="1791">
        <v>4</v>
      </c>
      <c r="Y45" s="1792" t="s">
        <v>117</v>
      </c>
      <c r="Z45" s="1791" t="s">
        <v>117</v>
      </c>
      <c r="AA45" s="1792" t="s">
        <v>2095</v>
      </c>
    </row>
    <row r="46" spans="1:93" x14ac:dyDescent="0.2">
      <c r="A46" s="1780" t="s">
        <v>1369</v>
      </c>
      <c r="B46" s="1781">
        <v>13</v>
      </c>
      <c r="C46" s="1782" t="s">
        <v>1978</v>
      </c>
      <c r="D46" s="1783">
        <v>59</v>
      </c>
      <c r="E46" s="1784">
        <v>11.5</v>
      </c>
      <c r="F46" s="1785">
        <v>0</v>
      </c>
      <c r="G46" s="1786">
        <v>1.375</v>
      </c>
      <c r="H46" s="1786" t="s">
        <v>114</v>
      </c>
      <c r="I46" s="1787">
        <v>0</v>
      </c>
      <c r="J46" s="1786">
        <v>1.375</v>
      </c>
      <c r="K46" s="1786" t="s">
        <v>114</v>
      </c>
      <c r="L46" s="1786">
        <v>3</v>
      </c>
      <c r="M46" s="1788">
        <v>3</v>
      </c>
      <c r="Q46" s="1787" t="s">
        <v>117</v>
      </c>
      <c r="W46" s="1790" t="s">
        <v>117</v>
      </c>
      <c r="X46" s="1791">
        <v>0</v>
      </c>
      <c r="Y46" s="1792" t="s">
        <v>117</v>
      </c>
      <c r="Z46" s="1791" t="s">
        <v>117</v>
      </c>
      <c r="AA46" s="1792" t="s">
        <v>2097</v>
      </c>
    </row>
    <row r="47" spans="1:93" x14ac:dyDescent="0.2">
      <c r="A47" s="1780" t="s">
        <v>1370</v>
      </c>
      <c r="B47" s="1781">
        <v>9</v>
      </c>
      <c r="C47" s="1782" t="s">
        <v>1978</v>
      </c>
      <c r="D47" s="1783">
        <v>59</v>
      </c>
      <c r="E47" s="1784">
        <v>10</v>
      </c>
      <c r="F47" s="1785">
        <v>0</v>
      </c>
      <c r="G47" s="1786">
        <v>0.625</v>
      </c>
      <c r="H47" s="1786" t="s">
        <v>114</v>
      </c>
      <c r="I47" s="1787">
        <v>0</v>
      </c>
      <c r="J47" s="1786">
        <v>0.625</v>
      </c>
      <c r="K47" s="1786" t="s">
        <v>114</v>
      </c>
      <c r="L47" s="1786">
        <v>3</v>
      </c>
      <c r="M47" s="1788">
        <v>3</v>
      </c>
      <c r="N47" s="1785">
        <v>0</v>
      </c>
      <c r="O47" s="1786">
        <v>5.375</v>
      </c>
      <c r="P47" s="1786">
        <v>2</v>
      </c>
      <c r="Q47" s="1787">
        <v>0</v>
      </c>
      <c r="R47" s="1786">
        <v>6.75</v>
      </c>
      <c r="S47" s="1786">
        <v>2</v>
      </c>
      <c r="T47" s="1786">
        <v>0</v>
      </c>
      <c r="U47" s="1788">
        <v>1.5</v>
      </c>
      <c r="V47" s="1789">
        <v>0</v>
      </c>
      <c r="W47" s="1790">
        <v>1.5</v>
      </c>
      <c r="X47" s="1791">
        <v>4</v>
      </c>
      <c r="Y47" s="1792" t="s">
        <v>117</v>
      </c>
      <c r="Z47" s="1791" t="s">
        <v>117</v>
      </c>
      <c r="AA47" s="1792" t="s">
        <v>2098</v>
      </c>
    </row>
    <row r="48" spans="1:93" x14ac:dyDescent="0.2">
      <c r="A48" s="1780" t="s">
        <v>1371</v>
      </c>
      <c r="B48" s="1781">
        <v>3</v>
      </c>
      <c r="C48" s="1782" t="s">
        <v>1978</v>
      </c>
      <c r="D48" s="1783">
        <v>59</v>
      </c>
      <c r="E48" s="1784">
        <v>11.5</v>
      </c>
      <c r="F48" s="1785">
        <v>0</v>
      </c>
      <c r="G48" s="1786">
        <v>1.375</v>
      </c>
      <c r="H48" s="1786" t="s">
        <v>114</v>
      </c>
      <c r="I48" s="1787">
        <v>0</v>
      </c>
      <c r="J48" s="1786">
        <v>1.375</v>
      </c>
      <c r="K48" s="1786" t="s">
        <v>114</v>
      </c>
      <c r="L48" s="1786">
        <v>3</v>
      </c>
      <c r="M48" s="1788">
        <v>3</v>
      </c>
      <c r="Q48" s="1787" t="s">
        <v>117</v>
      </c>
      <c r="T48" s="1786">
        <v>0</v>
      </c>
      <c r="U48" s="1788">
        <v>2.25</v>
      </c>
      <c r="V48" s="1789">
        <v>0</v>
      </c>
      <c r="W48" s="1790">
        <v>2.25</v>
      </c>
      <c r="X48" s="1791">
        <v>4</v>
      </c>
      <c r="Y48" s="1792" t="s">
        <v>117</v>
      </c>
      <c r="Z48" s="1791" t="s">
        <v>117</v>
      </c>
      <c r="AA48" s="1792" t="s">
        <v>2096</v>
      </c>
    </row>
    <row r="49" spans="1:27" x14ac:dyDescent="0.2">
      <c r="A49" s="1780" t="s">
        <v>1372</v>
      </c>
      <c r="B49" s="1781">
        <v>2</v>
      </c>
      <c r="C49" s="1782" t="s">
        <v>1978</v>
      </c>
      <c r="D49" s="1783">
        <v>59</v>
      </c>
      <c r="E49" s="1784">
        <v>10</v>
      </c>
      <c r="F49" s="1785">
        <v>0</v>
      </c>
      <c r="G49" s="1786">
        <v>0.625</v>
      </c>
      <c r="H49" s="1786" t="s">
        <v>114</v>
      </c>
      <c r="I49" s="1787">
        <v>0</v>
      </c>
      <c r="J49" s="1786">
        <v>0.625</v>
      </c>
      <c r="K49" s="1786" t="s">
        <v>114</v>
      </c>
      <c r="L49" s="1786">
        <v>3</v>
      </c>
      <c r="M49" s="1788">
        <v>3</v>
      </c>
      <c r="N49" s="1785">
        <v>0</v>
      </c>
      <c r="O49" s="1786">
        <v>5.375</v>
      </c>
      <c r="P49" s="1786">
        <v>2</v>
      </c>
      <c r="Q49" s="1787">
        <v>0</v>
      </c>
      <c r="R49" s="1786">
        <v>6.75</v>
      </c>
      <c r="S49" s="1786">
        <v>2</v>
      </c>
      <c r="T49" s="1786">
        <v>0</v>
      </c>
      <c r="U49" s="1788">
        <v>1.5</v>
      </c>
      <c r="V49" s="1789">
        <v>0</v>
      </c>
      <c r="W49" s="1790">
        <v>1.5</v>
      </c>
      <c r="X49" s="1791">
        <v>4</v>
      </c>
      <c r="Y49" s="1792" t="s">
        <v>117</v>
      </c>
      <c r="Z49" s="1791" t="s">
        <v>117</v>
      </c>
      <c r="AA49" s="1792" t="s">
        <v>2099</v>
      </c>
    </row>
    <row r="50" spans="1:27" x14ac:dyDescent="0.2">
      <c r="A50" s="1780" t="s">
        <v>1373</v>
      </c>
      <c r="B50" s="1781">
        <v>44</v>
      </c>
      <c r="C50" s="1782" t="s">
        <v>1979</v>
      </c>
      <c r="D50" s="1783">
        <v>49</v>
      </c>
      <c r="E50" s="1784">
        <v>11.5</v>
      </c>
      <c r="F50" s="1785">
        <v>0</v>
      </c>
      <c r="G50" s="1786">
        <v>1.375</v>
      </c>
      <c r="H50" s="1786" t="s">
        <v>114</v>
      </c>
      <c r="I50" s="1787">
        <v>0</v>
      </c>
      <c r="J50" s="1786">
        <v>1.375</v>
      </c>
      <c r="K50" s="1786" t="s">
        <v>114</v>
      </c>
      <c r="L50" s="1786">
        <v>3</v>
      </c>
      <c r="M50" s="1788">
        <v>3</v>
      </c>
      <c r="Q50" s="1787" t="s">
        <v>117</v>
      </c>
      <c r="W50" s="1790" t="s">
        <v>117</v>
      </c>
      <c r="X50" s="1791">
        <v>0</v>
      </c>
      <c r="Y50" s="1792" t="s">
        <v>117</v>
      </c>
      <c r="Z50" s="1791" t="s">
        <v>117</v>
      </c>
      <c r="AA50" s="1792" t="s">
        <v>2095</v>
      </c>
    </row>
    <row r="51" spans="1:27" x14ac:dyDescent="0.2">
      <c r="A51" s="1780" t="s">
        <v>1374</v>
      </c>
      <c r="B51" s="1781">
        <v>8</v>
      </c>
      <c r="C51" s="1782" t="s">
        <v>1979</v>
      </c>
      <c r="D51" s="1783">
        <v>49</v>
      </c>
      <c r="E51" s="1784">
        <v>11.5</v>
      </c>
      <c r="F51" s="1785">
        <v>0</v>
      </c>
      <c r="G51" s="1786">
        <v>1.375</v>
      </c>
      <c r="H51" s="1786" t="s">
        <v>114</v>
      </c>
      <c r="I51" s="1787">
        <v>0</v>
      </c>
      <c r="J51" s="1786">
        <v>1.375</v>
      </c>
      <c r="K51" s="1786" t="s">
        <v>114</v>
      </c>
      <c r="L51" s="1786">
        <v>3</v>
      </c>
      <c r="M51" s="1788">
        <v>3</v>
      </c>
      <c r="Q51" s="1787" t="s">
        <v>117</v>
      </c>
      <c r="W51" s="1790" t="s">
        <v>117</v>
      </c>
      <c r="X51" s="1791">
        <v>0</v>
      </c>
      <c r="Y51" s="1792" t="s">
        <v>117</v>
      </c>
      <c r="Z51" s="1791" t="s">
        <v>117</v>
      </c>
      <c r="AA51" s="1792" t="s">
        <v>2096</v>
      </c>
    </row>
    <row r="52" spans="1:27" x14ac:dyDescent="0.2">
      <c r="A52" s="1780" t="s">
        <v>1375</v>
      </c>
      <c r="B52" s="1781">
        <v>10</v>
      </c>
      <c r="C52" s="1782" t="s">
        <v>1979</v>
      </c>
      <c r="D52" s="1783">
        <v>49</v>
      </c>
      <c r="E52" s="1784">
        <v>11.5</v>
      </c>
      <c r="F52" s="1785">
        <v>0</v>
      </c>
      <c r="G52" s="1786">
        <v>1.375</v>
      </c>
      <c r="H52" s="1786" t="s">
        <v>114</v>
      </c>
      <c r="I52" s="1787">
        <v>0</v>
      </c>
      <c r="J52" s="1786">
        <v>1.375</v>
      </c>
      <c r="K52" s="1786" t="s">
        <v>114</v>
      </c>
      <c r="L52" s="1786">
        <v>3</v>
      </c>
      <c r="M52" s="1788">
        <v>3</v>
      </c>
      <c r="Q52" s="1787" t="s">
        <v>117</v>
      </c>
      <c r="T52" s="1786">
        <v>0</v>
      </c>
      <c r="U52" s="1788">
        <v>2.25</v>
      </c>
      <c r="V52" s="1789">
        <v>0</v>
      </c>
      <c r="W52" s="1790">
        <v>2.25</v>
      </c>
      <c r="X52" s="1791">
        <v>4</v>
      </c>
      <c r="Y52" s="1792" t="s">
        <v>117</v>
      </c>
      <c r="Z52" s="1791" t="s">
        <v>117</v>
      </c>
      <c r="AA52" s="1792" t="s">
        <v>2095</v>
      </c>
    </row>
    <row r="53" spans="1:27" x14ac:dyDescent="0.2">
      <c r="A53" s="1780" t="s">
        <v>1376</v>
      </c>
      <c r="B53" s="1781">
        <v>7</v>
      </c>
      <c r="C53" s="1782" t="s">
        <v>1979</v>
      </c>
      <c r="D53" s="1783">
        <v>49</v>
      </c>
      <c r="E53" s="1784">
        <v>11.5</v>
      </c>
      <c r="F53" s="1785">
        <v>0</v>
      </c>
      <c r="G53" s="1786">
        <v>1.375</v>
      </c>
      <c r="H53" s="1786" t="s">
        <v>114</v>
      </c>
      <c r="I53" s="1787">
        <v>0</v>
      </c>
      <c r="J53" s="1786">
        <v>1.375</v>
      </c>
      <c r="K53" s="1786" t="s">
        <v>114</v>
      </c>
      <c r="L53" s="1786">
        <v>3</v>
      </c>
      <c r="M53" s="1788">
        <v>3</v>
      </c>
      <c r="Q53" s="1787" t="s">
        <v>117</v>
      </c>
      <c r="W53" s="1790" t="s">
        <v>117</v>
      </c>
      <c r="X53" s="1791">
        <v>0</v>
      </c>
      <c r="Y53" s="1792" t="s">
        <v>117</v>
      </c>
      <c r="Z53" s="1791" t="s">
        <v>117</v>
      </c>
      <c r="AA53" s="1792" t="s">
        <v>2097</v>
      </c>
    </row>
    <row r="54" spans="1:27" x14ac:dyDescent="0.2">
      <c r="A54" s="1780" t="s">
        <v>1377</v>
      </c>
      <c r="B54" s="1781">
        <v>7</v>
      </c>
      <c r="C54" s="1782" t="s">
        <v>1979</v>
      </c>
      <c r="D54" s="1783">
        <v>49</v>
      </c>
      <c r="E54" s="1784">
        <v>10</v>
      </c>
      <c r="F54" s="1785">
        <v>0</v>
      </c>
      <c r="G54" s="1786">
        <v>0.625</v>
      </c>
      <c r="H54" s="1786" t="s">
        <v>114</v>
      </c>
      <c r="I54" s="1787">
        <v>0</v>
      </c>
      <c r="J54" s="1786">
        <v>0.625</v>
      </c>
      <c r="K54" s="1786" t="s">
        <v>114</v>
      </c>
      <c r="L54" s="1786">
        <v>3</v>
      </c>
      <c r="M54" s="1788">
        <v>3</v>
      </c>
      <c r="N54" s="1785">
        <v>0</v>
      </c>
      <c r="O54" s="1786">
        <v>5.375</v>
      </c>
      <c r="P54" s="1786">
        <v>2</v>
      </c>
      <c r="Q54" s="1787">
        <v>0</v>
      </c>
      <c r="R54" s="1786">
        <v>6.625</v>
      </c>
      <c r="S54" s="1786">
        <v>2</v>
      </c>
      <c r="T54" s="1786">
        <v>0</v>
      </c>
      <c r="U54" s="1788">
        <v>1.5</v>
      </c>
      <c r="V54" s="1789">
        <v>0</v>
      </c>
      <c r="W54" s="1790">
        <v>1.5</v>
      </c>
      <c r="X54" s="1791">
        <v>4</v>
      </c>
      <c r="Y54" s="1792" t="s">
        <v>117</v>
      </c>
      <c r="Z54" s="1791" t="s">
        <v>117</v>
      </c>
      <c r="AA54" s="1792" t="s">
        <v>2101</v>
      </c>
    </row>
    <row r="55" spans="1:27" x14ac:dyDescent="0.2">
      <c r="A55" s="1780" t="s">
        <v>1378</v>
      </c>
      <c r="B55" s="1781">
        <v>2</v>
      </c>
      <c r="C55" s="1782" t="s">
        <v>1979</v>
      </c>
      <c r="D55" s="1783">
        <v>49</v>
      </c>
      <c r="E55" s="1784">
        <v>11.5</v>
      </c>
      <c r="F55" s="1785">
        <v>0</v>
      </c>
      <c r="G55" s="1786">
        <v>1.375</v>
      </c>
      <c r="H55" s="1786" t="s">
        <v>114</v>
      </c>
      <c r="I55" s="1787">
        <v>0</v>
      </c>
      <c r="J55" s="1786">
        <v>1.375</v>
      </c>
      <c r="K55" s="1786" t="s">
        <v>114</v>
      </c>
      <c r="L55" s="1786">
        <v>3</v>
      </c>
      <c r="M55" s="1788">
        <v>3</v>
      </c>
      <c r="Q55" s="1787" t="s">
        <v>117</v>
      </c>
      <c r="T55" s="1786">
        <v>0</v>
      </c>
      <c r="U55" s="1788">
        <v>2.25</v>
      </c>
      <c r="V55" s="1789">
        <v>0</v>
      </c>
      <c r="W55" s="1790">
        <v>2.25</v>
      </c>
      <c r="X55" s="1791">
        <v>4</v>
      </c>
      <c r="Y55" s="1792" t="s">
        <v>117</v>
      </c>
      <c r="Z55" s="1791" t="s">
        <v>117</v>
      </c>
      <c r="AA55" s="1792" t="s">
        <v>2096</v>
      </c>
    </row>
    <row r="56" spans="1:27" x14ac:dyDescent="0.2">
      <c r="A56" s="1780" t="s">
        <v>1379</v>
      </c>
      <c r="B56" s="1781">
        <v>1</v>
      </c>
      <c r="C56" s="1782" t="s">
        <v>1979</v>
      </c>
      <c r="D56" s="1783">
        <v>49</v>
      </c>
      <c r="E56" s="1784">
        <v>11.5</v>
      </c>
      <c r="F56" s="1785">
        <v>0</v>
      </c>
      <c r="G56" s="1786">
        <v>1.375</v>
      </c>
      <c r="H56" s="1786" t="s">
        <v>114</v>
      </c>
      <c r="I56" s="1787">
        <v>0</v>
      </c>
      <c r="J56" s="1786">
        <v>1.375</v>
      </c>
      <c r="K56" s="1786" t="s">
        <v>114</v>
      </c>
      <c r="L56" s="1786">
        <v>3</v>
      </c>
      <c r="M56" s="1788">
        <v>3</v>
      </c>
      <c r="Q56" s="1787" t="s">
        <v>117</v>
      </c>
      <c r="W56" s="1790" t="s">
        <v>117</v>
      </c>
      <c r="X56" s="1791">
        <v>0</v>
      </c>
      <c r="Y56" s="1792" t="s">
        <v>117</v>
      </c>
      <c r="Z56" s="1791" t="s">
        <v>117</v>
      </c>
      <c r="AA56" s="1792" t="s">
        <v>2102</v>
      </c>
    </row>
    <row r="57" spans="1:27" x14ac:dyDescent="0.2">
      <c r="A57" s="1780" t="s">
        <v>1380</v>
      </c>
      <c r="B57" s="1781">
        <v>1</v>
      </c>
      <c r="C57" s="1782" t="s">
        <v>1979</v>
      </c>
      <c r="D57" s="1783">
        <v>49</v>
      </c>
      <c r="E57" s="1784">
        <v>10</v>
      </c>
      <c r="F57" s="1785">
        <v>0</v>
      </c>
      <c r="G57" s="1786">
        <v>0.625</v>
      </c>
      <c r="H57" s="1786" t="s">
        <v>114</v>
      </c>
      <c r="I57" s="1787">
        <v>0</v>
      </c>
      <c r="J57" s="1786">
        <v>0.625</v>
      </c>
      <c r="K57" s="1786" t="s">
        <v>114</v>
      </c>
      <c r="L57" s="1786">
        <v>3</v>
      </c>
      <c r="M57" s="1788">
        <v>3</v>
      </c>
      <c r="N57" s="1785">
        <v>0</v>
      </c>
      <c r="O57" s="1786">
        <v>5.375</v>
      </c>
      <c r="P57" s="1786">
        <v>2</v>
      </c>
      <c r="Q57" s="1787">
        <v>0</v>
      </c>
      <c r="R57" s="1786">
        <v>6.625</v>
      </c>
      <c r="S57" s="1786">
        <v>2</v>
      </c>
      <c r="T57" s="1786">
        <v>0</v>
      </c>
      <c r="U57" s="1788">
        <v>1.5</v>
      </c>
      <c r="V57" s="1789">
        <v>0</v>
      </c>
      <c r="W57" s="1790">
        <v>1.5</v>
      </c>
      <c r="X57" s="1791">
        <v>4</v>
      </c>
      <c r="Y57" s="1792" t="s">
        <v>117</v>
      </c>
      <c r="Z57" s="1791" t="s">
        <v>117</v>
      </c>
      <c r="AA57" s="1792" t="s">
        <v>2096</v>
      </c>
    </row>
    <row r="58" spans="1:27" x14ac:dyDescent="0.2">
      <c r="A58" s="1780" t="s">
        <v>1381</v>
      </c>
      <c r="B58" s="1781">
        <v>2</v>
      </c>
      <c r="C58" s="1782" t="s">
        <v>1979</v>
      </c>
      <c r="D58" s="1783">
        <v>49</v>
      </c>
      <c r="E58" s="1784">
        <v>0.625</v>
      </c>
      <c r="I58" s="1787">
        <v>0</v>
      </c>
      <c r="J58" s="1786">
        <v>1.375</v>
      </c>
      <c r="K58" s="1786" t="s">
        <v>114</v>
      </c>
      <c r="L58" s="1786">
        <v>3</v>
      </c>
      <c r="M58" s="1788">
        <v>3</v>
      </c>
      <c r="Q58" s="1787" t="s">
        <v>117</v>
      </c>
      <c r="W58" s="1790" t="s">
        <v>117</v>
      </c>
      <c r="X58" s="1791">
        <v>0</v>
      </c>
      <c r="Y58" s="1792" t="s">
        <v>117</v>
      </c>
      <c r="Z58" s="1791" t="s">
        <v>117</v>
      </c>
      <c r="AA58" s="1792" t="s">
        <v>2103</v>
      </c>
    </row>
    <row r="59" spans="1:27" x14ac:dyDescent="0.2">
      <c r="A59" s="1780" t="s">
        <v>1382</v>
      </c>
      <c r="B59" s="1781">
        <v>4</v>
      </c>
      <c r="C59" s="1782" t="s">
        <v>1979</v>
      </c>
      <c r="D59" s="1783">
        <v>49</v>
      </c>
      <c r="E59" s="1784">
        <v>0.625</v>
      </c>
      <c r="I59" s="1787">
        <v>0</v>
      </c>
      <c r="J59" s="1786">
        <v>1.375</v>
      </c>
      <c r="K59" s="1786" t="s">
        <v>114</v>
      </c>
      <c r="L59" s="1786">
        <v>3</v>
      </c>
      <c r="M59" s="1788">
        <v>3</v>
      </c>
      <c r="Q59" s="1787" t="s">
        <v>117</v>
      </c>
      <c r="W59" s="1790" t="s">
        <v>117</v>
      </c>
      <c r="X59" s="1791">
        <v>0</v>
      </c>
      <c r="Y59" s="1792" t="s">
        <v>117</v>
      </c>
      <c r="Z59" s="1791" t="s">
        <v>117</v>
      </c>
      <c r="AA59" s="1792" t="s">
        <v>2104</v>
      </c>
    </row>
    <row r="60" spans="1:27" x14ac:dyDescent="0.2">
      <c r="A60" s="1780" t="s">
        <v>1383</v>
      </c>
      <c r="B60" s="1781">
        <v>42</v>
      </c>
      <c r="C60" s="1782" t="s">
        <v>1979</v>
      </c>
      <c r="D60" s="1783">
        <v>49</v>
      </c>
      <c r="E60" s="1784">
        <v>0.625</v>
      </c>
      <c r="I60" s="1787">
        <v>0</v>
      </c>
      <c r="J60" s="1786">
        <v>1.375</v>
      </c>
      <c r="K60" s="1786" t="s">
        <v>114</v>
      </c>
      <c r="L60" s="1786">
        <v>3</v>
      </c>
      <c r="M60" s="1788">
        <v>3</v>
      </c>
      <c r="Q60" s="1787" t="s">
        <v>117</v>
      </c>
      <c r="W60" s="1790" t="s">
        <v>117</v>
      </c>
      <c r="X60" s="1791">
        <v>0</v>
      </c>
      <c r="Y60" s="1792" t="s">
        <v>117</v>
      </c>
      <c r="Z60" s="1791" t="s">
        <v>117</v>
      </c>
      <c r="AA60" s="1792" t="s">
        <v>2105</v>
      </c>
    </row>
    <row r="61" spans="1:27" x14ac:dyDescent="0.2">
      <c r="A61" s="1780" t="s">
        <v>1384</v>
      </c>
      <c r="B61" s="1781">
        <v>10</v>
      </c>
      <c r="C61" s="1782" t="s">
        <v>1979</v>
      </c>
      <c r="D61" s="1783">
        <v>49</v>
      </c>
      <c r="E61" s="1784">
        <v>0.625</v>
      </c>
      <c r="I61" s="1787">
        <v>0</v>
      </c>
      <c r="J61" s="1786">
        <v>1.375</v>
      </c>
      <c r="K61" s="1786" t="s">
        <v>114</v>
      </c>
      <c r="L61" s="1786">
        <v>3</v>
      </c>
      <c r="M61" s="1788">
        <v>3</v>
      </c>
      <c r="Q61" s="1787" t="s">
        <v>117</v>
      </c>
      <c r="T61" s="1786">
        <v>0</v>
      </c>
      <c r="U61" s="1788">
        <v>1.125</v>
      </c>
      <c r="V61" s="1789">
        <v>0</v>
      </c>
      <c r="W61" s="1790">
        <v>2.25</v>
      </c>
      <c r="X61" s="1791">
        <v>4</v>
      </c>
      <c r="Y61" s="1792" t="s">
        <v>117</v>
      </c>
      <c r="Z61" s="1791" t="s">
        <v>117</v>
      </c>
      <c r="AA61" s="1792" t="s">
        <v>2105</v>
      </c>
    </row>
    <row r="62" spans="1:27" x14ac:dyDescent="0.2">
      <c r="A62" s="1780" t="s">
        <v>1385</v>
      </c>
      <c r="B62" s="1781">
        <v>7</v>
      </c>
      <c r="C62" s="1782" t="s">
        <v>1979</v>
      </c>
      <c r="D62" s="1783">
        <v>49</v>
      </c>
      <c r="E62" s="1784">
        <v>0.625</v>
      </c>
      <c r="I62" s="1787">
        <v>0</v>
      </c>
      <c r="J62" s="1786">
        <v>1.375</v>
      </c>
      <c r="K62" s="1786" t="s">
        <v>114</v>
      </c>
      <c r="L62" s="1786">
        <v>3</v>
      </c>
      <c r="M62" s="1788">
        <v>3</v>
      </c>
      <c r="Q62" s="1787" t="s">
        <v>117</v>
      </c>
      <c r="W62" s="1790" t="s">
        <v>117</v>
      </c>
      <c r="X62" s="1791">
        <v>0</v>
      </c>
      <c r="Y62" s="1792" t="s">
        <v>117</v>
      </c>
      <c r="Z62" s="1791" t="s">
        <v>117</v>
      </c>
      <c r="AA62" s="1792" t="s">
        <v>2106</v>
      </c>
    </row>
    <row r="63" spans="1:27" x14ac:dyDescent="0.2">
      <c r="A63" s="1780" t="s">
        <v>1386</v>
      </c>
      <c r="B63" s="1781">
        <v>3</v>
      </c>
      <c r="C63" s="1782" t="s">
        <v>1979</v>
      </c>
      <c r="D63" s="1783">
        <v>48</v>
      </c>
      <c r="E63" s="1784">
        <v>11.875</v>
      </c>
      <c r="I63" s="1787">
        <v>0</v>
      </c>
      <c r="J63" s="1786">
        <v>0.625</v>
      </c>
      <c r="K63" s="1786" t="s">
        <v>114</v>
      </c>
      <c r="L63" s="1786">
        <v>3</v>
      </c>
      <c r="M63" s="1788">
        <v>3</v>
      </c>
      <c r="Q63" s="1787">
        <v>0</v>
      </c>
      <c r="R63" s="1786">
        <v>6.75</v>
      </c>
      <c r="S63" s="1786">
        <v>2</v>
      </c>
      <c r="T63" s="1786">
        <v>0</v>
      </c>
      <c r="U63" s="1788">
        <v>1.125</v>
      </c>
      <c r="V63" s="1789">
        <v>0</v>
      </c>
      <c r="W63" s="1790">
        <v>1.5</v>
      </c>
      <c r="X63" s="1791">
        <v>4</v>
      </c>
      <c r="Y63" s="1792" t="s">
        <v>117</v>
      </c>
      <c r="Z63" s="1791" t="s">
        <v>117</v>
      </c>
      <c r="AA63" s="1792" t="s">
        <v>2105</v>
      </c>
    </row>
    <row r="64" spans="1:27" x14ac:dyDescent="0.2">
      <c r="A64" s="1780" t="s">
        <v>1387</v>
      </c>
      <c r="B64" s="1781">
        <v>2</v>
      </c>
      <c r="C64" s="1782" t="s">
        <v>1979</v>
      </c>
      <c r="D64" s="1783">
        <v>49</v>
      </c>
      <c r="E64" s="1784">
        <v>0.625</v>
      </c>
      <c r="I64" s="1787">
        <v>0</v>
      </c>
      <c r="J64" s="1786">
        <v>1.375</v>
      </c>
      <c r="K64" s="1786" t="s">
        <v>114</v>
      </c>
      <c r="L64" s="1786">
        <v>3</v>
      </c>
      <c r="M64" s="1788">
        <v>3</v>
      </c>
      <c r="Q64" s="1787" t="s">
        <v>117</v>
      </c>
      <c r="T64" s="1786">
        <v>0</v>
      </c>
      <c r="U64" s="1788">
        <v>1.125</v>
      </c>
      <c r="V64" s="1789">
        <v>0</v>
      </c>
      <c r="W64" s="1790">
        <v>2.25</v>
      </c>
      <c r="X64" s="1791">
        <v>4</v>
      </c>
      <c r="Y64" s="1792" t="s">
        <v>117</v>
      </c>
      <c r="Z64" s="1791" t="s">
        <v>117</v>
      </c>
      <c r="AA64" s="1792" t="s">
        <v>2107</v>
      </c>
    </row>
    <row r="65" spans="1:27" x14ac:dyDescent="0.2">
      <c r="A65" s="1780" t="s">
        <v>1388</v>
      </c>
      <c r="B65" s="1781">
        <v>5</v>
      </c>
      <c r="C65" s="1782" t="s">
        <v>1979</v>
      </c>
      <c r="D65" s="1783">
        <v>49</v>
      </c>
      <c r="E65" s="1784">
        <v>0.625</v>
      </c>
      <c r="I65" s="1787">
        <v>0</v>
      </c>
      <c r="J65" s="1786">
        <v>1.375</v>
      </c>
      <c r="K65" s="1786" t="s">
        <v>114</v>
      </c>
      <c r="L65" s="1786">
        <v>3</v>
      </c>
      <c r="M65" s="1788">
        <v>3</v>
      </c>
      <c r="Q65" s="1787" t="s">
        <v>117</v>
      </c>
      <c r="W65" s="1790" t="s">
        <v>117</v>
      </c>
      <c r="X65" s="1791">
        <v>0</v>
      </c>
      <c r="Y65" s="1792" t="s">
        <v>117</v>
      </c>
      <c r="Z65" s="1791" t="s">
        <v>117</v>
      </c>
      <c r="AA65" s="1792" t="s">
        <v>2107</v>
      </c>
    </row>
    <row r="66" spans="1:27" x14ac:dyDescent="0.2">
      <c r="A66" s="1780" t="s">
        <v>1389</v>
      </c>
      <c r="B66" s="1781">
        <v>1</v>
      </c>
      <c r="C66" s="1782" t="s">
        <v>1979</v>
      </c>
      <c r="D66" s="1783">
        <v>48</v>
      </c>
      <c r="E66" s="1784">
        <v>11.875</v>
      </c>
      <c r="I66" s="1787">
        <v>0</v>
      </c>
      <c r="J66" s="1786">
        <v>0.625</v>
      </c>
      <c r="K66" s="1786" t="s">
        <v>114</v>
      </c>
      <c r="L66" s="1786">
        <v>3</v>
      </c>
      <c r="M66" s="1788">
        <v>3</v>
      </c>
      <c r="Q66" s="1787">
        <v>0</v>
      </c>
      <c r="R66" s="1786">
        <v>6.75</v>
      </c>
      <c r="S66" s="1786">
        <v>2</v>
      </c>
      <c r="T66" s="1786">
        <v>0</v>
      </c>
      <c r="U66" s="1788">
        <v>1.125</v>
      </c>
      <c r="V66" s="1789">
        <v>0</v>
      </c>
      <c r="W66" s="1790">
        <v>1.5</v>
      </c>
      <c r="X66" s="1791">
        <v>4</v>
      </c>
      <c r="Y66" s="1792" t="s">
        <v>117</v>
      </c>
      <c r="Z66" s="1791" t="s">
        <v>117</v>
      </c>
      <c r="AA66" s="1792" t="s">
        <v>2107</v>
      </c>
    </row>
    <row r="67" spans="1:27" x14ac:dyDescent="0.2">
      <c r="A67" s="1780" t="s">
        <v>1390</v>
      </c>
      <c r="B67" s="1781">
        <v>1</v>
      </c>
      <c r="C67" s="1782" t="s">
        <v>1978</v>
      </c>
      <c r="D67" s="1783">
        <v>59</v>
      </c>
      <c r="E67" s="1784">
        <v>0.625</v>
      </c>
      <c r="I67" s="1787">
        <v>0</v>
      </c>
      <c r="J67" s="1786">
        <v>1.375</v>
      </c>
      <c r="K67" s="1786" t="s">
        <v>114</v>
      </c>
      <c r="L67" s="1786">
        <v>3</v>
      </c>
      <c r="M67" s="1788">
        <v>3</v>
      </c>
      <c r="Q67" s="1787" t="s">
        <v>117</v>
      </c>
      <c r="W67" s="1790" t="s">
        <v>117</v>
      </c>
      <c r="X67" s="1791">
        <v>0</v>
      </c>
      <c r="Y67" s="1792" t="s">
        <v>117</v>
      </c>
      <c r="Z67" s="1791" t="s">
        <v>117</v>
      </c>
      <c r="AA67" s="1792" t="s">
        <v>2108</v>
      </c>
    </row>
    <row r="68" spans="1:27" x14ac:dyDescent="0.2">
      <c r="A68" s="1780" t="s">
        <v>1391</v>
      </c>
      <c r="B68" s="1781">
        <v>1</v>
      </c>
      <c r="C68" s="1782" t="s">
        <v>1978</v>
      </c>
      <c r="D68" s="1783">
        <v>59</v>
      </c>
      <c r="E68" s="1784">
        <v>0.625</v>
      </c>
      <c r="I68" s="1787">
        <v>0</v>
      </c>
      <c r="J68" s="1786">
        <v>1.375</v>
      </c>
      <c r="K68" s="1786" t="s">
        <v>114</v>
      </c>
      <c r="L68" s="1786">
        <v>3</v>
      </c>
      <c r="M68" s="1788">
        <v>3</v>
      </c>
      <c r="Q68" s="1787" t="s">
        <v>117</v>
      </c>
      <c r="W68" s="1790" t="s">
        <v>117</v>
      </c>
      <c r="X68" s="1791">
        <v>0</v>
      </c>
      <c r="Y68" s="1792" t="s">
        <v>117</v>
      </c>
      <c r="Z68" s="1791" t="s">
        <v>117</v>
      </c>
      <c r="AA68" s="1792" t="s">
        <v>2110</v>
      </c>
    </row>
    <row r="69" spans="1:27" x14ac:dyDescent="0.2">
      <c r="A69" s="1780" t="s">
        <v>1392</v>
      </c>
      <c r="B69" s="1781">
        <v>1</v>
      </c>
      <c r="C69" s="1782" t="s">
        <v>1978</v>
      </c>
      <c r="D69" s="1783">
        <v>59</v>
      </c>
      <c r="E69" s="1784">
        <v>0.625</v>
      </c>
      <c r="I69" s="1787">
        <v>0</v>
      </c>
      <c r="J69" s="1786">
        <v>1.375</v>
      </c>
      <c r="K69" s="1786" t="s">
        <v>114</v>
      </c>
      <c r="L69" s="1786">
        <v>3</v>
      </c>
      <c r="M69" s="1788">
        <v>3</v>
      </c>
      <c r="Q69" s="1787" t="s">
        <v>117</v>
      </c>
      <c r="T69" s="1786">
        <v>0</v>
      </c>
      <c r="U69" s="1788">
        <v>1.125</v>
      </c>
      <c r="V69" s="1789">
        <v>0</v>
      </c>
      <c r="W69" s="1790">
        <v>2.25</v>
      </c>
      <c r="X69" s="1791">
        <v>4</v>
      </c>
      <c r="Y69" s="1792" t="s">
        <v>117</v>
      </c>
      <c r="Z69" s="1791" t="s">
        <v>117</v>
      </c>
      <c r="AA69" s="1792" t="s">
        <v>2111</v>
      </c>
    </row>
    <row r="70" spans="1:27" x14ac:dyDescent="0.2">
      <c r="A70" s="1780" t="s">
        <v>1393</v>
      </c>
      <c r="B70" s="1781">
        <v>1</v>
      </c>
      <c r="C70" s="1782" t="s">
        <v>1978</v>
      </c>
      <c r="D70" s="1783">
        <v>59</v>
      </c>
      <c r="E70" s="1784">
        <v>0.625</v>
      </c>
      <c r="I70" s="1787">
        <v>0</v>
      </c>
      <c r="J70" s="1786">
        <v>1.375</v>
      </c>
      <c r="K70" s="1786" t="s">
        <v>114</v>
      </c>
      <c r="L70" s="1786">
        <v>3</v>
      </c>
      <c r="M70" s="1788">
        <v>3</v>
      </c>
      <c r="Q70" s="1787" t="s">
        <v>117</v>
      </c>
      <c r="W70" s="1790" t="s">
        <v>117</v>
      </c>
      <c r="X70" s="1791">
        <v>0</v>
      </c>
      <c r="Y70" s="1792" t="s">
        <v>117</v>
      </c>
      <c r="Z70" s="1791" t="s">
        <v>117</v>
      </c>
      <c r="AA70" s="1792" t="s">
        <v>2112</v>
      </c>
    </row>
    <row r="71" spans="1:27" x14ac:dyDescent="0.2">
      <c r="A71" s="1780" t="s">
        <v>1394</v>
      </c>
      <c r="B71" s="1781">
        <v>1</v>
      </c>
      <c r="C71" s="1782" t="s">
        <v>1978</v>
      </c>
      <c r="D71" s="1783">
        <v>59</v>
      </c>
      <c r="E71" s="1784">
        <v>0.625</v>
      </c>
      <c r="I71" s="1787">
        <v>0</v>
      </c>
      <c r="J71" s="1786">
        <v>1.375</v>
      </c>
      <c r="K71" s="1786" t="s">
        <v>114</v>
      </c>
      <c r="L71" s="1786">
        <v>3</v>
      </c>
      <c r="M71" s="1788">
        <v>3</v>
      </c>
      <c r="Q71" s="1787" t="s">
        <v>117</v>
      </c>
      <c r="W71" s="1790" t="s">
        <v>117</v>
      </c>
      <c r="X71" s="1791">
        <v>0</v>
      </c>
      <c r="Y71" s="1792" t="s">
        <v>117</v>
      </c>
      <c r="Z71" s="1791" t="s">
        <v>117</v>
      </c>
      <c r="AA71" s="1792" t="s">
        <v>2113</v>
      </c>
    </row>
    <row r="72" spans="1:27" x14ac:dyDescent="0.2">
      <c r="A72" s="1780" t="s">
        <v>1395</v>
      </c>
      <c r="B72" s="1781">
        <v>1</v>
      </c>
      <c r="C72" s="1782" t="s">
        <v>1978</v>
      </c>
      <c r="D72" s="1783">
        <v>59</v>
      </c>
      <c r="E72" s="1784">
        <v>0.625</v>
      </c>
      <c r="I72" s="1787">
        <v>0</v>
      </c>
      <c r="J72" s="1786">
        <v>1.375</v>
      </c>
      <c r="K72" s="1786" t="s">
        <v>114</v>
      </c>
      <c r="L72" s="1786">
        <v>3</v>
      </c>
      <c r="M72" s="1788">
        <v>3</v>
      </c>
      <c r="Q72" s="1787" t="s">
        <v>117</v>
      </c>
      <c r="W72" s="1790" t="s">
        <v>117</v>
      </c>
      <c r="X72" s="1791">
        <v>0</v>
      </c>
      <c r="Y72" s="1792" t="s">
        <v>117</v>
      </c>
      <c r="Z72" s="1791" t="s">
        <v>117</v>
      </c>
      <c r="AA72" s="1792" t="s">
        <v>2114</v>
      </c>
    </row>
    <row r="73" spans="1:27" x14ac:dyDescent="0.2">
      <c r="A73" s="1780" t="s">
        <v>1396</v>
      </c>
      <c r="B73" s="1781">
        <v>1</v>
      </c>
      <c r="C73" s="1782" t="s">
        <v>1978</v>
      </c>
      <c r="D73" s="1783">
        <v>58</v>
      </c>
      <c r="E73" s="1784">
        <v>11.875</v>
      </c>
      <c r="I73" s="1787">
        <v>0</v>
      </c>
      <c r="J73" s="1786">
        <v>0.625</v>
      </c>
      <c r="K73" s="1786" t="s">
        <v>114</v>
      </c>
      <c r="L73" s="1786">
        <v>3</v>
      </c>
      <c r="M73" s="1788">
        <v>3</v>
      </c>
      <c r="Q73" s="1787">
        <v>0</v>
      </c>
      <c r="R73" s="1786">
        <v>6.75</v>
      </c>
      <c r="S73" s="1786">
        <v>2</v>
      </c>
      <c r="T73" s="1786">
        <v>0</v>
      </c>
      <c r="U73" s="1788">
        <v>1.125</v>
      </c>
      <c r="V73" s="1789">
        <v>0</v>
      </c>
      <c r="W73" s="1790">
        <v>1.5</v>
      </c>
      <c r="X73" s="1791">
        <v>4</v>
      </c>
      <c r="Y73" s="1792" t="s">
        <v>117</v>
      </c>
      <c r="Z73" s="1791" t="s">
        <v>117</v>
      </c>
      <c r="AA73" s="1792" t="s">
        <v>2114</v>
      </c>
    </row>
    <row r="74" spans="1:27" x14ac:dyDescent="0.2">
      <c r="A74" s="1780" t="s">
        <v>1397</v>
      </c>
      <c r="B74" s="1781">
        <v>2</v>
      </c>
      <c r="C74" s="1782" t="s">
        <v>1978</v>
      </c>
      <c r="D74" s="1783">
        <v>59</v>
      </c>
      <c r="E74" s="1784">
        <v>0.625</v>
      </c>
      <c r="I74" s="1787">
        <v>0</v>
      </c>
      <c r="J74" s="1786">
        <v>1.375</v>
      </c>
      <c r="K74" s="1786" t="s">
        <v>114</v>
      </c>
      <c r="L74" s="1786">
        <v>3</v>
      </c>
      <c r="M74" s="1788">
        <v>3</v>
      </c>
      <c r="Q74" s="1787" t="s">
        <v>117</v>
      </c>
      <c r="T74" s="1786">
        <v>0</v>
      </c>
      <c r="U74" s="1788">
        <v>1.125</v>
      </c>
      <c r="V74" s="1789">
        <v>0</v>
      </c>
      <c r="W74" s="1790">
        <v>2.25</v>
      </c>
      <c r="X74" s="1791">
        <v>4</v>
      </c>
      <c r="Y74" s="1792" t="s">
        <v>117</v>
      </c>
      <c r="Z74" s="1791" t="s">
        <v>117</v>
      </c>
      <c r="AA74" s="1792" t="s">
        <v>2085</v>
      </c>
    </row>
    <row r="75" spans="1:27" x14ac:dyDescent="0.2">
      <c r="A75" s="1780" t="s">
        <v>1398</v>
      </c>
      <c r="B75" s="1781">
        <v>1</v>
      </c>
      <c r="C75" s="1782" t="s">
        <v>1978</v>
      </c>
      <c r="D75" s="1783">
        <v>59</v>
      </c>
      <c r="E75" s="1784">
        <v>0.625</v>
      </c>
      <c r="I75" s="1787">
        <v>0</v>
      </c>
      <c r="J75" s="1786">
        <v>1.375</v>
      </c>
      <c r="K75" s="1786" t="s">
        <v>114</v>
      </c>
      <c r="L75" s="1786">
        <v>3</v>
      </c>
      <c r="M75" s="1788">
        <v>3</v>
      </c>
      <c r="Q75" s="1787" t="s">
        <v>117</v>
      </c>
      <c r="W75" s="1790" t="s">
        <v>117</v>
      </c>
      <c r="X75" s="1791">
        <v>0</v>
      </c>
      <c r="Y75" s="1792" t="s">
        <v>117</v>
      </c>
      <c r="Z75" s="1791" t="s">
        <v>117</v>
      </c>
      <c r="AA75" s="1792" t="s">
        <v>2115</v>
      </c>
    </row>
    <row r="76" spans="1:27" x14ac:dyDescent="0.2">
      <c r="A76" s="1780" t="s">
        <v>1399</v>
      </c>
      <c r="B76" s="1781">
        <v>1</v>
      </c>
      <c r="C76" s="1782" t="s">
        <v>1978</v>
      </c>
      <c r="D76" s="1783">
        <v>59</v>
      </c>
      <c r="E76" s="1784">
        <v>0.625</v>
      </c>
      <c r="I76" s="1787">
        <v>0</v>
      </c>
      <c r="J76" s="1786">
        <v>1.375</v>
      </c>
      <c r="K76" s="1786" t="s">
        <v>114</v>
      </c>
      <c r="L76" s="1786">
        <v>3</v>
      </c>
      <c r="M76" s="1788">
        <v>3</v>
      </c>
      <c r="Q76" s="1787" t="s">
        <v>117</v>
      </c>
      <c r="W76" s="1790" t="s">
        <v>117</v>
      </c>
      <c r="X76" s="1791">
        <v>0</v>
      </c>
      <c r="Y76" s="1792" t="s">
        <v>117</v>
      </c>
      <c r="Z76" s="1791" t="s">
        <v>117</v>
      </c>
      <c r="AA76" s="1792" t="s">
        <v>2116</v>
      </c>
    </row>
    <row r="77" spans="1:27" x14ac:dyDescent="0.2">
      <c r="A77" s="1780" t="s">
        <v>1400</v>
      </c>
      <c r="B77" s="1781">
        <v>1</v>
      </c>
      <c r="C77" s="1782" t="s">
        <v>1978</v>
      </c>
      <c r="D77" s="1783">
        <v>58</v>
      </c>
      <c r="E77" s="1784">
        <v>11.875</v>
      </c>
      <c r="I77" s="1787">
        <v>0</v>
      </c>
      <c r="J77" s="1786">
        <v>0.625</v>
      </c>
      <c r="K77" s="1786" t="s">
        <v>114</v>
      </c>
      <c r="L77" s="1786">
        <v>3</v>
      </c>
      <c r="M77" s="1788">
        <v>3</v>
      </c>
      <c r="Q77" s="1787">
        <v>0</v>
      </c>
      <c r="R77" s="1786">
        <v>6.75</v>
      </c>
      <c r="S77" s="1786">
        <v>2</v>
      </c>
      <c r="T77" s="1786">
        <v>0</v>
      </c>
      <c r="U77" s="1788">
        <v>1.125</v>
      </c>
      <c r="V77" s="1789">
        <v>0</v>
      </c>
      <c r="W77" s="1790">
        <v>1.5</v>
      </c>
      <c r="X77" s="1791">
        <v>4</v>
      </c>
      <c r="Y77" s="1792" t="s">
        <v>117</v>
      </c>
      <c r="Z77" s="1791" t="s">
        <v>117</v>
      </c>
      <c r="AA77" s="1792" t="s">
        <v>2094</v>
      </c>
    </row>
    <row r="78" spans="1:27" x14ac:dyDescent="0.2">
      <c r="A78" s="1780" t="s">
        <v>1401</v>
      </c>
      <c r="B78" s="1781">
        <v>1</v>
      </c>
      <c r="C78" s="1782" t="s">
        <v>1978</v>
      </c>
      <c r="D78" s="1783">
        <v>60</v>
      </c>
      <c r="E78" s="1784">
        <v>0</v>
      </c>
      <c r="F78" s="1785">
        <v>0</v>
      </c>
      <c r="G78" s="1786">
        <v>1.375</v>
      </c>
      <c r="H78" s="1786" t="s">
        <v>114</v>
      </c>
      <c r="I78" s="1787">
        <v>0</v>
      </c>
      <c r="J78" s="1786">
        <v>1.375</v>
      </c>
      <c r="K78" s="1786" t="s">
        <v>114</v>
      </c>
      <c r="L78" s="1786">
        <v>3</v>
      </c>
      <c r="M78" s="1788">
        <v>3</v>
      </c>
      <c r="Q78" s="1787" t="s">
        <v>117</v>
      </c>
      <c r="W78" s="1790" t="s">
        <v>117</v>
      </c>
      <c r="X78" s="1791">
        <v>0</v>
      </c>
      <c r="Y78" s="1792">
        <v>0.46666666666666701</v>
      </c>
      <c r="Z78" s="1791">
        <v>-0.46666666666666701</v>
      </c>
      <c r="AA78" s="1792" t="s">
        <v>2117</v>
      </c>
    </row>
    <row r="79" spans="1:27" x14ac:dyDescent="0.2">
      <c r="A79" s="1780" t="s">
        <v>1402</v>
      </c>
      <c r="B79" s="1781">
        <v>1</v>
      </c>
      <c r="C79" s="1782" t="s">
        <v>1978</v>
      </c>
      <c r="D79" s="1783">
        <v>59</v>
      </c>
      <c r="E79" s="1784">
        <v>10.5</v>
      </c>
      <c r="F79" s="1785">
        <v>0</v>
      </c>
      <c r="G79" s="1786">
        <v>0.625</v>
      </c>
      <c r="H79" s="1786" t="s">
        <v>114</v>
      </c>
      <c r="I79" s="1787">
        <v>0</v>
      </c>
      <c r="J79" s="1786">
        <v>0.625</v>
      </c>
      <c r="K79" s="1786" t="s">
        <v>114</v>
      </c>
      <c r="L79" s="1786">
        <v>3</v>
      </c>
      <c r="M79" s="1788">
        <v>3</v>
      </c>
      <c r="N79" s="1785">
        <v>0</v>
      </c>
      <c r="O79" s="1786">
        <v>4.75</v>
      </c>
      <c r="P79" s="1786">
        <v>2</v>
      </c>
      <c r="Q79" s="1787">
        <v>0</v>
      </c>
      <c r="R79" s="1786">
        <v>7.375</v>
      </c>
      <c r="S79" s="1786">
        <v>2</v>
      </c>
      <c r="T79" s="1786">
        <v>0</v>
      </c>
      <c r="U79" s="1788">
        <v>1.5</v>
      </c>
      <c r="V79" s="1789">
        <v>0</v>
      </c>
      <c r="W79" s="1790">
        <v>1.5</v>
      </c>
      <c r="X79" s="1791">
        <v>4</v>
      </c>
      <c r="Y79" s="1792">
        <v>0.46666666666666701</v>
      </c>
      <c r="Z79" s="1791">
        <v>-0.46666666666666701</v>
      </c>
      <c r="AA79" s="1792" t="s">
        <v>2097</v>
      </c>
    </row>
    <row r="80" spans="1:27" x14ac:dyDescent="0.2">
      <c r="A80" s="1780" t="s">
        <v>1403</v>
      </c>
      <c r="B80" s="1781">
        <v>2</v>
      </c>
      <c r="C80" s="1782" t="s">
        <v>1978</v>
      </c>
      <c r="D80" s="1783">
        <v>59</v>
      </c>
      <c r="E80" s="1784">
        <v>10</v>
      </c>
      <c r="F80" s="1785">
        <v>0</v>
      </c>
      <c r="G80" s="1786">
        <v>0.625</v>
      </c>
      <c r="H80" s="1786" t="s">
        <v>114</v>
      </c>
      <c r="I80" s="1787">
        <v>0</v>
      </c>
      <c r="J80" s="1786">
        <v>0.625</v>
      </c>
      <c r="K80" s="1786" t="s">
        <v>114</v>
      </c>
      <c r="L80" s="1786">
        <v>3</v>
      </c>
      <c r="M80" s="1788">
        <v>3</v>
      </c>
      <c r="N80" s="1785">
        <v>0</v>
      </c>
      <c r="O80" s="1786">
        <v>5.375</v>
      </c>
      <c r="P80" s="1786">
        <v>2</v>
      </c>
      <c r="Q80" s="1787">
        <v>0</v>
      </c>
      <c r="R80" s="1786">
        <v>6.75</v>
      </c>
      <c r="S80" s="1786">
        <v>2</v>
      </c>
      <c r="T80" s="1786">
        <v>0</v>
      </c>
      <c r="U80" s="1788">
        <v>1.5</v>
      </c>
      <c r="V80" s="1789">
        <v>0</v>
      </c>
      <c r="W80" s="1790">
        <v>1.5</v>
      </c>
      <c r="X80" s="1791">
        <v>4</v>
      </c>
      <c r="Y80" s="1792" t="s">
        <v>117</v>
      </c>
      <c r="Z80" s="1791" t="s">
        <v>117</v>
      </c>
      <c r="AA80" s="1792" t="s">
        <v>2117</v>
      </c>
    </row>
    <row r="81" spans="1:27" x14ac:dyDescent="0.2">
      <c r="A81" s="1780" t="s">
        <v>1404</v>
      </c>
      <c r="B81" s="1781">
        <v>3</v>
      </c>
      <c r="C81" s="1782" t="s">
        <v>1979</v>
      </c>
      <c r="D81" s="1783">
        <v>49</v>
      </c>
      <c r="E81" s="1784">
        <v>10</v>
      </c>
      <c r="F81" s="1785">
        <v>0</v>
      </c>
      <c r="G81" s="1786">
        <v>0.625</v>
      </c>
      <c r="H81" s="1786" t="s">
        <v>114</v>
      </c>
      <c r="I81" s="1787">
        <v>0</v>
      </c>
      <c r="J81" s="1786">
        <v>0.625</v>
      </c>
      <c r="K81" s="1786" t="s">
        <v>114</v>
      </c>
      <c r="L81" s="1786">
        <v>3</v>
      </c>
      <c r="M81" s="1788">
        <v>3</v>
      </c>
      <c r="N81" s="1785">
        <v>0</v>
      </c>
      <c r="O81" s="1786">
        <v>5.375</v>
      </c>
      <c r="P81" s="1786">
        <v>2</v>
      </c>
      <c r="Q81" s="1787">
        <v>0</v>
      </c>
      <c r="R81" s="1786">
        <v>6.625</v>
      </c>
      <c r="S81" s="1786">
        <v>2</v>
      </c>
      <c r="T81" s="1786">
        <v>0</v>
      </c>
      <c r="U81" s="1788">
        <v>1.5</v>
      </c>
      <c r="V81" s="1789">
        <v>0</v>
      </c>
      <c r="W81" s="1790">
        <v>1.5</v>
      </c>
      <c r="X81" s="1791">
        <v>4</v>
      </c>
      <c r="Y81" s="1792" t="s">
        <v>117</v>
      </c>
      <c r="Z81" s="1791" t="s">
        <v>117</v>
      </c>
      <c r="AA81" s="1792" t="s">
        <v>2118</v>
      </c>
    </row>
    <row r="82" spans="1:27" x14ac:dyDescent="0.2">
      <c r="A82" s="1780" t="s">
        <v>1405</v>
      </c>
      <c r="B82" s="1781">
        <v>1</v>
      </c>
      <c r="C82" s="1782" t="s">
        <v>1979</v>
      </c>
      <c r="D82" s="1783">
        <v>48</v>
      </c>
      <c r="E82" s="1784">
        <v>11.875</v>
      </c>
      <c r="I82" s="1787">
        <v>0</v>
      </c>
      <c r="J82" s="1786">
        <v>0.625</v>
      </c>
      <c r="K82" s="1786" t="s">
        <v>114</v>
      </c>
      <c r="L82" s="1786">
        <v>3</v>
      </c>
      <c r="M82" s="1788">
        <v>3</v>
      </c>
      <c r="Q82" s="1787">
        <v>0</v>
      </c>
      <c r="R82" s="1786">
        <v>6.75</v>
      </c>
      <c r="S82" s="1786">
        <v>2</v>
      </c>
      <c r="T82" s="1786">
        <v>0</v>
      </c>
      <c r="U82" s="1788">
        <v>1.125</v>
      </c>
      <c r="V82" s="1789">
        <v>0</v>
      </c>
      <c r="W82" s="1790">
        <v>1.5</v>
      </c>
      <c r="X82" s="1791">
        <v>4</v>
      </c>
      <c r="Y82" s="1792" t="s">
        <v>117</v>
      </c>
      <c r="Z82" s="1791" t="s">
        <v>117</v>
      </c>
      <c r="AA82" s="1792" t="s">
        <v>2106</v>
      </c>
    </row>
    <row r="83" spans="1:27" x14ac:dyDescent="0.2">
      <c r="A83" s="1780" t="s">
        <v>1406</v>
      </c>
      <c r="B83" s="1781">
        <v>1</v>
      </c>
      <c r="C83" s="1782" t="s">
        <v>1979</v>
      </c>
      <c r="D83" s="1783">
        <v>51</v>
      </c>
      <c r="E83" s="1784">
        <v>0.625</v>
      </c>
      <c r="I83" s="1787">
        <v>0</v>
      </c>
      <c r="J83" s="1786">
        <v>1.375</v>
      </c>
      <c r="K83" s="1786" t="s">
        <v>114</v>
      </c>
      <c r="L83" s="1786">
        <v>3</v>
      </c>
      <c r="M83" s="1788">
        <v>3</v>
      </c>
      <c r="Q83" s="1787" t="s">
        <v>117</v>
      </c>
      <c r="W83" s="1790" t="s">
        <v>117</v>
      </c>
      <c r="X83" s="1791">
        <v>0</v>
      </c>
      <c r="Y83" s="1792" t="s">
        <v>117</v>
      </c>
      <c r="Z83" s="1791" t="s">
        <v>117</v>
      </c>
      <c r="AA83" s="1792" t="s">
        <v>2119</v>
      </c>
    </row>
    <row r="84" spans="1:27" x14ac:dyDescent="0.2">
      <c r="A84" s="1780" t="s">
        <v>1407</v>
      </c>
      <c r="B84" s="1781">
        <v>3</v>
      </c>
      <c r="C84" s="1782" t="s">
        <v>1979</v>
      </c>
      <c r="D84" s="1783">
        <v>51</v>
      </c>
      <c r="E84" s="1784">
        <v>0.625</v>
      </c>
      <c r="I84" s="1787">
        <v>0</v>
      </c>
      <c r="J84" s="1786">
        <v>1.375</v>
      </c>
      <c r="K84" s="1786" t="s">
        <v>114</v>
      </c>
      <c r="L84" s="1786">
        <v>3</v>
      </c>
      <c r="M84" s="1788">
        <v>3</v>
      </c>
      <c r="Q84" s="1787" t="s">
        <v>117</v>
      </c>
      <c r="W84" s="1790" t="s">
        <v>117</v>
      </c>
      <c r="X84" s="1791">
        <v>0</v>
      </c>
      <c r="Y84" s="1792" t="s">
        <v>117</v>
      </c>
      <c r="Z84" s="1791" t="s">
        <v>117</v>
      </c>
      <c r="AA84" s="1792" t="s">
        <v>2120</v>
      </c>
    </row>
    <row r="85" spans="1:27" x14ac:dyDescent="0.2">
      <c r="A85" s="1780" t="s">
        <v>1408</v>
      </c>
      <c r="B85" s="1781">
        <v>1</v>
      </c>
      <c r="C85" s="1782" t="s">
        <v>1979</v>
      </c>
      <c r="D85" s="1783">
        <v>51</v>
      </c>
      <c r="E85" s="1784">
        <v>0.625</v>
      </c>
      <c r="I85" s="1787">
        <v>0</v>
      </c>
      <c r="J85" s="1786">
        <v>1.375</v>
      </c>
      <c r="K85" s="1786" t="s">
        <v>114</v>
      </c>
      <c r="L85" s="1786">
        <v>3</v>
      </c>
      <c r="M85" s="1788">
        <v>3</v>
      </c>
      <c r="Q85" s="1787" t="s">
        <v>117</v>
      </c>
      <c r="W85" s="1790" t="s">
        <v>117</v>
      </c>
      <c r="X85" s="1791">
        <v>0</v>
      </c>
      <c r="Y85" s="1792" t="s">
        <v>117</v>
      </c>
      <c r="Z85" s="1791" t="s">
        <v>117</v>
      </c>
      <c r="AA85" s="1792" t="s">
        <v>2121</v>
      </c>
    </row>
    <row r="86" spans="1:27" x14ac:dyDescent="0.2">
      <c r="A86" s="1780" t="s">
        <v>1409</v>
      </c>
      <c r="B86" s="1781">
        <v>2</v>
      </c>
      <c r="C86" s="1782" t="s">
        <v>1979</v>
      </c>
      <c r="D86" s="1783">
        <v>51</v>
      </c>
      <c r="E86" s="1784">
        <v>0.625</v>
      </c>
      <c r="I86" s="1787">
        <v>0</v>
      </c>
      <c r="J86" s="1786">
        <v>1.375</v>
      </c>
      <c r="K86" s="1786" t="s">
        <v>114</v>
      </c>
      <c r="L86" s="1786">
        <v>3</v>
      </c>
      <c r="M86" s="1788">
        <v>3</v>
      </c>
      <c r="Q86" s="1787" t="s">
        <v>117</v>
      </c>
      <c r="W86" s="1790" t="s">
        <v>117</v>
      </c>
      <c r="X86" s="1791">
        <v>0</v>
      </c>
      <c r="Y86" s="1792" t="s">
        <v>117</v>
      </c>
      <c r="Z86" s="1791" t="s">
        <v>117</v>
      </c>
      <c r="AA86" s="1792" t="s">
        <v>2122</v>
      </c>
    </row>
    <row r="87" spans="1:27" x14ac:dyDescent="0.2">
      <c r="A87" s="1780" t="s">
        <v>1410</v>
      </c>
      <c r="B87" s="1781">
        <v>1</v>
      </c>
      <c r="C87" s="1782" t="s">
        <v>1980</v>
      </c>
      <c r="D87" s="1783">
        <v>11</v>
      </c>
      <c r="E87" s="1784">
        <v>6.875</v>
      </c>
      <c r="F87" s="1785">
        <v>0</v>
      </c>
      <c r="G87" s="1786">
        <v>1.375</v>
      </c>
      <c r="H87" s="1786" t="s">
        <v>114</v>
      </c>
      <c r="I87" s="1787" t="s">
        <v>117</v>
      </c>
      <c r="L87" s="1786">
        <v>3</v>
      </c>
      <c r="M87" s="1788">
        <v>3</v>
      </c>
      <c r="Q87" s="1787" t="s">
        <v>117</v>
      </c>
      <c r="W87" s="1790" t="s">
        <v>117</v>
      </c>
      <c r="X87" s="1791">
        <v>0</v>
      </c>
      <c r="Y87" s="1792" t="s">
        <v>117</v>
      </c>
      <c r="Z87" s="1791" t="s">
        <v>117</v>
      </c>
      <c r="AA87" s="1792" t="s">
        <v>2123</v>
      </c>
    </row>
    <row r="88" spans="1:27" x14ac:dyDescent="0.2">
      <c r="A88" s="1780" t="s">
        <v>1411</v>
      </c>
      <c r="B88" s="1781">
        <v>1</v>
      </c>
      <c r="C88" s="1782" t="s">
        <v>1980</v>
      </c>
      <c r="D88" s="1783">
        <v>17</v>
      </c>
      <c r="E88" s="1784">
        <v>3.625</v>
      </c>
      <c r="F88" s="1785">
        <v>0</v>
      </c>
      <c r="G88" s="1786">
        <v>1.375</v>
      </c>
      <c r="H88" s="1786" t="s">
        <v>114</v>
      </c>
      <c r="I88" s="1787" t="s">
        <v>117</v>
      </c>
      <c r="L88" s="1786">
        <v>3</v>
      </c>
      <c r="M88" s="1788">
        <v>3</v>
      </c>
      <c r="Q88" s="1787" t="s">
        <v>117</v>
      </c>
      <c r="W88" s="1790" t="s">
        <v>117</v>
      </c>
      <c r="X88" s="1791">
        <v>0</v>
      </c>
      <c r="Y88" s="1792" t="s">
        <v>117</v>
      </c>
      <c r="Z88" s="1791" t="s">
        <v>117</v>
      </c>
      <c r="AA88" s="1792" t="s">
        <v>2124</v>
      </c>
    </row>
    <row r="89" spans="1:27" x14ac:dyDescent="0.2">
      <c r="A89" s="1780" t="s">
        <v>1412</v>
      </c>
      <c r="B89" s="1781">
        <v>1</v>
      </c>
      <c r="C89" s="1782" t="s">
        <v>1980</v>
      </c>
      <c r="D89" s="1783">
        <v>23</v>
      </c>
      <c r="E89" s="1784">
        <v>0.5</v>
      </c>
      <c r="F89" s="1785">
        <v>0</v>
      </c>
      <c r="G89" s="1786">
        <v>1.375</v>
      </c>
      <c r="H89" s="1786" t="s">
        <v>114</v>
      </c>
      <c r="I89" s="1787" t="s">
        <v>117</v>
      </c>
      <c r="L89" s="1786">
        <v>3</v>
      </c>
      <c r="M89" s="1788">
        <v>3</v>
      </c>
      <c r="Q89" s="1787" t="s">
        <v>117</v>
      </c>
      <c r="W89" s="1790" t="s">
        <v>117</v>
      </c>
      <c r="X89" s="1791">
        <v>0</v>
      </c>
      <c r="Y89" s="1792" t="s">
        <v>117</v>
      </c>
      <c r="Z89" s="1791" t="s">
        <v>117</v>
      </c>
      <c r="AA89" s="1792" t="s">
        <v>2124</v>
      </c>
    </row>
    <row r="90" spans="1:27" x14ac:dyDescent="0.2">
      <c r="A90" s="1780" t="s">
        <v>1413</v>
      </c>
      <c r="B90" s="1781">
        <v>1</v>
      </c>
      <c r="C90" s="1782" t="s">
        <v>1980</v>
      </c>
      <c r="D90" s="1783">
        <v>28</v>
      </c>
      <c r="E90" s="1784">
        <v>9.375</v>
      </c>
      <c r="F90" s="1785">
        <v>0</v>
      </c>
      <c r="G90" s="1786">
        <v>1.375</v>
      </c>
      <c r="H90" s="1786" t="s">
        <v>114</v>
      </c>
      <c r="I90" s="1787" t="s">
        <v>117</v>
      </c>
      <c r="L90" s="1786">
        <v>3</v>
      </c>
      <c r="M90" s="1788">
        <v>3</v>
      </c>
      <c r="Q90" s="1787" t="s">
        <v>117</v>
      </c>
      <c r="W90" s="1790" t="s">
        <v>117</v>
      </c>
      <c r="X90" s="1791">
        <v>0</v>
      </c>
      <c r="Y90" s="1792" t="s">
        <v>117</v>
      </c>
      <c r="Z90" s="1791" t="s">
        <v>117</v>
      </c>
      <c r="AA90" s="1792" t="s">
        <v>2125</v>
      </c>
    </row>
    <row r="91" spans="1:27" x14ac:dyDescent="0.2">
      <c r="A91" s="1780" t="s">
        <v>1414</v>
      </c>
      <c r="B91" s="1781">
        <v>1</v>
      </c>
      <c r="C91" s="1782" t="s">
        <v>1980</v>
      </c>
      <c r="D91" s="1783">
        <v>34</v>
      </c>
      <c r="E91" s="1784">
        <v>6.25</v>
      </c>
      <c r="F91" s="1785">
        <v>0</v>
      </c>
      <c r="G91" s="1786">
        <v>1.375</v>
      </c>
      <c r="H91" s="1786" t="s">
        <v>114</v>
      </c>
      <c r="I91" s="1787" t="s">
        <v>117</v>
      </c>
      <c r="L91" s="1786">
        <v>3</v>
      </c>
      <c r="M91" s="1788">
        <v>3</v>
      </c>
      <c r="Q91" s="1787" t="s">
        <v>117</v>
      </c>
      <c r="W91" s="1790" t="s">
        <v>117</v>
      </c>
      <c r="X91" s="1791">
        <v>0</v>
      </c>
      <c r="Y91" s="1792" t="s">
        <v>117</v>
      </c>
      <c r="Z91" s="1791" t="s">
        <v>117</v>
      </c>
      <c r="AA91" s="1792" t="s">
        <v>2125</v>
      </c>
    </row>
    <row r="92" spans="1:27" x14ac:dyDescent="0.2">
      <c r="A92" s="1780" t="s">
        <v>1415</v>
      </c>
      <c r="B92" s="1781">
        <v>1</v>
      </c>
      <c r="C92" s="1782" t="s">
        <v>1979</v>
      </c>
      <c r="D92" s="1783">
        <v>40</v>
      </c>
      <c r="E92" s="1784">
        <v>3.125</v>
      </c>
      <c r="F92" s="1785">
        <v>0</v>
      </c>
      <c r="G92" s="1786">
        <v>1.375</v>
      </c>
      <c r="H92" s="1786" t="s">
        <v>114</v>
      </c>
      <c r="I92" s="1787" t="s">
        <v>117</v>
      </c>
      <c r="L92" s="1786">
        <v>3</v>
      </c>
      <c r="M92" s="1788">
        <v>3</v>
      </c>
      <c r="Q92" s="1787" t="s">
        <v>117</v>
      </c>
      <c r="W92" s="1790" t="s">
        <v>117</v>
      </c>
      <c r="X92" s="1791">
        <v>0</v>
      </c>
      <c r="Y92" s="1792" t="s">
        <v>117</v>
      </c>
      <c r="Z92" s="1791" t="s">
        <v>117</v>
      </c>
      <c r="AA92" s="1792" t="s">
        <v>2126</v>
      </c>
    </row>
    <row r="93" spans="1:27" x14ac:dyDescent="0.2">
      <c r="A93" s="1780" t="s">
        <v>1416</v>
      </c>
      <c r="B93" s="1781">
        <v>1</v>
      </c>
      <c r="C93" s="1782" t="s">
        <v>1979</v>
      </c>
      <c r="D93" s="1783">
        <v>46</v>
      </c>
      <c r="E93" s="1784">
        <v>0</v>
      </c>
      <c r="F93" s="1785">
        <v>0</v>
      </c>
      <c r="G93" s="1786">
        <v>1.375</v>
      </c>
      <c r="H93" s="1786" t="s">
        <v>114</v>
      </c>
      <c r="I93" s="1787" t="s">
        <v>117</v>
      </c>
      <c r="L93" s="1786">
        <v>3</v>
      </c>
      <c r="M93" s="1788">
        <v>3</v>
      </c>
      <c r="Q93" s="1787" t="s">
        <v>117</v>
      </c>
      <c r="W93" s="1790" t="s">
        <v>117</v>
      </c>
      <c r="X93" s="1791">
        <v>0</v>
      </c>
      <c r="Y93" s="1792" t="s">
        <v>117</v>
      </c>
      <c r="Z93" s="1791" t="s">
        <v>117</v>
      </c>
      <c r="AA93" s="1792" t="s">
        <v>2128</v>
      </c>
    </row>
    <row r="94" spans="1:27" x14ac:dyDescent="0.2">
      <c r="A94" s="1780" t="s">
        <v>1417</v>
      </c>
      <c r="B94" s="1781">
        <v>1</v>
      </c>
      <c r="C94" s="1782" t="s">
        <v>1979</v>
      </c>
      <c r="D94" s="1783">
        <v>50</v>
      </c>
      <c r="E94" s="1784">
        <v>3.5</v>
      </c>
      <c r="F94" s="1785">
        <v>0</v>
      </c>
      <c r="G94" s="1786">
        <v>4.625</v>
      </c>
      <c r="H94" s="1786" t="s">
        <v>114</v>
      </c>
      <c r="I94" s="1787" t="s">
        <v>117</v>
      </c>
      <c r="L94" s="1786">
        <v>3</v>
      </c>
      <c r="M94" s="1788">
        <v>3</v>
      </c>
      <c r="N94" s="1785">
        <v>0</v>
      </c>
      <c r="O94" s="1786">
        <v>10</v>
      </c>
      <c r="P94" s="1786">
        <v>2</v>
      </c>
      <c r="Q94" s="1787" t="s">
        <v>117</v>
      </c>
      <c r="T94" s="1786">
        <v>0</v>
      </c>
      <c r="U94" s="1788">
        <v>5.5</v>
      </c>
      <c r="V94" s="1789">
        <v>0</v>
      </c>
      <c r="W94" s="1790">
        <v>2.5</v>
      </c>
      <c r="X94" s="1791">
        <v>4</v>
      </c>
      <c r="Y94" s="1792" t="s">
        <v>117</v>
      </c>
      <c r="Z94" s="1791" t="s">
        <v>117</v>
      </c>
      <c r="AA94" s="1792" t="s">
        <v>2129</v>
      </c>
    </row>
    <row r="95" spans="1:27" x14ac:dyDescent="0.2">
      <c r="A95" s="1780" t="s">
        <v>1418</v>
      </c>
      <c r="B95" s="1781">
        <v>1</v>
      </c>
      <c r="C95" s="1782" t="s">
        <v>1979</v>
      </c>
      <c r="D95" s="1783">
        <v>52</v>
      </c>
      <c r="E95" s="1784">
        <v>4</v>
      </c>
      <c r="F95" s="1785">
        <v>0</v>
      </c>
      <c r="G95" s="1786">
        <v>3.625</v>
      </c>
      <c r="H95" s="1786" t="s">
        <v>114</v>
      </c>
      <c r="I95" s="1787">
        <v>0</v>
      </c>
      <c r="J95" s="1786">
        <v>3.625</v>
      </c>
      <c r="K95" s="1786" t="s">
        <v>114</v>
      </c>
      <c r="L95" s="1786">
        <v>3</v>
      </c>
      <c r="M95" s="1788">
        <v>3</v>
      </c>
      <c r="Q95" s="1787" t="s">
        <v>117</v>
      </c>
      <c r="W95" s="1790" t="s">
        <v>117</v>
      </c>
      <c r="X95" s="1791">
        <v>0</v>
      </c>
      <c r="Y95" s="1792" t="s">
        <v>117</v>
      </c>
      <c r="Z95" s="1791" t="s">
        <v>117</v>
      </c>
      <c r="AA95" s="1792" t="s">
        <v>2130</v>
      </c>
    </row>
    <row r="96" spans="1:27" x14ac:dyDescent="0.2">
      <c r="A96" s="1780" t="s">
        <v>1419</v>
      </c>
      <c r="B96" s="1781">
        <v>6</v>
      </c>
      <c r="C96" s="1782" t="s">
        <v>1979</v>
      </c>
      <c r="D96" s="1783">
        <v>52</v>
      </c>
      <c r="E96" s="1784">
        <v>4</v>
      </c>
      <c r="F96" s="1785">
        <v>0</v>
      </c>
      <c r="G96" s="1786">
        <v>3.625</v>
      </c>
      <c r="H96" s="1786" t="s">
        <v>114</v>
      </c>
      <c r="I96" s="1787">
        <v>0</v>
      </c>
      <c r="J96" s="1786">
        <v>3.625</v>
      </c>
      <c r="K96" s="1786" t="s">
        <v>114</v>
      </c>
      <c r="L96" s="1786">
        <v>3</v>
      </c>
      <c r="M96" s="1788">
        <v>3</v>
      </c>
      <c r="Q96" s="1787" t="s">
        <v>117</v>
      </c>
      <c r="W96" s="1790" t="s">
        <v>117</v>
      </c>
      <c r="X96" s="1791">
        <v>0</v>
      </c>
      <c r="Y96" s="1792" t="s">
        <v>117</v>
      </c>
      <c r="Z96" s="1791" t="s">
        <v>117</v>
      </c>
      <c r="AA96" s="1792" t="s">
        <v>2131</v>
      </c>
    </row>
    <row r="97" spans="1:27" x14ac:dyDescent="0.2">
      <c r="A97" s="1780" t="s">
        <v>1420</v>
      </c>
      <c r="B97" s="1781">
        <v>1</v>
      </c>
      <c r="C97" s="1782" t="s">
        <v>1981</v>
      </c>
      <c r="D97" s="1783">
        <v>6</v>
      </c>
      <c r="E97" s="1784">
        <v>9.875</v>
      </c>
      <c r="F97" s="1785">
        <v>0</v>
      </c>
      <c r="G97" s="1786">
        <v>3.625</v>
      </c>
      <c r="H97" s="1786" t="s">
        <v>114</v>
      </c>
      <c r="I97" s="1787" t="s">
        <v>117</v>
      </c>
      <c r="L97" s="1786">
        <v>3</v>
      </c>
      <c r="M97" s="1788">
        <v>3</v>
      </c>
      <c r="Q97" s="1787" t="s">
        <v>117</v>
      </c>
      <c r="W97" s="1790" t="s">
        <v>117</v>
      </c>
      <c r="X97" s="1791">
        <v>0</v>
      </c>
      <c r="Y97" s="1792">
        <v>0.38641635358364201</v>
      </c>
      <c r="Z97" s="1791">
        <v>-0.38641635358364201</v>
      </c>
      <c r="AA97" s="1792" t="s">
        <v>2132</v>
      </c>
    </row>
    <row r="98" spans="1:27" x14ac:dyDescent="0.2">
      <c r="A98" s="1780" t="s">
        <v>1421</v>
      </c>
      <c r="B98" s="1781">
        <v>1</v>
      </c>
      <c r="C98" s="1782" t="s">
        <v>1980</v>
      </c>
      <c r="D98" s="1783">
        <v>12</v>
      </c>
      <c r="E98" s="1784">
        <v>6.625</v>
      </c>
      <c r="F98" s="1785">
        <v>0</v>
      </c>
      <c r="G98" s="1786">
        <v>3.625</v>
      </c>
      <c r="H98" s="1786" t="s">
        <v>114</v>
      </c>
      <c r="I98" s="1787" t="s">
        <v>117</v>
      </c>
      <c r="L98" s="1786">
        <v>3</v>
      </c>
      <c r="M98" s="1788">
        <v>3</v>
      </c>
      <c r="Q98" s="1787" t="s">
        <v>117</v>
      </c>
      <c r="W98" s="1790" t="s">
        <v>117</v>
      </c>
      <c r="X98" s="1791">
        <v>0</v>
      </c>
      <c r="Y98" s="1792">
        <v>0.33426620588644901</v>
      </c>
      <c r="Z98" s="1791" t="s">
        <v>117</v>
      </c>
      <c r="AA98" s="1792" t="s">
        <v>2132</v>
      </c>
    </row>
    <row r="99" spans="1:27" x14ac:dyDescent="0.2">
      <c r="A99" s="1780" t="s">
        <v>1422</v>
      </c>
      <c r="B99" s="1781">
        <v>1</v>
      </c>
      <c r="C99" s="1782" t="s">
        <v>1980</v>
      </c>
      <c r="D99" s="1783">
        <v>18</v>
      </c>
      <c r="E99" s="1784">
        <v>3.5</v>
      </c>
      <c r="F99" s="1785">
        <v>0</v>
      </c>
      <c r="G99" s="1786">
        <v>3.625</v>
      </c>
      <c r="H99" s="1786" t="s">
        <v>114</v>
      </c>
      <c r="I99" s="1787" t="s">
        <v>117</v>
      </c>
      <c r="L99" s="1786">
        <v>3</v>
      </c>
      <c r="M99" s="1788">
        <v>3</v>
      </c>
      <c r="Q99" s="1787" t="s">
        <v>117</v>
      </c>
      <c r="W99" s="1790" t="s">
        <v>117</v>
      </c>
      <c r="X99" s="1791">
        <v>0</v>
      </c>
      <c r="Y99" s="1792">
        <v>0.31505565031931598</v>
      </c>
      <c r="Z99" s="1791" t="s">
        <v>117</v>
      </c>
      <c r="AA99" s="1792" t="s">
        <v>2133</v>
      </c>
    </row>
    <row r="100" spans="1:27" x14ac:dyDescent="0.2">
      <c r="A100" s="1780" t="s">
        <v>1423</v>
      </c>
      <c r="B100" s="1781">
        <v>1</v>
      </c>
      <c r="C100" s="1782" t="s">
        <v>1980</v>
      </c>
      <c r="D100" s="1783">
        <v>24</v>
      </c>
      <c r="E100" s="1784">
        <v>0.375</v>
      </c>
      <c r="F100" s="1785">
        <v>0</v>
      </c>
      <c r="G100" s="1786">
        <v>3.625</v>
      </c>
      <c r="H100" s="1786" t="s">
        <v>114</v>
      </c>
      <c r="I100" s="1787" t="s">
        <v>117</v>
      </c>
      <c r="L100" s="1786">
        <v>3</v>
      </c>
      <c r="M100" s="1788">
        <v>3</v>
      </c>
      <c r="Q100" s="1787" t="s">
        <v>117</v>
      </c>
      <c r="W100" s="1790" t="s">
        <v>117</v>
      </c>
      <c r="X100" s="1791">
        <v>0</v>
      </c>
      <c r="Y100" s="1792">
        <v>0.30506675136729899</v>
      </c>
      <c r="Z100" s="1791" t="s">
        <v>117</v>
      </c>
      <c r="AA100" s="1792" t="s">
        <v>2134</v>
      </c>
    </row>
    <row r="101" spans="1:27" x14ac:dyDescent="0.2">
      <c r="A101" s="1780" t="s">
        <v>1424</v>
      </c>
      <c r="B101" s="1781">
        <v>1</v>
      </c>
      <c r="C101" s="1782" t="s">
        <v>1980</v>
      </c>
      <c r="D101" s="1783">
        <v>29</v>
      </c>
      <c r="E101" s="1784">
        <v>9.25</v>
      </c>
      <c r="F101" s="1785">
        <v>0</v>
      </c>
      <c r="G101" s="1786">
        <v>3.625</v>
      </c>
      <c r="H101" s="1786" t="s">
        <v>114</v>
      </c>
      <c r="I101" s="1787" t="s">
        <v>117</v>
      </c>
      <c r="L101" s="1786">
        <v>3</v>
      </c>
      <c r="M101" s="1788">
        <v>3</v>
      </c>
      <c r="Q101" s="1787" t="s">
        <v>117</v>
      </c>
      <c r="W101" s="1790" t="s">
        <v>117</v>
      </c>
      <c r="X101" s="1791">
        <v>0</v>
      </c>
      <c r="Y101" s="1792">
        <v>0.29894470934927603</v>
      </c>
      <c r="Z101" s="1791" t="s">
        <v>117</v>
      </c>
      <c r="AA101" s="1792" t="s">
        <v>2135</v>
      </c>
    </row>
    <row r="102" spans="1:27" x14ac:dyDescent="0.2">
      <c r="A102" s="1780" t="s">
        <v>1425</v>
      </c>
      <c r="B102" s="1781">
        <v>1</v>
      </c>
      <c r="C102" s="1782" t="s">
        <v>1980</v>
      </c>
      <c r="D102" s="1783">
        <v>35</v>
      </c>
      <c r="E102" s="1784">
        <v>6.125</v>
      </c>
      <c r="F102" s="1785">
        <v>0</v>
      </c>
      <c r="G102" s="1786">
        <v>3.625</v>
      </c>
      <c r="H102" s="1786" t="s">
        <v>114</v>
      </c>
      <c r="I102" s="1787" t="s">
        <v>117</v>
      </c>
      <c r="L102" s="1786">
        <v>3</v>
      </c>
      <c r="M102" s="1788">
        <v>3</v>
      </c>
      <c r="Q102" s="1787" t="s">
        <v>117</v>
      </c>
      <c r="W102" s="1790" t="s">
        <v>117</v>
      </c>
      <c r="X102" s="1791">
        <v>0</v>
      </c>
      <c r="Y102" s="1792" t="s">
        <v>117</v>
      </c>
      <c r="Z102" s="1791" t="s">
        <v>117</v>
      </c>
      <c r="AA102" s="1792" t="s">
        <v>2136</v>
      </c>
    </row>
    <row r="103" spans="1:27" x14ac:dyDescent="0.2">
      <c r="A103" s="1780" t="s">
        <v>1426</v>
      </c>
      <c r="B103" s="1781">
        <v>1</v>
      </c>
      <c r="C103" s="1782" t="s">
        <v>1979</v>
      </c>
      <c r="D103" s="1783">
        <v>41</v>
      </c>
      <c r="E103" s="1784">
        <v>4</v>
      </c>
      <c r="F103" s="1785">
        <v>0</v>
      </c>
      <c r="G103" s="1786">
        <v>4.625</v>
      </c>
      <c r="H103" s="1786" t="s">
        <v>114</v>
      </c>
      <c r="I103" s="1787" t="s">
        <v>117</v>
      </c>
      <c r="L103" s="1786">
        <v>3</v>
      </c>
      <c r="M103" s="1788">
        <v>3</v>
      </c>
      <c r="N103" s="1785">
        <v>0</v>
      </c>
      <c r="O103" s="1786">
        <v>9.375</v>
      </c>
      <c r="P103" s="1786">
        <v>2</v>
      </c>
      <c r="Q103" s="1787" t="s">
        <v>117</v>
      </c>
      <c r="T103" s="1786">
        <v>0</v>
      </c>
      <c r="U103" s="1788">
        <v>5.5</v>
      </c>
      <c r="V103" s="1789">
        <v>0</v>
      </c>
      <c r="W103" s="1790">
        <v>2.5</v>
      </c>
      <c r="X103" s="1791">
        <v>4</v>
      </c>
      <c r="Y103" s="1792">
        <v>0.29182623887534098</v>
      </c>
      <c r="Z103" s="1791" t="s">
        <v>117</v>
      </c>
      <c r="AA103" s="1792" t="s">
        <v>2137</v>
      </c>
    </row>
    <row r="104" spans="1:27" x14ac:dyDescent="0.2">
      <c r="A104" s="1780" t="s">
        <v>1427</v>
      </c>
      <c r="B104" s="1781">
        <v>1</v>
      </c>
      <c r="C104" s="1782" t="s">
        <v>1979</v>
      </c>
      <c r="D104" s="1783">
        <v>46</v>
      </c>
      <c r="E104" s="1784">
        <v>11.75</v>
      </c>
      <c r="F104" s="1785">
        <v>0</v>
      </c>
      <c r="G104" s="1786">
        <v>3.625</v>
      </c>
      <c r="H104" s="1786" t="s">
        <v>114</v>
      </c>
      <c r="I104" s="1787" t="s">
        <v>117</v>
      </c>
      <c r="L104" s="1786">
        <v>3</v>
      </c>
      <c r="M104" s="1788">
        <v>3</v>
      </c>
      <c r="Q104" s="1787" t="s">
        <v>117</v>
      </c>
      <c r="W104" s="1790" t="s">
        <v>117</v>
      </c>
      <c r="X104" s="1791">
        <v>0</v>
      </c>
      <c r="Y104" s="1792" t="s">
        <v>117</v>
      </c>
      <c r="Z104" s="1791" t="s">
        <v>117</v>
      </c>
      <c r="AA104" s="1792" t="s">
        <v>2138</v>
      </c>
    </row>
    <row r="105" spans="1:27" x14ac:dyDescent="0.2">
      <c r="A105" s="1780" t="s">
        <v>1428</v>
      </c>
      <c r="B105" s="1781">
        <v>1</v>
      </c>
      <c r="C105" s="1782" t="s">
        <v>1978</v>
      </c>
      <c r="D105" s="1783">
        <v>52</v>
      </c>
      <c r="E105" s="1784">
        <v>8.625</v>
      </c>
      <c r="F105" s="1785">
        <v>0</v>
      </c>
      <c r="G105" s="1786">
        <v>3.625</v>
      </c>
      <c r="H105" s="1786" t="s">
        <v>114</v>
      </c>
      <c r="I105" s="1787">
        <v>0</v>
      </c>
      <c r="J105" s="1786">
        <v>0.25</v>
      </c>
      <c r="K105" s="1786" t="s">
        <v>114</v>
      </c>
      <c r="L105" s="1786">
        <v>3</v>
      </c>
      <c r="M105" s="1788">
        <v>3</v>
      </c>
      <c r="Q105" s="1787" t="s">
        <v>117</v>
      </c>
      <c r="W105" s="1790" t="s">
        <v>117</v>
      </c>
      <c r="X105" s="1791">
        <v>0</v>
      </c>
      <c r="Y105" s="1792" t="s">
        <v>117</v>
      </c>
      <c r="Z105" s="1791" t="s">
        <v>117</v>
      </c>
      <c r="AA105" s="1792" t="s">
        <v>2139</v>
      </c>
    </row>
    <row r="106" spans="1:27" x14ac:dyDescent="0.2">
      <c r="A106" s="1780" t="s">
        <v>1429</v>
      </c>
      <c r="B106" s="1781">
        <v>1</v>
      </c>
      <c r="C106" s="1782" t="s">
        <v>1978</v>
      </c>
      <c r="D106" s="1783">
        <v>58</v>
      </c>
      <c r="E106" s="1784">
        <v>5.5</v>
      </c>
      <c r="F106" s="1785">
        <v>0</v>
      </c>
      <c r="G106" s="1786">
        <v>3.625</v>
      </c>
      <c r="H106" s="1786" t="s">
        <v>114</v>
      </c>
      <c r="I106" s="1787">
        <v>0</v>
      </c>
      <c r="J106" s="1786">
        <v>0.25</v>
      </c>
      <c r="K106" s="1786" t="s">
        <v>114</v>
      </c>
      <c r="L106" s="1786">
        <v>3</v>
      </c>
      <c r="M106" s="1788">
        <v>3</v>
      </c>
      <c r="Q106" s="1787" t="s">
        <v>117</v>
      </c>
      <c r="W106" s="1790" t="s">
        <v>117</v>
      </c>
      <c r="X106" s="1791">
        <v>0</v>
      </c>
      <c r="Y106" s="1792" t="s">
        <v>117</v>
      </c>
      <c r="Z106" s="1791" t="s">
        <v>117</v>
      </c>
      <c r="AA106" s="1792" t="s">
        <v>2140</v>
      </c>
    </row>
    <row r="107" spans="1:27" x14ac:dyDescent="0.2">
      <c r="A107" s="1780" t="s">
        <v>1430</v>
      </c>
      <c r="B107" s="1781">
        <v>1</v>
      </c>
      <c r="C107" s="1782" t="s">
        <v>1978</v>
      </c>
      <c r="D107" s="1783">
        <v>59</v>
      </c>
      <c r="E107" s="1784">
        <v>4.25</v>
      </c>
      <c r="F107" s="1785">
        <v>0</v>
      </c>
      <c r="G107" s="1786">
        <v>3.625</v>
      </c>
      <c r="H107" s="1786" t="s">
        <v>114</v>
      </c>
      <c r="I107" s="1787" t="s">
        <v>117</v>
      </c>
      <c r="L107" s="1786">
        <v>3</v>
      </c>
      <c r="M107" s="1788">
        <v>3</v>
      </c>
      <c r="Q107" s="1787" t="s">
        <v>117</v>
      </c>
      <c r="W107" s="1790" t="s">
        <v>117</v>
      </c>
      <c r="X107" s="1791">
        <v>0</v>
      </c>
      <c r="Y107" s="1792" t="s">
        <v>117</v>
      </c>
      <c r="Z107" s="1791" t="s">
        <v>117</v>
      </c>
      <c r="AA107" s="1792" t="s">
        <v>2141</v>
      </c>
    </row>
    <row r="108" spans="1:27" x14ac:dyDescent="0.2">
      <c r="A108" s="1780" t="s">
        <v>1431</v>
      </c>
      <c r="B108" s="1781">
        <v>1</v>
      </c>
      <c r="C108" s="1782" t="s">
        <v>1978</v>
      </c>
      <c r="D108" s="1783">
        <v>59</v>
      </c>
      <c r="E108" s="1784">
        <v>4.25</v>
      </c>
      <c r="F108" s="1785">
        <v>0</v>
      </c>
      <c r="G108" s="1786">
        <v>3.625</v>
      </c>
      <c r="H108" s="1786" t="s">
        <v>114</v>
      </c>
      <c r="I108" s="1787" t="s">
        <v>117</v>
      </c>
      <c r="L108" s="1786">
        <v>3</v>
      </c>
      <c r="M108" s="1788">
        <v>3</v>
      </c>
      <c r="Q108" s="1787" t="s">
        <v>117</v>
      </c>
      <c r="W108" s="1790" t="s">
        <v>117</v>
      </c>
      <c r="X108" s="1791">
        <v>0</v>
      </c>
      <c r="Y108" s="1792" t="s">
        <v>117</v>
      </c>
      <c r="Z108" s="1791" t="s">
        <v>117</v>
      </c>
      <c r="AA108" s="1792" t="s">
        <v>2142</v>
      </c>
    </row>
    <row r="109" spans="1:27" x14ac:dyDescent="0.2">
      <c r="A109" s="1780" t="s">
        <v>1432</v>
      </c>
      <c r="B109" s="1781">
        <v>15</v>
      </c>
      <c r="C109" s="1782" t="s">
        <v>1978</v>
      </c>
      <c r="D109" s="1783">
        <v>59</v>
      </c>
      <c r="E109" s="1784">
        <v>4.25</v>
      </c>
      <c r="F109" s="1785">
        <v>0</v>
      </c>
      <c r="G109" s="1786">
        <v>3.625</v>
      </c>
      <c r="H109" s="1786" t="s">
        <v>114</v>
      </c>
      <c r="I109" s="1787" t="s">
        <v>117</v>
      </c>
      <c r="L109" s="1786">
        <v>3</v>
      </c>
      <c r="M109" s="1788">
        <v>3</v>
      </c>
      <c r="Q109" s="1787" t="s">
        <v>117</v>
      </c>
      <c r="W109" s="1790" t="s">
        <v>117</v>
      </c>
      <c r="X109" s="1791">
        <v>0</v>
      </c>
      <c r="Y109" s="1792" t="s">
        <v>117</v>
      </c>
      <c r="Z109" s="1791" t="s">
        <v>117</v>
      </c>
      <c r="AA109" s="1792" t="s">
        <v>2143</v>
      </c>
    </row>
    <row r="110" spans="1:27" x14ac:dyDescent="0.2">
      <c r="A110" s="1780" t="s">
        <v>1433</v>
      </c>
      <c r="B110" s="1781">
        <v>3</v>
      </c>
      <c r="C110" s="1782" t="s">
        <v>1978</v>
      </c>
      <c r="D110" s="1783">
        <v>59</v>
      </c>
      <c r="E110" s="1784">
        <v>5.25</v>
      </c>
      <c r="F110" s="1785">
        <v>0</v>
      </c>
      <c r="G110" s="1786">
        <v>4.625</v>
      </c>
      <c r="H110" s="1786" t="s">
        <v>114</v>
      </c>
      <c r="I110" s="1787" t="s">
        <v>117</v>
      </c>
      <c r="L110" s="1786">
        <v>3</v>
      </c>
      <c r="M110" s="1788">
        <v>3</v>
      </c>
      <c r="N110" s="1785">
        <v>0</v>
      </c>
      <c r="O110" s="1786">
        <v>10</v>
      </c>
      <c r="P110" s="1786">
        <v>2</v>
      </c>
      <c r="Q110" s="1787" t="s">
        <v>117</v>
      </c>
      <c r="T110" s="1786">
        <v>0</v>
      </c>
      <c r="U110" s="1788">
        <v>5.5</v>
      </c>
      <c r="V110" s="1789">
        <v>0</v>
      </c>
      <c r="W110" s="1790">
        <v>2</v>
      </c>
      <c r="X110" s="1791">
        <v>4</v>
      </c>
      <c r="Y110" s="1792" t="s">
        <v>117</v>
      </c>
      <c r="Z110" s="1791" t="s">
        <v>117</v>
      </c>
      <c r="AA110" s="1792" t="s">
        <v>2144</v>
      </c>
    </row>
    <row r="111" spans="1:27" x14ac:dyDescent="0.2">
      <c r="A111" s="1780" t="s">
        <v>1434</v>
      </c>
      <c r="B111" s="1781">
        <v>2</v>
      </c>
      <c r="C111" s="1782" t="s">
        <v>1978</v>
      </c>
      <c r="D111" s="1783">
        <v>59</v>
      </c>
      <c r="E111" s="1784">
        <v>4.25</v>
      </c>
      <c r="F111" s="1785">
        <v>0</v>
      </c>
      <c r="G111" s="1786">
        <v>3.625</v>
      </c>
      <c r="H111" s="1786" t="s">
        <v>114</v>
      </c>
      <c r="I111" s="1787" t="s">
        <v>117</v>
      </c>
      <c r="L111" s="1786">
        <v>3</v>
      </c>
      <c r="M111" s="1788">
        <v>3</v>
      </c>
      <c r="Q111" s="1787" t="s">
        <v>117</v>
      </c>
      <c r="W111" s="1790" t="s">
        <v>117</v>
      </c>
      <c r="X111" s="1791">
        <v>0</v>
      </c>
      <c r="Y111" s="1792" t="s">
        <v>117</v>
      </c>
      <c r="Z111" s="1791" t="s">
        <v>117</v>
      </c>
      <c r="AA111" s="1792" t="s">
        <v>2145</v>
      </c>
    </row>
    <row r="112" spans="1:27" x14ac:dyDescent="0.2">
      <c r="A112" s="1780" t="s">
        <v>1435</v>
      </c>
      <c r="B112" s="1781">
        <v>2</v>
      </c>
      <c r="C112" s="1782" t="s">
        <v>1978</v>
      </c>
      <c r="D112" s="1783">
        <v>59</v>
      </c>
      <c r="E112" s="1784">
        <v>4.25</v>
      </c>
      <c r="F112" s="1785">
        <v>0</v>
      </c>
      <c r="G112" s="1786">
        <v>3.625</v>
      </c>
      <c r="H112" s="1786" t="s">
        <v>114</v>
      </c>
      <c r="I112" s="1787" t="s">
        <v>117</v>
      </c>
      <c r="L112" s="1786">
        <v>3</v>
      </c>
      <c r="M112" s="1788">
        <v>3</v>
      </c>
      <c r="Q112" s="1787" t="s">
        <v>117</v>
      </c>
      <c r="W112" s="1790" t="s">
        <v>117</v>
      </c>
      <c r="X112" s="1791">
        <v>0</v>
      </c>
      <c r="Y112" s="1792" t="s">
        <v>117</v>
      </c>
      <c r="Z112" s="1791" t="s">
        <v>117</v>
      </c>
      <c r="AA112" s="1792" t="s">
        <v>2146</v>
      </c>
    </row>
    <row r="113" spans="1:27" x14ac:dyDescent="0.2">
      <c r="A113" s="1780" t="s">
        <v>1436</v>
      </c>
      <c r="B113" s="1781">
        <v>2</v>
      </c>
      <c r="C113" s="1782" t="s">
        <v>1978</v>
      </c>
      <c r="D113" s="1783">
        <v>60</v>
      </c>
      <c r="E113" s="1784">
        <v>1.75</v>
      </c>
      <c r="F113" s="1785">
        <v>0</v>
      </c>
      <c r="G113" s="1786">
        <v>3.625</v>
      </c>
      <c r="H113" s="1786" t="s">
        <v>114</v>
      </c>
      <c r="I113" s="1787">
        <v>0</v>
      </c>
      <c r="J113" s="1786">
        <v>1.375</v>
      </c>
      <c r="K113" s="1786" t="s">
        <v>114</v>
      </c>
      <c r="L113" s="1786">
        <v>3</v>
      </c>
      <c r="M113" s="1788">
        <v>3</v>
      </c>
      <c r="Q113" s="1787" t="s">
        <v>117</v>
      </c>
      <c r="W113" s="1790" t="s">
        <v>117</v>
      </c>
      <c r="X113" s="1791">
        <v>0</v>
      </c>
      <c r="Y113" s="1792" t="s">
        <v>117</v>
      </c>
      <c r="Z113" s="1791" t="s">
        <v>117</v>
      </c>
      <c r="AA113" s="1792" t="s">
        <v>2147</v>
      </c>
    </row>
    <row r="114" spans="1:27" x14ac:dyDescent="0.2">
      <c r="A114" s="1780" t="s">
        <v>1437</v>
      </c>
      <c r="B114" s="1781">
        <v>4</v>
      </c>
      <c r="C114" s="1782" t="s">
        <v>1978</v>
      </c>
      <c r="D114" s="1783">
        <v>60</v>
      </c>
      <c r="E114" s="1784">
        <v>1.75</v>
      </c>
      <c r="F114" s="1785">
        <v>0</v>
      </c>
      <c r="G114" s="1786">
        <v>3.625</v>
      </c>
      <c r="H114" s="1786" t="s">
        <v>114</v>
      </c>
      <c r="I114" s="1787">
        <v>0</v>
      </c>
      <c r="J114" s="1786">
        <v>1.375</v>
      </c>
      <c r="K114" s="1786" t="s">
        <v>114</v>
      </c>
      <c r="L114" s="1786">
        <v>3</v>
      </c>
      <c r="M114" s="1788">
        <v>3</v>
      </c>
      <c r="Q114" s="1787" t="s">
        <v>117</v>
      </c>
      <c r="W114" s="1790" t="s">
        <v>117</v>
      </c>
      <c r="X114" s="1791">
        <v>0</v>
      </c>
      <c r="Y114" s="1792" t="s">
        <v>117</v>
      </c>
      <c r="Z114" s="1791" t="s">
        <v>117</v>
      </c>
      <c r="AA114" s="1792" t="s">
        <v>2148</v>
      </c>
    </row>
    <row r="115" spans="1:27" x14ac:dyDescent="0.2">
      <c r="A115" s="1780" t="s">
        <v>1438</v>
      </c>
      <c r="B115" s="1781">
        <v>7</v>
      </c>
      <c r="C115" s="1782" t="s">
        <v>1978</v>
      </c>
      <c r="D115" s="1783">
        <v>59</v>
      </c>
      <c r="E115" s="1784">
        <v>0.625</v>
      </c>
      <c r="I115" s="1787">
        <v>0</v>
      </c>
      <c r="J115" s="1786">
        <v>1.375</v>
      </c>
      <c r="K115" s="1786" t="s">
        <v>114</v>
      </c>
      <c r="L115" s="1786">
        <v>3</v>
      </c>
      <c r="M115" s="1788">
        <v>3</v>
      </c>
      <c r="Q115" s="1787" t="s">
        <v>117</v>
      </c>
      <c r="W115" s="1790" t="s">
        <v>117</v>
      </c>
      <c r="X115" s="1791">
        <v>0</v>
      </c>
      <c r="Y115" s="1792" t="s">
        <v>117</v>
      </c>
      <c r="Z115" s="1791" t="s">
        <v>117</v>
      </c>
      <c r="AA115" s="1792" t="s">
        <v>2149</v>
      </c>
    </row>
    <row r="116" spans="1:27" x14ac:dyDescent="0.2">
      <c r="A116" s="1780" t="s">
        <v>1439</v>
      </c>
      <c r="B116" s="1781">
        <v>2</v>
      </c>
      <c r="C116" s="1782" t="s">
        <v>1978</v>
      </c>
      <c r="D116" s="1783">
        <v>59</v>
      </c>
      <c r="E116" s="1784">
        <v>0.625</v>
      </c>
      <c r="I116" s="1787">
        <v>0</v>
      </c>
      <c r="J116" s="1786">
        <v>1.375</v>
      </c>
      <c r="K116" s="1786" t="s">
        <v>114</v>
      </c>
      <c r="L116" s="1786">
        <v>3</v>
      </c>
      <c r="M116" s="1788">
        <v>3</v>
      </c>
      <c r="Q116" s="1787" t="s">
        <v>117</v>
      </c>
      <c r="T116" s="1786">
        <v>0</v>
      </c>
      <c r="U116" s="1788">
        <v>1.125</v>
      </c>
      <c r="V116" s="1789">
        <v>0</v>
      </c>
      <c r="W116" s="1790">
        <v>2.25</v>
      </c>
      <c r="X116" s="1791">
        <v>4</v>
      </c>
      <c r="Y116" s="1792" t="s">
        <v>117</v>
      </c>
      <c r="Z116" s="1791" t="s">
        <v>117</v>
      </c>
      <c r="AA116" s="1792" t="s">
        <v>2149</v>
      </c>
    </row>
    <row r="117" spans="1:27" x14ac:dyDescent="0.2">
      <c r="A117" s="1780" t="s">
        <v>1440</v>
      </c>
      <c r="B117" s="1781">
        <v>1</v>
      </c>
      <c r="C117" s="1782" t="s">
        <v>1978</v>
      </c>
      <c r="D117" s="1783">
        <v>59</v>
      </c>
      <c r="E117" s="1784">
        <v>0.625</v>
      </c>
      <c r="I117" s="1787">
        <v>0</v>
      </c>
      <c r="J117" s="1786">
        <v>1.375</v>
      </c>
      <c r="K117" s="1786" t="s">
        <v>114</v>
      </c>
      <c r="L117" s="1786">
        <v>3</v>
      </c>
      <c r="M117" s="1788">
        <v>3</v>
      </c>
      <c r="Q117" s="1787" t="s">
        <v>117</v>
      </c>
      <c r="W117" s="1790" t="s">
        <v>117</v>
      </c>
      <c r="X117" s="1791">
        <v>0</v>
      </c>
      <c r="Y117" s="1792" t="s">
        <v>117</v>
      </c>
      <c r="Z117" s="1791" t="s">
        <v>117</v>
      </c>
      <c r="AA117" s="1792" t="s">
        <v>2150</v>
      </c>
    </row>
    <row r="118" spans="1:27" x14ac:dyDescent="0.2">
      <c r="A118" s="1780" t="s">
        <v>1441</v>
      </c>
      <c r="B118" s="1781">
        <v>1</v>
      </c>
      <c r="C118" s="1782" t="s">
        <v>1978</v>
      </c>
      <c r="D118" s="1783">
        <v>59</v>
      </c>
      <c r="E118" s="1784">
        <v>0.625</v>
      </c>
      <c r="I118" s="1787">
        <v>0</v>
      </c>
      <c r="J118" s="1786">
        <v>1.375</v>
      </c>
      <c r="K118" s="1786" t="s">
        <v>114</v>
      </c>
      <c r="L118" s="1786">
        <v>3</v>
      </c>
      <c r="M118" s="1788">
        <v>3</v>
      </c>
      <c r="Q118" s="1787" t="s">
        <v>117</v>
      </c>
      <c r="W118" s="1790" t="s">
        <v>117</v>
      </c>
      <c r="X118" s="1791">
        <v>0</v>
      </c>
      <c r="Y118" s="1792" t="s">
        <v>117</v>
      </c>
      <c r="Z118" s="1791" t="s">
        <v>117</v>
      </c>
      <c r="AA118" s="1792" t="s">
        <v>2152</v>
      </c>
    </row>
    <row r="119" spans="1:27" x14ac:dyDescent="0.2">
      <c r="A119" s="1780" t="s">
        <v>1442</v>
      </c>
      <c r="B119" s="1781">
        <v>1</v>
      </c>
      <c r="C119" s="1782" t="s">
        <v>1978</v>
      </c>
      <c r="D119" s="1783">
        <v>59</v>
      </c>
      <c r="E119" s="1784">
        <v>0.625</v>
      </c>
      <c r="I119" s="1787">
        <v>0</v>
      </c>
      <c r="J119" s="1786">
        <v>1.375</v>
      </c>
      <c r="K119" s="1786" t="s">
        <v>114</v>
      </c>
      <c r="L119" s="1786">
        <v>3</v>
      </c>
      <c r="M119" s="1788">
        <v>3</v>
      </c>
      <c r="Q119" s="1787" t="s">
        <v>117</v>
      </c>
      <c r="W119" s="1790" t="s">
        <v>117</v>
      </c>
      <c r="X119" s="1791">
        <v>0</v>
      </c>
      <c r="Y119" s="1792" t="s">
        <v>117</v>
      </c>
      <c r="Z119" s="1791" t="s">
        <v>117</v>
      </c>
      <c r="AA119" s="1792" t="s">
        <v>2153</v>
      </c>
    </row>
    <row r="120" spans="1:27" x14ac:dyDescent="0.2">
      <c r="A120" s="1780" t="s">
        <v>1443</v>
      </c>
      <c r="B120" s="1781">
        <v>1</v>
      </c>
      <c r="C120" s="1782" t="s">
        <v>1978</v>
      </c>
      <c r="D120" s="1783">
        <v>58</v>
      </c>
      <c r="E120" s="1784">
        <v>11.875</v>
      </c>
      <c r="I120" s="1787">
        <v>0</v>
      </c>
      <c r="J120" s="1786">
        <v>0.625</v>
      </c>
      <c r="K120" s="1786" t="s">
        <v>114</v>
      </c>
      <c r="L120" s="1786">
        <v>3</v>
      </c>
      <c r="M120" s="1788">
        <v>3</v>
      </c>
      <c r="Q120" s="1787">
        <v>0</v>
      </c>
      <c r="R120" s="1786">
        <v>6.625</v>
      </c>
      <c r="S120" s="1786">
        <v>2</v>
      </c>
      <c r="T120" s="1786">
        <v>0</v>
      </c>
      <c r="U120" s="1788">
        <v>1.125</v>
      </c>
      <c r="V120" s="1789">
        <v>0</v>
      </c>
      <c r="W120" s="1790">
        <v>1.5</v>
      </c>
      <c r="X120" s="1791">
        <v>4</v>
      </c>
      <c r="Y120" s="1792" t="s">
        <v>117</v>
      </c>
      <c r="Z120" s="1791" t="s">
        <v>117</v>
      </c>
      <c r="AA120" s="1792" t="s">
        <v>2153</v>
      </c>
    </row>
    <row r="121" spans="1:27" x14ac:dyDescent="0.2">
      <c r="A121" s="1780" t="s">
        <v>1444</v>
      </c>
      <c r="B121" s="1781">
        <v>1</v>
      </c>
      <c r="C121" s="1782" t="s">
        <v>1978</v>
      </c>
      <c r="D121" s="1783">
        <v>59</v>
      </c>
      <c r="E121" s="1784">
        <v>0.625</v>
      </c>
      <c r="I121" s="1787">
        <v>0</v>
      </c>
      <c r="J121" s="1786">
        <v>1.375</v>
      </c>
      <c r="K121" s="1786" t="s">
        <v>114</v>
      </c>
      <c r="L121" s="1786">
        <v>3</v>
      </c>
      <c r="M121" s="1788">
        <v>3</v>
      </c>
      <c r="Q121" s="1787" t="s">
        <v>117</v>
      </c>
      <c r="W121" s="1790" t="s">
        <v>117</v>
      </c>
      <c r="X121" s="1791">
        <v>0</v>
      </c>
      <c r="Y121" s="1792" t="s">
        <v>117</v>
      </c>
      <c r="Z121" s="1791" t="s">
        <v>117</v>
      </c>
      <c r="AA121" s="1792" t="s">
        <v>2154</v>
      </c>
    </row>
    <row r="122" spans="1:27" x14ac:dyDescent="0.2">
      <c r="A122" s="1780" t="s">
        <v>1445</v>
      </c>
      <c r="B122" s="1781">
        <v>1</v>
      </c>
      <c r="C122" s="1782" t="s">
        <v>1978</v>
      </c>
      <c r="D122" s="1783">
        <v>59</v>
      </c>
      <c r="E122" s="1784">
        <v>0.625</v>
      </c>
      <c r="I122" s="1787">
        <v>0</v>
      </c>
      <c r="J122" s="1786">
        <v>1.375</v>
      </c>
      <c r="K122" s="1786" t="s">
        <v>114</v>
      </c>
      <c r="L122" s="1786">
        <v>3</v>
      </c>
      <c r="M122" s="1788">
        <v>3</v>
      </c>
      <c r="Q122" s="1787" t="s">
        <v>117</v>
      </c>
      <c r="W122" s="1790" t="s">
        <v>117</v>
      </c>
      <c r="X122" s="1791">
        <v>0</v>
      </c>
      <c r="Y122" s="1792" t="s">
        <v>117</v>
      </c>
      <c r="Z122" s="1791" t="s">
        <v>117</v>
      </c>
      <c r="AA122" s="1792" t="s">
        <v>2155</v>
      </c>
    </row>
    <row r="123" spans="1:27" x14ac:dyDescent="0.2">
      <c r="A123" s="1780" t="s">
        <v>1446</v>
      </c>
      <c r="B123" s="1781">
        <v>1</v>
      </c>
      <c r="C123" s="1782" t="s">
        <v>1978</v>
      </c>
      <c r="D123" s="1783">
        <v>59</v>
      </c>
      <c r="E123" s="1784">
        <v>0.625</v>
      </c>
      <c r="I123" s="1787">
        <v>0</v>
      </c>
      <c r="J123" s="1786">
        <v>1.375</v>
      </c>
      <c r="K123" s="1786" t="s">
        <v>114</v>
      </c>
      <c r="L123" s="1786">
        <v>3</v>
      </c>
      <c r="M123" s="1788">
        <v>3</v>
      </c>
      <c r="Q123" s="1787" t="s">
        <v>117</v>
      </c>
      <c r="W123" s="1790" t="s">
        <v>117</v>
      </c>
      <c r="X123" s="1791">
        <v>0</v>
      </c>
      <c r="Y123" s="1792" t="s">
        <v>117</v>
      </c>
      <c r="Z123" s="1791" t="s">
        <v>117</v>
      </c>
      <c r="AA123" s="1792" t="s">
        <v>2156</v>
      </c>
    </row>
    <row r="124" spans="1:27" x14ac:dyDescent="0.2">
      <c r="A124" s="1780" t="s">
        <v>1447</v>
      </c>
      <c r="B124" s="1781">
        <v>2</v>
      </c>
      <c r="C124" s="1782" t="s">
        <v>1978</v>
      </c>
      <c r="D124" s="1783">
        <v>59</v>
      </c>
      <c r="E124" s="1784">
        <v>0.625</v>
      </c>
      <c r="I124" s="1787">
        <v>0</v>
      </c>
      <c r="J124" s="1786">
        <v>1.375</v>
      </c>
      <c r="K124" s="1786" t="s">
        <v>114</v>
      </c>
      <c r="L124" s="1786">
        <v>3</v>
      </c>
      <c r="M124" s="1788">
        <v>3</v>
      </c>
      <c r="Q124" s="1787" t="s">
        <v>117</v>
      </c>
      <c r="W124" s="1790" t="s">
        <v>117</v>
      </c>
      <c r="X124" s="1791">
        <v>0</v>
      </c>
      <c r="Y124" s="1792" t="s">
        <v>117</v>
      </c>
      <c r="Z124" s="1791" t="s">
        <v>117</v>
      </c>
      <c r="AA124" s="1792" t="s">
        <v>2157</v>
      </c>
    </row>
    <row r="125" spans="1:27" x14ac:dyDescent="0.2">
      <c r="A125" s="1780" t="s">
        <v>1448</v>
      </c>
      <c r="B125" s="1781">
        <v>38</v>
      </c>
      <c r="C125" s="1782" t="s">
        <v>1978</v>
      </c>
      <c r="D125" s="1783">
        <v>59</v>
      </c>
      <c r="E125" s="1784">
        <v>0.625</v>
      </c>
      <c r="I125" s="1787">
        <v>0</v>
      </c>
      <c r="J125" s="1786">
        <v>1.375</v>
      </c>
      <c r="K125" s="1786" t="s">
        <v>114</v>
      </c>
      <c r="L125" s="1786">
        <v>3</v>
      </c>
      <c r="M125" s="1788">
        <v>3</v>
      </c>
      <c r="Q125" s="1787" t="s">
        <v>117</v>
      </c>
      <c r="W125" s="1790" t="s">
        <v>117</v>
      </c>
      <c r="X125" s="1791">
        <v>0</v>
      </c>
      <c r="Y125" s="1792" t="s">
        <v>117</v>
      </c>
      <c r="Z125" s="1791" t="s">
        <v>117</v>
      </c>
      <c r="AA125" s="1792" t="s">
        <v>2158</v>
      </c>
    </row>
    <row r="126" spans="1:27" x14ac:dyDescent="0.2">
      <c r="A126" s="1780" t="s">
        <v>1449</v>
      </c>
      <c r="B126" s="1781">
        <v>6</v>
      </c>
      <c r="C126" s="1782" t="s">
        <v>1978</v>
      </c>
      <c r="D126" s="1783">
        <v>59</v>
      </c>
      <c r="E126" s="1784">
        <v>0.625</v>
      </c>
      <c r="I126" s="1787">
        <v>0</v>
      </c>
      <c r="J126" s="1786">
        <v>1.375</v>
      </c>
      <c r="K126" s="1786" t="s">
        <v>114</v>
      </c>
      <c r="L126" s="1786">
        <v>3</v>
      </c>
      <c r="M126" s="1788">
        <v>3</v>
      </c>
      <c r="Q126" s="1787" t="s">
        <v>117</v>
      </c>
      <c r="T126" s="1786">
        <v>0</v>
      </c>
      <c r="U126" s="1788">
        <v>1.125</v>
      </c>
      <c r="V126" s="1789">
        <v>0</v>
      </c>
      <c r="W126" s="1790">
        <v>2.25</v>
      </c>
      <c r="X126" s="1791">
        <v>4</v>
      </c>
      <c r="Y126" s="1792" t="s">
        <v>117</v>
      </c>
      <c r="Z126" s="1791" t="s">
        <v>117</v>
      </c>
      <c r="AA126" s="1792" t="s">
        <v>2158</v>
      </c>
    </row>
    <row r="127" spans="1:27" x14ac:dyDescent="0.2">
      <c r="A127" s="1780" t="s">
        <v>1450</v>
      </c>
      <c r="B127" s="1781">
        <v>3</v>
      </c>
      <c r="C127" s="1782" t="s">
        <v>1978</v>
      </c>
      <c r="D127" s="1783">
        <v>58</v>
      </c>
      <c r="E127" s="1784">
        <v>11.875</v>
      </c>
      <c r="I127" s="1787">
        <v>0</v>
      </c>
      <c r="J127" s="1786">
        <v>0.625</v>
      </c>
      <c r="K127" s="1786" t="s">
        <v>114</v>
      </c>
      <c r="L127" s="1786">
        <v>3</v>
      </c>
      <c r="M127" s="1788">
        <v>3</v>
      </c>
      <c r="Q127" s="1787">
        <v>0</v>
      </c>
      <c r="R127" s="1786">
        <v>6.625</v>
      </c>
      <c r="S127" s="1786">
        <v>2</v>
      </c>
      <c r="T127" s="1786">
        <v>0</v>
      </c>
      <c r="U127" s="1788">
        <v>1.125</v>
      </c>
      <c r="V127" s="1789">
        <v>0</v>
      </c>
      <c r="W127" s="1790">
        <v>1.5</v>
      </c>
      <c r="X127" s="1791">
        <v>4</v>
      </c>
      <c r="Y127" s="1792" t="s">
        <v>117</v>
      </c>
      <c r="Z127" s="1791" t="s">
        <v>117</v>
      </c>
      <c r="AA127" s="1792" t="s">
        <v>2158</v>
      </c>
    </row>
    <row r="128" spans="1:27" x14ac:dyDescent="0.2">
      <c r="A128" s="1780" t="s">
        <v>1451</v>
      </c>
      <c r="B128" s="1781">
        <v>1</v>
      </c>
      <c r="C128" s="1782" t="s">
        <v>1978</v>
      </c>
      <c r="D128" s="1783">
        <v>59</v>
      </c>
      <c r="E128" s="1784">
        <v>0.625</v>
      </c>
      <c r="I128" s="1787">
        <v>0</v>
      </c>
      <c r="J128" s="1786">
        <v>1.375</v>
      </c>
      <c r="K128" s="1786" t="s">
        <v>114</v>
      </c>
      <c r="L128" s="1786">
        <v>3</v>
      </c>
      <c r="M128" s="1788">
        <v>3</v>
      </c>
      <c r="Q128" s="1787" t="s">
        <v>117</v>
      </c>
      <c r="W128" s="1790" t="s">
        <v>117</v>
      </c>
      <c r="X128" s="1791">
        <v>0</v>
      </c>
      <c r="Y128" s="1792" t="s">
        <v>117</v>
      </c>
      <c r="Z128" s="1791" t="s">
        <v>117</v>
      </c>
      <c r="AA128" s="1792" t="s">
        <v>2159</v>
      </c>
    </row>
    <row r="129" spans="1:27" x14ac:dyDescent="0.2">
      <c r="A129" s="1780" t="s">
        <v>1452</v>
      </c>
      <c r="B129" s="1781">
        <v>2</v>
      </c>
      <c r="C129" s="1782" t="s">
        <v>1978</v>
      </c>
      <c r="D129" s="1783">
        <v>59</v>
      </c>
      <c r="E129" s="1784">
        <v>0.625</v>
      </c>
      <c r="I129" s="1787">
        <v>0</v>
      </c>
      <c r="J129" s="1786">
        <v>1.375</v>
      </c>
      <c r="K129" s="1786" t="s">
        <v>114</v>
      </c>
      <c r="L129" s="1786">
        <v>3</v>
      </c>
      <c r="M129" s="1788">
        <v>3</v>
      </c>
      <c r="Q129" s="1787" t="s">
        <v>117</v>
      </c>
      <c r="W129" s="1790" t="s">
        <v>117</v>
      </c>
      <c r="X129" s="1791">
        <v>0</v>
      </c>
      <c r="Y129" s="1792" t="s">
        <v>117</v>
      </c>
      <c r="Z129" s="1791" t="s">
        <v>117</v>
      </c>
      <c r="AA129" s="1792" t="s">
        <v>2160</v>
      </c>
    </row>
    <row r="130" spans="1:27" x14ac:dyDescent="0.2">
      <c r="A130" s="1780" t="s">
        <v>1453</v>
      </c>
      <c r="B130" s="1781">
        <v>2</v>
      </c>
      <c r="C130" s="1782" t="s">
        <v>1978</v>
      </c>
      <c r="D130" s="1783">
        <v>59</v>
      </c>
      <c r="E130" s="1784">
        <v>0.625</v>
      </c>
      <c r="I130" s="1787">
        <v>0</v>
      </c>
      <c r="J130" s="1786">
        <v>1.375</v>
      </c>
      <c r="K130" s="1786" t="s">
        <v>114</v>
      </c>
      <c r="L130" s="1786">
        <v>3</v>
      </c>
      <c r="M130" s="1788">
        <v>3</v>
      </c>
      <c r="Q130" s="1787" t="s">
        <v>117</v>
      </c>
      <c r="W130" s="1790" t="s">
        <v>117</v>
      </c>
      <c r="X130" s="1791">
        <v>0</v>
      </c>
      <c r="Y130" s="1792" t="s">
        <v>117</v>
      </c>
      <c r="Z130" s="1791" t="s">
        <v>117</v>
      </c>
      <c r="AA130" s="1792" t="s">
        <v>2161</v>
      </c>
    </row>
    <row r="131" spans="1:27" x14ac:dyDescent="0.2">
      <c r="A131" s="1780" t="s">
        <v>1454</v>
      </c>
      <c r="B131" s="1781">
        <v>1</v>
      </c>
      <c r="C131" s="1782" t="s">
        <v>1978</v>
      </c>
      <c r="D131" s="1783">
        <v>59</v>
      </c>
      <c r="E131" s="1784">
        <v>0.625</v>
      </c>
      <c r="I131" s="1787">
        <v>0</v>
      </c>
      <c r="J131" s="1786">
        <v>1.375</v>
      </c>
      <c r="K131" s="1786" t="s">
        <v>114</v>
      </c>
      <c r="L131" s="1786">
        <v>3</v>
      </c>
      <c r="M131" s="1788">
        <v>3</v>
      </c>
      <c r="Q131" s="1787" t="s">
        <v>117</v>
      </c>
      <c r="T131" s="1786">
        <v>0</v>
      </c>
      <c r="U131" s="1788">
        <v>1.125</v>
      </c>
      <c r="V131" s="1789">
        <v>0</v>
      </c>
      <c r="W131" s="1790">
        <v>2.25</v>
      </c>
      <c r="X131" s="1791">
        <v>4</v>
      </c>
      <c r="Y131" s="1792" t="s">
        <v>117</v>
      </c>
      <c r="Z131" s="1791" t="s">
        <v>117</v>
      </c>
      <c r="AA131" s="1792" t="s">
        <v>2162</v>
      </c>
    </row>
    <row r="132" spans="1:27" x14ac:dyDescent="0.2">
      <c r="A132" s="1780" t="s">
        <v>1455</v>
      </c>
      <c r="B132" s="1781">
        <v>2</v>
      </c>
      <c r="C132" s="1782" t="s">
        <v>1978</v>
      </c>
      <c r="D132" s="1783">
        <v>59</v>
      </c>
      <c r="E132" s="1784">
        <v>0.625</v>
      </c>
      <c r="I132" s="1787">
        <v>0</v>
      </c>
      <c r="J132" s="1786">
        <v>1.375</v>
      </c>
      <c r="K132" s="1786" t="s">
        <v>114</v>
      </c>
      <c r="L132" s="1786">
        <v>3</v>
      </c>
      <c r="M132" s="1788">
        <v>3</v>
      </c>
      <c r="Q132" s="1787" t="s">
        <v>117</v>
      </c>
      <c r="T132" s="1786">
        <v>0</v>
      </c>
      <c r="U132" s="1788">
        <v>1.125</v>
      </c>
      <c r="V132" s="1789">
        <v>0</v>
      </c>
      <c r="W132" s="1790">
        <v>2.25</v>
      </c>
      <c r="X132" s="1791">
        <v>4</v>
      </c>
      <c r="Y132" s="1792" t="s">
        <v>117</v>
      </c>
      <c r="Z132" s="1791" t="s">
        <v>117</v>
      </c>
      <c r="AA132" s="1792" t="s">
        <v>2163</v>
      </c>
    </row>
    <row r="133" spans="1:27" x14ac:dyDescent="0.2">
      <c r="A133" s="1780" t="s">
        <v>1456</v>
      </c>
      <c r="B133" s="1781">
        <v>3</v>
      </c>
      <c r="C133" s="1782" t="s">
        <v>1978</v>
      </c>
      <c r="D133" s="1783">
        <v>59</v>
      </c>
      <c r="E133" s="1784">
        <v>0.625</v>
      </c>
      <c r="I133" s="1787">
        <v>0</v>
      </c>
      <c r="J133" s="1786">
        <v>1.375</v>
      </c>
      <c r="K133" s="1786" t="s">
        <v>114</v>
      </c>
      <c r="L133" s="1786">
        <v>3</v>
      </c>
      <c r="M133" s="1788">
        <v>3</v>
      </c>
      <c r="Q133" s="1787" t="s">
        <v>117</v>
      </c>
      <c r="T133" s="1786">
        <v>0</v>
      </c>
      <c r="U133" s="1788">
        <v>1.125</v>
      </c>
      <c r="V133" s="1789">
        <v>0</v>
      </c>
      <c r="W133" s="1790">
        <v>2.25</v>
      </c>
      <c r="X133" s="1791">
        <v>4</v>
      </c>
      <c r="Y133" s="1792" t="s">
        <v>117</v>
      </c>
      <c r="Z133" s="1791" t="s">
        <v>117</v>
      </c>
      <c r="AA133" s="1792" t="s">
        <v>2164</v>
      </c>
    </row>
    <row r="134" spans="1:27" x14ac:dyDescent="0.2">
      <c r="A134" s="1780" t="s">
        <v>1457</v>
      </c>
      <c r="B134" s="1781">
        <v>3</v>
      </c>
      <c r="C134" s="1782" t="s">
        <v>1978</v>
      </c>
      <c r="D134" s="1783">
        <v>59</v>
      </c>
      <c r="E134" s="1784">
        <v>0.625</v>
      </c>
      <c r="I134" s="1787">
        <v>0</v>
      </c>
      <c r="J134" s="1786">
        <v>1.375</v>
      </c>
      <c r="K134" s="1786" t="s">
        <v>114</v>
      </c>
      <c r="L134" s="1786">
        <v>3</v>
      </c>
      <c r="M134" s="1788">
        <v>3</v>
      </c>
      <c r="Q134" s="1787" t="s">
        <v>117</v>
      </c>
      <c r="W134" s="1790" t="s">
        <v>117</v>
      </c>
      <c r="X134" s="1791">
        <v>0</v>
      </c>
      <c r="Y134" s="1792" t="s">
        <v>117</v>
      </c>
      <c r="Z134" s="1791" t="s">
        <v>117</v>
      </c>
      <c r="AA134" s="1792" t="s">
        <v>2165</v>
      </c>
    </row>
    <row r="135" spans="1:27" x14ac:dyDescent="0.2">
      <c r="A135" s="1780" t="s">
        <v>1458</v>
      </c>
      <c r="B135" s="1781">
        <v>2</v>
      </c>
      <c r="C135" s="1782" t="s">
        <v>1978</v>
      </c>
      <c r="D135" s="1783">
        <v>59</v>
      </c>
      <c r="E135" s="1784">
        <v>0.625</v>
      </c>
      <c r="I135" s="1787">
        <v>0</v>
      </c>
      <c r="J135" s="1786">
        <v>1.375</v>
      </c>
      <c r="K135" s="1786" t="s">
        <v>114</v>
      </c>
      <c r="L135" s="1786">
        <v>3</v>
      </c>
      <c r="M135" s="1788">
        <v>3</v>
      </c>
      <c r="Q135" s="1787" t="s">
        <v>117</v>
      </c>
      <c r="W135" s="1790" t="s">
        <v>117</v>
      </c>
      <c r="X135" s="1791">
        <v>0</v>
      </c>
      <c r="Y135" s="1792" t="s">
        <v>117</v>
      </c>
      <c r="Z135" s="1791" t="s">
        <v>117</v>
      </c>
      <c r="AA135" s="1792" t="s">
        <v>2164</v>
      </c>
    </row>
    <row r="136" spans="1:27" x14ac:dyDescent="0.2">
      <c r="A136" s="1780" t="s">
        <v>1459</v>
      </c>
      <c r="B136" s="1781">
        <v>4</v>
      </c>
      <c r="C136" s="1782" t="s">
        <v>1979</v>
      </c>
      <c r="D136" s="1783">
        <v>50</v>
      </c>
      <c r="E136" s="1784">
        <v>1.75</v>
      </c>
      <c r="F136" s="1785">
        <v>0</v>
      </c>
      <c r="G136" s="1786">
        <v>3.625</v>
      </c>
      <c r="H136" s="1786" t="s">
        <v>114</v>
      </c>
      <c r="I136" s="1787">
        <v>0</v>
      </c>
      <c r="J136" s="1786">
        <v>1.375</v>
      </c>
      <c r="K136" s="1786" t="s">
        <v>114</v>
      </c>
      <c r="L136" s="1786">
        <v>3</v>
      </c>
      <c r="M136" s="1788">
        <v>3</v>
      </c>
      <c r="Q136" s="1787" t="s">
        <v>117</v>
      </c>
      <c r="W136" s="1790" t="s">
        <v>117</v>
      </c>
      <c r="X136" s="1791">
        <v>0</v>
      </c>
      <c r="Y136" s="1792" t="s">
        <v>117</v>
      </c>
      <c r="Z136" s="1791" t="s">
        <v>117</v>
      </c>
      <c r="AA136" s="1792" t="s">
        <v>2166</v>
      </c>
    </row>
    <row r="137" spans="1:27" x14ac:dyDescent="0.2">
      <c r="A137" s="1780" t="s">
        <v>1460</v>
      </c>
      <c r="B137" s="1781">
        <v>2</v>
      </c>
      <c r="C137" s="1782" t="s">
        <v>1979</v>
      </c>
      <c r="D137" s="1783">
        <v>50</v>
      </c>
      <c r="E137" s="1784">
        <v>1.75</v>
      </c>
      <c r="F137" s="1785">
        <v>0</v>
      </c>
      <c r="G137" s="1786">
        <v>3.625</v>
      </c>
      <c r="H137" s="1786" t="s">
        <v>114</v>
      </c>
      <c r="I137" s="1787">
        <v>0</v>
      </c>
      <c r="J137" s="1786">
        <v>1.375</v>
      </c>
      <c r="K137" s="1786" t="s">
        <v>114</v>
      </c>
      <c r="L137" s="1786">
        <v>3</v>
      </c>
      <c r="M137" s="1788">
        <v>3</v>
      </c>
      <c r="Q137" s="1787" t="s">
        <v>117</v>
      </c>
      <c r="W137" s="1790" t="s">
        <v>117</v>
      </c>
      <c r="X137" s="1791">
        <v>0</v>
      </c>
      <c r="Y137" s="1792" t="s">
        <v>117</v>
      </c>
      <c r="Z137" s="1791" t="s">
        <v>117</v>
      </c>
      <c r="AA137" s="1792" t="s">
        <v>2167</v>
      </c>
    </row>
    <row r="138" spans="1:27" x14ac:dyDescent="0.2">
      <c r="A138" s="1780" t="s">
        <v>1461</v>
      </c>
      <c r="B138" s="1781">
        <v>1</v>
      </c>
      <c r="C138" s="1782" t="s">
        <v>1979</v>
      </c>
      <c r="D138" s="1783">
        <v>50</v>
      </c>
      <c r="E138" s="1784">
        <v>2</v>
      </c>
      <c r="F138" s="1785">
        <v>0</v>
      </c>
      <c r="G138" s="1786">
        <v>4.625</v>
      </c>
      <c r="H138" s="1786" t="s">
        <v>114</v>
      </c>
      <c r="I138" s="1787">
        <v>0</v>
      </c>
      <c r="J138" s="1786">
        <v>0.625</v>
      </c>
      <c r="K138" s="1786" t="s">
        <v>114</v>
      </c>
      <c r="L138" s="1786">
        <v>3</v>
      </c>
      <c r="M138" s="1788">
        <v>3</v>
      </c>
      <c r="N138" s="1785">
        <v>0</v>
      </c>
      <c r="O138" s="1786">
        <v>9.375</v>
      </c>
      <c r="P138" s="1786">
        <v>2</v>
      </c>
      <c r="Q138" s="1787">
        <v>0</v>
      </c>
      <c r="R138" s="1786">
        <v>6.625</v>
      </c>
      <c r="S138" s="1786">
        <v>2</v>
      </c>
      <c r="T138" s="1786">
        <v>0</v>
      </c>
      <c r="U138" s="1788">
        <v>5.5</v>
      </c>
      <c r="V138" s="1789">
        <v>0</v>
      </c>
      <c r="W138" s="1790">
        <v>1.5</v>
      </c>
      <c r="X138" s="1791">
        <v>4</v>
      </c>
      <c r="Y138" s="1792" t="s">
        <v>117</v>
      </c>
      <c r="Z138" s="1791" t="s">
        <v>117</v>
      </c>
      <c r="AA138" s="1792" t="s">
        <v>2168</v>
      </c>
    </row>
    <row r="139" spans="1:27" x14ac:dyDescent="0.2">
      <c r="A139" s="1780" t="s">
        <v>1462</v>
      </c>
      <c r="B139" s="1781">
        <v>5</v>
      </c>
      <c r="C139" s="1782" t="s">
        <v>1979</v>
      </c>
      <c r="D139" s="1783">
        <v>49</v>
      </c>
      <c r="E139" s="1784">
        <v>11.5</v>
      </c>
      <c r="F139" s="1785">
        <v>0</v>
      </c>
      <c r="G139" s="1786">
        <v>1.375</v>
      </c>
      <c r="H139" s="1786" t="s">
        <v>114</v>
      </c>
      <c r="I139" s="1787">
        <v>0</v>
      </c>
      <c r="J139" s="1786">
        <v>1.375</v>
      </c>
      <c r="K139" s="1786" t="s">
        <v>114</v>
      </c>
      <c r="L139" s="1786">
        <v>3</v>
      </c>
      <c r="M139" s="1788">
        <v>3</v>
      </c>
      <c r="Q139" s="1787" t="s">
        <v>117</v>
      </c>
      <c r="W139" s="1790" t="s">
        <v>117</v>
      </c>
      <c r="X139" s="1791">
        <v>0</v>
      </c>
      <c r="Y139" s="1792" t="s">
        <v>117</v>
      </c>
      <c r="Z139" s="1791" t="s">
        <v>117</v>
      </c>
      <c r="AA139" s="1792" t="s">
        <v>2169</v>
      </c>
    </row>
    <row r="140" spans="1:27" x14ac:dyDescent="0.2">
      <c r="A140" s="1780" t="s">
        <v>1463</v>
      </c>
      <c r="B140" s="1781">
        <v>78</v>
      </c>
      <c r="C140" s="1782" t="s">
        <v>1979</v>
      </c>
      <c r="D140" s="1783">
        <v>49</v>
      </c>
      <c r="E140" s="1784">
        <v>11.5</v>
      </c>
      <c r="F140" s="1785">
        <v>0</v>
      </c>
      <c r="G140" s="1786">
        <v>1.375</v>
      </c>
      <c r="H140" s="1786" t="s">
        <v>114</v>
      </c>
      <c r="I140" s="1787">
        <v>0</v>
      </c>
      <c r="J140" s="1786">
        <v>1.375</v>
      </c>
      <c r="K140" s="1786" t="s">
        <v>114</v>
      </c>
      <c r="L140" s="1786">
        <v>3</v>
      </c>
      <c r="M140" s="1788">
        <v>3</v>
      </c>
      <c r="Q140" s="1787" t="s">
        <v>117</v>
      </c>
      <c r="W140" s="1790" t="s">
        <v>117</v>
      </c>
      <c r="X140" s="1791">
        <v>0</v>
      </c>
      <c r="Y140" s="1792" t="s">
        <v>117</v>
      </c>
      <c r="Z140" s="1791" t="s">
        <v>117</v>
      </c>
      <c r="AA140" s="1792" t="s">
        <v>2166</v>
      </c>
    </row>
    <row r="141" spans="1:27" x14ac:dyDescent="0.2">
      <c r="A141" s="1780" t="s">
        <v>1464</v>
      </c>
      <c r="B141" s="1781">
        <v>9</v>
      </c>
      <c r="C141" s="1782" t="s">
        <v>1979</v>
      </c>
      <c r="D141" s="1783">
        <v>49</v>
      </c>
      <c r="E141" s="1784">
        <v>11.5</v>
      </c>
      <c r="F141" s="1785">
        <v>0</v>
      </c>
      <c r="G141" s="1786">
        <v>1.375</v>
      </c>
      <c r="H141" s="1786" t="s">
        <v>114</v>
      </c>
      <c r="I141" s="1787">
        <v>0</v>
      </c>
      <c r="J141" s="1786">
        <v>1.375</v>
      </c>
      <c r="K141" s="1786" t="s">
        <v>114</v>
      </c>
      <c r="L141" s="1786">
        <v>3</v>
      </c>
      <c r="M141" s="1788">
        <v>3</v>
      </c>
      <c r="Q141" s="1787" t="s">
        <v>117</v>
      </c>
      <c r="T141" s="1786">
        <v>0</v>
      </c>
      <c r="U141" s="1788">
        <v>2.25</v>
      </c>
      <c r="V141" s="1789">
        <v>0</v>
      </c>
      <c r="W141" s="1790">
        <v>2.25</v>
      </c>
      <c r="X141" s="1791">
        <v>4</v>
      </c>
      <c r="Y141" s="1792" t="s">
        <v>117</v>
      </c>
      <c r="Z141" s="1791" t="s">
        <v>117</v>
      </c>
      <c r="AA141" s="1792" t="s">
        <v>2166</v>
      </c>
    </row>
    <row r="142" spans="1:27" x14ac:dyDescent="0.2">
      <c r="A142" s="1780" t="s">
        <v>1465</v>
      </c>
      <c r="B142" s="1781">
        <v>10</v>
      </c>
      <c r="C142" s="1782" t="s">
        <v>1979</v>
      </c>
      <c r="D142" s="1783">
        <v>49</v>
      </c>
      <c r="E142" s="1784">
        <v>11.5</v>
      </c>
      <c r="F142" s="1785">
        <v>0</v>
      </c>
      <c r="G142" s="1786">
        <v>1.375</v>
      </c>
      <c r="H142" s="1786" t="s">
        <v>114</v>
      </c>
      <c r="I142" s="1787">
        <v>0</v>
      </c>
      <c r="J142" s="1786">
        <v>1.375</v>
      </c>
      <c r="K142" s="1786" t="s">
        <v>114</v>
      </c>
      <c r="L142" s="1786">
        <v>3</v>
      </c>
      <c r="M142" s="1788">
        <v>3</v>
      </c>
      <c r="Q142" s="1787" t="s">
        <v>117</v>
      </c>
      <c r="W142" s="1790" t="s">
        <v>117</v>
      </c>
      <c r="X142" s="1791">
        <v>0</v>
      </c>
      <c r="Y142" s="1792" t="s">
        <v>117</v>
      </c>
      <c r="Z142" s="1791" t="s">
        <v>117</v>
      </c>
      <c r="AA142" s="1792" t="s">
        <v>2167</v>
      </c>
    </row>
    <row r="143" spans="1:27" x14ac:dyDescent="0.2">
      <c r="A143" s="1780" t="s">
        <v>1466</v>
      </c>
      <c r="B143" s="1781">
        <v>3</v>
      </c>
      <c r="C143" s="1782" t="s">
        <v>1979</v>
      </c>
      <c r="D143" s="1783">
        <v>49</v>
      </c>
      <c r="E143" s="1784">
        <v>11.5</v>
      </c>
      <c r="F143" s="1785">
        <v>0</v>
      </c>
      <c r="G143" s="1786">
        <v>1.375</v>
      </c>
      <c r="H143" s="1786" t="s">
        <v>114</v>
      </c>
      <c r="I143" s="1787">
        <v>0</v>
      </c>
      <c r="J143" s="1786">
        <v>1.375</v>
      </c>
      <c r="K143" s="1786" t="s">
        <v>114</v>
      </c>
      <c r="L143" s="1786">
        <v>3</v>
      </c>
      <c r="M143" s="1788">
        <v>3</v>
      </c>
      <c r="Q143" s="1787" t="s">
        <v>117</v>
      </c>
      <c r="T143" s="1786">
        <v>0</v>
      </c>
      <c r="U143" s="1788">
        <v>2.25</v>
      </c>
      <c r="V143" s="1789">
        <v>0</v>
      </c>
      <c r="W143" s="1790">
        <v>2.25</v>
      </c>
      <c r="X143" s="1791">
        <v>4</v>
      </c>
      <c r="Y143" s="1792" t="s">
        <v>117</v>
      </c>
      <c r="Z143" s="1791" t="s">
        <v>117</v>
      </c>
      <c r="AA143" s="1792" t="s">
        <v>2167</v>
      </c>
    </row>
    <row r="144" spans="1:27" x14ac:dyDescent="0.2">
      <c r="A144" s="1780" t="s">
        <v>1467</v>
      </c>
      <c r="B144" s="1781">
        <v>5</v>
      </c>
      <c r="C144" s="1782" t="s">
        <v>1979</v>
      </c>
      <c r="D144" s="1783">
        <v>49</v>
      </c>
      <c r="E144" s="1784">
        <v>11.5</v>
      </c>
      <c r="F144" s="1785">
        <v>0</v>
      </c>
      <c r="G144" s="1786">
        <v>1.375</v>
      </c>
      <c r="H144" s="1786" t="s">
        <v>114</v>
      </c>
      <c r="I144" s="1787">
        <v>0</v>
      </c>
      <c r="J144" s="1786">
        <v>1.375</v>
      </c>
      <c r="K144" s="1786" t="s">
        <v>114</v>
      </c>
      <c r="L144" s="1786">
        <v>3</v>
      </c>
      <c r="M144" s="1788">
        <v>3</v>
      </c>
      <c r="Q144" s="1787" t="s">
        <v>117</v>
      </c>
      <c r="T144" s="1786">
        <v>0</v>
      </c>
      <c r="U144" s="1788">
        <v>2.25</v>
      </c>
      <c r="V144" s="1789">
        <v>0</v>
      </c>
      <c r="W144" s="1790">
        <v>2.25</v>
      </c>
      <c r="X144" s="1791">
        <v>4</v>
      </c>
      <c r="Y144" s="1792" t="s">
        <v>117</v>
      </c>
      <c r="Z144" s="1791" t="s">
        <v>117</v>
      </c>
      <c r="AA144" s="1792" t="s">
        <v>2169</v>
      </c>
    </row>
    <row r="145" spans="1:27" x14ac:dyDescent="0.2">
      <c r="A145" s="1780" t="s">
        <v>1468</v>
      </c>
      <c r="B145" s="1781">
        <v>153</v>
      </c>
      <c r="C145" s="1782" t="s">
        <v>1979</v>
      </c>
      <c r="D145" s="1783">
        <v>49</v>
      </c>
      <c r="E145" s="1784">
        <v>11.5</v>
      </c>
      <c r="F145" s="1785">
        <v>0</v>
      </c>
      <c r="G145" s="1786">
        <v>1.375</v>
      </c>
      <c r="H145" s="1786" t="s">
        <v>114</v>
      </c>
      <c r="I145" s="1787">
        <v>0</v>
      </c>
      <c r="J145" s="1786">
        <v>1.375</v>
      </c>
      <c r="K145" s="1786" t="s">
        <v>114</v>
      </c>
      <c r="L145" s="1786">
        <v>3</v>
      </c>
      <c r="M145" s="1788">
        <v>3</v>
      </c>
      <c r="Q145" s="1787" t="s">
        <v>117</v>
      </c>
      <c r="W145" s="1790" t="s">
        <v>117</v>
      </c>
      <c r="X145" s="1791">
        <v>0</v>
      </c>
      <c r="Y145" s="1792" t="s">
        <v>117</v>
      </c>
      <c r="Z145" s="1791" t="s">
        <v>117</v>
      </c>
      <c r="AA145" s="1792" t="s">
        <v>2166</v>
      </c>
    </row>
    <row r="146" spans="1:27" x14ac:dyDescent="0.2">
      <c r="A146" s="1780" t="s">
        <v>1469</v>
      </c>
      <c r="B146" s="1781">
        <v>22</v>
      </c>
      <c r="C146" s="1782" t="s">
        <v>1979</v>
      </c>
      <c r="D146" s="1783">
        <v>49</v>
      </c>
      <c r="E146" s="1784">
        <v>11.5</v>
      </c>
      <c r="F146" s="1785">
        <v>0</v>
      </c>
      <c r="G146" s="1786">
        <v>1.375</v>
      </c>
      <c r="H146" s="1786" t="s">
        <v>114</v>
      </c>
      <c r="I146" s="1787">
        <v>0</v>
      </c>
      <c r="J146" s="1786">
        <v>1.375</v>
      </c>
      <c r="K146" s="1786" t="s">
        <v>114</v>
      </c>
      <c r="L146" s="1786">
        <v>3</v>
      </c>
      <c r="M146" s="1788">
        <v>3</v>
      </c>
      <c r="Q146" s="1787" t="s">
        <v>117</v>
      </c>
      <c r="W146" s="1790" t="s">
        <v>117</v>
      </c>
      <c r="X146" s="1791">
        <v>0</v>
      </c>
      <c r="Y146" s="1792" t="s">
        <v>117</v>
      </c>
      <c r="Z146" s="1791" t="s">
        <v>117</v>
      </c>
      <c r="AA146" s="1792" t="s">
        <v>2167</v>
      </c>
    </row>
    <row r="147" spans="1:27" x14ac:dyDescent="0.2">
      <c r="A147" s="1780" t="s">
        <v>1470</v>
      </c>
      <c r="B147" s="1781">
        <v>2</v>
      </c>
      <c r="C147" s="1782" t="s">
        <v>1979</v>
      </c>
      <c r="D147" s="1783">
        <v>49</v>
      </c>
      <c r="E147" s="1784">
        <v>10</v>
      </c>
      <c r="F147" s="1785">
        <v>0</v>
      </c>
      <c r="G147" s="1786">
        <v>0.625</v>
      </c>
      <c r="H147" s="1786" t="s">
        <v>114</v>
      </c>
      <c r="I147" s="1787">
        <v>0</v>
      </c>
      <c r="J147" s="1786">
        <v>0.625</v>
      </c>
      <c r="K147" s="1786" t="s">
        <v>114</v>
      </c>
      <c r="L147" s="1786">
        <v>3</v>
      </c>
      <c r="M147" s="1788">
        <v>3</v>
      </c>
      <c r="N147" s="1785">
        <v>0</v>
      </c>
      <c r="O147" s="1786">
        <v>6.625</v>
      </c>
      <c r="P147" s="1786">
        <v>2</v>
      </c>
      <c r="Q147" s="1787">
        <v>0</v>
      </c>
      <c r="R147" s="1786">
        <v>5.375</v>
      </c>
      <c r="S147" s="1786">
        <v>2</v>
      </c>
      <c r="T147" s="1786">
        <v>0</v>
      </c>
      <c r="U147" s="1788">
        <v>1.5</v>
      </c>
      <c r="V147" s="1789">
        <v>0</v>
      </c>
      <c r="W147" s="1790">
        <v>1.5</v>
      </c>
      <c r="X147" s="1791">
        <v>4</v>
      </c>
      <c r="Y147" s="1792" t="s">
        <v>117</v>
      </c>
      <c r="Z147" s="1791" t="s">
        <v>117</v>
      </c>
      <c r="AA147" s="1792" t="s">
        <v>2171</v>
      </c>
    </row>
    <row r="148" spans="1:27" x14ac:dyDescent="0.2">
      <c r="A148" s="1780" t="s">
        <v>1471</v>
      </c>
      <c r="B148" s="1781">
        <v>10</v>
      </c>
      <c r="C148" s="1782" t="s">
        <v>1979</v>
      </c>
      <c r="D148" s="1783">
        <v>49</v>
      </c>
      <c r="E148" s="1784">
        <v>11.5</v>
      </c>
      <c r="F148" s="1785">
        <v>0</v>
      </c>
      <c r="G148" s="1786">
        <v>1.375</v>
      </c>
      <c r="H148" s="1786" t="s">
        <v>114</v>
      </c>
      <c r="I148" s="1787">
        <v>0</v>
      </c>
      <c r="J148" s="1786">
        <v>1.375</v>
      </c>
      <c r="K148" s="1786" t="s">
        <v>114</v>
      </c>
      <c r="L148" s="1786">
        <v>3</v>
      </c>
      <c r="M148" s="1788">
        <v>3</v>
      </c>
      <c r="Q148" s="1787" t="s">
        <v>117</v>
      </c>
      <c r="W148" s="1790" t="s">
        <v>117</v>
      </c>
      <c r="X148" s="1791">
        <v>0</v>
      </c>
      <c r="Y148" s="1792" t="s">
        <v>117</v>
      </c>
      <c r="Z148" s="1791" t="s">
        <v>117</v>
      </c>
      <c r="AA148" s="1792" t="s">
        <v>2169</v>
      </c>
    </row>
    <row r="149" spans="1:27" x14ac:dyDescent="0.2">
      <c r="A149" s="1780" t="s">
        <v>1472</v>
      </c>
      <c r="B149" s="1781">
        <v>16</v>
      </c>
      <c r="C149" s="1782" t="s">
        <v>1979</v>
      </c>
      <c r="D149" s="1783">
        <v>49</v>
      </c>
      <c r="E149" s="1784">
        <v>11.5</v>
      </c>
      <c r="F149" s="1785">
        <v>0</v>
      </c>
      <c r="G149" s="1786">
        <v>1.375</v>
      </c>
      <c r="H149" s="1786" t="s">
        <v>114</v>
      </c>
      <c r="I149" s="1787">
        <v>0</v>
      </c>
      <c r="J149" s="1786">
        <v>1.375</v>
      </c>
      <c r="K149" s="1786" t="s">
        <v>114</v>
      </c>
      <c r="L149" s="1786">
        <v>3</v>
      </c>
      <c r="M149" s="1788">
        <v>3</v>
      </c>
      <c r="Q149" s="1787" t="s">
        <v>117</v>
      </c>
      <c r="T149" s="1786">
        <v>0</v>
      </c>
      <c r="U149" s="1788">
        <v>2.25</v>
      </c>
      <c r="V149" s="1789">
        <v>0</v>
      </c>
      <c r="W149" s="1790">
        <v>2.25</v>
      </c>
      <c r="X149" s="1791">
        <v>4</v>
      </c>
      <c r="Y149" s="1792" t="s">
        <v>117</v>
      </c>
      <c r="Z149" s="1791" t="s">
        <v>117</v>
      </c>
      <c r="AA149" s="1792" t="s">
        <v>2166</v>
      </c>
    </row>
    <row r="150" spans="1:27" x14ac:dyDescent="0.2">
      <c r="A150" s="1780" t="s">
        <v>1473</v>
      </c>
      <c r="B150" s="1781">
        <v>4</v>
      </c>
      <c r="C150" s="1782" t="s">
        <v>1979</v>
      </c>
      <c r="D150" s="1783">
        <v>49</v>
      </c>
      <c r="E150" s="1784">
        <v>10</v>
      </c>
      <c r="F150" s="1785">
        <v>0</v>
      </c>
      <c r="G150" s="1786">
        <v>0.625</v>
      </c>
      <c r="H150" s="1786" t="s">
        <v>114</v>
      </c>
      <c r="I150" s="1787">
        <v>0</v>
      </c>
      <c r="J150" s="1786">
        <v>0.625</v>
      </c>
      <c r="K150" s="1786" t="s">
        <v>114</v>
      </c>
      <c r="L150" s="1786">
        <v>3</v>
      </c>
      <c r="M150" s="1788">
        <v>3</v>
      </c>
      <c r="N150" s="1785">
        <v>0</v>
      </c>
      <c r="O150" s="1786">
        <v>6.625</v>
      </c>
      <c r="P150" s="1786">
        <v>2</v>
      </c>
      <c r="Q150" s="1787">
        <v>0</v>
      </c>
      <c r="R150" s="1786">
        <v>5.375</v>
      </c>
      <c r="S150" s="1786">
        <v>2</v>
      </c>
      <c r="T150" s="1786">
        <v>0</v>
      </c>
      <c r="U150" s="1788">
        <v>1.5</v>
      </c>
      <c r="V150" s="1789">
        <v>0</v>
      </c>
      <c r="W150" s="1790">
        <v>1.5</v>
      </c>
      <c r="X150" s="1791">
        <v>4</v>
      </c>
      <c r="Y150" s="1792" t="s">
        <v>117</v>
      </c>
      <c r="Z150" s="1791" t="s">
        <v>117</v>
      </c>
      <c r="AA150" s="1792" t="s">
        <v>2118</v>
      </c>
    </row>
    <row r="151" spans="1:27" x14ac:dyDescent="0.2">
      <c r="A151" s="1780" t="s">
        <v>1474</v>
      </c>
      <c r="B151" s="1781">
        <v>8</v>
      </c>
      <c r="C151" s="1782" t="s">
        <v>1979</v>
      </c>
      <c r="D151" s="1783">
        <v>49</v>
      </c>
      <c r="E151" s="1784">
        <v>10</v>
      </c>
      <c r="F151" s="1785">
        <v>0</v>
      </c>
      <c r="G151" s="1786">
        <v>0.625</v>
      </c>
      <c r="H151" s="1786" t="s">
        <v>114</v>
      </c>
      <c r="I151" s="1787">
        <v>0</v>
      </c>
      <c r="J151" s="1786">
        <v>0.625</v>
      </c>
      <c r="K151" s="1786" t="s">
        <v>114</v>
      </c>
      <c r="L151" s="1786">
        <v>3</v>
      </c>
      <c r="M151" s="1788">
        <v>3</v>
      </c>
      <c r="N151" s="1785">
        <v>0</v>
      </c>
      <c r="O151" s="1786">
        <v>6.625</v>
      </c>
      <c r="P151" s="1786">
        <v>2</v>
      </c>
      <c r="Q151" s="1787">
        <v>0</v>
      </c>
      <c r="R151" s="1786">
        <v>5.375</v>
      </c>
      <c r="S151" s="1786">
        <v>2</v>
      </c>
      <c r="T151" s="1786">
        <v>0</v>
      </c>
      <c r="U151" s="1788">
        <v>1.5</v>
      </c>
      <c r="V151" s="1789">
        <v>0</v>
      </c>
      <c r="W151" s="1790">
        <v>1.5</v>
      </c>
      <c r="X151" s="1791">
        <v>4</v>
      </c>
      <c r="Y151" s="1792" t="s">
        <v>117</v>
      </c>
      <c r="Z151" s="1791" t="s">
        <v>117</v>
      </c>
      <c r="AA151" s="1792" t="s">
        <v>2101</v>
      </c>
    </row>
    <row r="152" spans="1:27" x14ac:dyDescent="0.2">
      <c r="A152" s="1780" t="s">
        <v>1475</v>
      </c>
      <c r="B152" s="1781">
        <v>6</v>
      </c>
      <c r="C152" s="1782" t="s">
        <v>1979</v>
      </c>
      <c r="D152" s="1783">
        <v>49</v>
      </c>
      <c r="E152" s="1784">
        <v>11.5</v>
      </c>
      <c r="F152" s="1785">
        <v>0</v>
      </c>
      <c r="G152" s="1786">
        <v>1.375</v>
      </c>
      <c r="H152" s="1786" t="s">
        <v>114</v>
      </c>
      <c r="I152" s="1787">
        <v>0</v>
      </c>
      <c r="J152" s="1786">
        <v>1.375</v>
      </c>
      <c r="K152" s="1786" t="s">
        <v>114</v>
      </c>
      <c r="L152" s="1786">
        <v>3</v>
      </c>
      <c r="M152" s="1788">
        <v>3</v>
      </c>
      <c r="Q152" s="1787" t="s">
        <v>117</v>
      </c>
      <c r="T152" s="1786">
        <v>0</v>
      </c>
      <c r="U152" s="1788">
        <v>2.25</v>
      </c>
      <c r="V152" s="1789">
        <v>0</v>
      </c>
      <c r="W152" s="1790">
        <v>2.25</v>
      </c>
      <c r="X152" s="1791">
        <v>4</v>
      </c>
      <c r="Y152" s="1792" t="s">
        <v>117</v>
      </c>
      <c r="Z152" s="1791" t="s">
        <v>117</v>
      </c>
      <c r="AA152" s="1792" t="s">
        <v>2167</v>
      </c>
    </row>
    <row r="153" spans="1:27" x14ac:dyDescent="0.2">
      <c r="A153" s="1780" t="s">
        <v>1476</v>
      </c>
      <c r="B153" s="1781">
        <v>10</v>
      </c>
      <c r="C153" s="1782" t="s">
        <v>1979</v>
      </c>
      <c r="D153" s="1783">
        <v>49</v>
      </c>
      <c r="E153" s="1784">
        <v>11.5</v>
      </c>
      <c r="F153" s="1785">
        <v>0</v>
      </c>
      <c r="G153" s="1786">
        <v>1.375</v>
      </c>
      <c r="H153" s="1786" t="s">
        <v>114</v>
      </c>
      <c r="I153" s="1787">
        <v>0</v>
      </c>
      <c r="J153" s="1786">
        <v>1.375</v>
      </c>
      <c r="K153" s="1786" t="s">
        <v>114</v>
      </c>
      <c r="L153" s="1786">
        <v>3</v>
      </c>
      <c r="M153" s="1788">
        <v>3</v>
      </c>
      <c r="Q153" s="1787" t="s">
        <v>117</v>
      </c>
      <c r="T153" s="1786">
        <v>0</v>
      </c>
      <c r="U153" s="1788">
        <v>2.25</v>
      </c>
      <c r="V153" s="1789">
        <v>0</v>
      </c>
      <c r="W153" s="1790">
        <v>2.25</v>
      </c>
      <c r="X153" s="1791">
        <v>4</v>
      </c>
      <c r="Y153" s="1792" t="s">
        <v>117</v>
      </c>
      <c r="Z153" s="1791" t="s">
        <v>117</v>
      </c>
      <c r="AA153" s="1792" t="s">
        <v>2169</v>
      </c>
    </row>
    <row r="154" spans="1:27" x14ac:dyDescent="0.2">
      <c r="A154" s="1780" t="s">
        <v>1477</v>
      </c>
      <c r="B154" s="1781">
        <v>2</v>
      </c>
      <c r="C154" s="1782" t="s">
        <v>1979</v>
      </c>
      <c r="D154" s="1783">
        <v>49</v>
      </c>
      <c r="E154" s="1784">
        <v>0.625</v>
      </c>
      <c r="F154" s="1785">
        <v>0</v>
      </c>
      <c r="G154" s="1786">
        <v>1.375</v>
      </c>
      <c r="H154" s="1786" t="s">
        <v>114</v>
      </c>
      <c r="I154" s="1787" t="s">
        <v>117</v>
      </c>
      <c r="L154" s="1786">
        <v>3</v>
      </c>
      <c r="M154" s="1788">
        <v>3</v>
      </c>
      <c r="Q154" s="1787" t="s">
        <v>117</v>
      </c>
      <c r="W154" s="1790" t="s">
        <v>117</v>
      </c>
      <c r="X154" s="1791">
        <v>0</v>
      </c>
      <c r="Y154" s="1792" t="s">
        <v>117</v>
      </c>
      <c r="Z154" s="1791" t="s">
        <v>117</v>
      </c>
      <c r="AA154" s="1792" t="s">
        <v>2172</v>
      </c>
    </row>
    <row r="155" spans="1:27" x14ac:dyDescent="0.2">
      <c r="A155" s="1780" t="s">
        <v>1478</v>
      </c>
      <c r="B155" s="1781">
        <v>1</v>
      </c>
      <c r="C155" s="1782" t="s">
        <v>1979</v>
      </c>
      <c r="D155" s="1783">
        <v>49</v>
      </c>
      <c r="E155" s="1784">
        <v>0.625</v>
      </c>
      <c r="F155" s="1785">
        <v>0</v>
      </c>
      <c r="G155" s="1786">
        <v>1.375</v>
      </c>
      <c r="H155" s="1786" t="s">
        <v>114</v>
      </c>
      <c r="I155" s="1787" t="s">
        <v>117</v>
      </c>
      <c r="L155" s="1786">
        <v>3</v>
      </c>
      <c r="M155" s="1788">
        <v>3</v>
      </c>
      <c r="Q155" s="1787" t="s">
        <v>117</v>
      </c>
      <c r="W155" s="1790" t="s">
        <v>117</v>
      </c>
      <c r="X155" s="1791">
        <v>0</v>
      </c>
      <c r="Y155" s="1792" t="s">
        <v>117</v>
      </c>
      <c r="Z155" s="1791" t="s">
        <v>117</v>
      </c>
      <c r="AA155" s="1792" t="s">
        <v>2173</v>
      </c>
    </row>
    <row r="156" spans="1:27" x14ac:dyDescent="0.2">
      <c r="A156" s="1780" t="s">
        <v>1479</v>
      </c>
      <c r="B156" s="1781">
        <v>10</v>
      </c>
      <c r="C156" s="1782" t="s">
        <v>1979</v>
      </c>
      <c r="D156" s="1783">
        <v>49</v>
      </c>
      <c r="E156" s="1784">
        <v>0.625</v>
      </c>
      <c r="F156" s="1785">
        <v>0</v>
      </c>
      <c r="G156" s="1786">
        <v>1.375</v>
      </c>
      <c r="H156" s="1786" t="s">
        <v>114</v>
      </c>
      <c r="I156" s="1787" t="s">
        <v>117</v>
      </c>
      <c r="L156" s="1786">
        <v>3</v>
      </c>
      <c r="M156" s="1788">
        <v>3</v>
      </c>
      <c r="Q156" s="1787" t="s">
        <v>117</v>
      </c>
      <c r="W156" s="1790" t="s">
        <v>117</v>
      </c>
      <c r="X156" s="1791">
        <v>0</v>
      </c>
      <c r="Y156" s="1792" t="s">
        <v>117</v>
      </c>
      <c r="Z156" s="1791" t="s">
        <v>117</v>
      </c>
      <c r="AA156" s="1792" t="s">
        <v>2174</v>
      </c>
    </row>
    <row r="157" spans="1:27" x14ac:dyDescent="0.2">
      <c r="A157" s="1780" t="s">
        <v>1480</v>
      </c>
      <c r="B157" s="1781">
        <v>72</v>
      </c>
      <c r="C157" s="1782" t="s">
        <v>1979</v>
      </c>
      <c r="D157" s="1783">
        <v>49</v>
      </c>
      <c r="E157" s="1784">
        <v>0.625</v>
      </c>
      <c r="F157" s="1785">
        <v>0</v>
      </c>
      <c r="G157" s="1786">
        <v>1.375</v>
      </c>
      <c r="H157" s="1786" t="s">
        <v>114</v>
      </c>
      <c r="I157" s="1787" t="s">
        <v>117</v>
      </c>
      <c r="L157" s="1786">
        <v>3</v>
      </c>
      <c r="M157" s="1788">
        <v>3</v>
      </c>
      <c r="Q157" s="1787" t="s">
        <v>117</v>
      </c>
      <c r="W157" s="1790" t="s">
        <v>117</v>
      </c>
      <c r="X157" s="1791">
        <v>0</v>
      </c>
      <c r="Y157" s="1792" t="s">
        <v>117</v>
      </c>
      <c r="Z157" s="1791" t="s">
        <v>117</v>
      </c>
      <c r="AA157" s="1792" t="s">
        <v>2175</v>
      </c>
    </row>
    <row r="158" spans="1:27" x14ac:dyDescent="0.2">
      <c r="A158" s="1780" t="s">
        <v>1481</v>
      </c>
      <c r="B158" s="1781">
        <v>1</v>
      </c>
      <c r="C158" s="1782" t="s">
        <v>1979</v>
      </c>
      <c r="D158" s="1783">
        <v>48</v>
      </c>
      <c r="E158" s="1784">
        <v>11.875</v>
      </c>
      <c r="F158" s="1785">
        <v>0</v>
      </c>
      <c r="G158" s="1786">
        <v>0.625</v>
      </c>
      <c r="H158" s="1786" t="s">
        <v>114</v>
      </c>
      <c r="I158" s="1787" t="s">
        <v>117</v>
      </c>
      <c r="L158" s="1786">
        <v>3</v>
      </c>
      <c r="M158" s="1788">
        <v>3</v>
      </c>
      <c r="N158" s="1785">
        <v>0</v>
      </c>
      <c r="O158" s="1786">
        <v>6.75</v>
      </c>
      <c r="P158" s="1786">
        <v>2</v>
      </c>
      <c r="Q158" s="1787" t="s">
        <v>117</v>
      </c>
      <c r="T158" s="1786">
        <v>0</v>
      </c>
      <c r="U158" s="1788">
        <v>1.5</v>
      </c>
      <c r="V158" s="1789">
        <v>0</v>
      </c>
      <c r="W158" s="1790">
        <v>1.125</v>
      </c>
      <c r="X158" s="1791">
        <v>4</v>
      </c>
      <c r="Y158" s="1792" t="s">
        <v>117</v>
      </c>
      <c r="Z158" s="1791" t="s">
        <v>117</v>
      </c>
      <c r="AA158" s="1792" t="s">
        <v>2176</v>
      </c>
    </row>
    <row r="159" spans="1:27" x14ac:dyDescent="0.2">
      <c r="A159" s="1780" t="s">
        <v>1482</v>
      </c>
      <c r="B159" s="1781">
        <v>5</v>
      </c>
      <c r="C159" s="1782" t="s">
        <v>1979</v>
      </c>
      <c r="D159" s="1783">
        <v>49</v>
      </c>
      <c r="E159" s="1784">
        <v>0.625</v>
      </c>
      <c r="F159" s="1785">
        <v>0</v>
      </c>
      <c r="G159" s="1786">
        <v>1.375</v>
      </c>
      <c r="H159" s="1786" t="s">
        <v>114</v>
      </c>
      <c r="I159" s="1787" t="s">
        <v>117</v>
      </c>
      <c r="L159" s="1786">
        <v>3</v>
      </c>
      <c r="M159" s="1788">
        <v>3</v>
      </c>
      <c r="Q159" s="1787" t="s">
        <v>117</v>
      </c>
      <c r="W159" s="1790" t="s">
        <v>117</v>
      </c>
      <c r="X159" s="1791">
        <v>0</v>
      </c>
      <c r="Y159" s="1792" t="s">
        <v>117</v>
      </c>
      <c r="Z159" s="1791" t="s">
        <v>117</v>
      </c>
      <c r="AA159" s="1792" t="s">
        <v>2177</v>
      </c>
    </row>
    <row r="160" spans="1:27" x14ac:dyDescent="0.2">
      <c r="A160" s="1780" t="s">
        <v>1483</v>
      </c>
      <c r="B160" s="1781">
        <v>8</v>
      </c>
      <c r="C160" s="1782" t="s">
        <v>1979</v>
      </c>
      <c r="D160" s="1783">
        <v>49</v>
      </c>
      <c r="E160" s="1784">
        <v>0.625</v>
      </c>
      <c r="F160" s="1785">
        <v>0</v>
      </c>
      <c r="G160" s="1786">
        <v>1.375</v>
      </c>
      <c r="H160" s="1786" t="s">
        <v>114</v>
      </c>
      <c r="I160" s="1787" t="s">
        <v>117</v>
      </c>
      <c r="L160" s="1786">
        <v>3</v>
      </c>
      <c r="M160" s="1788">
        <v>3</v>
      </c>
      <c r="Q160" s="1787" t="s">
        <v>117</v>
      </c>
      <c r="T160" s="1786">
        <v>0</v>
      </c>
      <c r="U160" s="1788">
        <v>2.25</v>
      </c>
      <c r="V160" s="1789">
        <v>0</v>
      </c>
      <c r="W160" s="1790">
        <v>1.125</v>
      </c>
      <c r="X160" s="1791">
        <v>4</v>
      </c>
      <c r="Y160" s="1792" t="s">
        <v>117</v>
      </c>
      <c r="Z160" s="1791" t="s">
        <v>117</v>
      </c>
      <c r="AA160" s="1792" t="s">
        <v>2175</v>
      </c>
    </row>
    <row r="161" spans="1:27" x14ac:dyDescent="0.2">
      <c r="A161" s="1780" t="s">
        <v>1484</v>
      </c>
      <c r="B161" s="1781">
        <v>2</v>
      </c>
      <c r="C161" s="1782" t="s">
        <v>1979</v>
      </c>
      <c r="D161" s="1783">
        <v>48</v>
      </c>
      <c r="E161" s="1784">
        <v>11.875</v>
      </c>
      <c r="F161" s="1785">
        <v>0</v>
      </c>
      <c r="G161" s="1786">
        <v>0.625</v>
      </c>
      <c r="H161" s="1786" t="s">
        <v>114</v>
      </c>
      <c r="I161" s="1787" t="s">
        <v>117</v>
      </c>
      <c r="L161" s="1786">
        <v>3</v>
      </c>
      <c r="M161" s="1788">
        <v>3</v>
      </c>
      <c r="N161" s="1785">
        <v>0</v>
      </c>
      <c r="O161" s="1786">
        <v>6.75</v>
      </c>
      <c r="P161" s="1786">
        <v>2</v>
      </c>
      <c r="Q161" s="1787" t="s">
        <v>117</v>
      </c>
      <c r="T161" s="1786">
        <v>0</v>
      </c>
      <c r="U161" s="1788">
        <v>1.5</v>
      </c>
      <c r="V161" s="1789">
        <v>0</v>
      </c>
      <c r="W161" s="1790">
        <v>1.125</v>
      </c>
      <c r="X161" s="1791">
        <v>4</v>
      </c>
      <c r="Y161" s="1792" t="s">
        <v>117</v>
      </c>
      <c r="Z161" s="1791" t="s">
        <v>117</v>
      </c>
      <c r="AA161" s="1792" t="s">
        <v>2178</v>
      </c>
    </row>
    <row r="162" spans="1:27" x14ac:dyDescent="0.2">
      <c r="A162" s="1780" t="s">
        <v>1485</v>
      </c>
      <c r="B162" s="1781">
        <v>4</v>
      </c>
      <c r="C162" s="1782" t="s">
        <v>1979</v>
      </c>
      <c r="D162" s="1783">
        <v>48</v>
      </c>
      <c r="E162" s="1784">
        <v>11.875</v>
      </c>
      <c r="F162" s="1785">
        <v>0</v>
      </c>
      <c r="G162" s="1786">
        <v>0.625</v>
      </c>
      <c r="H162" s="1786" t="s">
        <v>114</v>
      </c>
      <c r="I162" s="1787" t="s">
        <v>117</v>
      </c>
      <c r="L162" s="1786">
        <v>3</v>
      </c>
      <c r="M162" s="1788">
        <v>3</v>
      </c>
      <c r="N162" s="1785">
        <v>0</v>
      </c>
      <c r="O162" s="1786">
        <v>6.75</v>
      </c>
      <c r="P162" s="1786">
        <v>2</v>
      </c>
      <c r="Q162" s="1787" t="s">
        <v>117</v>
      </c>
      <c r="T162" s="1786">
        <v>0</v>
      </c>
      <c r="U162" s="1788">
        <v>1.5</v>
      </c>
      <c r="V162" s="1789">
        <v>0</v>
      </c>
      <c r="W162" s="1790">
        <v>1.125</v>
      </c>
      <c r="X162" s="1791">
        <v>4</v>
      </c>
      <c r="Y162" s="1792" t="s">
        <v>117</v>
      </c>
      <c r="Z162" s="1791" t="s">
        <v>117</v>
      </c>
      <c r="AA162" s="1792" t="s">
        <v>2179</v>
      </c>
    </row>
    <row r="163" spans="1:27" x14ac:dyDescent="0.2">
      <c r="A163" s="1780" t="s">
        <v>1486</v>
      </c>
      <c r="B163" s="1781">
        <v>3</v>
      </c>
      <c r="C163" s="1782" t="s">
        <v>1979</v>
      </c>
      <c r="D163" s="1783">
        <v>49</v>
      </c>
      <c r="E163" s="1784">
        <v>0.625</v>
      </c>
      <c r="F163" s="1785">
        <v>0</v>
      </c>
      <c r="G163" s="1786">
        <v>1.375</v>
      </c>
      <c r="H163" s="1786" t="s">
        <v>114</v>
      </c>
      <c r="I163" s="1787" t="s">
        <v>117</v>
      </c>
      <c r="L163" s="1786">
        <v>3</v>
      </c>
      <c r="M163" s="1788">
        <v>3</v>
      </c>
      <c r="Q163" s="1787" t="s">
        <v>117</v>
      </c>
      <c r="T163" s="1786">
        <v>0</v>
      </c>
      <c r="U163" s="1788">
        <v>2.25</v>
      </c>
      <c r="V163" s="1789">
        <v>0</v>
      </c>
      <c r="W163" s="1790">
        <v>1.125</v>
      </c>
      <c r="X163" s="1791">
        <v>4</v>
      </c>
      <c r="Y163" s="1792" t="s">
        <v>117</v>
      </c>
      <c r="Z163" s="1791" t="s">
        <v>117</v>
      </c>
      <c r="AA163" s="1792" t="s">
        <v>2174</v>
      </c>
    </row>
    <row r="164" spans="1:27" x14ac:dyDescent="0.2">
      <c r="A164" s="1780" t="s">
        <v>1487</v>
      </c>
      <c r="B164" s="1781">
        <v>4</v>
      </c>
      <c r="C164" s="1782" t="s">
        <v>1979</v>
      </c>
      <c r="D164" s="1783">
        <v>49</v>
      </c>
      <c r="E164" s="1784">
        <v>0.625</v>
      </c>
      <c r="F164" s="1785">
        <v>0</v>
      </c>
      <c r="G164" s="1786">
        <v>1.375</v>
      </c>
      <c r="H164" s="1786" t="s">
        <v>114</v>
      </c>
      <c r="I164" s="1787" t="s">
        <v>117</v>
      </c>
      <c r="L164" s="1786">
        <v>3</v>
      </c>
      <c r="M164" s="1788">
        <v>3</v>
      </c>
      <c r="Q164" s="1787" t="s">
        <v>117</v>
      </c>
      <c r="T164" s="1786">
        <v>0</v>
      </c>
      <c r="U164" s="1788">
        <v>2.25</v>
      </c>
      <c r="V164" s="1789">
        <v>0</v>
      </c>
      <c r="W164" s="1790">
        <v>1.125</v>
      </c>
      <c r="X164" s="1791">
        <v>4</v>
      </c>
      <c r="Y164" s="1792" t="s">
        <v>117</v>
      </c>
      <c r="Z164" s="1791" t="s">
        <v>117</v>
      </c>
      <c r="AA164" s="1792" t="s">
        <v>2177</v>
      </c>
    </row>
    <row r="165" spans="1:27" x14ac:dyDescent="0.2">
      <c r="A165" s="1780" t="s">
        <v>1488</v>
      </c>
      <c r="B165" s="1781">
        <v>1</v>
      </c>
      <c r="C165" s="1782" t="s">
        <v>1978</v>
      </c>
      <c r="D165" s="1783">
        <v>63</v>
      </c>
      <c r="E165" s="1784">
        <v>3.5</v>
      </c>
      <c r="I165" s="1787">
        <v>4</v>
      </c>
      <c r="J165" s="1786">
        <v>4.25</v>
      </c>
      <c r="K165" s="1786" t="s">
        <v>114</v>
      </c>
      <c r="L165" s="1786">
        <v>3</v>
      </c>
      <c r="M165" s="1788">
        <v>3</v>
      </c>
      <c r="Q165" s="1787" t="s">
        <v>117</v>
      </c>
      <c r="W165" s="1790" t="s">
        <v>117</v>
      </c>
      <c r="X165" s="1791">
        <v>0</v>
      </c>
      <c r="Y165" s="1792" t="s">
        <v>117</v>
      </c>
      <c r="Z165" s="1791" t="s">
        <v>117</v>
      </c>
      <c r="AA165" s="1792" t="s">
        <v>2180</v>
      </c>
    </row>
    <row r="166" spans="1:27" x14ac:dyDescent="0.2">
      <c r="A166" s="1780" t="s">
        <v>1489</v>
      </c>
      <c r="B166" s="1781">
        <v>13</v>
      </c>
      <c r="C166" s="1782" t="s">
        <v>1978</v>
      </c>
      <c r="D166" s="1783">
        <v>59</v>
      </c>
      <c r="E166" s="1784">
        <v>0.625</v>
      </c>
      <c r="I166" s="1787">
        <v>0</v>
      </c>
      <c r="J166" s="1786">
        <v>1.375</v>
      </c>
      <c r="K166" s="1786" t="s">
        <v>114</v>
      </c>
      <c r="L166" s="1786">
        <v>3</v>
      </c>
      <c r="M166" s="1788">
        <v>3</v>
      </c>
      <c r="Q166" s="1787" t="s">
        <v>117</v>
      </c>
      <c r="W166" s="1790" t="s">
        <v>117</v>
      </c>
      <c r="X166" s="1791">
        <v>0</v>
      </c>
      <c r="Y166" s="1792" t="s">
        <v>117</v>
      </c>
      <c r="Z166" s="1791" t="s">
        <v>117</v>
      </c>
      <c r="AA166" s="1792" t="s">
        <v>2181</v>
      </c>
    </row>
    <row r="167" spans="1:27" x14ac:dyDescent="0.2">
      <c r="A167" s="1780" t="s">
        <v>1490</v>
      </c>
      <c r="B167" s="1781">
        <v>2</v>
      </c>
      <c r="C167" s="1782" t="s">
        <v>1978</v>
      </c>
      <c r="D167" s="1783">
        <v>59</v>
      </c>
      <c r="E167" s="1784">
        <v>0.625</v>
      </c>
      <c r="I167" s="1787">
        <v>0</v>
      </c>
      <c r="J167" s="1786">
        <v>1.375</v>
      </c>
      <c r="K167" s="1786" t="s">
        <v>114</v>
      </c>
      <c r="L167" s="1786">
        <v>3</v>
      </c>
      <c r="M167" s="1788">
        <v>3</v>
      </c>
      <c r="Q167" s="1787" t="s">
        <v>117</v>
      </c>
      <c r="W167" s="1790" t="s">
        <v>117</v>
      </c>
      <c r="X167" s="1791">
        <v>0</v>
      </c>
      <c r="Y167" s="1792" t="s">
        <v>117</v>
      </c>
      <c r="Z167" s="1791" t="s">
        <v>117</v>
      </c>
      <c r="AA167" s="1792" t="s">
        <v>2182</v>
      </c>
    </row>
    <row r="168" spans="1:27" x14ac:dyDescent="0.2">
      <c r="A168" s="1780" t="s">
        <v>1491</v>
      </c>
      <c r="B168" s="1781">
        <v>1</v>
      </c>
      <c r="C168" s="1782" t="s">
        <v>1978</v>
      </c>
      <c r="D168" s="1783">
        <v>58</v>
      </c>
      <c r="E168" s="1784">
        <v>11.875</v>
      </c>
      <c r="I168" s="1787">
        <v>0</v>
      </c>
      <c r="J168" s="1786">
        <v>0.625</v>
      </c>
      <c r="K168" s="1786" t="s">
        <v>114</v>
      </c>
      <c r="L168" s="1786">
        <v>3</v>
      </c>
      <c r="M168" s="1788">
        <v>3</v>
      </c>
      <c r="Q168" s="1787">
        <v>0</v>
      </c>
      <c r="R168" s="1786">
        <v>6.625</v>
      </c>
      <c r="S168" s="1786">
        <v>2</v>
      </c>
      <c r="T168" s="1786">
        <v>0</v>
      </c>
      <c r="U168" s="1788">
        <v>1.125</v>
      </c>
      <c r="V168" s="1789">
        <v>0</v>
      </c>
      <c r="W168" s="1790">
        <v>1.5</v>
      </c>
      <c r="X168" s="1791">
        <v>4</v>
      </c>
      <c r="Y168" s="1792" t="s">
        <v>117</v>
      </c>
      <c r="Z168" s="1791" t="s">
        <v>117</v>
      </c>
      <c r="AA168" s="1792" t="s">
        <v>2181</v>
      </c>
    </row>
    <row r="169" spans="1:27" x14ac:dyDescent="0.2">
      <c r="A169" s="1780" t="s">
        <v>1492</v>
      </c>
      <c r="B169" s="1781">
        <v>2</v>
      </c>
      <c r="C169" s="1782" t="s">
        <v>1978</v>
      </c>
      <c r="D169" s="1783">
        <v>59</v>
      </c>
      <c r="E169" s="1784">
        <v>0.625</v>
      </c>
      <c r="I169" s="1787">
        <v>0</v>
      </c>
      <c r="J169" s="1786">
        <v>1.375</v>
      </c>
      <c r="K169" s="1786" t="s">
        <v>114</v>
      </c>
      <c r="L169" s="1786">
        <v>3</v>
      </c>
      <c r="M169" s="1788">
        <v>3</v>
      </c>
      <c r="Q169" s="1787" t="s">
        <v>117</v>
      </c>
      <c r="T169" s="1786">
        <v>0</v>
      </c>
      <c r="U169" s="1788">
        <v>1.125</v>
      </c>
      <c r="V169" s="1789">
        <v>0</v>
      </c>
      <c r="W169" s="1790">
        <v>2.25</v>
      </c>
      <c r="X169" s="1791">
        <v>4</v>
      </c>
      <c r="Y169" s="1792" t="s">
        <v>117</v>
      </c>
      <c r="Z169" s="1791" t="s">
        <v>117</v>
      </c>
      <c r="AA169" s="1792" t="s">
        <v>2181</v>
      </c>
    </row>
    <row r="170" spans="1:27" x14ac:dyDescent="0.2">
      <c r="A170" s="1780" t="s">
        <v>1493</v>
      </c>
      <c r="B170" s="1781">
        <v>1</v>
      </c>
      <c r="C170" s="1782" t="s">
        <v>1978</v>
      </c>
      <c r="D170" s="1783">
        <v>59</v>
      </c>
      <c r="E170" s="1784">
        <v>0.625</v>
      </c>
      <c r="I170" s="1787">
        <v>0</v>
      </c>
      <c r="J170" s="1786">
        <v>1.375</v>
      </c>
      <c r="K170" s="1786" t="s">
        <v>114</v>
      </c>
      <c r="L170" s="1786">
        <v>3</v>
      </c>
      <c r="M170" s="1788">
        <v>3</v>
      </c>
      <c r="Q170" s="1787" t="s">
        <v>117</v>
      </c>
      <c r="W170" s="1790" t="s">
        <v>117</v>
      </c>
      <c r="X170" s="1791">
        <v>0</v>
      </c>
      <c r="Y170" s="1792" t="s">
        <v>117</v>
      </c>
      <c r="Z170" s="1791" t="s">
        <v>117</v>
      </c>
      <c r="AA170" s="1792" t="s">
        <v>2184</v>
      </c>
    </row>
    <row r="171" spans="1:27" x14ac:dyDescent="0.2">
      <c r="A171" s="1780" t="s">
        <v>1494</v>
      </c>
      <c r="B171" s="1781">
        <v>1</v>
      </c>
      <c r="C171" s="1782" t="s">
        <v>1980</v>
      </c>
      <c r="D171" s="1783">
        <v>15</v>
      </c>
      <c r="E171" s="1784">
        <v>4.625</v>
      </c>
      <c r="F171" s="1785">
        <v>0</v>
      </c>
      <c r="G171" s="1786">
        <v>1.375</v>
      </c>
      <c r="H171" s="1786" t="s">
        <v>114</v>
      </c>
      <c r="I171" s="1787">
        <v>0</v>
      </c>
      <c r="J171" s="1786">
        <v>0.25</v>
      </c>
      <c r="K171" s="1786" t="s">
        <v>114</v>
      </c>
      <c r="L171" s="1786">
        <v>3</v>
      </c>
      <c r="M171" s="1788">
        <v>3</v>
      </c>
      <c r="Q171" s="1787" t="s">
        <v>117</v>
      </c>
      <c r="W171" s="1790" t="s">
        <v>117</v>
      </c>
      <c r="X171" s="1791">
        <v>0</v>
      </c>
      <c r="Y171" s="1792" t="s">
        <v>117</v>
      </c>
      <c r="Z171" s="1791" t="s">
        <v>117</v>
      </c>
      <c r="AA171" s="1792" t="s">
        <v>2185</v>
      </c>
    </row>
    <row r="172" spans="1:27" x14ac:dyDescent="0.2">
      <c r="A172" s="1780" t="s">
        <v>1495</v>
      </c>
      <c r="B172" s="1781">
        <v>1</v>
      </c>
      <c r="C172" s="1782" t="s">
        <v>1980</v>
      </c>
      <c r="D172" s="1783">
        <v>26</v>
      </c>
      <c r="E172" s="1784">
        <v>6.875</v>
      </c>
      <c r="F172" s="1785">
        <v>0</v>
      </c>
      <c r="G172" s="1786">
        <v>1.375</v>
      </c>
      <c r="H172" s="1786" t="s">
        <v>114</v>
      </c>
      <c r="I172" s="1787">
        <v>0</v>
      </c>
      <c r="J172" s="1786">
        <v>0.25</v>
      </c>
      <c r="K172" s="1786" t="s">
        <v>114</v>
      </c>
      <c r="L172" s="1786">
        <v>3</v>
      </c>
      <c r="M172" s="1788">
        <v>3</v>
      </c>
      <c r="Q172" s="1787" t="s">
        <v>117</v>
      </c>
      <c r="W172" s="1790" t="s">
        <v>117</v>
      </c>
      <c r="X172" s="1791">
        <v>0</v>
      </c>
      <c r="Y172" s="1792" t="s">
        <v>117</v>
      </c>
      <c r="Z172" s="1791" t="s">
        <v>117</v>
      </c>
      <c r="AA172" s="1792" t="s">
        <v>2186</v>
      </c>
    </row>
    <row r="173" spans="1:27" x14ac:dyDescent="0.2">
      <c r="A173" s="1780" t="s">
        <v>1496</v>
      </c>
      <c r="B173" s="1781">
        <v>1</v>
      </c>
      <c r="C173" s="1782" t="s">
        <v>1980</v>
      </c>
      <c r="D173" s="1783">
        <v>37</v>
      </c>
      <c r="E173" s="1784">
        <v>9</v>
      </c>
      <c r="F173" s="1785">
        <v>0</v>
      </c>
      <c r="G173" s="1786">
        <v>1.375</v>
      </c>
      <c r="H173" s="1786" t="s">
        <v>114</v>
      </c>
      <c r="I173" s="1787">
        <v>0</v>
      </c>
      <c r="J173" s="1786">
        <v>0.25</v>
      </c>
      <c r="K173" s="1786" t="s">
        <v>114</v>
      </c>
      <c r="L173" s="1786">
        <v>3</v>
      </c>
      <c r="M173" s="1788">
        <v>3</v>
      </c>
      <c r="Q173" s="1787" t="s">
        <v>117</v>
      </c>
      <c r="W173" s="1790" t="s">
        <v>117</v>
      </c>
      <c r="X173" s="1791">
        <v>0</v>
      </c>
      <c r="Y173" s="1792" t="s">
        <v>117</v>
      </c>
      <c r="Z173" s="1791" t="s">
        <v>117</v>
      </c>
      <c r="AA173" s="1792" t="s">
        <v>2187</v>
      </c>
    </row>
    <row r="174" spans="1:27" x14ac:dyDescent="0.2">
      <c r="A174" s="1780" t="s">
        <v>1497</v>
      </c>
      <c r="B174" s="1781">
        <v>1</v>
      </c>
      <c r="C174" s="1782" t="s">
        <v>1979</v>
      </c>
      <c r="D174" s="1783">
        <v>48</v>
      </c>
      <c r="E174" s="1784">
        <v>11.25</v>
      </c>
      <c r="F174" s="1785">
        <v>0</v>
      </c>
      <c r="G174" s="1786">
        <v>1.375</v>
      </c>
      <c r="H174" s="1786" t="s">
        <v>114</v>
      </c>
      <c r="I174" s="1787">
        <v>0</v>
      </c>
      <c r="J174" s="1786">
        <v>0.25</v>
      </c>
      <c r="K174" s="1786" t="s">
        <v>114</v>
      </c>
      <c r="L174" s="1786">
        <v>3</v>
      </c>
      <c r="M174" s="1788">
        <v>3</v>
      </c>
      <c r="Q174" s="1787" t="s">
        <v>117</v>
      </c>
      <c r="W174" s="1790" t="s">
        <v>117</v>
      </c>
      <c r="X174" s="1791">
        <v>0</v>
      </c>
      <c r="Y174" s="1792" t="s">
        <v>117</v>
      </c>
      <c r="Z174" s="1791" t="s">
        <v>117</v>
      </c>
      <c r="AA174" s="1792" t="s">
        <v>2188</v>
      </c>
    </row>
    <row r="175" spans="1:27" x14ac:dyDescent="0.2">
      <c r="A175" s="1780" t="s">
        <v>1498</v>
      </c>
      <c r="B175" s="1781">
        <v>1</v>
      </c>
      <c r="C175" s="1782" t="s">
        <v>1978</v>
      </c>
      <c r="D175" s="1783">
        <v>59</v>
      </c>
      <c r="E175" s="1784">
        <v>11.5</v>
      </c>
      <c r="F175" s="1785">
        <v>0</v>
      </c>
      <c r="G175" s="1786">
        <v>1.375</v>
      </c>
      <c r="H175" s="1786" t="s">
        <v>114</v>
      </c>
      <c r="I175" s="1787">
        <v>0</v>
      </c>
      <c r="J175" s="1786">
        <v>1.375</v>
      </c>
      <c r="K175" s="1786" t="s">
        <v>114</v>
      </c>
      <c r="L175" s="1786">
        <v>3</v>
      </c>
      <c r="M175" s="1788">
        <v>3</v>
      </c>
      <c r="Q175" s="1787" t="s">
        <v>117</v>
      </c>
      <c r="W175" s="1790" t="s">
        <v>117</v>
      </c>
      <c r="X175" s="1791">
        <v>0</v>
      </c>
      <c r="Y175" s="1792" t="s">
        <v>117</v>
      </c>
      <c r="Z175" s="1791" t="s">
        <v>117</v>
      </c>
      <c r="AA175" s="1792" t="s">
        <v>2189</v>
      </c>
    </row>
    <row r="176" spans="1:27" x14ac:dyDescent="0.2">
      <c r="A176" s="1780" t="s">
        <v>1499</v>
      </c>
      <c r="B176" s="1781">
        <v>2</v>
      </c>
      <c r="C176" s="1782" t="s">
        <v>1978</v>
      </c>
      <c r="D176" s="1783">
        <v>59</v>
      </c>
      <c r="E176" s="1784">
        <v>10</v>
      </c>
      <c r="F176" s="1785">
        <v>0</v>
      </c>
      <c r="G176" s="1786">
        <v>0.625</v>
      </c>
      <c r="H176" s="1786" t="s">
        <v>114</v>
      </c>
      <c r="I176" s="1787">
        <v>0</v>
      </c>
      <c r="J176" s="1786">
        <v>0.625</v>
      </c>
      <c r="K176" s="1786" t="s">
        <v>114</v>
      </c>
      <c r="L176" s="1786">
        <v>3</v>
      </c>
      <c r="M176" s="1788">
        <v>3</v>
      </c>
      <c r="N176" s="1785">
        <v>0</v>
      </c>
      <c r="O176" s="1786">
        <v>6</v>
      </c>
      <c r="P176" s="1786">
        <v>2</v>
      </c>
      <c r="Q176" s="1787">
        <v>0</v>
      </c>
      <c r="R176" s="1786">
        <v>6</v>
      </c>
      <c r="S176" s="1786">
        <v>2</v>
      </c>
      <c r="T176" s="1786">
        <v>0</v>
      </c>
      <c r="U176" s="1788">
        <v>1.5</v>
      </c>
      <c r="V176" s="1789">
        <v>0</v>
      </c>
      <c r="W176" s="1790">
        <v>1.5</v>
      </c>
      <c r="X176" s="1791">
        <v>4</v>
      </c>
      <c r="Y176" s="1792" t="s">
        <v>117</v>
      </c>
      <c r="Z176" s="1791" t="s">
        <v>117</v>
      </c>
      <c r="AA176" s="1792" t="s">
        <v>2095</v>
      </c>
    </row>
    <row r="177" spans="1:27" x14ac:dyDescent="0.2">
      <c r="A177" s="1780" t="s">
        <v>1500</v>
      </c>
      <c r="B177" s="1781">
        <v>2</v>
      </c>
      <c r="C177" s="1782" t="s">
        <v>1978</v>
      </c>
      <c r="D177" s="1783">
        <v>59</v>
      </c>
      <c r="E177" s="1784">
        <v>11.5</v>
      </c>
      <c r="F177" s="1785">
        <v>0</v>
      </c>
      <c r="G177" s="1786">
        <v>1.375</v>
      </c>
      <c r="H177" s="1786" t="s">
        <v>114</v>
      </c>
      <c r="I177" s="1787">
        <v>0</v>
      </c>
      <c r="J177" s="1786">
        <v>1.375</v>
      </c>
      <c r="K177" s="1786" t="s">
        <v>114</v>
      </c>
      <c r="L177" s="1786">
        <v>3</v>
      </c>
      <c r="M177" s="1788">
        <v>3</v>
      </c>
      <c r="Q177" s="1787" t="s">
        <v>117</v>
      </c>
      <c r="W177" s="1790" t="s">
        <v>117</v>
      </c>
      <c r="X177" s="1791">
        <v>0</v>
      </c>
      <c r="Y177" s="1792" t="s">
        <v>117</v>
      </c>
      <c r="Z177" s="1791" t="s">
        <v>117</v>
      </c>
      <c r="AA177" s="1792" t="s">
        <v>2190</v>
      </c>
    </row>
    <row r="178" spans="1:27" x14ac:dyDescent="0.2">
      <c r="A178" s="1780" t="s">
        <v>1501</v>
      </c>
      <c r="B178" s="1781">
        <v>1</v>
      </c>
      <c r="C178" s="1782" t="s">
        <v>1978</v>
      </c>
      <c r="D178" s="1783">
        <v>59</v>
      </c>
      <c r="E178" s="1784">
        <v>11.5</v>
      </c>
      <c r="F178" s="1785">
        <v>0</v>
      </c>
      <c r="G178" s="1786">
        <v>1.375</v>
      </c>
      <c r="H178" s="1786" t="s">
        <v>114</v>
      </c>
      <c r="I178" s="1787">
        <v>0</v>
      </c>
      <c r="J178" s="1786">
        <v>1.375</v>
      </c>
      <c r="K178" s="1786" t="s">
        <v>114</v>
      </c>
      <c r="L178" s="1786">
        <v>3</v>
      </c>
      <c r="M178" s="1788">
        <v>3</v>
      </c>
      <c r="Q178" s="1787" t="s">
        <v>117</v>
      </c>
      <c r="W178" s="1790" t="s">
        <v>117</v>
      </c>
      <c r="X178" s="1791">
        <v>0</v>
      </c>
      <c r="Y178" s="1792" t="s">
        <v>117</v>
      </c>
      <c r="Z178" s="1791" t="s">
        <v>117</v>
      </c>
      <c r="AA178" s="1792" t="s">
        <v>2191</v>
      </c>
    </row>
    <row r="179" spans="1:27" x14ac:dyDescent="0.2">
      <c r="A179" s="1780" t="s">
        <v>1502</v>
      </c>
      <c r="B179" s="1781">
        <v>1</v>
      </c>
      <c r="C179" s="1782" t="s">
        <v>1978</v>
      </c>
      <c r="D179" s="1783">
        <v>59</v>
      </c>
      <c r="E179" s="1784">
        <v>0.625</v>
      </c>
      <c r="I179" s="1787">
        <v>0</v>
      </c>
      <c r="J179" s="1786">
        <v>1.375</v>
      </c>
      <c r="K179" s="1786" t="s">
        <v>114</v>
      </c>
      <c r="L179" s="1786">
        <v>3</v>
      </c>
      <c r="M179" s="1788">
        <v>3</v>
      </c>
      <c r="Q179" s="1787" t="s">
        <v>117</v>
      </c>
      <c r="W179" s="1790" t="s">
        <v>117</v>
      </c>
      <c r="X179" s="1791">
        <v>0</v>
      </c>
      <c r="Y179" s="1792" t="s">
        <v>117</v>
      </c>
      <c r="Z179" s="1791" t="s">
        <v>117</v>
      </c>
      <c r="AA179" s="1792" t="s">
        <v>2192</v>
      </c>
    </row>
    <row r="180" spans="1:27" x14ac:dyDescent="0.2">
      <c r="A180" s="1780" t="s">
        <v>1503</v>
      </c>
      <c r="B180" s="1781">
        <v>1</v>
      </c>
      <c r="C180" s="1782" t="s">
        <v>1978</v>
      </c>
      <c r="D180" s="1783">
        <v>59</v>
      </c>
      <c r="E180" s="1784">
        <v>0.625</v>
      </c>
      <c r="I180" s="1787">
        <v>0</v>
      </c>
      <c r="J180" s="1786">
        <v>1.375</v>
      </c>
      <c r="K180" s="1786" t="s">
        <v>114</v>
      </c>
      <c r="L180" s="1786">
        <v>3</v>
      </c>
      <c r="M180" s="1788">
        <v>3</v>
      </c>
      <c r="Q180" s="1787" t="s">
        <v>117</v>
      </c>
      <c r="W180" s="1790" t="s">
        <v>117</v>
      </c>
      <c r="X180" s="1791">
        <v>0</v>
      </c>
      <c r="Y180" s="1792" t="s">
        <v>117</v>
      </c>
      <c r="Z180" s="1791" t="s">
        <v>117</v>
      </c>
      <c r="AA180" s="1792" t="s">
        <v>2193</v>
      </c>
    </row>
    <row r="181" spans="1:27" x14ac:dyDescent="0.2">
      <c r="A181" s="1780" t="s">
        <v>1504</v>
      </c>
      <c r="B181" s="1781">
        <v>1</v>
      </c>
      <c r="C181" s="1782" t="s">
        <v>1978</v>
      </c>
      <c r="D181" s="1783">
        <v>59</v>
      </c>
      <c r="E181" s="1784">
        <v>0.625</v>
      </c>
      <c r="I181" s="1787">
        <v>0</v>
      </c>
      <c r="J181" s="1786">
        <v>1.375</v>
      </c>
      <c r="K181" s="1786" t="s">
        <v>114</v>
      </c>
      <c r="L181" s="1786">
        <v>3</v>
      </c>
      <c r="M181" s="1788">
        <v>3</v>
      </c>
      <c r="Q181" s="1787" t="s">
        <v>117</v>
      </c>
      <c r="W181" s="1790" t="s">
        <v>117</v>
      </c>
      <c r="X181" s="1791">
        <v>0</v>
      </c>
      <c r="Y181" s="1792" t="s">
        <v>117</v>
      </c>
      <c r="Z181" s="1791" t="s">
        <v>117</v>
      </c>
      <c r="AA181" s="1792" t="s">
        <v>2194</v>
      </c>
    </row>
    <row r="182" spans="1:27" x14ac:dyDescent="0.2">
      <c r="A182" s="1780" t="s">
        <v>1505</v>
      </c>
      <c r="B182" s="1781">
        <v>7</v>
      </c>
      <c r="C182" s="1782" t="s">
        <v>1978</v>
      </c>
      <c r="D182" s="1783">
        <v>59</v>
      </c>
      <c r="E182" s="1784">
        <v>0.625</v>
      </c>
      <c r="I182" s="1787">
        <v>0</v>
      </c>
      <c r="J182" s="1786">
        <v>1.375</v>
      </c>
      <c r="K182" s="1786" t="s">
        <v>114</v>
      </c>
      <c r="L182" s="1786">
        <v>3</v>
      </c>
      <c r="M182" s="1788">
        <v>3</v>
      </c>
      <c r="Q182" s="1787" t="s">
        <v>117</v>
      </c>
      <c r="W182" s="1790" t="s">
        <v>117</v>
      </c>
      <c r="X182" s="1791">
        <v>0</v>
      </c>
      <c r="Y182" s="1792" t="s">
        <v>117</v>
      </c>
      <c r="Z182" s="1791" t="s">
        <v>117</v>
      </c>
      <c r="AA182" s="1792" t="s">
        <v>2195</v>
      </c>
    </row>
    <row r="183" spans="1:27" x14ac:dyDescent="0.2">
      <c r="A183" s="1780" t="s">
        <v>1506</v>
      </c>
      <c r="B183" s="1781">
        <v>2</v>
      </c>
      <c r="C183" s="1782" t="s">
        <v>1978</v>
      </c>
      <c r="D183" s="1783">
        <v>59</v>
      </c>
      <c r="E183" s="1784">
        <v>0.625</v>
      </c>
      <c r="I183" s="1787">
        <v>0</v>
      </c>
      <c r="J183" s="1786">
        <v>1.375</v>
      </c>
      <c r="K183" s="1786" t="s">
        <v>114</v>
      </c>
      <c r="L183" s="1786">
        <v>3</v>
      </c>
      <c r="M183" s="1788">
        <v>3</v>
      </c>
      <c r="Q183" s="1787" t="s">
        <v>117</v>
      </c>
      <c r="T183" s="1786">
        <v>0</v>
      </c>
      <c r="U183" s="1788">
        <v>1.125</v>
      </c>
      <c r="V183" s="1789">
        <v>0</v>
      </c>
      <c r="W183" s="1790">
        <v>2.25</v>
      </c>
      <c r="X183" s="1791">
        <v>4</v>
      </c>
      <c r="Y183" s="1792" t="s">
        <v>117</v>
      </c>
      <c r="Z183" s="1791" t="s">
        <v>117</v>
      </c>
      <c r="AA183" s="1792" t="s">
        <v>2196</v>
      </c>
    </row>
    <row r="184" spans="1:27" x14ac:dyDescent="0.2">
      <c r="A184" s="1780" t="s">
        <v>1507</v>
      </c>
      <c r="B184" s="1781">
        <v>1</v>
      </c>
      <c r="C184" s="1782" t="s">
        <v>1978</v>
      </c>
      <c r="D184" s="1783">
        <v>58</v>
      </c>
      <c r="E184" s="1784">
        <v>11.875</v>
      </c>
      <c r="I184" s="1787">
        <v>0</v>
      </c>
      <c r="J184" s="1786">
        <v>0.625</v>
      </c>
      <c r="K184" s="1786" t="s">
        <v>114</v>
      </c>
      <c r="L184" s="1786">
        <v>3</v>
      </c>
      <c r="M184" s="1788">
        <v>3</v>
      </c>
      <c r="Q184" s="1787">
        <v>0</v>
      </c>
      <c r="R184" s="1786">
        <v>6.625</v>
      </c>
      <c r="S184" s="1786">
        <v>2</v>
      </c>
      <c r="T184" s="1786">
        <v>0</v>
      </c>
      <c r="U184" s="1788">
        <v>1.125</v>
      </c>
      <c r="V184" s="1789">
        <v>0</v>
      </c>
      <c r="W184" s="1790">
        <v>1.5</v>
      </c>
      <c r="X184" s="1791">
        <v>4</v>
      </c>
      <c r="Y184" s="1792" t="s">
        <v>117</v>
      </c>
      <c r="Z184" s="1791" t="s">
        <v>117</v>
      </c>
      <c r="AA184" s="1792" t="s">
        <v>2194</v>
      </c>
    </row>
    <row r="185" spans="1:27" x14ac:dyDescent="0.2">
      <c r="A185" s="1780" t="s">
        <v>1508</v>
      </c>
      <c r="B185" s="1781">
        <v>1</v>
      </c>
      <c r="C185" s="1782" t="s">
        <v>1978</v>
      </c>
      <c r="D185" s="1783">
        <v>59</v>
      </c>
      <c r="E185" s="1784">
        <v>0.625</v>
      </c>
      <c r="I185" s="1787">
        <v>0</v>
      </c>
      <c r="J185" s="1786">
        <v>1.375</v>
      </c>
      <c r="K185" s="1786" t="s">
        <v>114</v>
      </c>
      <c r="L185" s="1786">
        <v>3</v>
      </c>
      <c r="M185" s="1788">
        <v>3</v>
      </c>
      <c r="Q185" s="1787" t="s">
        <v>117</v>
      </c>
      <c r="W185" s="1790" t="s">
        <v>117</v>
      </c>
      <c r="X185" s="1791">
        <v>0</v>
      </c>
      <c r="Y185" s="1792" t="s">
        <v>117</v>
      </c>
      <c r="Z185" s="1791" t="s">
        <v>117</v>
      </c>
      <c r="AA185" s="1792" t="s">
        <v>2197</v>
      </c>
    </row>
    <row r="186" spans="1:27" x14ac:dyDescent="0.2">
      <c r="A186" s="1780" t="s">
        <v>1509</v>
      </c>
      <c r="B186" s="1781">
        <v>1</v>
      </c>
      <c r="C186" s="1782" t="s">
        <v>1978</v>
      </c>
      <c r="D186" s="1783">
        <v>59</v>
      </c>
      <c r="E186" s="1784">
        <v>0.625</v>
      </c>
      <c r="I186" s="1787">
        <v>0</v>
      </c>
      <c r="J186" s="1786">
        <v>1.375</v>
      </c>
      <c r="K186" s="1786" t="s">
        <v>114</v>
      </c>
      <c r="L186" s="1786">
        <v>3</v>
      </c>
      <c r="M186" s="1788">
        <v>3</v>
      </c>
      <c r="Q186" s="1787" t="s">
        <v>117</v>
      </c>
      <c r="W186" s="1790" t="s">
        <v>117</v>
      </c>
      <c r="X186" s="1791">
        <v>0</v>
      </c>
      <c r="Y186" s="1792" t="s">
        <v>117</v>
      </c>
      <c r="Z186" s="1791" t="s">
        <v>117</v>
      </c>
      <c r="AA186" s="1792" t="s">
        <v>2198</v>
      </c>
    </row>
    <row r="187" spans="1:27" x14ac:dyDescent="0.2">
      <c r="A187" s="1780" t="s">
        <v>1510</v>
      </c>
      <c r="B187" s="1781">
        <v>4</v>
      </c>
      <c r="C187" s="1782" t="s">
        <v>1978</v>
      </c>
      <c r="D187" s="1783">
        <v>59</v>
      </c>
      <c r="E187" s="1784">
        <v>0.625</v>
      </c>
      <c r="I187" s="1787">
        <v>0</v>
      </c>
      <c r="J187" s="1786">
        <v>1.375</v>
      </c>
      <c r="K187" s="1786" t="s">
        <v>114</v>
      </c>
      <c r="L187" s="1786">
        <v>3</v>
      </c>
      <c r="M187" s="1788">
        <v>3</v>
      </c>
      <c r="Q187" s="1787" t="s">
        <v>117</v>
      </c>
      <c r="W187" s="1790" t="s">
        <v>117</v>
      </c>
      <c r="X187" s="1791">
        <v>0</v>
      </c>
      <c r="Y187" s="1792" t="s">
        <v>117</v>
      </c>
      <c r="Z187" s="1791" t="s">
        <v>117</v>
      </c>
      <c r="AA187" s="1792" t="s">
        <v>2199</v>
      </c>
    </row>
    <row r="188" spans="1:27" x14ac:dyDescent="0.2">
      <c r="A188" s="1780" t="s">
        <v>1511</v>
      </c>
      <c r="B188" s="1781">
        <v>1</v>
      </c>
      <c r="C188" s="1782" t="s">
        <v>1978</v>
      </c>
      <c r="D188" s="1783">
        <v>58</v>
      </c>
      <c r="E188" s="1784">
        <v>11.875</v>
      </c>
      <c r="I188" s="1787">
        <v>0</v>
      </c>
      <c r="J188" s="1786">
        <v>0.625</v>
      </c>
      <c r="K188" s="1786" t="s">
        <v>114</v>
      </c>
      <c r="L188" s="1786">
        <v>3</v>
      </c>
      <c r="M188" s="1788">
        <v>3</v>
      </c>
      <c r="Q188" s="1787">
        <v>0</v>
      </c>
      <c r="R188" s="1786">
        <v>6.625</v>
      </c>
      <c r="S188" s="1786">
        <v>2</v>
      </c>
      <c r="T188" s="1786">
        <v>0</v>
      </c>
      <c r="U188" s="1788">
        <v>1.125</v>
      </c>
      <c r="V188" s="1789">
        <v>0</v>
      </c>
      <c r="W188" s="1790">
        <v>1.5</v>
      </c>
      <c r="X188" s="1791">
        <v>4</v>
      </c>
      <c r="Y188" s="1792" t="s">
        <v>117</v>
      </c>
      <c r="Z188" s="1791" t="s">
        <v>117</v>
      </c>
      <c r="AA188" s="1792" t="s">
        <v>2200</v>
      </c>
    </row>
    <row r="189" spans="1:27" x14ac:dyDescent="0.2">
      <c r="A189" s="1780" t="s">
        <v>1512</v>
      </c>
      <c r="B189" s="1781">
        <v>1</v>
      </c>
      <c r="C189" s="1782" t="s">
        <v>1978</v>
      </c>
      <c r="D189" s="1783">
        <v>59</v>
      </c>
      <c r="E189" s="1784">
        <v>0.625</v>
      </c>
      <c r="I189" s="1787">
        <v>0</v>
      </c>
      <c r="J189" s="1786">
        <v>1.375</v>
      </c>
      <c r="K189" s="1786" t="s">
        <v>114</v>
      </c>
      <c r="L189" s="1786">
        <v>3</v>
      </c>
      <c r="M189" s="1788">
        <v>3</v>
      </c>
      <c r="Q189" s="1787" t="s">
        <v>117</v>
      </c>
      <c r="W189" s="1790" t="s">
        <v>117</v>
      </c>
      <c r="X189" s="1791">
        <v>0</v>
      </c>
      <c r="Y189" s="1792" t="s">
        <v>117</v>
      </c>
      <c r="Z189" s="1791" t="s">
        <v>117</v>
      </c>
      <c r="AA189" s="1792" t="s">
        <v>2201</v>
      </c>
    </row>
    <row r="190" spans="1:27" x14ac:dyDescent="0.2">
      <c r="A190" s="1780" t="s">
        <v>1513</v>
      </c>
      <c r="B190" s="1781">
        <v>1</v>
      </c>
      <c r="C190" s="1782" t="s">
        <v>1978</v>
      </c>
      <c r="D190" s="1783">
        <v>58</v>
      </c>
      <c r="E190" s="1784">
        <v>11.875</v>
      </c>
      <c r="I190" s="1787">
        <v>0</v>
      </c>
      <c r="J190" s="1786">
        <v>0.625</v>
      </c>
      <c r="K190" s="1786" t="s">
        <v>114</v>
      </c>
      <c r="L190" s="1786">
        <v>3</v>
      </c>
      <c r="M190" s="1788">
        <v>3</v>
      </c>
      <c r="Q190" s="1787">
        <v>0</v>
      </c>
      <c r="R190" s="1786">
        <v>6.625</v>
      </c>
      <c r="S190" s="1786">
        <v>2</v>
      </c>
      <c r="T190" s="1786">
        <v>0</v>
      </c>
      <c r="U190" s="1788">
        <v>1.125</v>
      </c>
      <c r="V190" s="1789">
        <v>0</v>
      </c>
      <c r="W190" s="1790">
        <v>1.5</v>
      </c>
      <c r="X190" s="1791">
        <v>4</v>
      </c>
      <c r="Y190" s="1792" t="s">
        <v>117</v>
      </c>
      <c r="Z190" s="1791" t="s">
        <v>117</v>
      </c>
      <c r="AA190" s="1792" t="s">
        <v>2164</v>
      </c>
    </row>
    <row r="191" spans="1:27" x14ac:dyDescent="0.2">
      <c r="A191" s="1780" t="s">
        <v>1514</v>
      </c>
      <c r="B191" s="1781">
        <v>1</v>
      </c>
      <c r="C191" s="1782" t="s">
        <v>1980</v>
      </c>
      <c r="D191" s="1783">
        <v>11</v>
      </c>
      <c r="E191" s="1784">
        <v>3.625</v>
      </c>
      <c r="F191" s="1785">
        <v>0</v>
      </c>
      <c r="G191" s="1786">
        <v>1.375</v>
      </c>
      <c r="H191" s="1786" t="s">
        <v>114</v>
      </c>
      <c r="I191" s="1787">
        <v>0</v>
      </c>
      <c r="J191" s="1786">
        <v>0.25</v>
      </c>
      <c r="K191" s="1786" t="s">
        <v>114</v>
      </c>
      <c r="L191" s="1786">
        <v>3</v>
      </c>
      <c r="M191" s="1788">
        <v>3</v>
      </c>
      <c r="Q191" s="1787" t="s">
        <v>117</v>
      </c>
      <c r="W191" s="1790" t="s">
        <v>117</v>
      </c>
      <c r="X191" s="1791">
        <v>0</v>
      </c>
      <c r="Y191" s="1792">
        <v>0.37999999030653597</v>
      </c>
      <c r="Z191" s="1791">
        <v>-0.37999999030653597</v>
      </c>
      <c r="AA191" s="1792" t="s">
        <v>2202</v>
      </c>
    </row>
    <row r="192" spans="1:27" x14ac:dyDescent="0.2">
      <c r="A192" s="1780" t="s">
        <v>1515</v>
      </c>
      <c r="B192" s="1781">
        <v>1</v>
      </c>
      <c r="C192" s="1782" t="s">
        <v>1980</v>
      </c>
      <c r="D192" s="1783">
        <v>22</v>
      </c>
      <c r="E192" s="1784">
        <v>5</v>
      </c>
      <c r="F192" s="1785">
        <v>0</v>
      </c>
      <c r="G192" s="1786">
        <v>0.625</v>
      </c>
      <c r="H192" s="1786" t="s">
        <v>114</v>
      </c>
      <c r="I192" s="1787">
        <v>0</v>
      </c>
      <c r="J192" s="1786">
        <v>0.25</v>
      </c>
      <c r="K192" s="1786" t="s">
        <v>114</v>
      </c>
      <c r="L192" s="1786">
        <v>3</v>
      </c>
      <c r="M192" s="1788">
        <v>3</v>
      </c>
      <c r="N192" s="1785">
        <v>0</v>
      </c>
      <c r="O192" s="1786">
        <v>5.125</v>
      </c>
      <c r="P192" s="1786">
        <v>2</v>
      </c>
      <c r="Q192" s="1787" t="s">
        <v>117</v>
      </c>
      <c r="T192" s="1786">
        <v>0</v>
      </c>
      <c r="U192" s="1788">
        <v>1.5</v>
      </c>
      <c r="V192" s="1789">
        <v>0</v>
      </c>
      <c r="W192" s="1790">
        <v>3.875</v>
      </c>
      <c r="X192" s="1791">
        <v>4</v>
      </c>
      <c r="Y192" s="1792">
        <v>0.38000000564150699</v>
      </c>
      <c r="Z192" s="1791">
        <v>-0.38000000564150699</v>
      </c>
      <c r="AA192" s="1792" t="s">
        <v>2203</v>
      </c>
    </row>
    <row r="193" spans="1:27" x14ac:dyDescent="0.2">
      <c r="A193" s="1780" t="s">
        <v>1516</v>
      </c>
      <c r="B193" s="1781">
        <v>1</v>
      </c>
      <c r="C193" s="1782" t="s">
        <v>1980</v>
      </c>
      <c r="D193" s="1783">
        <v>33</v>
      </c>
      <c r="E193" s="1784">
        <v>8</v>
      </c>
      <c r="F193" s="1785">
        <v>0</v>
      </c>
      <c r="G193" s="1786">
        <v>1.375</v>
      </c>
      <c r="H193" s="1786" t="s">
        <v>114</v>
      </c>
      <c r="I193" s="1787">
        <v>0</v>
      </c>
      <c r="J193" s="1786">
        <v>0.25</v>
      </c>
      <c r="K193" s="1786" t="s">
        <v>114</v>
      </c>
      <c r="L193" s="1786">
        <v>3</v>
      </c>
      <c r="M193" s="1788">
        <v>3</v>
      </c>
      <c r="Q193" s="1787" t="s">
        <v>117</v>
      </c>
      <c r="W193" s="1790" t="s">
        <v>117</v>
      </c>
      <c r="X193" s="1791">
        <v>0</v>
      </c>
      <c r="Y193" s="1792">
        <v>0.38000000905513598</v>
      </c>
      <c r="Z193" s="1791">
        <v>-0.38000000905513598</v>
      </c>
      <c r="AA193" s="1792" t="s">
        <v>2205</v>
      </c>
    </row>
    <row r="194" spans="1:27" x14ac:dyDescent="0.2">
      <c r="A194" s="1780" t="s">
        <v>1517</v>
      </c>
      <c r="B194" s="1781">
        <v>1</v>
      </c>
      <c r="C194" s="1782" t="s">
        <v>1979</v>
      </c>
      <c r="D194" s="1783">
        <v>44</v>
      </c>
      <c r="E194" s="1784">
        <v>10.5</v>
      </c>
      <c r="F194" s="1785">
        <v>0</v>
      </c>
      <c r="G194" s="1786">
        <v>1.375</v>
      </c>
      <c r="H194" s="1786" t="s">
        <v>114</v>
      </c>
      <c r="I194" s="1787">
        <v>0</v>
      </c>
      <c r="J194" s="1786">
        <v>0.25</v>
      </c>
      <c r="K194" s="1786" t="s">
        <v>114</v>
      </c>
      <c r="L194" s="1786">
        <v>3</v>
      </c>
      <c r="M194" s="1788">
        <v>3</v>
      </c>
      <c r="Q194" s="1787" t="s">
        <v>117</v>
      </c>
      <c r="T194" s="1786">
        <v>0</v>
      </c>
      <c r="U194" s="1788">
        <v>2.25</v>
      </c>
      <c r="V194" s="1789">
        <v>0</v>
      </c>
      <c r="W194" s="1790">
        <v>3.875</v>
      </c>
      <c r="X194" s="1791">
        <v>4</v>
      </c>
      <c r="Y194" s="1792">
        <v>0.38000000503426401</v>
      </c>
      <c r="Z194" s="1791">
        <v>-0.38000000503426401</v>
      </c>
      <c r="AA194" s="1792" t="s">
        <v>2206</v>
      </c>
    </row>
    <row r="195" spans="1:27" x14ac:dyDescent="0.2">
      <c r="A195" s="1780" t="s">
        <v>1518</v>
      </c>
      <c r="B195" s="1781">
        <v>1</v>
      </c>
      <c r="C195" s="1782" t="s">
        <v>1979</v>
      </c>
      <c r="D195" s="1783">
        <v>56</v>
      </c>
      <c r="E195" s="1784">
        <v>0.625</v>
      </c>
      <c r="F195" s="1785">
        <v>0</v>
      </c>
      <c r="G195" s="1786">
        <v>1.375</v>
      </c>
      <c r="H195" s="1786" t="s">
        <v>114</v>
      </c>
      <c r="I195" s="1787">
        <v>6</v>
      </c>
      <c r="J195" s="1786">
        <v>2.25</v>
      </c>
      <c r="K195" s="1786" t="s">
        <v>114</v>
      </c>
      <c r="L195" s="1786">
        <v>3</v>
      </c>
      <c r="M195" s="1788">
        <v>3</v>
      </c>
      <c r="Q195" s="1787" t="s">
        <v>117</v>
      </c>
      <c r="W195" s="1790" t="s">
        <v>117</v>
      </c>
      <c r="X195" s="1791">
        <v>0</v>
      </c>
      <c r="Y195" s="1792" t="s">
        <v>117</v>
      </c>
      <c r="Z195" s="1791" t="s">
        <v>117</v>
      </c>
      <c r="AA195" s="1792" t="s">
        <v>2207</v>
      </c>
    </row>
    <row r="196" spans="1:27" x14ac:dyDescent="0.2">
      <c r="A196" s="1780" t="s">
        <v>1519</v>
      </c>
      <c r="B196" s="1781">
        <v>1</v>
      </c>
      <c r="C196" s="1782" t="s">
        <v>1979</v>
      </c>
      <c r="D196" s="1783">
        <v>49</v>
      </c>
      <c r="E196" s="1784">
        <v>11.5</v>
      </c>
      <c r="F196" s="1785">
        <v>0</v>
      </c>
      <c r="G196" s="1786">
        <v>1.375</v>
      </c>
      <c r="H196" s="1786" t="s">
        <v>114</v>
      </c>
      <c r="I196" s="1787">
        <v>0</v>
      </c>
      <c r="J196" s="1786">
        <v>1.375</v>
      </c>
      <c r="K196" s="1786" t="s">
        <v>114</v>
      </c>
      <c r="L196" s="1786">
        <v>3</v>
      </c>
      <c r="M196" s="1788">
        <v>3</v>
      </c>
      <c r="Q196" s="1787" t="s">
        <v>117</v>
      </c>
      <c r="T196" s="1786">
        <v>0</v>
      </c>
      <c r="U196" s="1788">
        <v>2.25</v>
      </c>
      <c r="V196" s="1789">
        <v>0</v>
      </c>
      <c r="W196" s="1790">
        <v>2.25</v>
      </c>
      <c r="X196" s="1791">
        <v>4</v>
      </c>
      <c r="Y196" s="1792" t="s">
        <v>117</v>
      </c>
      <c r="Z196" s="1791" t="s">
        <v>117</v>
      </c>
      <c r="AA196" s="1792" t="s">
        <v>2208</v>
      </c>
    </row>
    <row r="197" spans="1:27" x14ac:dyDescent="0.2">
      <c r="A197" s="1780" t="s">
        <v>1520</v>
      </c>
      <c r="B197" s="1781">
        <v>1</v>
      </c>
      <c r="C197" s="1782" t="s">
        <v>1979</v>
      </c>
      <c r="D197" s="1783">
        <v>49</v>
      </c>
      <c r="E197" s="1784">
        <v>10</v>
      </c>
      <c r="F197" s="1785">
        <v>0</v>
      </c>
      <c r="G197" s="1786">
        <v>0.625</v>
      </c>
      <c r="H197" s="1786" t="s">
        <v>114</v>
      </c>
      <c r="I197" s="1787">
        <v>0</v>
      </c>
      <c r="J197" s="1786">
        <v>0.625</v>
      </c>
      <c r="K197" s="1786" t="s">
        <v>114</v>
      </c>
      <c r="L197" s="1786">
        <v>3</v>
      </c>
      <c r="M197" s="1788">
        <v>3</v>
      </c>
      <c r="N197" s="1785">
        <v>0</v>
      </c>
      <c r="O197" s="1786">
        <v>5.375</v>
      </c>
      <c r="P197" s="1786">
        <v>2</v>
      </c>
      <c r="Q197" s="1787">
        <v>0</v>
      </c>
      <c r="R197" s="1786">
        <v>6.625</v>
      </c>
      <c r="S197" s="1786">
        <v>2</v>
      </c>
      <c r="T197" s="1786">
        <v>0</v>
      </c>
      <c r="U197" s="1788">
        <v>1.5</v>
      </c>
      <c r="V197" s="1789">
        <v>0</v>
      </c>
      <c r="W197" s="1790">
        <v>1.5</v>
      </c>
      <c r="X197" s="1791">
        <v>4</v>
      </c>
      <c r="Y197" s="1792" t="s">
        <v>117</v>
      </c>
      <c r="Z197" s="1791" t="s">
        <v>117</v>
      </c>
      <c r="AA197" s="1792" t="s">
        <v>2102</v>
      </c>
    </row>
    <row r="198" spans="1:27" x14ac:dyDescent="0.2">
      <c r="A198" s="1780" t="s">
        <v>1521</v>
      </c>
      <c r="B198" s="1781">
        <v>1</v>
      </c>
      <c r="C198" s="1782" t="s">
        <v>1980</v>
      </c>
      <c r="D198" s="1783">
        <v>17</v>
      </c>
      <c r="E198" s="1784">
        <v>2.625</v>
      </c>
      <c r="F198" s="1785">
        <v>0</v>
      </c>
      <c r="G198" s="1786">
        <v>1.375</v>
      </c>
      <c r="H198" s="1786" t="s">
        <v>114</v>
      </c>
      <c r="I198" s="1787">
        <v>0</v>
      </c>
      <c r="J198" s="1786">
        <v>0.25</v>
      </c>
      <c r="K198" s="1786" t="s">
        <v>114</v>
      </c>
      <c r="L198" s="1786">
        <v>3</v>
      </c>
      <c r="M198" s="1788">
        <v>3</v>
      </c>
      <c r="Q198" s="1787" t="s">
        <v>117</v>
      </c>
      <c r="W198" s="1790" t="s">
        <v>117</v>
      </c>
      <c r="X198" s="1791">
        <v>0</v>
      </c>
      <c r="Y198" s="1792" t="s">
        <v>117</v>
      </c>
      <c r="Z198" s="1791" t="s">
        <v>117</v>
      </c>
      <c r="AA198" s="1792" t="s">
        <v>2209</v>
      </c>
    </row>
    <row r="199" spans="1:27" x14ac:dyDescent="0.2">
      <c r="A199" s="1780" t="s">
        <v>1522</v>
      </c>
      <c r="B199" s="1781">
        <v>1</v>
      </c>
      <c r="C199" s="1782" t="s">
        <v>1980</v>
      </c>
      <c r="D199" s="1783">
        <v>28</v>
      </c>
      <c r="E199" s="1784">
        <v>4.75</v>
      </c>
      <c r="F199" s="1785">
        <v>0</v>
      </c>
      <c r="G199" s="1786">
        <v>1.375</v>
      </c>
      <c r="H199" s="1786" t="s">
        <v>114</v>
      </c>
      <c r="I199" s="1787">
        <v>0</v>
      </c>
      <c r="J199" s="1786">
        <v>0.25</v>
      </c>
      <c r="K199" s="1786" t="s">
        <v>114</v>
      </c>
      <c r="L199" s="1786">
        <v>3</v>
      </c>
      <c r="M199" s="1788">
        <v>3</v>
      </c>
      <c r="Q199" s="1787" t="s">
        <v>117</v>
      </c>
      <c r="W199" s="1790" t="s">
        <v>117</v>
      </c>
      <c r="X199" s="1791">
        <v>0</v>
      </c>
      <c r="Y199" s="1792" t="s">
        <v>117</v>
      </c>
      <c r="Z199" s="1791" t="s">
        <v>117</v>
      </c>
      <c r="AA199" s="1792" t="s">
        <v>2210</v>
      </c>
    </row>
    <row r="200" spans="1:27" x14ac:dyDescent="0.2">
      <c r="A200" s="1780" t="s">
        <v>1523</v>
      </c>
      <c r="B200" s="1781">
        <v>1</v>
      </c>
      <c r="C200" s="1782" t="s">
        <v>1980</v>
      </c>
      <c r="D200" s="1783">
        <v>39</v>
      </c>
      <c r="E200" s="1784">
        <v>7</v>
      </c>
      <c r="F200" s="1785">
        <v>0</v>
      </c>
      <c r="G200" s="1786">
        <v>1.375</v>
      </c>
      <c r="H200" s="1786" t="s">
        <v>114</v>
      </c>
      <c r="I200" s="1787">
        <v>0</v>
      </c>
      <c r="J200" s="1786">
        <v>0.25</v>
      </c>
      <c r="K200" s="1786" t="s">
        <v>114</v>
      </c>
      <c r="L200" s="1786">
        <v>3</v>
      </c>
      <c r="M200" s="1788">
        <v>3</v>
      </c>
      <c r="Q200" s="1787" t="s">
        <v>117</v>
      </c>
      <c r="T200" s="1786">
        <v>0</v>
      </c>
      <c r="U200" s="1788">
        <v>2.25</v>
      </c>
      <c r="V200" s="1789">
        <v>0</v>
      </c>
      <c r="W200" s="1790">
        <v>3.875</v>
      </c>
      <c r="X200" s="1791">
        <v>4</v>
      </c>
      <c r="Y200" s="1792" t="s">
        <v>117</v>
      </c>
      <c r="Z200" s="1791" t="s">
        <v>117</v>
      </c>
      <c r="AA200" s="1792" t="s">
        <v>2211</v>
      </c>
    </row>
    <row r="201" spans="1:27" x14ac:dyDescent="0.2">
      <c r="A201" s="1780" t="s">
        <v>1524</v>
      </c>
      <c r="B201" s="1781">
        <v>1</v>
      </c>
      <c r="C201" s="1782" t="s">
        <v>1979</v>
      </c>
      <c r="D201" s="1783">
        <v>49</v>
      </c>
      <c r="E201" s="1784">
        <v>11.5</v>
      </c>
      <c r="F201" s="1785">
        <v>0</v>
      </c>
      <c r="G201" s="1786">
        <v>1.375</v>
      </c>
      <c r="H201" s="1786" t="s">
        <v>114</v>
      </c>
      <c r="I201" s="1787">
        <v>0</v>
      </c>
      <c r="J201" s="1786">
        <v>1.375</v>
      </c>
      <c r="K201" s="1786" t="s">
        <v>114</v>
      </c>
      <c r="L201" s="1786">
        <v>3</v>
      </c>
      <c r="M201" s="1788">
        <v>3</v>
      </c>
      <c r="Q201" s="1787" t="s">
        <v>117</v>
      </c>
      <c r="T201" s="1786">
        <v>0</v>
      </c>
      <c r="U201" s="1788">
        <v>2.25</v>
      </c>
      <c r="V201" s="1789">
        <v>0</v>
      </c>
      <c r="W201" s="1790">
        <v>2.25</v>
      </c>
      <c r="X201" s="1791">
        <v>4</v>
      </c>
      <c r="Y201" s="1792" t="s">
        <v>117</v>
      </c>
      <c r="Z201" s="1791" t="s">
        <v>117</v>
      </c>
      <c r="AA201" s="1792" t="s">
        <v>2212</v>
      </c>
    </row>
    <row r="202" spans="1:27" x14ac:dyDescent="0.2">
      <c r="A202" s="1780" t="s">
        <v>1525</v>
      </c>
      <c r="B202" s="1781">
        <v>1</v>
      </c>
      <c r="C202" s="1782" t="s">
        <v>1979</v>
      </c>
      <c r="D202" s="1783">
        <v>49</v>
      </c>
      <c r="E202" s="1784">
        <v>11.5</v>
      </c>
      <c r="F202" s="1785">
        <v>0</v>
      </c>
      <c r="G202" s="1786">
        <v>1.375</v>
      </c>
      <c r="H202" s="1786" t="s">
        <v>114</v>
      </c>
      <c r="I202" s="1787">
        <v>0</v>
      </c>
      <c r="J202" s="1786">
        <v>1.375</v>
      </c>
      <c r="K202" s="1786" t="s">
        <v>114</v>
      </c>
      <c r="L202" s="1786">
        <v>3</v>
      </c>
      <c r="M202" s="1788">
        <v>3</v>
      </c>
      <c r="Q202" s="1787" t="s">
        <v>117</v>
      </c>
      <c r="W202" s="1790" t="s">
        <v>117</v>
      </c>
      <c r="X202" s="1791">
        <v>0</v>
      </c>
      <c r="Y202" s="1792" t="s">
        <v>117</v>
      </c>
      <c r="Z202" s="1791" t="s">
        <v>117</v>
      </c>
      <c r="AA202" s="1792" t="s">
        <v>2208</v>
      </c>
    </row>
    <row r="203" spans="1:27" x14ac:dyDescent="0.2">
      <c r="A203" s="1780" t="s">
        <v>1526</v>
      </c>
      <c r="B203" s="1781">
        <v>2</v>
      </c>
      <c r="C203" s="1782" t="s">
        <v>1979</v>
      </c>
      <c r="D203" s="1783">
        <v>49</v>
      </c>
      <c r="E203" s="1784">
        <v>10</v>
      </c>
      <c r="F203" s="1785">
        <v>0</v>
      </c>
      <c r="G203" s="1786">
        <v>0.625</v>
      </c>
      <c r="H203" s="1786" t="s">
        <v>114</v>
      </c>
      <c r="I203" s="1787">
        <v>0</v>
      </c>
      <c r="J203" s="1786">
        <v>0.625</v>
      </c>
      <c r="K203" s="1786" t="s">
        <v>114</v>
      </c>
      <c r="L203" s="1786">
        <v>3</v>
      </c>
      <c r="M203" s="1788">
        <v>3</v>
      </c>
      <c r="N203" s="1785">
        <v>0</v>
      </c>
      <c r="O203" s="1786">
        <v>6.625</v>
      </c>
      <c r="P203" s="1786">
        <v>2</v>
      </c>
      <c r="Q203" s="1787">
        <v>0</v>
      </c>
      <c r="R203" s="1786">
        <v>5.375</v>
      </c>
      <c r="S203" s="1786">
        <v>2</v>
      </c>
      <c r="T203" s="1786">
        <v>0</v>
      </c>
      <c r="U203" s="1788">
        <v>1.5</v>
      </c>
      <c r="V203" s="1789">
        <v>0</v>
      </c>
      <c r="W203" s="1790">
        <v>1.5</v>
      </c>
      <c r="X203" s="1791">
        <v>4</v>
      </c>
      <c r="Y203" s="1792" t="s">
        <v>117</v>
      </c>
      <c r="Z203" s="1791" t="s">
        <v>117</v>
      </c>
      <c r="AA203" s="1792" t="s">
        <v>2102</v>
      </c>
    </row>
    <row r="204" spans="1:27" x14ac:dyDescent="0.2">
      <c r="A204" s="1780" t="s">
        <v>1527</v>
      </c>
      <c r="B204" s="1781">
        <v>1</v>
      </c>
      <c r="C204" s="1782" t="s">
        <v>1980</v>
      </c>
      <c r="D204" s="1783">
        <v>11</v>
      </c>
      <c r="E204" s="1784">
        <v>11.375</v>
      </c>
      <c r="F204" s="1785">
        <v>0</v>
      </c>
      <c r="G204" s="1786">
        <v>1.375</v>
      </c>
      <c r="H204" s="1786" t="s">
        <v>114</v>
      </c>
      <c r="I204" s="1787">
        <v>0</v>
      </c>
      <c r="J204" s="1786">
        <v>0.25</v>
      </c>
      <c r="K204" s="1786" t="s">
        <v>114</v>
      </c>
      <c r="L204" s="1786">
        <v>3</v>
      </c>
      <c r="M204" s="1788">
        <v>3</v>
      </c>
      <c r="Q204" s="1787" t="s">
        <v>117</v>
      </c>
      <c r="W204" s="1790" t="s">
        <v>117</v>
      </c>
      <c r="X204" s="1791">
        <v>0</v>
      </c>
      <c r="Y204" s="1792" t="s">
        <v>117</v>
      </c>
      <c r="Z204" s="1791" t="s">
        <v>117</v>
      </c>
      <c r="AA204" s="1792" t="s">
        <v>2213</v>
      </c>
    </row>
    <row r="205" spans="1:27" x14ac:dyDescent="0.2">
      <c r="A205" s="1780" t="s">
        <v>1528</v>
      </c>
      <c r="B205" s="1781">
        <v>1</v>
      </c>
      <c r="C205" s="1782" t="s">
        <v>1980</v>
      </c>
      <c r="D205" s="1783">
        <v>23</v>
      </c>
      <c r="E205" s="1784">
        <v>1.5</v>
      </c>
      <c r="F205" s="1785">
        <v>0</v>
      </c>
      <c r="G205" s="1786">
        <v>1.375</v>
      </c>
      <c r="H205" s="1786" t="s">
        <v>114</v>
      </c>
      <c r="I205" s="1787">
        <v>0</v>
      </c>
      <c r="J205" s="1786">
        <v>0.25</v>
      </c>
      <c r="K205" s="1786" t="s">
        <v>114</v>
      </c>
      <c r="L205" s="1786">
        <v>3</v>
      </c>
      <c r="M205" s="1788">
        <v>3</v>
      </c>
      <c r="Q205" s="1787" t="s">
        <v>117</v>
      </c>
      <c r="W205" s="1790" t="s">
        <v>117</v>
      </c>
      <c r="X205" s="1791">
        <v>0</v>
      </c>
      <c r="Y205" s="1792" t="s">
        <v>117</v>
      </c>
      <c r="Z205" s="1791" t="s">
        <v>117</v>
      </c>
      <c r="AA205" s="1792" t="s">
        <v>2214</v>
      </c>
    </row>
    <row r="206" spans="1:27" x14ac:dyDescent="0.2">
      <c r="A206" s="1780" t="s">
        <v>1529</v>
      </c>
      <c r="B206" s="1781">
        <v>1</v>
      </c>
      <c r="C206" s="1782" t="s">
        <v>1980</v>
      </c>
      <c r="D206" s="1783">
        <v>34</v>
      </c>
      <c r="E206" s="1784">
        <v>3.75</v>
      </c>
      <c r="F206" s="1785">
        <v>0</v>
      </c>
      <c r="G206" s="1786">
        <v>1.375</v>
      </c>
      <c r="H206" s="1786" t="s">
        <v>114</v>
      </c>
      <c r="I206" s="1787">
        <v>0</v>
      </c>
      <c r="J206" s="1786">
        <v>0.25</v>
      </c>
      <c r="K206" s="1786" t="s">
        <v>114</v>
      </c>
      <c r="L206" s="1786">
        <v>3</v>
      </c>
      <c r="M206" s="1788">
        <v>3</v>
      </c>
      <c r="Q206" s="1787" t="s">
        <v>117</v>
      </c>
      <c r="W206" s="1790" t="s">
        <v>117</v>
      </c>
      <c r="X206" s="1791">
        <v>0</v>
      </c>
      <c r="Y206" s="1792" t="s">
        <v>117</v>
      </c>
      <c r="Z206" s="1791" t="s">
        <v>117</v>
      </c>
      <c r="AA206" s="1792" t="s">
        <v>2215</v>
      </c>
    </row>
    <row r="207" spans="1:27" x14ac:dyDescent="0.2">
      <c r="A207" s="1780" t="s">
        <v>1530</v>
      </c>
      <c r="B207" s="1781">
        <v>1</v>
      </c>
      <c r="C207" s="1782" t="s">
        <v>1979</v>
      </c>
      <c r="D207" s="1783">
        <v>45</v>
      </c>
      <c r="E207" s="1784">
        <v>5.875</v>
      </c>
      <c r="F207" s="1785">
        <v>0</v>
      </c>
      <c r="G207" s="1786">
        <v>1.375</v>
      </c>
      <c r="H207" s="1786" t="s">
        <v>114</v>
      </c>
      <c r="I207" s="1787">
        <v>0</v>
      </c>
      <c r="J207" s="1786">
        <v>0.25</v>
      </c>
      <c r="K207" s="1786" t="s">
        <v>114</v>
      </c>
      <c r="L207" s="1786">
        <v>3</v>
      </c>
      <c r="M207" s="1788">
        <v>3</v>
      </c>
      <c r="Q207" s="1787" t="s">
        <v>117</v>
      </c>
      <c r="W207" s="1790" t="s">
        <v>117</v>
      </c>
      <c r="X207" s="1791">
        <v>0</v>
      </c>
      <c r="Y207" s="1792" t="s">
        <v>117</v>
      </c>
      <c r="Z207" s="1791" t="s">
        <v>117</v>
      </c>
      <c r="AA207" s="1792" t="s">
        <v>2216</v>
      </c>
    </row>
    <row r="208" spans="1:27" x14ac:dyDescent="0.2">
      <c r="A208" s="1780" t="s">
        <v>1531</v>
      </c>
      <c r="B208" s="1781">
        <v>1</v>
      </c>
      <c r="C208" s="1782" t="s">
        <v>1979</v>
      </c>
      <c r="D208" s="1783">
        <v>56</v>
      </c>
      <c r="E208" s="1784">
        <v>8.125</v>
      </c>
      <c r="F208" s="1785">
        <v>0</v>
      </c>
      <c r="G208" s="1786">
        <v>1.375</v>
      </c>
      <c r="H208" s="1786" t="s">
        <v>114</v>
      </c>
      <c r="I208" s="1787">
        <v>6</v>
      </c>
      <c r="J208" s="1786">
        <v>10</v>
      </c>
      <c r="K208" s="1786" t="s">
        <v>114</v>
      </c>
      <c r="L208" s="1786">
        <v>3</v>
      </c>
      <c r="M208" s="1788">
        <v>3</v>
      </c>
      <c r="Q208" s="1787" t="s">
        <v>117</v>
      </c>
      <c r="W208" s="1790" t="s">
        <v>117</v>
      </c>
      <c r="X208" s="1791">
        <v>0</v>
      </c>
      <c r="Y208" s="1792" t="s">
        <v>117</v>
      </c>
      <c r="Z208" s="1791">
        <v>0.26987843572980902</v>
      </c>
      <c r="AA208" s="1792" t="s">
        <v>2217</v>
      </c>
    </row>
    <row r="209" spans="1:27" x14ac:dyDescent="0.2">
      <c r="A209" s="1780" t="s">
        <v>1532</v>
      </c>
      <c r="B209" s="1781">
        <v>1</v>
      </c>
      <c r="C209" s="1782" t="s">
        <v>1979</v>
      </c>
      <c r="D209" s="1783">
        <v>49</v>
      </c>
      <c r="E209" s="1784">
        <v>10.75</v>
      </c>
      <c r="F209" s="1785">
        <v>0</v>
      </c>
      <c r="G209" s="1786">
        <v>0.625</v>
      </c>
      <c r="H209" s="1786" t="s">
        <v>114</v>
      </c>
      <c r="I209" s="1787">
        <v>0</v>
      </c>
      <c r="J209" s="1786">
        <v>1.375</v>
      </c>
      <c r="K209" s="1786" t="s">
        <v>114</v>
      </c>
      <c r="L209" s="1786">
        <v>3</v>
      </c>
      <c r="M209" s="1788">
        <v>3</v>
      </c>
      <c r="N209" s="1785">
        <v>0</v>
      </c>
      <c r="O209" s="1786">
        <v>6.625</v>
      </c>
      <c r="P209" s="1786">
        <v>2</v>
      </c>
      <c r="Q209" s="1787" t="s">
        <v>117</v>
      </c>
      <c r="T209" s="1786">
        <v>0</v>
      </c>
      <c r="U209" s="1788">
        <v>1.5</v>
      </c>
      <c r="V209" s="1789">
        <v>0</v>
      </c>
      <c r="W209" s="1790">
        <v>2.25</v>
      </c>
      <c r="X209" s="1791">
        <v>4</v>
      </c>
      <c r="Y209" s="1792" t="s">
        <v>117</v>
      </c>
      <c r="Z209" s="1791" t="s">
        <v>117</v>
      </c>
      <c r="AA209" s="1792" t="s">
        <v>2218</v>
      </c>
    </row>
    <row r="210" spans="1:27" x14ac:dyDescent="0.2">
      <c r="A210" s="1780" t="s">
        <v>1533</v>
      </c>
      <c r="B210" s="1781">
        <v>3</v>
      </c>
      <c r="C210" s="1782" t="s">
        <v>1979</v>
      </c>
      <c r="D210" s="1783">
        <v>49</v>
      </c>
      <c r="E210" s="1784">
        <v>11.5</v>
      </c>
      <c r="F210" s="1785">
        <v>0</v>
      </c>
      <c r="G210" s="1786">
        <v>1.375</v>
      </c>
      <c r="H210" s="1786" t="s">
        <v>114</v>
      </c>
      <c r="I210" s="1787">
        <v>0</v>
      </c>
      <c r="J210" s="1786">
        <v>1.375</v>
      </c>
      <c r="K210" s="1786" t="s">
        <v>114</v>
      </c>
      <c r="L210" s="1786">
        <v>3</v>
      </c>
      <c r="M210" s="1788">
        <v>3</v>
      </c>
      <c r="Q210" s="1787" t="s">
        <v>117</v>
      </c>
      <c r="W210" s="1790" t="s">
        <v>117</v>
      </c>
      <c r="X210" s="1791">
        <v>0</v>
      </c>
      <c r="Y210" s="1792" t="s">
        <v>117</v>
      </c>
      <c r="Z210" s="1791" t="s">
        <v>117</v>
      </c>
      <c r="AA210" s="1792" t="s">
        <v>2219</v>
      </c>
    </row>
    <row r="211" spans="1:27" x14ac:dyDescent="0.2">
      <c r="A211" s="1780" t="s">
        <v>1534</v>
      </c>
      <c r="B211" s="1781">
        <v>1</v>
      </c>
      <c r="C211" s="1782" t="s">
        <v>1980</v>
      </c>
      <c r="D211" s="1783">
        <v>29</v>
      </c>
      <c r="E211" s="1784">
        <v>0.5</v>
      </c>
      <c r="F211" s="1785">
        <v>0</v>
      </c>
      <c r="G211" s="1786">
        <v>1.375</v>
      </c>
      <c r="H211" s="1786" t="s">
        <v>114</v>
      </c>
      <c r="I211" s="1787">
        <v>0</v>
      </c>
      <c r="J211" s="1786">
        <v>0.25</v>
      </c>
      <c r="K211" s="1786" t="s">
        <v>114</v>
      </c>
      <c r="L211" s="1786">
        <v>3</v>
      </c>
      <c r="M211" s="1788">
        <v>3</v>
      </c>
      <c r="Q211" s="1787" t="s">
        <v>117</v>
      </c>
      <c r="W211" s="1790" t="s">
        <v>117</v>
      </c>
      <c r="X211" s="1791">
        <v>0</v>
      </c>
      <c r="Y211" s="1792">
        <v>-0.38595006418577599</v>
      </c>
      <c r="Z211" s="1791">
        <v>0.38595006418577599</v>
      </c>
      <c r="AA211" s="1792" t="s">
        <v>2220</v>
      </c>
    </row>
    <row r="212" spans="1:27" x14ac:dyDescent="0.2">
      <c r="A212" s="1780" t="s">
        <v>1535</v>
      </c>
      <c r="B212" s="1781">
        <v>1</v>
      </c>
      <c r="C212" s="1782" t="s">
        <v>1979</v>
      </c>
      <c r="D212" s="1783">
        <v>40</v>
      </c>
      <c r="E212" s="1784">
        <v>2.75</v>
      </c>
      <c r="F212" s="1785">
        <v>0</v>
      </c>
      <c r="G212" s="1786">
        <v>1.375</v>
      </c>
      <c r="H212" s="1786" t="s">
        <v>114</v>
      </c>
      <c r="I212" s="1787">
        <v>0</v>
      </c>
      <c r="J212" s="1786">
        <v>0.25</v>
      </c>
      <c r="K212" s="1786" t="s">
        <v>114</v>
      </c>
      <c r="L212" s="1786">
        <v>3</v>
      </c>
      <c r="M212" s="1788">
        <v>3</v>
      </c>
      <c r="Q212" s="1787" t="s">
        <v>117</v>
      </c>
      <c r="W212" s="1790" t="s">
        <v>117</v>
      </c>
      <c r="X212" s="1791">
        <v>0</v>
      </c>
      <c r="Y212" s="1792">
        <v>-0.38595006058679698</v>
      </c>
      <c r="Z212" s="1791">
        <v>0.38595006058679698</v>
      </c>
      <c r="AA212" s="1792" t="s">
        <v>2221</v>
      </c>
    </row>
    <row r="213" spans="1:27" x14ac:dyDescent="0.2">
      <c r="A213" s="1780" t="s">
        <v>1536</v>
      </c>
      <c r="B213" s="1781">
        <v>1</v>
      </c>
      <c r="C213" s="1782" t="s">
        <v>1979</v>
      </c>
      <c r="D213" s="1783">
        <v>49</v>
      </c>
      <c r="E213" s="1784">
        <v>0.625</v>
      </c>
      <c r="F213" s="1785">
        <v>0</v>
      </c>
      <c r="G213" s="1786">
        <v>1.375</v>
      </c>
      <c r="H213" s="1786" t="s">
        <v>114</v>
      </c>
      <c r="I213" s="1787" t="s">
        <v>117</v>
      </c>
      <c r="L213" s="1786">
        <v>3</v>
      </c>
      <c r="M213" s="1788">
        <v>3</v>
      </c>
      <c r="Q213" s="1787" t="s">
        <v>117</v>
      </c>
      <c r="T213" s="1786">
        <v>0</v>
      </c>
      <c r="U213" s="1788">
        <v>2.25</v>
      </c>
      <c r="V213" s="1789">
        <v>0</v>
      </c>
      <c r="W213" s="1790">
        <v>1.125</v>
      </c>
      <c r="X213" s="1791">
        <v>4</v>
      </c>
      <c r="Y213" s="1792" t="s">
        <v>117</v>
      </c>
      <c r="Z213" s="1791" t="s">
        <v>117</v>
      </c>
      <c r="AA213" s="1792" t="s">
        <v>2222</v>
      </c>
    </row>
    <row r="214" spans="1:27" x14ac:dyDescent="0.2">
      <c r="A214" s="1780" t="s">
        <v>1537</v>
      </c>
      <c r="B214" s="1781">
        <v>1</v>
      </c>
      <c r="C214" s="1782" t="s">
        <v>1979</v>
      </c>
      <c r="D214" s="1783">
        <v>48</v>
      </c>
      <c r="E214" s="1784">
        <v>11.875</v>
      </c>
      <c r="F214" s="1785">
        <v>0</v>
      </c>
      <c r="G214" s="1786">
        <v>0.625</v>
      </c>
      <c r="H214" s="1786" t="s">
        <v>114</v>
      </c>
      <c r="I214" s="1787" t="s">
        <v>117</v>
      </c>
      <c r="L214" s="1786">
        <v>3</v>
      </c>
      <c r="M214" s="1788">
        <v>3</v>
      </c>
      <c r="N214" s="1785">
        <v>0</v>
      </c>
      <c r="O214" s="1786">
        <v>6.75</v>
      </c>
      <c r="P214" s="1786">
        <v>2</v>
      </c>
      <c r="Q214" s="1787" t="s">
        <v>117</v>
      </c>
      <c r="T214" s="1786">
        <v>0</v>
      </c>
      <c r="U214" s="1788">
        <v>1.5</v>
      </c>
      <c r="V214" s="1789">
        <v>0</v>
      </c>
      <c r="W214" s="1790">
        <v>1.125</v>
      </c>
      <c r="X214" s="1791">
        <v>4</v>
      </c>
      <c r="Y214" s="1792" t="s">
        <v>117</v>
      </c>
      <c r="Z214" s="1791" t="s">
        <v>117</v>
      </c>
      <c r="AA214" s="1792" t="s">
        <v>2223</v>
      </c>
    </row>
    <row r="215" spans="1:27" x14ac:dyDescent="0.2">
      <c r="A215" s="1780" t="s">
        <v>1538</v>
      </c>
      <c r="B215" s="1781">
        <v>1</v>
      </c>
      <c r="C215" s="1782" t="s">
        <v>1980</v>
      </c>
      <c r="D215" s="1783">
        <v>19</v>
      </c>
      <c r="E215" s="1784">
        <v>8.25</v>
      </c>
      <c r="F215" s="1785">
        <v>0</v>
      </c>
      <c r="G215" s="1786">
        <v>1.375</v>
      </c>
      <c r="H215" s="1786" t="s">
        <v>114</v>
      </c>
      <c r="I215" s="1787">
        <v>0</v>
      </c>
      <c r="J215" s="1786">
        <v>0.25</v>
      </c>
      <c r="K215" s="1786" t="s">
        <v>114</v>
      </c>
      <c r="L215" s="1786">
        <v>3</v>
      </c>
      <c r="M215" s="1788">
        <v>3</v>
      </c>
      <c r="Q215" s="1787" t="s">
        <v>117</v>
      </c>
      <c r="W215" s="1790" t="s">
        <v>117</v>
      </c>
      <c r="X215" s="1791">
        <v>0</v>
      </c>
      <c r="Y215" s="1792" t="s">
        <v>117</v>
      </c>
      <c r="Z215" s="1791" t="s">
        <v>117</v>
      </c>
      <c r="AA215" s="1792" t="s">
        <v>2224</v>
      </c>
    </row>
    <row r="216" spans="1:27" x14ac:dyDescent="0.2">
      <c r="A216" s="1780" t="s">
        <v>1539</v>
      </c>
      <c r="B216" s="1781">
        <v>1</v>
      </c>
      <c r="C216" s="1782" t="s">
        <v>1980</v>
      </c>
      <c r="D216" s="1783">
        <v>30</v>
      </c>
      <c r="E216" s="1784">
        <v>9.75</v>
      </c>
      <c r="F216" s="1785">
        <v>0</v>
      </c>
      <c r="G216" s="1786">
        <v>1.375</v>
      </c>
      <c r="H216" s="1786" t="s">
        <v>114</v>
      </c>
      <c r="I216" s="1787">
        <v>0</v>
      </c>
      <c r="J216" s="1786">
        <v>0.25</v>
      </c>
      <c r="K216" s="1786" t="s">
        <v>114</v>
      </c>
      <c r="L216" s="1786">
        <v>3</v>
      </c>
      <c r="M216" s="1788">
        <v>3</v>
      </c>
      <c r="Q216" s="1787" t="s">
        <v>117</v>
      </c>
      <c r="W216" s="1790" t="s">
        <v>117</v>
      </c>
      <c r="X216" s="1791">
        <v>0</v>
      </c>
      <c r="Y216" s="1792" t="s">
        <v>117</v>
      </c>
      <c r="Z216" s="1791" t="s">
        <v>117</v>
      </c>
      <c r="AA216" s="1792" t="s">
        <v>2225</v>
      </c>
    </row>
    <row r="217" spans="1:27" x14ac:dyDescent="0.2">
      <c r="A217" s="1780" t="s">
        <v>1540</v>
      </c>
      <c r="B217" s="1781">
        <v>1</v>
      </c>
      <c r="C217" s="1782" t="s">
        <v>1980</v>
      </c>
      <c r="D217" s="1783">
        <v>41</v>
      </c>
      <c r="E217" s="1784">
        <v>11.25</v>
      </c>
      <c r="F217" s="1785">
        <v>0</v>
      </c>
      <c r="G217" s="1786">
        <v>1.375</v>
      </c>
      <c r="H217" s="1786" t="s">
        <v>114</v>
      </c>
      <c r="I217" s="1787">
        <v>0</v>
      </c>
      <c r="J217" s="1786">
        <v>0.25</v>
      </c>
      <c r="K217" s="1786" t="s">
        <v>114</v>
      </c>
      <c r="L217" s="1786">
        <v>3</v>
      </c>
      <c r="M217" s="1788">
        <v>3</v>
      </c>
      <c r="Q217" s="1787" t="s">
        <v>117</v>
      </c>
      <c r="T217" s="1786">
        <v>0</v>
      </c>
      <c r="U217" s="1788">
        <v>2.25</v>
      </c>
      <c r="V217" s="1789">
        <v>0</v>
      </c>
      <c r="W217" s="1790">
        <v>3.875</v>
      </c>
      <c r="X217" s="1791">
        <v>4</v>
      </c>
      <c r="Y217" s="1792" t="s">
        <v>117</v>
      </c>
      <c r="Z217" s="1791" t="s">
        <v>117</v>
      </c>
      <c r="AA217" s="1792" t="s">
        <v>2221</v>
      </c>
    </row>
    <row r="218" spans="1:27" x14ac:dyDescent="0.2">
      <c r="A218" s="1780" t="s">
        <v>1541</v>
      </c>
      <c r="B218" s="1781">
        <v>1</v>
      </c>
      <c r="C218" s="1782" t="s">
        <v>1979</v>
      </c>
      <c r="D218" s="1783">
        <v>53</v>
      </c>
      <c r="E218" s="1784">
        <v>0.625</v>
      </c>
      <c r="F218" s="1785">
        <v>0</v>
      </c>
      <c r="G218" s="1786">
        <v>1.375</v>
      </c>
      <c r="H218" s="1786" t="s">
        <v>114</v>
      </c>
      <c r="I218" s="1787">
        <v>0</v>
      </c>
      <c r="J218" s="1786">
        <v>0.25</v>
      </c>
      <c r="K218" s="1786" t="s">
        <v>114</v>
      </c>
      <c r="L218" s="1786">
        <v>3</v>
      </c>
      <c r="M218" s="1788">
        <v>3</v>
      </c>
      <c r="Q218" s="1787" t="s">
        <v>117</v>
      </c>
      <c r="T218" s="1786">
        <v>0</v>
      </c>
      <c r="U218" s="1788">
        <v>2.25</v>
      </c>
      <c r="V218" s="1789">
        <v>0</v>
      </c>
      <c r="W218" s="1790">
        <v>3.875</v>
      </c>
      <c r="X218" s="1791">
        <v>4</v>
      </c>
      <c r="Y218" s="1792" t="s">
        <v>117</v>
      </c>
      <c r="Z218" s="1791" t="s">
        <v>117</v>
      </c>
      <c r="AA218" s="1792" t="s">
        <v>2227</v>
      </c>
    </row>
    <row r="219" spans="1:27" x14ac:dyDescent="0.2">
      <c r="A219" s="1780" t="s">
        <v>1542</v>
      </c>
      <c r="B219" s="1781">
        <v>15</v>
      </c>
      <c r="C219" s="1782" t="s">
        <v>1978</v>
      </c>
      <c r="D219" s="1783">
        <v>59</v>
      </c>
      <c r="E219" s="1784">
        <v>0.625</v>
      </c>
      <c r="F219" s="1785">
        <v>0</v>
      </c>
      <c r="G219" s="1786">
        <v>1.375</v>
      </c>
      <c r="H219" s="1786" t="s">
        <v>114</v>
      </c>
      <c r="I219" s="1787" t="s">
        <v>117</v>
      </c>
      <c r="L219" s="1786">
        <v>3</v>
      </c>
      <c r="M219" s="1788">
        <v>3</v>
      </c>
      <c r="Q219" s="1787" t="s">
        <v>117</v>
      </c>
      <c r="T219" s="1786">
        <v>0</v>
      </c>
      <c r="U219" s="1788">
        <v>2.25</v>
      </c>
      <c r="V219" s="1789">
        <v>0</v>
      </c>
      <c r="W219" s="1790">
        <v>1.125</v>
      </c>
      <c r="X219" s="1791">
        <v>4</v>
      </c>
      <c r="Y219" s="1792" t="s">
        <v>117</v>
      </c>
      <c r="Z219" s="1791" t="s">
        <v>117</v>
      </c>
      <c r="AA219" s="1792" t="s">
        <v>2228</v>
      </c>
    </row>
    <row r="220" spans="1:27" x14ac:dyDescent="0.2">
      <c r="A220" s="1780" t="s">
        <v>1543</v>
      </c>
      <c r="B220" s="1781">
        <v>12</v>
      </c>
      <c r="C220" s="1782" t="s">
        <v>1978</v>
      </c>
      <c r="D220" s="1783">
        <v>59</v>
      </c>
      <c r="E220" s="1784">
        <v>0.625</v>
      </c>
      <c r="F220" s="1785">
        <v>0</v>
      </c>
      <c r="G220" s="1786">
        <v>1.375</v>
      </c>
      <c r="H220" s="1786" t="s">
        <v>114</v>
      </c>
      <c r="I220" s="1787" t="s">
        <v>117</v>
      </c>
      <c r="L220" s="1786">
        <v>3</v>
      </c>
      <c r="M220" s="1788">
        <v>3</v>
      </c>
      <c r="Q220" s="1787" t="s">
        <v>117</v>
      </c>
      <c r="W220" s="1790" t="s">
        <v>117</v>
      </c>
      <c r="X220" s="1791">
        <v>0</v>
      </c>
      <c r="Y220" s="1792" t="s">
        <v>117</v>
      </c>
      <c r="Z220" s="1791" t="s">
        <v>117</v>
      </c>
      <c r="AA220" s="1792" t="s">
        <v>2229</v>
      </c>
    </row>
    <row r="221" spans="1:27" x14ac:dyDescent="0.2">
      <c r="A221" s="1780" t="s">
        <v>1544</v>
      </c>
      <c r="B221" s="1781">
        <v>63</v>
      </c>
      <c r="C221" s="1782" t="s">
        <v>1978</v>
      </c>
      <c r="D221" s="1783">
        <v>59</v>
      </c>
      <c r="E221" s="1784">
        <v>0.625</v>
      </c>
      <c r="F221" s="1785">
        <v>0</v>
      </c>
      <c r="G221" s="1786">
        <v>1.375</v>
      </c>
      <c r="H221" s="1786" t="s">
        <v>114</v>
      </c>
      <c r="I221" s="1787" t="s">
        <v>117</v>
      </c>
      <c r="L221" s="1786">
        <v>3</v>
      </c>
      <c r="M221" s="1788">
        <v>3</v>
      </c>
      <c r="Q221" s="1787" t="s">
        <v>117</v>
      </c>
      <c r="W221" s="1790" t="s">
        <v>117</v>
      </c>
      <c r="X221" s="1791">
        <v>0</v>
      </c>
      <c r="Y221" s="1792" t="s">
        <v>117</v>
      </c>
      <c r="Z221" s="1791" t="s">
        <v>117</v>
      </c>
      <c r="AA221" s="1792" t="s">
        <v>2228</v>
      </c>
    </row>
    <row r="222" spans="1:27" x14ac:dyDescent="0.2">
      <c r="A222" s="1780" t="s">
        <v>1545</v>
      </c>
      <c r="B222" s="1781">
        <v>1</v>
      </c>
      <c r="C222" s="1782" t="s">
        <v>1978</v>
      </c>
      <c r="D222" s="1783">
        <v>59</v>
      </c>
      <c r="E222" s="1784">
        <v>0.625</v>
      </c>
      <c r="F222" s="1785">
        <v>0</v>
      </c>
      <c r="G222" s="1786">
        <v>1.375</v>
      </c>
      <c r="H222" s="1786" t="s">
        <v>114</v>
      </c>
      <c r="I222" s="1787" t="s">
        <v>117</v>
      </c>
      <c r="L222" s="1786">
        <v>3</v>
      </c>
      <c r="M222" s="1788">
        <v>3</v>
      </c>
      <c r="Q222" s="1787" t="s">
        <v>117</v>
      </c>
      <c r="W222" s="1790" t="s">
        <v>117</v>
      </c>
      <c r="X222" s="1791">
        <v>0</v>
      </c>
      <c r="Y222" s="1792" t="s">
        <v>117</v>
      </c>
      <c r="Z222" s="1791" t="s">
        <v>117</v>
      </c>
      <c r="AA222" s="1792" t="s">
        <v>2230</v>
      </c>
    </row>
    <row r="223" spans="1:27" x14ac:dyDescent="0.2">
      <c r="A223" s="1780" t="s">
        <v>1546</v>
      </c>
      <c r="B223" s="1781">
        <v>1</v>
      </c>
      <c r="C223" s="1782" t="s">
        <v>1978</v>
      </c>
      <c r="D223" s="1783">
        <v>58</v>
      </c>
      <c r="E223" s="1784">
        <v>11.875</v>
      </c>
      <c r="F223" s="1785">
        <v>0</v>
      </c>
      <c r="G223" s="1786">
        <v>0.625</v>
      </c>
      <c r="H223" s="1786" t="s">
        <v>114</v>
      </c>
      <c r="I223" s="1787" t="s">
        <v>117</v>
      </c>
      <c r="L223" s="1786">
        <v>3</v>
      </c>
      <c r="M223" s="1788">
        <v>3</v>
      </c>
      <c r="N223" s="1785">
        <v>0</v>
      </c>
      <c r="O223" s="1786">
        <v>6.75</v>
      </c>
      <c r="P223" s="1786">
        <v>2</v>
      </c>
      <c r="Q223" s="1787" t="s">
        <v>117</v>
      </c>
      <c r="T223" s="1786">
        <v>0</v>
      </c>
      <c r="U223" s="1788">
        <v>1.5</v>
      </c>
      <c r="V223" s="1789">
        <v>0</v>
      </c>
      <c r="W223" s="1790">
        <v>1.125</v>
      </c>
      <c r="X223" s="1791">
        <v>4</v>
      </c>
      <c r="Y223" s="1792" t="s">
        <v>117</v>
      </c>
      <c r="Z223" s="1791" t="s">
        <v>117</v>
      </c>
      <c r="AA223" s="1792" t="s">
        <v>2231</v>
      </c>
    </row>
    <row r="224" spans="1:27" x14ac:dyDescent="0.2">
      <c r="A224" s="1780" t="s">
        <v>1547</v>
      </c>
      <c r="B224" s="1781">
        <v>6</v>
      </c>
      <c r="C224" s="1782" t="s">
        <v>1978</v>
      </c>
      <c r="D224" s="1783">
        <v>58</v>
      </c>
      <c r="E224" s="1784">
        <v>11.875</v>
      </c>
      <c r="F224" s="1785">
        <v>0</v>
      </c>
      <c r="G224" s="1786">
        <v>0.625</v>
      </c>
      <c r="H224" s="1786" t="s">
        <v>114</v>
      </c>
      <c r="I224" s="1787" t="s">
        <v>117</v>
      </c>
      <c r="L224" s="1786">
        <v>3</v>
      </c>
      <c r="M224" s="1788">
        <v>3</v>
      </c>
      <c r="N224" s="1785">
        <v>0</v>
      </c>
      <c r="O224" s="1786">
        <v>6.75</v>
      </c>
      <c r="P224" s="1786">
        <v>2</v>
      </c>
      <c r="Q224" s="1787" t="s">
        <v>117</v>
      </c>
      <c r="T224" s="1786">
        <v>0</v>
      </c>
      <c r="U224" s="1788">
        <v>1.5</v>
      </c>
      <c r="V224" s="1789">
        <v>0</v>
      </c>
      <c r="W224" s="1790">
        <v>1.125</v>
      </c>
      <c r="X224" s="1791">
        <v>4</v>
      </c>
      <c r="Y224" s="1792" t="s">
        <v>117</v>
      </c>
      <c r="Z224" s="1791" t="s">
        <v>117</v>
      </c>
      <c r="AA224" s="1792" t="s">
        <v>2232</v>
      </c>
    </row>
    <row r="225" spans="1:27" x14ac:dyDescent="0.2">
      <c r="A225" s="1780" t="s">
        <v>1548</v>
      </c>
      <c r="B225" s="1781">
        <v>1</v>
      </c>
      <c r="C225" s="1782" t="s">
        <v>1978</v>
      </c>
      <c r="D225" s="1783">
        <v>59</v>
      </c>
      <c r="E225" s="1784">
        <v>0.625</v>
      </c>
      <c r="F225" s="1785">
        <v>0</v>
      </c>
      <c r="G225" s="1786">
        <v>1.375</v>
      </c>
      <c r="H225" s="1786" t="s">
        <v>114</v>
      </c>
      <c r="I225" s="1787" t="s">
        <v>117</v>
      </c>
      <c r="L225" s="1786">
        <v>3</v>
      </c>
      <c r="M225" s="1788">
        <v>3</v>
      </c>
      <c r="Q225" s="1787" t="s">
        <v>117</v>
      </c>
      <c r="T225" s="1786">
        <v>0</v>
      </c>
      <c r="U225" s="1788">
        <v>2.25</v>
      </c>
      <c r="V225" s="1789">
        <v>0</v>
      </c>
      <c r="W225" s="1790">
        <v>1.125</v>
      </c>
      <c r="X225" s="1791">
        <v>4</v>
      </c>
      <c r="Y225" s="1792" t="s">
        <v>117</v>
      </c>
      <c r="Z225" s="1791" t="s">
        <v>117</v>
      </c>
      <c r="AA225" s="1792" t="s">
        <v>2229</v>
      </c>
    </row>
    <row r="226" spans="1:27" x14ac:dyDescent="0.2">
      <c r="A226" s="1780" t="s">
        <v>1549</v>
      </c>
      <c r="B226" s="1781">
        <v>6</v>
      </c>
      <c r="C226" s="1782" t="s">
        <v>1978</v>
      </c>
      <c r="D226" s="1783">
        <v>59</v>
      </c>
      <c r="E226" s="1784">
        <v>0.625</v>
      </c>
      <c r="F226" s="1785">
        <v>0</v>
      </c>
      <c r="G226" s="1786">
        <v>1.375</v>
      </c>
      <c r="H226" s="1786" t="s">
        <v>114</v>
      </c>
      <c r="I226" s="1787" t="s">
        <v>117</v>
      </c>
      <c r="L226" s="1786">
        <v>3</v>
      </c>
      <c r="M226" s="1788">
        <v>3</v>
      </c>
      <c r="Q226" s="1787" t="s">
        <v>117</v>
      </c>
      <c r="W226" s="1790" t="s">
        <v>117</v>
      </c>
      <c r="X226" s="1791">
        <v>0</v>
      </c>
      <c r="Y226" s="1792" t="s">
        <v>117</v>
      </c>
      <c r="Z226" s="1791" t="s">
        <v>117</v>
      </c>
      <c r="AA226" s="1792" t="s">
        <v>2233</v>
      </c>
    </row>
    <row r="227" spans="1:27" x14ac:dyDescent="0.2">
      <c r="A227" s="1780" t="s">
        <v>1550</v>
      </c>
      <c r="B227" s="1781">
        <v>1</v>
      </c>
      <c r="C227" s="1782" t="s">
        <v>1978</v>
      </c>
      <c r="D227" s="1783">
        <v>58</v>
      </c>
      <c r="E227" s="1784">
        <v>11.875</v>
      </c>
      <c r="F227" s="1785">
        <v>0</v>
      </c>
      <c r="G227" s="1786">
        <v>0.625</v>
      </c>
      <c r="H227" s="1786" t="s">
        <v>114</v>
      </c>
      <c r="I227" s="1787" t="s">
        <v>117</v>
      </c>
      <c r="L227" s="1786">
        <v>3</v>
      </c>
      <c r="M227" s="1788">
        <v>3</v>
      </c>
      <c r="N227" s="1785">
        <v>0</v>
      </c>
      <c r="O227" s="1786">
        <v>6.75</v>
      </c>
      <c r="P227" s="1786">
        <v>2</v>
      </c>
      <c r="Q227" s="1787" t="s">
        <v>117</v>
      </c>
      <c r="T227" s="1786">
        <v>0</v>
      </c>
      <c r="U227" s="1788">
        <v>1.5</v>
      </c>
      <c r="V227" s="1789">
        <v>0</v>
      </c>
      <c r="W227" s="1790">
        <v>1.125</v>
      </c>
      <c r="X227" s="1791">
        <v>4</v>
      </c>
      <c r="Y227" s="1792" t="s">
        <v>117</v>
      </c>
      <c r="Z227" s="1791" t="s">
        <v>117</v>
      </c>
      <c r="AA227" s="1792" t="s">
        <v>2234</v>
      </c>
    </row>
    <row r="228" spans="1:27" x14ac:dyDescent="0.2">
      <c r="A228" s="1780" t="s">
        <v>1551</v>
      </c>
      <c r="B228" s="1781">
        <v>1</v>
      </c>
      <c r="C228" s="1782" t="s">
        <v>1981</v>
      </c>
      <c r="D228" s="1783">
        <v>7</v>
      </c>
      <c r="E228" s="1784">
        <v>4.75</v>
      </c>
      <c r="F228" s="1785">
        <v>0</v>
      </c>
      <c r="G228" s="1786">
        <v>1.375</v>
      </c>
      <c r="H228" s="1786" t="s">
        <v>114</v>
      </c>
      <c r="I228" s="1787">
        <v>0</v>
      </c>
      <c r="J228" s="1786">
        <v>0.25</v>
      </c>
      <c r="K228" s="1786" t="s">
        <v>114</v>
      </c>
      <c r="L228" s="1786">
        <v>3</v>
      </c>
      <c r="M228" s="1788">
        <v>3</v>
      </c>
      <c r="Q228" s="1787" t="s">
        <v>117</v>
      </c>
      <c r="W228" s="1790" t="s">
        <v>117</v>
      </c>
      <c r="X228" s="1791">
        <v>0</v>
      </c>
      <c r="Y228" s="1792" t="s">
        <v>117</v>
      </c>
      <c r="Z228" s="1791" t="s">
        <v>117</v>
      </c>
      <c r="AA228" s="1792" t="s">
        <v>2235</v>
      </c>
    </row>
    <row r="229" spans="1:27" x14ac:dyDescent="0.2">
      <c r="A229" s="1780" t="s">
        <v>1552</v>
      </c>
      <c r="B229" s="1781">
        <v>1</v>
      </c>
      <c r="C229" s="1782" t="s">
        <v>1980</v>
      </c>
      <c r="D229" s="1783">
        <v>18</v>
      </c>
      <c r="E229" s="1784">
        <v>6.25</v>
      </c>
      <c r="F229" s="1785">
        <v>0</v>
      </c>
      <c r="G229" s="1786">
        <v>1.375</v>
      </c>
      <c r="H229" s="1786" t="s">
        <v>114</v>
      </c>
      <c r="I229" s="1787">
        <v>0</v>
      </c>
      <c r="J229" s="1786">
        <v>0.25</v>
      </c>
      <c r="K229" s="1786" t="s">
        <v>114</v>
      </c>
      <c r="L229" s="1786">
        <v>3</v>
      </c>
      <c r="M229" s="1788">
        <v>3</v>
      </c>
      <c r="Q229" s="1787" t="s">
        <v>117</v>
      </c>
      <c r="W229" s="1790" t="s">
        <v>117</v>
      </c>
      <c r="X229" s="1791">
        <v>0</v>
      </c>
      <c r="Y229" s="1792" t="s">
        <v>117</v>
      </c>
      <c r="Z229" s="1791" t="s">
        <v>117</v>
      </c>
      <c r="AA229" s="1792" t="s">
        <v>2236</v>
      </c>
    </row>
    <row r="230" spans="1:27" x14ac:dyDescent="0.2">
      <c r="A230" s="1780" t="s">
        <v>1553</v>
      </c>
      <c r="B230" s="1781">
        <v>1</v>
      </c>
      <c r="C230" s="1782" t="s">
        <v>1980</v>
      </c>
      <c r="D230" s="1783">
        <v>29</v>
      </c>
      <c r="E230" s="1784">
        <v>7.75</v>
      </c>
      <c r="F230" s="1785">
        <v>0</v>
      </c>
      <c r="G230" s="1786">
        <v>1.375</v>
      </c>
      <c r="H230" s="1786" t="s">
        <v>114</v>
      </c>
      <c r="I230" s="1787">
        <v>0</v>
      </c>
      <c r="J230" s="1786">
        <v>0.25</v>
      </c>
      <c r="K230" s="1786" t="s">
        <v>114</v>
      </c>
      <c r="L230" s="1786">
        <v>3</v>
      </c>
      <c r="M230" s="1788">
        <v>3</v>
      </c>
      <c r="Q230" s="1787" t="s">
        <v>117</v>
      </c>
      <c r="W230" s="1790" t="s">
        <v>117</v>
      </c>
      <c r="X230" s="1791">
        <v>0</v>
      </c>
      <c r="Y230" s="1792" t="s">
        <v>117</v>
      </c>
      <c r="Z230" s="1791" t="s">
        <v>117</v>
      </c>
      <c r="AA230" s="1792" t="s">
        <v>2237</v>
      </c>
    </row>
    <row r="231" spans="1:27" x14ac:dyDescent="0.2">
      <c r="A231" s="1780" t="s">
        <v>1554</v>
      </c>
      <c r="B231" s="1781">
        <v>1</v>
      </c>
      <c r="C231" s="1782" t="s">
        <v>1979</v>
      </c>
      <c r="D231" s="1783">
        <v>40</v>
      </c>
      <c r="E231" s="1784">
        <v>9.125</v>
      </c>
      <c r="F231" s="1785">
        <v>0</v>
      </c>
      <c r="G231" s="1786">
        <v>1.375</v>
      </c>
      <c r="H231" s="1786" t="s">
        <v>114</v>
      </c>
      <c r="I231" s="1787">
        <v>0</v>
      </c>
      <c r="J231" s="1786">
        <v>0.25</v>
      </c>
      <c r="K231" s="1786" t="s">
        <v>114</v>
      </c>
      <c r="L231" s="1786">
        <v>3</v>
      </c>
      <c r="M231" s="1788">
        <v>3</v>
      </c>
      <c r="Q231" s="1787" t="s">
        <v>117</v>
      </c>
      <c r="W231" s="1790" t="s">
        <v>117</v>
      </c>
      <c r="X231" s="1791">
        <v>0</v>
      </c>
      <c r="Y231" s="1792" t="s">
        <v>117</v>
      </c>
      <c r="Z231" s="1791" t="s">
        <v>117</v>
      </c>
      <c r="AA231" s="1792" t="s">
        <v>2238</v>
      </c>
    </row>
    <row r="232" spans="1:27" x14ac:dyDescent="0.2">
      <c r="A232" s="1780" t="s">
        <v>1555</v>
      </c>
      <c r="B232" s="1781">
        <v>1</v>
      </c>
      <c r="C232" s="1782" t="s">
        <v>1979</v>
      </c>
      <c r="D232" s="1783">
        <v>57</v>
      </c>
      <c r="E232" s="1784">
        <v>5.375</v>
      </c>
      <c r="F232" s="1785">
        <v>0</v>
      </c>
      <c r="G232" s="1786">
        <v>1.375</v>
      </c>
      <c r="H232" s="1786" t="s">
        <v>114</v>
      </c>
      <c r="I232" s="1787">
        <v>0</v>
      </c>
      <c r="J232" s="1786">
        <v>0.25</v>
      </c>
      <c r="K232" s="1786" t="s">
        <v>114</v>
      </c>
      <c r="L232" s="1786">
        <v>3</v>
      </c>
      <c r="M232" s="1788">
        <v>3</v>
      </c>
      <c r="Q232" s="1787" t="s">
        <v>117</v>
      </c>
      <c r="W232" s="1790" t="s">
        <v>117</v>
      </c>
      <c r="X232" s="1791">
        <v>0</v>
      </c>
      <c r="Y232" s="1792" t="s">
        <v>117</v>
      </c>
      <c r="Z232" s="1791" t="s">
        <v>117</v>
      </c>
      <c r="AA232" s="1792" t="s">
        <v>2239</v>
      </c>
    </row>
    <row r="233" spans="1:27" x14ac:dyDescent="0.2">
      <c r="A233" s="1780" t="s">
        <v>1556</v>
      </c>
      <c r="B233" s="1781">
        <v>1</v>
      </c>
      <c r="C233" s="1782" t="s">
        <v>1978</v>
      </c>
      <c r="D233" s="1783">
        <v>68</v>
      </c>
      <c r="E233" s="1784">
        <v>6.75</v>
      </c>
      <c r="F233" s="1785">
        <v>0</v>
      </c>
      <c r="G233" s="1786">
        <v>1.375</v>
      </c>
      <c r="H233" s="1786" t="s">
        <v>114</v>
      </c>
      <c r="I233" s="1787">
        <v>8</v>
      </c>
      <c r="J233" s="1786">
        <v>8.625</v>
      </c>
      <c r="K233" s="1786" t="s">
        <v>114</v>
      </c>
      <c r="L233" s="1786">
        <v>3</v>
      </c>
      <c r="M233" s="1788">
        <v>3</v>
      </c>
      <c r="Q233" s="1787" t="s">
        <v>117</v>
      </c>
      <c r="W233" s="1790" t="s">
        <v>117</v>
      </c>
      <c r="X233" s="1791">
        <v>0</v>
      </c>
      <c r="Y233" s="1792" t="s">
        <v>117</v>
      </c>
      <c r="Z233" s="1791">
        <v>0.22858615642806401</v>
      </c>
      <c r="AA233" s="1792" t="s">
        <v>2240</v>
      </c>
    </row>
    <row r="234" spans="1:27" x14ac:dyDescent="0.2">
      <c r="A234" s="1780" t="s">
        <v>1557</v>
      </c>
      <c r="B234" s="1781">
        <v>3</v>
      </c>
      <c r="C234" s="1782" t="s">
        <v>1978</v>
      </c>
      <c r="D234" s="1783">
        <v>59</v>
      </c>
      <c r="E234" s="1784">
        <v>11.5</v>
      </c>
      <c r="F234" s="1785">
        <v>0</v>
      </c>
      <c r="G234" s="1786">
        <v>1.375</v>
      </c>
      <c r="H234" s="1786" t="s">
        <v>114</v>
      </c>
      <c r="I234" s="1787">
        <v>0</v>
      </c>
      <c r="J234" s="1786">
        <v>1.375</v>
      </c>
      <c r="K234" s="1786" t="s">
        <v>114</v>
      </c>
      <c r="L234" s="1786">
        <v>3</v>
      </c>
      <c r="M234" s="1788">
        <v>3</v>
      </c>
      <c r="Q234" s="1787" t="s">
        <v>117</v>
      </c>
      <c r="W234" s="1790" t="s">
        <v>117</v>
      </c>
      <c r="X234" s="1791">
        <v>0</v>
      </c>
      <c r="Y234" s="1792" t="s">
        <v>117</v>
      </c>
      <c r="Z234" s="1791" t="s">
        <v>117</v>
      </c>
      <c r="AA234" s="1792" t="s">
        <v>2241</v>
      </c>
    </row>
    <row r="235" spans="1:27" x14ac:dyDescent="0.2">
      <c r="A235" s="1780" t="s">
        <v>1558</v>
      </c>
      <c r="B235" s="1781">
        <v>1</v>
      </c>
      <c r="C235" s="1782" t="s">
        <v>1978</v>
      </c>
      <c r="D235" s="1783">
        <v>59</v>
      </c>
      <c r="E235" s="1784">
        <v>11.5</v>
      </c>
      <c r="F235" s="1785">
        <v>0</v>
      </c>
      <c r="G235" s="1786">
        <v>1.375</v>
      </c>
      <c r="H235" s="1786" t="s">
        <v>114</v>
      </c>
      <c r="I235" s="1787">
        <v>0</v>
      </c>
      <c r="J235" s="1786">
        <v>1.375</v>
      </c>
      <c r="K235" s="1786" t="s">
        <v>114</v>
      </c>
      <c r="L235" s="1786">
        <v>3</v>
      </c>
      <c r="M235" s="1788">
        <v>3</v>
      </c>
      <c r="Q235" s="1787" t="s">
        <v>117</v>
      </c>
      <c r="T235" s="1786">
        <v>0</v>
      </c>
      <c r="U235" s="1788">
        <v>2.25</v>
      </c>
      <c r="V235" s="1789">
        <v>0</v>
      </c>
      <c r="W235" s="1790">
        <v>2.25</v>
      </c>
      <c r="X235" s="1791">
        <v>4</v>
      </c>
      <c r="Y235" s="1792" t="s">
        <v>117</v>
      </c>
      <c r="Z235" s="1791" t="s">
        <v>117</v>
      </c>
      <c r="AA235" s="1792" t="s">
        <v>2242</v>
      </c>
    </row>
    <row r="236" spans="1:27" x14ac:dyDescent="0.2">
      <c r="A236" s="1780" t="s">
        <v>1559</v>
      </c>
      <c r="B236" s="1781">
        <v>1</v>
      </c>
      <c r="C236" s="1782" t="s">
        <v>1978</v>
      </c>
      <c r="D236" s="1783">
        <v>59</v>
      </c>
      <c r="E236" s="1784">
        <v>11.5</v>
      </c>
      <c r="F236" s="1785">
        <v>0</v>
      </c>
      <c r="G236" s="1786">
        <v>1.375</v>
      </c>
      <c r="H236" s="1786" t="s">
        <v>114</v>
      </c>
      <c r="I236" s="1787">
        <v>0</v>
      </c>
      <c r="J236" s="1786">
        <v>1.375</v>
      </c>
      <c r="K236" s="1786" t="s">
        <v>114</v>
      </c>
      <c r="L236" s="1786">
        <v>3</v>
      </c>
      <c r="M236" s="1788">
        <v>3</v>
      </c>
      <c r="Q236" s="1787" t="s">
        <v>117</v>
      </c>
      <c r="T236" s="1786">
        <v>0</v>
      </c>
      <c r="U236" s="1788">
        <v>2.25</v>
      </c>
      <c r="V236" s="1789">
        <v>0</v>
      </c>
      <c r="W236" s="1790">
        <v>2.25</v>
      </c>
      <c r="X236" s="1791">
        <v>4</v>
      </c>
      <c r="Y236" s="1792" t="s">
        <v>117</v>
      </c>
      <c r="Z236" s="1791" t="s">
        <v>117</v>
      </c>
      <c r="AA236" s="1792" t="s">
        <v>2241</v>
      </c>
    </row>
    <row r="237" spans="1:27" x14ac:dyDescent="0.2">
      <c r="A237" s="1780" t="s">
        <v>1560</v>
      </c>
      <c r="B237" s="1781">
        <v>2</v>
      </c>
      <c r="C237" s="1782" t="s">
        <v>1978</v>
      </c>
      <c r="D237" s="1783">
        <v>59</v>
      </c>
      <c r="E237" s="1784">
        <v>11.5</v>
      </c>
      <c r="F237" s="1785">
        <v>0</v>
      </c>
      <c r="G237" s="1786">
        <v>1.375</v>
      </c>
      <c r="H237" s="1786" t="s">
        <v>114</v>
      </c>
      <c r="I237" s="1787">
        <v>0</v>
      </c>
      <c r="J237" s="1786">
        <v>1.375</v>
      </c>
      <c r="K237" s="1786" t="s">
        <v>114</v>
      </c>
      <c r="L237" s="1786">
        <v>3</v>
      </c>
      <c r="M237" s="1788">
        <v>3</v>
      </c>
      <c r="Q237" s="1787" t="s">
        <v>117</v>
      </c>
      <c r="W237" s="1790" t="s">
        <v>117</v>
      </c>
      <c r="X237" s="1791">
        <v>0</v>
      </c>
      <c r="Y237" s="1792" t="s">
        <v>117</v>
      </c>
      <c r="Z237" s="1791" t="s">
        <v>117</v>
      </c>
      <c r="AA237" s="1792" t="s">
        <v>2243</v>
      </c>
    </row>
    <row r="238" spans="1:27" x14ac:dyDescent="0.2">
      <c r="A238" s="1780" t="s">
        <v>1561</v>
      </c>
      <c r="B238" s="1781">
        <v>65</v>
      </c>
      <c r="C238" s="1782" t="s">
        <v>1978</v>
      </c>
      <c r="D238" s="1783">
        <v>59</v>
      </c>
      <c r="E238" s="1784">
        <v>11.5</v>
      </c>
      <c r="F238" s="1785">
        <v>0</v>
      </c>
      <c r="G238" s="1786">
        <v>1.375</v>
      </c>
      <c r="H238" s="1786" t="s">
        <v>114</v>
      </c>
      <c r="I238" s="1787">
        <v>0</v>
      </c>
      <c r="J238" s="1786">
        <v>1.375</v>
      </c>
      <c r="K238" s="1786" t="s">
        <v>114</v>
      </c>
      <c r="L238" s="1786">
        <v>3</v>
      </c>
      <c r="M238" s="1788">
        <v>3</v>
      </c>
      <c r="Q238" s="1787" t="s">
        <v>117</v>
      </c>
      <c r="W238" s="1790" t="s">
        <v>117</v>
      </c>
      <c r="X238" s="1791">
        <v>0</v>
      </c>
      <c r="Y238" s="1792" t="s">
        <v>117</v>
      </c>
      <c r="Z238" s="1791" t="s">
        <v>117</v>
      </c>
      <c r="AA238" s="1792" t="s">
        <v>2095</v>
      </c>
    </row>
    <row r="239" spans="1:27" x14ac:dyDescent="0.2">
      <c r="A239" s="1780" t="s">
        <v>1562</v>
      </c>
      <c r="B239" s="1781">
        <v>1</v>
      </c>
      <c r="C239" s="1782" t="s">
        <v>1978</v>
      </c>
      <c r="D239" s="1783">
        <v>59</v>
      </c>
      <c r="E239" s="1784">
        <v>10</v>
      </c>
      <c r="F239" s="1785">
        <v>0</v>
      </c>
      <c r="G239" s="1786">
        <v>0.625</v>
      </c>
      <c r="H239" s="1786" t="s">
        <v>114</v>
      </c>
      <c r="I239" s="1787">
        <v>0</v>
      </c>
      <c r="J239" s="1786">
        <v>0.625</v>
      </c>
      <c r="K239" s="1786" t="s">
        <v>114</v>
      </c>
      <c r="L239" s="1786">
        <v>3</v>
      </c>
      <c r="M239" s="1788">
        <v>3</v>
      </c>
      <c r="N239" s="1785">
        <v>0</v>
      </c>
      <c r="O239" s="1786">
        <v>6.75</v>
      </c>
      <c r="P239" s="1786">
        <v>2</v>
      </c>
      <c r="Q239" s="1787">
        <v>0</v>
      </c>
      <c r="R239" s="1786">
        <v>5.375</v>
      </c>
      <c r="S239" s="1786">
        <v>2</v>
      </c>
      <c r="T239" s="1786">
        <v>0</v>
      </c>
      <c r="U239" s="1788">
        <v>1.5</v>
      </c>
      <c r="V239" s="1789">
        <v>0</v>
      </c>
      <c r="W239" s="1790">
        <v>1.5</v>
      </c>
      <c r="X239" s="1791">
        <v>4</v>
      </c>
      <c r="Y239" s="1792" t="s">
        <v>117</v>
      </c>
      <c r="Z239" s="1791" t="s">
        <v>117</v>
      </c>
      <c r="AA239" s="1792" t="s">
        <v>2099</v>
      </c>
    </row>
    <row r="240" spans="1:27" x14ac:dyDescent="0.2">
      <c r="A240" s="1780" t="s">
        <v>1563</v>
      </c>
      <c r="B240" s="1781">
        <v>12</v>
      </c>
      <c r="C240" s="1782" t="s">
        <v>1978</v>
      </c>
      <c r="D240" s="1783">
        <v>59</v>
      </c>
      <c r="E240" s="1784">
        <v>11.5</v>
      </c>
      <c r="F240" s="1785">
        <v>0</v>
      </c>
      <c r="G240" s="1786">
        <v>1.375</v>
      </c>
      <c r="H240" s="1786" t="s">
        <v>114</v>
      </c>
      <c r="I240" s="1787">
        <v>0</v>
      </c>
      <c r="J240" s="1786">
        <v>1.375</v>
      </c>
      <c r="K240" s="1786" t="s">
        <v>114</v>
      </c>
      <c r="L240" s="1786">
        <v>3</v>
      </c>
      <c r="M240" s="1788">
        <v>3</v>
      </c>
      <c r="Q240" s="1787" t="s">
        <v>117</v>
      </c>
      <c r="W240" s="1790" t="s">
        <v>117</v>
      </c>
      <c r="X240" s="1791">
        <v>0</v>
      </c>
      <c r="Y240" s="1792" t="s">
        <v>117</v>
      </c>
      <c r="Z240" s="1791" t="s">
        <v>117</v>
      </c>
      <c r="AA240" s="1792" t="s">
        <v>2096</v>
      </c>
    </row>
    <row r="241" spans="1:27" x14ac:dyDescent="0.2">
      <c r="A241" s="1780" t="s">
        <v>1564</v>
      </c>
      <c r="B241" s="1781">
        <v>14</v>
      </c>
      <c r="C241" s="1782" t="s">
        <v>1978</v>
      </c>
      <c r="D241" s="1783">
        <v>59</v>
      </c>
      <c r="E241" s="1784">
        <v>11.5</v>
      </c>
      <c r="F241" s="1785">
        <v>0</v>
      </c>
      <c r="G241" s="1786">
        <v>1.375</v>
      </c>
      <c r="H241" s="1786" t="s">
        <v>114</v>
      </c>
      <c r="I241" s="1787">
        <v>0</v>
      </c>
      <c r="J241" s="1786">
        <v>1.375</v>
      </c>
      <c r="K241" s="1786" t="s">
        <v>114</v>
      </c>
      <c r="L241" s="1786">
        <v>3</v>
      </c>
      <c r="M241" s="1788">
        <v>3</v>
      </c>
      <c r="Q241" s="1787" t="s">
        <v>117</v>
      </c>
      <c r="T241" s="1786">
        <v>0</v>
      </c>
      <c r="U241" s="1788">
        <v>2.25</v>
      </c>
      <c r="V241" s="1789">
        <v>0</v>
      </c>
      <c r="W241" s="1790">
        <v>2.25</v>
      </c>
      <c r="X241" s="1791">
        <v>4</v>
      </c>
      <c r="Y241" s="1792" t="s">
        <v>117</v>
      </c>
      <c r="Z241" s="1791" t="s">
        <v>117</v>
      </c>
      <c r="AA241" s="1792" t="s">
        <v>2095</v>
      </c>
    </row>
    <row r="242" spans="1:27" x14ac:dyDescent="0.2">
      <c r="A242" s="1780" t="s">
        <v>1565</v>
      </c>
      <c r="B242" s="1781">
        <v>6</v>
      </c>
      <c r="C242" s="1782" t="s">
        <v>1978</v>
      </c>
      <c r="D242" s="1783">
        <v>59</v>
      </c>
      <c r="E242" s="1784">
        <v>10</v>
      </c>
      <c r="F242" s="1785">
        <v>0</v>
      </c>
      <c r="G242" s="1786">
        <v>0.625</v>
      </c>
      <c r="H242" s="1786" t="s">
        <v>114</v>
      </c>
      <c r="I242" s="1787">
        <v>0</v>
      </c>
      <c r="J242" s="1786">
        <v>0.625</v>
      </c>
      <c r="K242" s="1786" t="s">
        <v>114</v>
      </c>
      <c r="L242" s="1786">
        <v>3</v>
      </c>
      <c r="M242" s="1788">
        <v>3</v>
      </c>
      <c r="N242" s="1785">
        <v>0</v>
      </c>
      <c r="O242" s="1786">
        <v>6.75</v>
      </c>
      <c r="P242" s="1786">
        <v>2</v>
      </c>
      <c r="Q242" s="1787">
        <v>0</v>
      </c>
      <c r="R242" s="1786">
        <v>5.375</v>
      </c>
      <c r="S242" s="1786">
        <v>2</v>
      </c>
      <c r="T242" s="1786">
        <v>0</v>
      </c>
      <c r="U242" s="1788">
        <v>1.5</v>
      </c>
      <c r="V242" s="1789">
        <v>0</v>
      </c>
      <c r="W242" s="1790">
        <v>1.5</v>
      </c>
      <c r="X242" s="1791">
        <v>4</v>
      </c>
      <c r="Y242" s="1792" t="s">
        <v>117</v>
      </c>
      <c r="Z242" s="1791" t="s">
        <v>117</v>
      </c>
      <c r="AA242" s="1792" t="s">
        <v>2098</v>
      </c>
    </row>
    <row r="243" spans="1:27" x14ac:dyDescent="0.2">
      <c r="A243" s="1780" t="s">
        <v>1566</v>
      </c>
      <c r="B243" s="1781">
        <v>1</v>
      </c>
      <c r="C243" s="1782" t="s">
        <v>1978</v>
      </c>
      <c r="D243" s="1783">
        <v>59</v>
      </c>
      <c r="E243" s="1784">
        <v>11.5</v>
      </c>
      <c r="F243" s="1785">
        <v>0</v>
      </c>
      <c r="G243" s="1786">
        <v>1.375</v>
      </c>
      <c r="H243" s="1786" t="s">
        <v>114</v>
      </c>
      <c r="I243" s="1787">
        <v>0</v>
      </c>
      <c r="J243" s="1786">
        <v>1.375</v>
      </c>
      <c r="K243" s="1786" t="s">
        <v>114</v>
      </c>
      <c r="L243" s="1786">
        <v>3</v>
      </c>
      <c r="M243" s="1788">
        <v>3</v>
      </c>
      <c r="Q243" s="1787" t="s">
        <v>117</v>
      </c>
      <c r="T243" s="1786">
        <v>0</v>
      </c>
      <c r="U243" s="1788">
        <v>2.25</v>
      </c>
      <c r="V243" s="1789">
        <v>0</v>
      </c>
      <c r="W243" s="1790">
        <v>2.25</v>
      </c>
      <c r="X243" s="1791">
        <v>4</v>
      </c>
      <c r="Y243" s="1792" t="s">
        <v>117</v>
      </c>
      <c r="Z243" s="1791" t="s">
        <v>117</v>
      </c>
      <c r="AA243" s="1792" t="s">
        <v>2096</v>
      </c>
    </row>
    <row r="244" spans="1:27" x14ac:dyDescent="0.2">
      <c r="A244" s="1780" t="s">
        <v>1567</v>
      </c>
      <c r="B244" s="1781">
        <v>6</v>
      </c>
      <c r="C244" s="1782" t="s">
        <v>1978</v>
      </c>
      <c r="D244" s="1783">
        <v>59</v>
      </c>
      <c r="E244" s="1784">
        <v>11.5</v>
      </c>
      <c r="F244" s="1785">
        <v>0</v>
      </c>
      <c r="G244" s="1786">
        <v>1.375</v>
      </c>
      <c r="H244" s="1786" t="s">
        <v>114</v>
      </c>
      <c r="I244" s="1787">
        <v>0</v>
      </c>
      <c r="J244" s="1786">
        <v>1.375</v>
      </c>
      <c r="K244" s="1786" t="s">
        <v>114</v>
      </c>
      <c r="L244" s="1786">
        <v>3</v>
      </c>
      <c r="M244" s="1788">
        <v>3</v>
      </c>
      <c r="Q244" s="1787" t="s">
        <v>117</v>
      </c>
      <c r="W244" s="1790" t="s">
        <v>117</v>
      </c>
      <c r="X244" s="1791">
        <v>0</v>
      </c>
      <c r="Y244" s="1792" t="s">
        <v>117</v>
      </c>
      <c r="Z244" s="1791" t="s">
        <v>117</v>
      </c>
      <c r="AA244" s="1792" t="s">
        <v>2097</v>
      </c>
    </row>
    <row r="245" spans="1:27" x14ac:dyDescent="0.2">
      <c r="A245" s="1780" t="s">
        <v>1568</v>
      </c>
      <c r="B245" s="1781">
        <v>1</v>
      </c>
      <c r="C245" s="1782" t="s">
        <v>1978</v>
      </c>
      <c r="D245" s="1783">
        <v>59</v>
      </c>
      <c r="E245" s="1784">
        <v>10</v>
      </c>
      <c r="F245" s="1785">
        <v>0</v>
      </c>
      <c r="G245" s="1786">
        <v>0.625</v>
      </c>
      <c r="H245" s="1786" t="s">
        <v>114</v>
      </c>
      <c r="I245" s="1787">
        <v>0</v>
      </c>
      <c r="J245" s="1786">
        <v>0.625</v>
      </c>
      <c r="K245" s="1786" t="s">
        <v>114</v>
      </c>
      <c r="L245" s="1786">
        <v>3</v>
      </c>
      <c r="M245" s="1788">
        <v>3</v>
      </c>
      <c r="N245" s="1785">
        <v>0</v>
      </c>
      <c r="O245" s="1786">
        <v>6.75</v>
      </c>
      <c r="P245" s="1786">
        <v>2</v>
      </c>
      <c r="Q245" s="1787">
        <v>0</v>
      </c>
      <c r="R245" s="1786">
        <v>5.375</v>
      </c>
      <c r="S245" s="1786">
        <v>2</v>
      </c>
      <c r="T245" s="1786">
        <v>0</v>
      </c>
      <c r="U245" s="1788">
        <v>1.5</v>
      </c>
      <c r="V245" s="1789">
        <v>0</v>
      </c>
      <c r="W245" s="1790">
        <v>1.5</v>
      </c>
      <c r="X245" s="1791">
        <v>4</v>
      </c>
      <c r="Y245" s="1792" t="s">
        <v>117</v>
      </c>
      <c r="Z245" s="1791" t="s">
        <v>117</v>
      </c>
      <c r="AA245" s="1792" t="s">
        <v>2117</v>
      </c>
    </row>
    <row r="246" spans="1:27" x14ac:dyDescent="0.2">
      <c r="A246" s="1780" t="s">
        <v>1569</v>
      </c>
      <c r="B246" s="1781">
        <v>1</v>
      </c>
      <c r="C246" s="1782" t="s">
        <v>1980</v>
      </c>
      <c r="D246" s="1783">
        <v>11</v>
      </c>
      <c r="E246" s="1784">
        <v>9.5</v>
      </c>
      <c r="F246" s="1785">
        <v>0</v>
      </c>
      <c r="G246" s="1786">
        <v>1.375</v>
      </c>
      <c r="H246" s="1786" t="s">
        <v>114</v>
      </c>
      <c r="I246" s="1787">
        <v>0</v>
      </c>
      <c r="J246" s="1786">
        <v>0.25</v>
      </c>
      <c r="K246" s="1786" t="s">
        <v>114</v>
      </c>
      <c r="L246" s="1786">
        <v>3</v>
      </c>
      <c r="M246" s="1788">
        <v>3</v>
      </c>
      <c r="Q246" s="1787" t="s">
        <v>117</v>
      </c>
      <c r="W246" s="1790" t="s">
        <v>117</v>
      </c>
      <c r="X246" s="1791">
        <v>0</v>
      </c>
      <c r="Y246" s="1792">
        <v>0.46666665526309398</v>
      </c>
      <c r="Z246" s="1791">
        <v>-0.46666665526309398</v>
      </c>
      <c r="AA246" s="1792" t="s">
        <v>2245</v>
      </c>
    </row>
    <row r="247" spans="1:27" x14ac:dyDescent="0.2">
      <c r="A247" s="1780" t="s">
        <v>1570</v>
      </c>
      <c r="B247" s="1781">
        <v>1</v>
      </c>
      <c r="C247" s="1782" t="s">
        <v>1980</v>
      </c>
      <c r="D247" s="1783">
        <v>22</v>
      </c>
      <c r="E247" s="1784">
        <v>10.875</v>
      </c>
      <c r="F247" s="1785">
        <v>0</v>
      </c>
      <c r="G247" s="1786">
        <v>1.375</v>
      </c>
      <c r="H247" s="1786" t="s">
        <v>114</v>
      </c>
      <c r="I247" s="1787">
        <v>0</v>
      </c>
      <c r="J247" s="1786">
        <v>0.25</v>
      </c>
      <c r="K247" s="1786" t="s">
        <v>114</v>
      </c>
      <c r="L247" s="1786">
        <v>3</v>
      </c>
      <c r="M247" s="1788">
        <v>3</v>
      </c>
      <c r="Q247" s="1787" t="s">
        <v>117</v>
      </c>
      <c r="W247" s="1790" t="s">
        <v>117</v>
      </c>
      <c r="X247" s="1791">
        <v>0</v>
      </c>
      <c r="Y247" s="1792">
        <v>0.46666667546662299</v>
      </c>
      <c r="Z247" s="1791">
        <v>-0.46666667546662299</v>
      </c>
      <c r="AA247" s="1792" t="s">
        <v>2246</v>
      </c>
    </row>
    <row r="248" spans="1:27" x14ac:dyDescent="0.2">
      <c r="A248" s="1780" t="s">
        <v>1571</v>
      </c>
      <c r="B248" s="1781">
        <v>1</v>
      </c>
      <c r="C248" s="1782" t="s">
        <v>1980</v>
      </c>
      <c r="D248" s="1783">
        <v>33</v>
      </c>
      <c r="E248" s="1784">
        <v>11.875</v>
      </c>
      <c r="F248" s="1785">
        <v>0</v>
      </c>
      <c r="G248" s="1786">
        <v>0.625</v>
      </c>
      <c r="H248" s="1786" t="s">
        <v>114</v>
      </c>
      <c r="I248" s="1787">
        <v>0</v>
      </c>
      <c r="J248" s="1786">
        <v>0.25</v>
      </c>
      <c r="K248" s="1786" t="s">
        <v>114</v>
      </c>
      <c r="L248" s="1786">
        <v>3</v>
      </c>
      <c r="M248" s="1788">
        <v>3</v>
      </c>
      <c r="N248" s="1785">
        <v>0</v>
      </c>
      <c r="O248" s="1786">
        <v>4.875</v>
      </c>
      <c r="P248" s="1786">
        <v>2</v>
      </c>
      <c r="Q248" s="1787" t="s">
        <v>117</v>
      </c>
      <c r="T248" s="1786">
        <v>0</v>
      </c>
      <c r="U248" s="1788">
        <v>1.5</v>
      </c>
      <c r="V248" s="1789">
        <v>0</v>
      </c>
      <c r="W248" s="1790">
        <v>3.875</v>
      </c>
      <c r="X248" s="1791">
        <v>4</v>
      </c>
      <c r="Y248" s="1792">
        <v>0.46666666182322297</v>
      </c>
      <c r="Z248" s="1791">
        <v>-0.46666666182322297</v>
      </c>
      <c r="AA248" s="1792" t="s">
        <v>2247</v>
      </c>
    </row>
    <row r="249" spans="1:27" x14ac:dyDescent="0.2">
      <c r="A249" s="1780" t="s">
        <v>1572</v>
      </c>
      <c r="B249" s="1781">
        <v>1</v>
      </c>
      <c r="C249" s="1782" t="s">
        <v>1979</v>
      </c>
      <c r="D249" s="1783">
        <v>45</v>
      </c>
      <c r="E249" s="1784">
        <v>2.25</v>
      </c>
      <c r="F249" s="1785">
        <v>0</v>
      </c>
      <c r="G249" s="1786">
        <v>1.375</v>
      </c>
      <c r="H249" s="1786" t="s">
        <v>114</v>
      </c>
      <c r="I249" s="1787">
        <v>0</v>
      </c>
      <c r="J249" s="1786">
        <v>0.25</v>
      </c>
      <c r="K249" s="1786" t="s">
        <v>114</v>
      </c>
      <c r="L249" s="1786">
        <v>3</v>
      </c>
      <c r="M249" s="1788">
        <v>3</v>
      </c>
      <c r="Q249" s="1787" t="s">
        <v>117</v>
      </c>
      <c r="W249" s="1790" t="s">
        <v>117</v>
      </c>
      <c r="X249" s="1791">
        <v>0</v>
      </c>
      <c r="Y249" s="1792">
        <v>0.46666667047418398</v>
      </c>
      <c r="Z249" s="1791">
        <v>-0.46666667047418398</v>
      </c>
      <c r="AA249" s="1792" t="s">
        <v>2248</v>
      </c>
    </row>
    <row r="250" spans="1:27" x14ac:dyDescent="0.2">
      <c r="A250" s="1780" t="s">
        <v>1573</v>
      </c>
      <c r="B250" s="1781">
        <v>1</v>
      </c>
      <c r="C250" s="1782" t="s">
        <v>1978</v>
      </c>
      <c r="D250" s="1783">
        <v>56</v>
      </c>
      <c r="E250" s="1784">
        <v>3.75</v>
      </c>
      <c r="F250" s="1785">
        <v>0</v>
      </c>
      <c r="G250" s="1786">
        <v>1.375</v>
      </c>
      <c r="H250" s="1786" t="s">
        <v>114</v>
      </c>
      <c r="I250" s="1787">
        <v>0</v>
      </c>
      <c r="J250" s="1786">
        <v>0.875</v>
      </c>
      <c r="K250" s="1786" t="s">
        <v>114</v>
      </c>
      <c r="L250" s="1786">
        <v>3</v>
      </c>
      <c r="M250" s="1788">
        <v>3</v>
      </c>
      <c r="Q250" s="1787" t="s">
        <v>117</v>
      </c>
      <c r="W250" s="1790" t="s">
        <v>117</v>
      </c>
      <c r="X250" s="1791">
        <v>0</v>
      </c>
      <c r="Y250" s="1792">
        <v>0.466666670105855</v>
      </c>
      <c r="Z250" s="1791">
        <v>-0.466666670105855</v>
      </c>
      <c r="AA250" s="1792" t="s">
        <v>2249</v>
      </c>
    </row>
    <row r="251" spans="1:27" x14ac:dyDescent="0.2">
      <c r="A251" s="1780" t="s">
        <v>1574</v>
      </c>
      <c r="B251" s="1781">
        <v>1</v>
      </c>
      <c r="C251" s="1782" t="s">
        <v>1978</v>
      </c>
      <c r="D251" s="1783">
        <v>59</v>
      </c>
      <c r="E251" s="1784">
        <v>11.875</v>
      </c>
      <c r="F251" s="1785">
        <v>0</v>
      </c>
      <c r="G251" s="1786">
        <v>1.375</v>
      </c>
      <c r="H251" s="1786" t="s">
        <v>114</v>
      </c>
      <c r="I251" s="1787">
        <v>0</v>
      </c>
      <c r="J251" s="1786">
        <v>1.375</v>
      </c>
      <c r="K251" s="1786" t="s">
        <v>114</v>
      </c>
      <c r="L251" s="1786">
        <v>3</v>
      </c>
      <c r="M251" s="1788">
        <v>3</v>
      </c>
      <c r="Q251" s="1787" t="s">
        <v>117</v>
      </c>
      <c r="W251" s="1790" t="s">
        <v>117</v>
      </c>
      <c r="X251" s="1791">
        <v>0</v>
      </c>
      <c r="Y251" s="1792" t="s">
        <v>117</v>
      </c>
      <c r="Z251" s="1791" t="s">
        <v>117</v>
      </c>
      <c r="AA251" s="1792" t="s">
        <v>2190</v>
      </c>
    </row>
    <row r="252" spans="1:27" x14ac:dyDescent="0.2">
      <c r="A252" s="1780" t="s">
        <v>1575</v>
      </c>
      <c r="B252" s="1781">
        <v>1</v>
      </c>
      <c r="C252" s="1782" t="s">
        <v>1978</v>
      </c>
      <c r="D252" s="1783">
        <v>59</v>
      </c>
      <c r="E252" s="1784">
        <v>11.75</v>
      </c>
      <c r="F252" s="1785">
        <v>0</v>
      </c>
      <c r="G252" s="1786">
        <v>1.375</v>
      </c>
      <c r="H252" s="1786" t="s">
        <v>114</v>
      </c>
      <c r="I252" s="1787">
        <v>0</v>
      </c>
      <c r="J252" s="1786">
        <v>1.375</v>
      </c>
      <c r="K252" s="1786" t="s">
        <v>114</v>
      </c>
      <c r="L252" s="1786">
        <v>3</v>
      </c>
      <c r="M252" s="1788">
        <v>3</v>
      </c>
      <c r="Q252" s="1787" t="s">
        <v>117</v>
      </c>
      <c r="W252" s="1790" t="s">
        <v>117</v>
      </c>
      <c r="X252" s="1791">
        <v>0</v>
      </c>
      <c r="Y252" s="1792" t="s">
        <v>117</v>
      </c>
      <c r="Z252" s="1791" t="s">
        <v>117</v>
      </c>
      <c r="AA252" s="1792" t="s">
        <v>2095</v>
      </c>
    </row>
    <row r="253" spans="1:27" x14ac:dyDescent="0.2">
      <c r="A253" s="1780" t="s">
        <v>1576</v>
      </c>
      <c r="B253" s="1781">
        <v>1</v>
      </c>
      <c r="C253" s="1782" t="s">
        <v>1980</v>
      </c>
      <c r="D253" s="1783">
        <v>16</v>
      </c>
      <c r="E253" s="1784">
        <v>2.125</v>
      </c>
      <c r="F253" s="1785">
        <v>0</v>
      </c>
      <c r="G253" s="1786">
        <v>1.375</v>
      </c>
      <c r="H253" s="1786" t="s">
        <v>114</v>
      </c>
      <c r="I253" s="1787">
        <v>0</v>
      </c>
      <c r="J253" s="1786">
        <v>0.25</v>
      </c>
      <c r="K253" s="1786" t="s">
        <v>114</v>
      </c>
      <c r="L253" s="1786">
        <v>3</v>
      </c>
      <c r="M253" s="1788">
        <v>3</v>
      </c>
      <c r="Q253" s="1787" t="s">
        <v>117</v>
      </c>
      <c r="W253" s="1790" t="s">
        <v>117</v>
      </c>
      <c r="X253" s="1791">
        <v>0</v>
      </c>
      <c r="Y253" s="1792" t="s">
        <v>117</v>
      </c>
      <c r="Z253" s="1791" t="s">
        <v>117</v>
      </c>
      <c r="AA253" s="1792" t="s">
        <v>2224</v>
      </c>
    </row>
    <row r="254" spans="1:27" x14ac:dyDescent="0.2">
      <c r="A254" s="1780" t="s">
        <v>1577</v>
      </c>
      <c r="B254" s="1781">
        <v>1</v>
      </c>
      <c r="C254" s="1782" t="s">
        <v>1980</v>
      </c>
      <c r="D254" s="1783">
        <v>27</v>
      </c>
      <c r="E254" s="1784">
        <v>3.625</v>
      </c>
      <c r="F254" s="1785">
        <v>0</v>
      </c>
      <c r="G254" s="1786">
        <v>1.375</v>
      </c>
      <c r="H254" s="1786" t="s">
        <v>114</v>
      </c>
      <c r="I254" s="1787">
        <v>0</v>
      </c>
      <c r="J254" s="1786">
        <v>0.25</v>
      </c>
      <c r="K254" s="1786" t="s">
        <v>114</v>
      </c>
      <c r="L254" s="1786">
        <v>3</v>
      </c>
      <c r="M254" s="1788">
        <v>3</v>
      </c>
      <c r="Q254" s="1787" t="s">
        <v>117</v>
      </c>
      <c r="W254" s="1790" t="s">
        <v>117</v>
      </c>
      <c r="X254" s="1791">
        <v>0</v>
      </c>
      <c r="Y254" s="1792" t="s">
        <v>117</v>
      </c>
      <c r="Z254" s="1791" t="s">
        <v>117</v>
      </c>
      <c r="AA254" s="1792" t="s">
        <v>2250</v>
      </c>
    </row>
    <row r="255" spans="1:27" x14ac:dyDescent="0.2">
      <c r="A255" s="1780" t="s">
        <v>1578</v>
      </c>
      <c r="B255" s="1781">
        <v>1</v>
      </c>
      <c r="C255" s="1782" t="s">
        <v>1980</v>
      </c>
      <c r="D255" s="1783">
        <v>38</v>
      </c>
      <c r="E255" s="1784">
        <v>5.125</v>
      </c>
      <c r="F255" s="1785">
        <v>0</v>
      </c>
      <c r="G255" s="1786">
        <v>1.375</v>
      </c>
      <c r="H255" s="1786" t="s">
        <v>114</v>
      </c>
      <c r="I255" s="1787">
        <v>0</v>
      </c>
      <c r="J255" s="1786">
        <v>0.25</v>
      </c>
      <c r="K255" s="1786" t="s">
        <v>114</v>
      </c>
      <c r="L255" s="1786">
        <v>3</v>
      </c>
      <c r="M255" s="1788">
        <v>3</v>
      </c>
      <c r="Q255" s="1787" t="s">
        <v>117</v>
      </c>
      <c r="W255" s="1790" t="s">
        <v>117</v>
      </c>
      <c r="X255" s="1791">
        <v>0</v>
      </c>
      <c r="Y255" s="1792" t="s">
        <v>117</v>
      </c>
      <c r="Z255" s="1791" t="s">
        <v>117</v>
      </c>
      <c r="AA255" s="1792" t="s">
        <v>2251</v>
      </c>
    </row>
    <row r="256" spans="1:27" x14ac:dyDescent="0.2">
      <c r="A256" s="1780" t="s">
        <v>1579</v>
      </c>
      <c r="B256" s="1781">
        <v>1</v>
      </c>
      <c r="C256" s="1782" t="s">
        <v>1979</v>
      </c>
      <c r="D256" s="1783">
        <v>49</v>
      </c>
      <c r="E256" s="1784">
        <v>6.5</v>
      </c>
      <c r="F256" s="1785">
        <v>0</v>
      </c>
      <c r="G256" s="1786">
        <v>1.375</v>
      </c>
      <c r="H256" s="1786" t="s">
        <v>114</v>
      </c>
      <c r="I256" s="1787">
        <v>0</v>
      </c>
      <c r="J256" s="1786">
        <v>0.25</v>
      </c>
      <c r="K256" s="1786" t="s">
        <v>114</v>
      </c>
      <c r="L256" s="1786">
        <v>3</v>
      </c>
      <c r="M256" s="1788">
        <v>3</v>
      </c>
      <c r="Q256" s="1787" t="s">
        <v>117</v>
      </c>
      <c r="W256" s="1790" t="s">
        <v>117</v>
      </c>
      <c r="X256" s="1791">
        <v>0</v>
      </c>
      <c r="Y256" s="1792" t="s">
        <v>117</v>
      </c>
      <c r="Z256" s="1791" t="s">
        <v>117</v>
      </c>
      <c r="AA256" s="1792" t="s">
        <v>2252</v>
      </c>
    </row>
    <row r="257" spans="1:27" x14ac:dyDescent="0.2">
      <c r="A257" s="1780" t="s">
        <v>1580</v>
      </c>
      <c r="B257" s="1781">
        <v>1</v>
      </c>
      <c r="C257" s="1782" t="s">
        <v>1978</v>
      </c>
      <c r="D257" s="1783">
        <v>59</v>
      </c>
      <c r="E257" s="1784">
        <v>11.5</v>
      </c>
      <c r="F257" s="1785">
        <v>0</v>
      </c>
      <c r="G257" s="1786">
        <v>1.375</v>
      </c>
      <c r="H257" s="1786" t="s">
        <v>114</v>
      </c>
      <c r="I257" s="1787">
        <v>0</v>
      </c>
      <c r="J257" s="1786">
        <v>1.375</v>
      </c>
      <c r="K257" s="1786" t="s">
        <v>114</v>
      </c>
      <c r="L257" s="1786">
        <v>3</v>
      </c>
      <c r="M257" s="1788">
        <v>3</v>
      </c>
      <c r="Q257" s="1787" t="s">
        <v>117</v>
      </c>
      <c r="W257" s="1790" t="s">
        <v>117</v>
      </c>
      <c r="X257" s="1791">
        <v>0</v>
      </c>
      <c r="Y257" s="1792" t="s">
        <v>117</v>
      </c>
      <c r="Z257" s="1791" t="s">
        <v>117</v>
      </c>
      <c r="AA257" s="1792" t="s">
        <v>2253</v>
      </c>
    </row>
    <row r="258" spans="1:27" x14ac:dyDescent="0.2">
      <c r="A258" s="1780" t="s">
        <v>1581</v>
      </c>
      <c r="B258" s="1781">
        <v>2</v>
      </c>
      <c r="C258" s="1782" t="s">
        <v>1978</v>
      </c>
      <c r="D258" s="1783">
        <v>59</v>
      </c>
      <c r="E258" s="1784">
        <v>11.5</v>
      </c>
      <c r="F258" s="1785">
        <v>0</v>
      </c>
      <c r="G258" s="1786">
        <v>1.375</v>
      </c>
      <c r="H258" s="1786" t="s">
        <v>114</v>
      </c>
      <c r="I258" s="1787">
        <v>0</v>
      </c>
      <c r="J258" s="1786">
        <v>1.375</v>
      </c>
      <c r="K258" s="1786" t="s">
        <v>114</v>
      </c>
      <c r="L258" s="1786">
        <v>3</v>
      </c>
      <c r="M258" s="1788">
        <v>3</v>
      </c>
      <c r="Q258" s="1787" t="s">
        <v>117</v>
      </c>
      <c r="W258" s="1790" t="s">
        <v>117</v>
      </c>
      <c r="X258" s="1791">
        <v>0</v>
      </c>
      <c r="Y258" s="1792" t="s">
        <v>117</v>
      </c>
      <c r="Z258" s="1791" t="s">
        <v>117</v>
      </c>
      <c r="AA258" s="1792" t="s">
        <v>2254</v>
      </c>
    </row>
    <row r="259" spans="1:27" x14ac:dyDescent="0.2">
      <c r="A259" s="1780" t="s">
        <v>1582</v>
      </c>
      <c r="B259" s="1781">
        <v>5</v>
      </c>
      <c r="C259" s="1782" t="s">
        <v>1978</v>
      </c>
      <c r="D259" s="1783">
        <v>59</v>
      </c>
      <c r="E259" s="1784">
        <v>0.625</v>
      </c>
      <c r="I259" s="1787">
        <v>0</v>
      </c>
      <c r="J259" s="1786">
        <v>1.375</v>
      </c>
      <c r="K259" s="1786" t="s">
        <v>114</v>
      </c>
      <c r="L259" s="1786">
        <v>3</v>
      </c>
      <c r="M259" s="1788">
        <v>3</v>
      </c>
      <c r="Q259" s="1787" t="s">
        <v>117</v>
      </c>
      <c r="W259" s="1790" t="s">
        <v>117</v>
      </c>
      <c r="X259" s="1791">
        <v>0</v>
      </c>
      <c r="Y259" s="1792" t="s">
        <v>117</v>
      </c>
      <c r="Z259" s="1791" t="s">
        <v>117</v>
      </c>
      <c r="AA259" s="1792" t="s">
        <v>2255</v>
      </c>
    </row>
    <row r="260" spans="1:27" x14ac:dyDescent="0.2">
      <c r="A260" s="1780" t="s">
        <v>1583</v>
      </c>
      <c r="B260" s="1781">
        <v>2</v>
      </c>
      <c r="C260" s="1782" t="s">
        <v>1978</v>
      </c>
      <c r="D260" s="1783">
        <v>59</v>
      </c>
      <c r="E260" s="1784">
        <v>0.625</v>
      </c>
      <c r="I260" s="1787">
        <v>0</v>
      </c>
      <c r="J260" s="1786">
        <v>1.375</v>
      </c>
      <c r="K260" s="1786" t="s">
        <v>114</v>
      </c>
      <c r="L260" s="1786">
        <v>3</v>
      </c>
      <c r="M260" s="1788">
        <v>3</v>
      </c>
      <c r="Q260" s="1787" t="s">
        <v>117</v>
      </c>
      <c r="T260" s="1786">
        <v>0</v>
      </c>
      <c r="U260" s="1788">
        <v>1.125</v>
      </c>
      <c r="V260" s="1789">
        <v>0</v>
      </c>
      <c r="W260" s="1790">
        <v>2.25</v>
      </c>
      <c r="X260" s="1791">
        <v>4</v>
      </c>
      <c r="Y260" s="1792" t="s">
        <v>117</v>
      </c>
      <c r="Z260" s="1791" t="s">
        <v>117</v>
      </c>
      <c r="AA260" s="1792" t="s">
        <v>2255</v>
      </c>
    </row>
    <row r="261" spans="1:27" x14ac:dyDescent="0.2">
      <c r="A261" s="1780" t="s">
        <v>1584</v>
      </c>
      <c r="B261" s="1781">
        <v>1</v>
      </c>
      <c r="C261" s="1782" t="s">
        <v>1978</v>
      </c>
      <c r="D261" s="1783">
        <v>59</v>
      </c>
      <c r="E261" s="1784">
        <v>0.625</v>
      </c>
      <c r="I261" s="1787">
        <v>0</v>
      </c>
      <c r="J261" s="1786">
        <v>1.375</v>
      </c>
      <c r="K261" s="1786" t="s">
        <v>114</v>
      </c>
      <c r="L261" s="1786">
        <v>3</v>
      </c>
      <c r="M261" s="1788">
        <v>3</v>
      </c>
      <c r="Q261" s="1787" t="s">
        <v>117</v>
      </c>
      <c r="W261" s="1790" t="s">
        <v>117</v>
      </c>
      <c r="X261" s="1791">
        <v>0</v>
      </c>
      <c r="Y261" s="1792" t="s">
        <v>117</v>
      </c>
      <c r="Z261" s="1791" t="s">
        <v>117</v>
      </c>
      <c r="AA261" s="1792" t="s">
        <v>2256</v>
      </c>
    </row>
    <row r="262" spans="1:27" x14ac:dyDescent="0.2">
      <c r="A262" s="1780" t="s">
        <v>1585</v>
      </c>
      <c r="B262" s="1781">
        <v>1</v>
      </c>
      <c r="C262" s="1782" t="s">
        <v>1978</v>
      </c>
      <c r="D262" s="1783">
        <v>59</v>
      </c>
      <c r="E262" s="1784">
        <v>0.625</v>
      </c>
      <c r="I262" s="1787">
        <v>0</v>
      </c>
      <c r="J262" s="1786">
        <v>1.375</v>
      </c>
      <c r="K262" s="1786" t="s">
        <v>114</v>
      </c>
      <c r="L262" s="1786">
        <v>3</v>
      </c>
      <c r="M262" s="1788">
        <v>3</v>
      </c>
      <c r="Q262" s="1787" t="s">
        <v>117</v>
      </c>
      <c r="W262" s="1790" t="s">
        <v>117</v>
      </c>
      <c r="X262" s="1791">
        <v>0</v>
      </c>
      <c r="Y262" s="1792" t="s">
        <v>117</v>
      </c>
      <c r="Z262" s="1791" t="s">
        <v>117</v>
      </c>
      <c r="AA262" s="1792" t="s">
        <v>2257</v>
      </c>
    </row>
    <row r="263" spans="1:27" x14ac:dyDescent="0.2">
      <c r="A263" s="1780" t="s">
        <v>1586</v>
      </c>
      <c r="B263" s="1781">
        <v>12</v>
      </c>
      <c r="C263" s="1782" t="s">
        <v>1978</v>
      </c>
      <c r="D263" s="1783">
        <v>59</v>
      </c>
      <c r="E263" s="1784">
        <v>0.625</v>
      </c>
      <c r="I263" s="1787">
        <v>0</v>
      </c>
      <c r="J263" s="1786">
        <v>1.375</v>
      </c>
      <c r="K263" s="1786" t="s">
        <v>114</v>
      </c>
      <c r="L263" s="1786">
        <v>3</v>
      </c>
      <c r="M263" s="1788">
        <v>3</v>
      </c>
      <c r="Q263" s="1787" t="s">
        <v>117</v>
      </c>
      <c r="W263" s="1790" t="s">
        <v>117</v>
      </c>
      <c r="X263" s="1791">
        <v>0</v>
      </c>
      <c r="Y263" s="1792" t="s">
        <v>117</v>
      </c>
      <c r="Z263" s="1791" t="s">
        <v>117</v>
      </c>
      <c r="AA263" s="1792" t="s">
        <v>2258</v>
      </c>
    </row>
    <row r="264" spans="1:27" x14ac:dyDescent="0.2">
      <c r="A264" s="1780" t="s">
        <v>1587</v>
      </c>
      <c r="B264" s="1781">
        <v>1</v>
      </c>
      <c r="C264" s="1782" t="s">
        <v>1978</v>
      </c>
      <c r="D264" s="1783">
        <v>58</v>
      </c>
      <c r="E264" s="1784">
        <v>11.875</v>
      </c>
      <c r="I264" s="1787">
        <v>0</v>
      </c>
      <c r="J264" s="1786">
        <v>0.625</v>
      </c>
      <c r="K264" s="1786" t="s">
        <v>114</v>
      </c>
      <c r="L264" s="1786">
        <v>3</v>
      </c>
      <c r="M264" s="1788">
        <v>3</v>
      </c>
      <c r="Q264" s="1787">
        <v>0</v>
      </c>
      <c r="R264" s="1786">
        <v>6.75</v>
      </c>
      <c r="S264" s="1786">
        <v>2</v>
      </c>
      <c r="T264" s="1786">
        <v>0</v>
      </c>
      <c r="U264" s="1788">
        <v>1.125</v>
      </c>
      <c r="V264" s="1789">
        <v>0</v>
      </c>
      <c r="W264" s="1790">
        <v>1.5</v>
      </c>
      <c r="X264" s="1791">
        <v>4</v>
      </c>
      <c r="Y264" s="1792" t="s">
        <v>117</v>
      </c>
      <c r="Z264" s="1791" t="s">
        <v>117</v>
      </c>
      <c r="AA264" s="1792" t="s">
        <v>2259</v>
      </c>
    </row>
    <row r="265" spans="1:27" x14ac:dyDescent="0.2">
      <c r="A265" s="1780" t="s">
        <v>1588</v>
      </c>
      <c r="B265" s="1781">
        <v>1</v>
      </c>
      <c r="C265" s="1782" t="s">
        <v>1978</v>
      </c>
      <c r="D265" s="1783">
        <v>59</v>
      </c>
      <c r="E265" s="1784">
        <v>0.625</v>
      </c>
      <c r="I265" s="1787">
        <v>0</v>
      </c>
      <c r="J265" s="1786">
        <v>1.375</v>
      </c>
      <c r="K265" s="1786" t="s">
        <v>114</v>
      </c>
      <c r="L265" s="1786">
        <v>3</v>
      </c>
      <c r="M265" s="1788">
        <v>3</v>
      </c>
      <c r="Q265" s="1787" t="s">
        <v>117</v>
      </c>
      <c r="W265" s="1790" t="s">
        <v>117</v>
      </c>
      <c r="X265" s="1791">
        <v>0</v>
      </c>
      <c r="Y265" s="1792" t="s">
        <v>117</v>
      </c>
      <c r="Z265" s="1791" t="s">
        <v>117</v>
      </c>
      <c r="AA265" s="1792" t="s">
        <v>2259</v>
      </c>
    </row>
    <row r="266" spans="1:27" x14ac:dyDescent="0.2">
      <c r="A266" s="1780" t="s">
        <v>1589</v>
      </c>
      <c r="B266" s="1781">
        <v>2</v>
      </c>
      <c r="C266" s="1782" t="s">
        <v>1978</v>
      </c>
      <c r="D266" s="1783">
        <v>59</v>
      </c>
      <c r="E266" s="1784">
        <v>0.625</v>
      </c>
      <c r="I266" s="1787">
        <v>0</v>
      </c>
      <c r="J266" s="1786">
        <v>1.375</v>
      </c>
      <c r="K266" s="1786" t="s">
        <v>114</v>
      </c>
      <c r="L266" s="1786">
        <v>3</v>
      </c>
      <c r="M266" s="1788">
        <v>3</v>
      </c>
      <c r="Q266" s="1787" t="s">
        <v>117</v>
      </c>
      <c r="T266" s="1786">
        <v>0</v>
      </c>
      <c r="U266" s="1788">
        <v>1.125</v>
      </c>
      <c r="V266" s="1789">
        <v>0</v>
      </c>
      <c r="W266" s="1790">
        <v>2.25</v>
      </c>
      <c r="X266" s="1791">
        <v>4</v>
      </c>
      <c r="Y266" s="1792" t="s">
        <v>117</v>
      </c>
      <c r="Z266" s="1791" t="s">
        <v>117</v>
      </c>
      <c r="AA266" s="1792" t="s">
        <v>2258</v>
      </c>
    </row>
    <row r="267" spans="1:27" x14ac:dyDescent="0.2">
      <c r="A267" s="1780" t="s">
        <v>1590</v>
      </c>
      <c r="B267" s="1781">
        <v>1</v>
      </c>
      <c r="C267" s="1782" t="s">
        <v>1978</v>
      </c>
      <c r="D267" s="1783">
        <v>58</v>
      </c>
      <c r="E267" s="1784">
        <v>11.875</v>
      </c>
      <c r="I267" s="1787">
        <v>0</v>
      </c>
      <c r="J267" s="1786">
        <v>0.625</v>
      </c>
      <c r="K267" s="1786" t="s">
        <v>114</v>
      </c>
      <c r="L267" s="1786">
        <v>3</v>
      </c>
      <c r="M267" s="1788">
        <v>3</v>
      </c>
      <c r="Q267" s="1787">
        <v>0</v>
      </c>
      <c r="R267" s="1786">
        <v>6.75</v>
      </c>
      <c r="S267" s="1786">
        <v>2</v>
      </c>
      <c r="T267" s="1786">
        <v>0</v>
      </c>
      <c r="U267" s="1788">
        <v>1.125</v>
      </c>
      <c r="V267" s="1789">
        <v>0</v>
      </c>
      <c r="W267" s="1790">
        <v>1.5</v>
      </c>
      <c r="X267" s="1791">
        <v>4</v>
      </c>
      <c r="Y267" s="1792" t="s">
        <v>117</v>
      </c>
      <c r="Z267" s="1791" t="s">
        <v>117</v>
      </c>
      <c r="AA267" s="1792" t="s">
        <v>2258</v>
      </c>
    </row>
    <row r="268" spans="1:27" x14ac:dyDescent="0.2">
      <c r="A268" s="1780" t="s">
        <v>1591</v>
      </c>
      <c r="B268" s="1781">
        <v>1</v>
      </c>
      <c r="C268" s="1782" t="s">
        <v>1978</v>
      </c>
      <c r="D268" s="1783">
        <v>59</v>
      </c>
      <c r="E268" s="1784">
        <v>0.625</v>
      </c>
      <c r="I268" s="1787">
        <v>0</v>
      </c>
      <c r="J268" s="1786">
        <v>1.375</v>
      </c>
      <c r="K268" s="1786" t="s">
        <v>114</v>
      </c>
      <c r="L268" s="1786">
        <v>3</v>
      </c>
      <c r="M268" s="1788">
        <v>3</v>
      </c>
      <c r="Q268" s="1787" t="s">
        <v>117</v>
      </c>
      <c r="W268" s="1790" t="s">
        <v>117</v>
      </c>
      <c r="X268" s="1791">
        <v>0</v>
      </c>
      <c r="Y268" s="1792" t="s">
        <v>117</v>
      </c>
      <c r="Z268" s="1791" t="s">
        <v>117</v>
      </c>
      <c r="AA268" s="1792" t="s">
        <v>2261</v>
      </c>
    </row>
    <row r="269" spans="1:27" x14ac:dyDescent="0.2">
      <c r="A269" s="1780" t="s">
        <v>1592</v>
      </c>
      <c r="B269" s="1781">
        <v>1</v>
      </c>
      <c r="C269" s="1782" t="s">
        <v>1978</v>
      </c>
      <c r="D269" s="1783">
        <v>59</v>
      </c>
      <c r="E269" s="1784">
        <v>0.625</v>
      </c>
      <c r="I269" s="1787">
        <v>0</v>
      </c>
      <c r="J269" s="1786">
        <v>1.375</v>
      </c>
      <c r="K269" s="1786" t="s">
        <v>114</v>
      </c>
      <c r="L269" s="1786">
        <v>3</v>
      </c>
      <c r="M269" s="1788">
        <v>3</v>
      </c>
      <c r="Q269" s="1787" t="s">
        <v>117</v>
      </c>
      <c r="W269" s="1790" t="s">
        <v>117</v>
      </c>
      <c r="X269" s="1791">
        <v>0</v>
      </c>
      <c r="Y269" s="1792" t="s">
        <v>117</v>
      </c>
      <c r="Z269" s="1791" t="s">
        <v>117</v>
      </c>
      <c r="AA269" s="1792" t="s">
        <v>2262</v>
      </c>
    </row>
    <row r="270" spans="1:27" x14ac:dyDescent="0.2">
      <c r="A270" s="1780" t="s">
        <v>1593</v>
      </c>
      <c r="B270" s="1781">
        <v>1</v>
      </c>
      <c r="C270" s="1782" t="s">
        <v>1978</v>
      </c>
      <c r="D270" s="1783">
        <v>59</v>
      </c>
      <c r="E270" s="1784">
        <v>0.625</v>
      </c>
      <c r="I270" s="1787">
        <v>0</v>
      </c>
      <c r="J270" s="1786">
        <v>1.375</v>
      </c>
      <c r="K270" s="1786" t="s">
        <v>114</v>
      </c>
      <c r="L270" s="1786">
        <v>3</v>
      </c>
      <c r="M270" s="1788">
        <v>3</v>
      </c>
      <c r="Q270" s="1787" t="s">
        <v>117</v>
      </c>
      <c r="W270" s="1790" t="s">
        <v>117</v>
      </c>
      <c r="X270" s="1791">
        <v>0</v>
      </c>
      <c r="Y270" s="1792" t="s">
        <v>117</v>
      </c>
      <c r="Z270" s="1791" t="s">
        <v>117</v>
      </c>
      <c r="AA270" s="1792" t="s">
        <v>2263</v>
      </c>
    </row>
    <row r="271" spans="1:27" x14ac:dyDescent="0.2">
      <c r="A271" s="1780" t="s">
        <v>1594</v>
      </c>
      <c r="B271" s="1781">
        <v>2</v>
      </c>
      <c r="C271" s="1782" t="s">
        <v>1978</v>
      </c>
      <c r="D271" s="1783">
        <v>59</v>
      </c>
      <c r="E271" s="1784">
        <v>0.625</v>
      </c>
      <c r="I271" s="1787">
        <v>0</v>
      </c>
      <c r="J271" s="1786">
        <v>1.375</v>
      </c>
      <c r="K271" s="1786" t="s">
        <v>114</v>
      </c>
      <c r="L271" s="1786">
        <v>3</v>
      </c>
      <c r="M271" s="1788">
        <v>3</v>
      </c>
      <c r="Q271" s="1787" t="s">
        <v>117</v>
      </c>
      <c r="W271" s="1790" t="s">
        <v>117</v>
      </c>
      <c r="X271" s="1791">
        <v>0</v>
      </c>
      <c r="Y271" s="1792" t="s">
        <v>117</v>
      </c>
      <c r="Z271" s="1791" t="s">
        <v>117</v>
      </c>
      <c r="AA271" s="1792" t="s">
        <v>2264</v>
      </c>
    </row>
    <row r="272" spans="1:27" x14ac:dyDescent="0.2">
      <c r="A272" s="1780" t="s">
        <v>1595</v>
      </c>
      <c r="B272" s="1781">
        <v>1</v>
      </c>
      <c r="C272" s="1782" t="s">
        <v>1978</v>
      </c>
      <c r="D272" s="1783">
        <v>59</v>
      </c>
      <c r="E272" s="1784">
        <v>0.625</v>
      </c>
      <c r="I272" s="1787">
        <v>0</v>
      </c>
      <c r="J272" s="1786">
        <v>1.375</v>
      </c>
      <c r="K272" s="1786" t="s">
        <v>114</v>
      </c>
      <c r="L272" s="1786">
        <v>3</v>
      </c>
      <c r="M272" s="1788">
        <v>3</v>
      </c>
      <c r="Q272" s="1787" t="s">
        <v>117</v>
      </c>
      <c r="T272" s="1786">
        <v>0</v>
      </c>
      <c r="U272" s="1788">
        <v>1.125</v>
      </c>
      <c r="V272" s="1789">
        <v>0</v>
      </c>
      <c r="W272" s="1790">
        <v>2.25</v>
      </c>
      <c r="X272" s="1791">
        <v>4</v>
      </c>
      <c r="Y272" s="1792" t="s">
        <v>117</v>
      </c>
      <c r="Z272" s="1791" t="s">
        <v>117</v>
      </c>
      <c r="AA272" s="1792" t="s">
        <v>2264</v>
      </c>
    </row>
    <row r="273" spans="1:27" x14ac:dyDescent="0.2">
      <c r="A273" s="1780" t="s">
        <v>1596</v>
      </c>
      <c r="B273" s="1781">
        <v>1</v>
      </c>
      <c r="C273" s="1782" t="s">
        <v>1978</v>
      </c>
      <c r="D273" s="1783">
        <v>59</v>
      </c>
      <c r="E273" s="1784">
        <v>0.625</v>
      </c>
      <c r="I273" s="1787">
        <v>0</v>
      </c>
      <c r="J273" s="1786">
        <v>1.375</v>
      </c>
      <c r="K273" s="1786" t="s">
        <v>114</v>
      </c>
      <c r="L273" s="1786">
        <v>3</v>
      </c>
      <c r="M273" s="1788">
        <v>3</v>
      </c>
      <c r="Q273" s="1787" t="s">
        <v>117</v>
      </c>
      <c r="T273" s="1786">
        <v>0</v>
      </c>
      <c r="U273" s="1788">
        <v>1.125</v>
      </c>
      <c r="V273" s="1789">
        <v>0</v>
      </c>
      <c r="W273" s="1790">
        <v>2.25</v>
      </c>
      <c r="X273" s="1791">
        <v>4</v>
      </c>
      <c r="Y273" s="1792" t="s">
        <v>117</v>
      </c>
      <c r="Z273" s="1791" t="s">
        <v>117</v>
      </c>
      <c r="AA273" s="1792" t="s">
        <v>2265</v>
      </c>
    </row>
    <row r="274" spans="1:27" x14ac:dyDescent="0.2">
      <c r="A274" s="1780" t="s">
        <v>1597</v>
      </c>
      <c r="B274" s="1781">
        <v>2</v>
      </c>
      <c r="C274" s="1782" t="s">
        <v>1978</v>
      </c>
      <c r="D274" s="1783">
        <v>59</v>
      </c>
      <c r="E274" s="1784">
        <v>0.625</v>
      </c>
      <c r="I274" s="1787">
        <v>0</v>
      </c>
      <c r="J274" s="1786">
        <v>1.375</v>
      </c>
      <c r="K274" s="1786" t="s">
        <v>114</v>
      </c>
      <c r="L274" s="1786">
        <v>3</v>
      </c>
      <c r="M274" s="1788">
        <v>3</v>
      </c>
      <c r="Q274" s="1787" t="s">
        <v>117</v>
      </c>
      <c r="W274" s="1790" t="s">
        <v>117</v>
      </c>
      <c r="X274" s="1791">
        <v>0</v>
      </c>
      <c r="Y274" s="1792" t="s">
        <v>117</v>
      </c>
      <c r="Z274" s="1791" t="s">
        <v>117</v>
      </c>
      <c r="AA274" s="1792" t="s">
        <v>2266</v>
      </c>
    </row>
    <row r="275" spans="1:27" x14ac:dyDescent="0.2">
      <c r="A275" s="1780" t="s">
        <v>1598</v>
      </c>
      <c r="B275" s="1781">
        <v>32</v>
      </c>
      <c r="C275" s="1782" t="s">
        <v>1978</v>
      </c>
      <c r="D275" s="1783">
        <v>59</v>
      </c>
      <c r="E275" s="1784">
        <v>0.625</v>
      </c>
      <c r="I275" s="1787">
        <v>0</v>
      </c>
      <c r="J275" s="1786">
        <v>1.375</v>
      </c>
      <c r="K275" s="1786" t="s">
        <v>114</v>
      </c>
      <c r="L275" s="1786">
        <v>3</v>
      </c>
      <c r="M275" s="1788">
        <v>3</v>
      </c>
      <c r="Q275" s="1787" t="s">
        <v>117</v>
      </c>
      <c r="W275" s="1790" t="s">
        <v>117</v>
      </c>
      <c r="X275" s="1791">
        <v>0</v>
      </c>
      <c r="Y275" s="1792" t="s">
        <v>117</v>
      </c>
      <c r="Z275" s="1791" t="s">
        <v>117</v>
      </c>
      <c r="AA275" s="1792" t="s">
        <v>2267</v>
      </c>
    </row>
    <row r="276" spans="1:27" x14ac:dyDescent="0.2">
      <c r="A276" s="1780" t="s">
        <v>1599</v>
      </c>
      <c r="B276" s="1781">
        <v>4</v>
      </c>
      <c r="C276" s="1782" t="s">
        <v>1978</v>
      </c>
      <c r="D276" s="1783">
        <v>58</v>
      </c>
      <c r="E276" s="1784">
        <v>11.875</v>
      </c>
      <c r="I276" s="1787">
        <v>0</v>
      </c>
      <c r="J276" s="1786">
        <v>0.625</v>
      </c>
      <c r="K276" s="1786" t="s">
        <v>114</v>
      </c>
      <c r="L276" s="1786">
        <v>3</v>
      </c>
      <c r="M276" s="1788">
        <v>3</v>
      </c>
      <c r="Q276" s="1787">
        <v>0</v>
      </c>
      <c r="R276" s="1786">
        <v>6.75</v>
      </c>
      <c r="S276" s="1786">
        <v>2</v>
      </c>
      <c r="T276" s="1786">
        <v>0</v>
      </c>
      <c r="U276" s="1788">
        <v>1.125</v>
      </c>
      <c r="V276" s="1789">
        <v>0</v>
      </c>
      <c r="W276" s="1790">
        <v>1.5</v>
      </c>
      <c r="X276" s="1791">
        <v>4</v>
      </c>
      <c r="Y276" s="1792" t="s">
        <v>117</v>
      </c>
      <c r="Z276" s="1791" t="s">
        <v>117</v>
      </c>
      <c r="AA276" s="1792" t="s">
        <v>2267</v>
      </c>
    </row>
    <row r="277" spans="1:27" x14ac:dyDescent="0.2">
      <c r="A277" s="1780" t="s">
        <v>1600</v>
      </c>
      <c r="B277" s="1781">
        <v>4</v>
      </c>
      <c r="C277" s="1782" t="s">
        <v>1978</v>
      </c>
      <c r="D277" s="1783">
        <v>59</v>
      </c>
      <c r="E277" s="1784">
        <v>0.625</v>
      </c>
      <c r="I277" s="1787">
        <v>0</v>
      </c>
      <c r="J277" s="1786">
        <v>1.375</v>
      </c>
      <c r="K277" s="1786" t="s">
        <v>114</v>
      </c>
      <c r="L277" s="1786">
        <v>3</v>
      </c>
      <c r="M277" s="1788">
        <v>3</v>
      </c>
      <c r="Q277" s="1787" t="s">
        <v>117</v>
      </c>
      <c r="T277" s="1786">
        <v>0</v>
      </c>
      <c r="U277" s="1788">
        <v>1.125</v>
      </c>
      <c r="V277" s="1789">
        <v>0</v>
      </c>
      <c r="W277" s="1790">
        <v>2.25</v>
      </c>
      <c r="X277" s="1791">
        <v>4</v>
      </c>
      <c r="Y277" s="1792" t="s">
        <v>117</v>
      </c>
      <c r="Z277" s="1791" t="s">
        <v>117</v>
      </c>
      <c r="AA277" s="1792" t="s">
        <v>2267</v>
      </c>
    </row>
    <row r="278" spans="1:27" x14ac:dyDescent="0.2">
      <c r="A278" s="1780" t="s">
        <v>1601</v>
      </c>
      <c r="B278" s="1781">
        <v>5</v>
      </c>
      <c r="C278" s="1782" t="s">
        <v>1978</v>
      </c>
      <c r="D278" s="1783">
        <v>59</v>
      </c>
      <c r="E278" s="1784">
        <v>0.625</v>
      </c>
      <c r="I278" s="1787">
        <v>0</v>
      </c>
      <c r="J278" s="1786">
        <v>1.375</v>
      </c>
      <c r="K278" s="1786" t="s">
        <v>114</v>
      </c>
      <c r="L278" s="1786">
        <v>3</v>
      </c>
      <c r="M278" s="1788">
        <v>3</v>
      </c>
      <c r="Q278" s="1787" t="s">
        <v>117</v>
      </c>
      <c r="W278" s="1790" t="s">
        <v>117</v>
      </c>
      <c r="X278" s="1791">
        <v>0</v>
      </c>
      <c r="Y278" s="1792" t="s">
        <v>117</v>
      </c>
      <c r="Z278" s="1791" t="s">
        <v>117</v>
      </c>
      <c r="AA278" s="1792" t="s">
        <v>2268</v>
      </c>
    </row>
    <row r="279" spans="1:27" x14ac:dyDescent="0.2">
      <c r="A279" s="1780" t="s">
        <v>1602</v>
      </c>
      <c r="B279" s="1781">
        <v>1</v>
      </c>
      <c r="C279" s="1782" t="s">
        <v>1978</v>
      </c>
      <c r="D279" s="1783">
        <v>58</v>
      </c>
      <c r="E279" s="1784">
        <v>11.875</v>
      </c>
      <c r="I279" s="1787">
        <v>0</v>
      </c>
      <c r="J279" s="1786">
        <v>0.625</v>
      </c>
      <c r="K279" s="1786" t="s">
        <v>114</v>
      </c>
      <c r="L279" s="1786">
        <v>3</v>
      </c>
      <c r="M279" s="1788">
        <v>3</v>
      </c>
      <c r="Q279" s="1787">
        <v>0</v>
      </c>
      <c r="R279" s="1786">
        <v>6.75</v>
      </c>
      <c r="S279" s="1786">
        <v>2</v>
      </c>
      <c r="T279" s="1786">
        <v>0</v>
      </c>
      <c r="U279" s="1788">
        <v>1.125</v>
      </c>
      <c r="V279" s="1789">
        <v>0</v>
      </c>
      <c r="W279" s="1790">
        <v>1.5</v>
      </c>
      <c r="X279" s="1791">
        <v>4</v>
      </c>
      <c r="Y279" s="1792" t="s">
        <v>117</v>
      </c>
      <c r="Z279" s="1791" t="s">
        <v>117</v>
      </c>
      <c r="AA279" s="1792" t="s">
        <v>2268</v>
      </c>
    </row>
    <row r="280" spans="1:27" x14ac:dyDescent="0.2">
      <c r="A280" s="1780" t="s">
        <v>1603</v>
      </c>
      <c r="B280" s="1781">
        <v>7</v>
      </c>
      <c r="C280" s="1782" t="s">
        <v>1978</v>
      </c>
      <c r="D280" s="1783">
        <v>59</v>
      </c>
      <c r="E280" s="1784">
        <v>2</v>
      </c>
      <c r="I280" s="1787">
        <v>0</v>
      </c>
      <c r="J280" s="1786">
        <v>1.375</v>
      </c>
      <c r="K280" s="1786" t="s">
        <v>114</v>
      </c>
      <c r="L280" s="1786">
        <v>3</v>
      </c>
      <c r="M280" s="1788">
        <v>3</v>
      </c>
      <c r="Q280" s="1787" t="s">
        <v>117</v>
      </c>
      <c r="W280" s="1790" t="s">
        <v>117</v>
      </c>
      <c r="X280" s="1791">
        <v>0</v>
      </c>
      <c r="Y280" s="1792" t="s">
        <v>117</v>
      </c>
      <c r="Z280" s="1791" t="s">
        <v>117</v>
      </c>
      <c r="AA280" s="1792" t="s">
        <v>2181</v>
      </c>
    </row>
    <row r="281" spans="1:27" x14ac:dyDescent="0.2">
      <c r="A281" s="1780" t="s">
        <v>1604</v>
      </c>
      <c r="B281" s="1781">
        <v>2</v>
      </c>
      <c r="C281" s="1782" t="s">
        <v>1978</v>
      </c>
      <c r="D281" s="1783">
        <v>59</v>
      </c>
      <c r="E281" s="1784">
        <v>2</v>
      </c>
      <c r="I281" s="1787">
        <v>0</v>
      </c>
      <c r="J281" s="1786">
        <v>1.375</v>
      </c>
      <c r="K281" s="1786" t="s">
        <v>114</v>
      </c>
      <c r="L281" s="1786">
        <v>3</v>
      </c>
      <c r="M281" s="1788">
        <v>3</v>
      </c>
      <c r="Q281" s="1787" t="s">
        <v>117</v>
      </c>
      <c r="W281" s="1790" t="s">
        <v>117</v>
      </c>
      <c r="X281" s="1791">
        <v>0</v>
      </c>
      <c r="Y281" s="1792" t="s">
        <v>117</v>
      </c>
      <c r="Z281" s="1791" t="s">
        <v>117</v>
      </c>
      <c r="AA281" s="1792" t="s">
        <v>2269</v>
      </c>
    </row>
    <row r="282" spans="1:27" x14ac:dyDescent="0.2">
      <c r="A282" s="1780" t="s">
        <v>1605</v>
      </c>
      <c r="B282" s="1781">
        <v>2</v>
      </c>
      <c r="C282" s="1782" t="s">
        <v>1978</v>
      </c>
      <c r="D282" s="1783">
        <v>59</v>
      </c>
      <c r="E282" s="1784">
        <v>2</v>
      </c>
      <c r="I282" s="1787">
        <v>0</v>
      </c>
      <c r="J282" s="1786">
        <v>1.375</v>
      </c>
      <c r="K282" s="1786" t="s">
        <v>114</v>
      </c>
      <c r="L282" s="1786">
        <v>3</v>
      </c>
      <c r="M282" s="1788">
        <v>3</v>
      </c>
      <c r="Q282" s="1787" t="s">
        <v>117</v>
      </c>
      <c r="W282" s="1790" t="s">
        <v>117</v>
      </c>
      <c r="X282" s="1791">
        <v>0</v>
      </c>
      <c r="Y282" s="1792" t="s">
        <v>117</v>
      </c>
      <c r="Z282" s="1791" t="s">
        <v>117</v>
      </c>
      <c r="AA282" s="1792" t="s">
        <v>2182</v>
      </c>
    </row>
    <row r="283" spans="1:27" x14ac:dyDescent="0.2">
      <c r="A283" s="1780" t="s">
        <v>1606</v>
      </c>
      <c r="B283" s="1781">
        <v>1</v>
      </c>
      <c r="C283" s="1782" t="s">
        <v>1978</v>
      </c>
      <c r="D283" s="1783">
        <v>59</v>
      </c>
      <c r="E283" s="1784">
        <v>1.25</v>
      </c>
      <c r="I283" s="1787">
        <v>0</v>
      </c>
      <c r="J283" s="1786">
        <v>0.625</v>
      </c>
      <c r="K283" s="1786" t="s">
        <v>114</v>
      </c>
      <c r="L283" s="1786">
        <v>3</v>
      </c>
      <c r="M283" s="1788">
        <v>3</v>
      </c>
      <c r="Q283" s="1787">
        <v>0</v>
      </c>
      <c r="R283" s="1786">
        <v>6.625</v>
      </c>
      <c r="S283" s="1786">
        <v>2</v>
      </c>
      <c r="T283" s="1786">
        <v>0</v>
      </c>
      <c r="U283" s="1788">
        <v>2</v>
      </c>
      <c r="V283" s="1789">
        <v>0</v>
      </c>
      <c r="W283" s="1790">
        <v>1.5</v>
      </c>
      <c r="X283" s="1791">
        <v>4</v>
      </c>
      <c r="Y283" s="1792" t="s">
        <v>117</v>
      </c>
      <c r="Z283" s="1791" t="s">
        <v>117</v>
      </c>
      <c r="AA283" s="1792" t="s">
        <v>2181</v>
      </c>
    </row>
    <row r="284" spans="1:27" x14ac:dyDescent="0.2">
      <c r="A284" s="1780" t="s">
        <v>1607</v>
      </c>
      <c r="B284" s="1781">
        <v>2</v>
      </c>
      <c r="C284" s="1782" t="s">
        <v>1978</v>
      </c>
      <c r="D284" s="1783">
        <v>59</v>
      </c>
      <c r="E284" s="1784">
        <v>2</v>
      </c>
      <c r="I284" s="1787">
        <v>0</v>
      </c>
      <c r="J284" s="1786">
        <v>1.375</v>
      </c>
      <c r="K284" s="1786" t="s">
        <v>114</v>
      </c>
      <c r="L284" s="1786">
        <v>3</v>
      </c>
      <c r="M284" s="1788">
        <v>3</v>
      </c>
      <c r="Q284" s="1787" t="s">
        <v>117</v>
      </c>
      <c r="W284" s="1790" t="s">
        <v>117</v>
      </c>
      <c r="X284" s="1791">
        <v>0</v>
      </c>
      <c r="Y284" s="1792" t="s">
        <v>117</v>
      </c>
      <c r="Z284" s="1791" t="s">
        <v>117</v>
      </c>
      <c r="AA284" s="1792" t="s">
        <v>2184</v>
      </c>
    </row>
    <row r="285" spans="1:27" x14ac:dyDescent="0.2">
      <c r="A285" s="1780" t="s">
        <v>1608</v>
      </c>
      <c r="B285" s="1781">
        <v>22</v>
      </c>
      <c r="C285" s="1782" t="s">
        <v>1978</v>
      </c>
      <c r="D285" s="1783">
        <v>59</v>
      </c>
      <c r="E285" s="1784">
        <v>4.25</v>
      </c>
      <c r="I285" s="1787">
        <v>0</v>
      </c>
      <c r="J285" s="1786">
        <v>3.625</v>
      </c>
      <c r="K285" s="1786" t="s">
        <v>114</v>
      </c>
      <c r="L285" s="1786">
        <v>3</v>
      </c>
      <c r="M285" s="1788">
        <v>3</v>
      </c>
      <c r="Q285" s="1787" t="s">
        <v>117</v>
      </c>
      <c r="W285" s="1790" t="s">
        <v>117</v>
      </c>
      <c r="X285" s="1791">
        <v>0</v>
      </c>
      <c r="Y285" s="1792" t="s">
        <v>117</v>
      </c>
      <c r="Z285" s="1791" t="s">
        <v>117</v>
      </c>
      <c r="AA285" s="1792" t="s">
        <v>2270</v>
      </c>
    </row>
    <row r="286" spans="1:27" x14ac:dyDescent="0.2">
      <c r="A286" s="1780" t="s">
        <v>1609</v>
      </c>
      <c r="B286" s="1781">
        <v>4</v>
      </c>
      <c r="C286" s="1782" t="s">
        <v>1978</v>
      </c>
      <c r="D286" s="1783">
        <v>59</v>
      </c>
      <c r="E286" s="1784">
        <v>4.25</v>
      </c>
      <c r="I286" s="1787">
        <v>0</v>
      </c>
      <c r="J286" s="1786">
        <v>3.625</v>
      </c>
      <c r="K286" s="1786" t="s">
        <v>114</v>
      </c>
      <c r="L286" s="1786">
        <v>3</v>
      </c>
      <c r="M286" s="1788">
        <v>3</v>
      </c>
      <c r="Q286" s="1787" t="s">
        <v>117</v>
      </c>
      <c r="W286" s="1790" t="s">
        <v>117</v>
      </c>
      <c r="X286" s="1791">
        <v>0</v>
      </c>
      <c r="Y286" s="1792" t="s">
        <v>117</v>
      </c>
      <c r="Z286" s="1791" t="s">
        <v>117</v>
      </c>
      <c r="AA286" s="1792" t="s">
        <v>2271</v>
      </c>
    </row>
    <row r="287" spans="1:27" x14ac:dyDescent="0.2">
      <c r="A287" s="1780" t="s">
        <v>1610</v>
      </c>
      <c r="B287" s="1781">
        <v>2</v>
      </c>
      <c r="C287" s="1782" t="s">
        <v>1978</v>
      </c>
      <c r="D287" s="1783">
        <v>59</v>
      </c>
      <c r="E287" s="1784">
        <v>4.25</v>
      </c>
      <c r="I287" s="1787">
        <v>0</v>
      </c>
      <c r="J287" s="1786">
        <v>3.625</v>
      </c>
      <c r="K287" s="1786" t="s">
        <v>114</v>
      </c>
      <c r="L287" s="1786">
        <v>3</v>
      </c>
      <c r="M287" s="1788">
        <v>3</v>
      </c>
      <c r="Q287" s="1787" t="s">
        <v>117</v>
      </c>
      <c r="W287" s="1790" t="s">
        <v>117</v>
      </c>
      <c r="X287" s="1791">
        <v>0</v>
      </c>
      <c r="Y287" s="1792" t="s">
        <v>117</v>
      </c>
      <c r="Z287" s="1791" t="s">
        <v>117</v>
      </c>
      <c r="AA287" s="1792" t="s">
        <v>2272</v>
      </c>
    </row>
    <row r="288" spans="1:27" x14ac:dyDescent="0.2">
      <c r="A288" s="1780" t="s">
        <v>1611</v>
      </c>
      <c r="B288" s="1781">
        <v>3</v>
      </c>
      <c r="C288" s="1782" t="s">
        <v>1978</v>
      </c>
      <c r="D288" s="1783">
        <v>59</v>
      </c>
      <c r="E288" s="1784">
        <v>5.25</v>
      </c>
      <c r="I288" s="1787">
        <v>0</v>
      </c>
      <c r="J288" s="1786">
        <v>4.625</v>
      </c>
      <c r="K288" s="1786" t="s">
        <v>114</v>
      </c>
      <c r="L288" s="1786">
        <v>3</v>
      </c>
      <c r="M288" s="1788">
        <v>3</v>
      </c>
      <c r="Q288" s="1787">
        <v>0</v>
      </c>
      <c r="R288" s="1786">
        <v>10</v>
      </c>
      <c r="S288" s="1786">
        <v>2</v>
      </c>
      <c r="T288" s="1786">
        <v>0</v>
      </c>
      <c r="U288" s="1788">
        <v>2</v>
      </c>
      <c r="V288" s="1789">
        <v>0</v>
      </c>
      <c r="W288" s="1790">
        <v>5.5</v>
      </c>
      <c r="X288" s="1791">
        <v>4</v>
      </c>
      <c r="Y288" s="1792" t="s">
        <v>117</v>
      </c>
      <c r="Z288" s="1791" t="s">
        <v>117</v>
      </c>
      <c r="AA288" s="1792" t="s">
        <v>2064</v>
      </c>
    </row>
    <row r="289" spans="1:27" x14ac:dyDescent="0.2">
      <c r="A289" s="1780" t="s">
        <v>1612</v>
      </c>
      <c r="B289" s="1781">
        <v>1</v>
      </c>
      <c r="C289" s="1782" t="s">
        <v>1978</v>
      </c>
      <c r="D289" s="1783">
        <v>59</v>
      </c>
      <c r="E289" s="1784">
        <v>0.625</v>
      </c>
      <c r="F289" s="1785">
        <v>0</v>
      </c>
      <c r="G289" s="1786">
        <v>1.375</v>
      </c>
      <c r="H289" s="1786" t="s">
        <v>114</v>
      </c>
      <c r="I289" s="1787" t="s">
        <v>117</v>
      </c>
      <c r="L289" s="1786">
        <v>3</v>
      </c>
      <c r="M289" s="1788">
        <v>3</v>
      </c>
      <c r="Q289" s="1787" t="s">
        <v>117</v>
      </c>
      <c r="T289" s="1786">
        <v>0</v>
      </c>
      <c r="U289" s="1788">
        <v>2.25</v>
      </c>
      <c r="V289" s="1789">
        <v>0</v>
      </c>
      <c r="W289" s="1790">
        <v>1.125</v>
      </c>
      <c r="X289" s="1791">
        <v>4</v>
      </c>
      <c r="Y289" s="1792" t="s">
        <v>117</v>
      </c>
      <c r="Z289" s="1791" t="s">
        <v>117</v>
      </c>
      <c r="AA289" s="1792" t="s">
        <v>2233</v>
      </c>
    </row>
    <row r="290" spans="1:27" x14ac:dyDescent="0.2">
      <c r="A290" s="1780" t="s">
        <v>1613</v>
      </c>
      <c r="B290" s="1781">
        <v>1</v>
      </c>
      <c r="C290" s="1782" t="s">
        <v>1978</v>
      </c>
      <c r="D290" s="1783">
        <v>59</v>
      </c>
      <c r="E290" s="1784">
        <v>0.625</v>
      </c>
      <c r="F290" s="1785">
        <v>0</v>
      </c>
      <c r="G290" s="1786">
        <v>1.375</v>
      </c>
      <c r="H290" s="1786" t="s">
        <v>114</v>
      </c>
      <c r="I290" s="1787" t="s">
        <v>117</v>
      </c>
      <c r="L290" s="1786">
        <v>3</v>
      </c>
      <c r="M290" s="1788">
        <v>3</v>
      </c>
      <c r="Q290" s="1787" t="s">
        <v>117</v>
      </c>
      <c r="W290" s="1790" t="s">
        <v>117</v>
      </c>
      <c r="X290" s="1791">
        <v>0</v>
      </c>
      <c r="Y290" s="1792" t="s">
        <v>117</v>
      </c>
      <c r="Z290" s="1791" t="s">
        <v>117</v>
      </c>
      <c r="AA290" s="1792" t="s">
        <v>2273</v>
      </c>
    </row>
    <row r="291" spans="1:27" x14ac:dyDescent="0.2">
      <c r="A291" s="1780" t="s">
        <v>1614</v>
      </c>
      <c r="B291" s="1781">
        <v>1</v>
      </c>
      <c r="C291" s="1782" t="s">
        <v>1978</v>
      </c>
      <c r="D291" s="1783">
        <v>59</v>
      </c>
      <c r="E291" s="1784">
        <v>0.625</v>
      </c>
      <c r="F291" s="1785">
        <v>0</v>
      </c>
      <c r="G291" s="1786">
        <v>1.375</v>
      </c>
      <c r="H291" s="1786" t="s">
        <v>114</v>
      </c>
      <c r="I291" s="1787" t="s">
        <v>117</v>
      </c>
      <c r="L291" s="1786">
        <v>3</v>
      </c>
      <c r="M291" s="1788">
        <v>3</v>
      </c>
      <c r="Q291" s="1787" t="s">
        <v>117</v>
      </c>
      <c r="W291" s="1790" t="s">
        <v>117</v>
      </c>
      <c r="X291" s="1791">
        <v>0</v>
      </c>
      <c r="Y291" s="1792" t="s">
        <v>117</v>
      </c>
      <c r="Z291" s="1791" t="s">
        <v>117</v>
      </c>
      <c r="AA291" s="1792" t="s">
        <v>2274</v>
      </c>
    </row>
    <row r="292" spans="1:27" x14ac:dyDescent="0.2">
      <c r="A292" s="1780" t="s">
        <v>1615</v>
      </c>
      <c r="B292" s="1781">
        <v>1</v>
      </c>
      <c r="C292" s="1782" t="s">
        <v>1978</v>
      </c>
      <c r="D292" s="1783">
        <v>59</v>
      </c>
      <c r="E292" s="1784">
        <v>0.625</v>
      </c>
      <c r="F292" s="1785">
        <v>0</v>
      </c>
      <c r="G292" s="1786">
        <v>1.375</v>
      </c>
      <c r="H292" s="1786" t="s">
        <v>114</v>
      </c>
      <c r="I292" s="1787" t="s">
        <v>117</v>
      </c>
      <c r="L292" s="1786">
        <v>3</v>
      </c>
      <c r="M292" s="1788">
        <v>3</v>
      </c>
      <c r="Q292" s="1787" t="s">
        <v>117</v>
      </c>
      <c r="W292" s="1790" t="s">
        <v>117</v>
      </c>
      <c r="X292" s="1791">
        <v>0</v>
      </c>
      <c r="Y292" s="1792" t="s">
        <v>117</v>
      </c>
      <c r="Z292" s="1791" t="s">
        <v>117</v>
      </c>
      <c r="AA292" s="1792" t="s">
        <v>2275</v>
      </c>
    </row>
    <row r="293" spans="1:27" x14ac:dyDescent="0.2">
      <c r="A293" s="1780" t="s">
        <v>1616</v>
      </c>
      <c r="B293" s="1781">
        <v>1</v>
      </c>
      <c r="C293" s="1782" t="s">
        <v>1978</v>
      </c>
      <c r="D293" s="1783">
        <v>59</v>
      </c>
      <c r="E293" s="1784">
        <v>11.5</v>
      </c>
      <c r="F293" s="1785">
        <v>0</v>
      </c>
      <c r="G293" s="1786">
        <v>1.375</v>
      </c>
      <c r="H293" s="1786" t="s">
        <v>114</v>
      </c>
      <c r="I293" s="1787">
        <v>0</v>
      </c>
      <c r="J293" s="1786">
        <v>1.375</v>
      </c>
      <c r="K293" s="1786" t="s">
        <v>114</v>
      </c>
      <c r="L293" s="1786">
        <v>3</v>
      </c>
      <c r="M293" s="1788">
        <v>3</v>
      </c>
      <c r="Q293" s="1787" t="s">
        <v>117</v>
      </c>
      <c r="T293" s="1786">
        <v>0</v>
      </c>
      <c r="U293" s="1788">
        <v>2.25</v>
      </c>
      <c r="V293" s="1789">
        <v>0</v>
      </c>
      <c r="W293" s="1790">
        <v>2.25</v>
      </c>
      <c r="X293" s="1791">
        <v>4</v>
      </c>
      <c r="Y293" s="1792" t="s">
        <v>117</v>
      </c>
      <c r="Z293" s="1791" t="s">
        <v>117</v>
      </c>
      <c r="AA293" s="1792" t="s">
        <v>2097</v>
      </c>
    </row>
    <row r="294" spans="1:27" x14ac:dyDescent="0.2">
      <c r="A294" s="1780" t="s">
        <v>1617</v>
      </c>
      <c r="B294" s="1781">
        <v>1</v>
      </c>
      <c r="C294" s="1782" t="s">
        <v>1978</v>
      </c>
      <c r="D294" s="1783">
        <v>59</v>
      </c>
      <c r="E294" s="1784">
        <v>11.5</v>
      </c>
      <c r="F294" s="1785">
        <v>0</v>
      </c>
      <c r="G294" s="1786">
        <v>1.375</v>
      </c>
      <c r="H294" s="1786" t="s">
        <v>114</v>
      </c>
      <c r="I294" s="1787">
        <v>0</v>
      </c>
      <c r="J294" s="1786">
        <v>1.375</v>
      </c>
      <c r="K294" s="1786" t="s">
        <v>114</v>
      </c>
      <c r="L294" s="1786">
        <v>3</v>
      </c>
      <c r="M294" s="1788">
        <v>3</v>
      </c>
      <c r="Q294" s="1787" t="s">
        <v>117</v>
      </c>
      <c r="T294" s="1786">
        <v>0</v>
      </c>
      <c r="U294" s="1788">
        <v>2.25</v>
      </c>
      <c r="V294" s="1789">
        <v>0</v>
      </c>
      <c r="W294" s="1790">
        <v>2.25</v>
      </c>
      <c r="X294" s="1791">
        <v>4</v>
      </c>
      <c r="Y294" s="1792" t="s">
        <v>117</v>
      </c>
      <c r="Z294" s="1791" t="s">
        <v>117</v>
      </c>
      <c r="AA294" s="1792" t="s">
        <v>2097</v>
      </c>
    </row>
    <row r="295" spans="1:27" x14ac:dyDescent="0.2">
      <c r="A295" s="1780" t="s">
        <v>1618</v>
      </c>
      <c r="B295" s="1781">
        <v>2</v>
      </c>
      <c r="C295" s="1782" t="s">
        <v>1978</v>
      </c>
      <c r="D295" s="1783">
        <v>59</v>
      </c>
      <c r="E295" s="1784">
        <v>0.625</v>
      </c>
      <c r="I295" s="1787">
        <v>0</v>
      </c>
      <c r="J295" s="1786">
        <v>1.375</v>
      </c>
      <c r="K295" s="1786" t="s">
        <v>114</v>
      </c>
      <c r="L295" s="1786">
        <v>3</v>
      </c>
      <c r="M295" s="1788">
        <v>3</v>
      </c>
      <c r="Q295" s="1787" t="s">
        <v>117</v>
      </c>
      <c r="T295" s="1786">
        <v>0</v>
      </c>
      <c r="U295" s="1788">
        <v>1.125</v>
      </c>
      <c r="V295" s="1789">
        <v>0</v>
      </c>
      <c r="W295" s="1790">
        <v>2.25</v>
      </c>
      <c r="X295" s="1791">
        <v>4</v>
      </c>
      <c r="Y295" s="1792" t="s">
        <v>117</v>
      </c>
      <c r="Z295" s="1791" t="s">
        <v>117</v>
      </c>
      <c r="AA295" s="1792" t="s">
        <v>2277</v>
      </c>
    </row>
    <row r="296" spans="1:27" x14ac:dyDescent="0.2">
      <c r="A296" s="1780" t="s">
        <v>1619</v>
      </c>
      <c r="B296" s="1781">
        <v>1</v>
      </c>
      <c r="C296" s="1782" t="s">
        <v>1978</v>
      </c>
      <c r="D296" s="1783">
        <v>59</v>
      </c>
      <c r="E296" s="1784">
        <v>0.625</v>
      </c>
      <c r="I296" s="1787">
        <v>0</v>
      </c>
      <c r="J296" s="1786">
        <v>1.375</v>
      </c>
      <c r="K296" s="1786" t="s">
        <v>114</v>
      </c>
      <c r="L296" s="1786">
        <v>3</v>
      </c>
      <c r="M296" s="1788">
        <v>3</v>
      </c>
      <c r="Q296" s="1787" t="s">
        <v>117</v>
      </c>
      <c r="W296" s="1790" t="s">
        <v>117</v>
      </c>
      <c r="X296" s="1791">
        <v>0</v>
      </c>
      <c r="Y296" s="1792" t="s">
        <v>117</v>
      </c>
      <c r="Z296" s="1791" t="s">
        <v>117</v>
      </c>
      <c r="AA296" s="1792" t="s">
        <v>2277</v>
      </c>
    </row>
    <row r="297" spans="1:27" x14ac:dyDescent="0.2">
      <c r="A297" s="1780" t="s">
        <v>1620</v>
      </c>
      <c r="B297" s="1781">
        <v>1</v>
      </c>
      <c r="C297" s="1782" t="s">
        <v>1978</v>
      </c>
      <c r="D297" s="1783">
        <v>59</v>
      </c>
      <c r="E297" s="1784">
        <v>0.625</v>
      </c>
      <c r="I297" s="1787">
        <v>0</v>
      </c>
      <c r="J297" s="1786">
        <v>1.375</v>
      </c>
      <c r="K297" s="1786" t="s">
        <v>114</v>
      </c>
      <c r="L297" s="1786">
        <v>3</v>
      </c>
      <c r="M297" s="1788">
        <v>3</v>
      </c>
      <c r="Q297" s="1787" t="s">
        <v>117</v>
      </c>
      <c r="W297" s="1790" t="s">
        <v>117</v>
      </c>
      <c r="X297" s="1791">
        <v>0</v>
      </c>
      <c r="Y297" s="1792" t="s">
        <v>117</v>
      </c>
      <c r="Z297" s="1791" t="s">
        <v>117</v>
      </c>
      <c r="AA297" s="1792" t="s">
        <v>2278</v>
      </c>
    </row>
    <row r="298" spans="1:27" x14ac:dyDescent="0.2">
      <c r="A298" s="1780" t="s">
        <v>1621</v>
      </c>
      <c r="B298" s="1781">
        <v>1</v>
      </c>
      <c r="C298" s="1782" t="s">
        <v>1978</v>
      </c>
      <c r="D298" s="1783">
        <v>59</v>
      </c>
      <c r="E298" s="1784">
        <v>0.625</v>
      </c>
      <c r="I298" s="1787">
        <v>0</v>
      </c>
      <c r="J298" s="1786">
        <v>1.375</v>
      </c>
      <c r="K298" s="1786" t="s">
        <v>114</v>
      </c>
      <c r="L298" s="1786">
        <v>3</v>
      </c>
      <c r="M298" s="1788">
        <v>3</v>
      </c>
      <c r="Q298" s="1787" t="s">
        <v>117</v>
      </c>
      <c r="W298" s="1790" t="s">
        <v>117</v>
      </c>
      <c r="X298" s="1791">
        <v>0</v>
      </c>
      <c r="Y298" s="1792" t="s">
        <v>117</v>
      </c>
      <c r="Z298" s="1791" t="s">
        <v>117</v>
      </c>
      <c r="AA298" s="1792" t="s">
        <v>2279</v>
      </c>
    </row>
    <row r="299" spans="1:27" x14ac:dyDescent="0.2">
      <c r="A299" s="1780" t="s">
        <v>1622</v>
      </c>
      <c r="B299" s="1781">
        <v>2</v>
      </c>
      <c r="C299" s="1782" t="s">
        <v>1978</v>
      </c>
      <c r="D299" s="1783">
        <v>59</v>
      </c>
      <c r="E299" s="1784">
        <v>0.625</v>
      </c>
      <c r="I299" s="1787">
        <v>0</v>
      </c>
      <c r="J299" s="1786">
        <v>1.375</v>
      </c>
      <c r="K299" s="1786" t="s">
        <v>114</v>
      </c>
      <c r="L299" s="1786">
        <v>3</v>
      </c>
      <c r="M299" s="1788">
        <v>3</v>
      </c>
      <c r="Q299" s="1787" t="s">
        <v>117</v>
      </c>
      <c r="W299" s="1790" t="s">
        <v>117</v>
      </c>
      <c r="X299" s="1791">
        <v>0</v>
      </c>
      <c r="Y299" s="1792" t="s">
        <v>117</v>
      </c>
      <c r="Z299" s="1791" t="s">
        <v>117</v>
      </c>
      <c r="AA299" s="1792" t="s">
        <v>2280</v>
      </c>
    </row>
    <row r="300" spans="1:27" x14ac:dyDescent="0.2">
      <c r="A300" s="1780" t="s">
        <v>1623</v>
      </c>
      <c r="B300" s="1781">
        <v>1</v>
      </c>
      <c r="C300" s="1782" t="s">
        <v>1978</v>
      </c>
      <c r="D300" s="1783">
        <v>59</v>
      </c>
      <c r="E300" s="1784">
        <v>0.625</v>
      </c>
      <c r="I300" s="1787">
        <v>0</v>
      </c>
      <c r="J300" s="1786">
        <v>1.375</v>
      </c>
      <c r="K300" s="1786" t="s">
        <v>114</v>
      </c>
      <c r="L300" s="1786">
        <v>3</v>
      </c>
      <c r="M300" s="1788">
        <v>3</v>
      </c>
      <c r="Q300" s="1787" t="s">
        <v>117</v>
      </c>
      <c r="W300" s="1790" t="s">
        <v>117</v>
      </c>
      <c r="X300" s="1791">
        <v>0</v>
      </c>
      <c r="Y300" s="1792" t="s">
        <v>117</v>
      </c>
      <c r="Z300" s="1791" t="s">
        <v>117</v>
      </c>
      <c r="AA300" s="1792" t="s">
        <v>2281</v>
      </c>
    </row>
    <row r="301" spans="1:27" x14ac:dyDescent="0.2">
      <c r="A301" s="1780" t="s">
        <v>1624</v>
      </c>
      <c r="B301" s="1781">
        <v>2</v>
      </c>
      <c r="C301" s="1782" t="s">
        <v>1978</v>
      </c>
      <c r="D301" s="1783">
        <v>59</v>
      </c>
      <c r="E301" s="1784">
        <v>0.625</v>
      </c>
      <c r="I301" s="1787">
        <v>0</v>
      </c>
      <c r="J301" s="1786">
        <v>1.375</v>
      </c>
      <c r="K301" s="1786" t="s">
        <v>114</v>
      </c>
      <c r="L301" s="1786">
        <v>3</v>
      </c>
      <c r="M301" s="1788">
        <v>3</v>
      </c>
      <c r="Q301" s="1787" t="s">
        <v>117</v>
      </c>
      <c r="T301" s="1786">
        <v>0</v>
      </c>
      <c r="U301" s="1788">
        <v>1.125</v>
      </c>
      <c r="V301" s="1789">
        <v>0</v>
      </c>
      <c r="W301" s="1790">
        <v>2.25</v>
      </c>
      <c r="X301" s="1791">
        <v>4</v>
      </c>
      <c r="Y301" s="1792" t="s">
        <v>117</v>
      </c>
      <c r="Z301" s="1791" t="s">
        <v>117</v>
      </c>
      <c r="AA301" s="1792" t="s">
        <v>2281</v>
      </c>
    </row>
    <row r="302" spans="1:27" x14ac:dyDescent="0.2">
      <c r="A302" s="1780" t="s">
        <v>1625</v>
      </c>
      <c r="B302" s="1781">
        <v>1</v>
      </c>
      <c r="C302" s="1782" t="s">
        <v>1978</v>
      </c>
      <c r="D302" s="1783">
        <v>59</v>
      </c>
      <c r="E302" s="1784">
        <v>0.625</v>
      </c>
      <c r="I302" s="1787">
        <v>0</v>
      </c>
      <c r="J302" s="1786">
        <v>1.375</v>
      </c>
      <c r="K302" s="1786" t="s">
        <v>114</v>
      </c>
      <c r="L302" s="1786">
        <v>3</v>
      </c>
      <c r="M302" s="1788">
        <v>3</v>
      </c>
      <c r="Q302" s="1787" t="s">
        <v>117</v>
      </c>
      <c r="W302" s="1790" t="s">
        <v>117</v>
      </c>
      <c r="X302" s="1791">
        <v>0</v>
      </c>
      <c r="Y302" s="1792" t="s">
        <v>117</v>
      </c>
      <c r="Z302" s="1791" t="s">
        <v>117</v>
      </c>
      <c r="AA302" s="1792" t="s">
        <v>2282</v>
      </c>
    </row>
    <row r="303" spans="1:27" x14ac:dyDescent="0.2">
      <c r="A303" s="1780" t="s">
        <v>1626</v>
      </c>
      <c r="B303" s="1781">
        <v>1</v>
      </c>
      <c r="C303" s="1782" t="s">
        <v>1978</v>
      </c>
      <c r="D303" s="1783">
        <v>59</v>
      </c>
      <c r="E303" s="1784">
        <v>0.625</v>
      </c>
      <c r="I303" s="1787">
        <v>0</v>
      </c>
      <c r="J303" s="1786">
        <v>1.375</v>
      </c>
      <c r="K303" s="1786" t="s">
        <v>114</v>
      </c>
      <c r="L303" s="1786">
        <v>3</v>
      </c>
      <c r="M303" s="1788">
        <v>3</v>
      </c>
      <c r="Q303" s="1787" t="s">
        <v>117</v>
      </c>
      <c r="W303" s="1790" t="s">
        <v>117</v>
      </c>
      <c r="X303" s="1791">
        <v>0</v>
      </c>
      <c r="Y303" s="1792" t="s">
        <v>117</v>
      </c>
      <c r="Z303" s="1791" t="s">
        <v>117</v>
      </c>
      <c r="AA303" s="1792" t="s">
        <v>2283</v>
      </c>
    </row>
    <row r="304" spans="1:27" x14ac:dyDescent="0.2">
      <c r="A304" s="1780" t="s">
        <v>1627</v>
      </c>
      <c r="B304" s="1781">
        <v>1</v>
      </c>
      <c r="C304" s="1782" t="s">
        <v>1978</v>
      </c>
      <c r="D304" s="1783">
        <v>59</v>
      </c>
      <c r="E304" s="1784">
        <v>0.625</v>
      </c>
      <c r="I304" s="1787">
        <v>0</v>
      </c>
      <c r="J304" s="1786">
        <v>1.375</v>
      </c>
      <c r="K304" s="1786" t="s">
        <v>114</v>
      </c>
      <c r="L304" s="1786">
        <v>3</v>
      </c>
      <c r="M304" s="1788">
        <v>3</v>
      </c>
      <c r="Q304" s="1787" t="s">
        <v>117</v>
      </c>
      <c r="W304" s="1790" t="s">
        <v>117</v>
      </c>
      <c r="X304" s="1791">
        <v>0</v>
      </c>
      <c r="Y304" s="1792" t="s">
        <v>117</v>
      </c>
      <c r="Z304" s="1791" t="s">
        <v>117</v>
      </c>
      <c r="AA304" s="1792" t="s">
        <v>2284</v>
      </c>
    </row>
    <row r="305" spans="1:27" x14ac:dyDescent="0.2">
      <c r="A305" s="1780" t="s">
        <v>1628</v>
      </c>
      <c r="B305" s="1781">
        <v>13</v>
      </c>
      <c r="C305" s="1782" t="s">
        <v>1978</v>
      </c>
      <c r="D305" s="1783">
        <v>59</v>
      </c>
      <c r="E305" s="1784">
        <v>0.625</v>
      </c>
      <c r="I305" s="1787">
        <v>0</v>
      </c>
      <c r="J305" s="1786">
        <v>1.375</v>
      </c>
      <c r="K305" s="1786" t="s">
        <v>114</v>
      </c>
      <c r="L305" s="1786">
        <v>3</v>
      </c>
      <c r="M305" s="1788">
        <v>3</v>
      </c>
      <c r="Q305" s="1787" t="s">
        <v>117</v>
      </c>
      <c r="W305" s="1790" t="s">
        <v>117</v>
      </c>
      <c r="X305" s="1791">
        <v>0</v>
      </c>
      <c r="Y305" s="1792" t="s">
        <v>117</v>
      </c>
      <c r="Z305" s="1791" t="s">
        <v>117</v>
      </c>
      <c r="AA305" s="1792" t="s">
        <v>2285</v>
      </c>
    </row>
    <row r="306" spans="1:27" x14ac:dyDescent="0.2">
      <c r="A306" s="1780" t="s">
        <v>1629</v>
      </c>
      <c r="B306" s="1781">
        <v>3</v>
      </c>
      <c r="C306" s="1782" t="s">
        <v>1978</v>
      </c>
      <c r="D306" s="1783">
        <v>59</v>
      </c>
      <c r="E306" s="1784">
        <v>0.625</v>
      </c>
      <c r="I306" s="1787">
        <v>0</v>
      </c>
      <c r="J306" s="1786">
        <v>1.375</v>
      </c>
      <c r="K306" s="1786" t="s">
        <v>114</v>
      </c>
      <c r="L306" s="1786">
        <v>3</v>
      </c>
      <c r="M306" s="1788">
        <v>3</v>
      </c>
      <c r="Q306" s="1787" t="s">
        <v>117</v>
      </c>
      <c r="T306" s="1786">
        <v>0</v>
      </c>
      <c r="U306" s="1788">
        <v>1.125</v>
      </c>
      <c r="V306" s="1789">
        <v>0</v>
      </c>
      <c r="W306" s="1790">
        <v>2.25</v>
      </c>
      <c r="X306" s="1791">
        <v>4</v>
      </c>
      <c r="Y306" s="1792" t="s">
        <v>117</v>
      </c>
      <c r="Z306" s="1791" t="s">
        <v>117</v>
      </c>
      <c r="AA306" s="1792" t="s">
        <v>2285</v>
      </c>
    </row>
    <row r="307" spans="1:27" x14ac:dyDescent="0.2">
      <c r="A307" s="1780" t="s">
        <v>1630</v>
      </c>
      <c r="B307" s="1781">
        <v>1</v>
      </c>
      <c r="C307" s="1782" t="s">
        <v>1978</v>
      </c>
      <c r="D307" s="1783">
        <v>58</v>
      </c>
      <c r="E307" s="1784">
        <v>11.875</v>
      </c>
      <c r="I307" s="1787">
        <v>0</v>
      </c>
      <c r="J307" s="1786">
        <v>0.625</v>
      </c>
      <c r="K307" s="1786" t="s">
        <v>114</v>
      </c>
      <c r="L307" s="1786">
        <v>3</v>
      </c>
      <c r="M307" s="1788">
        <v>3</v>
      </c>
      <c r="Q307" s="1787">
        <v>0</v>
      </c>
      <c r="R307" s="1786">
        <v>6.75</v>
      </c>
      <c r="S307" s="1786">
        <v>2</v>
      </c>
      <c r="T307" s="1786">
        <v>0</v>
      </c>
      <c r="U307" s="1788">
        <v>1.125</v>
      </c>
      <c r="V307" s="1789">
        <v>0</v>
      </c>
      <c r="W307" s="1790">
        <v>1.5</v>
      </c>
      <c r="X307" s="1791">
        <v>4</v>
      </c>
      <c r="Y307" s="1792" t="s">
        <v>117</v>
      </c>
      <c r="Z307" s="1791" t="s">
        <v>117</v>
      </c>
      <c r="AA307" s="1792" t="s">
        <v>2285</v>
      </c>
    </row>
    <row r="308" spans="1:27" x14ac:dyDescent="0.2">
      <c r="A308" s="1780" t="s">
        <v>1631</v>
      </c>
      <c r="B308" s="1781">
        <v>1</v>
      </c>
      <c r="C308" s="1782" t="s">
        <v>1978</v>
      </c>
      <c r="D308" s="1783">
        <v>59</v>
      </c>
      <c r="E308" s="1784">
        <v>0.625</v>
      </c>
      <c r="I308" s="1787">
        <v>0</v>
      </c>
      <c r="J308" s="1786">
        <v>1.375</v>
      </c>
      <c r="K308" s="1786" t="s">
        <v>114</v>
      </c>
      <c r="L308" s="1786">
        <v>3</v>
      </c>
      <c r="M308" s="1788">
        <v>3</v>
      </c>
      <c r="Q308" s="1787" t="s">
        <v>117</v>
      </c>
      <c r="W308" s="1790" t="s">
        <v>117</v>
      </c>
      <c r="X308" s="1791">
        <v>0</v>
      </c>
      <c r="Y308" s="1792" t="s">
        <v>117</v>
      </c>
      <c r="Z308" s="1791" t="s">
        <v>117</v>
      </c>
      <c r="AA308" s="1792" t="s">
        <v>2286</v>
      </c>
    </row>
    <row r="309" spans="1:27" x14ac:dyDescent="0.2">
      <c r="A309" s="1780" t="s">
        <v>1632</v>
      </c>
      <c r="B309" s="1781">
        <v>1</v>
      </c>
      <c r="C309" s="1782" t="s">
        <v>1978</v>
      </c>
      <c r="D309" s="1783">
        <v>59</v>
      </c>
      <c r="E309" s="1784">
        <v>0.625</v>
      </c>
      <c r="I309" s="1787">
        <v>0</v>
      </c>
      <c r="J309" s="1786">
        <v>1.375</v>
      </c>
      <c r="K309" s="1786" t="s">
        <v>114</v>
      </c>
      <c r="L309" s="1786">
        <v>3</v>
      </c>
      <c r="M309" s="1788">
        <v>3</v>
      </c>
      <c r="Q309" s="1787" t="s">
        <v>117</v>
      </c>
      <c r="T309" s="1786">
        <v>0</v>
      </c>
      <c r="U309" s="1788">
        <v>1.125</v>
      </c>
      <c r="V309" s="1789">
        <v>0</v>
      </c>
      <c r="W309" s="1790">
        <v>2.25</v>
      </c>
      <c r="X309" s="1791">
        <v>4</v>
      </c>
      <c r="Y309" s="1792" t="s">
        <v>117</v>
      </c>
      <c r="Z309" s="1791" t="s">
        <v>117</v>
      </c>
      <c r="AA309" s="1792" t="s">
        <v>2286</v>
      </c>
    </row>
    <row r="310" spans="1:27" x14ac:dyDescent="0.2">
      <c r="A310" s="1780" t="s">
        <v>1633</v>
      </c>
      <c r="B310" s="1781">
        <v>1</v>
      </c>
      <c r="C310" s="1782" t="s">
        <v>1978</v>
      </c>
      <c r="D310" s="1783">
        <v>59</v>
      </c>
      <c r="E310" s="1784">
        <v>0.625</v>
      </c>
      <c r="I310" s="1787">
        <v>0</v>
      </c>
      <c r="J310" s="1786">
        <v>1.375</v>
      </c>
      <c r="K310" s="1786" t="s">
        <v>114</v>
      </c>
      <c r="L310" s="1786">
        <v>3</v>
      </c>
      <c r="M310" s="1788">
        <v>3</v>
      </c>
      <c r="Q310" s="1787" t="s">
        <v>117</v>
      </c>
      <c r="W310" s="1790" t="s">
        <v>117</v>
      </c>
      <c r="X310" s="1791">
        <v>0</v>
      </c>
      <c r="Y310" s="1792" t="s">
        <v>117</v>
      </c>
      <c r="Z310" s="1791" t="s">
        <v>117</v>
      </c>
      <c r="AA310" s="1792" t="s">
        <v>2287</v>
      </c>
    </row>
    <row r="311" spans="1:27" x14ac:dyDescent="0.2">
      <c r="A311" s="1780" t="s">
        <v>1634</v>
      </c>
      <c r="B311" s="1781">
        <v>1</v>
      </c>
      <c r="C311" s="1782" t="s">
        <v>1978</v>
      </c>
      <c r="D311" s="1783">
        <v>59</v>
      </c>
      <c r="E311" s="1784">
        <v>0.625</v>
      </c>
      <c r="I311" s="1787">
        <v>0</v>
      </c>
      <c r="J311" s="1786">
        <v>1.375</v>
      </c>
      <c r="K311" s="1786" t="s">
        <v>114</v>
      </c>
      <c r="L311" s="1786">
        <v>3</v>
      </c>
      <c r="M311" s="1788">
        <v>3</v>
      </c>
      <c r="Q311" s="1787" t="s">
        <v>117</v>
      </c>
      <c r="W311" s="1790" t="s">
        <v>117</v>
      </c>
      <c r="X311" s="1791">
        <v>0</v>
      </c>
      <c r="Y311" s="1792" t="s">
        <v>117</v>
      </c>
      <c r="Z311" s="1791" t="s">
        <v>117</v>
      </c>
      <c r="AA311" s="1792" t="s">
        <v>2288</v>
      </c>
    </row>
    <row r="312" spans="1:27" x14ac:dyDescent="0.2">
      <c r="A312" s="1780" t="s">
        <v>1635</v>
      </c>
      <c r="B312" s="1781">
        <v>1</v>
      </c>
      <c r="C312" s="1782" t="s">
        <v>1978</v>
      </c>
      <c r="D312" s="1783">
        <v>59</v>
      </c>
      <c r="E312" s="1784">
        <v>0.625</v>
      </c>
      <c r="I312" s="1787">
        <v>0</v>
      </c>
      <c r="J312" s="1786">
        <v>1.375</v>
      </c>
      <c r="K312" s="1786" t="s">
        <v>114</v>
      </c>
      <c r="L312" s="1786">
        <v>3</v>
      </c>
      <c r="M312" s="1788">
        <v>3</v>
      </c>
      <c r="Q312" s="1787" t="s">
        <v>117</v>
      </c>
      <c r="W312" s="1790" t="s">
        <v>117</v>
      </c>
      <c r="X312" s="1791">
        <v>0</v>
      </c>
      <c r="Y312" s="1792" t="s">
        <v>117</v>
      </c>
      <c r="Z312" s="1791" t="s">
        <v>117</v>
      </c>
      <c r="AA312" s="1792" t="s">
        <v>2289</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223">
        <f>IF(ISBLANK('Job Info.'!D8),"",'Job Info.'!D8)</f>
        <v>43406</v>
      </c>
      <c r="G1" s="2223"/>
      <c r="H1" s="444"/>
    </row>
    <row r="2" spans="1:8" ht="39.950000000000003" customHeight="1" x14ac:dyDescent="0.2">
      <c r="A2" s="20" t="s">
        <v>42</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225" t="str">
        <f>IF(ISBLANK('Job Info.'!D3),"",'Job Info.'!D3)</f>
        <v>SUNPOINT CROSSING</v>
      </c>
      <c r="C4" s="2226"/>
      <c r="D4" s="562" t="s">
        <v>2</v>
      </c>
      <c r="E4" s="2225" t="str">
        <f>IF(ISBLANK('Job Info.'!D5),"",'Job Info.'!D5)</f>
        <v>9118-0062</v>
      </c>
      <c r="F4" s="2225"/>
      <c r="G4" s="2225"/>
      <c r="H4" s="2226"/>
    </row>
    <row r="5" spans="1:8" ht="15.95" customHeight="1" x14ac:dyDescent="0.2">
      <c r="A5" s="562" t="s">
        <v>3</v>
      </c>
      <c r="B5" s="2225" t="str">
        <f>IF(ISBLANK('Job Info.'!D4),"",'Job Info.'!D4)</f>
        <v>LAS VEGAS, NV</v>
      </c>
      <c r="C5" s="2226"/>
      <c r="D5" s="562" t="s">
        <v>22</v>
      </c>
      <c r="E5" s="825" t="str">
        <f>IF(ISBLANK('Job Info.'!D6),"",'Job Info.'!D6)</f>
        <v>CJA</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9" t="s">
        <v>30</v>
      </c>
      <c r="B7" s="2224" t="s">
        <v>15</v>
      </c>
      <c r="C7" s="2224"/>
      <c r="D7" s="2224"/>
      <c r="E7" s="2224"/>
      <c r="F7" s="2224"/>
      <c r="G7" s="2224"/>
      <c r="H7" s="2224"/>
    </row>
    <row r="8" spans="1:8" ht="15" customHeight="1" x14ac:dyDescent="0.2">
      <c r="A8" s="1350"/>
      <c r="B8" s="2222"/>
      <c r="C8" s="2222"/>
      <c r="D8" s="2222"/>
      <c r="E8" s="2222"/>
      <c r="F8" s="2222"/>
      <c r="G8" s="2222"/>
      <c r="H8" s="2222"/>
    </row>
    <row r="9" spans="1:8" ht="15" customHeight="1" x14ac:dyDescent="0.2">
      <c r="A9" s="1352"/>
      <c r="B9" s="2220"/>
      <c r="C9" s="2220"/>
      <c r="D9" s="2220"/>
      <c r="E9" s="2220"/>
      <c r="F9" s="2220"/>
      <c r="G9" s="2220"/>
      <c r="H9" s="2220"/>
    </row>
    <row r="10" spans="1:8" ht="15" customHeight="1" x14ac:dyDescent="0.2">
      <c r="A10" s="1352"/>
      <c r="B10" s="2220"/>
      <c r="C10" s="2220"/>
      <c r="D10" s="2220"/>
      <c r="E10" s="2220"/>
      <c r="F10" s="2220"/>
      <c r="G10" s="2220"/>
      <c r="H10" s="2220"/>
    </row>
    <row r="11" spans="1:8" ht="15" customHeight="1" x14ac:dyDescent="0.2">
      <c r="A11" s="1352"/>
      <c r="B11" s="2220"/>
      <c r="C11" s="2220"/>
      <c r="D11" s="2220"/>
      <c r="E11" s="2220"/>
      <c r="F11" s="2220"/>
      <c r="G11" s="2220"/>
      <c r="H11" s="2220"/>
    </row>
    <row r="12" spans="1:8" ht="15" customHeight="1" x14ac:dyDescent="0.2">
      <c r="A12" s="1352"/>
      <c r="B12" s="2220"/>
      <c r="C12" s="2220"/>
      <c r="D12" s="2220"/>
      <c r="E12" s="2220"/>
      <c r="F12" s="2220"/>
      <c r="G12" s="2220"/>
      <c r="H12" s="2220"/>
    </row>
    <row r="13" spans="1:8" ht="15" customHeight="1" x14ac:dyDescent="0.2">
      <c r="A13" s="1352"/>
      <c r="B13" s="2220"/>
      <c r="C13" s="2220"/>
      <c r="D13" s="2220"/>
      <c r="E13" s="2220"/>
      <c r="F13" s="2220"/>
      <c r="G13" s="2220"/>
      <c r="H13" s="2220"/>
    </row>
    <row r="14" spans="1:8" ht="15" customHeight="1" x14ac:dyDescent="0.2">
      <c r="A14" s="1352"/>
      <c r="B14" s="2220"/>
      <c r="C14" s="2220"/>
      <c r="D14" s="2220"/>
      <c r="E14" s="2220"/>
      <c r="F14" s="2220"/>
      <c r="G14" s="2220"/>
      <c r="H14" s="2220"/>
    </row>
    <row r="15" spans="1:8" ht="15" customHeight="1" x14ac:dyDescent="0.2">
      <c r="A15" s="1352"/>
      <c r="B15" s="2220"/>
      <c r="C15" s="2220"/>
      <c r="D15" s="2220"/>
      <c r="E15" s="2220"/>
      <c r="F15" s="2220"/>
      <c r="G15" s="2220"/>
      <c r="H15" s="2220"/>
    </row>
    <row r="16" spans="1:8" ht="15" customHeight="1" x14ac:dyDescent="0.2">
      <c r="A16" s="1352"/>
      <c r="B16" s="2220"/>
      <c r="C16" s="2220"/>
      <c r="D16" s="2220"/>
      <c r="E16" s="2220"/>
      <c r="F16" s="2220"/>
      <c r="G16" s="2220"/>
      <c r="H16" s="2220"/>
    </row>
    <row r="17" spans="1:8" ht="15" customHeight="1" x14ac:dyDescent="0.2">
      <c r="A17" s="1352"/>
      <c r="B17" s="2220"/>
      <c r="C17" s="2220"/>
      <c r="D17" s="2220"/>
      <c r="E17" s="2220"/>
      <c r="F17" s="2220"/>
      <c r="G17" s="2220"/>
      <c r="H17" s="2220"/>
    </row>
    <row r="18" spans="1:8" ht="15" customHeight="1" x14ac:dyDescent="0.2">
      <c r="A18" s="1352"/>
      <c r="B18" s="2220"/>
      <c r="C18" s="2220"/>
      <c r="D18" s="2220"/>
      <c r="E18" s="2220"/>
      <c r="F18" s="2220"/>
      <c r="G18" s="2220"/>
      <c r="H18" s="2220"/>
    </row>
    <row r="19" spans="1:8" ht="15" customHeight="1" x14ac:dyDescent="0.2">
      <c r="A19" s="1352"/>
      <c r="B19" s="2220"/>
      <c r="C19" s="2220"/>
      <c r="D19" s="2220"/>
      <c r="E19" s="2220"/>
      <c r="F19" s="2220"/>
      <c r="G19" s="2220"/>
      <c r="H19" s="2220"/>
    </row>
    <row r="20" spans="1:8" ht="15" customHeight="1" x14ac:dyDescent="0.2">
      <c r="A20" s="1352"/>
      <c r="B20" s="2220"/>
      <c r="C20" s="2220"/>
      <c r="D20" s="2220"/>
      <c r="E20" s="2220"/>
      <c r="F20" s="2220"/>
      <c r="G20" s="2220"/>
      <c r="H20" s="2220"/>
    </row>
    <row r="21" spans="1:8" ht="15" customHeight="1" x14ac:dyDescent="0.2">
      <c r="A21" s="1352"/>
      <c r="B21" s="2220"/>
      <c r="C21" s="2220"/>
      <c r="D21" s="2220"/>
      <c r="E21" s="2220"/>
      <c r="F21" s="2220"/>
      <c r="G21" s="2220"/>
      <c r="H21" s="2220"/>
    </row>
    <row r="22" spans="1:8" ht="15" customHeight="1" x14ac:dyDescent="0.2">
      <c r="A22" s="1352"/>
      <c r="B22" s="2220"/>
      <c r="C22" s="2220"/>
      <c r="D22" s="2220"/>
      <c r="E22" s="2220"/>
      <c r="F22" s="2220"/>
      <c r="G22" s="2220"/>
      <c r="H22" s="2220"/>
    </row>
    <row r="23" spans="1:8" ht="15" customHeight="1" x14ac:dyDescent="0.2">
      <c r="A23" s="1352"/>
      <c r="B23" s="2220"/>
      <c r="C23" s="2220"/>
      <c r="D23" s="2220"/>
      <c r="E23" s="2220"/>
      <c r="F23" s="2220"/>
      <c r="G23" s="2220"/>
      <c r="H23" s="2220"/>
    </row>
    <row r="24" spans="1:8" ht="15" customHeight="1" x14ac:dyDescent="0.2">
      <c r="A24" s="1352"/>
      <c r="B24" s="2220"/>
      <c r="C24" s="2220"/>
      <c r="D24" s="2220"/>
      <c r="E24" s="2220"/>
      <c r="F24" s="2220"/>
      <c r="G24" s="2220"/>
      <c r="H24" s="2220"/>
    </row>
    <row r="25" spans="1:8" ht="15" customHeight="1" x14ac:dyDescent="0.2">
      <c r="A25" s="1352"/>
      <c r="B25" s="2220"/>
      <c r="C25" s="2220"/>
      <c r="D25" s="2220"/>
      <c r="E25" s="2220"/>
      <c r="F25" s="2220"/>
      <c r="G25" s="2220"/>
      <c r="H25" s="2220"/>
    </row>
    <row r="26" spans="1:8" ht="15" customHeight="1" x14ac:dyDescent="0.2">
      <c r="A26" s="1352"/>
      <c r="B26" s="2220"/>
      <c r="C26" s="2220"/>
      <c r="D26" s="2220"/>
      <c r="E26" s="2220"/>
      <c r="F26" s="2220"/>
      <c r="G26" s="2220"/>
      <c r="H26" s="2220"/>
    </row>
    <row r="27" spans="1:8" ht="15" customHeight="1" x14ac:dyDescent="0.2">
      <c r="A27" s="1352"/>
      <c r="B27" s="2220"/>
      <c r="C27" s="2220"/>
      <c r="D27" s="2220"/>
      <c r="E27" s="2220"/>
      <c r="F27" s="2220"/>
      <c r="G27" s="2220"/>
      <c r="H27" s="2220"/>
    </row>
    <row r="28" spans="1:8" ht="15" customHeight="1" x14ac:dyDescent="0.2">
      <c r="A28" s="1352"/>
      <c r="B28" s="2220"/>
      <c r="C28" s="2220"/>
      <c r="D28" s="2220"/>
      <c r="E28" s="2220"/>
      <c r="F28" s="2220"/>
      <c r="G28" s="2220"/>
      <c r="H28" s="2220"/>
    </row>
    <row r="29" spans="1:8" ht="15" customHeight="1" x14ac:dyDescent="0.2">
      <c r="A29" s="1352"/>
      <c r="B29" s="2220"/>
      <c r="C29" s="2220"/>
      <c r="D29" s="2220"/>
      <c r="E29" s="2220"/>
      <c r="F29" s="2220"/>
      <c r="G29" s="2220"/>
      <c r="H29" s="2220"/>
    </row>
    <row r="30" spans="1:8" ht="15" customHeight="1" x14ac:dyDescent="0.2">
      <c r="A30" s="1352"/>
      <c r="B30" s="2220"/>
      <c r="C30" s="2220"/>
      <c r="D30" s="2220"/>
      <c r="E30" s="2220"/>
      <c r="F30" s="2220"/>
      <c r="G30" s="2220"/>
      <c r="H30" s="2220"/>
    </row>
    <row r="31" spans="1:8" ht="15" customHeight="1" x14ac:dyDescent="0.2">
      <c r="A31" s="1352"/>
      <c r="B31" s="2220"/>
      <c r="C31" s="2220"/>
      <c r="D31" s="2220"/>
      <c r="E31" s="2220"/>
      <c r="F31" s="2220"/>
      <c r="G31" s="2220"/>
      <c r="H31" s="2220"/>
    </row>
    <row r="32" spans="1:8" ht="15" customHeight="1" x14ac:dyDescent="0.2">
      <c r="A32" s="1352"/>
      <c r="B32" s="2220"/>
      <c r="C32" s="2220"/>
      <c r="D32" s="2220"/>
      <c r="E32" s="2220"/>
      <c r="F32" s="2220"/>
      <c r="G32" s="2220"/>
      <c r="H32" s="2220"/>
    </row>
    <row r="33" spans="1:8" ht="15" customHeight="1" x14ac:dyDescent="0.2">
      <c r="A33" s="1352"/>
      <c r="B33" s="2220"/>
      <c r="C33" s="2220"/>
      <c r="D33" s="2220"/>
      <c r="E33" s="2220"/>
      <c r="F33" s="2220"/>
      <c r="G33" s="2220"/>
      <c r="H33" s="2220"/>
    </row>
    <row r="34" spans="1:8" ht="15" customHeight="1" x14ac:dyDescent="0.2">
      <c r="A34" s="1352"/>
      <c r="B34" s="2220"/>
      <c r="C34" s="2220"/>
      <c r="D34" s="2220"/>
      <c r="E34" s="2220"/>
      <c r="F34" s="2220"/>
      <c r="G34" s="2220"/>
      <c r="H34" s="2220"/>
    </row>
    <row r="35" spans="1:8" ht="15" customHeight="1" x14ac:dyDescent="0.2">
      <c r="A35" s="1352"/>
      <c r="B35" s="2220"/>
      <c r="C35" s="2220"/>
      <c r="D35" s="2220"/>
      <c r="E35" s="2220"/>
      <c r="F35" s="2220"/>
      <c r="G35" s="2220"/>
      <c r="H35" s="2220"/>
    </row>
    <row r="36" spans="1:8" ht="15" customHeight="1" x14ac:dyDescent="0.2">
      <c r="A36" s="1352"/>
      <c r="B36" s="2220"/>
      <c r="C36" s="2220"/>
      <c r="D36" s="2220"/>
      <c r="E36" s="2220"/>
      <c r="F36" s="2220"/>
      <c r="G36" s="2220"/>
      <c r="H36" s="2220"/>
    </row>
    <row r="37" spans="1:8" ht="15" customHeight="1" x14ac:dyDescent="0.2">
      <c r="A37" s="1352"/>
      <c r="B37" s="2220"/>
      <c r="C37" s="2220"/>
      <c r="D37" s="2220"/>
      <c r="E37" s="2220"/>
      <c r="F37" s="2220"/>
      <c r="G37" s="2220"/>
      <c r="H37" s="2220"/>
    </row>
    <row r="38" spans="1:8" ht="15" customHeight="1" x14ac:dyDescent="0.2">
      <c r="A38" s="1352"/>
      <c r="B38" s="2220"/>
      <c r="C38" s="2220"/>
      <c r="D38" s="2220"/>
      <c r="E38" s="2220"/>
      <c r="F38" s="2220"/>
      <c r="G38" s="2220"/>
      <c r="H38" s="2220"/>
    </row>
    <row r="39" spans="1:8" ht="15" customHeight="1" x14ac:dyDescent="0.2">
      <c r="A39" s="1352"/>
      <c r="B39" s="2220"/>
      <c r="C39" s="2220"/>
      <c r="D39" s="2220"/>
      <c r="E39" s="2220"/>
      <c r="F39" s="2220"/>
      <c r="G39" s="2220"/>
      <c r="H39" s="2220"/>
    </row>
    <row r="40" spans="1:8" ht="15" customHeight="1" x14ac:dyDescent="0.2">
      <c r="A40" s="1352"/>
      <c r="B40" s="2220"/>
      <c r="C40" s="2220"/>
      <c r="D40" s="2220"/>
      <c r="E40" s="2220"/>
      <c r="F40" s="2220"/>
      <c r="G40" s="2220"/>
      <c r="H40" s="2220"/>
    </row>
    <row r="41" spans="1:8" ht="15" customHeight="1" x14ac:dyDescent="0.2">
      <c r="A41" s="1352"/>
      <c r="B41" s="2220"/>
      <c r="C41" s="2220"/>
      <c r="D41" s="2220"/>
      <c r="E41" s="2220"/>
      <c r="F41" s="2220"/>
      <c r="G41" s="2220"/>
      <c r="H41" s="2220"/>
    </row>
    <row r="42" spans="1:8" ht="15" customHeight="1" x14ac:dyDescent="0.2">
      <c r="A42" s="1352"/>
      <c r="B42" s="2220"/>
      <c r="C42" s="2220"/>
      <c r="D42" s="2220"/>
      <c r="E42" s="2220"/>
      <c r="F42" s="2220"/>
      <c r="G42" s="2220"/>
      <c r="H42" s="2220"/>
    </row>
    <row r="43" spans="1:8" ht="15" customHeight="1" x14ac:dyDescent="0.2">
      <c r="A43" s="1352"/>
      <c r="B43" s="2220"/>
      <c r="C43" s="2220"/>
      <c r="D43" s="2220"/>
      <c r="E43" s="2220"/>
      <c r="F43" s="2220"/>
      <c r="G43" s="2220"/>
      <c r="H43" s="2220"/>
    </row>
    <row r="44" spans="1:8" ht="15" customHeight="1" x14ac:dyDescent="0.2">
      <c r="A44" s="1352"/>
      <c r="B44" s="2220"/>
      <c r="C44" s="2220"/>
      <c r="D44" s="2220"/>
      <c r="E44" s="2220"/>
      <c r="F44" s="2220"/>
      <c r="G44" s="2220"/>
      <c r="H44" s="2220"/>
    </row>
    <row r="45" spans="1:8" ht="15" customHeight="1" x14ac:dyDescent="0.2">
      <c r="A45" s="1352"/>
      <c r="B45" s="2220"/>
      <c r="C45" s="2220"/>
      <c r="D45" s="2220"/>
      <c r="E45" s="2220"/>
      <c r="F45" s="2220"/>
      <c r="G45" s="2220"/>
      <c r="H45" s="2220"/>
    </row>
    <row r="46" spans="1:8" ht="15" customHeight="1" x14ac:dyDescent="0.2">
      <c r="A46" s="1352"/>
      <c r="B46" s="2220"/>
      <c r="C46" s="2220"/>
      <c r="D46" s="2220"/>
      <c r="E46" s="2220"/>
      <c r="F46" s="2220"/>
      <c r="G46" s="2220"/>
      <c r="H46" s="2220"/>
    </row>
    <row r="47" spans="1:8" ht="15" customHeight="1" x14ac:dyDescent="0.2">
      <c r="A47" s="1355"/>
      <c r="B47" s="2221"/>
      <c r="C47" s="2221"/>
      <c r="D47" s="2221"/>
      <c r="E47" s="2221"/>
      <c r="F47" s="2221"/>
      <c r="G47" s="2221"/>
      <c r="H47" s="2221"/>
    </row>
    <row r="59" spans="1:1" x14ac:dyDescent="0.2">
      <c r="A59" s="973" t="s">
        <v>1062</v>
      </c>
    </row>
    <row r="60" spans="1:1" hidden="1" x14ac:dyDescent="0.2">
      <c r="A60" s="1128" t="s">
        <v>1061</v>
      </c>
    </row>
    <row r="61" spans="1:1" hidden="1" x14ac:dyDescent="0.2">
      <c r="A61" s="1130"/>
    </row>
    <row r="62" spans="1:1" hidden="1" x14ac:dyDescent="0.2"/>
    <row r="63" spans="1:1" hidden="1" x14ac:dyDescent="0.2"/>
    <row r="64" spans="1:1" hidden="1" x14ac:dyDescent="0.2"/>
    <row r="65" spans="1:1" x14ac:dyDescent="0.2">
      <c r="A65" s="973" t="s">
        <v>1063</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547" t="s">
        <v>20</v>
      </c>
      <c r="F1" s="2223">
        <f>IF(ISBLANK('Job Info.'!D8),"",'Job Info.'!D8)</f>
        <v>43406</v>
      </c>
      <c r="G1" s="2223"/>
      <c r="H1" s="444"/>
    </row>
    <row r="2" spans="1:8" ht="39.950000000000003" customHeight="1" x14ac:dyDescent="0.2">
      <c r="A2" s="20" t="s">
        <v>41</v>
      </c>
      <c r="B2" s="473"/>
      <c r="C2" s="473"/>
      <c r="D2" s="444"/>
      <c r="E2" s="548" t="s">
        <v>21</v>
      </c>
      <c r="F2" s="663"/>
      <c r="G2" s="663"/>
      <c r="H2" s="473"/>
    </row>
    <row r="3" spans="1:8" ht="6" customHeight="1" x14ac:dyDescent="0.2">
      <c r="A3" s="473"/>
      <c r="B3" s="473"/>
      <c r="C3" s="473"/>
      <c r="D3" s="473"/>
      <c r="E3" s="473"/>
      <c r="F3" s="473"/>
      <c r="G3" s="473"/>
      <c r="H3" s="473"/>
    </row>
    <row r="4" spans="1:8" ht="15.95" customHeight="1" x14ac:dyDescent="0.2">
      <c r="A4" s="562" t="s">
        <v>1</v>
      </c>
      <c r="B4" s="2225" t="str">
        <f>IF(ISBLANK('Job Info.'!D3),"",'Job Info.'!D3)</f>
        <v>SUNPOINT CROSSING</v>
      </c>
      <c r="C4" s="2226"/>
      <c r="D4" s="562" t="s">
        <v>2</v>
      </c>
      <c r="E4" s="2225" t="str">
        <f>IF(ISBLANK('Job Info.'!D5),"",'Job Info.'!D5)</f>
        <v>9118-0062</v>
      </c>
      <c r="F4" s="2225"/>
      <c r="G4" s="2225"/>
      <c r="H4" s="2226"/>
    </row>
    <row r="5" spans="1:8" ht="15.95" customHeight="1" x14ac:dyDescent="0.2">
      <c r="A5" s="562" t="s">
        <v>3</v>
      </c>
      <c r="B5" s="2225" t="str">
        <f>IF(ISBLANK('Job Info.'!D4),"",'Job Info.'!D4)</f>
        <v>LAS VEGAS, NV</v>
      </c>
      <c r="C5" s="2226"/>
      <c r="D5" s="562" t="s">
        <v>22</v>
      </c>
      <c r="E5" s="825" t="str">
        <f>IF(ISBLANK('Job Info.'!D6),"",'Job Info.'!D6)</f>
        <v>CJA</v>
      </c>
      <c r="F5" s="286"/>
      <c r="G5" s="545" t="s">
        <v>23</v>
      </c>
      <c r="H5" s="825" t="str">
        <f>IF(ISBLANK('Job Info.'!D7),"",'Job Info.'!D7)</f>
        <v>LS</v>
      </c>
    </row>
    <row r="6" spans="1:8" ht="6" customHeight="1" x14ac:dyDescent="0.2">
      <c r="A6" s="473"/>
      <c r="B6" s="473"/>
      <c r="C6" s="473"/>
      <c r="D6" s="473"/>
      <c r="E6" s="473"/>
      <c r="F6" s="473"/>
      <c r="G6" s="473"/>
      <c r="H6" s="473"/>
    </row>
    <row r="7" spans="1:8" s="23" customFormat="1" ht="15.95" customHeight="1" x14ac:dyDescent="0.2">
      <c r="A7" s="1389" t="s">
        <v>40</v>
      </c>
      <c r="B7" s="2224" t="s">
        <v>15</v>
      </c>
      <c r="C7" s="2224"/>
      <c r="D7" s="2224"/>
      <c r="E7" s="2224"/>
      <c r="F7" s="2224"/>
      <c r="G7" s="2224"/>
      <c r="H7" s="2224"/>
    </row>
    <row r="8" spans="1:8" ht="15" customHeight="1" x14ac:dyDescent="0.2">
      <c r="A8" s="1350"/>
      <c r="B8" s="2222"/>
      <c r="C8" s="2222"/>
      <c r="D8" s="2222"/>
      <c r="E8" s="2222"/>
      <c r="F8" s="2222"/>
      <c r="G8" s="2222"/>
      <c r="H8" s="2222"/>
    </row>
    <row r="9" spans="1:8" ht="15" customHeight="1" x14ac:dyDescent="0.2">
      <c r="A9" s="1352"/>
      <c r="B9" s="2220"/>
      <c r="C9" s="2220"/>
      <c r="D9" s="2220"/>
      <c r="E9" s="2220"/>
      <c r="F9" s="2220"/>
      <c r="G9" s="2220"/>
      <c r="H9" s="2220"/>
    </row>
    <row r="10" spans="1:8" ht="15" customHeight="1" x14ac:dyDescent="0.2">
      <c r="A10" s="1352"/>
      <c r="B10" s="2220"/>
      <c r="C10" s="2220"/>
      <c r="D10" s="2220"/>
      <c r="E10" s="2220"/>
      <c r="F10" s="2220"/>
      <c r="G10" s="2220"/>
      <c r="H10" s="2220"/>
    </row>
    <row r="11" spans="1:8" ht="15" customHeight="1" x14ac:dyDescent="0.2">
      <c r="A11" s="1352"/>
      <c r="B11" s="2220"/>
      <c r="C11" s="2220"/>
      <c r="D11" s="2220"/>
      <c r="E11" s="2220"/>
      <c r="F11" s="2220"/>
      <c r="G11" s="2220"/>
      <c r="H11" s="2220"/>
    </row>
    <row r="12" spans="1:8" ht="15" customHeight="1" x14ac:dyDescent="0.2">
      <c r="A12" s="1352"/>
      <c r="B12" s="2220"/>
      <c r="C12" s="2220"/>
      <c r="D12" s="2220"/>
      <c r="E12" s="2220"/>
      <c r="F12" s="2220"/>
      <c r="G12" s="2220"/>
      <c r="H12" s="2220"/>
    </row>
    <row r="13" spans="1:8" ht="15" customHeight="1" x14ac:dyDescent="0.2">
      <c r="A13" s="1352"/>
      <c r="B13" s="2220"/>
      <c r="C13" s="2220"/>
      <c r="D13" s="2220"/>
      <c r="E13" s="2220"/>
      <c r="F13" s="2220"/>
      <c r="G13" s="2220"/>
      <c r="H13" s="2220"/>
    </row>
    <row r="14" spans="1:8" ht="15" customHeight="1" x14ac:dyDescent="0.2">
      <c r="A14" s="1352"/>
      <c r="B14" s="2220"/>
      <c r="C14" s="2220"/>
      <c r="D14" s="2220"/>
      <c r="E14" s="2220"/>
      <c r="F14" s="2220"/>
      <c r="G14" s="2220"/>
      <c r="H14" s="2220"/>
    </row>
    <row r="15" spans="1:8" ht="15" customHeight="1" x14ac:dyDescent="0.2">
      <c r="A15" s="1352"/>
      <c r="B15" s="2220"/>
      <c r="C15" s="2220"/>
      <c r="D15" s="2220"/>
      <c r="E15" s="2220"/>
      <c r="F15" s="2220"/>
      <c r="G15" s="2220"/>
      <c r="H15" s="2220"/>
    </row>
    <row r="16" spans="1:8" ht="15" customHeight="1" x14ac:dyDescent="0.2">
      <c r="A16" s="1352"/>
      <c r="B16" s="2220"/>
      <c r="C16" s="2220"/>
      <c r="D16" s="2220"/>
      <c r="E16" s="2220"/>
      <c r="F16" s="2220"/>
      <c r="G16" s="2220"/>
      <c r="H16" s="2220"/>
    </row>
    <row r="17" spans="1:8" ht="15" customHeight="1" x14ac:dyDescent="0.2">
      <c r="A17" s="1352"/>
      <c r="B17" s="2220"/>
      <c r="C17" s="2220"/>
      <c r="D17" s="2220"/>
      <c r="E17" s="2220"/>
      <c r="F17" s="2220"/>
      <c r="G17" s="2220"/>
      <c r="H17" s="2220"/>
    </row>
    <row r="18" spans="1:8" ht="15" customHeight="1" x14ac:dyDescent="0.2">
      <c r="A18" s="1352"/>
      <c r="B18" s="2220"/>
      <c r="C18" s="2220"/>
      <c r="D18" s="2220"/>
      <c r="E18" s="2220"/>
      <c r="F18" s="2220"/>
      <c r="G18" s="2220"/>
      <c r="H18" s="2220"/>
    </row>
    <row r="19" spans="1:8" ht="15" customHeight="1" x14ac:dyDescent="0.2">
      <c r="A19" s="1352"/>
      <c r="B19" s="2220"/>
      <c r="C19" s="2220"/>
      <c r="D19" s="2220"/>
      <c r="E19" s="2220"/>
      <c r="F19" s="2220"/>
      <c r="G19" s="2220"/>
      <c r="H19" s="2220"/>
    </row>
    <row r="20" spans="1:8" ht="15" customHeight="1" x14ac:dyDescent="0.2">
      <c r="A20" s="1352"/>
      <c r="B20" s="2220"/>
      <c r="C20" s="2220"/>
      <c r="D20" s="2220"/>
      <c r="E20" s="2220"/>
      <c r="F20" s="2220"/>
      <c r="G20" s="2220"/>
      <c r="H20" s="2220"/>
    </row>
    <row r="21" spans="1:8" ht="15" customHeight="1" x14ac:dyDescent="0.2">
      <c r="A21" s="1352"/>
      <c r="B21" s="2220"/>
      <c r="C21" s="2220"/>
      <c r="D21" s="2220"/>
      <c r="E21" s="2220"/>
      <c r="F21" s="2220"/>
      <c r="G21" s="2220"/>
      <c r="H21" s="2220"/>
    </row>
    <row r="22" spans="1:8" ht="15" customHeight="1" x14ac:dyDescent="0.2">
      <c r="A22" s="1352"/>
      <c r="B22" s="2220"/>
      <c r="C22" s="2220"/>
      <c r="D22" s="2220"/>
      <c r="E22" s="2220"/>
      <c r="F22" s="2220"/>
      <c r="G22" s="2220"/>
      <c r="H22" s="2220"/>
    </row>
    <row r="23" spans="1:8" ht="15" customHeight="1" x14ac:dyDescent="0.2">
      <c r="A23" s="1352"/>
      <c r="B23" s="2220"/>
      <c r="C23" s="2220"/>
      <c r="D23" s="2220"/>
      <c r="E23" s="2220"/>
      <c r="F23" s="2220"/>
      <c r="G23" s="2220"/>
      <c r="H23" s="2220"/>
    </row>
    <row r="24" spans="1:8" ht="15" customHeight="1" x14ac:dyDescent="0.2">
      <c r="A24" s="1352"/>
      <c r="B24" s="2220"/>
      <c r="C24" s="2220"/>
      <c r="D24" s="2220"/>
      <c r="E24" s="2220"/>
      <c r="F24" s="2220"/>
      <c r="G24" s="2220"/>
      <c r="H24" s="2220"/>
    </row>
    <row r="25" spans="1:8" ht="15" customHeight="1" x14ac:dyDescent="0.2">
      <c r="A25" s="1352"/>
      <c r="B25" s="2220"/>
      <c r="C25" s="2220"/>
      <c r="D25" s="2220"/>
      <c r="E25" s="2220"/>
      <c r="F25" s="2220"/>
      <c r="G25" s="2220"/>
      <c r="H25" s="2220"/>
    </row>
    <row r="26" spans="1:8" ht="15" customHeight="1" x14ac:dyDescent="0.2">
      <c r="A26" s="1352"/>
      <c r="B26" s="2220"/>
      <c r="C26" s="2220"/>
      <c r="D26" s="2220"/>
      <c r="E26" s="2220"/>
      <c r="F26" s="2220"/>
      <c r="G26" s="2220"/>
      <c r="H26" s="2220"/>
    </row>
    <row r="27" spans="1:8" ht="15" customHeight="1" x14ac:dyDescent="0.2">
      <c r="A27" s="1352"/>
      <c r="B27" s="2220"/>
      <c r="C27" s="2220"/>
      <c r="D27" s="2220"/>
      <c r="E27" s="2220"/>
      <c r="F27" s="2220"/>
      <c r="G27" s="2220"/>
      <c r="H27" s="2220"/>
    </row>
    <row r="28" spans="1:8" ht="15" customHeight="1" x14ac:dyDescent="0.2">
      <c r="A28" s="1352"/>
      <c r="B28" s="2220"/>
      <c r="C28" s="2220"/>
      <c r="D28" s="2220"/>
      <c r="E28" s="2220"/>
      <c r="F28" s="2220"/>
      <c r="G28" s="2220"/>
      <c r="H28" s="2220"/>
    </row>
    <row r="29" spans="1:8" ht="15" customHeight="1" x14ac:dyDescent="0.2">
      <c r="A29" s="1352"/>
      <c r="B29" s="2220"/>
      <c r="C29" s="2220"/>
      <c r="D29" s="2220"/>
      <c r="E29" s="2220"/>
      <c r="F29" s="2220"/>
      <c r="G29" s="2220"/>
      <c r="H29" s="2220"/>
    </row>
    <row r="30" spans="1:8" ht="15" customHeight="1" x14ac:dyDescent="0.2">
      <c r="A30" s="1352"/>
      <c r="B30" s="2220"/>
      <c r="C30" s="2220"/>
      <c r="D30" s="2220"/>
      <c r="E30" s="2220"/>
      <c r="F30" s="2220"/>
      <c r="G30" s="2220"/>
      <c r="H30" s="2220"/>
    </row>
    <row r="31" spans="1:8" ht="15" customHeight="1" x14ac:dyDescent="0.2">
      <c r="A31" s="1352"/>
      <c r="B31" s="2220"/>
      <c r="C31" s="2220"/>
      <c r="D31" s="2220"/>
      <c r="E31" s="2220"/>
      <c r="F31" s="2220"/>
      <c r="G31" s="2220"/>
      <c r="H31" s="2220"/>
    </row>
    <row r="32" spans="1:8" ht="15" customHeight="1" x14ac:dyDescent="0.2">
      <c r="A32" s="1352"/>
      <c r="B32" s="2220"/>
      <c r="C32" s="2220"/>
      <c r="D32" s="2220"/>
      <c r="E32" s="2220"/>
      <c r="F32" s="2220"/>
      <c r="G32" s="2220"/>
      <c r="H32" s="2220"/>
    </row>
    <row r="33" spans="1:8" ht="15" customHeight="1" x14ac:dyDescent="0.2">
      <c r="A33" s="1352"/>
      <c r="B33" s="2220"/>
      <c r="C33" s="2220"/>
      <c r="D33" s="2220"/>
      <c r="E33" s="2220"/>
      <c r="F33" s="2220"/>
      <c r="G33" s="2220"/>
      <c r="H33" s="2220"/>
    </row>
    <row r="34" spans="1:8" ht="15" customHeight="1" x14ac:dyDescent="0.2">
      <c r="A34" s="1352"/>
      <c r="B34" s="2220"/>
      <c r="C34" s="2220"/>
      <c r="D34" s="2220"/>
      <c r="E34" s="2220"/>
      <c r="F34" s="2220"/>
      <c r="G34" s="2220"/>
      <c r="H34" s="2220"/>
    </row>
    <row r="35" spans="1:8" ht="15" customHeight="1" x14ac:dyDescent="0.2">
      <c r="A35" s="1352"/>
      <c r="B35" s="2220"/>
      <c r="C35" s="2220"/>
      <c r="D35" s="2220"/>
      <c r="E35" s="2220"/>
      <c r="F35" s="2220"/>
      <c r="G35" s="2220"/>
      <c r="H35" s="2220"/>
    </row>
    <row r="36" spans="1:8" ht="15" customHeight="1" x14ac:dyDescent="0.2">
      <c r="A36" s="1352"/>
      <c r="B36" s="2220"/>
      <c r="C36" s="2220"/>
      <c r="D36" s="2220"/>
      <c r="E36" s="2220"/>
      <c r="F36" s="2220"/>
      <c r="G36" s="2220"/>
      <c r="H36" s="2220"/>
    </row>
    <row r="37" spans="1:8" ht="15" customHeight="1" x14ac:dyDescent="0.2">
      <c r="A37" s="1352"/>
      <c r="B37" s="2220"/>
      <c r="C37" s="2220"/>
      <c r="D37" s="2220"/>
      <c r="E37" s="2220"/>
      <c r="F37" s="2220"/>
      <c r="G37" s="2220"/>
      <c r="H37" s="2220"/>
    </row>
    <row r="38" spans="1:8" ht="15" customHeight="1" x14ac:dyDescent="0.2">
      <c r="A38" s="1352"/>
      <c r="B38" s="2220"/>
      <c r="C38" s="2220"/>
      <c r="D38" s="2220"/>
      <c r="E38" s="2220"/>
      <c r="F38" s="2220"/>
      <c r="G38" s="2220"/>
      <c r="H38" s="2220"/>
    </row>
    <row r="39" spans="1:8" ht="15" customHeight="1" x14ac:dyDescent="0.2">
      <c r="A39" s="1352"/>
      <c r="B39" s="2220"/>
      <c r="C39" s="2220"/>
      <c r="D39" s="2220"/>
      <c r="E39" s="2220"/>
      <c r="F39" s="2220"/>
      <c r="G39" s="2220"/>
      <c r="H39" s="2220"/>
    </row>
    <row r="40" spans="1:8" ht="15" customHeight="1" x14ac:dyDescent="0.2">
      <c r="A40" s="1352"/>
      <c r="B40" s="2220"/>
      <c r="C40" s="2220"/>
      <c r="D40" s="2220"/>
      <c r="E40" s="2220"/>
      <c r="F40" s="2220"/>
      <c r="G40" s="2220"/>
      <c r="H40" s="2220"/>
    </row>
    <row r="41" spans="1:8" ht="15" customHeight="1" x14ac:dyDescent="0.2">
      <c r="A41" s="1352"/>
      <c r="B41" s="2220"/>
      <c r="C41" s="2220"/>
      <c r="D41" s="2220"/>
      <c r="E41" s="2220"/>
      <c r="F41" s="2220"/>
      <c r="G41" s="2220"/>
      <c r="H41" s="2220"/>
    </row>
    <row r="42" spans="1:8" ht="15" customHeight="1" x14ac:dyDescent="0.2">
      <c r="A42" s="1352"/>
      <c r="B42" s="2220"/>
      <c r="C42" s="2220"/>
      <c r="D42" s="2220"/>
      <c r="E42" s="2220"/>
      <c r="F42" s="2220"/>
      <c r="G42" s="2220"/>
      <c r="H42" s="2220"/>
    </row>
    <row r="43" spans="1:8" ht="15" customHeight="1" x14ac:dyDescent="0.2">
      <c r="A43" s="1352"/>
      <c r="B43" s="2220"/>
      <c r="C43" s="2220"/>
      <c r="D43" s="2220"/>
      <c r="E43" s="2220"/>
      <c r="F43" s="2220"/>
      <c r="G43" s="2220"/>
      <c r="H43" s="2220"/>
    </row>
    <row r="44" spans="1:8" ht="15" customHeight="1" x14ac:dyDescent="0.2">
      <c r="A44" s="1352"/>
      <c r="B44" s="2220"/>
      <c r="C44" s="2220"/>
      <c r="D44" s="2220"/>
      <c r="E44" s="2220"/>
      <c r="F44" s="2220"/>
      <c r="G44" s="2220"/>
      <c r="H44" s="2220"/>
    </row>
    <row r="45" spans="1:8" ht="15" customHeight="1" x14ac:dyDescent="0.2">
      <c r="A45" s="1352"/>
      <c r="B45" s="2220"/>
      <c r="C45" s="2220"/>
      <c r="D45" s="2220"/>
      <c r="E45" s="2220"/>
      <c r="F45" s="2220"/>
      <c r="G45" s="2220"/>
      <c r="H45" s="2220"/>
    </row>
    <row r="46" spans="1:8" ht="15" customHeight="1" x14ac:dyDescent="0.2">
      <c r="A46" s="1352"/>
      <c r="B46" s="2220"/>
      <c r="C46" s="2220"/>
      <c r="D46" s="2220"/>
      <c r="E46" s="2220"/>
      <c r="F46" s="2220"/>
      <c r="G46" s="2220"/>
      <c r="H46" s="2220"/>
    </row>
    <row r="47" spans="1:8" ht="15" customHeight="1" x14ac:dyDescent="0.2">
      <c r="A47" s="1355"/>
      <c r="B47" s="2221"/>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45"/>
  </sheetPr>
  <dimension ref="A1:AS65"/>
  <sheetViews>
    <sheetView showGridLines="0" zoomScaleNormal="100" zoomScaleSheetLayoutView="100" workbookViewId="0">
      <selection activeCell="A14" sqref="A14"/>
    </sheetView>
  </sheetViews>
  <sheetFormatPr defaultRowHeight="11.25" x14ac:dyDescent="0.2"/>
  <cols>
    <col min="1" max="1" width="7.7109375" style="295" customWidth="1"/>
    <col min="2" max="4" width="6.7109375" style="295" customWidth="1"/>
    <col min="5" max="5" width="6.7109375" style="295" hidden="1" customWidth="1"/>
    <col min="6" max="6" width="7.7109375" style="295" customWidth="1"/>
    <col min="7" max="7" width="3.7109375" style="295" customWidth="1"/>
    <col min="8" max="8" width="5.7109375" style="295" customWidth="1"/>
    <col min="9" max="9" width="7.7109375" style="295" customWidth="1"/>
    <col min="10" max="10" width="3.7109375" style="295" customWidth="1"/>
    <col min="11" max="12" width="5.7109375" style="295" customWidth="1"/>
    <col min="13" max="13" width="11.7109375" style="295" customWidth="1"/>
    <col min="14" max="14" width="22.7109375" style="295" customWidth="1"/>
    <col min="15" max="15" width="7.7109375" style="295" customWidth="1"/>
    <col min="16" max="16" width="7.7109375" style="295" hidden="1" customWidth="1"/>
    <col min="17" max="40" width="6.7109375" style="295" hidden="1" customWidth="1"/>
    <col min="41" max="43" width="9.140625" style="475" hidden="1" customWidth="1"/>
    <col min="44" max="16384" width="9.140625" style="295"/>
  </cols>
  <sheetData>
    <row r="1" spans="1:44" s="449" customFormat="1" ht="14.45" customHeight="1" thickBot="1" x14ac:dyDescent="0.25">
      <c r="A1" s="444"/>
      <c r="B1" s="444"/>
      <c r="C1" s="444"/>
      <c r="D1" s="444"/>
      <c r="E1" s="444"/>
      <c r="F1" s="444"/>
      <c r="G1" s="444"/>
      <c r="H1" s="576"/>
      <c r="I1" s="2227" t="str">
        <f>IF(S1="","",VLOOKUP(S1,'Job Info.'!X:AA,4,FALSE))</f>
        <v>Master</v>
      </c>
      <c r="J1" s="2227"/>
      <c r="K1" s="2227"/>
      <c r="L1" s="445"/>
      <c r="M1" s="445" t="s">
        <v>96</v>
      </c>
      <c r="N1" s="553" t="str">
        <f ca="1">'Job Info.'!D12</f>
        <v>775-428-0600</v>
      </c>
      <c r="O1" s="578" t="s">
        <v>763</v>
      </c>
      <c r="P1" s="1358"/>
      <c r="S1" s="448" t="str">
        <f>'Job Info.'!Q30</f>
        <v>M</v>
      </c>
      <c r="T1" s="448" t="b">
        <f>'Job Info.'!Q32</f>
        <v>0</v>
      </c>
      <c r="AO1" s="448"/>
      <c r="AP1" s="448"/>
      <c r="AQ1" s="448"/>
      <c r="AR1" s="579" t="s">
        <v>764</v>
      </c>
    </row>
    <row r="2" spans="1:44" s="449" customFormat="1" ht="12.95" customHeight="1" thickTop="1" x14ac:dyDescent="0.2">
      <c r="A2" s="444"/>
      <c r="B2" s="444"/>
      <c r="C2" s="444"/>
      <c r="D2" s="444"/>
      <c r="E2" s="444"/>
      <c r="F2" s="444"/>
      <c r="G2" s="444"/>
      <c r="H2" s="576"/>
      <c r="I2" s="2228" t="str">
        <f>IF(S1="","",IF(VLOOKUP(S1,'Job Info.'!X:Z,2,FALSE),"Released for Fabrication",""))</f>
        <v/>
      </c>
      <c r="J2" s="2229"/>
      <c r="K2" s="2230"/>
      <c r="L2" s="445"/>
      <c r="M2" s="445" t="s">
        <v>97</v>
      </c>
      <c r="N2" s="553" t="str">
        <f ca="1">'Job Info.'!D13</f>
        <v>775-867-2140</v>
      </c>
      <c r="O2" s="1358"/>
      <c r="P2" s="1358"/>
      <c r="AO2" s="448"/>
      <c r="AP2" s="448"/>
      <c r="AQ2" s="448"/>
    </row>
    <row r="3" spans="1:44" s="449" customFormat="1" ht="12.95" customHeight="1" x14ac:dyDescent="0.2">
      <c r="A3" s="444"/>
      <c r="B3" s="444"/>
      <c r="C3" s="444"/>
      <c r="D3" s="444"/>
      <c r="E3" s="444"/>
      <c r="F3" s="444"/>
      <c r="G3" s="444"/>
      <c r="H3" s="576"/>
      <c r="I3" s="2231"/>
      <c r="J3" s="2232"/>
      <c r="K3" s="2233"/>
      <c r="L3" s="445"/>
      <c r="M3" s="445" t="s">
        <v>99</v>
      </c>
      <c r="N3" s="553" t="str">
        <f ca="1">'Job Info.'!D14</f>
        <v>775-867-2169</v>
      </c>
      <c r="O3" s="1358"/>
      <c r="P3" s="1358"/>
      <c r="AO3" s="448"/>
      <c r="AP3" s="448"/>
      <c r="AQ3" s="448"/>
    </row>
    <row r="4" spans="1:44" s="449" customFormat="1" ht="12.95" customHeight="1" thickBot="1" x14ac:dyDescent="0.25">
      <c r="A4" s="444"/>
      <c r="B4" s="444"/>
      <c r="C4" s="444"/>
      <c r="D4" s="444"/>
      <c r="E4" s="444"/>
      <c r="F4" s="444"/>
      <c r="G4" s="444"/>
      <c r="H4" s="444"/>
      <c r="I4" s="2234" t="str">
        <f>IF(S1="","",IF(VLOOKUP(S1,'Job Info.'!X:Z,2,FALSE),VLOOKUP(S1,'Job Info.'!X:Z,3,FALSE),""))</f>
        <v/>
      </c>
      <c r="J4" s="2235"/>
      <c r="K4" s="2236"/>
      <c r="L4" s="445"/>
      <c r="M4" s="445" t="s">
        <v>98</v>
      </c>
      <c r="N4" s="553" t="str">
        <f ca="1">'Job Info.'!D15</f>
        <v>775-867-2060</v>
      </c>
      <c r="O4" s="1358"/>
      <c r="P4" s="1358"/>
      <c r="AO4" s="448"/>
      <c r="AP4" s="448"/>
      <c r="AQ4" s="448"/>
    </row>
    <row r="5" spans="1:44" s="449" customFormat="1" ht="12.95" customHeight="1" thickTop="1" x14ac:dyDescent="0.2">
      <c r="A5" s="2237" t="str">
        <f ca="1">'Job Info.'!D11</f>
        <v>8200 Woolery Way | Fallon, NV 89406 | www.newmill.com</v>
      </c>
      <c r="B5" s="2238"/>
      <c r="C5" s="2238"/>
      <c r="D5" s="2238"/>
      <c r="E5" s="2238"/>
      <c r="F5" s="2238"/>
      <c r="G5" s="2238"/>
      <c r="H5" s="2238"/>
      <c r="I5" s="2238"/>
      <c r="J5" s="2238"/>
      <c r="K5" s="444"/>
      <c r="L5" s="444"/>
      <c r="M5" s="444"/>
      <c r="N5" s="444"/>
      <c r="O5" s="1358"/>
      <c r="P5" s="1358"/>
      <c r="AO5" s="448"/>
      <c r="AP5" s="448"/>
      <c r="AQ5" s="448"/>
    </row>
    <row r="6" spans="1:44" s="449" customFormat="1" ht="12.95" customHeight="1" x14ac:dyDescent="0.2">
      <c r="A6" s="444"/>
      <c r="B6" s="444"/>
      <c r="C6" s="444"/>
      <c r="D6" s="444"/>
      <c r="E6" s="444"/>
      <c r="F6" s="444"/>
      <c r="G6" s="444"/>
      <c r="H6" s="444"/>
      <c r="I6" s="444"/>
      <c r="J6" s="444"/>
      <c r="K6" s="444"/>
      <c r="L6" s="444"/>
      <c r="M6" s="547" t="s">
        <v>20</v>
      </c>
      <c r="N6" s="1331">
        <f>IF(ISBLANK('Job Info.'!D8),"",'Job Info.'!D8)</f>
        <v>43406</v>
      </c>
      <c r="O6" s="1359"/>
      <c r="P6" s="1392" t="s">
        <v>1180</v>
      </c>
      <c r="T6" s="780"/>
      <c r="AO6" s="448"/>
      <c r="AP6" s="448"/>
      <c r="AQ6" s="448"/>
    </row>
    <row r="7" spans="1:44" ht="12.95" customHeight="1" x14ac:dyDescent="0.2">
      <c r="A7" s="472" t="s">
        <v>43</v>
      </c>
      <c r="B7" s="473"/>
      <c r="C7" s="473"/>
      <c r="D7" s="473"/>
      <c r="E7" s="473"/>
      <c r="F7" s="473"/>
      <c r="G7" s="444"/>
      <c r="H7" s="444"/>
      <c r="I7" s="444"/>
      <c r="J7" s="444"/>
      <c r="K7" s="444"/>
      <c r="L7" s="444"/>
      <c r="M7" s="548" t="s">
        <v>21</v>
      </c>
      <c r="N7" s="1525" t="str">
        <f>CONCATENATE(P7, " of ",IF(ISBLANK('Job Info.'!D9),"",'Job Info.'!D9))</f>
        <v xml:space="preserve"> of 42</v>
      </c>
      <c r="O7" s="1271"/>
      <c r="P7" s="1393"/>
      <c r="U7" s="449"/>
      <c r="V7" s="777"/>
    </row>
    <row r="8" spans="1:44" ht="3.95" customHeight="1" x14ac:dyDescent="0.2">
      <c r="A8" s="473"/>
      <c r="B8" s="473"/>
      <c r="C8" s="473"/>
      <c r="D8" s="473"/>
      <c r="E8" s="473"/>
      <c r="F8" s="473"/>
      <c r="G8" s="473"/>
      <c r="H8" s="473"/>
      <c r="I8" s="473"/>
      <c r="J8" s="473"/>
      <c r="K8" s="473"/>
      <c r="L8" s="473"/>
      <c r="M8" s="473"/>
      <c r="N8" s="473"/>
      <c r="O8" s="1271"/>
      <c r="P8" s="1271"/>
    </row>
    <row r="9" spans="1:44" ht="12.6" customHeight="1" x14ac:dyDescent="0.2">
      <c r="A9" s="562" t="s">
        <v>1</v>
      </c>
      <c r="B9" s="2225" t="str">
        <f>IF(ISBLANK('Job Info.'!D3),"",'Job Info.'!D3)</f>
        <v>SUNPOINT CROSSING</v>
      </c>
      <c r="C9" s="2225"/>
      <c r="D9" s="2225"/>
      <c r="E9" s="2225"/>
      <c r="F9" s="2225"/>
      <c r="G9" s="2225"/>
      <c r="H9" s="2226"/>
      <c r="I9" s="560"/>
      <c r="J9" s="545" t="s">
        <v>2</v>
      </c>
      <c r="K9" s="2225" t="str">
        <f>IF(ISBLANK('Job Info.'!D5),"",'Job Info.'!D5)</f>
        <v>9118-0062</v>
      </c>
      <c r="L9" s="2242"/>
      <c r="M9" s="2242"/>
      <c r="N9" s="2243"/>
      <c r="O9" s="1360"/>
      <c r="P9" s="1360"/>
      <c r="V9" s="778"/>
    </row>
    <row r="10" spans="1:44" ht="12.6" customHeight="1" x14ac:dyDescent="0.2">
      <c r="A10" s="562" t="s">
        <v>3</v>
      </c>
      <c r="B10" s="2225" t="str">
        <f>IF(ISBLANK('Job Info.'!D4),"",'Job Info.'!D4)</f>
        <v>LAS VEGAS, NV</v>
      </c>
      <c r="C10" s="2225"/>
      <c r="D10" s="2225"/>
      <c r="E10" s="2225"/>
      <c r="F10" s="2225"/>
      <c r="G10" s="2225"/>
      <c r="H10" s="2226"/>
      <c r="I10" s="2239" t="s">
        <v>22</v>
      </c>
      <c r="J10" s="2239"/>
      <c r="K10" s="2225" t="str">
        <f>IF(ISBLANK('Job Info.'!D6),"",'Job Info.'!D6)</f>
        <v>CJA</v>
      </c>
      <c r="L10" s="2226"/>
      <c r="M10" s="1330" t="s">
        <v>23</v>
      </c>
      <c r="N10" s="1356" t="str">
        <f>IF(ISBLANK('Job Info.'!D7),"",'Job Info.'!D7)</f>
        <v>LS</v>
      </c>
      <c r="O10" s="1360"/>
      <c r="P10" s="1360"/>
      <c r="W10" s="779"/>
    </row>
    <row r="11" spans="1:44" ht="3.95" customHeight="1" x14ac:dyDescent="0.2">
      <c r="A11" s="1396"/>
      <c r="B11" s="473"/>
      <c r="C11" s="473"/>
      <c r="D11" s="473"/>
      <c r="E11" s="473"/>
      <c r="F11" s="473"/>
      <c r="G11" s="473"/>
      <c r="H11" s="473"/>
      <c r="I11" s="473"/>
      <c r="J11" s="473"/>
      <c r="K11" s="473"/>
      <c r="L11" s="473"/>
      <c r="M11" s="473"/>
      <c r="N11" s="473"/>
      <c r="O11" s="1358"/>
      <c r="P11" s="1358"/>
    </row>
    <row r="12" spans="1:44" s="570" customFormat="1" ht="14.1" customHeight="1" x14ac:dyDescent="0.2">
      <c r="A12" s="2244" t="s">
        <v>78</v>
      </c>
      <c r="B12" s="2245"/>
      <c r="C12" s="2245"/>
      <c r="D12" s="2245"/>
      <c r="E12" s="2246"/>
      <c r="F12" s="2244" t="s">
        <v>50</v>
      </c>
      <c r="G12" s="2245"/>
      <c r="H12" s="2250"/>
      <c r="I12" s="2244" t="s">
        <v>51</v>
      </c>
      <c r="J12" s="2245"/>
      <c r="K12" s="2250"/>
      <c r="L12" s="2240" t="s">
        <v>52</v>
      </c>
      <c r="M12" s="2251" t="s">
        <v>782</v>
      </c>
      <c r="N12" s="2240" t="s">
        <v>53</v>
      </c>
      <c r="O12" s="1395"/>
      <c r="P12" s="1395"/>
      <c r="AO12" s="980" t="s">
        <v>1016</v>
      </c>
      <c r="AP12" s="1201" t="s">
        <v>171</v>
      </c>
      <c r="AQ12" s="571"/>
    </row>
    <row r="13" spans="1:44" s="570" customFormat="1" ht="14.1" customHeight="1" x14ac:dyDescent="0.2">
      <c r="A13" s="1338" t="s">
        <v>47</v>
      </c>
      <c r="B13" s="1339" t="s">
        <v>17</v>
      </c>
      <c r="C13" s="1339" t="s">
        <v>46</v>
      </c>
      <c r="D13" s="1339" t="s">
        <v>79</v>
      </c>
      <c r="E13" s="1340" t="s">
        <v>45</v>
      </c>
      <c r="F13" s="1338" t="s">
        <v>48</v>
      </c>
      <c r="G13" s="2248" t="s">
        <v>49</v>
      </c>
      <c r="H13" s="2249"/>
      <c r="I13" s="1338" t="s">
        <v>48</v>
      </c>
      <c r="J13" s="2248" t="s">
        <v>49</v>
      </c>
      <c r="K13" s="2249"/>
      <c r="L13" s="2247"/>
      <c r="M13" s="2252"/>
      <c r="N13" s="2241"/>
      <c r="O13" s="1395"/>
      <c r="P13" s="1395"/>
      <c r="AQ13" s="980"/>
    </row>
    <row r="14" spans="1:44" ht="14.1" customHeight="1" x14ac:dyDescent="0.2">
      <c r="A14" s="1335"/>
      <c r="B14" s="1336"/>
      <c r="C14" s="1336"/>
      <c r="D14" s="1336"/>
      <c r="E14" s="1341"/>
      <c r="F14" s="1344"/>
      <c r="G14" s="1337"/>
      <c r="H14" s="1345"/>
      <c r="I14" s="1344"/>
      <c r="J14" s="1337"/>
      <c r="K14" s="1345"/>
      <c r="L14" s="1350"/>
      <c r="M14" s="1351"/>
      <c r="N14" s="1818"/>
      <c r="O14" s="1405"/>
      <c r="P14" s="1405"/>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202"/>
      <c r="AQ14" s="236"/>
    </row>
    <row r="15" spans="1:44" ht="14.1" customHeight="1" x14ac:dyDescent="0.2">
      <c r="A15" s="826"/>
      <c r="B15" s="813"/>
      <c r="C15" s="813"/>
      <c r="D15" s="813"/>
      <c r="E15" s="1342"/>
      <c r="F15" s="1346"/>
      <c r="G15" s="814"/>
      <c r="H15" s="1347"/>
      <c r="I15" s="1346"/>
      <c r="J15" s="814"/>
      <c r="K15" s="1347"/>
      <c r="L15" s="1352"/>
      <c r="M15" s="1353"/>
      <c r="N15" s="1819" t="s">
        <v>117</v>
      </c>
      <c r="O15" s="1405"/>
      <c r="P15" s="1405"/>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202"/>
      <c r="AQ15" s="236"/>
    </row>
    <row r="16" spans="1:44" ht="14.1" customHeight="1" x14ac:dyDescent="0.2">
      <c r="A16" s="826"/>
      <c r="B16" s="813"/>
      <c r="C16" s="813"/>
      <c r="D16" s="813"/>
      <c r="E16" s="1342"/>
      <c r="F16" s="1346"/>
      <c r="G16" s="814"/>
      <c r="H16" s="1347"/>
      <c r="I16" s="1346"/>
      <c r="J16" s="814"/>
      <c r="K16" s="1347"/>
      <c r="L16" s="1352"/>
      <c r="M16" s="1353"/>
      <c r="N16" s="1819"/>
      <c r="O16" s="1405"/>
      <c r="P16" s="1405"/>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202"/>
      <c r="AQ16" s="236"/>
    </row>
    <row r="17" spans="1:43" ht="14.1" customHeight="1" x14ac:dyDescent="0.2">
      <c r="A17" s="826"/>
      <c r="B17" s="813"/>
      <c r="C17" s="813"/>
      <c r="D17" s="813"/>
      <c r="E17" s="1342"/>
      <c r="F17" s="1346"/>
      <c r="G17" s="814"/>
      <c r="H17" s="1347"/>
      <c r="I17" s="1346"/>
      <c r="J17" s="814"/>
      <c r="K17" s="1347"/>
      <c r="L17" s="1352"/>
      <c r="M17" s="1353"/>
      <c r="N17" s="1819"/>
      <c r="O17" s="1405"/>
      <c r="P17" s="1405"/>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202"/>
      <c r="AQ17" s="236"/>
    </row>
    <row r="18" spans="1:43" ht="14.1" customHeight="1" x14ac:dyDescent="0.2">
      <c r="A18" s="826"/>
      <c r="B18" s="813"/>
      <c r="C18" s="813"/>
      <c r="D18" s="813"/>
      <c r="E18" s="1342"/>
      <c r="F18" s="1346"/>
      <c r="G18" s="814"/>
      <c r="H18" s="1347"/>
      <c r="I18" s="1346"/>
      <c r="J18" s="814"/>
      <c r="K18" s="1347"/>
      <c r="L18" s="1352"/>
      <c r="M18" s="1353"/>
      <c r="N18" s="1819"/>
      <c r="O18" s="1405"/>
      <c r="P18" s="1405"/>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202"/>
      <c r="AQ18" s="236"/>
    </row>
    <row r="19" spans="1:43" ht="14.1" customHeight="1" x14ac:dyDescent="0.2">
      <c r="A19" s="826"/>
      <c r="B19" s="813"/>
      <c r="C19" s="813"/>
      <c r="D19" s="813"/>
      <c r="E19" s="1342"/>
      <c r="F19" s="1346"/>
      <c r="G19" s="814"/>
      <c r="H19" s="1347"/>
      <c r="I19" s="1346"/>
      <c r="J19" s="814"/>
      <c r="K19" s="1347"/>
      <c r="L19" s="1352"/>
      <c r="M19" s="1353"/>
      <c r="N19" s="1819" t="s">
        <v>117</v>
      </c>
      <c r="O19" s="1405"/>
      <c r="P19" s="1405"/>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202"/>
      <c r="AQ19" s="236"/>
    </row>
    <row r="20" spans="1:43" ht="14.1" customHeight="1" x14ac:dyDescent="0.2">
      <c r="A20" s="826"/>
      <c r="B20" s="813"/>
      <c r="C20" s="813"/>
      <c r="D20" s="813"/>
      <c r="E20" s="1342"/>
      <c r="F20" s="1346"/>
      <c r="G20" s="814"/>
      <c r="H20" s="1347"/>
      <c r="I20" s="1346"/>
      <c r="J20" s="814"/>
      <c r="K20" s="1347"/>
      <c r="L20" s="1352"/>
      <c r="M20" s="1353"/>
      <c r="N20" s="1354"/>
      <c r="O20" s="1406"/>
      <c r="P20" s="1406"/>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202"/>
      <c r="AQ20" s="236"/>
    </row>
    <row r="21" spans="1:43" ht="14.1" customHeight="1" x14ac:dyDescent="0.2">
      <c r="A21" s="826"/>
      <c r="B21" s="813"/>
      <c r="C21" s="813"/>
      <c r="D21" s="813"/>
      <c r="E21" s="1342"/>
      <c r="F21" s="1346"/>
      <c r="G21" s="814"/>
      <c r="H21" s="1347"/>
      <c r="I21" s="1346"/>
      <c r="J21" s="814"/>
      <c r="K21" s="1347"/>
      <c r="L21" s="1352"/>
      <c r="M21" s="1353"/>
      <c r="N21" s="1354"/>
      <c r="O21" s="1406"/>
      <c r="P21" s="1406"/>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202"/>
      <c r="AQ21" s="236"/>
    </row>
    <row r="22" spans="1:43" ht="14.1" customHeight="1" x14ac:dyDescent="0.2">
      <c r="A22" s="826"/>
      <c r="B22" s="813"/>
      <c r="C22" s="813"/>
      <c r="D22" s="813"/>
      <c r="E22" s="1342"/>
      <c r="F22" s="1346"/>
      <c r="G22" s="814"/>
      <c r="H22" s="1347"/>
      <c r="I22" s="1346"/>
      <c r="J22" s="814"/>
      <c r="K22" s="1347"/>
      <c r="L22" s="1352"/>
      <c r="M22" s="1353"/>
      <c r="N22" s="1354"/>
      <c r="O22" s="1406"/>
      <c r="P22" s="1406"/>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202"/>
      <c r="AQ22" s="236"/>
    </row>
    <row r="23" spans="1:43" ht="14.1" customHeight="1" x14ac:dyDescent="0.2">
      <c r="A23" s="826"/>
      <c r="B23" s="813"/>
      <c r="C23" s="813"/>
      <c r="D23" s="813"/>
      <c r="E23" s="1342"/>
      <c r="F23" s="1346"/>
      <c r="G23" s="814"/>
      <c r="H23" s="1347"/>
      <c r="I23" s="1346"/>
      <c r="J23" s="814"/>
      <c r="K23" s="1347"/>
      <c r="L23" s="1352"/>
      <c r="M23" s="1353"/>
      <c r="N23" s="1354"/>
      <c r="O23" s="1406"/>
      <c r="P23" s="1406"/>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202"/>
      <c r="AQ23" s="236"/>
    </row>
    <row r="24" spans="1:43" ht="14.1" customHeight="1" x14ac:dyDescent="0.2">
      <c r="A24" s="826"/>
      <c r="B24" s="813"/>
      <c r="C24" s="813"/>
      <c r="D24" s="813"/>
      <c r="E24" s="1342"/>
      <c r="F24" s="1346"/>
      <c r="G24" s="814"/>
      <c r="H24" s="1347"/>
      <c r="I24" s="1346"/>
      <c r="J24" s="814"/>
      <c r="K24" s="1347"/>
      <c r="L24" s="1352"/>
      <c r="M24" s="1353"/>
      <c r="N24" s="1354"/>
      <c r="O24" s="1406"/>
      <c r="P24" s="1406"/>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202"/>
      <c r="AQ24" s="236"/>
    </row>
    <row r="25" spans="1:43" ht="14.1" customHeight="1" x14ac:dyDescent="0.2">
      <c r="A25" s="826"/>
      <c r="B25" s="813"/>
      <c r="C25" s="813"/>
      <c r="D25" s="813"/>
      <c r="E25" s="1342"/>
      <c r="F25" s="1346"/>
      <c r="G25" s="814"/>
      <c r="H25" s="1347"/>
      <c r="I25" s="1346"/>
      <c r="J25" s="814"/>
      <c r="K25" s="1347"/>
      <c r="L25" s="1352"/>
      <c r="M25" s="1353"/>
      <c r="N25" s="1354"/>
      <c r="O25" s="1406"/>
      <c r="P25" s="1406"/>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202"/>
      <c r="AQ25" s="236"/>
    </row>
    <row r="26" spans="1:43" ht="14.1" customHeight="1" x14ac:dyDescent="0.2">
      <c r="A26" s="826"/>
      <c r="B26" s="813"/>
      <c r="C26" s="813"/>
      <c r="D26" s="813"/>
      <c r="E26" s="1342"/>
      <c r="F26" s="1346"/>
      <c r="G26" s="814"/>
      <c r="H26" s="1347"/>
      <c r="I26" s="1346"/>
      <c r="J26" s="814"/>
      <c r="K26" s="1347"/>
      <c r="L26" s="1352"/>
      <c r="M26" s="1353"/>
      <c r="N26" s="1354"/>
      <c r="O26" s="1406"/>
      <c r="P26" s="1406"/>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202"/>
      <c r="AQ26" s="236"/>
    </row>
    <row r="27" spans="1:43" ht="14.1" customHeight="1" x14ac:dyDescent="0.2">
      <c r="A27" s="826"/>
      <c r="B27" s="813"/>
      <c r="C27" s="813"/>
      <c r="D27" s="813"/>
      <c r="E27" s="1342"/>
      <c r="F27" s="1346"/>
      <c r="G27" s="814"/>
      <c r="H27" s="1347"/>
      <c r="I27" s="1346"/>
      <c r="J27" s="814"/>
      <c r="K27" s="1347"/>
      <c r="L27" s="1352"/>
      <c r="M27" s="1353"/>
      <c r="N27" s="1354"/>
      <c r="O27" s="1406"/>
      <c r="P27" s="1406"/>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202"/>
      <c r="AQ27" s="236"/>
    </row>
    <row r="28" spans="1:43" ht="14.1" customHeight="1" x14ac:dyDescent="0.2">
      <c r="A28" s="826"/>
      <c r="B28" s="813"/>
      <c r="C28" s="813"/>
      <c r="D28" s="813"/>
      <c r="E28" s="1342"/>
      <c r="F28" s="1346"/>
      <c r="G28" s="814"/>
      <c r="H28" s="1347"/>
      <c r="I28" s="1346"/>
      <c r="J28" s="814"/>
      <c r="K28" s="1347"/>
      <c r="L28" s="1352"/>
      <c r="M28" s="1353"/>
      <c r="N28" s="1819"/>
      <c r="O28" s="1405"/>
      <c r="P28" s="1405"/>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202"/>
      <c r="AQ28" s="236"/>
    </row>
    <row r="29" spans="1:43" ht="14.1" customHeight="1" x14ac:dyDescent="0.2">
      <c r="A29" s="826"/>
      <c r="B29" s="813"/>
      <c r="C29" s="813"/>
      <c r="D29" s="813"/>
      <c r="E29" s="1342"/>
      <c r="F29" s="1346"/>
      <c r="G29" s="814"/>
      <c r="H29" s="1347"/>
      <c r="I29" s="1346"/>
      <c r="J29" s="814"/>
      <c r="K29" s="1347"/>
      <c r="L29" s="1352"/>
      <c r="M29" s="1353"/>
      <c r="N29" s="1819"/>
      <c r="O29" s="1405"/>
      <c r="P29" s="1405"/>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202"/>
      <c r="AQ29" s="236"/>
    </row>
    <row r="30" spans="1:43" ht="14.1" customHeight="1" x14ac:dyDescent="0.2">
      <c r="A30" s="826"/>
      <c r="B30" s="813"/>
      <c r="C30" s="813"/>
      <c r="D30" s="813"/>
      <c r="E30" s="1342"/>
      <c r="F30" s="1346"/>
      <c r="G30" s="814"/>
      <c r="H30" s="1347"/>
      <c r="I30" s="1346"/>
      <c r="J30" s="814"/>
      <c r="K30" s="1347"/>
      <c r="L30" s="1352"/>
      <c r="M30" s="1353"/>
      <c r="N30" s="1819" t="s">
        <v>117</v>
      </c>
      <c r="O30" s="1405"/>
      <c r="P30" s="1405"/>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202"/>
      <c r="AQ30" s="236"/>
    </row>
    <row r="31" spans="1:43" ht="14.1" customHeight="1" x14ac:dyDescent="0.2">
      <c r="A31" s="826"/>
      <c r="B31" s="813"/>
      <c r="C31" s="813"/>
      <c r="D31" s="813"/>
      <c r="E31" s="1342"/>
      <c r="F31" s="1346"/>
      <c r="G31" s="814"/>
      <c r="H31" s="1347"/>
      <c r="I31" s="1346"/>
      <c r="J31" s="814"/>
      <c r="K31" s="1347"/>
      <c r="L31" s="1352"/>
      <c r="M31" s="1352"/>
      <c r="N31" s="1819" t="s">
        <v>117</v>
      </c>
      <c r="O31" s="1405"/>
      <c r="P31" s="1405"/>
      <c r="R31" s="295" t="b">
        <f t="shared" si="0"/>
        <v>0</v>
      </c>
      <c r="AO31" s="284" t="str">
        <f t="shared" si="1"/>
        <v/>
      </c>
      <c r="AP31" s="1202"/>
      <c r="AQ31" s="236"/>
    </row>
    <row r="32" spans="1:43" ht="14.1" customHeight="1" x14ac:dyDescent="0.2">
      <c r="A32" s="826"/>
      <c r="B32" s="813"/>
      <c r="C32" s="813"/>
      <c r="D32" s="813"/>
      <c r="E32" s="1342"/>
      <c r="F32" s="1346"/>
      <c r="G32" s="814"/>
      <c r="H32" s="1347"/>
      <c r="I32" s="1346"/>
      <c r="J32" s="814"/>
      <c r="K32" s="1347"/>
      <c r="L32" s="1352"/>
      <c r="M32" s="1352"/>
      <c r="N32" s="1819" t="s">
        <v>117</v>
      </c>
      <c r="O32" s="1405"/>
      <c r="P32" s="1405"/>
      <c r="R32" s="295" t="b">
        <f t="shared" si="0"/>
        <v>0</v>
      </c>
      <c r="AO32" s="284" t="str">
        <f t="shared" si="1"/>
        <v/>
      </c>
      <c r="AP32" s="1202"/>
      <c r="AQ32" s="236"/>
    </row>
    <row r="33" spans="1:45" ht="14.1" customHeight="1" x14ac:dyDescent="0.2">
      <c r="A33" s="826"/>
      <c r="B33" s="813"/>
      <c r="C33" s="813"/>
      <c r="D33" s="813"/>
      <c r="E33" s="1342"/>
      <c r="F33" s="1346"/>
      <c r="G33" s="814"/>
      <c r="H33" s="1347"/>
      <c r="I33" s="1346"/>
      <c r="J33" s="814"/>
      <c r="K33" s="1347"/>
      <c r="L33" s="1352"/>
      <c r="M33" s="1352"/>
      <c r="N33" s="1819" t="s">
        <v>117</v>
      </c>
      <c r="O33" s="1405"/>
      <c r="P33" s="1405"/>
      <c r="R33" s="295" t="b">
        <f t="shared" si="0"/>
        <v>0</v>
      </c>
      <c r="AO33" s="284" t="str">
        <f t="shared" si="1"/>
        <v/>
      </c>
      <c r="AP33" s="1202"/>
      <c r="AQ33" s="236"/>
    </row>
    <row r="34" spans="1:45" ht="14.1" customHeight="1" x14ac:dyDescent="0.2">
      <c r="A34" s="826"/>
      <c r="B34" s="813"/>
      <c r="C34" s="813"/>
      <c r="D34" s="813"/>
      <c r="E34" s="1342"/>
      <c r="F34" s="1346"/>
      <c r="G34" s="814"/>
      <c r="H34" s="1347"/>
      <c r="I34" s="1346"/>
      <c r="J34" s="814"/>
      <c r="K34" s="1347"/>
      <c r="L34" s="1352"/>
      <c r="M34" s="1352"/>
      <c r="N34" s="1819" t="s">
        <v>117</v>
      </c>
      <c r="O34" s="1405"/>
      <c r="P34" s="1405"/>
      <c r="R34" s="295" t="b">
        <f t="shared" si="0"/>
        <v>0</v>
      </c>
      <c r="AO34" s="284" t="str">
        <f t="shared" si="1"/>
        <v/>
      </c>
      <c r="AP34" s="1202"/>
      <c r="AQ34" s="236"/>
    </row>
    <row r="35" spans="1:45" ht="14.1" customHeight="1" x14ac:dyDescent="0.2">
      <c r="A35" s="826"/>
      <c r="B35" s="813"/>
      <c r="C35" s="813"/>
      <c r="D35" s="813"/>
      <c r="E35" s="1342"/>
      <c r="F35" s="1346"/>
      <c r="G35" s="814"/>
      <c r="H35" s="1347"/>
      <c r="I35" s="1346"/>
      <c r="J35" s="814"/>
      <c r="K35" s="1347"/>
      <c r="L35" s="1352"/>
      <c r="M35" s="1352"/>
      <c r="N35" s="1819" t="s">
        <v>117</v>
      </c>
      <c r="O35" s="1405"/>
      <c r="P35" s="1405"/>
      <c r="R35" s="295" t="b">
        <f t="shared" si="0"/>
        <v>0</v>
      </c>
      <c r="AO35" s="284" t="str">
        <f t="shared" si="1"/>
        <v/>
      </c>
      <c r="AP35" s="1202"/>
      <c r="AQ35" s="236"/>
    </row>
    <row r="36" spans="1:45" ht="14.1" customHeight="1" x14ac:dyDescent="0.2">
      <c r="A36" s="826"/>
      <c r="B36" s="813"/>
      <c r="C36" s="813"/>
      <c r="D36" s="813"/>
      <c r="E36" s="1342"/>
      <c r="F36" s="1346"/>
      <c r="G36" s="814"/>
      <c r="H36" s="1347"/>
      <c r="I36" s="1346"/>
      <c r="J36" s="814"/>
      <c r="K36" s="1347"/>
      <c r="L36" s="1352"/>
      <c r="M36" s="1352"/>
      <c r="N36" s="1819" t="s">
        <v>117</v>
      </c>
      <c r="O36" s="1405"/>
      <c r="P36" s="1405"/>
      <c r="R36" s="295" t="b">
        <f t="shared" si="0"/>
        <v>0</v>
      </c>
      <c r="AO36" s="284" t="str">
        <f t="shared" si="1"/>
        <v/>
      </c>
      <c r="AP36" s="1202"/>
      <c r="AQ36" s="236"/>
    </row>
    <row r="37" spans="1:45" ht="14.1" customHeight="1" x14ac:dyDescent="0.2">
      <c r="A37" s="826"/>
      <c r="B37" s="813"/>
      <c r="C37" s="813"/>
      <c r="D37" s="813"/>
      <c r="E37" s="1342"/>
      <c r="F37" s="1346"/>
      <c r="G37" s="814"/>
      <c r="H37" s="1347"/>
      <c r="I37" s="1346"/>
      <c r="J37" s="814"/>
      <c r="K37" s="1347"/>
      <c r="L37" s="1352"/>
      <c r="M37" s="1352"/>
      <c r="N37" s="1819" t="s">
        <v>117</v>
      </c>
      <c r="O37" s="1405"/>
      <c r="P37" s="1405"/>
      <c r="R37" s="295" t="b">
        <f t="shared" si="0"/>
        <v>0</v>
      </c>
      <c r="AO37" s="284" t="str">
        <f t="shared" si="1"/>
        <v/>
      </c>
      <c r="AP37" s="1202"/>
      <c r="AQ37" s="236"/>
    </row>
    <row r="38" spans="1:45" ht="14.1" customHeight="1" x14ac:dyDescent="0.2">
      <c r="A38" s="826"/>
      <c r="B38" s="813"/>
      <c r="C38" s="813"/>
      <c r="D38" s="813"/>
      <c r="E38" s="1342"/>
      <c r="F38" s="1346"/>
      <c r="G38" s="814"/>
      <c r="H38" s="1347"/>
      <c r="I38" s="1346"/>
      <c r="J38" s="814"/>
      <c r="K38" s="1347"/>
      <c r="L38" s="1352"/>
      <c r="M38" s="1352"/>
      <c r="N38" s="1819" t="s">
        <v>117</v>
      </c>
      <c r="O38" s="1405"/>
      <c r="P38" s="1405"/>
      <c r="R38" s="295" t="b">
        <f t="shared" si="0"/>
        <v>0</v>
      </c>
      <c r="AO38" s="284" t="str">
        <f t="shared" si="1"/>
        <v/>
      </c>
      <c r="AP38" s="1202"/>
      <c r="AQ38" s="236"/>
    </row>
    <row r="39" spans="1:45" ht="14.1" customHeight="1" x14ac:dyDescent="0.2">
      <c r="A39" s="826"/>
      <c r="B39" s="813"/>
      <c r="C39" s="813"/>
      <c r="D39" s="813"/>
      <c r="E39" s="1342"/>
      <c r="F39" s="1346"/>
      <c r="G39" s="814"/>
      <c r="H39" s="1347"/>
      <c r="I39" s="1346"/>
      <c r="J39" s="814"/>
      <c r="K39" s="1347"/>
      <c r="L39" s="1352"/>
      <c r="M39" s="1352"/>
      <c r="N39" s="1819" t="s">
        <v>117</v>
      </c>
      <c r="O39" s="1405"/>
      <c r="P39" s="1405"/>
      <c r="R39" s="295" t="b">
        <f t="shared" si="0"/>
        <v>0</v>
      </c>
      <c r="AO39" s="284" t="str">
        <f t="shared" si="1"/>
        <v/>
      </c>
      <c r="AP39" s="1202"/>
      <c r="AQ39" s="236"/>
    </row>
    <row r="40" spans="1:45" ht="14.1" customHeight="1" x14ac:dyDescent="0.2">
      <c r="A40" s="826"/>
      <c r="B40" s="813"/>
      <c r="C40" s="813"/>
      <c r="D40" s="813"/>
      <c r="E40" s="1342"/>
      <c r="F40" s="1346"/>
      <c r="G40" s="814"/>
      <c r="H40" s="1347"/>
      <c r="I40" s="1346"/>
      <c r="J40" s="814"/>
      <c r="K40" s="1347"/>
      <c r="L40" s="1352"/>
      <c r="M40" s="1352"/>
      <c r="N40" s="1819" t="s">
        <v>117</v>
      </c>
      <c r="O40" s="1405"/>
      <c r="P40" s="1405"/>
      <c r="R40" s="295" t="b">
        <f t="shared" si="0"/>
        <v>0</v>
      </c>
      <c r="AO40" s="284" t="str">
        <f t="shared" si="1"/>
        <v/>
      </c>
      <c r="AP40" s="1202"/>
      <c r="AQ40" s="236"/>
    </row>
    <row r="41" spans="1:45" ht="14.1" customHeight="1" x14ac:dyDescent="0.2">
      <c r="A41" s="826"/>
      <c r="B41" s="813"/>
      <c r="C41" s="813"/>
      <c r="D41" s="813"/>
      <c r="E41" s="1342"/>
      <c r="F41" s="1346"/>
      <c r="G41" s="814"/>
      <c r="H41" s="1347"/>
      <c r="I41" s="1346"/>
      <c r="J41" s="814"/>
      <c r="K41" s="1347"/>
      <c r="L41" s="1352"/>
      <c r="M41" s="1352"/>
      <c r="N41" s="1819" t="s">
        <v>117</v>
      </c>
      <c r="O41" s="1405"/>
      <c r="P41" s="1405"/>
      <c r="R41" s="295" t="b">
        <f t="shared" si="0"/>
        <v>0</v>
      </c>
      <c r="AO41" s="284" t="str">
        <f t="shared" si="1"/>
        <v/>
      </c>
      <c r="AP41" s="1202"/>
      <c r="AQ41" s="236"/>
    </row>
    <row r="42" spans="1:45" ht="14.1" customHeight="1" x14ac:dyDescent="0.2">
      <c r="A42" s="826"/>
      <c r="B42" s="813"/>
      <c r="C42" s="813"/>
      <c r="D42" s="813"/>
      <c r="E42" s="1342"/>
      <c r="F42" s="1346"/>
      <c r="G42" s="814"/>
      <c r="H42" s="1347"/>
      <c r="I42" s="1346"/>
      <c r="J42" s="814"/>
      <c r="K42" s="1347"/>
      <c r="L42" s="1352"/>
      <c r="M42" s="1352"/>
      <c r="N42" s="1819" t="s">
        <v>117</v>
      </c>
      <c r="O42" s="1405"/>
      <c r="P42" s="1405"/>
      <c r="R42" s="295" t="b">
        <f t="shared" si="0"/>
        <v>0</v>
      </c>
      <c r="AO42" s="284" t="str">
        <f t="shared" si="1"/>
        <v/>
      </c>
      <c r="AP42" s="1202"/>
      <c r="AQ42" s="236"/>
    </row>
    <row r="43" spans="1:45" ht="14.1" customHeight="1" x14ac:dyDescent="0.2">
      <c r="A43" s="826"/>
      <c r="B43" s="813"/>
      <c r="C43" s="813"/>
      <c r="D43" s="813"/>
      <c r="E43" s="1342"/>
      <c r="F43" s="1346"/>
      <c r="G43" s="814"/>
      <c r="H43" s="1347"/>
      <c r="I43" s="1346"/>
      <c r="J43" s="814"/>
      <c r="K43" s="1347"/>
      <c r="L43" s="1352"/>
      <c r="M43" s="1352"/>
      <c r="N43" s="1819" t="s">
        <v>117</v>
      </c>
      <c r="O43" s="1405"/>
      <c r="P43" s="1405"/>
      <c r="R43" s="295" t="b">
        <f t="shared" si="0"/>
        <v>0</v>
      </c>
      <c r="AO43" s="284" t="str">
        <f t="shared" si="1"/>
        <v/>
      </c>
      <c r="AP43" s="1202"/>
      <c r="AQ43" s="236"/>
    </row>
    <row r="44" spans="1:45" ht="14.1" customHeight="1" x14ac:dyDescent="0.2">
      <c r="A44" s="826"/>
      <c r="B44" s="813"/>
      <c r="C44" s="813"/>
      <c r="D44" s="813"/>
      <c r="E44" s="1342"/>
      <c r="F44" s="1346"/>
      <c r="G44" s="814"/>
      <c r="H44" s="1347"/>
      <c r="I44" s="1346"/>
      <c r="J44" s="814"/>
      <c r="K44" s="1347"/>
      <c r="L44" s="1352"/>
      <c r="M44" s="1352"/>
      <c r="N44" s="1819" t="s">
        <v>117</v>
      </c>
      <c r="O44" s="1405"/>
      <c r="P44" s="1405"/>
      <c r="R44" s="295" t="b">
        <f t="shared" si="0"/>
        <v>0</v>
      </c>
      <c r="AO44" s="284" t="str">
        <f t="shared" si="1"/>
        <v/>
      </c>
      <c r="AP44" s="1202"/>
      <c r="AQ44" s="236"/>
    </row>
    <row r="45" spans="1:45" ht="14.1" customHeight="1" x14ac:dyDescent="0.2">
      <c r="A45" s="826"/>
      <c r="B45" s="813"/>
      <c r="C45" s="813"/>
      <c r="D45" s="813"/>
      <c r="E45" s="1342"/>
      <c r="F45" s="1346"/>
      <c r="G45" s="814"/>
      <c r="H45" s="1347"/>
      <c r="I45" s="1346"/>
      <c r="J45" s="814"/>
      <c r="K45" s="1347"/>
      <c r="L45" s="1352"/>
      <c r="M45" s="1352"/>
      <c r="N45" s="1819" t="s">
        <v>117</v>
      </c>
      <c r="O45" s="1405"/>
      <c r="P45" s="1405"/>
      <c r="R45" s="295" t="b">
        <f t="shared" si="0"/>
        <v>0</v>
      </c>
      <c r="AO45" s="284" t="str">
        <f t="shared" si="1"/>
        <v/>
      </c>
      <c r="AP45" s="1202"/>
      <c r="AQ45" s="236"/>
    </row>
    <row r="46" spans="1:45" ht="14.1" customHeight="1" x14ac:dyDescent="0.2">
      <c r="A46" s="826"/>
      <c r="B46" s="813"/>
      <c r="C46" s="813"/>
      <c r="D46" s="813"/>
      <c r="E46" s="1342"/>
      <c r="F46" s="1346"/>
      <c r="G46" s="814"/>
      <c r="H46" s="1347"/>
      <c r="I46" s="1346"/>
      <c r="J46" s="814"/>
      <c r="K46" s="1347"/>
      <c r="L46" s="1352"/>
      <c r="M46" s="1352"/>
      <c r="N46" s="1819" t="s">
        <v>117</v>
      </c>
      <c r="O46" s="1405"/>
      <c r="P46" s="1405"/>
      <c r="R46" s="295" t="b">
        <f t="shared" si="0"/>
        <v>0</v>
      </c>
      <c r="AO46" s="284" t="str">
        <f t="shared" si="1"/>
        <v/>
      </c>
      <c r="AP46" s="1202"/>
      <c r="AQ46" s="236"/>
    </row>
    <row r="47" spans="1:45" ht="14.1" customHeight="1" x14ac:dyDescent="0.2">
      <c r="A47" s="826"/>
      <c r="B47" s="813"/>
      <c r="C47" s="813"/>
      <c r="D47" s="813"/>
      <c r="E47" s="1342"/>
      <c r="F47" s="1346"/>
      <c r="G47" s="814"/>
      <c r="H47" s="1347"/>
      <c r="I47" s="1346"/>
      <c r="J47" s="814"/>
      <c r="K47" s="1347"/>
      <c r="L47" s="1352"/>
      <c r="M47" s="1352"/>
      <c r="N47" s="1819" t="s">
        <v>117</v>
      </c>
      <c r="O47" s="1405"/>
      <c r="P47" s="1405"/>
      <c r="R47" s="295" t="b">
        <f t="shared" si="0"/>
        <v>0</v>
      </c>
      <c r="AO47" s="284" t="str">
        <f t="shared" si="1"/>
        <v/>
      </c>
      <c r="AP47" s="1202"/>
      <c r="AQ47" s="236"/>
      <c r="AS47" s="973"/>
    </row>
    <row r="48" spans="1:45" ht="14.1" customHeight="1" x14ac:dyDescent="0.2">
      <c r="A48" s="826"/>
      <c r="B48" s="813"/>
      <c r="C48" s="813"/>
      <c r="D48" s="813"/>
      <c r="E48" s="1342"/>
      <c r="F48" s="1346"/>
      <c r="G48" s="814"/>
      <c r="H48" s="1347"/>
      <c r="I48" s="1346"/>
      <c r="J48" s="814"/>
      <c r="K48" s="1347"/>
      <c r="L48" s="1352"/>
      <c r="M48" s="1352"/>
      <c r="N48" s="1819" t="s">
        <v>117</v>
      </c>
      <c r="O48" s="1405"/>
      <c r="P48" s="1405"/>
      <c r="R48" s="295" t="b">
        <f t="shared" si="0"/>
        <v>0</v>
      </c>
      <c r="AO48" s="284" t="str">
        <f t="shared" si="1"/>
        <v/>
      </c>
      <c r="AP48" s="1202"/>
      <c r="AQ48" s="236"/>
    </row>
    <row r="49" spans="1:43" ht="14.1" customHeight="1" x14ac:dyDescent="0.2">
      <c r="A49" s="826"/>
      <c r="B49" s="813"/>
      <c r="C49" s="813"/>
      <c r="D49" s="813"/>
      <c r="E49" s="1342"/>
      <c r="F49" s="1346"/>
      <c r="G49" s="814"/>
      <c r="H49" s="1347"/>
      <c r="I49" s="1346"/>
      <c r="J49" s="814"/>
      <c r="K49" s="1347"/>
      <c r="L49" s="1352"/>
      <c r="M49" s="1352"/>
      <c r="N49" s="1819" t="s">
        <v>117</v>
      </c>
      <c r="O49" s="1405"/>
      <c r="P49" s="1405"/>
      <c r="R49" s="295" t="b">
        <f t="shared" si="0"/>
        <v>0</v>
      </c>
      <c r="AO49" s="284" t="str">
        <f t="shared" si="1"/>
        <v/>
      </c>
      <c r="AP49" s="1202"/>
      <c r="AQ49" s="236"/>
    </row>
    <row r="50" spans="1:43" ht="14.1" customHeight="1" x14ac:dyDescent="0.2">
      <c r="A50" s="826"/>
      <c r="B50" s="813"/>
      <c r="C50" s="813"/>
      <c r="D50" s="813"/>
      <c r="E50" s="1342"/>
      <c r="F50" s="1346"/>
      <c r="G50" s="814"/>
      <c r="H50" s="1347"/>
      <c r="I50" s="1346"/>
      <c r="J50" s="814"/>
      <c r="K50" s="1347"/>
      <c r="L50" s="1352"/>
      <c r="M50" s="1352"/>
      <c r="N50" s="1819" t="s">
        <v>117</v>
      </c>
      <c r="O50" s="1405"/>
      <c r="P50" s="1405"/>
      <c r="R50" s="295" t="b">
        <f t="shared" si="0"/>
        <v>0</v>
      </c>
      <c r="AO50" s="284" t="str">
        <f t="shared" si="1"/>
        <v/>
      </c>
      <c r="AP50" s="1202"/>
      <c r="AQ50" s="236"/>
    </row>
    <row r="51" spans="1:43" ht="14.1" customHeight="1" x14ac:dyDescent="0.2">
      <c r="A51" s="826"/>
      <c r="B51" s="813"/>
      <c r="C51" s="813"/>
      <c r="D51" s="813"/>
      <c r="E51" s="1342"/>
      <c r="F51" s="1346"/>
      <c r="G51" s="814"/>
      <c r="H51" s="1347"/>
      <c r="I51" s="1346"/>
      <c r="J51" s="814"/>
      <c r="K51" s="1347"/>
      <c r="L51" s="1352"/>
      <c r="M51" s="1352"/>
      <c r="N51" s="1819" t="s">
        <v>117</v>
      </c>
      <c r="O51" s="1405"/>
      <c r="P51" s="1405"/>
      <c r="R51" s="295" t="b">
        <f t="shared" si="0"/>
        <v>0</v>
      </c>
      <c r="AO51" s="284" t="str">
        <f t="shared" si="1"/>
        <v/>
      </c>
      <c r="AP51" s="1202"/>
      <c r="AQ51" s="236"/>
    </row>
    <row r="52" spans="1:43" ht="14.1" customHeight="1" x14ac:dyDescent="0.2">
      <c r="A52" s="826"/>
      <c r="B52" s="813"/>
      <c r="C52" s="813"/>
      <c r="D52" s="813"/>
      <c r="E52" s="1342"/>
      <c r="F52" s="1346"/>
      <c r="G52" s="814"/>
      <c r="H52" s="1347"/>
      <c r="I52" s="1346"/>
      <c r="J52" s="814"/>
      <c r="K52" s="1347"/>
      <c r="L52" s="1352"/>
      <c r="M52" s="1352"/>
      <c r="N52" s="1819" t="s">
        <v>117</v>
      </c>
      <c r="O52" s="1405"/>
      <c r="P52" s="1405"/>
      <c r="R52" s="295" t="b">
        <f t="shared" si="0"/>
        <v>0</v>
      </c>
      <c r="AO52" s="284" t="str">
        <f t="shared" si="1"/>
        <v/>
      </c>
      <c r="AP52" s="1202"/>
      <c r="AQ52" s="236"/>
    </row>
    <row r="53" spans="1:43" ht="14.1" customHeight="1" x14ac:dyDescent="0.2">
      <c r="A53" s="826"/>
      <c r="B53" s="813"/>
      <c r="C53" s="813"/>
      <c r="D53" s="813"/>
      <c r="E53" s="1342"/>
      <c r="F53" s="1346"/>
      <c r="G53" s="814"/>
      <c r="H53" s="1347"/>
      <c r="I53" s="1346"/>
      <c r="J53" s="814"/>
      <c r="K53" s="1347"/>
      <c r="L53" s="1352"/>
      <c r="M53" s="1352"/>
      <c r="N53" s="1819" t="s">
        <v>117</v>
      </c>
      <c r="O53" s="1405"/>
      <c r="P53" s="1405"/>
      <c r="R53" s="295" t="b">
        <f t="shared" si="0"/>
        <v>0</v>
      </c>
      <c r="AO53" s="284" t="str">
        <f t="shared" si="1"/>
        <v/>
      </c>
      <c r="AP53" s="1202"/>
      <c r="AQ53" s="236"/>
    </row>
    <row r="54" spans="1:43" ht="14.1" customHeight="1" x14ac:dyDescent="0.2">
      <c r="A54" s="826"/>
      <c r="B54" s="813"/>
      <c r="C54" s="813"/>
      <c r="D54" s="813"/>
      <c r="E54" s="1342"/>
      <c r="F54" s="1346"/>
      <c r="G54" s="814"/>
      <c r="H54" s="1347"/>
      <c r="I54" s="1346"/>
      <c r="J54" s="814"/>
      <c r="K54" s="1347"/>
      <c r="L54" s="1352"/>
      <c r="M54" s="1352"/>
      <c r="N54" s="1819" t="s">
        <v>117</v>
      </c>
      <c r="O54" s="1405"/>
      <c r="P54" s="1405"/>
      <c r="R54" s="295" t="b">
        <f t="shared" si="0"/>
        <v>0</v>
      </c>
      <c r="AO54" s="284" t="str">
        <f t="shared" si="1"/>
        <v/>
      </c>
      <c r="AP54" s="1202"/>
      <c r="AQ54" s="236"/>
    </row>
    <row r="55" spans="1:43" ht="14.1" customHeight="1" x14ac:dyDescent="0.2">
      <c r="A55" s="1332"/>
      <c r="B55" s="1333"/>
      <c r="C55" s="1333"/>
      <c r="D55" s="1333"/>
      <c r="E55" s="1343"/>
      <c r="F55" s="1348"/>
      <c r="G55" s="1334"/>
      <c r="H55" s="1349"/>
      <c r="I55" s="1348"/>
      <c r="J55" s="1334"/>
      <c r="K55" s="1349"/>
      <c r="L55" s="1355"/>
      <c r="M55" s="1355"/>
      <c r="N55" s="1820"/>
      <c r="O55" s="1405"/>
      <c r="P55" s="1405"/>
      <c r="R55" s="295" t="b">
        <f t="shared" si="0"/>
        <v>0</v>
      </c>
      <c r="AO55" s="284" t="str">
        <f t="shared" si="1"/>
        <v/>
      </c>
      <c r="AP55" s="1202"/>
      <c r="AQ55" s="236"/>
    </row>
    <row r="56" spans="1:43" ht="15.95" customHeight="1" x14ac:dyDescent="0.2">
      <c r="J56" s="449"/>
      <c r="K56" s="449"/>
      <c r="O56" s="449"/>
      <c r="P56" s="449"/>
    </row>
    <row r="57" spans="1:43" ht="15.95" customHeight="1" x14ac:dyDescent="0.2"/>
    <row r="58" spans="1:43" ht="15.95" customHeight="1" x14ac:dyDescent="0.2"/>
    <row r="59" spans="1:43" ht="15.95" customHeight="1" x14ac:dyDescent="0.2">
      <c r="A59" s="973" t="s">
        <v>1062</v>
      </c>
    </row>
    <row r="60" spans="1:43" ht="15.95" hidden="1" customHeight="1" x14ac:dyDescent="0.2">
      <c r="A60" s="1128" t="s">
        <v>113</v>
      </c>
    </row>
    <row r="61" spans="1:43" ht="15.95" hidden="1" customHeight="1" x14ac:dyDescent="0.2">
      <c r="A61" s="1130"/>
    </row>
    <row r="62" spans="1:43" ht="15.95" hidden="1" customHeight="1" x14ac:dyDescent="0.2"/>
    <row r="63" spans="1:43" hidden="1" x14ac:dyDescent="0.2"/>
    <row r="64" spans="1:43" hidden="1" x14ac:dyDescent="0.2"/>
    <row r="65" spans="1:1" x14ac:dyDescent="0.2">
      <c r="A65" s="973" t="s">
        <v>1063</v>
      </c>
    </row>
  </sheetData>
  <sheetProtection selectLockedCells="1"/>
  <mergeCells count="17">
    <mergeCell ref="N12:N13"/>
    <mergeCell ref="K9:N9"/>
    <mergeCell ref="A12:E12"/>
    <mergeCell ref="B9:H9"/>
    <mergeCell ref="B10:H10"/>
    <mergeCell ref="L12:L13"/>
    <mergeCell ref="G13:H13"/>
    <mergeCell ref="F12:H12"/>
    <mergeCell ref="J13:K13"/>
    <mergeCell ref="I12:K12"/>
    <mergeCell ref="M12:M13"/>
    <mergeCell ref="I1:K1"/>
    <mergeCell ref="I2:K3"/>
    <mergeCell ref="I4:K4"/>
    <mergeCell ref="A5:J5"/>
    <mergeCell ref="K10:L10"/>
    <mergeCell ref="I10:J10"/>
  </mergeCells>
  <phoneticPr fontId="0" type="noConversion"/>
  <conditionalFormatting sqref="F14:F55">
    <cfRule type="expression" dxfId="2022" priority="2" stopIfTrue="1">
      <formula>AND($B14="NU",F14&lt;0)</formula>
    </cfRule>
  </conditionalFormatting>
  <conditionalFormatting sqref="B14:B55">
    <cfRule type="expression" dxfId="2021" priority="3" stopIfTrue="1">
      <formula>OR(AND($B14="NU",F14&lt;0),AND($B14="NU",I14&lt;0))</formula>
    </cfRule>
  </conditionalFormatting>
  <conditionalFormatting sqref="G14:H55 J14:L55">
    <cfRule type="expression" dxfId="2020" priority="4" stopIfTrue="1">
      <formula>$R14</formula>
    </cfRule>
  </conditionalFormatting>
  <conditionalFormatting sqref="I2:K4">
    <cfRule type="cellIs" dxfId="2019" priority="6" stopIfTrue="1" operator="equal">
      <formula>""</formula>
    </cfRule>
  </conditionalFormatting>
  <conditionalFormatting sqref="I14:I55">
    <cfRule type="expression" dxfId="2018" priority="260" stopIfTrue="1">
      <formula>OR($R14,$B14="CZ",AND($B14="NU",I14&lt;0))</formula>
    </cfRule>
  </conditionalFormatting>
  <conditionalFormatting sqref="A14:P55">
    <cfRule type="expression" dxfId="2017"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formula1>$S$15:$AD$15</formula1>
    </dataValidation>
    <dataValidation type="list" allowBlank="1" showErrorMessage="1" errorTitle="Invalid Reference Location" error="You MUST select a Reference Location from the dropdown list provided._x000a__x000a_Also, make sure your Cap Lock is turned on." sqref="L14:L55">
      <formula1>IF($AL$14,$AL$16:$AL$21,$AM$16:$AM$19)</formula1>
    </dataValidation>
    <dataValidation allowBlank="1" showInputMessage="1" errorTitle="Invalid Load Case" error="You MUST use a Load Case from the list provided." sqref="M14:M55"/>
    <dataValidation type="list" allowBlank="1" showErrorMessage="1" errorTitle="Invalid Position" error="You MUST select a Position from the dropdown list provided._x000a__x000a_Also, make sure your Cap Lock is turned on." sqref="D14:D55">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4"/>
  </sheetPr>
  <dimension ref="A1:R100"/>
  <sheetViews>
    <sheetView showGridLines="0" zoomScaleNormal="100" zoomScaleSheetLayoutView="100" workbookViewId="0">
      <selection activeCell="A13" sqref="A13"/>
    </sheetView>
  </sheetViews>
  <sheetFormatPr defaultRowHeight="12" x14ac:dyDescent="0.2"/>
  <cols>
    <col min="1" max="1" width="10.7109375" style="295" customWidth="1"/>
    <col min="2" max="2" width="30.7109375" style="295" customWidth="1"/>
    <col min="3" max="6" width="6.42578125" style="295" customWidth="1"/>
    <col min="7" max="7" width="10.7109375" style="295" customWidth="1"/>
    <col min="8" max="8" width="6.7109375" style="295" customWidth="1"/>
    <col min="9" max="9" width="7.28515625" style="295" customWidth="1"/>
    <col min="10" max="10" width="10.7109375" style="295" customWidth="1"/>
    <col min="11" max="11" width="6.7109375" style="295" customWidth="1"/>
    <col min="12" max="13" width="5.7109375" style="295" hidden="1" customWidth="1"/>
    <col min="14" max="14" width="5.7109375" style="1010" hidden="1" customWidth="1"/>
    <col min="15" max="15" width="11.28515625" style="295" hidden="1" customWidth="1"/>
    <col min="16" max="16" width="68.140625" style="295" hidden="1" customWidth="1"/>
    <col min="17" max="17" width="135.5703125" style="295" hidden="1" customWidth="1"/>
    <col min="18" max="16384" width="9.140625" style="295"/>
  </cols>
  <sheetData>
    <row r="1" spans="1:18" s="449" customFormat="1" ht="15" customHeight="1" thickBot="1" x14ac:dyDescent="0.25">
      <c r="A1" s="444"/>
      <c r="B1" s="444"/>
      <c r="C1" s="444"/>
      <c r="D1" s="2227" t="str">
        <f>IF(L1="","",VLOOKUP(L1,'Job Info.'!X:AA,4,FALSE))</f>
        <v>Master</v>
      </c>
      <c r="E1" s="2266"/>
      <c r="F1" s="2266"/>
      <c r="G1" s="2265" t="s">
        <v>96</v>
      </c>
      <c r="H1" s="2277"/>
      <c r="I1" s="2259" t="str">
        <f ca="1">'Job Info.'!D12</f>
        <v>775-428-0600</v>
      </c>
      <c r="J1" s="2260"/>
      <c r="K1" s="578" t="s">
        <v>763</v>
      </c>
      <c r="L1" s="448" t="str">
        <f>'Job Info.'!Q30</f>
        <v>M</v>
      </c>
      <c r="M1" s="448" t="b">
        <f>'Job Info.'!Q32</f>
        <v>0</v>
      </c>
      <c r="N1" s="1008"/>
      <c r="R1" s="579" t="s">
        <v>764</v>
      </c>
    </row>
    <row r="2" spans="1:18" s="449" customFormat="1" ht="12.95" customHeight="1" thickTop="1" x14ac:dyDescent="0.2">
      <c r="A2" s="444"/>
      <c r="B2" s="444"/>
      <c r="C2" s="444"/>
      <c r="D2" s="2228" t="str">
        <f>IF(L1="","",IF(VLOOKUP(L1,'Job Info.'!X:Z,2,FALSE),"Released for Fabrication",""))</f>
        <v/>
      </c>
      <c r="E2" s="2267"/>
      <c r="F2" s="2268"/>
      <c r="G2" s="2265" t="s">
        <v>97</v>
      </c>
      <c r="H2" s="2265"/>
      <c r="I2" s="2259" t="str">
        <f ca="1">'Job Info.'!D13</f>
        <v>775-867-2140</v>
      </c>
      <c r="J2" s="2260"/>
      <c r="N2" s="1008"/>
    </row>
    <row r="3" spans="1:18" s="449" customFormat="1" ht="12.95" customHeight="1" x14ac:dyDescent="0.2">
      <c r="A3" s="444"/>
      <c r="B3" s="444"/>
      <c r="C3" s="444"/>
      <c r="D3" s="2269"/>
      <c r="E3" s="2270"/>
      <c r="F3" s="2271"/>
      <c r="G3" s="2265" t="s">
        <v>99</v>
      </c>
      <c r="H3" s="2265"/>
      <c r="I3" s="2259" t="str">
        <f ca="1">'Job Info.'!D14</f>
        <v>775-867-2169</v>
      </c>
      <c r="J3" s="2260"/>
      <c r="N3" s="1008"/>
    </row>
    <row r="4" spans="1:18" s="449" customFormat="1" ht="12.95" customHeight="1" thickBot="1" x14ac:dyDescent="0.25">
      <c r="A4" s="444"/>
      <c r="B4" s="444"/>
      <c r="C4" s="444"/>
      <c r="D4" s="2234" t="str">
        <f>IF(L1="","",IF(VLOOKUP(L1,'Job Info.'!X:Z,2,FALSE),VLOOKUP(L1,'Job Info.'!X:Z,3,FALSE),""))</f>
        <v/>
      </c>
      <c r="E4" s="2272"/>
      <c r="F4" s="2273"/>
      <c r="G4" s="2265" t="s">
        <v>98</v>
      </c>
      <c r="H4" s="2265"/>
      <c r="I4" s="2259" t="str">
        <f ca="1">'Job Info.'!D15</f>
        <v>775-867-2060</v>
      </c>
      <c r="J4" s="2260"/>
      <c r="N4" s="1008"/>
    </row>
    <row r="5" spans="1:18" s="449" customFormat="1" ht="12.95" customHeight="1" thickTop="1" x14ac:dyDescent="0.2">
      <c r="A5" s="2237" t="str">
        <f ca="1">'Job Info.'!D11</f>
        <v>8200 Woolery Way | Fallon, NV 89406 | www.newmill.com</v>
      </c>
      <c r="B5" s="2237"/>
      <c r="C5" s="2237"/>
      <c r="D5" s="2237"/>
      <c r="E5" s="2237"/>
      <c r="F5" s="2237"/>
      <c r="G5" s="279"/>
      <c r="H5" s="444"/>
      <c r="I5" s="444"/>
      <c r="J5" s="444"/>
      <c r="N5" s="1008"/>
    </row>
    <row r="6" spans="1:18" s="449" customFormat="1" ht="12.95" customHeight="1" x14ac:dyDescent="0.2">
      <c r="A6" s="444"/>
      <c r="B6" s="444"/>
      <c r="C6" s="444"/>
      <c r="D6" s="444"/>
      <c r="E6" s="444"/>
      <c r="F6" s="444"/>
      <c r="G6" s="550" t="s">
        <v>20</v>
      </c>
      <c r="H6" s="2261">
        <f>IF(ISBLANK('Job Info.'!D8),"",'Job Info.'!D8)</f>
        <v>43406</v>
      </c>
      <c r="I6" s="2261"/>
      <c r="J6" s="444"/>
      <c r="L6" s="1392" t="s">
        <v>1180</v>
      </c>
      <c r="M6" s="979"/>
      <c r="N6" s="1008"/>
    </row>
    <row r="7" spans="1:18" ht="12.95" customHeight="1" x14ac:dyDescent="0.2">
      <c r="A7" s="472" t="s">
        <v>29</v>
      </c>
      <c r="B7" s="473"/>
      <c r="C7" s="473"/>
      <c r="D7" s="473"/>
      <c r="E7" s="473"/>
      <c r="F7" s="1023"/>
      <c r="G7" s="551" t="s">
        <v>21</v>
      </c>
      <c r="H7" s="1527" t="str">
        <f>CONCATENATE(L7, " of ",IF(ISBLANK('Job Info.'!D9),"",'Job Info.'!D9))</f>
        <v xml:space="preserve"> of 42</v>
      </c>
      <c r="I7" s="822"/>
      <c r="J7" s="573"/>
      <c r="L7" s="1394"/>
      <c r="M7" s="453"/>
      <c r="P7" s="1009"/>
    </row>
    <row r="8" spans="1:18" ht="3.95" customHeight="1" x14ac:dyDescent="0.2">
      <c r="A8" s="473"/>
      <c r="B8" s="473"/>
      <c r="C8" s="473"/>
      <c r="D8" s="473"/>
      <c r="E8" s="473"/>
      <c r="F8" s="473"/>
      <c r="G8" s="473"/>
      <c r="H8" s="473"/>
      <c r="I8" s="473"/>
      <c r="J8" s="473"/>
    </row>
    <row r="9" spans="1:18" ht="12.6" customHeight="1" x14ac:dyDescent="0.2">
      <c r="A9" s="572" t="s">
        <v>1</v>
      </c>
      <c r="B9" s="2225" t="str">
        <f>IF(ISBLANK('Job Info.'!D3),"",'Job Info.'!D3)</f>
        <v>SUNPOINT CROSSING</v>
      </c>
      <c r="C9" s="2225"/>
      <c r="D9" s="2226"/>
      <c r="E9" s="574"/>
      <c r="F9" s="575" t="s">
        <v>2</v>
      </c>
      <c r="G9" s="2225" t="str">
        <f>IF(ISBLANK('Job Info.'!D5),"",'Job Info.'!D5)</f>
        <v>9118-0062</v>
      </c>
      <c r="H9" s="2225"/>
      <c r="I9" s="2225"/>
      <c r="J9" s="2226"/>
      <c r="L9" s="453"/>
    </row>
    <row r="10" spans="1:18" ht="12.6" customHeight="1" x14ac:dyDescent="0.2">
      <c r="A10" s="572" t="s">
        <v>3</v>
      </c>
      <c r="B10" s="2225" t="str">
        <f>IF(ISBLANK('Job Info.'!D4),"",'Job Info.'!D4)</f>
        <v>LAS VEGAS, NV</v>
      </c>
      <c r="C10" s="2225"/>
      <c r="D10" s="2226"/>
      <c r="E10" s="567"/>
      <c r="F10" s="572" t="s">
        <v>22</v>
      </c>
      <c r="G10" s="825" t="str">
        <f>IF(ISBLANK('Job Info.'!D6),"",'Job Info.'!D6)</f>
        <v>CJA</v>
      </c>
      <c r="H10" s="286"/>
      <c r="I10" s="575" t="s">
        <v>23</v>
      </c>
      <c r="J10" s="825" t="str">
        <f>IF(ISBLANK('Job Info.'!D7),"",'Job Info.'!D7)</f>
        <v>LS</v>
      </c>
      <c r="L10" s="1201" t="s">
        <v>1016</v>
      </c>
      <c r="M10" s="1201" t="s">
        <v>171</v>
      </c>
      <c r="O10" s="295">
        <f>COUNTA(P13:P99)</f>
        <v>56</v>
      </c>
      <c r="Q10" s="1010"/>
    </row>
    <row r="11" spans="1:18" ht="3.95" customHeight="1" x14ac:dyDescent="0.2">
      <c r="A11" s="1396"/>
      <c r="B11" s="473"/>
      <c r="C11" s="473"/>
      <c r="D11" s="473"/>
      <c r="E11" s="473"/>
      <c r="F11" s="473"/>
      <c r="G11" s="473"/>
      <c r="H11" s="473"/>
      <c r="I11" s="473"/>
      <c r="J11" s="473"/>
      <c r="Q11" s="1010"/>
    </row>
    <row r="12" spans="1:18" s="570" customFormat="1" ht="15.4" customHeight="1" thickBot="1" x14ac:dyDescent="0.25">
      <c r="A12" s="1389" t="s">
        <v>30</v>
      </c>
      <c r="B12" s="2262" t="s">
        <v>15</v>
      </c>
      <c r="C12" s="2263"/>
      <c r="D12" s="2263"/>
      <c r="E12" s="2263"/>
      <c r="F12" s="2263"/>
      <c r="G12" s="2263"/>
      <c r="H12" s="2263"/>
      <c r="I12" s="2263"/>
      <c r="J12" s="2264"/>
      <c r="O12" s="1015" t="s">
        <v>1006</v>
      </c>
      <c r="P12" s="1016" t="s">
        <v>1007</v>
      </c>
      <c r="Q12" s="1011" t="s">
        <v>1011</v>
      </c>
    </row>
    <row r="13" spans="1:18" ht="15.4" customHeight="1" thickTop="1" x14ac:dyDescent="0.2">
      <c r="A13" s="1323"/>
      <c r="B13" s="2274"/>
      <c r="C13" s="2275"/>
      <c r="D13" s="2275"/>
      <c r="E13" s="2275"/>
      <c r="F13" s="2275"/>
      <c r="G13" s="2275"/>
      <c r="H13" s="2275"/>
      <c r="I13" s="2275"/>
      <c r="J13" s="2276"/>
      <c r="L13" s="1203" t="str">
        <f>IF(ISBLANK(A13),"",A13)</f>
        <v/>
      </c>
      <c r="M13" s="1203"/>
      <c r="O13" s="1017"/>
      <c r="P13" s="1018" t="s">
        <v>1065</v>
      </c>
      <c r="Q13" s="1012" t="str">
        <f>CONCATENATE("[",O13, "] - ", P13)</f>
        <v>[] - SHAPES</v>
      </c>
    </row>
    <row r="14" spans="1:18" ht="15.4" customHeight="1" x14ac:dyDescent="0.2">
      <c r="A14" s="1318"/>
      <c r="B14" s="2253"/>
      <c r="C14" s="2254"/>
      <c r="D14" s="2254"/>
      <c r="E14" s="2254"/>
      <c r="F14" s="2254"/>
      <c r="G14" s="2254"/>
      <c r="H14" s="2254"/>
      <c r="I14" s="2254"/>
      <c r="J14" s="2255"/>
      <c r="L14" s="1203" t="str">
        <f>IF(ISBLANK(A14),L13,A14)</f>
        <v/>
      </c>
      <c r="M14" s="1203"/>
      <c r="O14" s="1019" t="s">
        <v>1008</v>
      </c>
      <c r="P14" s="1020" t="s">
        <v>1066</v>
      </c>
      <c r="Q14" s="1013" t="str">
        <f t="shared" ref="Q14:Q77" si="0">CONCATENATE("[",O14, "] - ", P14)</f>
        <v>[SP] - Single Pitch: (Ctr Depth=Designation) ##" Depth @ LBL, ##" Depth @ RBL</v>
      </c>
    </row>
    <row r="15" spans="1:18" ht="15.4" customHeight="1" x14ac:dyDescent="0.2">
      <c r="A15" s="1318"/>
      <c r="B15" s="2253"/>
      <c r="C15" s="2254"/>
      <c r="D15" s="2254"/>
      <c r="E15" s="2254"/>
      <c r="F15" s="2254"/>
      <c r="G15" s="2254"/>
      <c r="H15" s="2254"/>
      <c r="I15" s="2254"/>
      <c r="J15" s="2255"/>
      <c r="L15" s="1203" t="str">
        <f t="shared" ref="L15:L51" si="1">IF(ISBLANK(A15),L14,A15)</f>
        <v/>
      </c>
      <c r="M15" s="1203"/>
      <c r="O15" s="1019" t="s">
        <v>1009</v>
      </c>
      <c r="P15" s="1020" t="s">
        <v>1067</v>
      </c>
      <c r="Q15" s="1013" t="str">
        <f t="shared" si="0"/>
        <v>[DP] - Double Pitch: Ridge @ ##’-## From LBL (Depth=Designation), ##" Depth @ LBL, ##" Depth @ RBL</v>
      </c>
    </row>
    <row r="16" spans="1:18" ht="15.4" customHeight="1" x14ac:dyDescent="0.2">
      <c r="A16" s="1318"/>
      <c r="B16" s="2253"/>
      <c r="C16" s="2254"/>
      <c r="D16" s="2254"/>
      <c r="E16" s="2254"/>
      <c r="F16" s="2254"/>
      <c r="G16" s="2254"/>
      <c r="H16" s="2254"/>
      <c r="I16" s="2254"/>
      <c r="J16" s="2255"/>
      <c r="L16" s="1203" t="str">
        <f t="shared" si="1"/>
        <v/>
      </c>
      <c r="M16" s="1203"/>
      <c r="O16" s="1019" t="s">
        <v>1010</v>
      </c>
      <c r="P16" s="1020" t="s">
        <v>1068</v>
      </c>
      <c r="Q16" s="1013" t="str">
        <f t="shared" si="0"/>
        <v>[TP] - Triple Pitch: Ridge Left @ ##’-## From LBL (Depth=Designation), ##" Depth @ LBL, ##" Depth @ RBL, Ridge Right @ ##'-## From LBL</v>
      </c>
    </row>
    <row r="17" spans="1:17" ht="15.4" customHeight="1" x14ac:dyDescent="0.2">
      <c r="A17" s="1318"/>
      <c r="B17" s="2253"/>
      <c r="C17" s="2254"/>
      <c r="D17" s="2254"/>
      <c r="E17" s="2254"/>
      <c r="F17" s="2254"/>
      <c r="G17" s="2254"/>
      <c r="H17" s="2254"/>
      <c r="I17" s="2254"/>
      <c r="J17" s="2255"/>
      <c r="L17" s="1203" t="str">
        <f t="shared" si="1"/>
        <v/>
      </c>
      <c r="M17" s="1203"/>
      <c r="O17" s="1019" t="s">
        <v>1034</v>
      </c>
      <c r="P17" s="1020" t="s">
        <v>1069</v>
      </c>
      <c r="Q17" s="1013" t="str">
        <f t="shared" si="0"/>
        <v>[AC] - Arched Chords: (Depth=Designation) ##" TC Radius</v>
      </c>
    </row>
    <row r="18" spans="1:17" ht="15.4" customHeight="1" x14ac:dyDescent="0.2">
      <c r="A18" s="1318"/>
      <c r="B18" s="2253"/>
      <c r="C18" s="2254"/>
      <c r="D18" s="2254"/>
      <c r="E18" s="2254"/>
      <c r="F18" s="2254"/>
      <c r="G18" s="2254"/>
      <c r="H18" s="2254"/>
      <c r="I18" s="2254"/>
      <c r="J18" s="2255"/>
      <c r="L18" s="1203" t="str">
        <f t="shared" si="1"/>
        <v/>
      </c>
      <c r="M18" s="1203"/>
      <c r="O18" s="1019" t="s">
        <v>1035</v>
      </c>
      <c r="P18" s="1020" t="s">
        <v>1070</v>
      </c>
      <c r="Q18" s="1013" t="str">
        <f t="shared" si="0"/>
        <v>[BW] - Bowstring: Ridge @ ##’-## From LBL (Depth=Designation), ##" Depth @ LBL, ##" TC Radius</v>
      </c>
    </row>
    <row r="19" spans="1:17" ht="15.4" customHeight="1" x14ac:dyDescent="0.2">
      <c r="A19" s="1318"/>
      <c r="B19" s="2253"/>
      <c r="C19" s="2254"/>
      <c r="D19" s="2254"/>
      <c r="E19" s="2254"/>
      <c r="F19" s="2254"/>
      <c r="G19" s="2254"/>
      <c r="H19" s="2254"/>
      <c r="I19" s="2254"/>
      <c r="J19" s="2255"/>
      <c r="L19" s="1203" t="str">
        <f t="shared" si="1"/>
        <v/>
      </c>
      <c r="M19" s="1203"/>
      <c r="O19" s="1019" t="s">
        <v>1036</v>
      </c>
      <c r="P19" s="1020" t="s">
        <v>1119</v>
      </c>
      <c r="Q19" s="1013" t="str">
        <f t="shared" si="0"/>
        <v>[SC] - Scissor: Ridge @ ##’-## From LBL (Vert Depth=Designation), BC Rise ##” @ Ridge From LBL, ##" Vert Depth @ LBL, ##" Vert Depth @ RBL, ##" BC Elev difference @ RBL</v>
      </c>
    </row>
    <row r="20" spans="1:17" ht="15.4" customHeight="1" x14ac:dyDescent="0.2">
      <c r="A20" s="1318"/>
      <c r="B20" s="2253"/>
      <c r="C20" s="2254"/>
      <c r="D20" s="2254"/>
      <c r="E20" s="2254"/>
      <c r="F20" s="2254"/>
      <c r="G20" s="2254"/>
      <c r="H20" s="2254"/>
      <c r="I20" s="2254"/>
      <c r="J20" s="2255"/>
      <c r="L20" s="1203" t="str">
        <f t="shared" si="1"/>
        <v/>
      </c>
      <c r="M20" s="1203"/>
      <c r="O20" s="1019"/>
      <c r="P20" s="1020" t="s">
        <v>1071</v>
      </c>
      <c r="Q20" s="1013" t="str">
        <f t="shared" si="0"/>
        <v>[] - DEFLECTION</v>
      </c>
    </row>
    <row r="21" spans="1:17" ht="15.4" customHeight="1" x14ac:dyDescent="0.2">
      <c r="A21" s="1318"/>
      <c r="B21" s="2278"/>
      <c r="C21" s="2279"/>
      <c r="D21" s="2279"/>
      <c r="E21" s="2279"/>
      <c r="F21" s="2279"/>
      <c r="G21" s="2279"/>
      <c r="H21" s="2279"/>
      <c r="I21" s="2279"/>
      <c r="J21" s="2280"/>
      <c r="L21" s="1203" t="str">
        <f t="shared" si="1"/>
        <v/>
      </c>
      <c r="M21" s="1203"/>
      <c r="O21" s="1019" t="s">
        <v>1029</v>
      </c>
      <c r="P21" s="1020" t="s">
        <v>1072</v>
      </c>
      <c r="Q21" s="1013" t="str">
        <f t="shared" si="0"/>
        <v>[DefLL] - LL Deflection = L/###|Deflection=L/### Due To ### PLF LL|LL Deflection=L/### (LL/TL Ratio = ##%)</v>
      </c>
    </row>
    <row r="22" spans="1:17" ht="15.4" customHeight="1" x14ac:dyDescent="0.2">
      <c r="A22" s="1318"/>
      <c r="B22" s="2253"/>
      <c r="C22" s="2254"/>
      <c r="D22" s="2254"/>
      <c r="E22" s="2254"/>
      <c r="F22" s="2254"/>
      <c r="G22" s="2254"/>
      <c r="H22" s="2254"/>
      <c r="I22" s="2254"/>
      <c r="J22" s="2255"/>
      <c r="L22" s="1203" t="str">
        <f t="shared" si="1"/>
        <v/>
      </c>
      <c r="M22" s="1203"/>
      <c r="O22" s="1019" t="s">
        <v>1030</v>
      </c>
      <c r="P22" s="1020" t="s">
        <v>1073</v>
      </c>
      <c r="Q22" s="1013" t="str">
        <f t="shared" si="0"/>
        <v>[DefTL] - TL Deflection = L/###, Ck Std Camber Satisfies DL Def</v>
      </c>
    </row>
    <row r="23" spans="1:17" ht="15.4" customHeight="1" x14ac:dyDescent="0.2">
      <c r="A23" s="1318"/>
      <c r="B23" s="2274"/>
      <c r="C23" s="2275"/>
      <c r="D23" s="2275"/>
      <c r="E23" s="2275"/>
      <c r="F23" s="2275"/>
      <c r="G23" s="2275"/>
      <c r="H23" s="2275"/>
      <c r="I23" s="2275"/>
      <c r="J23" s="2276"/>
      <c r="L23" s="1203" t="str">
        <f t="shared" si="1"/>
        <v/>
      </c>
      <c r="M23" s="1203"/>
      <c r="O23" s="1019" t="s">
        <v>1031</v>
      </c>
      <c r="P23" s="1020" t="s">
        <v>1075</v>
      </c>
      <c r="Q23" s="1013" t="str">
        <f t="shared" si="0"/>
        <v>[DefTCX] - TCXL|TCXR Deflection = ##" Max Due To ### PLF LL|DL|TL</v>
      </c>
    </row>
    <row r="24" spans="1:17" ht="15.4" customHeight="1" x14ac:dyDescent="0.2">
      <c r="A24" s="1318"/>
      <c r="B24" s="2253"/>
      <c r="C24" s="2254"/>
      <c r="D24" s="2254"/>
      <c r="E24" s="2254"/>
      <c r="F24" s="2254"/>
      <c r="G24" s="2254"/>
      <c r="H24" s="2254"/>
      <c r="I24" s="2254"/>
      <c r="J24" s="2255"/>
      <c r="L24" s="1203" t="str">
        <f t="shared" si="1"/>
        <v/>
      </c>
      <c r="M24" s="1203"/>
      <c r="O24" s="1019" t="s">
        <v>1032</v>
      </c>
      <c r="P24" s="1020" t="s">
        <v>1074</v>
      </c>
      <c r="Q24" s="1013" t="str">
        <f t="shared" si="0"/>
        <v>[DefSP] - Special Deflection = ##" Max Due To ### PLF LL|DL|TL</v>
      </c>
    </row>
    <row r="25" spans="1:17" ht="15.4" customHeight="1" x14ac:dyDescent="0.2">
      <c r="A25" s="1318"/>
      <c r="B25" s="2253"/>
      <c r="C25" s="2254"/>
      <c r="D25" s="2254"/>
      <c r="E25" s="2254"/>
      <c r="F25" s="2254"/>
      <c r="G25" s="2254"/>
      <c r="H25" s="2254"/>
      <c r="I25" s="2254"/>
      <c r="J25" s="2255"/>
      <c r="L25" s="1203" t="str">
        <f t="shared" si="1"/>
        <v/>
      </c>
      <c r="M25" s="1203"/>
      <c r="O25" s="1019"/>
      <c r="P25" s="1020" t="s">
        <v>1076</v>
      </c>
      <c r="Q25" s="1013" t="str">
        <f t="shared" si="0"/>
        <v>[] - BEARING SEATS</v>
      </c>
    </row>
    <row r="26" spans="1:17" ht="15.4" customHeight="1" x14ac:dyDescent="0.2">
      <c r="A26" s="1318"/>
      <c r="B26" s="2253"/>
      <c r="C26" s="2254"/>
      <c r="D26" s="2254"/>
      <c r="E26" s="2254"/>
      <c r="F26" s="2254"/>
      <c r="G26" s="2254"/>
      <c r="H26" s="2254"/>
      <c r="I26" s="2254"/>
      <c r="J26" s="2255"/>
      <c r="L26" s="1203" t="str">
        <f t="shared" si="1"/>
        <v/>
      </c>
      <c r="M26" s="1203"/>
      <c r="O26" s="1019" t="s">
        <v>1120</v>
      </c>
      <c r="P26" s="1020" t="s">
        <v>1121</v>
      </c>
      <c r="Q26" s="1013" t="str">
        <f t="shared" si="0"/>
        <v>[ShrtBrg] - Short Bearing = #” @ LE|RE|BE</v>
      </c>
    </row>
    <row r="27" spans="1:17" ht="15.4" customHeight="1" x14ac:dyDescent="0.2">
      <c r="A27" s="1318"/>
      <c r="B27" s="2253"/>
      <c r="C27" s="2254"/>
      <c r="D27" s="2254"/>
      <c r="E27" s="2254"/>
      <c r="F27" s="2254"/>
      <c r="G27" s="2254"/>
      <c r="H27" s="2254"/>
      <c r="I27" s="2254"/>
      <c r="J27" s="2255"/>
      <c r="L27" s="1203" t="str">
        <f t="shared" si="1"/>
        <v/>
      </c>
      <c r="M27" s="1203"/>
      <c r="O27" s="1019" t="s">
        <v>1023</v>
      </c>
      <c r="P27" s="1020" t="s">
        <v>1077</v>
      </c>
      <c r="Q27" s="1013" t="str">
        <f t="shared" si="0"/>
        <v>[TCXMax] - Max Depth of TCXL|TCXR = ##"</v>
      </c>
    </row>
    <row r="28" spans="1:17" ht="15.4" customHeight="1" x14ac:dyDescent="0.2">
      <c r="A28" s="1318"/>
      <c r="B28" s="2253"/>
      <c r="C28" s="2254"/>
      <c r="D28" s="2254"/>
      <c r="E28" s="2254"/>
      <c r="F28" s="2254"/>
      <c r="G28" s="2254"/>
      <c r="H28" s="2254"/>
      <c r="I28" s="2254"/>
      <c r="J28" s="2255"/>
      <c r="L28" s="1203" t="str">
        <f t="shared" si="1"/>
        <v/>
      </c>
      <c r="M28" s="1203"/>
      <c r="O28" s="1019" t="s">
        <v>1017</v>
      </c>
      <c r="P28" s="1020" t="s">
        <v>1122</v>
      </c>
      <c r="Q28" s="1013" t="str">
        <f t="shared" si="0"/>
        <v>[TCXSup] - TCXL|TCXR Supported @ End</v>
      </c>
    </row>
    <row r="29" spans="1:17" ht="15.4" customHeight="1" x14ac:dyDescent="0.2">
      <c r="A29" s="1318"/>
      <c r="B29" s="2253"/>
      <c r="C29" s="2254"/>
      <c r="D29" s="2254"/>
      <c r="E29" s="2254"/>
      <c r="F29" s="2254"/>
      <c r="G29" s="2254"/>
      <c r="H29" s="2254"/>
      <c r="I29" s="2254"/>
      <c r="J29" s="2255"/>
      <c r="L29" s="1203" t="str">
        <f t="shared" si="1"/>
        <v/>
      </c>
      <c r="M29" s="1203"/>
      <c r="O29" s="1019" t="s">
        <v>1079</v>
      </c>
      <c r="P29" s="1020" t="s">
        <v>1123</v>
      </c>
      <c r="Q29" s="1013" t="str">
        <f t="shared" si="0"/>
        <v>[Rein] - Reinforce Seats @ LE|RE|BE for Axial Load Transfer</v>
      </c>
    </row>
    <row r="30" spans="1:17" ht="15.4" customHeight="1" x14ac:dyDescent="0.2">
      <c r="A30" s="1318"/>
      <c r="B30" s="2253"/>
      <c r="C30" s="2254"/>
      <c r="D30" s="2254"/>
      <c r="E30" s="2254"/>
      <c r="F30" s="2254"/>
      <c r="G30" s="2254"/>
      <c r="H30" s="2254"/>
      <c r="I30" s="2254"/>
      <c r="J30" s="2255"/>
      <c r="L30" s="1203" t="str">
        <f t="shared" si="1"/>
        <v/>
      </c>
      <c r="M30" s="1203"/>
      <c r="O30" s="1019" t="s">
        <v>1078</v>
      </c>
      <c r="P30" s="1020" t="s">
        <v>1080</v>
      </c>
      <c r="Q30" s="1013" t="str">
        <f t="shared" si="0"/>
        <v>[NoRein] - Tie Pl Provided for Load Transfer, No Rein Req’d</v>
      </c>
    </row>
    <row r="31" spans="1:17" ht="15.4" customHeight="1" x14ac:dyDescent="0.2">
      <c r="A31" s="1318"/>
      <c r="B31" s="2253"/>
      <c r="C31" s="2254"/>
      <c r="D31" s="2254"/>
      <c r="E31" s="2254"/>
      <c r="F31" s="2254"/>
      <c r="G31" s="2254"/>
      <c r="H31" s="2254"/>
      <c r="I31" s="2254"/>
      <c r="J31" s="2255"/>
      <c r="L31" s="1203" t="str">
        <f t="shared" si="1"/>
        <v/>
      </c>
      <c r="M31" s="1203"/>
      <c r="O31" s="1019" t="s">
        <v>1081</v>
      </c>
      <c r="P31" s="1020" t="s">
        <v>1083</v>
      </c>
      <c r="Q31" s="1013" t="str">
        <f t="shared" si="0"/>
        <v>[KnifePL] - Knife Pl Provided for Load Transfer, TC/Seat Gap Clear for 1st ##” @ LE|RE|BE</v>
      </c>
    </row>
    <row r="32" spans="1:17" ht="15.4" customHeight="1" x14ac:dyDescent="0.2">
      <c r="A32" s="1318"/>
      <c r="B32" s="2253"/>
      <c r="C32" s="2254"/>
      <c r="D32" s="2254"/>
      <c r="E32" s="2254"/>
      <c r="F32" s="2254"/>
      <c r="G32" s="2254"/>
      <c r="H32" s="2254"/>
      <c r="I32" s="2254"/>
      <c r="J32" s="2255"/>
      <c r="L32" s="1203" t="str">
        <f t="shared" si="1"/>
        <v/>
      </c>
      <c r="M32" s="1203"/>
      <c r="O32" s="1019" t="s">
        <v>1082</v>
      </c>
      <c r="P32" s="1020" t="s">
        <v>1084</v>
      </c>
      <c r="Q32" s="1013" t="str">
        <f t="shared" si="0"/>
        <v>[KickLd] - Axial Load Due To Kicker, No Rein Req’d</v>
      </c>
    </row>
    <row r="33" spans="1:17" ht="15.4" customHeight="1" x14ac:dyDescent="0.2">
      <c r="A33" s="1318"/>
      <c r="B33" s="2253"/>
      <c r="C33" s="2254"/>
      <c r="D33" s="2254"/>
      <c r="E33" s="2254"/>
      <c r="F33" s="2254"/>
      <c r="G33" s="2254"/>
      <c r="H33" s="2254"/>
      <c r="I33" s="2254"/>
      <c r="J33" s="2255"/>
      <c r="L33" s="1203" t="str">
        <f t="shared" si="1"/>
        <v/>
      </c>
      <c r="M33" s="1203"/>
      <c r="O33" s="1019" t="s">
        <v>1085</v>
      </c>
      <c r="P33" s="1020" t="s">
        <v>1086</v>
      </c>
      <c r="Q33" s="1013" t="str">
        <f t="shared" si="0"/>
        <v>[Roll] - Seat Rollover Force = ##Kips @ LE|RE|BE</v>
      </c>
    </row>
    <row r="34" spans="1:17" ht="15.4" customHeight="1" x14ac:dyDescent="0.2">
      <c r="A34" s="1318"/>
      <c r="B34" s="2253"/>
      <c r="C34" s="2254"/>
      <c r="D34" s="2254"/>
      <c r="E34" s="2254"/>
      <c r="F34" s="2254"/>
      <c r="G34" s="2254"/>
      <c r="H34" s="2254"/>
      <c r="I34" s="2254"/>
      <c r="J34" s="2255"/>
      <c r="L34" s="1203" t="str">
        <f t="shared" si="1"/>
        <v/>
      </c>
      <c r="M34" s="1203"/>
      <c r="O34" s="1019" t="s">
        <v>1044</v>
      </c>
      <c r="P34" s="1020" t="s">
        <v>1045</v>
      </c>
      <c r="Q34" s="1013" t="str">
        <f t="shared" si="0"/>
        <v>[ClrBrg] - Min Clear Bearing = #" @ LE(RE)(BE)</v>
      </c>
    </row>
    <row r="35" spans="1:17" ht="15.4" customHeight="1" x14ac:dyDescent="0.2">
      <c r="A35" s="1318"/>
      <c r="B35" s="2253"/>
      <c r="C35" s="2254"/>
      <c r="D35" s="2254"/>
      <c r="E35" s="2254"/>
      <c r="F35" s="2254"/>
      <c r="G35" s="2254"/>
      <c r="H35" s="2254"/>
      <c r="I35" s="2254"/>
      <c r="J35" s="2255"/>
      <c r="L35" s="1203" t="str">
        <f t="shared" si="1"/>
        <v/>
      </c>
      <c r="M35" s="1203"/>
      <c r="O35" s="1019" t="s">
        <v>1124</v>
      </c>
      <c r="P35" s="1020" t="s">
        <v>1033</v>
      </c>
      <c r="Q35" s="1013" t="str">
        <f t="shared" si="0"/>
        <v>[Skew] - ##º Half(Full)-Skew, NS(FS), LE(RE)</v>
      </c>
    </row>
    <row r="36" spans="1:17" ht="15.4" customHeight="1" x14ac:dyDescent="0.2">
      <c r="A36" s="1318"/>
      <c r="B36" s="2253"/>
      <c r="C36" s="2254"/>
      <c r="D36" s="2254"/>
      <c r="E36" s="2254"/>
      <c r="F36" s="2254"/>
      <c r="G36" s="2254"/>
      <c r="H36" s="2254"/>
      <c r="I36" s="2254"/>
      <c r="J36" s="2255"/>
      <c r="L36" s="1203" t="str">
        <f t="shared" si="1"/>
        <v/>
      </c>
      <c r="M36" s="1203"/>
      <c r="O36" s="1019" t="s">
        <v>1024</v>
      </c>
      <c r="P36" s="1020" t="s">
        <v>1087</v>
      </c>
      <c r="Q36" s="1013" t="str">
        <f t="shared" si="0"/>
        <v>[BCBrg] - Bottom Chord Bearing @ LE|RE|BE</v>
      </c>
    </row>
    <row r="37" spans="1:17" ht="15.4" customHeight="1" x14ac:dyDescent="0.2">
      <c r="A37" s="1318"/>
      <c r="B37" s="2253"/>
      <c r="C37" s="2254"/>
      <c r="D37" s="2254"/>
      <c r="E37" s="2254"/>
      <c r="F37" s="2254"/>
      <c r="G37" s="2254"/>
      <c r="H37" s="2254"/>
      <c r="I37" s="2254"/>
      <c r="J37" s="2255"/>
      <c r="L37" s="1203" t="str">
        <f t="shared" si="1"/>
        <v/>
      </c>
      <c r="M37" s="1203"/>
      <c r="O37" s="1019" t="s">
        <v>1018</v>
      </c>
      <c r="P37" s="1020" t="s">
        <v>1088</v>
      </c>
      <c r="Q37" s="1013" t="str">
        <f t="shared" si="0"/>
        <v>[StgSlt] - Stagger Seat Slots LE|RE: ##" NS, ##" FS</v>
      </c>
    </row>
    <row r="38" spans="1:17" ht="15.4" customHeight="1" x14ac:dyDescent="0.2">
      <c r="A38" s="1318"/>
      <c r="B38" s="2253"/>
      <c r="C38" s="2254"/>
      <c r="D38" s="2254"/>
      <c r="E38" s="2254"/>
      <c r="F38" s="2254"/>
      <c r="G38" s="2254"/>
      <c r="H38" s="2254"/>
      <c r="I38" s="2254"/>
      <c r="J38" s="2255"/>
      <c r="L38" s="1203" t="str">
        <f t="shared" si="1"/>
        <v/>
      </c>
      <c r="M38" s="1203"/>
      <c r="O38" s="1019" t="s">
        <v>1019</v>
      </c>
      <c r="P38" s="1020" t="s">
        <v>1089</v>
      </c>
      <c r="Q38" s="1013" t="str">
        <f t="shared" si="0"/>
        <v>[SpSlt] - Special Seat Slots: #"x#" Slots, Ga=#" @ LE|RE|BE</v>
      </c>
    </row>
    <row r="39" spans="1:17" ht="15.4" customHeight="1" x14ac:dyDescent="0.2">
      <c r="A39" s="1318"/>
      <c r="B39" s="2253"/>
      <c r="C39" s="2254"/>
      <c r="D39" s="2254"/>
      <c r="E39" s="2254"/>
      <c r="F39" s="2254"/>
      <c r="G39" s="2254"/>
      <c r="H39" s="2254"/>
      <c r="I39" s="2254"/>
      <c r="J39" s="2255"/>
      <c r="L39" s="1203" t="str">
        <f t="shared" si="1"/>
        <v/>
      </c>
      <c r="M39" s="1203"/>
      <c r="O39" s="1019" t="s">
        <v>1128</v>
      </c>
      <c r="P39" s="1020" t="s">
        <v>1129</v>
      </c>
      <c r="Q39" s="1013" t="str">
        <f t="shared" si="0"/>
        <v>[RndShrtSlt] - #/#" Round Holes|#/#”x1” Slots, Ga=#” @ LE|RE|BE</v>
      </c>
    </row>
    <row r="40" spans="1:17" ht="15.4" customHeight="1" x14ac:dyDescent="0.2">
      <c r="A40" s="1318"/>
      <c r="B40" s="2253"/>
      <c r="C40" s="2254"/>
      <c r="D40" s="2254"/>
      <c r="E40" s="2254"/>
      <c r="F40" s="2254"/>
      <c r="G40" s="2254"/>
      <c r="H40" s="2254"/>
      <c r="I40" s="2254"/>
      <c r="J40" s="2255"/>
      <c r="L40" s="1203" t="str">
        <f t="shared" si="1"/>
        <v/>
      </c>
      <c r="M40" s="1203"/>
      <c r="O40" s="1019" t="s">
        <v>1043</v>
      </c>
      <c r="P40" s="1020" t="s">
        <v>1090</v>
      </c>
      <c r="Q40" s="1013" t="str">
        <f t="shared" si="0"/>
        <v>[AddSlt] - Addn'l Seat Slots @ #" from L-OAL|R-OAL</v>
      </c>
    </row>
    <row r="41" spans="1:17" ht="15.4" customHeight="1" x14ac:dyDescent="0.2">
      <c r="A41" s="1318"/>
      <c r="B41" s="2253"/>
      <c r="C41" s="2254"/>
      <c r="D41" s="2254"/>
      <c r="E41" s="2254"/>
      <c r="F41" s="2254"/>
      <c r="G41" s="2254"/>
      <c r="H41" s="2254"/>
      <c r="I41" s="2254"/>
      <c r="J41" s="2255"/>
      <c r="L41" s="1203" t="str">
        <f t="shared" si="1"/>
        <v/>
      </c>
      <c r="M41" s="1203"/>
      <c r="O41" s="1019" t="s">
        <v>1022</v>
      </c>
      <c r="P41" s="1020" t="s">
        <v>1091</v>
      </c>
      <c r="Q41" s="1013" t="str">
        <f t="shared" si="0"/>
        <v>[BPThk] - Min Thickness of Base Plate = 0.xxx" @ LE|RE|BE</v>
      </c>
    </row>
    <row r="42" spans="1:17" ht="15.4" customHeight="1" x14ac:dyDescent="0.2">
      <c r="A42" s="1318"/>
      <c r="B42" s="2253"/>
      <c r="C42" s="2254"/>
      <c r="D42" s="2254"/>
      <c r="E42" s="2254"/>
      <c r="F42" s="2254"/>
      <c r="G42" s="2254"/>
      <c r="H42" s="2254"/>
      <c r="I42" s="2254"/>
      <c r="J42" s="2255"/>
      <c r="L42" s="1203" t="str">
        <f t="shared" si="1"/>
        <v/>
      </c>
      <c r="M42" s="1203"/>
      <c r="O42" s="1019" t="s">
        <v>1092</v>
      </c>
      <c r="P42" s="1020" t="s">
        <v>1093</v>
      </c>
      <c r="Q42" s="1013" t="str">
        <f t="shared" si="0"/>
        <v>[MaxWidth] - Max Width of TC &amp; Base Plate|BC for 1st ##” @ LE|RE|BE</v>
      </c>
    </row>
    <row r="43" spans="1:17" ht="15.4" customHeight="1" x14ac:dyDescent="0.2">
      <c r="A43" s="1318"/>
      <c r="B43" s="2253"/>
      <c r="C43" s="2254"/>
      <c r="D43" s="2254"/>
      <c r="E43" s="2254"/>
      <c r="F43" s="2254"/>
      <c r="G43" s="2254"/>
      <c r="H43" s="2254"/>
      <c r="I43" s="2254"/>
      <c r="J43" s="2255"/>
      <c r="L43" s="1203" t="str">
        <f t="shared" si="1"/>
        <v/>
      </c>
      <c r="M43" s="1203"/>
      <c r="O43" s="1019"/>
      <c r="P43" s="1020" t="s">
        <v>1094</v>
      </c>
      <c r="Q43" s="1013" t="str">
        <f t="shared" si="0"/>
        <v>[] - MISCELLANEOUS</v>
      </c>
    </row>
    <row r="44" spans="1:17" ht="15.4" customHeight="1" x14ac:dyDescent="0.2">
      <c r="A44" s="1318"/>
      <c r="B44" s="2253"/>
      <c r="C44" s="2254"/>
      <c r="D44" s="2254"/>
      <c r="E44" s="2254"/>
      <c r="F44" s="2254"/>
      <c r="G44" s="2254"/>
      <c r="H44" s="2254"/>
      <c r="I44" s="2254"/>
      <c r="J44" s="2255"/>
      <c r="L44" s="1203" t="str">
        <f t="shared" si="1"/>
        <v/>
      </c>
      <c r="M44" s="1203"/>
      <c r="O44" s="1019" t="s">
        <v>1125</v>
      </c>
      <c r="P44" s="1020" t="s">
        <v>1096</v>
      </c>
      <c r="Q44" s="1013" t="str">
        <f t="shared" si="0"/>
        <v>[Camb] - Camber = #"|Camber for DL|50% Std Camber|No Camber</v>
      </c>
    </row>
    <row r="45" spans="1:17" ht="15.4" customHeight="1" x14ac:dyDescent="0.2">
      <c r="A45" s="1318"/>
      <c r="B45" s="2253"/>
      <c r="C45" s="2254"/>
      <c r="D45" s="2254"/>
      <c r="E45" s="2254"/>
      <c r="F45" s="2254"/>
      <c r="G45" s="2254"/>
      <c r="H45" s="2254"/>
      <c r="I45" s="2254"/>
      <c r="J45" s="2255"/>
      <c r="L45" s="1203" t="str">
        <f t="shared" si="1"/>
        <v/>
      </c>
      <c r="M45" s="1203"/>
      <c r="O45" s="1019" t="s">
        <v>1025</v>
      </c>
      <c r="P45" s="1020" t="s">
        <v>1097</v>
      </c>
      <c r="Q45" s="1013" t="str">
        <f t="shared" si="0"/>
        <v>[BClip] - Bridging Clip(s) Required per Plan</v>
      </c>
    </row>
    <row r="46" spans="1:17" ht="15.4" customHeight="1" x14ac:dyDescent="0.2">
      <c r="A46" s="1318"/>
      <c r="B46" s="2253"/>
      <c r="C46" s="2254"/>
      <c r="D46" s="2254"/>
      <c r="E46" s="2254"/>
      <c r="F46" s="2254"/>
      <c r="G46" s="2254"/>
      <c r="H46" s="2254"/>
      <c r="I46" s="2254"/>
      <c r="J46" s="2255"/>
      <c r="L46" s="1203" t="str">
        <f t="shared" si="1"/>
        <v/>
      </c>
      <c r="M46" s="1203"/>
      <c r="O46" s="1019" t="s">
        <v>1020</v>
      </c>
      <c r="P46" s="1020" t="s">
        <v>1012</v>
      </c>
      <c r="Q46" s="1013" t="str">
        <f t="shared" si="0"/>
        <v>[TCThk] - Min Thickness of TC = 0.xxx"</v>
      </c>
    </row>
    <row r="47" spans="1:17" ht="15.4" customHeight="1" x14ac:dyDescent="0.2">
      <c r="A47" s="1318"/>
      <c r="B47" s="2253"/>
      <c r="C47" s="2254"/>
      <c r="D47" s="2254"/>
      <c r="E47" s="2254"/>
      <c r="F47" s="2254"/>
      <c r="G47" s="2254"/>
      <c r="H47" s="2254"/>
      <c r="I47" s="2254"/>
      <c r="J47" s="2255"/>
      <c r="L47" s="1203" t="str">
        <f t="shared" si="1"/>
        <v/>
      </c>
      <c r="M47" s="1203"/>
      <c r="O47" s="1019" t="s">
        <v>1021</v>
      </c>
      <c r="P47" s="1020" t="s">
        <v>1013</v>
      </c>
      <c r="Q47" s="1013" t="str">
        <f t="shared" si="0"/>
        <v>[BCThk] - Min Thickness of BC = 0.xxx"</v>
      </c>
    </row>
    <row r="48" spans="1:17" ht="15.4" customHeight="1" x14ac:dyDescent="0.2">
      <c r="A48" s="1318"/>
      <c r="B48" s="2253"/>
      <c r="C48" s="2254"/>
      <c r="D48" s="2254"/>
      <c r="E48" s="2254"/>
      <c r="F48" s="2254"/>
      <c r="G48" s="2254"/>
      <c r="H48" s="2254"/>
      <c r="I48" s="2254"/>
      <c r="J48" s="2255"/>
      <c r="L48" s="1203" t="str">
        <f t="shared" si="1"/>
        <v/>
      </c>
      <c r="M48" s="1203"/>
      <c r="O48" s="1019" t="s">
        <v>1130</v>
      </c>
      <c r="P48" s="1020" t="s">
        <v>1131</v>
      </c>
      <c r="Q48" s="1013" t="str">
        <f t="shared" si="0"/>
        <v>[ChdWdth] - Min|Max Width of TC|BC = ##”</v>
      </c>
    </row>
    <row r="49" spans="1:17" ht="15.4" customHeight="1" x14ac:dyDescent="0.2">
      <c r="A49" s="1318"/>
      <c r="B49" s="2253"/>
      <c r="C49" s="2254"/>
      <c r="D49" s="2254"/>
      <c r="E49" s="2254"/>
      <c r="F49" s="2254"/>
      <c r="G49" s="2254"/>
      <c r="H49" s="2254"/>
      <c r="I49" s="2254"/>
      <c r="J49" s="2255"/>
      <c r="L49" s="1203" t="str">
        <f t="shared" si="1"/>
        <v/>
      </c>
      <c r="M49" s="1203"/>
      <c r="O49" s="1019" t="s">
        <v>1126</v>
      </c>
      <c r="P49" s="1020" t="s">
        <v>1041</v>
      </c>
      <c r="Q49" s="1013" t="str">
        <f t="shared" si="0"/>
        <v>[Duct] - ##" Dia (##"H x ##"W) Duct @ #'-# from L-OAL</v>
      </c>
    </row>
    <row r="50" spans="1:17" ht="15.4" customHeight="1" x14ac:dyDescent="0.2">
      <c r="A50" s="1318"/>
      <c r="B50" s="2253"/>
      <c r="C50" s="2254"/>
      <c r="D50" s="2254"/>
      <c r="E50" s="2254"/>
      <c r="F50" s="2254"/>
      <c r="G50" s="2254"/>
      <c r="H50" s="2254"/>
      <c r="I50" s="2254"/>
      <c r="J50" s="2255"/>
      <c r="L50" s="1203" t="str">
        <f t="shared" si="1"/>
        <v/>
      </c>
      <c r="M50" s="1203"/>
      <c r="O50" s="1019" t="s">
        <v>1037</v>
      </c>
      <c r="P50" s="1020" t="s">
        <v>1046</v>
      </c>
      <c r="Q50" s="1013" t="str">
        <f t="shared" si="0"/>
        <v>[HS] - Horiz Field Splice: See Detail on J1.xx</v>
      </c>
    </row>
    <row r="51" spans="1:17" ht="15.4" customHeight="1" x14ac:dyDescent="0.2">
      <c r="A51" s="1319"/>
      <c r="B51" s="2256"/>
      <c r="C51" s="2257"/>
      <c r="D51" s="2257"/>
      <c r="E51" s="2257"/>
      <c r="F51" s="2257"/>
      <c r="G51" s="2257"/>
      <c r="H51" s="2257"/>
      <c r="I51" s="2257"/>
      <c r="J51" s="2258"/>
      <c r="L51" s="1203" t="str">
        <f t="shared" si="1"/>
        <v/>
      </c>
      <c r="M51" s="1203"/>
      <c r="O51" s="1019" t="s">
        <v>1038</v>
      </c>
      <c r="P51" s="1020" t="s">
        <v>1047</v>
      </c>
      <c r="Q51" s="1013" t="str">
        <f t="shared" si="0"/>
        <v>[VS] - Vert Field Splice: Type xx, Near Midspan</v>
      </c>
    </row>
    <row r="52" spans="1:17" ht="15.6" customHeight="1" x14ac:dyDescent="0.2">
      <c r="O52" s="1019" t="s">
        <v>1039</v>
      </c>
      <c r="P52" s="1020" t="s">
        <v>1048</v>
      </c>
      <c r="Q52" s="1013" t="str">
        <f t="shared" si="0"/>
        <v>[MS] - Multiple Vert Field Splices: Type xx</v>
      </c>
    </row>
    <row r="53" spans="1:17" ht="15.6" customHeight="1" x14ac:dyDescent="0.2">
      <c r="O53" s="1019" t="s">
        <v>1098</v>
      </c>
      <c r="P53" s="1020" t="s">
        <v>1099</v>
      </c>
      <c r="Q53" s="1013" t="str">
        <f t="shared" si="0"/>
        <v>[SpConn] - Special Connection @ (location), See Section ##</v>
      </c>
    </row>
    <row r="54" spans="1:17" ht="15.6" customHeight="1" x14ac:dyDescent="0.2">
      <c r="O54" s="1019" t="s">
        <v>1132</v>
      </c>
      <c r="P54" s="1020" t="s">
        <v>1144</v>
      </c>
      <c r="Q54" s="1013" t="str">
        <f t="shared" si="0"/>
        <v>[Vier] - Vierendeel Panel, ##” W x ##” H, Bottom Left Corner of Opening @ ##” From Bot/Jst, ##’-##” From L-OAL</v>
      </c>
    </row>
    <row r="55" spans="1:17" ht="15.6" customHeight="1" x14ac:dyDescent="0.2">
      <c r="O55" s="1019"/>
      <c r="P55" s="1020" t="s">
        <v>1100</v>
      </c>
      <c r="Q55" s="1013" t="str">
        <f t="shared" si="0"/>
        <v>[] - GENERAL</v>
      </c>
    </row>
    <row r="56" spans="1:17" ht="15.6" customHeight="1" x14ac:dyDescent="0.2">
      <c r="O56" s="1019" t="s">
        <v>1056</v>
      </c>
      <c r="P56" s="1020" t="s">
        <v>1057</v>
      </c>
      <c r="Q56" s="1013" t="str">
        <f t="shared" si="0"/>
        <v>[LRFD] - **LRFD**   **LRFD**   **LRFD**</v>
      </c>
    </row>
    <row r="57" spans="1:17" ht="15.6" customHeight="1" x14ac:dyDescent="0.2">
      <c r="O57" s="1019" t="s">
        <v>1015</v>
      </c>
      <c r="P57" s="1020" t="s">
        <v>1042</v>
      </c>
      <c r="Q57" s="1013" t="str">
        <f t="shared" si="0"/>
        <v>[ESFR] - #"Dia Pipes, 8" Below Top/Jst, 15" Horiz Clearance @ ##'-#,  ##'-# &amp;  ##'-# from L-OAL</v>
      </c>
    </row>
    <row r="58" spans="1:17" ht="15.6" customHeight="1" x14ac:dyDescent="0.2">
      <c r="O58" s="1019" t="s">
        <v>1127</v>
      </c>
      <c r="P58" s="1020" t="s">
        <v>1014</v>
      </c>
      <c r="Q58" s="1013" t="str">
        <f t="shared" si="0"/>
        <v>[Self] - Add Self-Weight to Design</v>
      </c>
    </row>
    <row r="59" spans="1:17" ht="15.6" customHeight="1" x14ac:dyDescent="0.2">
      <c r="A59" s="973" t="s">
        <v>1062</v>
      </c>
      <c r="O59" s="1019" t="s">
        <v>1051</v>
      </c>
      <c r="P59" s="1020" t="s">
        <v>1053</v>
      </c>
      <c r="Q59" s="1013" t="str">
        <f t="shared" si="0"/>
        <v>[SpChd] - ##"^2 Min Chord Area</v>
      </c>
    </row>
    <row r="60" spans="1:17" ht="15.6" hidden="1" customHeight="1" x14ac:dyDescent="0.2">
      <c r="A60" s="1128" t="s">
        <v>34</v>
      </c>
      <c r="O60" s="1019" t="s">
        <v>1052</v>
      </c>
      <c r="P60" s="1020" t="s">
        <v>1054</v>
      </c>
      <c r="Q60" s="1013" t="str">
        <f t="shared" si="0"/>
        <v>[SpWeb] - ##"^2 Min Web Area</v>
      </c>
    </row>
    <row r="61" spans="1:17" ht="15.6" hidden="1" customHeight="1" x14ac:dyDescent="0.2">
      <c r="A61" s="1130"/>
      <c r="O61" s="1019" t="s">
        <v>1095</v>
      </c>
      <c r="P61" s="1020" t="s">
        <v>1055</v>
      </c>
      <c r="Q61" s="1013" t="str">
        <f t="shared" si="0"/>
        <v>[DomStl] - Domestic Steel Required (ARRA)</v>
      </c>
    </row>
    <row r="62" spans="1:17" ht="15.6" hidden="1" customHeight="1" x14ac:dyDescent="0.2">
      <c r="O62" s="1019" t="s">
        <v>1040</v>
      </c>
      <c r="P62" s="1020" t="s">
        <v>1049</v>
      </c>
      <c r="Q62" s="1013" t="str">
        <f t="shared" si="0"/>
        <v>[SSR] - Standing Seam Roof: TC Lateral Support @ ##" Max.</v>
      </c>
    </row>
    <row r="63" spans="1:17" ht="15.6" hidden="1" customHeight="1" x14ac:dyDescent="0.2">
      <c r="O63" s="1019" t="s">
        <v>1133</v>
      </c>
      <c r="P63" s="1020" t="s">
        <v>1139</v>
      </c>
      <c r="Q63" s="1013" t="str">
        <f t="shared" si="0"/>
        <v>[AlignPnls] - Align Panels of Adjacent Jsts</v>
      </c>
    </row>
    <row r="64" spans="1:17" ht="15.6" hidden="1" customHeight="1" x14ac:dyDescent="0.2">
      <c r="O64" s="1019" t="s">
        <v>1134</v>
      </c>
      <c r="P64" s="1020" t="s">
        <v>1140</v>
      </c>
      <c r="Q64" s="1013" t="str">
        <f t="shared" si="0"/>
        <v>[SpBund] - Special Bundling Req’d, See Attached Listing</v>
      </c>
    </row>
    <row r="65" spans="1:17" ht="15.6" customHeight="1" x14ac:dyDescent="0.2">
      <c r="A65" s="973" t="s">
        <v>1063</v>
      </c>
      <c r="O65" s="1019" t="s">
        <v>1135</v>
      </c>
      <c r="P65" s="1020" t="s">
        <v>1141</v>
      </c>
      <c r="Q65" s="1013" t="str">
        <f t="shared" si="0"/>
        <v>[BIM] - Building Information Modeling, Inform Dtlr When Design Completed</v>
      </c>
    </row>
    <row r="66" spans="1:17" ht="15.6" customHeight="1" x14ac:dyDescent="0.2">
      <c r="O66" s="1019" t="s">
        <v>1136</v>
      </c>
      <c r="P66" s="1020" t="s">
        <v>1142</v>
      </c>
      <c r="Q66" s="1013" t="str">
        <f t="shared" si="0"/>
        <v>[Calcs] - Sealed Calcs req’d for Record|Appl</v>
      </c>
    </row>
    <row r="67" spans="1:17" ht="15.6" customHeight="1" x14ac:dyDescent="0.2">
      <c r="O67" s="1019" t="s">
        <v>1137</v>
      </c>
      <c r="P67" s="1020" t="s">
        <v>1143</v>
      </c>
      <c r="Q67" s="1013" t="str">
        <f t="shared" si="0"/>
        <v>[Prof] - Joist|Girder Profiles Req’d</v>
      </c>
    </row>
    <row r="68" spans="1:17" ht="15.6" customHeight="1" x14ac:dyDescent="0.2">
      <c r="O68" s="1019" t="s">
        <v>1138</v>
      </c>
      <c r="P68" s="1020" t="s">
        <v>1101</v>
      </c>
      <c r="Q68" s="1013" t="str">
        <f t="shared" si="0"/>
        <v>[UnDef] - Special Note Here (special condition not matching pre-defined codes)</v>
      </c>
    </row>
    <row r="69" spans="1:17" ht="15.6" customHeight="1" x14ac:dyDescent="0.2">
      <c r="O69" s="1019"/>
      <c r="P69" s="1020"/>
      <c r="Q69" s="1013" t="str">
        <f t="shared" si="0"/>
        <v xml:space="preserve">[] - </v>
      </c>
    </row>
    <row r="70" spans="1:17" ht="15.6" customHeight="1" x14ac:dyDescent="0.2">
      <c r="O70" s="1019"/>
      <c r="P70" s="1020"/>
      <c r="Q70" s="1013" t="str">
        <f t="shared" si="0"/>
        <v xml:space="preserve">[] - </v>
      </c>
    </row>
    <row r="71" spans="1:17" ht="15.6" customHeight="1" x14ac:dyDescent="0.2">
      <c r="O71" s="1019"/>
      <c r="P71" s="1020"/>
      <c r="Q71" s="1013" t="str">
        <f t="shared" si="0"/>
        <v xml:space="preserve">[] - </v>
      </c>
    </row>
    <row r="72" spans="1:17" ht="15.6" customHeight="1" x14ac:dyDescent="0.2">
      <c r="O72" s="1019"/>
      <c r="P72" s="1020"/>
      <c r="Q72" s="1013" t="str">
        <f t="shared" si="0"/>
        <v xml:space="preserve">[] - </v>
      </c>
    </row>
    <row r="73" spans="1:17" ht="15.6" customHeight="1" x14ac:dyDescent="0.2">
      <c r="O73" s="1019"/>
      <c r="P73" s="1020"/>
      <c r="Q73" s="1013" t="str">
        <f t="shared" si="0"/>
        <v xml:space="preserve">[] - </v>
      </c>
    </row>
    <row r="74" spans="1:17" ht="15.6" customHeight="1" x14ac:dyDescent="0.2">
      <c r="O74" s="1019"/>
      <c r="P74" s="1020"/>
      <c r="Q74" s="1013" t="str">
        <f t="shared" si="0"/>
        <v xml:space="preserve">[] - </v>
      </c>
    </row>
    <row r="75" spans="1:17" ht="15.6" customHeight="1" x14ac:dyDescent="0.2">
      <c r="O75" s="1019"/>
      <c r="P75" s="1020"/>
      <c r="Q75" s="1013" t="str">
        <f t="shared" si="0"/>
        <v xml:space="preserve">[] - </v>
      </c>
    </row>
    <row r="76" spans="1:17" ht="15.6" customHeight="1" x14ac:dyDescent="0.2">
      <c r="O76" s="1019"/>
      <c r="P76" s="1020"/>
      <c r="Q76" s="1013" t="str">
        <f t="shared" si="0"/>
        <v xml:space="preserve">[] - </v>
      </c>
    </row>
    <row r="77" spans="1:17" ht="15.6" customHeight="1" x14ac:dyDescent="0.2">
      <c r="O77" s="1019"/>
      <c r="P77" s="1020"/>
      <c r="Q77" s="1013" t="str">
        <f t="shared" si="0"/>
        <v xml:space="preserve">[] - </v>
      </c>
    </row>
    <row r="78" spans="1:17" ht="15.6" customHeight="1" x14ac:dyDescent="0.2">
      <c r="O78" s="1019"/>
      <c r="P78" s="1020"/>
      <c r="Q78" s="1013" t="str">
        <f t="shared" ref="Q78:Q99" si="2">CONCATENATE("[",O78, "] - ", P78)</f>
        <v xml:space="preserve">[] - </v>
      </c>
    </row>
    <row r="79" spans="1:17" ht="15.6" customHeight="1" x14ac:dyDescent="0.2">
      <c r="O79" s="1019"/>
      <c r="P79" s="1020"/>
      <c r="Q79" s="1013" t="str">
        <f t="shared" si="2"/>
        <v xml:space="preserve">[] - </v>
      </c>
    </row>
    <row r="80" spans="1:17" ht="15.6" customHeight="1" x14ac:dyDescent="0.2">
      <c r="O80" s="1019"/>
      <c r="P80" s="1020"/>
      <c r="Q80" s="1013" t="str">
        <f t="shared" si="2"/>
        <v xml:space="preserve">[] - </v>
      </c>
    </row>
    <row r="81" spans="15:17" ht="15.6" customHeight="1" x14ac:dyDescent="0.2">
      <c r="O81" s="1019"/>
      <c r="P81" s="1020"/>
      <c r="Q81" s="1013" t="str">
        <f t="shared" si="2"/>
        <v xml:space="preserve">[] - </v>
      </c>
    </row>
    <row r="82" spans="15:17" ht="15.6" customHeight="1" x14ac:dyDescent="0.2">
      <c r="O82" s="1019"/>
      <c r="P82" s="1020"/>
      <c r="Q82" s="1013" t="str">
        <f t="shared" si="2"/>
        <v xml:space="preserve">[] - </v>
      </c>
    </row>
    <row r="83" spans="15:17" ht="15.6" customHeight="1" x14ac:dyDescent="0.2">
      <c r="O83" s="1019"/>
      <c r="P83" s="1020"/>
      <c r="Q83" s="1013" t="str">
        <f t="shared" si="2"/>
        <v xml:space="preserve">[] - </v>
      </c>
    </row>
    <row r="84" spans="15:17" ht="15.6" customHeight="1" x14ac:dyDescent="0.2">
      <c r="O84" s="1019"/>
      <c r="P84" s="1020"/>
      <c r="Q84" s="1013" t="str">
        <f t="shared" si="2"/>
        <v xml:space="preserve">[] - </v>
      </c>
    </row>
    <row r="85" spans="15:17" ht="15.6" customHeight="1" x14ac:dyDescent="0.2">
      <c r="O85" s="1019"/>
      <c r="P85" s="1020"/>
      <c r="Q85" s="1013" t="str">
        <f t="shared" si="2"/>
        <v xml:space="preserve">[] - </v>
      </c>
    </row>
    <row r="86" spans="15:17" ht="15.6" customHeight="1" x14ac:dyDescent="0.2">
      <c r="O86" s="1019"/>
      <c r="P86" s="1020"/>
      <c r="Q86" s="1013" t="str">
        <f t="shared" si="2"/>
        <v xml:space="preserve">[] - </v>
      </c>
    </row>
    <row r="87" spans="15:17" ht="15.6" customHeight="1" x14ac:dyDescent="0.2">
      <c r="O87" s="1019"/>
      <c r="P87" s="1020"/>
      <c r="Q87" s="1013" t="str">
        <f t="shared" si="2"/>
        <v xml:space="preserve">[] - </v>
      </c>
    </row>
    <row r="88" spans="15:17" ht="15.6" customHeight="1" x14ac:dyDescent="0.2">
      <c r="O88" s="1019"/>
      <c r="P88" s="1020"/>
      <c r="Q88" s="1013" t="str">
        <f t="shared" si="2"/>
        <v xml:space="preserve">[] - </v>
      </c>
    </row>
    <row r="89" spans="15:17" ht="15.6" customHeight="1" x14ac:dyDescent="0.2">
      <c r="O89" s="1019"/>
      <c r="P89" s="1020"/>
      <c r="Q89" s="1013" t="str">
        <f t="shared" si="2"/>
        <v xml:space="preserve">[] - </v>
      </c>
    </row>
    <row r="90" spans="15:17" ht="15.6" customHeight="1" x14ac:dyDescent="0.2">
      <c r="O90" s="1019"/>
      <c r="P90" s="1020"/>
      <c r="Q90" s="1013" t="str">
        <f t="shared" si="2"/>
        <v xml:space="preserve">[] - </v>
      </c>
    </row>
    <row r="91" spans="15:17" ht="15.6" customHeight="1" x14ac:dyDescent="0.2">
      <c r="O91" s="1019"/>
      <c r="P91" s="1020"/>
      <c r="Q91" s="1013" t="str">
        <f t="shared" si="2"/>
        <v xml:space="preserve">[] - </v>
      </c>
    </row>
    <row r="92" spans="15:17" ht="15.6" customHeight="1" x14ac:dyDescent="0.2">
      <c r="O92" s="1019"/>
      <c r="P92" s="1020"/>
      <c r="Q92" s="1013" t="str">
        <f t="shared" si="2"/>
        <v xml:space="preserve">[] - </v>
      </c>
    </row>
    <row r="93" spans="15:17" ht="15.6" customHeight="1" x14ac:dyDescent="0.2">
      <c r="O93" s="1019"/>
      <c r="P93" s="1020"/>
      <c r="Q93" s="1013" t="str">
        <f t="shared" si="2"/>
        <v xml:space="preserve">[] - </v>
      </c>
    </row>
    <row r="94" spans="15:17" ht="15.6" customHeight="1" x14ac:dyDescent="0.2">
      <c r="O94" s="1019"/>
      <c r="P94" s="1020"/>
      <c r="Q94" s="1013" t="str">
        <f t="shared" si="2"/>
        <v xml:space="preserve">[] - </v>
      </c>
    </row>
    <row r="95" spans="15:17" ht="15.6" customHeight="1" x14ac:dyDescent="0.2">
      <c r="O95" s="1019"/>
      <c r="P95" s="1020"/>
      <c r="Q95" s="1013" t="str">
        <f t="shared" si="2"/>
        <v xml:space="preserve">[] - </v>
      </c>
    </row>
    <row r="96" spans="15:17" ht="15.6" customHeight="1" x14ac:dyDescent="0.2">
      <c r="O96" s="1019"/>
      <c r="P96" s="1020"/>
      <c r="Q96" s="1013" t="str">
        <f t="shared" si="2"/>
        <v xml:space="preserve">[] - </v>
      </c>
    </row>
    <row r="97" spans="15:17" ht="15.6" customHeight="1" x14ac:dyDescent="0.2">
      <c r="O97" s="1019"/>
      <c r="P97" s="1020"/>
      <c r="Q97" s="1013" t="str">
        <f t="shared" si="2"/>
        <v xml:space="preserve">[] - </v>
      </c>
    </row>
    <row r="98" spans="15:17" ht="15.6" customHeight="1" x14ac:dyDescent="0.2">
      <c r="O98" s="1019"/>
      <c r="P98" s="1020"/>
      <c r="Q98" s="1013" t="str">
        <f t="shared" si="2"/>
        <v xml:space="preserve">[] - </v>
      </c>
    </row>
    <row r="99" spans="15:17" ht="15.6" customHeight="1" x14ac:dyDescent="0.2">
      <c r="O99" s="1021"/>
      <c r="P99" s="1022"/>
      <c r="Q99" s="1014" t="str">
        <f t="shared" si="2"/>
        <v xml:space="preserve">[] - </v>
      </c>
    </row>
    <row r="100" spans="15:17" x14ac:dyDescent="0.2">
      <c r="Q100" s="1010"/>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2016" priority="2" stopIfTrue="1" operator="equal">
      <formula>""</formula>
    </cfRule>
  </conditionalFormatting>
  <conditionalFormatting sqref="A13:J51">
    <cfRule type="expression" dxfId="2015" priority="1">
      <formula>$M13</formula>
    </cfRule>
  </conditionalFormatting>
  <dataValidations count="2">
    <dataValidation type="list" allowBlank="1" showInputMessage="1" sqref="P7">
      <formula1>OFFSET($Q$13,0,0,$O$10,1)</formula1>
    </dataValidation>
    <dataValidation type="list" allowBlank="1" sqref="B13:J51">
      <formula1>OFFSET($Q$13,0,0,$O$10,1)</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1"/>
  </sheetPr>
  <dimension ref="A1:AM67"/>
  <sheetViews>
    <sheetView showGridLines="0" zoomScaleNormal="100" zoomScaleSheetLayoutView="100" workbookViewId="0">
      <selection activeCell="A13" sqref="A13"/>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227" t="str">
        <f>IF(P1="","",VLOOKUP(P1,'Job Info.'!$X:$AA,4,FALSE))</f>
        <v>Master</v>
      </c>
      <c r="I1" s="2227"/>
      <c r="J1" s="2227"/>
      <c r="K1" s="2265" t="s">
        <v>96</v>
      </c>
      <c r="L1" s="2277"/>
      <c r="M1" s="2259" t="str">
        <f ca="1">'Job Info.'!D12</f>
        <v>775-428-0600</v>
      </c>
      <c r="N1" s="2260"/>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228" t="str">
        <f>IF(P1="","",IF(VLOOKUP(P1,'Job Info.'!$X:$Z,2,FALSE),"Released for Fabrication",""))</f>
        <v/>
      </c>
      <c r="I2" s="2229"/>
      <c r="J2" s="2230"/>
      <c r="K2" s="2265" t="s">
        <v>97</v>
      </c>
      <c r="L2" s="2265"/>
      <c r="M2" s="2259" t="str">
        <f ca="1">'Job Info.'!D13</f>
        <v>775-867-2140</v>
      </c>
      <c r="N2" s="2260"/>
      <c r="R2" s="449" t="s">
        <v>123</v>
      </c>
      <c r="S2" s="449" t="s">
        <v>135</v>
      </c>
      <c r="T2" s="448"/>
    </row>
    <row r="3" spans="1:39" s="449" customFormat="1" ht="12.95" customHeight="1" x14ac:dyDescent="0.2">
      <c r="A3" s="444"/>
      <c r="B3" s="550"/>
      <c r="C3" s="444"/>
      <c r="D3" s="565"/>
      <c r="E3" s="470"/>
      <c r="F3" s="470"/>
      <c r="G3" s="470"/>
      <c r="H3" s="2231"/>
      <c r="I3" s="2232"/>
      <c r="J3" s="2233"/>
      <c r="K3" s="2265" t="s">
        <v>99</v>
      </c>
      <c r="L3" s="2265"/>
      <c r="M3" s="2259" t="str">
        <f ca="1">'Job Info.'!D14</f>
        <v>775-867-2169</v>
      </c>
      <c r="N3" s="2260"/>
      <c r="R3" s="449" t="s">
        <v>124</v>
      </c>
      <c r="S3" s="449" t="s">
        <v>136</v>
      </c>
    </row>
    <row r="4" spans="1:39" s="449" customFormat="1" ht="12.95" customHeight="1" thickBot="1" x14ac:dyDescent="0.25">
      <c r="A4" s="444"/>
      <c r="B4" s="550"/>
      <c r="C4" s="444"/>
      <c r="D4" s="565"/>
      <c r="E4" s="470"/>
      <c r="F4" s="470"/>
      <c r="G4" s="470"/>
      <c r="H4" s="2234" t="str">
        <f>IF(P1="","",IF(VLOOKUP(P1,'Job Info.'!$X:$Z,2,FALSE),VLOOKUP(P1,'Job Info.'!$X:$Z,3,FALSE),""))</f>
        <v/>
      </c>
      <c r="I4" s="2235"/>
      <c r="J4" s="2236"/>
      <c r="K4" s="2265" t="s">
        <v>98</v>
      </c>
      <c r="L4" s="2265"/>
      <c r="M4" s="2259" t="str">
        <f ca="1">'Job Info.'!D15</f>
        <v>775-867-2060</v>
      </c>
      <c r="N4" s="2260"/>
      <c r="R4" s="449" t="s">
        <v>125</v>
      </c>
      <c r="S4" s="449" t="s">
        <v>137</v>
      </c>
    </row>
    <row r="5" spans="1:39" s="449" customFormat="1" ht="12.95" customHeight="1" thickTop="1" x14ac:dyDescent="0.2">
      <c r="A5" s="2237" t="str">
        <f ca="1">'Job Info.'!D11</f>
        <v>8200 Woolery Way | Fallon, NV 89406 | www.newmill.com</v>
      </c>
      <c r="B5" s="2299"/>
      <c r="C5" s="2299"/>
      <c r="D5" s="2299"/>
      <c r="E5" s="2299"/>
      <c r="F5" s="2299"/>
      <c r="G5" s="2299"/>
      <c r="H5" s="2299"/>
      <c r="I5" s="2299"/>
      <c r="J5" s="2299"/>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300">
        <f>IF(ISBLANK('Job Info.'!D8),"",'Job Info.'!D8)</f>
        <v>43406</v>
      </c>
      <c r="M6" s="2300"/>
      <c r="N6" s="444"/>
      <c r="P6" s="1392" t="s">
        <v>1180</v>
      </c>
      <c r="R6" s="449" t="s">
        <v>127</v>
      </c>
      <c r="S6" s="449" t="s">
        <v>139</v>
      </c>
    </row>
    <row r="7" spans="1:39" ht="12.95" customHeight="1" x14ac:dyDescent="0.2">
      <c r="A7" s="472" t="s">
        <v>56</v>
      </c>
      <c r="B7" s="551"/>
      <c r="C7" s="473"/>
      <c r="D7" s="566"/>
      <c r="E7" s="568"/>
      <c r="F7" s="568"/>
      <c r="G7" s="444"/>
      <c r="H7" s="444"/>
      <c r="I7" s="444"/>
      <c r="J7" s="444"/>
      <c r="K7" s="551" t="s">
        <v>21</v>
      </c>
      <c r="L7" s="1526" t="str">
        <f>CONCATENATE(P7, " of ",IF(ISBLANK('Job Info.'!D9),"",'Job Info.'!D9))</f>
        <v xml:space="preserve"> of 42</v>
      </c>
      <c r="M7" s="822"/>
      <c r="N7" s="473"/>
      <c r="P7" s="1393"/>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225" t="str">
        <f>IF(ISBLANK('Job Info.'!D3),"",'Job Info.'!D3)</f>
        <v>SUNPOINT CROSSING</v>
      </c>
      <c r="C9" s="2304"/>
      <c r="D9" s="2304"/>
      <c r="E9" s="2304"/>
      <c r="F9" s="2304"/>
      <c r="G9" s="2304"/>
      <c r="H9" s="2304"/>
      <c r="I9" s="2304"/>
      <c r="J9" s="2305"/>
      <c r="K9" s="572" t="s">
        <v>2</v>
      </c>
      <c r="L9" s="823" t="str">
        <f>IF(ISBLANK('Job Info.'!D5),"",'Job Info.'!D5)</f>
        <v>9118-0062</v>
      </c>
      <c r="M9" s="482"/>
      <c r="N9" s="569"/>
      <c r="R9" s="295" t="s">
        <v>130</v>
      </c>
      <c r="S9" s="295" t="s">
        <v>142</v>
      </c>
    </row>
    <row r="10" spans="1:39" ht="12.6" customHeight="1" x14ac:dyDescent="0.2">
      <c r="A10" s="572" t="s">
        <v>3</v>
      </c>
      <c r="B10" s="2225" t="str">
        <f>IF(ISBLANK('Job Info.'!D4),"",'Job Info.'!D4)</f>
        <v>LAS VEGAS, NV</v>
      </c>
      <c r="C10" s="2304"/>
      <c r="D10" s="2304"/>
      <c r="E10" s="2304"/>
      <c r="F10" s="2304"/>
      <c r="G10" s="2304"/>
      <c r="H10" s="2304"/>
      <c r="I10" s="2304"/>
      <c r="J10" s="2305"/>
      <c r="K10" s="572" t="s">
        <v>22</v>
      </c>
      <c r="L10" s="824" t="str">
        <f>IF(ISBLANK('Job Info.'!D6),"",'Job Info.'!D6)</f>
        <v>CJA</v>
      </c>
      <c r="M10" s="572" t="s">
        <v>23</v>
      </c>
      <c r="N10" s="825" t="str">
        <f>IF(ISBLANK('Job Info.'!D7),"",'Job Info.'!D7)</f>
        <v>LS</v>
      </c>
      <c r="AJ10" s="2281" t="s">
        <v>1160</v>
      </c>
      <c r="AK10" s="2282"/>
      <c r="AL10" s="2282"/>
    </row>
    <row r="11" spans="1:39" ht="3.95" customHeight="1" x14ac:dyDescent="0.2">
      <c r="A11" s="1396"/>
      <c r="B11" s="551"/>
      <c r="C11" s="473"/>
      <c r="D11" s="566"/>
      <c r="E11" s="473"/>
      <c r="F11" s="473"/>
      <c r="G11" s="473"/>
      <c r="H11" s="473"/>
      <c r="I11" s="473"/>
      <c r="J11" s="473"/>
      <c r="K11" s="473"/>
      <c r="L11" s="473"/>
      <c r="M11" s="473"/>
      <c r="N11" s="473"/>
      <c r="AJ11" s="2282"/>
      <c r="AK11" s="2282"/>
      <c r="AL11" s="2282"/>
    </row>
    <row r="12" spans="1:39" s="570" customFormat="1" ht="16.350000000000001" customHeight="1" x14ac:dyDescent="0.2">
      <c r="A12" s="1357" t="s">
        <v>55</v>
      </c>
      <c r="B12" s="2303" t="s">
        <v>121</v>
      </c>
      <c r="C12" s="2263"/>
      <c r="D12" s="2264"/>
      <c r="E12" s="2262" t="s">
        <v>1232</v>
      </c>
      <c r="F12" s="2263"/>
      <c r="G12" s="2263"/>
      <c r="H12" s="2263"/>
      <c r="I12" s="2263"/>
      <c r="J12" s="2263"/>
      <c r="K12" s="2301"/>
      <c r="L12" s="2301"/>
      <c r="M12" s="2301"/>
      <c r="N12" s="2302"/>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283"/>
      <c r="AK12" s="2283"/>
      <c r="AL12" s="2283"/>
    </row>
    <row r="13" spans="1:39" ht="16.350000000000001" customHeight="1" x14ac:dyDescent="0.2">
      <c r="A13" s="1386"/>
      <c r="B13" s="1387"/>
      <c r="C13" s="1361"/>
      <c r="D13" s="1388"/>
      <c r="E13" s="2295"/>
      <c r="F13" s="2296"/>
      <c r="G13" s="2297"/>
      <c r="H13" s="2297"/>
      <c r="I13" s="2297"/>
      <c r="J13" s="2297"/>
      <c r="K13" s="2297"/>
      <c r="L13" s="2297"/>
      <c r="M13" s="2297"/>
      <c r="N13" s="2298"/>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9" t="s">
        <v>122</v>
      </c>
      <c r="AK13" s="1259"/>
      <c r="AL13" s="1259"/>
    </row>
    <row r="14" spans="1:39" ht="16.350000000000001" customHeight="1" x14ac:dyDescent="0.2">
      <c r="A14" s="1380"/>
      <c r="B14" s="1382"/>
      <c r="C14" s="815"/>
      <c r="D14" s="1383"/>
      <c r="E14" s="2284"/>
      <c r="F14" s="2285"/>
      <c r="G14" s="2286"/>
      <c r="H14" s="2286"/>
      <c r="I14" s="2286"/>
      <c r="J14" s="2286"/>
      <c r="K14" s="2286"/>
      <c r="L14" s="2286"/>
      <c r="M14" s="2286"/>
      <c r="N14" s="2287"/>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9" t="s">
        <v>123</v>
      </c>
      <c r="AK14" s="1259"/>
      <c r="AL14" s="1259"/>
    </row>
    <row r="15" spans="1:39" ht="16.350000000000001" customHeight="1" x14ac:dyDescent="0.2">
      <c r="A15" s="1380"/>
      <c r="B15" s="1382"/>
      <c r="C15" s="815"/>
      <c r="D15" s="1383"/>
      <c r="E15" s="2284"/>
      <c r="F15" s="2285"/>
      <c r="G15" s="2286"/>
      <c r="H15" s="2286"/>
      <c r="I15" s="2286"/>
      <c r="J15" s="2286"/>
      <c r="K15" s="2286"/>
      <c r="L15" s="2286"/>
      <c r="M15" s="2286"/>
      <c r="N15" s="2287"/>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9" t="s">
        <v>124</v>
      </c>
      <c r="AK15" s="1259"/>
      <c r="AL15" s="1259"/>
    </row>
    <row r="16" spans="1:39" ht="16.350000000000001" customHeight="1" x14ac:dyDescent="0.2">
      <c r="A16" s="1380"/>
      <c r="B16" s="1382"/>
      <c r="C16" s="815"/>
      <c r="D16" s="1383"/>
      <c r="E16" s="2284"/>
      <c r="F16" s="2285"/>
      <c r="G16" s="2286"/>
      <c r="H16" s="2286"/>
      <c r="I16" s="2286"/>
      <c r="J16" s="2286"/>
      <c r="K16" s="2286"/>
      <c r="L16" s="2286"/>
      <c r="M16" s="2286"/>
      <c r="N16" s="2287"/>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9" t="s">
        <v>125</v>
      </c>
      <c r="AK16" s="1259"/>
      <c r="AL16" s="1259"/>
    </row>
    <row r="17" spans="1:38" ht="16.350000000000001" customHeight="1" x14ac:dyDescent="0.2">
      <c r="A17" s="1380"/>
      <c r="B17" s="1382"/>
      <c r="C17" s="815"/>
      <c r="D17" s="1383"/>
      <c r="E17" s="2284"/>
      <c r="F17" s="2285"/>
      <c r="G17" s="2286"/>
      <c r="H17" s="2286"/>
      <c r="I17" s="2286"/>
      <c r="J17" s="2286"/>
      <c r="K17" s="2286"/>
      <c r="L17" s="2286"/>
      <c r="M17" s="2286"/>
      <c r="N17" s="2287"/>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9" t="s">
        <v>126</v>
      </c>
      <c r="AK17" s="1259"/>
      <c r="AL17" s="1259"/>
    </row>
    <row r="18" spans="1:38" ht="16.350000000000001" customHeight="1" x14ac:dyDescent="0.2">
      <c r="A18" s="1380"/>
      <c r="B18" s="1382"/>
      <c r="C18" s="815"/>
      <c r="D18" s="1383"/>
      <c r="E18" s="2284"/>
      <c r="F18" s="2285"/>
      <c r="G18" s="2286"/>
      <c r="H18" s="2286"/>
      <c r="I18" s="2286"/>
      <c r="J18" s="2286"/>
      <c r="K18" s="2286"/>
      <c r="L18" s="2286"/>
      <c r="M18" s="2286"/>
      <c r="N18" s="2287"/>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9" t="s">
        <v>127</v>
      </c>
      <c r="AK18" s="1259"/>
      <c r="AL18" s="1259"/>
    </row>
    <row r="19" spans="1:38" ht="16.350000000000001" customHeight="1" x14ac:dyDescent="0.2">
      <c r="A19" s="1380"/>
      <c r="B19" s="1382"/>
      <c r="C19" s="815"/>
      <c r="D19" s="1383"/>
      <c r="E19" s="2284"/>
      <c r="F19" s="2285"/>
      <c r="G19" s="2286"/>
      <c r="H19" s="2286"/>
      <c r="I19" s="2286"/>
      <c r="J19" s="2286"/>
      <c r="K19" s="2286"/>
      <c r="L19" s="2286"/>
      <c r="M19" s="2286"/>
      <c r="N19" s="2287"/>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9" t="s">
        <v>128</v>
      </c>
      <c r="AK19" s="1259"/>
      <c r="AL19" s="1259"/>
    </row>
    <row r="20" spans="1:38" ht="16.350000000000001" customHeight="1" x14ac:dyDescent="0.2">
      <c r="A20" s="1380"/>
      <c r="B20" s="1382"/>
      <c r="C20" s="815"/>
      <c r="D20" s="1383"/>
      <c r="E20" s="2284"/>
      <c r="F20" s="2285"/>
      <c r="G20" s="2286"/>
      <c r="H20" s="2286"/>
      <c r="I20" s="2286"/>
      <c r="J20" s="2286"/>
      <c r="K20" s="2286"/>
      <c r="L20" s="2286"/>
      <c r="M20" s="2286"/>
      <c r="N20" s="2287"/>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9" t="s">
        <v>129</v>
      </c>
      <c r="AK20" s="1259"/>
      <c r="AL20" s="1259"/>
    </row>
    <row r="21" spans="1:38" ht="16.350000000000001" customHeight="1" x14ac:dyDescent="0.2">
      <c r="A21" s="1380"/>
      <c r="B21" s="1382"/>
      <c r="C21" s="815"/>
      <c r="D21" s="1383"/>
      <c r="E21" s="2284"/>
      <c r="F21" s="2285"/>
      <c r="G21" s="2286"/>
      <c r="H21" s="2286"/>
      <c r="I21" s="2286"/>
      <c r="J21" s="2286"/>
      <c r="K21" s="2286"/>
      <c r="L21" s="2286"/>
      <c r="M21" s="2286"/>
      <c r="N21" s="2287"/>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9" t="s">
        <v>130</v>
      </c>
      <c r="AK21" s="1259"/>
      <c r="AL21" s="1259"/>
    </row>
    <row r="22" spans="1:38" ht="16.350000000000001" customHeight="1" x14ac:dyDescent="0.2">
      <c r="A22" s="1380"/>
      <c r="B22" s="1382"/>
      <c r="C22" s="815"/>
      <c r="D22" s="1383"/>
      <c r="E22" s="2284"/>
      <c r="F22" s="2285"/>
      <c r="G22" s="2286"/>
      <c r="H22" s="2286"/>
      <c r="I22" s="2286"/>
      <c r="J22" s="2286"/>
      <c r="K22" s="2286"/>
      <c r="L22" s="2286"/>
      <c r="M22" s="2286"/>
      <c r="N22" s="2287"/>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9" t="s">
        <v>122</v>
      </c>
      <c r="AK22" s="1259" t="s">
        <v>130</v>
      </c>
      <c r="AL22" s="1259"/>
    </row>
    <row r="23" spans="1:38" ht="16.350000000000001" customHeight="1" x14ac:dyDescent="0.2">
      <c r="A23" s="1380"/>
      <c r="B23" s="1382"/>
      <c r="C23" s="815"/>
      <c r="D23" s="1383"/>
      <c r="E23" s="2284"/>
      <c r="F23" s="2285"/>
      <c r="G23" s="2286"/>
      <c r="H23" s="2286"/>
      <c r="I23" s="2286"/>
      <c r="J23" s="2286"/>
      <c r="K23" s="2286"/>
      <c r="L23" s="2286"/>
      <c r="M23" s="2286"/>
      <c r="N23" s="2287"/>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9" t="s">
        <v>123</v>
      </c>
      <c r="AK23" s="1259" t="s">
        <v>129</v>
      </c>
      <c r="AL23" s="1259"/>
    </row>
    <row r="24" spans="1:38" ht="16.350000000000001" customHeight="1" x14ac:dyDescent="0.2">
      <c r="A24" s="1380"/>
      <c r="B24" s="1382"/>
      <c r="C24" s="815"/>
      <c r="D24" s="1383"/>
      <c r="E24" s="2284"/>
      <c r="F24" s="2285"/>
      <c r="G24" s="2286"/>
      <c r="H24" s="2286"/>
      <c r="I24" s="2286"/>
      <c r="J24" s="2286"/>
      <c r="K24" s="2286"/>
      <c r="L24" s="2286"/>
      <c r="M24" s="2286"/>
      <c r="N24" s="2287"/>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9" t="s">
        <v>124</v>
      </c>
      <c r="AK24" s="1259" t="s">
        <v>128</v>
      </c>
      <c r="AL24" s="1259"/>
    </row>
    <row r="25" spans="1:38" ht="16.350000000000001" customHeight="1" x14ac:dyDescent="0.2">
      <c r="A25" s="1380"/>
      <c r="B25" s="1382"/>
      <c r="C25" s="815"/>
      <c r="D25" s="1383"/>
      <c r="E25" s="2284"/>
      <c r="F25" s="2285"/>
      <c r="G25" s="2286"/>
      <c r="H25" s="2286"/>
      <c r="I25" s="2286"/>
      <c r="J25" s="2286"/>
      <c r="K25" s="2286"/>
      <c r="L25" s="2286"/>
      <c r="M25" s="2286"/>
      <c r="N25" s="2287"/>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9" t="s">
        <v>125</v>
      </c>
      <c r="AK25" s="1259" t="s">
        <v>127</v>
      </c>
      <c r="AL25" s="1259"/>
    </row>
    <row r="26" spans="1:38" ht="16.350000000000001" customHeight="1" x14ac:dyDescent="0.2">
      <c r="A26" s="1380"/>
      <c r="B26" s="1382"/>
      <c r="C26" s="815"/>
      <c r="D26" s="1383"/>
      <c r="E26" s="2284"/>
      <c r="F26" s="2285"/>
      <c r="G26" s="2286"/>
      <c r="H26" s="2286"/>
      <c r="I26" s="2286"/>
      <c r="J26" s="2286"/>
      <c r="K26" s="2286"/>
      <c r="L26" s="2286"/>
      <c r="M26" s="2286"/>
      <c r="N26" s="2287"/>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9" t="s">
        <v>126</v>
      </c>
      <c r="AK26" s="1259" t="s">
        <v>1159</v>
      </c>
      <c r="AL26" s="1259"/>
    </row>
    <row r="27" spans="1:38" ht="16.350000000000001" customHeight="1" x14ac:dyDescent="0.2">
      <c r="A27" s="1380"/>
      <c r="B27" s="1382"/>
      <c r="C27" s="815"/>
      <c r="D27" s="1383"/>
      <c r="E27" s="2284"/>
      <c r="F27" s="2285"/>
      <c r="G27" s="2286"/>
      <c r="H27" s="2286"/>
      <c r="I27" s="2286"/>
      <c r="J27" s="2286"/>
      <c r="K27" s="2286"/>
      <c r="L27" s="2286"/>
      <c r="M27" s="2286"/>
      <c r="N27" s="2287"/>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9" t="s">
        <v>123</v>
      </c>
      <c r="AK27" s="1259" t="s">
        <v>130</v>
      </c>
      <c r="AL27" s="1259"/>
    </row>
    <row r="28" spans="1:38" ht="16.350000000000001" customHeight="1" x14ac:dyDescent="0.2">
      <c r="A28" s="1380"/>
      <c r="B28" s="1382"/>
      <c r="C28" s="815"/>
      <c r="D28" s="1383"/>
      <c r="E28" s="2288"/>
      <c r="F28" s="2289"/>
      <c r="G28" s="2289"/>
      <c r="H28" s="2289"/>
      <c r="I28" s="2289"/>
      <c r="J28" s="2289"/>
      <c r="K28" s="2289"/>
      <c r="L28" s="2289"/>
      <c r="M28" s="2289"/>
      <c r="N28" s="2290"/>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9" t="s">
        <v>124</v>
      </c>
      <c r="AK28" s="1259" t="s">
        <v>129</v>
      </c>
      <c r="AL28" s="1259"/>
    </row>
    <row r="29" spans="1:38" ht="16.350000000000001" customHeight="1" x14ac:dyDescent="0.2">
      <c r="A29" s="1380"/>
      <c r="B29" s="1382"/>
      <c r="C29" s="815"/>
      <c r="D29" s="1383"/>
      <c r="E29" s="2288"/>
      <c r="F29" s="2289"/>
      <c r="G29" s="2289"/>
      <c r="H29" s="2289"/>
      <c r="I29" s="2289"/>
      <c r="J29" s="2289"/>
      <c r="K29" s="2289"/>
      <c r="L29" s="2289"/>
      <c r="M29" s="2289"/>
      <c r="N29" s="2290"/>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9" t="s">
        <v>125</v>
      </c>
      <c r="AK29" s="1259" t="s">
        <v>128</v>
      </c>
      <c r="AL29" s="1259"/>
    </row>
    <row r="30" spans="1:38" ht="16.350000000000001" customHeight="1" x14ac:dyDescent="0.2">
      <c r="A30" s="1380"/>
      <c r="B30" s="1382"/>
      <c r="C30" s="815"/>
      <c r="D30" s="1383"/>
      <c r="E30" s="2288"/>
      <c r="F30" s="2289"/>
      <c r="G30" s="2289"/>
      <c r="H30" s="2289"/>
      <c r="I30" s="2289"/>
      <c r="J30" s="2289"/>
      <c r="K30" s="2289"/>
      <c r="L30" s="2289"/>
      <c r="M30" s="2289"/>
      <c r="N30" s="2290"/>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9" t="s">
        <v>126</v>
      </c>
      <c r="AK30" s="1259" t="s">
        <v>127</v>
      </c>
      <c r="AL30" s="1259"/>
    </row>
    <row r="31" spans="1:38" ht="16.350000000000001" customHeight="1" x14ac:dyDescent="0.2">
      <c r="A31" s="1380"/>
      <c r="B31" s="1382"/>
      <c r="C31" s="815"/>
      <c r="D31" s="1383"/>
      <c r="E31" s="2288"/>
      <c r="F31" s="2289"/>
      <c r="G31" s="2289"/>
      <c r="H31" s="2289"/>
      <c r="I31" s="2289"/>
      <c r="J31" s="2289"/>
      <c r="K31" s="2289"/>
      <c r="L31" s="2289"/>
      <c r="M31" s="2289"/>
      <c r="N31" s="2290"/>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9" t="s">
        <v>122</v>
      </c>
      <c r="AK31" s="1259" t="s">
        <v>123</v>
      </c>
      <c r="AL31" s="1259"/>
    </row>
    <row r="32" spans="1:38" ht="16.350000000000001" customHeight="1" x14ac:dyDescent="0.2">
      <c r="A32" s="1380"/>
      <c r="B32" s="1382"/>
      <c r="C32" s="815"/>
      <c r="D32" s="1383"/>
      <c r="E32" s="2288"/>
      <c r="F32" s="2289"/>
      <c r="G32" s="2289"/>
      <c r="H32" s="2289"/>
      <c r="I32" s="2289"/>
      <c r="J32" s="2289"/>
      <c r="K32" s="2289"/>
      <c r="L32" s="2289"/>
      <c r="M32" s="2289"/>
      <c r="N32" s="2290"/>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9" t="s">
        <v>124</v>
      </c>
      <c r="AK32" s="1259" t="s">
        <v>125</v>
      </c>
      <c r="AL32" s="1259"/>
    </row>
    <row r="33" spans="1:38" ht="16.350000000000001" customHeight="1" x14ac:dyDescent="0.2">
      <c r="A33" s="1380"/>
      <c r="B33" s="1382"/>
      <c r="C33" s="815"/>
      <c r="D33" s="1383"/>
      <c r="E33" s="2288"/>
      <c r="F33" s="2289"/>
      <c r="G33" s="2289"/>
      <c r="H33" s="2289"/>
      <c r="I33" s="2289"/>
      <c r="J33" s="2289"/>
      <c r="K33" s="2289"/>
      <c r="L33" s="2289"/>
      <c r="M33" s="2289"/>
      <c r="N33" s="2290"/>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9" t="s">
        <v>127</v>
      </c>
      <c r="AK33" s="1259" t="s">
        <v>128</v>
      </c>
      <c r="AL33" s="1259"/>
    </row>
    <row r="34" spans="1:38" ht="16.350000000000001" customHeight="1" x14ac:dyDescent="0.2">
      <c r="A34" s="1380"/>
      <c r="B34" s="1382"/>
      <c r="C34" s="815"/>
      <c r="D34" s="1383"/>
      <c r="E34" s="2288"/>
      <c r="F34" s="2289"/>
      <c r="G34" s="2289"/>
      <c r="H34" s="2289"/>
      <c r="I34" s="2289"/>
      <c r="J34" s="2289"/>
      <c r="K34" s="2289"/>
      <c r="L34" s="2289"/>
      <c r="M34" s="2289"/>
      <c r="N34" s="2290"/>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9" t="s">
        <v>129</v>
      </c>
      <c r="AK34" s="1259" t="s">
        <v>130</v>
      </c>
      <c r="AL34" s="1259"/>
    </row>
    <row r="35" spans="1:38" ht="16.350000000000001" customHeight="1" x14ac:dyDescent="0.2">
      <c r="A35" s="1380"/>
      <c r="B35" s="1382"/>
      <c r="C35" s="815"/>
      <c r="D35" s="1383"/>
      <c r="E35" s="2284"/>
      <c r="F35" s="2285"/>
      <c r="G35" s="2286"/>
      <c r="H35" s="2286"/>
      <c r="I35" s="2286"/>
      <c r="J35" s="2286"/>
      <c r="K35" s="2286"/>
      <c r="L35" s="2286"/>
      <c r="M35" s="2286"/>
      <c r="N35" s="2287"/>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9" t="s">
        <v>123</v>
      </c>
      <c r="AK35" s="1259" t="s">
        <v>126</v>
      </c>
      <c r="AL35" s="1259"/>
    </row>
    <row r="36" spans="1:38" ht="16.350000000000001" customHeight="1" x14ac:dyDescent="0.2">
      <c r="A36" s="1380"/>
      <c r="B36" s="1382"/>
      <c r="C36" s="815"/>
      <c r="D36" s="1383"/>
      <c r="E36" s="2284"/>
      <c r="F36" s="2285"/>
      <c r="G36" s="2286"/>
      <c r="H36" s="2286"/>
      <c r="I36" s="2286"/>
      <c r="J36" s="2286"/>
      <c r="K36" s="2286"/>
      <c r="L36" s="2286"/>
      <c r="M36" s="2286"/>
      <c r="N36" s="2287"/>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9" t="s">
        <v>125</v>
      </c>
      <c r="AK36" s="1259" t="s">
        <v>129</v>
      </c>
      <c r="AL36" s="1259"/>
    </row>
    <row r="37" spans="1:38" ht="16.350000000000001" customHeight="1" x14ac:dyDescent="0.2">
      <c r="A37" s="1380"/>
      <c r="B37" s="1382"/>
      <c r="C37" s="815"/>
      <c r="D37" s="1383"/>
      <c r="E37" s="2284"/>
      <c r="F37" s="2285"/>
      <c r="G37" s="2286"/>
      <c r="H37" s="2286"/>
      <c r="I37" s="2286"/>
      <c r="J37" s="2286"/>
      <c r="K37" s="2286"/>
      <c r="L37" s="2286"/>
      <c r="M37" s="2286"/>
      <c r="N37" s="2287"/>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9" t="s">
        <v>126</v>
      </c>
      <c r="AK37" s="1259" t="s">
        <v>128</v>
      </c>
      <c r="AL37" s="1259"/>
    </row>
    <row r="38" spans="1:38" ht="16.350000000000001" customHeight="1" x14ac:dyDescent="0.2">
      <c r="A38" s="1380"/>
      <c r="B38" s="1382"/>
      <c r="C38" s="815"/>
      <c r="D38" s="1383"/>
      <c r="E38" s="2284"/>
      <c r="F38" s="2285"/>
      <c r="G38" s="2286"/>
      <c r="H38" s="2286"/>
      <c r="I38" s="2286"/>
      <c r="J38" s="2286"/>
      <c r="K38" s="2286"/>
      <c r="L38" s="2286"/>
      <c r="M38" s="2286"/>
      <c r="N38" s="2287"/>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9" t="s">
        <v>127</v>
      </c>
      <c r="AK38" s="1259" t="s">
        <v>122</v>
      </c>
      <c r="AL38" s="1259"/>
    </row>
    <row r="39" spans="1:38" ht="16.350000000000001" customHeight="1" x14ac:dyDescent="0.2">
      <c r="A39" s="1380"/>
      <c r="B39" s="1382"/>
      <c r="C39" s="815"/>
      <c r="D39" s="1383"/>
      <c r="E39" s="2284"/>
      <c r="F39" s="2285"/>
      <c r="G39" s="2286"/>
      <c r="H39" s="2286"/>
      <c r="I39" s="2286"/>
      <c r="J39" s="2286"/>
      <c r="K39" s="2286"/>
      <c r="L39" s="2286"/>
      <c r="M39" s="2286"/>
      <c r="N39" s="2287"/>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9" t="s">
        <v>128</v>
      </c>
      <c r="AK39" s="1259" t="s">
        <v>123</v>
      </c>
      <c r="AL39" s="1259"/>
    </row>
    <row r="40" spans="1:38" ht="16.350000000000001" customHeight="1" x14ac:dyDescent="0.2">
      <c r="A40" s="1380"/>
      <c r="B40" s="1382"/>
      <c r="C40" s="815"/>
      <c r="D40" s="1383"/>
      <c r="E40" s="2284"/>
      <c r="F40" s="2285"/>
      <c r="G40" s="2286"/>
      <c r="H40" s="2286"/>
      <c r="I40" s="2286"/>
      <c r="J40" s="2286"/>
      <c r="K40" s="2286"/>
      <c r="L40" s="2286"/>
      <c r="M40" s="2286"/>
      <c r="N40" s="2287"/>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9" t="s">
        <v>125</v>
      </c>
      <c r="AK40" s="1259" t="s">
        <v>130</v>
      </c>
      <c r="AL40" s="1259"/>
    </row>
    <row r="41" spans="1:38" ht="16.350000000000001" customHeight="1" x14ac:dyDescent="0.2">
      <c r="A41" s="1380"/>
      <c r="B41" s="1382"/>
      <c r="C41" s="815"/>
      <c r="D41" s="1383"/>
      <c r="E41" s="2284"/>
      <c r="F41" s="2285"/>
      <c r="G41" s="2286"/>
      <c r="H41" s="2286"/>
      <c r="I41" s="2286"/>
      <c r="J41" s="2286"/>
      <c r="K41" s="2286"/>
      <c r="L41" s="2286"/>
      <c r="M41" s="2286"/>
      <c r="N41" s="2287"/>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9" t="s">
        <v>127</v>
      </c>
      <c r="AK41" s="1259" t="s">
        <v>123</v>
      </c>
      <c r="AL41" s="1259"/>
    </row>
    <row r="42" spans="1:38" ht="16.350000000000001" customHeight="1" x14ac:dyDescent="0.2">
      <c r="A42" s="1380"/>
      <c r="B42" s="1382"/>
      <c r="C42" s="815"/>
      <c r="D42" s="1383"/>
      <c r="E42" s="2284"/>
      <c r="F42" s="2285"/>
      <c r="G42" s="2286"/>
      <c r="H42" s="2286"/>
      <c r="I42" s="2286"/>
      <c r="J42" s="2286"/>
      <c r="K42" s="2286"/>
      <c r="L42" s="2286"/>
      <c r="M42" s="2286"/>
      <c r="N42" s="2287"/>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9" t="s">
        <v>124</v>
      </c>
      <c r="AK42" s="1259" t="s">
        <v>122</v>
      </c>
      <c r="AL42" s="1259"/>
    </row>
    <row r="43" spans="1:38" ht="16.350000000000001" customHeight="1" x14ac:dyDescent="0.2">
      <c r="A43" s="1380"/>
      <c r="B43" s="1382"/>
      <c r="C43" s="815"/>
      <c r="D43" s="1383"/>
      <c r="E43" s="2284"/>
      <c r="F43" s="2285"/>
      <c r="G43" s="2286"/>
      <c r="H43" s="2286"/>
      <c r="I43" s="2286"/>
      <c r="J43" s="2286"/>
      <c r="K43" s="2286"/>
      <c r="L43" s="2286"/>
      <c r="M43" s="2286"/>
      <c r="N43" s="2287"/>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9" t="s">
        <v>126</v>
      </c>
      <c r="AK43" s="1259" t="s">
        <v>130</v>
      </c>
      <c r="AL43" s="1259"/>
    </row>
    <row r="44" spans="1:38" ht="16.350000000000001" customHeight="1" x14ac:dyDescent="0.2">
      <c r="A44" s="1380"/>
      <c r="B44" s="1382"/>
      <c r="C44" s="815"/>
      <c r="D44" s="1383"/>
      <c r="E44" s="2284"/>
      <c r="F44" s="2285"/>
      <c r="G44" s="2286"/>
      <c r="H44" s="2286"/>
      <c r="I44" s="2286"/>
      <c r="J44" s="2286"/>
      <c r="K44" s="2286"/>
      <c r="L44" s="2286"/>
      <c r="M44" s="2286"/>
      <c r="N44" s="2287"/>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9" t="s">
        <v>122</v>
      </c>
      <c r="AK44" s="1259" t="s">
        <v>129</v>
      </c>
      <c r="AL44" s="1259"/>
    </row>
    <row r="45" spans="1:38" ht="16.350000000000001" customHeight="1" x14ac:dyDescent="0.2">
      <c r="A45" s="1380"/>
      <c r="B45" s="1382"/>
      <c r="C45" s="815"/>
      <c r="D45" s="1383"/>
      <c r="E45" s="2284"/>
      <c r="F45" s="2285"/>
      <c r="G45" s="2286"/>
      <c r="H45" s="2286"/>
      <c r="I45" s="2286"/>
      <c r="J45" s="2286"/>
      <c r="K45" s="2286"/>
      <c r="L45" s="2286"/>
      <c r="M45" s="2286"/>
      <c r="N45" s="2287"/>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9" t="s">
        <v>125</v>
      </c>
      <c r="AK45" s="1259" t="s">
        <v>123</v>
      </c>
      <c r="AL45" s="1259"/>
    </row>
    <row r="46" spans="1:38" ht="16.350000000000001" customHeight="1" x14ac:dyDescent="0.2">
      <c r="A46" s="1380"/>
      <c r="B46" s="1382"/>
      <c r="C46" s="815"/>
      <c r="D46" s="1383"/>
      <c r="E46" s="2284"/>
      <c r="F46" s="2285"/>
      <c r="G46" s="2286"/>
      <c r="H46" s="2286"/>
      <c r="I46" s="2286"/>
      <c r="J46" s="2286"/>
      <c r="K46" s="2286"/>
      <c r="L46" s="2286"/>
      <c r="M46" s="2286"/>
      <c r="N46" s="2287"/>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9" t="s">
        <v>127</v>
      </c>
      <c r="AK46" s="1259" t="s">
        <v>130</v>
      </c>
      <c r="AL46" s="1259"/>
    </row>
    <row r="47" spans="1:38" ht="16.350000000000001" customHeight="1" x14ac:dyDescent="0.2">
      <c r="A47" s="1380"/>
      <c r="B47" s="1382"/>
      <c r="C47" s="815"/>
      <c r="D47" s="1383"/>
      <c r="E47" s="2284"/>
      <c r="F47" s="2285"/>
      <c r="G47" s="2286"/>
      <c r="H47" s="2286"/>
      <c r="I47" s="2286"/>
      <c r="J47" s="2286"/>
      <c r="K47" s="2286"/>
      <c r="L47" s="2286"/>
      <c r="M47" s="2286"/>
      <c r="N47" s="2287"/>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9" t="s">
        <v>126</v>
      </c>
      <c r="AK47" s="1259" t="s">
        <v>124</v>
      </c>
      <c r="AL47" s="1259"/>
    </row>
    <row r="48" spans="1:38" ht="16.350000000000001" customHeight="1" x14ac:dyDescent="0.2">
      <c r="A48" s="1380"/>
      <c r="B48" s="1382"/>
      <c r="C48" s="815"/>
      <c r="D48" s="1383"/>
      <c r="E48" s="2284"/>
      <c r="F48" s="2285"/>
      <c r="G48" s="2286"/>
      <c r="H48" s="2286"/>
      <c r="I48" s="2286"/>
      <c r="J48" s="2286"/>
      <c r="K48" s="2286"/>
      <c r="L48" s="2286"/>
      <c r="M48" s="2286"/>
      <c r="N48" s="2287"/>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9" t="s">
        <v>129</v>
      </c>
      <c r="AK48" s="1259" t="s">
        <v>127</v>
      </c>
      <c r="AL48" s="1259"/>
    </row>
    <row r="49" spans="1:38" ht="16.350000000000001" customHeight="1" x14ac:dyDescent="0.2">
      <c r="A49" s="1381"/>
      <c r="B49" s="1384"/>
      <c r="C49" s="1362"/>
      <c r="D49" s="1385"/>
      <c r="E49" s="2291"/>
      <c r="F49" s="2292"/>
      <c r="G49" s="2293"/>
      <c r="H49" s="2293"/>
      <c r="I49" s="2293"/>
      <c r="J49" s="2293"/>
      <c r="K49" s="2293"/>
      <c r="L49" s="2293"/>
      <c r="M49" s="2293"/>
      <c r="N49" s="2294"/>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9" t="s">
        <v>130</v>
      </c>
      <c r="AK49" s="1259" t="s">
        <v>128</v>
      </c>
      <c r="AL49" s="125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73" t="s">
        <v>1062</v>
      </c>
    </row>
    <row r="60" spans="1:38" ht="12.6" hidden="1" customHeight="1" x14ac:dyDescent="0.2">
      <c r="A60" s="1128" t="s">
        <v>74</v>
      </c>
    </row>
    <row r="61" spans="1:38" ht="12.6" hidden="1" customHeight="1" x14ac:dyDescent="0.2">
      <c r="A61" s="1130" t="s">
        <v>1161</v>
      </c>
    </row>
    <row r="62" spans="1:38" ht="12.6" hidden="1" customHeight="1" x14ac:dyDescent="0.2"/>
    <row r="63" spans="1:38" ht="12.6" hidden="1" customHeight="1" x14ac:dyDescent="0.2"/>
    <row r="64" spans="1:38" ht="12.6" hidden="1" customHeight="1" x14ac:dyDescent="0.2"/>
    <row r="65" spans="1:1" ht="12.6" customHeight="1" x14ac:dyDescent="0.2">
      <c r="A65" s="973" t="s">
        <v>1063</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2014" priority="1" stopIfTrue="1" operator="equal">
      <formula>""</formula>
    </cfRule>
  </conditionalFormatting>
  <conditionalFormatting sqref="E13:N49">
    <cfRule type="expression" dxfId="2013" priority="2" stopIfTrue="1">
      <formula>LEN(E13)&gt;20</formula>
    </cfRule>
  </conditionalFormatting>
  <dataValidations count="3">
    <dataValidation type="list" allowBlank="1" showErrorMessage="1" sqref="B13:B49">
      <formula1>$R$1:$R$9</formula1>
    </dataValidation>
    <dataValidation type="list" allowBlank="1" showInputMessage="1" showErrorMessage="1" sqref="C13:C49">
      <formula1>IF(AG13,$T$1,$R13:$Y13)</formula1>
    </dataValidation>
    <dataValidation type="list" allowBlank="1" showInputMessage="1" showErrorMessage="1" sqref="D13:D49">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indexed="31"/>
  </sheetPr>
  <dimension ref="A1:AL65"/>
  <sheetViews>
    <sheetView showGridLines="0" zoomScaleNormal="100" zoomScaleSheetLayoutView="100" workbookViewId="0">
      <selection activeCell="B13" sqref="B13"/>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row>
    <row r="6" spans="1:38" s="449" customFormat="1" ht="12.95" customHeight="1" x14ac:dyDescent="0.2">
      <c r="A6" s="444"/>
      <c r="B6" s="444"/>
      <c r="C6" s="444"/>
      <c r="D6" s="444"/>
      <c r="E6" s="444"/>
      <c r="F6" s="444"/>
      <c r="G6" s="444"/>
      <c r="H6" s="444"/>
      <c r="I6" s="444"/>
      <c r="J6" s="444"/>
      <c r="K6" s="547" t="s">
        <v>20</v>
      </c>
      <c r="L6" s="2300">
        <f>IF(ISBLANK('Job Info.'!D8),"",'Job Info.'!D8)</f>
        <v>43406</v>
      </c>
      <c r="M6" s="2300"/>
      <c r="N6" s="444"/>
      <c r="O6" s="444"/>
      <c r="P6" s="565"/>
      <c r="R6" s="1392" t="s">
        <v>1180</v>
      </c>
      <c r="AF6" s="448"/>
      <c r="AK6" s="1307"/>
    </row>
    <row r="7" spans="1:38" s="295" customFormat="1" ht="12.95" customHeight="1" x14ac:dyDescent="0.2">
      <c r="A7" s="472" t="s">
        <v>54</v>
      </c>
      <c r="B7" s="473"/>
      <c r="C7" s="473"/>
      <c r="D7" s="473"/>
      <c r="E7" s="473"/>
      <c r="F7" s="473"/>
      <c r="G7" s="444"/>
      <c r="H7" s="473"/>
      <c r="I7" s="473"/>
      <c r="J7" s="473"/>
      <c r="K7" s="548" t="s">
        <v>21</v>
      </c>
      <c r="L7" s="1526" t="str">
        <f>CONCATENATE(R7, " of ",IF(ISBLANK('Job Info.'!D9),"",'Job Info.'!D9))</f>
        <v xml:space="preserve"> of 42</v>
      </c>
      <c r="M7" s="822"/>
      <c r="N7" s="473"/>
      <c r="O7" s="473"/>
      <c r="P7" s="566"/>
      <c r="R7" s="1393"/>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391"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391"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1324"/>
      <c r="C13" s="1325"/>
      <c r="D13" s="1325"/>
      <c r="E13" s="1325"/>
      <c r="F13" s="1325"/>
      <c r="G13" s="1325"/>
      <c r="H13" s="1325"/>
      <c r="I13" s="1325"/>
      <c r="J13" s="1325"/>
      <c r="K13" s="1325"/>
      <c r="L13" s="1325"/>
      <c r="M13" s="1325"/>
      <c r="N13" s="1325"/>
      <c r="O13" s="1326"/>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1323"/>
      <c r="B14" s="1320"/>
      <c r="C14" s="1321"/>
      <c r="D14" s="1321"/>
      <c r="E14" s="1321"/>
      <c r="F14" s="1321"/>
      <c r="G14" s="1321"/>
      <c r="H14" s="1321"/>
      <c r="I14" s="1321"/>
      <c r="J14" s="1321"/>
      <c r="K14" s="1321"/>
      <c r="L14" s="1321"/>
      <c r="M14" s="1321"/>
      <c r="N14" s="1321"/>
      <c r="O14" s="1322"/>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1318"/>
      <c r="B15" s="1316"/>
      <c r="C15" s="816"/>
      <c r="D15" s="816"/>
      <c r="E15" s="816"/>
      <c r="F15" s="816"/>
      <c r="G15" s="816"/>
      <c r="H15" s="816"/>
      <c r="I15" s="816"/>
      <c r="J15" s="816"/>
      <c r="K15" s="816"/>
      <c r="L15" s="816"/>
      <c r="M15" s="816"/>
      <c r="N15" s="816"/>
      <c r="O15" s="1313"/>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12" t="b">
        <v>0</v>
      </c>
    </row>
    <row r="16" spans="1:38" ht="15.95" customHeight="1" x14ac:dyDescent="0.2">
      <c r="A16" s="1318"/>
      <c r="B16" s="1316"/>
      <c r="C16" s="816"/>
      <c r="D16" s="816"/>
      <c r="E16" s="816"/>
      <c r="F16" s="816"/>
      <c r="G16" s="816"/>
      <c r="H16" s="816"/>
      <c r="I16" s="816"/>
      <c r="J16" s="816"/>
      <c r="K16" s="816"/>
      <c r="L16" s="816"/>
      <c r="M16" s="816"/>
      <c r="N16" s="816"/>
      <c r="O16" s="1313"/>
      <c r="P16" s="821" t="str">
        <f t="shared" si="0"/>
        <v/>
      </c>
      <c r="R16" s="43"/>
      <c r="S16" s="43"/>
      <c r="T16" s="43"/>
      <c r="U16" s="43"/>
      <c r="V16" s="43"/>
      <c r="W16" s="43"/>
      <c r="X16" s="43"/>
      <c r="Y16" s="43"/>
      <c r="Z16" s="43"/>
      <c r="AA16" s="43"/>
      <c r="AB16" s="43"/>
      <c r="AC16" s="43"/>
      <c r="AD16" s="43"/>
      <c r="AE16" s="43"/>
      <c r="AF16" s="99"/>
      <c r="AG16" s="98" t="b">
        <f t="shared" si="1"/>
        <v>0</v>
      </c>
      <c r="AH16" s="1312" t="b">
        <v>0</v>
      </c>
    </row>
    <row r="17" spans="1:34" ht="15.95" customHeight="1" x14ac:dyDescent="0.2">
      <c r="A17" s="1318"/>
      <c r="B17" s="1316"/>
      <c r="C17" s="816"/>
      <c r="D17" s="816"/>
      <c r="E17" s="816"/>
      <c r="F17" s="816"/>
      <c r="G17" s="816"/>
      <c r="H17" s="816"/>
      <c r="I17" s="816"/>
      <c r="J17" s="816"/>
      <c r="K17" s="816"/>
      <c r="L17" s="816"/>
      <c r="M17" s="816"/>
      <c r="N17" s="816"/>
      <c r="O17" s="1313"/>
      <c r="P17" s="821" t="str">
        <f t="shared" si="0"/>
        <v/>
      </c>
      <c r="R17" s="43"/>
      <c r="S17" s="43"/>
      <c r="T17" s="43"/>
      <c r="U17" s="43"/>
      <c r="V17" s="43"/>
      <c r="W17" s="43"/>
      <c r="X17" s="43"/>
      <c r="Y17" s="43"/>
      <c r="Z17" s="43"/>
      <c r="AA17" s="43"/>
      <c r="AB17" s="43"/>
      <c r="AC17" s="43"/>
      <c r="AD17" s="43"/>
      <c r="AE17" s="43"/>
      <c r="AF17" s="99"/>
      <c r="AG17" s="98" t="b">
        <f t="shared" si="1"/>
        <v>0</v>
      </c>
      <c r="AH17" s="1312" t="b">
        <v>0</v>
      </c>
    </row>
    <row r="18" spans="1:34" ht="15.95" customHeight="1" x14ac:dyDescent="0.2">
      <c r="A18" s="1318"/>
      <c r="B18" s="1316"/>
      <c r="C18" s="816"/>
      <c r="D18" s="816"/>
      <c r="E18" s="816"/>
      <c r="F18" s="816"/>
      <c r="G18" s="816"/>
      <c r="H18" s="816"/>
      <c r="I18" s="816"/>
      <c r="J18" s="816"/>
      <c r="K18" s="816"/>
      <c r="L18" s="816"/>
      <c r="M18" s="816"/>
      <c r="N18" s="816"/>
      <c r="O18" s="1313"/>
      <c r="P18" s="821" t="str">
        <f t="shared" si="0"/>
        <v/>
      </c>
      <c r="R18" s="43"/>
      <c r="S18" s="43"/>
      <c r="T18" s="43"/>
      <c r="U18" s="43"/>
      <c r="V18" s="43"/>
      <c r="W18" s="43"/>
      <c r="X18" s="43"/>
      <c r="Y18" s="43"/>
      <c r="Z18" s="43"/>
      <c r="AA18" s="43"/>
      <c r="AB18" s="43"/>
      <c r="AC18" s="43"/>
      <c r="AD18" s="43"/>
      <c r="AE18" s="43"/>
      <c r="AF18" s="99"/>
      <c r="AG18" s="98" t="b">
        <f t="shared" si="1"/>
        <v>0</v>
      </c>
      <c r="AH18" s="1312" t="b">
        <v>0</v>
      </c>
    </row>
    <row r="19" spans="1:34" ht="15.95" customHeight="1" x14ac:dyDescent="0.2">
      <c r="A19" s="1318"/>
      <c r="B19" s="1316"/>
      <c r="C19" s="816"/>
      <c r="D19" s="816"/>
      <c r="E19" s="816"/>
      <c r="F19" s="816"/>
      <c r="G19" s="816"/>
      <c r="H19" s="816"/>
      <c r="I19" s="816"/>
      <c r="J19" s="816"/>
      <c r="K19" s="816"/>
      <c r="L19" s="816"/>
      <c r="M19" s="816"/>
      <c r="N19" s="816"/>
      <c r="O19" s="1313"/>
      <c r="P19" s="821" t="str">
        <f t="shared" si="0"/>
        <v/>
      </c>
      <c r="R19" s="43"/>
      <c r="S19" s="43"/>
      <c r="T19" s="43"/>
      <c r="U19" s="43"/>
      <c r="V19" s="43"/>
      <c r="W19" s="43"/>
      <c r="X19" s="43"/>
      <c r="Y19" s="43"/>
      <c r="Z19" s="43"/>
      <c r="AA19" s="43"/>
      <c r="AB19" s="43"/>
      <c r="AC19" s="43"/>
      <c r="AD19" s="43"/>
      <c r="AE19" s="43"/>
      <c r="AF19" s="99"/>
      <c r="AG19" s="98" t="b">
        <f t="shared" si="1"/>
        <v>0</v>
      </c>
      <c r="AH19" s="1312" t="b">
        <v>0</v>
      </c>
    </row>
    <row r="20" spans="1:34" ht="15.95" customHeight="1" x14ac:dyDescent="0.2">
      <c r="A20" s="1318"/>
      <c r="B20" s="1316"/>
      <c r="C20" s="816"/>
      <c r="D20" s="816"/>
      <c r="E20" s="816"/>
      <c r="F20" s="816"/>
      <c r="G20" s="816"/>
      <c r="H20" s="816"/>
      <c r="I20" s="816"/>
      <c r="J20" s="816"/>
      <c r="K20" s="816"/>
      <c r="L20" s="816"/>
      <c r="M20" s="816"/>
      <c r="N20" s="816"/>
      <c r="O20" s="1313"/>
      <c r="P20" s="821" t="str">
        <f t="shared" si="0"/>
        <v/>
      </c>
      <c r="R20" s="43"/>
      <c r="S20" s="43"/>
      <c r="T20" s="43"/>
      <c r="U20" s="43"/>
      <c r="V20" s="43"/>
      <c r="W20" s="43"/>
      <c r="X20" s="43"/>
      <c r="Y20" s="43"/>
      <c r="Z20" s="43"/>
      <c r="AA20" s="43"/>
      <c r="AB20" s="43"/>
      <c r="AC20" s="43"/>
      <c r="AD20" s="43"/>
      <c r="AE20" s="43"/>
      <c r="AF20" s="99"/>
      <c r="AG20" s="98" t="b">
        <f t="shared" si="1"/>
        <v>0</v>
      </c>
      <c r="AH20" s="1312" t="b">
        <v>0</v>
      </c>
    </row>
    <row r="21" spans="1:34" ht="15.95" customHeight="1" x14ac:dyDescent="0.2">
      <c r="A21" s="1318"/>
      <c r="B21" s="1316"/>
      <c r="C21" s="816"/>
      <c r="D21" s="816"/>
      <c r="E21" s="816"/>
      <c r="F21" s="816"/>
      <c r="G21" s="816"/>
      <c r="H21" s="816"/>
      <c r="I21" s="816"/>
      <c r="J21" s="816"/>
      <c r="K21" s="816"/>
      <c r="L21" s="816"/>
      <c r="M21" s="816"/>
      <c r="N21" s="816"/>
      <c r="O21" s="1313"/>
      <c r="P21" s="821" t="str">
        <f t="shared" si="0"/>
        <v/>
      </c>
      <c r="R21" s="43"/>
      <c r="S21" s="43"/>
      <c r="T21" s="43"/>
      <c r="U21" s="43"/>
      <c r="V21" s="43"/>
      <c r="W21" s="43"/>
      <c r="X21" s="43"/>
      <c r="Y21" s="43"/>
      <c r="Z21" s="43"/>
      <c r="AA21" s="43"/>
      <c r="AB21" s="43"/>
      <c r="AC21" s="43"/>
      <c r="AD21" s="43"/>
      <c r="AE21" s="43"/>
      <c r="AF21" s="99"/>
      <c r="AG21" s="98" t="b">
        <f t="shared" si="1"/>
        <v>0</v>
      </c>
      <c r="AH21" s="1312" t="b">
        <v>0</v>
      </c>
    </row>
    <row r="22" spans="1:34" ht="15.95" customHeight="1" x14ac:dyDescent="0.2">
      <c r="A22" s="1318"/>
      <c r="B22" s="1316"/>
      <c r="C22" s="816"/>
      <c r="D22" s="816"/>
      <c r="E22" s="816"/>
      <c r="F22" s="816"/>
      <c r="G22" s="816"/>
      <c r="H22" s="816"/>
      <c r="I22" s="816"/>
      <c r="J22" s="816"/>
      <c r="K22" s="816"/>
      <c r="L22" s="816"/>
      <c r="M22" s="816"/>
      <c r="N22" s="816"/>
      <c r="O22" s="1313"/>
      <c r="P22" s="821" t="str">
        <f t="shared" si="0"/>
        <v/>
      </c>
      <c r="R22" s="43"/>
      <c r="S22" s="43"/>
      <c r="T22" s="43"/>
      <c r="U22" s="43"/>
      <c r="V22" s="43"/>
      <c r="W22" s="43"/>
      <c r="X22" s="43"/>
      <c r="Y22" s="43"/>
      <c r="Z22" s="43"/>
      <c r="AA22" s="43"/>
      <c r="AB22" s="43"/>
      <c r="AC22" s="43"/>
      <c r="AD22" s="43"/>
      <c r="AE22" s="43"/>
      <c r="AF22" s="99"/>
      <c r="AG22" s="98" t="b">
        <f t="shared" si="1"/>
        <v>0</v>
      </c>
      <c r="AH22" s="1312" t="b">
        <v>0</v>
      </c>
    </row>
    <row r="23" spans="1:34" ht="15.95" customHeight="1" x14ac:dyDescent="0.2">
      <c r="A23" s="1318"/>
      <c r="B23" s="1316"/>
      <c r="C23" s="816"/>
      <c r="D23" s="816"/>
      <c r="E23" s="816"/>
      <c r="F23" s="816"/>
      <c r="G23" s="816"/>
      <c r="H23" s="816"/>
      <c r="I23" s="816"/>
      <c r="J23" s="816"/>
      <c r="K23" s="816"/>
      <c r="L23" s="816"/>
      <c r="M23" s="816"/>
      <c r="N23" s="816"/>
      <c r="O23" s="1313"/>
      <c r="P23" s="821" t="str">
        <f t="shared" si="0"/>
        <v/>
      </c>
      <c r="R23" s="43"/>
      <c r="S23" s="43"/>
      <c r="T23" s="43"/>
      <c r="U23" s="43"/>
      <c r="V23" s="43"/>
      <c r="W23" s="43"/>
      <c r="X23" s="43"/>
      <c r="Y23" s="43"/>
      <c r="Z23" s="43"/>
      <c r="AA23" s="43"/>
      <c r="AB23" s="43"/>
      <c r="AC23" s="43"/>
      <c r="AD23" s="43"/>
      <c r="AE23" s="43"/>
      <c r="AF23" s="99"/>
      <c r="AG23" s="98" t="b">
        <f t="shared" si="1"/>
        <v>0</v>
      </c>
      <c r="AH23" s="1312" t="b">
        <v>0</v>
      </c>
    </row>
    <row r="24" spans="1:34" ht="15.95" customHeight="1" x14ac:dyDescent="0.2">
      <c r="A24" s="1318"/>
      <c r="B24" s="1316"/>
      <c r="C24" s="816"/>
      <c r="D24" s="816"/>
      <c r="E24" s="816"/>
      <c r="F24" s="816"/>
      <c r="G24" s="816"/>
      <c r="H24" s="816"/>
      <c r="I24" s="816"/>
      <c r="J24" s="816"/>
      <c r="K24" s="816"/>
      <c r="L24" s="816"/>
      <c r="M24" s="816"/>
      <c r="N24" s="816"/>
      <c r="O24" s="1313"/>
      <c r="P24" s="821" t="str">
        <f t="shared" si="0"/>
        <v/>
      </c>
      <c r="R24" s="43"/>
      <c r="S24" s="43"/>
      <c r="T24" s="43"/>
      <c r="U24" s="43"/>
      <c r="V24" s="43"/>
      <c r="W24" s="43"/>
      <c r="X24" s="43"/>
      <c r="Y24" s="43"/>
      <c r="Z24" s="43"/>
      <c r="AA24" s="43"/>
      <c r="AB24" s="43"/>
      <c r="AC24" s="43"/>
      <c r="AD24" s="43"/>
      <c r="AE24" s="43"/>
      <c r="AF24" s="99"/>
      <c r="AG24" s="98" t="b">
        <f t="shared" si="1"/>
        <v>0</v>
      </c>
      <c r="AH24" s="1312" t="b">
        <v>0</v>
      </c>
    </row>
    <row r="25" spans="1:34" ht="15.95" customHeight="1" x14ac:dyDescent="0.2">
      <c r="A25" s="1318"/>
      <c r="B25" s="1316"/>
      <c r="C25" s="816"/>
      <c r="D25" s="816"/>
      <c r="E25" s="816"/>
      <c r="F25" s="816"/>
      <c r="G25" s="816"/>
      <c r="H25" s="816"/>
      <c r="I25" s="816"/>
      <c r="J25" s="816"/>
      <c r="K25" s="816"/>
      <c r="L25" s="816"/>
      <c r="M25" s="816"/>
      <c r="N25" s="816"/>
      <c r="O25" s="1313"/>
      <c r="P25" s="821" t="str">
        <f t="shared" si="0"/>
        <v/>
      </c>
      <c r="R25" s="43"/>
      <c r="S25" s="43"/>
      <c r="T25" s="43"/>
      <c r="U25" s="43"/>
      <c r="V25" s="43"/>
      <c r="W25" s="43"/>
      <c r="X25" s="43"/>
      <c r="Y25" s="43"/>
      <c r="Z25" s="43"/>
      <c r="AA25" s="43"/>
      <c r="AB25" s="43"/>
      <c r="AC25" s="43"/>
      <c r="AD25" s="43"/>
      <c r="AE25" s="43"/>
      <c r="AF25" s="99"/>
      <c r="AG25" s="98" t="b">
        <f t="shared" si="1"/>
        <v>0</v>
      </c>
      <c r="AH25" s="1312" t="b">
        <v>0</v>
      </c>
    </row>
    <row r="26" spans="1:34" ht="15.95" customHeight="1" x14ac:dyDescent="0.2">
      <c r="A26" s="1318"/>
      <c r="B26" s="1316"/>
      <c r="C26" s="816"/>
      <c r="D26" s="816"/>
      <c r="E26" s="816"/>
      <c r="F26" s="816"/>
      <c r="G26" s="816"/>
      <c r="H26" s="816"/>
      <c r="I26" s="816"/>
      <c r="J26" s="816"/>
      <c r="K26" s="816"/>
      <c r="L26" s="816"/>
      <c r="M26" s="816"/>
      <c r="N26" s="816"/>
      <c r="O26" s="1313"/>
      <c r="P26" s="821" t="str">
        <f t="shared" si="0"/>
        <v/>
      </c>
      <c r="R26" s="43"/>
      <c r="S26" s="43"/>
      <c r="T26" s="43"/>
      <c r="U26" s="43"/>
      <c r="V26" s="43"/>
      <c r="W26" s="43"/>
      <c r="X26" s="43"/>
      <c r="Y26" s="43"/>
      <c r="Z26" s="43"/>
      <c r="AA26" s="43"/>
      <c r="AB26" s="43"/>
      <c r="AC26" s="43"/>
      <c r="AD26" s="43"/>
      <c r="AE26" s="43"/>
      <c r="AF26" s="99"/>
      <c r="AG26" s="98" t="b">
        <f t="shared" si="1"/>
        <v>0</v>
      </c>
      <c r="AH26" s="1312" t="b">
        <v>0</v>
      </c>
    </row>
    <row r="27" spans="1:34" ht="15.95" customHeight="1" x14ac:dyDescent="0.2">
      <c r="A27" s="1318"/>
      <c r="B27" s="1316"/>
      <c r="C27" s="816"/>
      <c r="D27" s="816"/>
      <c r="E27" s="816"/>
      <c r="F27" s="816"/>
      <c r="G27" s="816"/>
      <c r="H27" s="816"/>
      <c r="I27" s="816"/>
      <c r="J27" s="816"/>
      <c r="K27" s="816"/>
      <c r="L27" s="816"/>
      <c r="M27" s="816"/>
      <c r="N27" s="816"/>
      <c r="O27" s="1313"/>
      <c r="P27" s="821" t="str">
        <f t="shared" si="0"/>
        <v/>
      </c>
      <c r="R27" s="43"/>
      <c r="S27" s="43"/>
      <c r="T27" s="43"/>
      <c r="U27" s="43"/>
      <c r="V27" s="43"/>
      <c r="W27" s="43"/>
      <c r="X27" s="43"/>
      <c r="Y27" s="43"/>
      <c r="Z27" s="43"/>
      <c r="AA27" s="43"/>
      <c r="AB27" s="43"/>
      <c r="AC27" s="43"/>
      <c r="AD27" s="43"/>
      <c r="AE27" s="43"/>
      <c r="AF27" s="99"/>
      <c r="AG27" s="98" t="b">
        <f t="shared" si="1"/>
        <v>0</v>
      </c>
      <c r="AH27" s="1312" t="b">
        <v>0</v>
      </c>
    </row>
    <row r="28" spans="1:34" ht="15.95" customHeight="1" x14ac:dyDescent="0.2">
      <c r="A28" s="1318"/>
      <c r="B28" s="1316"/>
      <c r="C28" s="816"/>
      <c r="D28" s="816"/>
      <c r="E28" s="816"/>
      <c r="F28" s="816"/>
      <c r="G28" s="816"/>
      <c r="H28" s="816"/>
      <c r="I28" s="816"/>
      <c r="J28" s="816"/>
      <c r="K28" s="816"/>
      <c r="L28" s="816"/>
      <c r="M28" s="816"/>
      <c r="N28" s="816"/>
      <c r="O28" s="1313"/>
      <c r="P28" s="821" t="str">
        <f t="shared" si="0"/>
        <v/>
      </c>
      <c r="R28" s="43"/>
      <c r="S28" s="43"/>
      <c r="T28" s="43"/>
      <c r="U28" s="43"/>
      <c r="V28" s="43"/>
      <c r="W28" s="43"/>
      <c r="X28" s="43"/>
      <c r="Y28" s="43"/>
      <c r="Z28" s="43"/>
      <c r="AA28" s="43"/>
      <c r="AB28" s="43"/>
      <c r="AC28" s="43"/>
      <c r="AD28" s="43"/>
      <c r="AE28" s="43"/>
      <c r="AF28" s="99"/>
      <c r="AG28" s="98" t="b">
        <f t="shared" si="1"/>
        <v>0</v>
      </c>
      <c r="AH28" s="1312" t="b">
        <v>0</v>
      </c>
    </row>
    <row r="29" spans="1:34" ht="15.95" customHeight="1" x14ac:dyDescent="0.2">
      <c r="A29" s="1318"/>
      <c r="B29" s="1316"/>
      <c r="C29" s="816"/>
      <c r="D29" s="816"/>
      <c r="E29" s="816"/>
      <c r="F29" s="816"/>
      <c r="G29" s="816"/>
      <c r="H29" s="816"/>
      <c r="I29" s="816"/>
      <c r="J29" s="816"/>
      <c r="K29" s="816"/>
      <c r="L29" s="816"/>
      <c r="M29" s="816"/>
      <c r="N29" s="816"/>
      <c r="O29" s="1313"/>
      <c r="P29" s="821" t="str">
        <f t="shared" si="0"/>
        <v/>
      </c>
      <c r="R29" s="43"/>
      <c r="S29" s="43"/>
      <c r="T29" s="43"/>
      <c r="U29" s="43"/>
      <c r="V29" s="43"/>
      <c r="W29" s="43"/>
      <c r="X29" s="43"/>
      <c r="Y29" s="43"/>
      <c r="Z29" s="43"/>
      <c r="AA29" s="43"/>
      <c r="AB29" s="43"/>
      <c r="AC29" s="43"/>
      <c r="AD29" s="43"/>
      <c r="AE29" s="43"/>
      <c r="AF29" s="99"/>
      <c r="AG29" s="98" t="b">
        <f t="shared" si="1"/>
        <v>0</v>
      </c>
      <c r="AH29" s="1312" t="b">
        <v>0</v>
      </c>
    </row>
    <row r="30" spans="1:34" ht="15.95" customHeight="1" x14ac:dyDescent="0.2">
      <c r="A30" s="1318"/>
      <c r="B30" s="1316"/>
      <c r="C30" s="816"/>
      <c r="D30" s="816"/>
      <c r="E30" s="816"/>
      <c r="F30" s="816"/>
      <c r="G30" s="816"/>
      <c r="H30" s="816"/>
      <c r="I30" s="816"/>
      <c r="J30" s="816"/>
      <c r="K30" s="816"/>
      <c r="L30" s="816"/>
      <c r="M30" s="816"/>
      <c r="N30" s="816"/>
      <c r="O30" s="1313"/>
      <c r="P30" s="821" t="str">
        <f t="shared" si="0"/>
        <v/>
      </c>
      <c r="R30" s="43"/>
      <c r="S30" s="43"/>
      <c r="T30" s="43"/>
      <c r="U30" s="43"/>
      <c r="V30" s="43"/>
      <c r="W30" s="43"/>
      <c r="X30" s="43"/>
      <c r="Y30" s="43"/>
      <c r="Z30" s="43"/>
      <c r="AA30" s="43"/>
      <c r="AB30" s="43"/>
      <c r="AC30" s="43"/>
      <c r="AD30" s="43"/>
      <c r="AE30" s="43"/>
      <c r="AF30" s="99"/>
      <c r="AG30" s="98" t="b">
        <f t="shared" si="1"/>
        <v>0</v>
      </c>
      <c r="AH30" s="1312" t="b">
        <v>0</v>
      </c>
    </row>
    <row r="31" spans="1:34" ht="15.95" customHeight="1" x14ac:dyDescent="0.2">
      <c r="A31" s="1318"/>
      <c r="B31" s="1316"/>
      <c r="C31" s="816"/>
      <c r="D31" s="816"/>
      <c r="E31" s="816"/>
      <c r="F31" s="816"/>
      <c r="G31" s="816"/>
      <c r="H31" s="816"/>
      <c r="I31" s="816"/>
      <c r="J31" s="816"/>
      <c r="K31" s="816"/>
      <c r="L31" s="816"/>
      <c r="M31" s="816"/>
      <c r="N31" s="816"/>
      <c r="O31" s="1313"/>
      <c r="P31" s="821" t="str">
        <f t="shared" si="0"/>
        <v/>
      </c>
      <c r="R31" s="43"/>
      <c r="S31" s="43"/>
      <c r="T31" s="43"/>
      <c r="U31" s="43"/>
      <c r="V31" s="43"/>
      <c r="W31" s="43"/>
      <c r="X31" s="43"/>
      <c r="Y31" s="43"/>
      <c r="Z31" s="43"/>
      <c r="AA31" s="43"/>
      <c r="AB31" s="43"/>
      <c r="AC31" s="43"/>
      <c r="AD31" s="43"/>
      <c r="AE31" s="43"/>
      <c r="AF31" s="99"/>
      <c r="AG31" s="98" t="b">
        <f t="shared" si="1"/>
        <v>0</v>
      </c>
      <c r="AH31" s="1312" t="b">
        <v>0</v>
      </c>
    </row>
    <row r="32" spans="1:34" ht="15.95" customHeight="1" x14ac:dyDescent="0.2">
      <c r="A32" s="1318"/>
      <c r="B32" s="1316"/>
      <c r="C32" s="816"/>
      <c r="D32" s="816"/>
      <c r="E32" s="816"/>
      <c r="F32" s="816"/>
      <c r="G32" s="816"/>
      <c r="H32" s="816"/>
      <c r="I32" s="816"/>
      <c r="J32" s="816"/>
      <c r="K32" s="816"/>
      <c r="L32" s="816"/>
      <c r="M32" s="816"/>
      <c r="N32" s="816"/>
      <c r="O32" s="1313"/>
      <c r="P32" s="821" t="str">
        <f t="shared" si="0"/>
        <v/>
      </c>
      <c r="R32" s="43"/>
      <c r="S32" s="43"/>
      <c r="T32" s="43"/>
      <c r="U32" s="43"/>
      <c r="V32" s="43"/>
      <c r="W32" s="43"/>
      <c r="X32" s="43"/>
      <c r="Y32" s="43"/>
      <c r="Z32" s="43"/>
      <c r="AA32" s="43"/>
      <c r="AB32" s="43"/>
      <c r="AC32" s="43"/>
      <c r="AD32" s="43"/>
      <c r="AE32" s="43"/>
      <c r="AF32" s="99"/>
      <c r="AG32" s="98" t="b">
        <f t="shared" si="1"/>
        <v>0</v>
      </c>
      <c r="AH32" s="1312" t="b">
        <v>0</v>
      </c>
    </row>
    <row r="33" spans="1:34" ht="15.95" customHeight="1" x14ac:dyDescent="0.2">
      <c r="A33" s="1318"/>
      <c r="B33" s="1316"/>
      <c r="C33" s="816"/>
      <c r="D33" s="816"/>
      <c r="E33" s="816"/>
      <c r="F33" s="816"/>
      <c r="G33" s="816"/>
      <c r="H33" s="816"/>
      <c r="I33" s="816"/>
      <c r="J33" s="816"/>
      <c r="K33" s="816"/>
      <c r="L33" s="816"/>
      <c r="M33" s="816"/>
      <c r="N33" s="816"/>
      <c r="O33" s="1313"/>
      <c r="P33" s="821" t="str">
        <f t="shared" si="0"/>
        <v/>
      </c>
      <c r="R33" s="43"/>
      <c r="S33" s="43"/>
      <c r="T33" s="43"/>
      <c r="U33" s="43"/>
      <c r="V33" s="43"/>
      <c r="W33" s="43"/>
      <c r="X33" s="43"/>
      <c r="Y33" s="43"/>
      <c r="Z33" s="43"/>
      <c r="AA33" s="43"/>
      <c r="AB33" s="43"/>
      <c r="AC33" s="43"/>
      <c r="AD33" s="43"/>
      <c r="AE33" s="43"/>
      <c r="AF33" s="99"/>
      <c r="AG33" s="98" t="b">
        <f t="shared" si="1"/>
        <v>0</v>
      </c>
      <c r="AH33" s="1312" t="b">
        <v>0</v>
      </c>
    </row>
    <row r="34" spans="1:34" ht="15.95" customHeight="1" x14ac:dyDescent="0.2">
      <c r="A34" s="1318"/>
      <c r="B34" s="1316"/>
      <c r="C34" s="816"/>
      <c r="D34" s="816"/>
      <c r="E34" s="816"/>
      <c r="F34" s="816"/>
      <c r="G34" s="816"/>
      <c r="H34" s="816"/>
      <c r="I34" s="816"/>
      <c r="J34" s="816"/>
      <c r="K34" s="816"/>
      <c r="L34" s="816"/>
      <c r="M34" s="816"/>
      <c r="N34" s="816"/>
      <c r="O34" s="1313"/>
      <c r="P34" s="821" t="str">
        <f t="shared" si="0"/>
        <v/>
      </c>
      <c r="R34" s="43"/>
      <c r="S34" s="43"/>
      <c r="T34" s="43"/>
      <c r="U34" s="43"/>
      <c r="V34" s="43"/>
      <c r="W34" s="43"/>
      <c r="X34" s="43"/>
      <c r="Y34" s="43"/>
      <c r="Z34" s="43"/>
      <c r="AA34" s="43"/>
      <c r="AB34" s="43"/>
      <c r="AC34" s="43"/>
      <c r="AD34" s="43"/>
      <c r="AE34" s="43"/>
      <c r="AF34" s="99"/>
      <c r="AG34" s="98" t="b">
        <f t="shared" si="1"/>
        <v>0</v>
      </c>
      <c r="AH34" s="1312" t="b">
        <v>0</v>
      </c>
    </row>
    <row r="35" spans="1:34" ht="15.95" customHeight="1" x14ac:dyDescent="0.2">
      <c r="A35" s="1318"/>
      <c r="B35" s="1316"/>
      <c r="C35" s="816"/>
      <c r="D35" s="816"/>
      <c r="E35" s="816"/>
      <c r="F35" s="816"/>
      <c r="G35" s="816"/>
      <c r="H35" s="816"/>
      <c r="I35" s="816"/>
      <c r="J35" s="816"/>
      <c r="K35" s="816"/>
      <c r="L35" s="816"/>
      <c r="M35" s="816"/>
      <c r="N35" s="816"/>
      <c r="O35" s="1313"/>
      <c r="P35" s="821" t="str">
        <f t="shared" si="0"/>
        <v/>
      </c>
      <c r="R35" s="43"/>
      <c r="S35" s="43"/>
      <c r="T35" s="43"/>
      <c r="U35" s="43"/>
      <c r="V35" s="43"/>
      <c r="W35" s="43"/>
      <c r="X35" s="43"/>
      <c r="Y35" s="43"/>
      <c r="Z35" s="43"/>
      <c r="AA35" s="43"/>
      <c r="AB35" s="43"/>
      <c r="AC35" s="43"/>
      <c r="AD35" s="43"/>
      <c r="AE35" s="43"/>
      <c r="AF35" s="99"/>
      <c r="AG35" s="98" t="b">
        <f t="shared" si="1"/>
        <v>0</v>
      </c>
      <c r="AH35" s="1312" t="b">
        <v>0</v>
      </c>
    </row>
    <row r="36" spans="1:34" ht="15.95" customHeight="1" x14ac:dyDescent="0.2">
      <c r="A36" s="1318"/>
      <c r="B36" s="1316"/>
      <c r="C36" s="816"/>
      <c r="D36" s="816"/>
      <c r="E36" s="816"/>
      <c r="F36" s="816"/>
      <c r="G36" s="816"/>
      <c r="H36" s="816"/>
      <c r="I36" s="816"/>
      <c r="J36" s="816"/>
      <c r="K36" s="816"/>
      <c r="L36" s="816"/>
      <c r="M36" s="816"/>
      <c r="N36" s="816"/>
      <c r="O36" s="1313"/>
      <c r="P36" s="821" t="str">
        <f t="shared" si="0"/>
        <v/>
      </c>
      <c r="R36" s="43"/>
      <c r="S36" s="43"/>
      <c r="T36" s="43"/>
      <c r="U36" s="43"/>
      <c r="V36" s="43"/>
      <c r="W36" s="43"/>
      <c r="X36" s="43"/>
      <c r="Y36" s="43"/>
      <c r="Z36" s="43"/>
      <c r="AA36" s="43"/>
      <c r="AB36" s="43"/>
      <c r="AC36" s="43"/>
      <c r="AD36" s="43"/>
      <c r="AE36" s="43"/>
      <c r="AF36" s="99"/>
      <c r="AG36" s="98" t="b">
        <f t="shared" si="1"/>
        <v>0</v>
      </c>
      <c r="AH36" s="1312" t="b">
        <v>0</v>
      </c>
    </row>
    <row r="37" spans="1:34" ht="15.95" customHeight="1" x14ac:dyDescent="0.2">
      <c r="A37" s="1318"/>
      <c r="B37" s="1316"/>
      <c r="C37" s="816"/>
      <c r="D37" s="816"/>
      <c r="E37" s="816"/>
      <c r="F37" s="816"/>
      <c r="G37" s="816"/>
      <c r="H37" s="816"/>
      <c r="I37" s="816"/>
      <c r="J37" s="816"/>
      <c r="K37" s="816"/>
      <c r="L37" s="816"/>
      <c r="M37" s="816"/>
      <c r="N37" s="816"/>
      <c r="O37" s="1313"/>
      <c r="P37" s="821" t="str">
        <f t="shared" si="0"/>
        <v/>
      </c>
      <c r="R37" s="43"/>
      <c r="S37" s="43"/>
      <c r="T37" s="43"/>
      <c r="U37" s="43"/>
      <c r="V37" s="43"/>
      <c r="W37" s="43"/>
      <c r="X37" s="43"/>
      <c r="Y37" s="43"/>
      <c r="Z37" s="43"/>
      <c r="AA37" s="43"/>
      <c r="AB37" s="43"/>
      <c r="AC37" s="43"/>
      <c r="AD37" s="43"/>
      <c r="AE37" s="43"/>
      <c r="AF37" s="99"/>
      <c r="AG37" s="98" t="b">
        <f t="shared" si="1"/>
        <v>0</v>
      </c>
      <c r="AH37" s="1312" t="b">
        <v>0</v>
      </c>
    </row>
    <row r="38" spans="1:34" ht="15.95" customHeight="1" x14ac:dyDescent="0.2">
      <c r="A38" s="1318"/>
      <c r="B38" s="1316"/>
      <c r="C38" s="816"/>
      <c r="D38" s="816"/>
      <c r="E38" s="816"/>
      <c r="F38" s="816"/>
      <c r="G38" s="816"/>
      <c r="H38" s="816"/>
      <c r="I38" s="816"/>
      <c r="J38" s="816"/>
      <c r="K38" s="816"/>
      <c r="L38" s="816"/>
      <c r="M38" s="816"/>
      <c r="N38" s="816"/>
      <c r="O38" s="1313"/>
      <c r="P38" s="821" t="str">
        <f t="shared" si="0"/>
        <v/>
      </c>
      <c r="R38" s="43"/>
      <c r="S38" s="43"/>
      <c r="T38" s="43"/>
      <c r="U38" s="43"/>
      <c r="V38" s="43"/>
      <c r="W38" s="43"/>
      <c r="X38" s="43"/>
      <c r="Y38" s="43"/>
      <c r="Z38" s="43"/>
      <c r="AA38" s="43"/>
      <c r="AB38" s="43"/>
      <c r="AC38" s="43"/>
      <c r="AD38" s="43"/>
      <c r="AE38" s="43"/>
      <c r="AF38" s="99"/>
      <c r="AG38" s="98" t="b">
        <f t="shared" si="1"/>
        <v>0</v>
      </c>
      <c r="AH38" s="1312" t="b">
        <v>0</v>
      </c>
    </row>
    <row r="39" spans="1:34" ht="15.95" customHeight="1" x14ac:dyDescent="0.2">
      <c r="A39" s="1318"/>
      <c r="B39" s="1316"/>
      <c r="C39" s="816"/>
      <c r="D39" s="816"/>
      <c r="E39" s="816"/>
      <c r="F39" s="816"/>
      <c r="G39" s="816"/>
      <c r="H39" s="816"/>
      <c r="I39" s="816"/>
      <c r="J39" s="816"/>
      <c r="K39" s="816"/>
      <c r="L39" s="816"/>
      <c r="M39" s="816"/>
      <c r="N39" s="816"/>
      <c r="O39" s="1313"/>
      <c r="P39" s="821" t="str">
        <f t="shared" si="0"/>
        <v/>
      </c>
      <c r="R39" s="43"/>
      <c r="S39" s="43"/>
      <c r="T39" s="43"/>
      <c r="U39" s="43"/>
      <c r="V39" s="43"/>
      <c r="W39" s="43"/>
      <c r="X39" s="43"/>
      <c r="Y39" s="43"/>
      <c r="Z39" s="43"/>
      <c r="AA39" s="43"/>
      <c r="AB39" s="43"/>
      <c r="AC39" s="43"/>
      <c r="AD39" s="43"/>
      <c r="AE39" s="43"/>
      <c r="AF39" s="99"/>
      <c r="AG39" s="98" t="b">
        <f t="shared" si="1"/>
        <v>0</v>
      </c>
      <c r="AH39" s="1312" t="b">
        <v>0</v>
      </c>
    </row>
    <row r="40" spans="1:34" ht="15.95" customHeight="1" x14ac:dyDescent="0.2">
      <c r="A40" s="1318"/>
      <c r="B40" s="1316"/>
      <c r="C40" s="816"/>
      <c r="D40" s="816"/>
      <c r="E40" s="816"/>
      <c r="F40" s="816"/>
      <c r="G40" s="816"/>
      <c r="H40" s="816"/>
      <c r="I40" s="816"/>
      <c r="J40" s="816"/>
      <c r="K40" s="816"/>
      <c r="L40" s="816"/>
      <c r="M40" s="816"/>
      <c r="N40" s="816"/>
      <c r="O40" s="1313"/>
      <c r="P40" s="821" t="str">
        <f t="shared" si="0"/>
        <v/>
      </c>
      <c r="R40" s="43"/>
      <c r="S40" s="43"/>
      <c r="T40" s="43"/>
      <c r="U40" s="43"/>
      <c r="V40" s="43"/>
      <c r="W40" s="43"/>
      <c r="X40" s="43"/>
      <c r="Y40" s="43"/>
      <c r="Z40" s="43"/>
      <c r="AA40" s="43"/>
      <c r="AB40" s="43"/>
      <c r="AC40" s="43"/>
      <c r="AD40" s="43"/>
      <c r="AE40" s="43"/>
      <c r="AF40" s="99"/>
      <c r="AG40" s="98" t="b">
        <f t="shared" si="1"/>
        <v>0</v>
      </c>
      <c r="AH40" s="1312" t="b">
        <v>0</v>
      </c>
    </row>
    <row r="41" spans="1:34" ht="15.95" customHeight="1" x14ac:dyDescent="0.2">
      <c r="A41" s="1318"/>
      <c r="B41" s="1316"/>
      <c r="C41" s="816"/>
      <c r="D41" s="816"/>
      <c r="E41" s="816"/>
      <c r="F41" s="816"/>
      <c r="G41" s="816"/>
      <c r="H41" s="816"/>
      <c r="I41" s="816"/>
      <c r="J41" s="816"/>
      <c r="K41" s="816"/>
      <c r="L41" s="816"/>
      <c r="M41" s="816"/>
      <c r="N41" s="816"/>
      <c r="O41" s="1313"/>
      <c r="P41" s="821" t="str">
        <f t="shared" si="0"/>
        <v/>
      </c>
      <c r="R41" s="43"/>
      <c r="S41" s="43"/>
      <c r="T41" s="43"/>
      <c r="U41" s="43"/>
      <c r="V41" s="43"/>
      <c r="W41" s="43"/>
      <c r="X41" s="43"/>
      <c r="Y41" s="43"/>
      <c r="Z41" s="43"/>
      <c r="AA41" s="43"/>
      <c r="AB41" s="43"/>
      <c r="AC41" s="43"/>
      <c r="AD41" s="43"/>
      <c r="AE41" s="43"/>
      <c r="AF41" s="99"/>
      <c r="AG41" s="98" t="b">
        <f t="shared" si="1"/>
        <v>0</v>
      </c>
      <c r="AH41" s="1312" t="b">
        <v>0</v>
      </c>
    </row>
    <row r="42" spans="1:34" ht="15.95" customHeight="1" x14ac:dyDescent="0.2">
      <c r="A42" s="1318"/>
      <c r="B42" s="1316"/>
      <c r="C42" s="816"/>
      <c r="D42" s="816"/>
      <c r="E42" s="816"/>
      <c r="F42" s="816"/>
      <c r="G42" s="816"/>
      <c r="H42" s="816"/>
      <c r="I42" s="816"/>
      <c r="J42" s="816"/>
      <c r="K42" s="816"/>
      <c r="L42" s="816"/>
      <c r="M42" s="816"/>
      <c r="N42" s="816"/>
      <c r="O42" s="1313"/>
      <c r="P42" s="821" t="str">
        <f t="shared" si="0"/>
        <v/>
      </c>
      <c r="R42" s="43"/>
      <c r="S42" s="43"/>
      <c r="T42" s="43"/>
      <c r="U42" s="43"/>
      <c r="V42" s="43"/>
      <c r="W42" s="43"/>
      <c r="X42" s="43"/>
      <c r="Y42" s="43"/>
      <c r="Z42" s="43"/>
      <c r="AA42" s="43"/>
      <c r="AB42" s="43"/>
      <c r="AC42" s="43"/>
      <c r="AD42" s="43"/>
      <c r="AE42" s="43"/>
      <c r="AF42" s="99"/>
      <c r="AG42" s="98" t="b">
        <f t="shared" si="1"/>
        <v>0</v>
      </c>
      <c r="AH42" s="1312" t="b">
        <v>0</v>
      </c>
    </row>
    <row r="43" spans="1:34" ht="15.95" customHeight="1" x14ac:dyDescent="0.2">
      <c r="A43" s="1318"/>
      <c r="B43" s="1316"/>
      <c r="C43" s="816"/>
      <c r="D43" s="816"/>
      <c r="E43" s="816"/>
      <c r="F43" s="816"/>
      <c r="G43" s="816"/>
      <c r="H43" s="816"/>
      <c r="I43" s="816"/>
      <c r="J43" s="816"/>
      <c r="K43" s="816"/>
      <c r="L43" s="816"/>
      <c r="M43" s="816"/>
      <c r="N43" s="816"/>
      <c r="O43" s="1313"/>
      <c r="P43" s="821" t="str">
        <f t="shared" si="0"/>
        <v/>
      </c>
      <c r="R43" s="43"/>
      <c r="S43" s="43"/>
      <c r="T43" s="43"/>
      <c r="U43" s="43"/>
      <c r="V43" s="43"/>
      <c r="W43" s="43"/>
      <c r="X43" s="43"/>
      <c r="Y43" s="43"/>
      <c r="Z43" s="43"/>
      <c r="AA43" s="43"/>
      <c r="AB43" s="43"/>
      <c r="AC43" s="43"/>
      <c r="AD43" s="43"/>
      <c r="AE43" s="43"/>
      <c r="AF43" s="99"/>
      <c r="AG43" s="98" t="b">
        <f t="shared" si="1"/>
        <v>0</v>
      </c>
      <c r="AH43" s="1312" t="b">
        <v>0</v>
      </c>
    </row>
    <row r="44" spans="1:34" ht="15.95" customHeight="1" x14ac:dyDescent="0.2">
      <c r="A44" s="1318"/>
      <c r="B44" s="1316"/>
      <c r="C44" s="816"/>
      <c r="D44" s="816"/>
      <c r="E44" s="816"/>
      <c r="F44" s="816"/>
      <c r="G44" s="816"/>
      <c r="H44" s="816"/>
      <c r="I44" s="816"/>
      <c r="J44" s="816"/>
      <c r="K44" s="816"/>
      <c r="L44" s="816"/>
      <c r="M44" s="816"/>
      <c r="N44" s="816"/>
      <c r="O44" s="1313"/>
      <c r="P44" s="821" t="str">
        <f t="shared" si="0"/>
        <v/>
      </c>
      <c r="R44" s="43"/>
      <c r="S44" s="43"/>
      <c r="T44" s="43"/>
      <c r="U44" s="43"/>
      <c r="V44" s="43"/>
      <c r="W44" s="43"/>
      <c r="X44" s="43"/>
      <c r="Y44" s="43"/>
      <c r="Z44" s="43"/>
      <c r="AA44" s="43"/>
      <c r="AB44" s="43"/>
      <c r="AC44" s="43"/>
      <c r="AD44" s="43"/>
      <c r="AE44" s="43"/>
      <c r="AF44" s="99"/>
      <c r="AG44" s="98" t="b">
        <f t="shared" si="1"/>
        <v>0</v>
      </c>
      <c r="AH44" s="1312" t="b">
        <v>0</v>
      </c>
    </row>
    <row r="45" spans="1:34" ht="15.95" customHeight="1" x14ac:dyDescent="0.2">
      <c r="A45" s="1318"/>
      <c r="B45" s="1316"/>
      <c r="C45" s="816"/>
      <c r="D45" s="816"/>
      <c r="E45" s="816"/>
      <c r="F45" s="816"/>
      <c r="G45" s="816"/>
      <c r="H45" s="816"/>
      <c r="I45" s="816"/>
      <c r="J45" s="816"/>
      <c r="K45" s="816"/>
      <c r="L45" s="816"/>
      <c r="M45" s="816"/>
      <c r="N45" s="816"/>
      <c r="O45" s="1313"/>
      <c r="P45" s="821" t="str">
        <f t="shared" si="0"/>
        <v/>
      </c>
      <c r="R45" s="43"/>
      <c r="S45" s="43"/>
      <c r="T45" s="43"/>
      <c r="U45" s="43"/>
      <c r="V45" s="43"/>
      <c r="W45" s="43"/>
      <c r="X45" s="43"/>
      <c r="Y45" s="43"/>
      <c r="Z45" s="43"/>
      <c r="AA45" s="43"/>
      <c r="AB45" s="43"/>
      <c r="AC45" s="43"/>
      <c r="AD45" s="43"/>
      <c r="AE45" s="43"/>
      <c r="AF45" s="99"/>
      <c r="AG45" s="98" t="b">
        <f t="shared" si="1"/>
        <v>0</v>
      </c>
      <c r="AH45" s="1312" t="b">
        <v>0</v>
      </c>
    </row>
    <row r="46" spans="1:34" ht="15.95" customHeight="1" x14ac:dyDescent="0.2">
      <c r="A46" s="1318"/>
      <c r="B46" s="1316"/>
      <c r="C46" s="816"/>
      <c r="D46" s="816"/>
      <c r="E46" s="816"/>
      <c r="F46" s="816"/>
      <c r="G46" s="816"/>
      <c r="H46" s="816"/>
      <c r="I46" s="816"/>
      <c r="J46" s="816"/>
      <c r="K46" s="816"/>
      <c r="L46" s="816"/>
      <c r="M46" s="816"/>
      <c r="N46" s="816"/>
      <c r="O46" s="1313"/>
      <c r="P46" s="821" t="str">
        <f t="shared" si="0"/>
        <v/>
      </c>
      <c r="R46" s="43"/>
      <c r="S46" s="43"/>
      <c r="T46" s="43"/>
      <c r="U46" s="43"/>
      <c r="V46" s="43"/>
      <c r="W46" s="43"/>
      <c r="X46" s="43"/>
      <c r="Y46" s="43"/>
      <c r="Z46" s="43"/>
      <c r="AA46" s="43"/>
      <c r="AB46" s="43"/>
      <c r="AC46" s="43"/>
      <c r="AD46" s="43"/>
      <c r="AE46" s="43"/>
      <c r="AF46" s="99"/>
      <c r="AG46" s="98" t="b">
        <f t="shared" si="1"/>
        <v>0</v>
      </c>
      <c r="AH46" s="1312" t="b">
        <v>0</v>
      </c>
    </row>
    <row r="47" spans="1:34" ht="15.95" customHeight="1" x14ac:dyDescent="0.2">
      <c r="A47" s="1318"/>
      <c r="B47" s="1316"/>
      <c r="C47" s="816"/>
      <c r="D47" s="816"/>
      <c r="E47" s="816"/>
      <c r="F47" s="816"/>
      <c r="G47" s="816"/>
      <c r="H47" s="816"/>
      <c r="I47" s="816"/>
      <c r="J47" s="816"/>
      <c r="K47" s="816"/>
      <c r="L47" s="816"/>
      <c r="M47" s="816"/>
      <c r="N47" s="816"/>
      <c r="O47" s="1313"/>
      <c r="P47" s="821" t="str">
        <f t="shared" si="0"/>
        <v/>
      </c>
      <c r="R47" s="43"/>
      <c r="S47" s="43"/>
      <c r="T47" s="43"/>
      <c r="U47" s="43"/>
      <c r="V47" s="43"/>
      <c r="W47" s="43"/>
      <c r="X47" s="43"/>
      <c r="Y47" s="43"/>
      <c r="Z47" s="43"/>
      <c r="AA47" s="43"/>
      <c r="AB47" s="43"/>
      <c r="AC47" s="43"/>
      <c r="AD47" s="43"/>
      <c r="AE47" s="43"/>
      <c r="AF47" s="99"/>
      <c r="AG47" s="98" t="b">
        <f t="shared" si="1"/>
        <v>0</v>
      </c>
      <c r="AH47" s="1312" t="b">
        <v>0</v>
      </c>
    </row>
    <row r="48" spans="1:34" ht="15.95" customHeight="1" x14ac:dyDescent="0.2">
      <c r="A48" s="1318"/>
      <c r="B48" s="1316"/>
      <c r="C48" s="816"/>
      <c r="D48" s="816"/>
      <c r="E48" s="816"/>
      <c r="F48" s="816"/>
      <c r="G48" s="816"/>
      <c r="H48" s="816"/>
      <c r="I48" s="816"/>
      <c r="J48" s="816"/>
      <c r="K48" s="816"/>
      <c r="L48" s="816"/>
      <c r="M48" s="816"/>
      <c r="N48" s="816"/>
      <c r="O48" s="1313"/>
      <c r="P48" s="821" t="str">
        <f t="shared" si="0"/>
        <v/>
      </c>
      <c r="R48" s="43"/>
      <c r="S48" s="43"/>
      <c r="T48" s="43"/>
      <c r="U48" s="43"/>
      <c r="V48" s="43"/>
      <c r="W48" s="43"/>
      <c r="X48" s="43"/>
      <c r="Y48" s="43"/>
      <c r="Z48" s="43"/>
      <c r="AA48" s="43"/>
      <c r="AB48" s="43"/>
      <c r="AC48" s="43"/>
      <c r="AD48" s="43"/>
      <c r="AE48" s="43"/>
      <c r="AF48" s="99"/>
      <c r="AG48" s="98" t="b">
        <f t="shared" si="1"/>
        <v>0</v>
      </c>
      <c r="AH48" s="1312" t="b">
        <v>0</v>
      </c>
    </row>
    <row r="49" spans="1:34" ht="15.95" customHeight="1" x14ac:dyDescent="0.2">
      <c r="A49" s="1319"/>
      <c r="B49" s="1317"/>
      <c r="C49" s="1314"/>
      <c r="D49" s="1314"/>
      <c r="E49" s="1314"/>
      <c r="F49" s="1314"/>
      <c r="G49" s="1314"/>
      <c r="H49" s="1314"/>
      <c r="I49" s="1314"/>
      <c r="J49" s="1314"/>
      <c r="K49" s="1314"/>
      <c r="L49" s="1314"/>
      <c r="M49" s="1314"/>
      <c r="N49" s="1314"/>
      <c r="O49" s="1315"/>
      <c r="P49" s="821" t="str">
        <f t="shared" si="0"/>
        <v/>
      </c>
      <c r="R49" s="43"/>
      <c r="S49" s="43"/>
      <c r="T49" s="43"/>
      <c r="U49" s="43"/>
      <c r="V49" s="43"/>
      <c r="W49" s="43"/>
      <c r="X49" s="43"/>
      <c r="Y49" s="43"/>
      <c r="Z49" s="43"/>
      <c r="AA49" s="43"/>
      <c r="AB49" s="43"/>
      <c r="AC49" s="43"/>
      <c r="AD49" s="43"/>
      <c r="AE49" s="43"/>
      <c r="AF49" s="99"/>
      <c r="AG49" s="98" t="b">
        <f t="shared" si="1"/>
        <v>0</v>
      </c>
      <c r="AH49" s="1312" t="b">
        <v>0</v>
      </c>
    </row>
    <row r="50" spans="1:34" ht="15" customHeight="1" x14ac:dyDescent="0.2">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2012" priority="2">
      <formula>OR(A14="Girder",A14="Girders",A14="Joist",A14="Joists",A14="Bridging")</formula>
    </cfRule>
    <cfRule type="expression" dxfId="2011" priority="3">
      <formula>AND(P14&gt;0,ISBLANK(AF14),OR($R$1="",$R$1="M"))</formula>
    </cfRule>
    <cfRule type="expression" dxfId="2010" priority="11">
      <formula>$AH14</formula>
    </cfRule>
  </conditionalFormatting>
  <conditionalFormatting sqref="H2:J4">
    <cfRule type="cellIs" dxfId="2009" priority="9" stopIfTrue="1" operator="equal">
      <formula>""</formula>
    </cfRule>
  </conditionalFormatting>
  <conditionalFormatting sqref="B14:O49">
    <cfRule type="expression" dxfId="2008" priority="4">
      <formula>IF($R$1="M",AND(B14&gt;R14,R14&gt;0),B14&lt;R14)</formula>
    </cfRule>
    <cfRule type="expression" dxfId="2007" priority="7">
      <formula>OR(AND($R$1="M",B14=R14),B14="-")</formula>
    </cfRule>
    <cfRule type="expression" dxfId="2006" priority="8">
      <formula>IF(NOT(ISBLANK($R$1)),IF($R$1="M",IF(ISTEXT(B14),0,B14)&lt;R14,IF(ISTEXT(B14),0,B14)&gt;R14))</formula>
    </cfRule>
    <cfRule type="expression" dxfId="2005" priority="10">
      <formula>OR($AH14,B$63)</formula>
    </cfRule>
  </conditionalFormatting>
  <conditionalFormatting sqref="B13:O13">
    <cfRule type="expression" dxfId="2004" priority="1">
      <formula>AND(NOT(ISBLANK(B$13)),ISERROR(MATCH(B$13,$AK:$AK,0)))</formula>
    </cfRule>
    <cfRule type="expression" dxfId="2003" priority="12">
      <formula>B$63</formula>
    </cfRule>
  </conditionalFormatting>
  <dataValidations count="2">
    <dataValidation type="custom" allowBlank="1" showInputMessage="1" showErrorMessage="1" errorTitle="Input Error" error="Value can only be a positive integer OR a dash." sqref="B14:O49">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formula1>B13=TRIM(B13)</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42"/>
  </sheetPr>
  <dimension ref="A1:JP92"/>
  <sheetViews>
    <sheetView showGridLines="0" zoomScaleNormal="100" zoomScaleSheetLayoutView="50" workbookViewId="0">
      <selection activeCell="A28" sqref="A28"/>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161" hidden="1" customWidth="1"/>
    <col min="62" max="63" width="6.7109375" style="161" hidden="1" customWidth="1"/>
    <col min="64" max="64" width="5.7109375" style="161" hidden="1" customWidth="1"/>
    <col min="65" max="69" width="3.7109375" style="161" hidden="1" customWidth="1"/>
    <col min="70" max="70" width="5.7109375" style="161" hidden="1" customWidth="1"/>
    <col min="71" max="74" width="3.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0" width="8.7109375" style="172" hidden="1" customWidth="1"/>
    <col min="211" max="211" width="12.7109375" style="172" hidden="1" customWidth="1"/>
    <col min="212" max="212" width="8.7109375" style="162" hidden="1" customWidth="1"/>
    <col min="213" max="213" width="8.7109375" style="163" hidden="1" customWidth="1"/>
    <col min="214" max="237" width="8.7109375" style="172" hidden="1" customWidth="1"/>
    <col min="238" max="260" width="8.7109375" style="161" hidden="1" customWidth="1"/>
    <col min="261" max="273" width="6.7109375" style="161" hidden="1" customWidth="1"/>
    <col min="274" max="274" width="8.7109375" style="161" hidden="1" customWidth="1"/>
    <col min="275" max="275" width="6.7109375" style="161" hidden="1" customWidth="1"/>
    <col min="276" max="706" width="6.7109375" style="161" customWidth="1"/>
    <col min="707" max="707" width="0" style="161" hidden="1" customWidth="1"/>
    <col min="708" max="16384" width="0"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27" t="str">
        <f>IF(BJ1="","",VLOOKUP(BJ1,'Job Info.'!X:AA,4,FALSE))</f>
        <v>Master</v>
      </c>
      <c r="R1" s="2227"/>
      <c r="S1" s="2227"/>
      <c r="T1" s="2227"/>
      <c r="U1" s="454"/>
      <c r="V1" s="445"/>
      <c r="W1" s="2433" t="s">
        <v>96</v>
      </c>
      <c r="X1" s="2433"/>
      <c r="Y1" s="2433"/>
      <c r="Z1" s="1415" t="s">
        <v>92</v>
      </c>
      <c r="AA1" s="444"/>
      <c r="AB1" s="454"/>
      <c r="AC1" s="454"/>
      <c r="AD1" s="454"/>
      <c r="AE1" s="454"/>
      <c r="AF1" s="454"/>
      <c r="AG1" s="454"/>
      <c r="AH1" s="454"/>
      <c r="AI1" s="454"/>
      <c r="AJ1" s="454"/>
      <c r="AK1" s="454"/>
      <c r="AL1" s="454"/>
      <c r="AM1" s="454"/>
      <c r="AN1" s="454"/>
      <c r="AO1" s="454"/>
      <c r="AP1" s="454"/>
      <c r="AQ1" s="444"/>
      <c r="AR1" s="454"/>
      <c r="AS1" s="454"/>
      <c r="AT1" s="454"/>
      <c r="AU1" s="2446" t="str">
        <f>Q1</f>
        <v>Master</v>
      </c>
      <c r="AV1" s="2446"/>
      <c r="AW1" s="2446"/>
      <c r="AX1" s="2446"/>
      <c r="AY1" s="454"/>
      <c r="AZ1" s="454"/>
      <c r="BA1" s="2433" t="s">
        <v>96</v>
      </c>
      <c r="BB1" s="2433"/>
      <c r="BC1" s="2433"/>
      <c r="BD1" s="2259" t="str">
        <f ca="1">'Job Info.'!D12</f>
        <v>775-428-0600</v>
      </c>
      <c r="BE1" s="2259"/>
      <c r="BF1" s="2259"/>
      <c r="BG1" s="556"/>
      <c r="BH1" s="581" t="s">
        <v>763</v>
      </c>
      <c r="BJ1" s="291" t="str">
        <f>'Job Info.'!Q30</f>
        <v>M</v>
      </c>
      <c r="BK1" s="291" t="b">
        <f>'Job Info.'!Q32</f>
        <v>0</v>
      </c>
      <c r="BL1" s="976"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6"/>
      <c r="EP1" s="1177"/>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6"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28" t="str">
        <f>IF(BJ1="","",IF(VLOOKUP(BJ1,'Job Info.'!X:Z,2,FALSE),"Released for Fabrication",""))</f>
        <v/>
      </c>
      <c r="R2" s="2229"/>
      <c r="S2" s="2229"/>
      <c r="T2" s="2230"/>
      <c r="U2" s="454"/>
      <c r="V2" s="445"/>
      <c r="W2" s="2433" t="s">
        <v>97</v>
      </c>
      <c r="X2" s="2433"/>
      <c r="Y2" s="2433"/>
      <c r="Z2" s="1415"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28" t="str">
        <f>Q2</f>
        <v/>
      </c>
      <c r="AV2" s="2229"/>
      <c r="AW2" s="2229"/>
      <c r="AX2" s="2230"/>
      <c r="AY2" s="454"/>
      <c r="AZ2" s="454"/>
      <c r="BA2" s="2433" t="s">
        <v>97</v>
      </c>
      <c r="BB2" s="2433"/>
      <c r="BC2" s="2433"/>
      <c r="BD2" s="2259" t="str">
        <f ca="1">'Job Info.'!D13</f>
        <v>775-867-2140</v>
      </c>
      <c r="BE2" s="2259"/>
      <c r="BF2" s="2259"/>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8"/>
      <c r="EO2" s="1176"/>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434" t="s">
        <v>40</v>
      </c>
      <c r="HB2" s="2435" t="s">
        <v>131</v>
      </c>
      <c r="HC2" s="2435" t="s">
        <v>31</v>
      </c>
      <c r="HD2" s="2435" t="s">
        <v>25</v>
      </c>
      <c r="HE2" s="2439"/>
      <c r="HF2" s="2445" t="s">
        <v>89</v>
      </c>
      <c r="HG2" s="2344" t="s">
        <v>9</v>
      </c>
      <c r="HH2" s="2443"/>
      <c r="HI2" s="2443"/>
      <c r="HJ2" s="2443" t="s">
        <v>10</v>
      </c>
      <c r="HK2" s="2443"/>
      <c r="HL2" s="2342"/>
      <c r="HM2" s="2437" t="s">
        <v>11</v>
      </c>
      <c r="HN2" s="2438"/>
      <c r="HO2" s="2440" t="s">
        <v>12</v>
      </c>
      <c r="HP2" s="2441"/>
      <c r="HQ2" s="2441" t="s">
        <v>13</v>
      </c>
      <c r="HR2" s="2451"/>
      <c r="HS2" s="2442" t="s">
        <v>14</v>
      </c>
      <c r="HT2" s="2443"/>
      <c r="HU2" s="2443"/>
      <c r="HV2" s="2443"/>
      <c r="HW2" s="2444"/>
      <c r="HX2" s="2344" t="s">
        <v>112</v>
      </c>
      <c r="HY2" s="2342"/>
      <c r="HZ2" s="1437" t="s">
        <v>15</v>
      </c>
      <c r="IA2" s="2496" t="s">
        <v>982</v>
      </c>
      <c r="IB2" s="291"/>
      <c r="IC2" s="291"/>
      <c r="ID2" s="291"/>
      <c r="IE2" s="291"/>
      <c r="IF2" s="2336" t="s">
        <v>63</v>
      </c>
      <c r="IG2" s="2338" t="s">
        <v>32</v>
      </c>
      <c r="IH2" s="2339"/>
      <c r="II2" s="2342" t="s">
        <v>34</v>
      </c>
      <c r="IJ2" s="2343"/>
      <c r="IK2" s="2344"/>
      <c r="IL2" s="2338" t="s">
        <v>35</v>
      </c>
      <c r="IM2" s="2339"/>
      <c r="IN2" s="2345" t="s">
        <v>64</v>
      </c>
      <c r="IO2" s="2347" t="s">
        <v>778</v>
      </c>
      <c r="IP2" s="2348"/>
      <c r="IQ2" s="2348"/>
      <c r="IR2" s="2348"/>
      <c r="IS2" s="2348"/>
      <c r="IT2" s="2349"/>
      <c r="IU2" s="2343" t="s">
        <v>83</v>
      </c>
      <c r="IV2" s="2343"/>
      <c r="IW2" s="2343"/>
      <c r="IX2" s="2343"/>
      <c r="IY2" s="2343"/>
      <c r="IZ2" s="2343"/>
      <c r="JA2" s="2343"/>
      <c r="JB2" s="2343"/>
      <c r="JC2" s="2343"/>
      <c r="JD2" s="2343"/>
      <c r="JE2" s="2343"/>
      <c r="JF2" s="2343"/>
      <c r="JG2" s="2343"/>
      <c r="JH2" s="2343"/>
      <c r="JI2" s="2343"/>
      <c r="JJ2" s="2350"/>
      <c r="JK2" s="2332" t="s">
        <v>1208</v>
      </c>
    </row>
    <row r="3" spans="1:276" s="289" customFormat="1" ht="12.95" customHeight="1" thickBot="1" x14ac:dyDescent="0.3">
      <c r="A3" s="454"/>
      <c r="B3" s="454"/>
      <c r="C3" s="454"/>
      <c r="D3" s="454"/>
      <c r="E3" s="454"/>
      <c r="F3" s="454"/>
      <c r="G3" s="454"/>
      <c r="H3" s="454"/>
      <c r="I3" s="454"/>
      <c r="J3" s="454"/>
      <c r="K3" s="454"/>
      <c r="L3" s="454"/>
      <c r="M3" s="454"/>
      <c r="N3" s="454"/>
      <c r="O3" s="454"/>
      <c r="P3" s="454"/>
      <c r="Q3" s="2231"/>
      <c r="R3" s="2232"/>
      <c r="S3" s="2232"/>
      <c r="T3" s="2233"/>
      <c r="U3" s="454"/>
      <c r="V3" s="445"/>
      <c r="W3" s="2433" t="s">
        <v>99</v>
      </c>
      <c r="X3" s="2433"/>
      <c r="Y3" s="2433"/>
      <c r="Z3" s="1415"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31"/>
      <c r="AV3" s="2232"/>
      <c r="AW3" s="2232"/>
      <c r="AX3" s="2233"/>
      <c r="AY3" s="454"/>
      <c r="AZ3" s="454"/>
      <c r="BA3" s="2433" t="s">
        <v>99</v>
      </c>
      <c r="BB3" s="2433"/>
      <c r="BC3" s="2433"/>
      <c r="BD3" s="2259" t="str">
        <f ca="1">'Job Info.'!D14</f>
        <v>775-867-2169</v>
      </c>
      <c r="BE3" s="2259"/>
      <c r="BF3" s="2259"/>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8"/>
      <c r="EO3" s="1176"/>
      <c r="EP3" s="1174"/>
      <c r="EQ3" s="287"/>
      <c r="ER3" s="287"/>
      <c r="ES3" s="287"/>
      <c r="ET3" s="287"/>
      <c r="EU3" s="1249"/>
      <c r="EW3" s="360"/>
      <c r="EX3" s="366" t="s">
        <v>985</v>
      </c>
      <c r="EY3" s="366" t="s">
        <v>1148</v>
      </c>
      <c r="EZ3" s="367" t="s">
        <v>172</v>
      </c>
      <c r="FA3" s="368" t="s">
        <v>499</v>
      </c>
      <c r="FB3" s="369" t="s">
        <v>500</v>
      </c>
      <c r="FC3" s="368" t="s">
        <v>501</v>
      </c>
      <c r="FD3" s="368" t="s">
        <v>502</v>
      </c>
      <c r="FE3" s="368" t="s">
        <v>503</v>
      </c>
      <c r="FF3" s="368" t="s">
        <v>722</v>
      </c>
      <c r="FG3" s="2375" t="s">
        <v>1153</v>
      </c>
      <c r="FH3" s="2376"/>
      <c r="FI3" s="2377"/>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434"/>
      <c r="HB3" s="2435"/>
      <c r="HC3" s="2435"/>
      <c r="HD3" s="2435"/>
      <c r="HE3" s="2439"/>
      <c r="HF3" s="2445"/>
      <c r="HG3" s="2352" t="s">
        <v>16</v>
      </c>
      <c r="HH3" s="2436"/>
      <c r="HI3" s="1507" t="s">
        <v>773</v>
      </c>
      <c r="HJ3" s="2436" t="s">
        <v>16</v>
      </c>
      <c r="HK3" s="2436"/>
      <c r="HL3" s="1510" t="s">
        <v>773</v>
      </c>
      <c r="HM3" s="1508" t="s">
        <v>18</v>
      </c>
      <c r="HN3" s="549" t="s">
        <v>19</v>
      </c>
      <c r="HO3" s="2440"/>
      <c r="HP3" s="2441"/>
      <c r="HQ3" s="2441"/>
      <c r="HR3" s="2451"/>
      <c r="HS3" s="2355" t="s">
        <v>81</v>
      </c>
      <c r="HT3" s="2436"/>
      <c r="HU3" s="2436" t="s">
        <v>82</v>
      </c>
      <c r="HV3" s="2436"/>
      <c r="HW3" s="549" t="s">
        <v>27</v>
      </c>
      <c r="HX3" s="1509" t="s">
        <v>113</v>
      </c>
      <c r="HY3" s="1510" t="s">
        <v>114</v>
      </c>
      <c r="HZ3" s="1438" t="s">
        <v>58</v>
      </c>
      <c r="IA3" s="2497"/>
      <c r="IB3" s="291"/>
      <c r="IC3" s="291"/>
      <c r="ID3" s="291"/>
      <c r="IE3" s="291"/>
      <c r="IF3" s="2337"/>
      <c r="IG3" s="2340"/>
      <c r="IH3" s="2341"/>
      <c r="II3" s="1511" t="s">
        <v>33</v>
      </c>
      <c r="IJ3" s="2351" t="s">
        <v>16</v>
      </c>
      <c r="IK3" s="2352"/>
      <c r="IL3" s="2340"/>
      <c r="IM3" s="2341"/>
      <c r="IN3" s="2346"/>
      <c r="IO3" s="1439" t="s">
        <v>779</v>
      </c>
      <c r="IP3" s="1512" t="s">
        <v>776</v>
      </c>
      <c r="IQ3" s="1512" t="s">
        <v>777</v>
      </c>
      <c r="IR3" s="1514" t="s">
        <v>61</v>
      </c>
      <c r="IS3" s="1513" t="s">
        <v>780</v>
      </c>
      <c r="IT3" s="1440" t="s">
        <v>781</v>
      </c>
      <c r="IU3" s="2353" t="s">
        <v>59</v>
      </c>
      <c r="IV3" s="2352"/>
      <c r="IW3" s="1441" t="s">
        <v>64</v>
      </c>
      <c r="IX3" s="1442" t="s">
        <v>60</v>
      </c>
      <c r="IY3" s="2354" t="s">
        <v>59</v>
      </c>
      <c r="IZ3" s="2355"/>
      <c r="JA3" s="1441" t="s">
        <v>64</v>
      </c>
      <c r="JB3" s="1442" t="s">
        <v>60</v>
      </c>
      <c r="JC3" s="2354" t="s">
        <v>59</v>
      </c>
      <c r="JD3" s="2355"/>
      <c r="JE3" s="1441" t="s">
        <v>64</v>
      </c>
      <c r="JF3" s="1442" t="s">
        <v>60</v>
      </c>
      <c r="JG3" s="2354" t="s">
        <v>59</v>
      </c>
      <c r="JH3" s="2355"/>
      <c r="JI3" s="1441" t="s">
        <v>64</v>
      </c>
      <c r="JJ3" s="1442" t="s">
        <v>60</v>
      </c>
      <c r="JK3" s="2333"/>
    </row>
    <row r="4" spans="1:276" s="289" customFormat="1" ht="12.95" customHeight="1" thickTop="1" thickBot="1" x14ac:dyDescent="0.25">
      <c r="A4" s="454"/>
      <c r="B4" s="454"/>
      <c r="C4" s="454"/>
      <c r="D4" s="454"/>
      <c r="E4" s="454"/>
      <c r="F4" s="454"/>
      <c r="G4" s="454"/>
      <c r="H4" s="454"/>
      <c r="I4" s="454"/>
      <c r="J4" s="454"/>
      <c r="K4" s="454"/>
      <c r="L4" s="454"/>
      <c r="M4" s="1398"/>
      <c r="N4" s="444"/>
      <c r="O4" s="444"/>
      <c r="P4" s="444"/>
      <c r="Q4" s="2234" t="str">
        <f>IF(BJ1="","",IF(VLOOKUP(BJ1,'Job Info.'!X:Z,2,FALSE),VLOOKUP(BJ1,'Job Info.'!X:Z,3,FALSE),""))</f>
        <v/>
      </c>
      <c r="R4" s="2235"/>
      <c r="S4" s="2235"/>
      <c r="T4" s="2236"/>
      <c r="U4" s="444"/>
      <c r="V4" s="445"/>
      <c r="W4" s="2433" t="s">
        <v>98</v>
      </c>
      <c r="X4" s="2433"/>
      <c r="Y4" s="2433"/>
      <c r="Z4" s="1415" t="str">
        <f ca="1">'Job Info.'!D15</f>
        <v>775-867-2060</v>
      </c>
      <c r="AA4" s="444"/>
      <c r="AB4" s="444"/>
      <c r="AC4" s="444"/>
      <c r="AD4" s="444"/>
      <c r="AE4" s="444"/>
      <c r="AF4" s="444"/>
      <c r="AG4" s="444"/>
      <c r="AH4" s="444"/>
      <c r="AI4" s="444"/>
      <c r="AJ4" s="444"/>
      <c r="AK4" s="444"/>
      <c r="AL4" s="444"/>
      <c r="AM4" s="444"/>
      <c r="AN4" s="444"/>
      <c r="AO4" s="444"/>
      <c r="AP4" s="444"/>
      <c r="AQ4" s="444"/>
      <c r="AR4" s="1398"/>
      <c r="AS4" s="1398"/>
      <c r="AT4" s="444"/>
      <c r="AU4" s="2447" t="str">
        <f>Q4</f>
        <v/>
      </c>
      <c r="AV4" s="2448"/>
      <c r="AW4" s="2448"/>
      <c r="AX4" s="2449"/>
      <c r="AY4" s="454"/>
      <c r="AZ4" s="454"/>
      <c r="BA4" s="2433" t="s">
        <v>98</v>
      </c>
      <c r="BB4" s="2433"/>
      <c r="BC4" s="2433"/>
      <c r="BD4" s="2259" t="str">
        <f ca="1">'Job Info.'!D15</f>
        <v>775-867-2060</v>
      </c>
      <c r="BE4" s="2259"/>
      <c r="BF4" s="2259"/>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8"/>
      <c r="EO4" s="1176"/>
      <c r="EP4" s="1176"/>
      <c r="EQ4" s="287"/>
      <c r="ER4" s="287"/>
      <c r="ES4" s="287"/>
      <c r="ET4" s="287"/>
      <c r="EU4" s="1176"/>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93">
        <v>0</v>
      </c>
      <c r="FH4" s="993">
        <v>7.125</v>
      </c>
      <c r="FI4" s="994">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461" t="s">
        <v>637</v>
      </c>
      <c r="HB4" s="2580" t="s">
        <v>131</v>
      </c>
      <c r="HC4" s="2582" t="s">
        <v>515</v>
      </c>
      <c r="HD4" s="2584" t="s">
        <v>516</v>
      </c>
      <c r="HE4" s="2585"/>
      <c r="HF4" s="2578" t="s">
        <v>651</v>
      </c>
      <c r="HG4" s="2455" t="s">
        <v>635</v>
      </c>
      <c r="HH4" s="2456"/>
      <c r="HI4" s="2455" t="s">
        <v>636</v>
      </c>
      <c r="HJ4" s="2456"/>
      <c r="HK4" s="2459" t="s">
        <v>525</v>
      </c>
      <c r="HL4" s="2463" t="s">
        <v>652</v>
      </c>
      <c r="HM4" s="2578" t="s">
        <v>651</v>
      </c>
      <c r="HN4" s="2455" t="s">
        <v>635</v>
      </c>
      <c r="HO4" s="2456"/>
      <c r="HP4" s="2455" t="s">
        <v>636</v>
      </c>
      <c r="HQ4" s="2456"/>
      <c r="HR4" s="2459" t="s">
        <v>525</v>
      </c>
      <c r="HS4" s="2463" t="s">
        <v>652</v>
      </c>
      <c r="HT4" s="2641" t="s">
        <v>591</v>
      </c>
      <c r="HU4" s="2467" t="s">
        <v>517</v>
      </c>
      <c r="HV4" s="2468"/>
      <c r="HW4" s="2469" t="s">
        <v>1203</v>
      </c>
      <c r="HX4" s="2469" t="s">
        <v>518</v>
      </c>
      <c r="HY4" s="2635" t="s">
        <v>677</v>
      </c>
      <c r="HZ4" s="2637" t="s">
        <v>678</v>
      </c>
      <c r="IA4" s="2632" t="s">
        <v>847</v>
      </c>
      <c r="IB4" s="2632"/>
      <c r="IC4" s="2573" t="s">
        <v>1064</v>
      </c>
      <c r="ID4" s="2573"/>
      <c r="IE4" s="291"/>
      <c r="IF4" s="2356" t="s">
        <v>1108</v>
      </c>
      <c r="IG4" s="2358" t="s">
        <v>32</v>
      </c>
      <c r="IH4" s="2359"/>
      <c r="II4" s="2362" t="s">
        <v>34</v>
      </c>
      <c r="IJ4" s="2364" t="s">
        <v>526</v>
      </c>
      <c r="IK4" s="2365"/>
      <c r="IL4" s="2334" t="s">
        <v>640</v>
      </c>
      <c r="IM4" s="2334" t="s">
        <v>641</v>
      </c>
      <c r="IN4" s="2365" t="s">
        <v>642</v>
      </c>
      <c r="IO4" s="2365" t="s">
        <v>643</v>
      </c>
      <c r="IP4" s="2365" t="s">
        <v>644</v>
      </c>
      <c r="IQ4" s="2368" t="s">
        <v>645</v>
      </c>
      <c r="IR4" s="2369"/>
      <c r="IS4" s="2370" t="s">
        <v>638</v>
      </c>
      <c r="IT4" s="2371"/>
      <c r="IU4" s="2362" t="s">
        <v>649</v>
      </c>
      <c r="IV4" s="2372" t="s">
        <v>639</v>
      </c>
      <c r="IW4" s="2370" t="s">
        <v>638</v>
      </c>
      <c r="IX4" s="2371"/>
      <c r="IY4" s="2362" t="s">
        <v>649</v>
      </c>
      <c r="IZ4" s="2372" t="s">
        <v>639</v>
      </c>
      <c r="JA4" s="2370" t="s">
        <v>638</v>
      </c>
      <c r="JB4" s="2371"/>
      <c r="JC4" s="2362" t="s">
        <v>649</v>
      </c>
      <c r="JD4" s="2372" t="s">
        <v>639</v>
      </c>
      <c r="JE4" s="2370" t="s">
        <v>638</v>
      </c>
      <c r="JF4" s="2371"/>
      <c r="JG4" s="2362" t="s">
        <v>649</v>
      </c>
      <c r="JH4" s="2332" t="s">
        <v>639</v>
      </c>
      <c r="JK4" s="2332" t="s">
        <v>1208</v>
      </c>
    </row>
    <row r="5" spans="1:276" s="289" customFormat="1" ht="12.95" customHeight="1" thickTop="1" thickBot="1" x14ac:dyDescent="0.25">
      <c r="A5" s="2426" t="str">
        <f ca="1">'Job Info.'!D11</f>
        <v>8200 Woolery Way | Fallon, NV 89406 | www.newmill.com</v>
      </c>
      <c r="B5" s="2427"/>
      <c r="C5" s="2427"/>
      <c r="D5" s="2427"/>
      <c r="E5" s="2427"/>
      <c r="F5" s="2427"/>
      <c r="G5" s="2427"/>
      <c r="H5" s="2427"/>
      <c r="I5" s="2427"/>
      <c r="J5" s="2427"/>
      <c r="K5" s="2427"/>
      <c r="L5" s="2427"/>
      <c r="M5" s="444"/>
      <c r="N5" s="444"/>
      <c r="O5" s="444"/>
      <c r="P5" s="444"/>
      <c r="Q5" s="444"/>
      <c r="R5" s="444"/>
      <c r="S5" s="444"/>
      <c r="T5" s="444"/>
      <c r="U5" s="444"/>
      <c r="V5" s="444"/>
      <c r="W5" s="444"/>
      <c r="X5" s="444"/>
      <c r="Y5" s="1399"/>
      <c r="Z5" s="1399"/>
      <c r="AA5" s="444"/>
      <c r="AB5" s="2450" t="str">
        <f ca="1">'Job Info.'!D11</f>
        <v>8200 Woolery Way | Fallon, NV 89406 | www.newmill.com</v>
      </c>
      <c r="AC5" s="2450"/>
      <c r="AD5" s="2450"/>
      <c r="AE5" s="2450"/>
      <c r="AF5" s="2450"/>
      <c r="AG5" s="2450"/>
      <c r="AH5" s="2450"/>
      <c r="AI5" s="2450"/>
      <c r="AJ5" s="2450"/>
      <c r="AK5" s="2450"/>
      <c r="AL5" s="2450"/>
      <c r="AM5" s="2450"/>
      <c r="AN5" s="2450"/>
      <c r="AO5" s="2450"/>
      <c r="AP5" s="2450"/>
      <c r="AQ5" s="2450"/>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8"/>
      <c r="EO5" s="1176"/>
      <c r="EP5" s="1176"/>
      <c r="EQ5" s="1176"/>
      <c r="ER5" s="1179"/>
      <c r="ES5" s="1179"/>
      <c r="ET5" s="1179"/>
      <c r="EU5" s="1179"/>
      <c r="EW5" s="1291" t="s">
        <v>1177</v>
      </c>
      <c r="EX5" s="1292">
        <f ca="1">OFFSET('Job Info.'!AI3,'Job Info.'!P34,1)</f>
        <v>1.1499999999999999</v>
      </c>
      <c r="EY5" s="377"/>
      <c r="EZ5" s="377"/>
      <c r="FA5" s="360"/>
      <c r="FB5" s="359"/>
      <c r="FC5" s="359"/>
      <c r="FD5" s="360"/>
      <c r="FE5" s="360"/>
      <c r="FF5" s="360"/>
      <c r="FG5" s="995">
        <v>4.5</v>
      </c>
      <c r="FH5" s="995">
        <v>5</v>
      </c>
      <c r="FI5" s="996">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462"/>
      <c r="HB5" s="2581"/>
      <c r="HC5" s="2583"/>
      <c r="HD5" s="2586"/>
      <c r="HE5" s="2587"/>
      <c r="HF5" s="2579"/>
      <c r="HG5" s="2457"/>
      <c r="HH5" s="2458"/>
      <c r="HI5" s="2457"/>
      <c r="HJ5" s="2458"/>
      <c r="HK5" s="2460"/>
      <c r="HL5" s="2464"/>
      <c r="HM5" s="2579"/>
      <c r="HN5" s="2457"/>
      <c r="HO5" s="2458"/>
      <c r="HP5" s="2457"/>
      <c r="HQ5" s="2458"/>
      <c r="HR5" s="2460"/>
      <c r="HS5" s="2464"/>
      <c r="HT5" s="2587"/>
      <c r="HU5" s="159" t="s">
        <v>455</v>
      </c>
      <c r="HV5" s="160" t="s">
        <v>592</v>
      </c>
      <c r="HW5" s="2470"/>
      <c r="HX5" s="2470"/>
      <c r="HY5" s="2636"/>
      <c r="HZ5" s="2638"/>
      <c r="IA5" s="1041" t="s">
        <v>646</v>
      </c>
      <c r="IB5" s="1042" t="s">
        <v>647</v>
      </c>
      <c r="IC5" s="594" t="s">
        <v>646</v>
      </c>
      <c r="ID5" s="595" t="s">
        <v>647</v>
      </c>
      <c r="IE5" s="291"/>
      <c r="IF5" s="2357"/>
      <c r="IG5" s="2360"/>
      <c r="IH5" s="2361"/>
      <c r="II5" s="2363"/>
      <c r="IJ5" s="2366"/>
      <c r="IK5" s="2367"/>
      <c r="IL5" s="2335"/>
      <c r="IM5" s="2335"/>
      <c r="IN5" s="2367"/>
      <c r="IO5" s="2367"/>
      <c r="IP5" s="2367"/>
      <c r="IQ5" s="634" t="s">
        <v>646</v>
      </c>
      <c r="IR5" s="635" t="s">
        <v>647</v>
      </c>
      <c r="IS5" s="669" t="s">
        <v>674</v>
      </c>
      <c r="IT5" s="670" t="s">
        <v>648</v>
      </c>
      <c r="IU5" s="2363"/>
      <c r="IV5" s="2364"/>
      <c r="IW5" s="669" t="s">
        <v>674</v>
      </c>
      <c r="IX5" s="670" t="s">
        <v>648</v>
      </c>
      <c r="IY5" s="2363"/>
      <c r="IZ5" s="2364"/>
      <c r="JA5" s="669" t="s">
        <v>674</v>
      </c>
      <c r="JB5" s="670" t="s">
        <v>648</v>
      </c>
      <c r="JC5" s="2363"/>
      <c r="JD5" s="2364"/>
      <c r="JE5" s="669" t="s">
        <v>674</v>
      </c>
      <c r="JF5" s="670" t="s">
        <v>648</v>
      </c>
      <c r="JG5" s="2363"/>
      <c r="JH5" s="2333"/>
      <c r="JK5" s="2333"/>
    </row>
    <row r="6" spans="1:276" s="289" customFormat="1" ht="12.95" customHeight="1" thickTop="1" x14ac:dyDescent="0.2">
      <c r="A6" s="444"/>
      <c r="B6" s="444"/>
      <c r="C6" s="444"/>
      <c r="D6" s="444"/>
      <c r="E6" s="444"/>
      <c r="F6" s="444"/>
      <c r="G6" s="444"/>
      <c r="H6" s="444"/>
      <c r="I6" s="444"/>
      <c r="J6" s="444"/>
      <c r="K6" s="444"/>
      <c r="L6" s="444"/>
      <c r="M6" s="2431" t="str">
        <f>IF(NOT(ISERROR(FIND("galv",LOWER($M$7)))),"**USE STEEL TAGS**  **NO A490 BOLTS**","")</f>
        <v/>
      </c>
      <c r="N6" s="2432"/>
      <c r="O6" s="2432"/>
      <c r="P6" s="2432"/>
      <c r="Q6" s="2432"/>
      <c r="R6" s="2432"/>
      <c r="S6" s="2432"/>
      <c r="T6" s="2432"/>
      <c r="U6" s="1420"/>
      <c r="V6" s="2423" t="s">
        <v>20</v>
      </c>
      <c r="W6" s="2423"/>
      <c r="X6" s="2300">
        <f>IF(ISBLANK('Job Info.'!D8),"",'Job Info.'!D8)</f>
        <v>43406</v>
      </c>
      <c r="Y6" s="2300"/>
      <c r="Z6" s="1399"/>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424" t="s">
        <v>20</v>
      </c>
      <c r="BA6" s="2424"/>
      <c r="BB6" s="2300">
        <f>X6</f>
        <v>43406</v>
      </c>
      <c r="BC6" s="2300"/>
      <c r="BD6" s="2300"/>
      <c r="BE6" s="1400"/>
      <c r="BF6" s="444"/>
      <c r="BG6" s="444"/>
      <c r="BH6" s="321"/>
      <c r="BI6" s="1392"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477" t="s">
        <v>680</v>
      </c>
      <c r="DI6" s="2588"/>
      <c r="DJ6" s="2588"/>
      <c r="DK6" s="2588"/>
      <c r="DL6" s="2588"/>
      <c r="DM6" s="2588"/>
      <c r="DN6" s="2588"/>
      <c r="DO6" s="2588"/>
      <c r="DP6" s="2588"/>
      <c r="DQ6" s="2588"/>
      <c r="DR6" s="2588"/>
      <c r="DS6" s="2588"/>
      <c r="DT6" s="2588"/>
      <c r="DU6" s="2588"/>
      <c r="DV6" s="2588"/>
      <c r="DW6" s="2588"/>
      <c r="DX6" s="2588"/>
      <c r="DY6" s="2588"/>
      <c r="DZ6" s="2588"/>
      <c r="EA6" s="2588"/>
      <c r="EB6" s="2588"/>
      <c r="EC6" s="2588"/>
      <c r="ED6" s="2588"/>
      <c r="EE6" s="2588"/>
      <c r="EF6" s="2588"/>
      <c r="EG6" s="2588"/>
      <c r="EH6" s="2588"/>
      <c r="EI6" s="2588"/>
      <c r="EJ6" s="2588"/>
      <c r="EK6" s="2589"/>
      <c r="EL6" s="294"/>
      <c r="EM6" s="294"/>
      <c r="EN6" s="294"/>
      <c r="EO6" s="1179"/>
      <c r="EP6" s="1179"/>
      <c r="EQ6" s="1179"/>
      <c r="ER6" s="1179"/>
      <c r="ES6" s="1179"/>
      <c r="ET6" s="1180"/>
      <c r="EU6" s="1176"/>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62"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5" customHeight="1" x14ac:dyDescent="0.2">
      <c r="A7" s="1401" t="s">
        <v>37</v>
      </c>
      <c r="B7" s="473"/>
      <c r="C7" s="473"/>
      <c r="D7" s="444"/>
      <c r="E7" s="444"/>
      <c r="F7" s="473"/>
      <c r="G7" s="473"/>
      <c r="H7" s="473"/>
      <c r="I7" s="473"/>
      <c r="J7" s="473"/>
      <c r="K7" s="2424" t="s">
        <v>26</v>
      </c>
      <c r="L7" s="2425"/>
      <c r="M7" s="2429" t="str">
        <f>IF(ISBLANK(DA24),"",DA24)</f>
        <v/>
      </c>
      <c r="N7" s="2430"/>
      <c r="O7" s="2430"/>
      <c r="P7" s="2430"/>
      <c r="Q7" s="2430"/>
      <c r="R7" s="2430"/>
      <c r="S7" s="2430"/>
      <c r="T7" s="1420"/>
      <c r="U7" s="1420"/>
      <c r="V7" s="2423" t="s">
        <v>21</v>
      </c>
      <c r="W7" s="2423"/>
      <c r="X7" s="1525" t="str">
        <f>CONCATENATE(BI7, " of ",IF(ISBLANK('Job Info.'!D9),"",'Job Info.'!D9))</f>
        <v xml:space="preserve"> of 42</v>
      </c>
      <c r="Y7" s="822"/>
      <c r="Z7" s="1399"/>
      <c r="AA7" s="444"/>
      <c r="AB7" s="1401"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423" t="s">
        <v>21</v>
      </c>
      <c r="BA7" s="2423"/>
      <c r="BB7" s="1419" t="str">
        <f>CONCATENATE(IF(ISBLANK(BI7),"",BI7+1), " of ",IF(ISBLANK('Job Info.'!D9),"",'Job Info.'!D9))</f>
        <v xml:space="preserve"> of 42</v>
      </c>
      <c r="BC7" s="822"/>
      <c r="BD7" s="822"/>
      <c r="BE7" s="444"/>
      <c r="BF7" s="444"/>
      <c r="BG7" s="444"/>
      <c r="BH7" s="322"/>
      <c r="BI7" s="1393"/>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590"/>
      <c r="DI7" s="2591"/>
      <c r="DJ7" s="2591"/>
      <c r="DK7" s="2591"/>
      <c r="DL7" s="2591"/>
      <c r="DM7" s="2591"/>
      <c r="DN7" s="2591"/>
      <c r="DO7" s="2591"/>
      <c r="DP7" s="2591"/>
      <c r="DQ7" s="2591"/>
      <c r="DR7" s="2591"/>
      <c r="DS7" s="2591"/>
      <c r="DT7" s="2591"/>
      <c r="DU7" s="2591"/>
      <c r="DV7" s="2591"/>
      <c r="DW7" s="2591"/>
      <c r="DX7" s="2591"/>
      <c r="DY7" s="2591"/>
      <c r="DZ7" s="2591"/>
      <c r="EA7" s="2591"/>
      <c r="EB7" s="2591"/>
      <c r="EC7" s="2591"/>
      <c r="ED7" s="2591"/>
      <c r="EE7" s="2591"/>
      <c r="EF7" s="2591"/>
      <c r="EG7" s="2591"/>
      <c r="EH7" s="2591"/>
      <c r="EI7" s="2591"/>
      <c r="EJ7" s="2591"/>
      <c r="EK7" s="2592"/>
      <c r="EL7" s="292"/>
      <c r="EM7" s="292"/>
      <c r="EN7" s="294"/>
      <c r="EO7" s="1180"/>
      <c r="EP7" s="1179"/>
      <c r="EQ7" s="1179"/>
      <c r="ER7" s="1179"/>
      <c r="ES7" s="1180"/>
      <c r="ET7" s="1180"/>
      <c r="EU7" s="1180"/>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62" t="s">
        <v>1181</v>
      </c>
      <c r="IE7" s="1519">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428"/>
      <c r="B8" s="2428"/>
      <c r="C8" s="2428"/>
      <c r="D8" s="2428"/>
      <c r="E8" s="2428"/>
      <c r="F8" s="2428"/>
      <c r="G8" s="2428"/>
      <c r="H8" s="2428"/>
      <c r="I8" s="2428"/>
      <c r="J8" s="2428"/>
      <c r="K8" s="2428"/>
      <c r="L8" s="2428"/>
      <c r="M8" s="2428"/>
      <c r="N8" s="2428"/>
      <c r="O8" s="2428"/>
      <c r="P8" s="2428"/>
      <c r="Q8" s="2428"/>
      <c r="R8" s="2428"/>
      <c r="S8" s="2428"/>
      <c r="T8" s="2428"/>
      <c r="U8" s="2428"/>
      <c r="V8" s="2428"/>
      <c r="W8" s="2428"/>
      <c r="X8" s="2428"/>
      <c r="Y8" s="2428"/>
      <c r="Z8" s="2428"/>
      <c r="AA8" s="2428"/>
      <c r="AB8" s="2428"/>
      <c r="AC8" s="2428"/>
      <c r="AD8" s="2428"/>
      <c r="AE8" s="2428"/>
      <c r="AF8" s="2428"/>
      <c r="AG8" s="2428"/>
      <c r="AH8" s="2428"/>
      <c r="AI8" s="2428"/>
      <c r="AJ8" s="2428"/>
      <c r="AK8" s="2428"/>
      <c r="AL8" s="2428"/>
      <c r="AM8" s="2428"/>
      <c r="AN8" s="2428"/>
      <c r="AO8" s="2428"/>
      <c r="AP8" s="2428"/>
      <c r="AQ8" s="2428"/>
      <c r="AR8" s="2428"/>
      <c r="AS8" s="2428"/>
      <c r="AT8" s="2428"/>
      <c r="AU8" s="2428"/>
      <c r="AV8" s="2428"/>
      <c r="AW8" s="2428"/>
      <c r="AX8" s="2428"/>
      <c r="AY8" s="2428"/>
      <c r="AZ8" s="2428"/>
      <c r="BA8" s="2428"/>
      <c r="BB8" s="2428"/>
      <c r="BC8" s="2428"/>
      <c r="BD8" s="2428"/>
      <c r="BE8" s="2428"/>
      <c r="BF8" s="2428"/>
      <c r="BG8" s="2428"/>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593"/>
      <c r="DI8" s="2594"/>
      <c r="DJ8" s="2594"/>
      <c r="DK8" s="2594"/>
      <c r="DL8" s="2594"/>
      <c r="DM8" s="2594"/>
      <c r="DN8" s="2594"/>
      <c r="DO8" s="2594"/>
      <c r="DP8" s="2594"/>
      <c r="DQ8" s="2594"/>
      <c r="DR8" s="2594"/>
      <c r="DS8" s="2594"/>
      <c r="DT8" s="2594"/>
      <c r="DU8" s="2594"/>
      <c r="DV8" s="2594"/>
      <c r="DW8" s="2594"/>
      <c r="DX8" s="2594"/>
      <c r="DY8" s="2594"/>
      <c r="DZ8" s="2594"/>
      <c r="EA8" s="2594"/>
      <c r="EB8" s="2594"/>
      <c r="EC8" s="2594"/>
      <c r="ED8" s="2594"/>
      <c r="EE8" s="2594"/>
      <c r="EF8" s="2594"/>
      <c r="EG8" s="2594"/>
      <c r="EH8" s="2594"/>
      <c r="EI8" s="2594"/>
      <c r="EJ8" s="2594"/>
      <c r="EK8" s="2595"/>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2" customHeight="1" thickTop="1" x14ac:dyDescent="0.2">
      <c r="A9" s="2319" t="s">
        <v>1</v>
      </c>
      <c r="B9" s="2239"/>
      <c r="C9" s="2225" t="str">
        <f>IF(ISBLANK('Job Info.'!D3),"",'Job Info.'!D3)</f>
        <v>SUNPOINT CROSSING</v>
      </c>
      <c r="D9" s="2225"/>
      <c r="E9" s="2225"/>
      <c r="F9" s="2225"/>
      <c r="G9" s="2225"/>
      <c r="H9" s="2225"/>
      <c r="I9" s="2225"/>
      <c r="J9" s="2225"/>
      <c r="K9" s="2225"/>
      <c r="L9" s="2225"/>
      <c r="M9" s="2225"/>
      <c r="N9" s="2225"/>
      <c r="O9" s="2225"/>
      <c r="P9" s="2226"/>
      <c r="Q9" s="2319" t="s">
        <v>2</v>
      </c>
      <c r="R9" s="2239"/>
      <c r="S9" s="2239"/>
      <c r="T9" s="2225" t="str">
        <f>IF(ISBLANK('Job Info.'!D5),"",'Job Info.'!D5)</f>
        <v>9118-0062</v>
      </c>
      <c r="U9" s="2225"/>
      <c r="V9" s="2225"/>
      <c r="W9" s="2225"/>
      <c r="X9" s="2225"/>
      <c r="Y9" s="2225"/>
      <c r="Z9" s="2225"/>
      <c r="AA9" s="2226"/>
      <c r="AB9" s="2319" t="s">
        <v>1</v>
      </c>
      <c r="AC9" s="2239"/>
      <c r="AD9" s="2239"/>
      <c r="AE9" s="2225" t="str">
        <f>C9</f>
        <v>SUNPOINT CROSSING</v>
      </c>
      <c r="AF9" s="2225"/>
      <c r="AG9" s="2225"/>
      <c r="AH9" s="2225"/>
      <c r="AI9" s="2225"/>
      <c r="AJ9" s="2225"/>
      <c r="AK9" s="2225"/>
      <c r="AL9" s="2225"/>
      <c r="AM9" s="2225"/>
      <c r="AN9" s="2225"/>
      <c r="AO9" s="2225"/>
      <c r="AP9" s="2225"/>
      <c r="AQ9" s="2225"/>
      <c r="AR9" s="2225"/>
      <c r="AS9" s="2225"/>
      <c r="AT9" s="2226"/>
      <c r="AU9" s="2319" t="s">
        <v>2</v>
      </c>
      <c r="AV9" s="2239"/>
      <c r="AW9" s="2239"/>
      <c r="AX9" s="2225" t="str">
        <f>T9</f>
        <v>9118-0062</v>
      </c>
      <c r="AY9" s="2225"/>
      <c r="AZ9" s="2225"/>
      <c r="BA9" s="2225"/>
      <c r="BB9" s="2225"/>
      <c r="BC9" s="2225"/>
      <c r="BD9" s="2225"/>
      <c r="BE9" s="2225"/>
      <c r="BF9" s="2225"/>
      <c r="BG9" s="2226"/>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381" t="s">
        <v>653</v>
      </c>
      <c r="DI9" s="2596" t="s">
        <v>681</v>
      </c>
      <c r="DJ9" s="2597"/>
      <c r="DK9" s="2597"/>
      <c r="DL9" s="2597"/>
      <c r="DM9" s="2597"/>
      <c r="DN9" s="2598"/>
      <c r="DO9" s="2378" t="s">
        <v>640</v>
      </c>
      <c r="DP9" s="2602" t="s">
        <v>682</v>
      </c>
      <c r="DQ9" s="2565"/>
      <c r="DR9" s="2565"/>
      <c r="DS9" s="2565"/>
      <c r="DT9" s="2565"/>
      <c r="DU9" s="2565"/>
      <c r="DV9" s="2605" t="s">
        <v>650</v>
      </c>
      <c r="DW9" s="2565"/>
      <c r="DX9" s="2565"/>
      <c r="DY9" s="2565"/>
      <c r="DZ9" s="2565"/>
      <c r="EA9" s="2565"/>
      <c r="EB9" s="2565"/>
      <c r="EC9" s="2565"/>
      <c r="ED9" s="2565"/>
      <c r="EE9" s="2565"/>
      <c r="EF9" s="2565"/>
      <c r="EG9" s="2565"/>
      <c r="EH9" s="2565"/>
      <c r="EI9" s="2565"/>
      <c r="EJ9" s="2565"/>
      <c r="EK9" s="2566"/>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62"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2" customHeight="1" x14ac:dyDescent="0.2">
      <c r="A10" s="2319" t="s">
        <v>3</v>
      </c>
      <c r="B10" s="2239"/>
      <c r="C10" s="2225" t="str">
        <f>IF(ISBLANK('Job Info.'!D4),"",'Job Info.'!D4)</f>
        <v>LAS VEGAS, NV</v>
      </c>
      <c r="D10" s="2225"/>
      <c r="E10" s="2225"/>
      <c r="F10" s="2225"/>
      <c r="G10" s="2225"/>
      <c r="H10" s="2225"/>
      <c r="I10" s="2225"/>
      <c r="J10" s="2225"/>
      <c r="K10" s="2225"/>
      <c r="L10" s="2225"/>
      <c r="M10" s="2225"/>
      <c r="N10" s="2225"/>
      <c r="O10" s="2225"/>
      <c r="P10" s="2226"/>
      <c r="Q10" s="2319" t="s">
        <v>22</v>
      </c>
      <c r="R10" s="2239"/>
      <c r="S10" s="2239"/>
      <c r="T10" s="2225" t="str">
        <f>IF(ISBLANK('Job Info.'!D6),"",'Job Info.'!D6)</f>
        <v>CJA</v>
      </c>
      <c r="U10" s="2225"/>
      <c r="V10" s="2225"/>
      <c r="W10" s="2226"/>
      <c r="X10" s="2319" t="s">
        <v>23</v>
      </c>
      <c r="Y10" s="2239"/>
      <c r="Z10" s="2225" t="str">
        <f>IF(ISBLANK('Job Info.'!D7),"",'Job Info.'!D7)</f>
        <v>LS</v>
      </c>
      <c r="AA10" s="2226"/>
      <c r="AB10" s="2319" t="s">
        <v>3</v>
      </c>
      <c r="AC10" s="2239"/>
      <c r="AD10" s="2239"/>
      <c r="AE10" s="2225" t="str">
        <f>C10</f>
        <v>LAS VEGAS, NV</v>
      </c>
      <c r="AF10" s="2225"/>
      <c r="AG10" s="2225"/>
      <c r="AH10" s="2225"/>
      <c r="AI10" s="2225"/>
      <c r="AJ10" s="2225"/>
      <c r="AK10" s="2225"/>
      <c r="AL10" s="2225"/>
      <c r="AM10" s="2225"/>
      <c r="AN10" s="2225"/>
      <c r="AO10" s="2225"/>
      <c r="AP10" s="2225"/>
      <c r="AQ10" s="2225"/>
      <c r="AR10" s="2225"/>
      <c r="AS10" s="2225"/>
      <c r="AT10" s="2226"/>
      <c r="AU10" s="2319" t="s">
        <v>22</v>
      </c>
      <c r="AV10" s="2239"/>
      <c r="AW10" s="2239"/>
      <c r="AX10" s="2225" t="str">
        <f>T10</f>
        <v>CJA</v>
      </c>
      <c r="AY10" s="2225"/>
      <c r="AZ10" s="2225"/>
      <c r="BA10" s="2226"/>
      <c r="BB10" s="2319" t="s">
        <v>23</v>
      </c>
      <c r="BC10" s="2239"/>
      <c r="BD10" s="2239"/>
      <c r="BE10" s="2225" t="str">
        <f>Z10</f>
        <v>LS</v>
      </c>
      <c r="BF10" s="2225"/>
      <c r="BG10" s="2226"/>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382"/>
      <c r="DI10" s="2599"/>
      <c r="DJ10" s="2600"/>
      <c r="DK10" s="2600"/>
      <c r="DL10" s="2600"/>
      <c r="DM10" s="2600"/>
      <c r="DN10" s="2601"/>
      <c r="DO10" s="2379"/>
      <c r="DP10" s="2568"/>
      <c r="DQ10" s="2568"/>
      <c r="DR10" s="2568"/>
      <c r="DS10" s="2568"/>
      <c r="DT10" s="2568"/>
      <c r="DU10" s="2568"/>
      <c r="DV10" s="2567"/>
      <c r="DW10" s="2568"/>
      <c r="DX10" s="2568"/>
      <c r="DY10" s="2568"/>
      <c r="DZ10" s="2568"/>
      <c r="EA10" s="2568"/>
      <c r="EB10" s="2568"/>
      <c r="EC10" s="2568"/>
      <c r="ED10" s="2568"/>
      <c r="EE10" s="2568"/>
      <c r="EF10" s="2568"/>
      <c r="EG10" s="2568"/>
      <c r="EH10" s="2568"/>
      <c r="EI10" s="2568"/>
      <c r="EJ10" s="2568"/>
      <c r="EK10" s="2569"/>
      <c r="EL10" s="287"/>
      <c r="EM10" s="287"/>
      <c r="EN10" s="1178"/>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62"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5" customHeight="1" thickBot="1" x14ac:dyDescent="0.25">
      <c r="A11" s="2486"/>
      <c r="B11" s="2486"/>
      <c r="C11" s="2486"/>
      <c r="D11" s="2486"/>
      <c r="E11" s="2486"/>
      <c r="F11" s="2486"/>
      <c r="G11" s="2486"/>
      <c r="H11" s="2486"/>
      <c r="I11" s="2486"/>
      <c r="J11" s="2486"/>
      <c r="K11" s="2486"/>
      <c r="L11" s="2486"/>
      <c r="M11" s="2486"/>
      <c r="N11" s="2486"/>
      <c r="O11" s="2486"/>
      <c r="P11" s="2486"/>
      <c r="Q11" s="2486"/>
      <c r="R11" s="2486"/>
      <c r="S11" s="2486"/>
      <c r="T11" s="2486"/>
      <c r="U11" s="2486"/>
      <c r="V11" s="2486"/>
      <c r="W11" s="2486"/>
      <c r="X11" s="2486"/>
      <c r="Y11" s="2486"/>
      <c r="Z11" s="2486"/>
      <c r="AA11" s="2486"/>
      <c r="AB11" s="1436"/>
      <c r="AC11" s="1436"/>
      <c r="AD11" s="1436"/>
      <c r="AE11" s="1436"/>
      <c r="AF11" s="1436"/>
      <c r="AG11" s="1436"/>
      <c r="AH11" s="1436"/>
      <c r="AI11" s="1436"/>
      <c r="AJ11" s="1436"/>
      <c r="AK11" s="1436"/>
      <c r="AL11" s="1436"/>
      <c r="AM11" s="1436"/>
      <c r="AN11" s="1436"/>
      <c r="AO11" s="1436"/>
      <c r="AP11" s="1436"/>
      <c r="AQ11" s="1436"/>
      <c r="AR11" s="1436"/>
      <c r="AS11" s="1436"/>
      <c r="AT11" s="1436"/>
      <c r="AU11" s="1436"/>
      <c r="AV11" s="1436"/>
      <c r="AW11" s="1436"/>
      <c r="AX11" s="1436"/>
      <c r="AY11" s="1436"/>
      <c r="AZ11" s="1436"/>
      <c r="BA11" s="1436"/>
      <c r="BB11" s="1436"/>
      <c r="BC11" s="1436"/>
      <c r="BD11" s="1436"/>
      <c r="BE11" s="1436"/>
      <c r="BF11" s="1436"/>
      <c r="BG11" s="1436"/>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382"/>
      <c r="DI11" s="2599"/>
      <c r="DJ11" s="2600"/>
      <c r="DK11" s="2600"/>
      <c r="DL11" s="2600"/>
      <c r="DM11" s="2600"/>
      <c r="DN11" s="2601"/>
      <c r="DO11" s="2379"/>
      <c r="DP11" s="2568"/>
      <c r="DQ11" s="2568"/>
      <c r="DR11" s="2568"/>
      <c r="DS11" s="2568"/>
      <c r="DT11" s="2568"/>
      <c r="DU11" s="2568"/>
      <c r="DV11" s="2567"/>
      <c r="DW11" s="2568"/>
      <c r="DX11" s="2568"/>
      <c r="DY11" s="2568"/>
      <c r="DZ11" s="2568"/>
      <c r="EA11" s="2568"/>
      <c r="EB11" s="2568"/>
      <c r="EC11" s="2568"/>
      <c r="ED11" s="2568"/>
      <c r="EE11" s="2568"/>
      <c r="EF11" s="2568"/>
      <c r="EG11" s="2568"/>
      <c r="EH11" s="2568"/>
      <c r="EI11" s="2568"/>
      <c r="EJ11" s="2568"/>
      <c r="EK11" s="2569"/>
      <c r="EL11" s="653"/>
      <c r="EM11" s="653"/>
      <c r="EN11" s="1181"/>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25">
      <c r="A12" s="1403"/>
      <c r="B12" s="1403"/>
      <c r="C12" s="1403"/>
      <c r="D12" s="1403"/>
      <c r="E12" s="1403"/>
      <c r="F12" s="1403"/>
      <c r="G12" s="1403"/>
      <c r="H12" s="1403"/>
      <c r="I12" s="1403"/>
      <c r="J12" s="1403"/>
      <c r="K12" s="1403"/>
      <c r="L12" s="1403"/>
      <c r="M12" s="1403"/>
      <c r="N12" s="1403"/>
      <c r="O12" s="1403"/>
      <c r="P12" s="1403"/>
      <c r="Q12" s="1403"/>
      <c r="R12" s="1403"/>
      <c r="S12" s="1403"/>
      <c r="T12" s="1403"/>
      <c r="U12" s="1403"/>
      <c r="V12" s="1403"/>
      <c r="W12" s="1403"/>
      <c r="X12" s="1403"/>
      <c r="Y12" s="1403"/>
      <c r="Z12" s="1403"/>
      <c r="AA12" s="1403"/>
      <c r="AB12" s="2453" t="s">
        <v>40</v>
      </c>
      <c r="AC12" s="2336" t="s">
        <v>63</v>
      </c>
      <c r="AD12" s="2338" t="s">
        <v>32</v>
      </c>
      <c r="AE12" s="2339"/>
      <c r="AF12" s="2342" t="s">
        <v>34</v>
      </c>
      <c r="AG12" s="2343"/>
      <c r="AH12" s="2344"/>
      <c r="AI12" s="2338" t="s">
        <v>35</v>
      </c>
      <c r="AJ12" s="2339"/>
      <c r="AK12" s="2345" t="s">
        <v>64</v>
      </c>
      <c r="AL12" s="2347" t="s">
        <v>778</v>
      </c>
      <c r="AM12" s="2348"/>
      <c r="AN12" s="2348"/>
      <c r="AO12" s="2348"/>
      <c r="AP12" s="2348"/>
      <c r="AQ12" s="2349"/>
      <c r="AR12" s="2343" t="s">
        <v>83</v>
      </c>
      <c r="AS12" s="2343"/>
      <c r="AT12" s="2343"/>
      <c r="AU12" s="2343"/>
      <c r="AV12" s="2343"/>
      <c r="AW12" s="2343"/>
      <c r="AX12" s="2343"/>
      <c r="AY12" s="2343"/>
      <c r="AZ12" s="2343"/>
      <c r="BA12" s="2343"/>
      <c r="BB12" s="2343"/>
      <c r="BC12" s="2343"/>
      <c r="BD12" s="2343"/>
      <c r="BE12" s="2343"/>
      <c r="BF12" s="2343"/>
      <c r="BG12" s="2350"/>
      <c r="BH12" s="322"/>
      <c r="BJ12" s="139"/>
      <c r="BK12" s="139"/>
      <c r="BL12" s="139"/>
      <c r="BM12" s="139"/>
      <c r="BN12" s="139"/>
      <c r="BO12" s="139"/>
      <c r="BW12" s="2398" t="s">
        <v>671</v>
      </c>
      <c r="BX12" s="2399"/>
      <c r="BY12" s="2399"/>
      <c r="BZ12" s="2400"/>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382"/>
      <c r="DI12" s="2356" t="s">
        <v>1108</v>
      </c>
      <c r="DJ12" s="2358" t="s">
        <v>32</v>
      </c>
      <c r="DK12" s="2359"/>
      <c r="DL12" s="2362" t="s">
        <v>34</v>
      </c>
      <c r="DM12" s="2364" t="s">
        <v>526</v>
      </c>
      <c r="DN12" s="2365"/>
      <c r="DO12" s="2379"/>
      <c r="DP12" s="2334" t="s">
        <v>641</v>
      </c>
      <c r="DQ12" s="2365" t="s">
        <v>642</v>
      </c>
      <c r="DR12" s="2365" t="s">
        <v>643</v>
      </c>
      <c r="DS12" s="2365" t="s">
        <v>644</v>
      </c>
      <c r="DT12" s="2368" t="s">
        <v>645</v>
      </c>
      <c r="DU12" s="2369"/>
      <c r="DV12" s="2370" t="s">
        <v>638</v>
      </c>
      <c r="DW12" s="2371"/>
      <c r="DX12" s="2362" t="s">
        <v>649</v>
      </c>
      <c r="DY12" s="2372" t="s">
        <v>639</v>
      </c>
      <c r="DZ12" s="2370" t="s">
        <v>638</v>
      </c>
      <c r="EA12" s="2371"/>
      <c r="EB12" s="2362" t="s">
        <v>649</v>
      </c>
      <c r="EC12" s="2372" t="s">
        <v>639</v>
      </c>
      <c r="ED12" s="2370" t="s">
        <v>638</v>
      </c>
      <c r="EE12" s="2371"/>
      <c r="EF12" s="2362" t="s">
        <v>649</v>
      </c>
      <c r="EG12" s="2372" t="s">
        <v>639</v>
      </c>
      <c r="EH12" s="2370" t="s">
        <v>638</v>
      </c>
      <c r="EI12" s="2371"/>
      <c r="EJ12" s="2362" t="s">
        <v>649</v>
      </c>
      <c r="EK12" s="2332" t="s">
        <v>639</v>
      </c>
      <c r="EL12" s="653"/>
      <c r="EM12" s="2384"/>
      <c r="EN12" s="1181"/>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562" t="s">
        <v>673</v>
      </c>
      <c r="IF12" s="2465" t="s">
        <v>1209</v>
      </c>
      <c r="IG12" s="2465" t="s">
        <v>1210</v>
      </c>
      <c r="IH12" s="2465" t="s">
        <v>1211</v>
      </c>
      <c r="II12" s="2465" t="s">
        <v>1212</v>
      </c>
      <c r="IJ12" s="2465" t="s">
        <v>1214</v>
      </c>
      <c r="IK12" s="2465" t="s">
        <v>1213</v>
      </c>
      <c r="IL12" s="2465" t="str">
        <f>IF($HA$1,"Load (Kip)","Panel ""B"" Feet")</f>
        <v>Panel "B" Feet</v>
      </c>
      <c r="IM12" s="2465" t="str">
        <f>IF($HA$1,"OSHA N/F/B","Panel ""B"" Inch")</f>
        <v>Panel "B" Inch</v>
      </c>
      <c r="IN12" s="2465" t="str">
        <f>IF($HA$1,"Girder TC Ga","Load (Kip)")</f>
        <v>Load (Kip)</v>
      </c>
      <c r="IO12" s="2465" t="str">
        <f>IF($HA$1,"Jst Hole (x/16)","OSHA N/F/B")</f>
        <v>OSHA N/F/B</v>
      </c>
      <c r="IP12" s="2465" t="str">
        <f>IF($HA$1,"Joist Gage","Girder TC Gage")</f>
        <v>Girder TC Gage</v>
      </c>
      <c r="IQ12" s="2465" t="str">
        <f>IF($HA$1,"TC Hole L","Girder TC Hole (x/16)")</f>
        <v>Girder TC Hole (x/16)</v>
      </c>
      <c r="IR12" s="2465" t="str">
        <f>IF($HA$1,"TC Hole R","Joist Gage")</f>
        <v>Joist Gage</v>
      </c>
      <c r="IS12" s="2465" t="str">
        <f>IF($HA$1,"Add Jst#1 Feet","TCHoleL")</f>
        <v>TCHoleL</v>
      </c>
      <c r="IT12" s="2465" t="str">
        <f>IF($HA$1,"Add Jst#1 Inch","TC Hole R")</f>
        <v>TC Hole R</v>
      </c>
      <c r="IU12" s="2465" t="str">
        <f>IF($HA$1,"Add Jst#1 Load","Add Jst#1 Feet")</f>
        <v>Add Jst#1 Feet</v>
      </c>
      <c r="IV12" s="2465" t="str">
        <f>IF($HA$1,"Add Jst#1 Bolt N/F/B","Add Jst#1 inch")</f>
        <v>Add Jst#1 inch</v>
      </c>
      <c r="IW12" s="2465" t="str">
        <f>IF($HA$1,"Add Jst#2 Feet","Add Jst#1 Load")</f>
        <v>Add Jst#1 Load</v>
      </c>
      <c r="IX12" s="2465" t="str">
        <f>IF($HA$1,"Add Jst#2 Inch","Add Jst#1 Bolt N/F/B")</f>
        <v>Add Jst#1 Bolt N/F/B</v>
      </c>
      <c r="IY12" s="2465" t="str">
        <f>IF($HA$1,"Add Jst#2 Load","Add Jst#2 Feet")</f>
        <v>Add Jst#2 Feet</v>
      </c>
      <c r="IZ12" s="2465" t="str">
        <f>IF($HA$1,"Add Jst#2 Bolt N/F/B","Add Jst#2 inch")</f>
        <v>Add Jst#2 inch</v>
      </c>
      <c r="JA12" s="2465" t="str">
        <f>IF($HA$1,"Add Jst#3 Feet","Add Jst#2 Load")</f>
        <v>Add Jst#2 Load</v>
      </c>
      <c r="JB12" s="2465" t="str">
        <f>IF($HA$1,"Add Jst#3 Inch","Add Jst#2 Bolt N/F/B")</f>
        <v>Add Jst#2 Bolt N/F/B</v>
      </c>
      <c r="JC12" s="2465" t="str">
        <f>IF($HA$1,"Add Jst#3 Load","Add Jst#3 Feet")</f>
        <v>Add Jst#3 Feet</v>
      </c>
      <c r="JD12" s="2465" t="str">
        <f>IF($HA$1,"Add Jst#3 Bolt N/F/B","Add Jst#3 inch")</f>
        <v>Add Jst#3 inch</v>
      </c>
      <c r="JE12" s="2465" t="str">
        <f>IF($HA$1,"Add Jst#4 Feet","Add Jst#3 Load")</f>
        <v>Add Jst#3 Load</v>
      </c>
      <c r="JF12" s="2465" t="str">
        <f>IF($HA$1,"Add Jst#4 Inch","Add Jst#3 Bolt N/F/B")</f>
        <v>Add Jst#3 Bolt N/F/B</v>
      </c>
      <c r="JG12" s="2465" t="str">
        <f>IF($HA$1,"Add Jst#4 Load","Add Jst#4 Feet")</f>
        <v>Add Jst#4 Feet</v>
      </c>
      <c r="JH12" s="2465" t="str">
        <f>IF($HA$1,"Add Jst#4 Bolt N/F/B","Add Jst#4 inch")</f>
        <v>Add Jst#4 inch</v>
      </c>
      <c r="JI12" s="2465" t="str">
        <f>IF($HA$1,"-","Add Jst#4 Load")</f>
        <v>Add Jst#4 Load</v>
      </c>
      <c r="JJ12" s="2465" t="str">
        <f>IF($HA$1,"-","Add Jst#4 Bolt N/F/B")</f>
        <v>Add Jst#4 Bolt N/F/B</v>
      </c>
      <c r="JK12" s="2642" t="str">
        <f>IF($HA$1,"# Rows Req'd","# Rows Req'd")</f>
        <v># Rows Req'd</v>
      </c>
      <c r="JL12" s="2644" t="s">
        <v>1216</v>
      </c>
      <c r="JM12" s="289"/>
    </row>
    <row r="13" spans="1:276" ht="21" customHeight="1" thickTop="1" thickBot="1" x14ac:dyDescent="0.25">
      <c r="A13" s="1403"/>
      <c r="B13" s="1403"/>
      <c r="C13" s="1403"/>
      <c r="D13" s="1403"/>
      <c r="E13" s="1403"/>
      <c r="F13" s="1403"/>
      <c r="G13" s="1403"/>
      <c r="H13" s="1403"/>
      <c r="I13" s="1403"/>
      <c r="J13" s="1403"/>
      <c r="K13" s="1403"/>
      <c r="L13" s="1403"/>
      <c r="M13" s="1403"/>
      <c r="N13" s="1403"/>
      <c r="O13" s="1403"/>
      <c r="P13" s="1403"/>
      <c r="Q13" s="1403"/>
      <c r="R13" s="1403"/>
      <c r="S13" s="1403"/>
      <c r="T13" s="1403"/>
      <c r="U13" s="1403"/>
      <c r="V13" s="1403"/>
      <c r="W13" s="1403"/>
      <c r="X13" s="1403"/>
      <c r="Y13" s="1403"/>
      <c r="Z13" s="1403"/>
      <c r="AA13" s="1403"/>
      <c r="AB13" s="2454"/>
      <c r="AC13" s="2337"/>
      <c r="AD13" s="2340"/>
      <c r="AE13" s="2341"/>
      <c r="AF13" s="1423" t="s">
        <v>33</v>
      </c>
      <c r="AG13" s="2351" t="s">
        <v>16</v>
      </c>
      <c r="AH13" s="2352"/>
      <c r="AI13" s="2340"/>
      <c r="AJ13" s="2341"/>
      <c r="AK13" s="2346"/>
      <c r="AL13" s="1439" t="s">
        <v>779</v>
      </c>
      <c r="AM13" s="1424" t="s">
        <v>776</v>
      </c>
      <c r="AN13" s="1424" t="s">
        <v>777</v>
      </c>
      <c r="AO13" s="1428" t="s">
        <v>61</v>
      </c>
      <c r="AP13" s="1426" t="s">
        <v>780</v>
      </c>
      <c r="AQ13" s="1440" t="s">
        <v>781</v>
      </c>
      <c r="AR13" s="2353" t="s">
        <v>59</v>
      </c>
      <c r="AS13" s="2352"/>
      <c r="AT13" s="1441" t="s">
        <v>64</v>
      </c>
      <c r="AU13" s="1442" t="s">
        <v>60</v>
      </c>
      <c r="AV13" s="2354" t="s">
        <v>59</v>
      </c>
      <c r="AW13" s="2355"/>
      <c r="AX13" s="1441" t="s">
        <v>64</v>
      </c>
      <c r="AY13" s="1442" t="s">
        <v>60</v>
      </c>
      <c r="AZ13" s="2354" t="s">
        <v>59</v>
      </c>
      <c r="BA13" s="2355"/>
      <c r="BB13" s="1441" t="s">
        <v>64</v>
      </c>
      <c r="BC13" s="1442" t="s">
        <v>60</v>
      </c>
      <c r="BD13" s="2354" t="s">
        <v>59</v>
      </c>
      <c r="BE13" s="2355"/>
      <c r="BF13" s="1441" t="s">
        <v>64</v>
      </c>
      <c r="BG13" s="1442"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383"/>
      <c r="DI13" s="2357"/>
      <c r="DJ13" s="2360"/>
      <c r="DK13" s="2361"/>
      <c r="DL13" s="2363"/>
      <c r="DM13" s="2366"/>
      <c r="DN13" s="2367"/>
      <c r="DO13" s="2380"/>
      <c r="DP13" s="2335"/>
      <c r="DQ13" s="2367"/>
      <c r="DR13" s="2367"/>
      <c r="DS13" s="2367"/>
      <c r="DT13" s="634" t="s">
        <v>646</v>
      </c>
      <c r="DU13" s="635" t="s">
        <v>647</v>
      </c>
      <c r="DV13" s="669" t="s">
        <v>674</v>
      </c>
      <c r="DW13" s="670" t="s">
        <v>648</v>
      </c>
      <c r="DX13" s="2363"/>
      <c r="DY13" s="2364"/>
      <c r="DZ13" s="669" t="s">
        <v>674</v>
      </c>
      <c r="EA13" s="670" t="s">
        <v>648</v>
      </c>
      <c r="EB13" s="2363"/>
      <c r="EC13" s="2364"/>
      <c r="ED13" s="669" t="s">
        <v>674</v>
      </c>
      <c r="EE13" s="670" t="s">
        <v>648</v>
      </c>
      <c r="EF13" s="2363"/>
      <c r="EG13" s="2364"/>
      <c r="EH13" s="669" t="s">
        <v>674</v>
      </c>
      <c r="EI13" s="670" t="s">
        <v>648</v>
      </c>
      <c r="EJ13" s="2363"/>
      <c r="EK13" s="2333"/>
      <c r="EL13" s="653"/>
      <c r="EM13" s="2384"/>
      <c r="EN13" s="1181"/>
      <c r="EO13" s="173"/>
      <c r="EP13" s="173"/>
      <c r="EQ13" s="173"/>
      <c r="ER13" s="173"/>
      <c r="ES13" s="173"/>
      <c r="ET13" s="173"/>
      <c r="EU13" s="173"/>
      <c r="EX13" s="442" t="s">
        <v>673</v>
      </c>
      <c r="EY13" s="1195" t="s">
        <v>1107</v>
      </c>
      <c r="EZ13" s="1198" t="s">
        <v>1109</v>
      </c>
      <c r="FA13" s="165" t="s">
        <v>1145</v>
      </c>
      <c r="FB13" s="1215" t="s">
        <v>177</v>
      </c>
      <c r="FC13" s="1215" t="s">
        <v>32</v>
      </c>
      <c r="FD13" s="1215" t="s">
        <v>34</v>
      </c>
      <c r="FE13" s="1215" t="s">
        <v>35</v>
      </c>
      <c r="FF13" s="1216" t="s">
        <v>1146</v>
      </c>
      <c r="FN13" s="1816" t="s">
        <v>1147</v>
      </c>
      <c r="FO13" s="1817" t="s">
        <v>1255</v>
      </c>
      <c r="FP13" s="1195" t="s">
        <v>1147</v>
      </c>
      <c r="FQ13" s="1817"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563"/>
      <c r="IF13" s="2466"/>
      <c r="IG13" s="2466"/>
      <c r="IH13" s="2466"/>
      <c r="II13" s="2466"/>
      <c r="IJ13" s="2466"/>
      <c r="IK13" s="2466"/>
      <c r="IL13" s="2466"/>
      <c r="IM13" s="2466"/>
      <c r="IN13" s="2466"/>
      <c r="IO13" s="2466"/>
      <c r="IP13" s="2466"/>
      <c r="IQ13" s="2466"/>
      <c r="IR13" s="2466"/>
      <c r="IS13" s="2466"/>
      <c r="IT13" s="2466"/>
      <c r="IU13" s="2466"/>
      <c r="IV13" s="2466"/>
      <c r="IW13" s="2466"/>
      <c r="IX13" s="2466"/>
      <c r="IY13" s="2466"/>
      <c r="IZ13" s="2466"/>
      <c r="JA13" s="2466"/>
      <c r="JB13" s="2466"/>
      <c r="JC13" s="2466"/>
      <c r="JD13" s="2466"/>
      <c r="JE13" s="2466"/>
      <c r="JF13" s="2466"/>
      <c r="JG13" s="2466"/>
      <c r="JH13" s="2466"/>
      <c r="JI13" s="2466"/>
      <c r="JJ13" s="2466"/>
      <c r="JK13" s="2643"/>
      <c r="JL13" s="2645"/>
      <c r="JM13" s="289"/>
    </row>
    <row r="14" spans="1:276" ht="12.6" customHeight="1" thickTop="1" thickBot="1" x14ac:dyDescent="0.3">
      <c r="A14" s="1403"/>
      <c r="B14" s="1403"/>
      <c r="C14" s="1403"/>
      <c r="D14" s="1403"/>
      <c r="E14" s="1403"/>
      <c r="F14" s="1403"/>
      <c r="G14" s="1403"/>
      <c r="H14" s="1403"/>
      <c r="I14" s="1403"/>
      <c r="J14" s="1403"/>
      <c r="K14" s="1403"/>
      <c r="L14" s="1403"/>
      <c r="M14" s="1403"/>
      <c r="N14" s="1403"/>
      <c r="O14" s="1403"/>
      <c r="P14" s="1403"/>
      <c r="Q14" s="1403"/>
      <c r="R14" s="1403"/>
      <c r="S14" s="1403"/>
      <c r="T14" s="1403"/>
      <c r="U14" s="1403"/>
      <c r="V14" s="1403"/>
      <c r="W14" s="1403"/>
      <c r="X14" s="1403"/>
      <c r="Y14" s="1403"/>
      <c r="Z14" s="1403"/>
      <c r="AA14" s="1403"/>
      <c r="AB14" s="1893" t="str">
        <f>IF(ISBLANK(DH14),"",DH14)</f>
        <v/>
      </c>
      <c r="AC14" s="1894" t="str">
        <f>IF(ISBLANK(DI14),"",DI14)</f>
        <v/>
      </c>
      <c r="AD14" s="1895" t="str">
        <f>IF(ISERROR(FV54),"",IF(FV54="","",TRUNC(FV54/12)))</f>
        <v/>
      </c>
      <c r="AE14" s="1896" t="str">
        <f>IF(ISERROR(FV54),"",IF(FV54="","",FV54-(AD14*12)))</f>
        <v/>
      </c>
      <c r="AF14" s="1894" t="str">
        <f>IF(ISERROR(FO54),"",IF(FO54="","",FO54))</f>
        <v/>
      </c>
      <c r="AG14" s="1895" t="str">
        <f>IF(ISERROR(FX54),"",IF(FX54="","",TRUNC(FX54/12)))</f>
        <v/>
      </c>
      <c r="AH14" s="1896" t="str">
        <f>IF(ISERROR(FX54),"",IF(FX54="","",FX54-(AG14*12)))</f>
        <v/>
      </c>
      <c r="AI14" s="1895" t="str">
        <f>IF(ISERROR(FZ54),"",IF(FZ54="","",TRUNC(FZ54/12)))</f>
        <v/>
      </c>
      <c r="AJ14" s="1896" t="str">
        <f>IF(ISERROR(FZ54),"",IF(FZ54="","",FZ54-(AI14*12)))</f>
        <v/>
      </c>
      <c r="AK14" s="1897" t="str">
        <f>IF(ISBLANK(DO14),"",DO14)</f>
        <v/>
      </c>
      <c r="AL14" s="1898" t="str">
        <f>IF(ISBLANK(DP14),"",DP14)</f>
        <v/>
      </c>
      <c r="AM14" s="1899" t="str">
        <f>IF(ISBLANK(DQ14),"",DQ14)</f>
        <v/>
      </c>
      <c r="AN14" s="1894" t="str">
        <f>IF(ISBLANK(DR14),"",DR14)</f>
        <v/>
      </c>
      <c r="AO14" s="1900" t="str">
        <f>IF(ISBLANK(DS14),"",DS14)</f>
        <v/>
      </c>
      <c r="AP14" s="1901" t="str">
        <f t="shared" ref="AP14:AP45" si="4">IF(OR(GD54="",GD54=0),"",GD54)</f>
        <v/>
      </c>
      <c r="AQ14" s="1902" t="str">
        <f t="shared" ref="AQ14:AQ45" si="5">IF(OR(GE54="",GE54=0),"",GE54)</f>
        <v/>
      </c>
      <c r="AR14" s="1903" t="str">
        <f t="shared" ref="AR14:AR45" si="6">IF(GF54="","",IF(ISTEXT(GF54),"P",TRUNC(GF54/12)))</f>
        <v/>
      </c>
      <c r="AS14" s="1896" t="str">
        <f t="shared" ref="AS14:AS45" si="7">IF(GF54="","",IF(AR14="P",GF54,GF54-(AR14*12)))</f>
        <v/>
      </c>
      <c r="AT14" s="1904" t="str">
        <f>IF(ISBLANK(DX14),"",DX14)</f>
        <v/>
      </c>
      <c r="AU14" s="1905" t="str">
        <f>IF(ISBLANK(DY14),"",DY14)</f>
        <v/>
      </c>
      <c r="AV14" s="1906" t="str">
        <f t="shared" ref="AV14:AV45" si="8">IF(GG54="","",IF(ISTEXT(GG54),"P",TRUNC(GG54/12)))</f>
        <v/>
      </c>
      <c r="AW14" s="1896" t="str">
        <f t="shared" ref="AW14:AW45" si="9">IF(GG54="","",IF(AV14="P",GG54,GG54-(AV14*12)))</f>
        <v/>
      </c>
      <c r="AX14" s="1904" t="str">
        <f>IF(ISBLANK(EB14),"",EB14)</f>
        <v/>
      </c>
      <c r="AY14" s="1905" t="str">
        <f>IF(ISBLANK(EC14),"",EC14)</f>
        <v/>
      </c>
      <c r="AZ14" s="1906" t="str">
        <f t="shared" ref="AZ14:AZ45" si="10">IF(GH54="","",IF(ISTEXT(GH54),"P",TRUNC(GH54/12)))</f>
        <v/>
      </c>
      <c r="BA14" s="1896" t="str">
        <f t="shared" ref="BA14:BA45" si="11">IF(GH54="","",IF(AZ14="P",GH54,GH54-(AZ14*12)))</f>
        <v/>
      </c>
      <c r="BB14" s="1904" t="str">
        <f>IF(ISBLANK(EF14),"",EF14)</f>
        <v/>
      </c>
      <c r="BC14" s="1905" t="str">
        <f>IF(ISBLANK(EG14),"",EG14)</f>
        <v/>
      </c>
      <c r="BD14" s="1906" t="str">
        <f t="shared" ref="BD14:BD45" si="12">IF(GI54="","",IF(ISTEXT(GI54),"P",TRUNC(GI54/12)))</f>
        <v/>
      </c>
      <c r="BE14" s="1896" t="str">
        <f t="shared" ref="BE14:BE45" si="13">IF(GI54="","",IF(BD14="P",GI54,GI54-(BD14*12)))</f>
        <v/>
      </c>
      <c r="BF14" s="1904" t="str">
        <f>IF(ISBLANK(EJ14),"",EJ14)</f>
        <v/>
      </c>
      <c r="BG14" s="1907" t="str">
        <f>IF(ISBLANK(EK14),"",EK14)</f>
        <v/>
      </c>
      <c r="BH14" s="322"/>
      <c r="BJ14" s="178"/>
      <c r="BK14" s="171"/>
      <c r="BW14" s="1253">
        <f>IF(AB14="",0,1)+IF(AC14="",0,1)+IF(AD14="",0,1)+IF(AE14="",0,1)+IF(AF14="",0,1)+IF(AG14="",0,1)+IF(AH14="",0,1)+IF(AI14="",0,1)+IF(AJ14="",0,1)+IF(AK14="",0,1)+IF(AL14="",0,1)+IF(AM14="",0,1)+IF(AN14="",0,1)+IF(AO14="",0,1)+IF(AP14="",0,1)+IF(AQ14="",0,1)+IF(AR14="",0,1)+IF(AS14="",0,1)+IF(AT14="",0,1)+IF(AU14="",0,1)+IF(AV14="",0,1)+IF(AW14="",0,1)+IF(AX14="",0,1)+IF(AY14="",0,1)+IF(AZ14="",0,1)+IF(BA14="",0,1)+IF(BB14="",0,1)+IF(BC14="",0,1)+IF(BD14="",0,1)+IF(BE14="",0,1)+IF(BF14="",0,1)+IF(BG14="",0,1)</f>
        <v>0</v>
      </c>
      <c r="BX14" s="1257" t="str">
        <f>AB14</f>
        <v/>
      </c>
      <c r="BY14" s="1254" t="b">
        <f>IF(ISERROR(VLOOKUP(BX14,$BJ$14:$BL$45,3,FALSE)),FALSE,VLOOKUP(BX14,$BJ$14:$BL$45,3,FALSE))</f>
        <v>0</v>
      </c>
      <c r="BZ14" s="1255"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7"/>
      <c r="DU14" s="948"/>
      <c r="DV14" s="849"/>
      <c r="DW14" s="850"/>
      <c r="DX14" s="839"/>
      <c r="DY14" s="840"/>
      <c r="DZ14" s="849"/>
      <c r="EA14" s="838"/>
      <c r="EB14" s="839"/>
      <c r="EC14" s="840"/>
      <c r="ED14" s="849"/>
      <c r="EE14" s="838"/>
      <c r="EF14" s="839"/>
      <c r="EG14" s="840"/>
      <c r="EH14" s="849"/>
      <c r="EI14" s="838"/>
      <c r="EJ14" s="839"/>
      <c r="EK14" s="841"/>
      <c r="EL14" s="1182"/>
      <c r="EM14" s="1267"/>
      <c r="EN14" s="1181"/>
      <c r="EO14" s="173"/>
      <c r="EP14" s="173"/>
      <c r="EQ14" s="173"/>
      <c r="ER14" s="173"/>
      <c r="ES14" s="173"/>
      <c r="ET14" s="173"/>
      <c r="EU14" s="173"/>
      <c r="EX14" s="1194" t="str">
        <f>CONCATENATE(BX14,AC14)</f>
        <v/>
      </c>
      <c r="EY14" s="1196" t="str">
        <f t="shared" ref="EY14:EY45" si="14">IF(OR(ISBLANK(AB14),AB14=""),"",VLOOKUP(LEFT(EX14,LEN(EX14)-1),$BJ$28:$BO$45,6,FALSE)=SUMIF($EX$14:$EX$45,EX14,$AF$14:$AF$45)+2)</f>
        <v/>
      </c>
      <c r="EZ14" s="1196" t="str">
        <f>IF(AB14="","",IF(VLOOKUP(BX14,$A$28:$F$45,6,FALSE)="",0,HLOOKUP(VLOOKUP(BX14,$A$28:$F$45,6,FALSE),$FG$4:$FI$5,2,TRUE)))</f>
        <v/>
      </c>
      <c r="FA14" s="1217" t="str">
        <f ca="1">IF(FB15="","",FB14=FF14)</f>
        <v/>
      </c>
      <c r="FB14" s="1218"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8">
        <f t="shared" ref="FC14:FC45" si="15">IF(ISNUMBER(AD14),AD14,0)*12+IF(ISNUMBER(AE14),AE14,0)</f>
        <v>0</v>
      </c>
      <c r="FD14" s="1218">
        <f t="shared" ref="FD14:FD45" si="16">IF(ISNUMBER(AF14),AF14,0)*(IF(ISNUMBER(AG14),AG14,0)*12+IF(ISNUMBER(AH14),AH14,0))</f>
        <v>0</v>
      </c>
      <c r="FE14" s="1218">
        <f t="shared" ref="FE14:FE45" si="17">IF(ISNUMBER(AI14),AI14,0)*12+IF(ISNUMBER(AJ14),AJ14,0)</f>
        <v>0</v>
      </c>
      <c r="FF14" s="1218">
        <f ca="1">SUM(FC14:FE14)+IF(FE14=0,FF15,0)</f>
        <v>0</v>
      </c>
      <c r="FN14" s="969"/>
      <c r="FO14" s="969"/>
      <c r="FP14" s="969" t="b">
        <v>0</v>
      </c>
      <c r="FQ14" s="969"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1001"/>
      <c r="IE14" s="1627"/>
      <c r="IF14" s="1628"/>
      <c r="IG14" s="1629"/>
      <c r="IH14" s="1630"/>
      <c r="II14" s="1628"/>
      <c r="IJ14" s="1629"/>
      <c r="IK14" s="1630"/>
      <c r="IL14" s="1628"/>
      <c r="IM14" s="1628"/>
      <c r="IN14" s="1628"/>
      <c r="IO14" s="1628"/>
      <c r="IP14" s="1628"/>
      <c r="IQ14" s="1628"/>
      <c r="IR14" s="1628"/>
      <c r="IS14" s="1629"/>
      <c r="IT14" s="1630"/>
      <c r="IU14" s="1628"/>
      <c r="IV14" s="1628"/>
      <c r="IW14" s="1629"/>
      <c r="IX14" s="1630"/>
      <c r="IY14" s="1628"/>
      <c r="IZ14" s="1628"/>
      <c r="JA14" s="1629"/>
      <c r="JB14" s="1630"/>
      <c r="JC14" s="1628"/>
      <c r="JD14" s="1628"/>
      <c r="JE14" s="1629"/>
      <c r="JF14" s="1630"/>
      <c r="JG14" s="1628"/>
      <c r="JH14" s="1628"/>
      <c r="JI14" s="1628"/>
      <c r="JJ14" s="1631"/>
      <c r="JK14" s="1628"/>
      <c r="JL14" s="1520">
        <f>IF(JK14="",0,1)</f>
        <v>0</v>
      </c>
      <c r="JM14" s="289"/>
    </row>
    <row r="15" spans="1:276" ht="12.6" customHeight="1" thickTop="1" x14ac:dyDescent="0.25">
      <c r="A15" s="1403"/>
      <c r="B15" s="1403"/>
      <c r="C15" s="1403"/>
      <c r="D15" s="1403"/>
      <c r="E15" s="1403"/>
      <c r="F15" s="1403"/>
      <c r="G15" s="1403"/>
      <c r="H15" s="1403"/>
      <c r="I15" s="1403"/>
      <c r="J15" s="1403"/>
      <c r="K15" s="1403"/>
      <c r="L15" s="1403"/>
      <c r="M15" s="1403"/>
      <c r="N15" s="1403"/>
      <c r="O15" s="1403"/>
      <c r="P15" s="1403"/>
      <c r="Q15" s="1403"/>
      <c r="R15" s="1403"/>
      <c r="S15" s="1403"/>
      <c r="T15" s="1403"/>
      <c r="U15" s="1403"/>
      <c r="V15" s="1403"/>
      <c r="W15" s="1403"/>
      <c r="X15" s="1403"/>
      <c r="Y15" s="1403"/>
      <c r="Z15" s="1403"/>
      <c r="AA15" s="1403"/>
      <c r="AB15" s="1471" t="str">
        <f t="shared" ref="AB15:AB23" si="18">IF(ISBLANK(DH15),"",DH15)</f>
        <v/>
      </c>
      <c r="AC15" s="1908" t="str">
        <f t="shared" ref="AC15:AC20" si="19">IF(ISBLANK(DI15),"",DI15)</f>
        <v/>
      </c>
      <c r="AD15" s="1909" t="str">
        <f ca="1">IF(ISERROR(FV55),"",IF(FV55="","",TRUNC(FV55/12)))</f>
        <v/>
      </c>
      <c r="AE15" s="1910" t="str">
        <f ca="1">IF(ISERROR(FV55),"",IF(FV55="","",FV55-(AD15*12)))</f>
        <v/>
      </c>
      <c r="AF15" s="1908" t="str">
        <f ca="1">IF(ISERROR(FO55),"",IF(FO55="","",FO55))</f>
        <v/>
      </c>
      <c r="AG15" s="1909" t="str">
        <f ca="1">IF(ISERROR(FX55),"",IF(FX55="","",TRUNC(FX55/12)))</f>
        <v/>
      </c>
      <c r="AH15" s="1910" t="str">
        <f ca="1">IF(ISERROR(FX55),"",IF(FX55="","",FX55-(AG15*12)))</f>
        <v/>
      </c>
      <c r="AI15" s="1909" t="str">
        <f ca="1">IF(ISERROR(FZ55),"",IF(FZ55="","",TRUNC(FZ55/12)))</f>
        <v/>
      </c>
      <c r="AJ15" s="1910" t="str">
        <f ca="1">IF(ISERROR(FZ55),"",IF(FZ55="","",FZ55-(AI15*12)))</f>
        <v/>
      </c>
      <c r="AK15" s="1911" t="str">
        <f t="shared" ref="AK15:AK20" si="20">IF(ISBLANK(DO15),"",DO15)</f>
        <v/>
      </c>
      <c r="AL15" s="1912" t="str">
        <f t="shared" ref="AL15:AL20" si="21">IF(ISBLANK(DP15),"",DP15)</f>
        <v/>
      </c>
      <c r="AM15" s="1913" t="str">
        <f t="shared" ref="AM15:AM20" si="22">IF(ISBLANK(DQ15),"",DQ15)</f>
        <v/>
      </c>
      <c r="AN15" s="1908" t="str">
        <f t="shared" ref="AN15:AN20" si="23">IF(ISBLANK(DR15),"",DR15)</f>
        <v/>
      </c>
      <c r="AO15" s="1914" t="str">
        <f t="shared" ref="AO15:AO20" si="24">IF(ISBLANK(DS15),"",DS15)</f>
        <v/>
      </c>
      <c r="AP15" s="1915" t="str">
        <f t="shared" si="4"/>
        <v/>
      </c>
      <c r="AQ15" s="1916" t="str">
        <f t="shared" si="5"/>
        <v/>
      </c>
      <c r="AR15" s="1917" t="str">
        <f t="shared" si="6"/>
        <v/>
      </c>
      <c r="AS15" s="1910" t="str">
        <f t="shared" si="7"/>
        <v/>
      </c>
      <c r="AT15" s="1918" t="str">
        <f t="shared" ref="AT15:AT20" si="25">IF(ISBLANK(DX15),"",DX15)</f>
        <v/>
      </c>
      <c r="AU15" s="1919" t="str">
        <f t="shared" ref="AU15:AU20" si="26">IF(ISBLANK(DY15),"",DY15)</f>
        <v/>
      </c>
      <c r="AV15" s="1920" t="str">
        <f t="shared" si="8"/>
        <v/>
      </c>
      <c r="AW15" s="1910" t="str">
        <f t="shared" si="9"/>
        <v/>
      </c>
      <c r="AX15" s="1918" t="str">
        <f t="shared" ref="AX15:AX20" si="27">IF(ISBLANK(EB15),"",EB15)</f>
        <v/>
      </c>
      <c r="AY15" s="1919" t="str">
        <f t="shared" ref="AY15:AY20" si="28">IF(ISBLANK(EC15),"",EC15)</f>
        <v/>
      </c>
      <c r="AZ15" s="1920" t="str">
        <f t="shared" si="10"/>
        <v/>
      </c>
      <c r="BA15" s="1910" t="str">
        <f t="shared" si="11"/>
        <v/>
      </c>
      <c r="BB15" s="1918" t="str">
        <f t="shared" ref="BB15:BB20" si="29">IF(ISBLANK(EF15),"",EF15)</f>
        <v/>
      </c>
      <c r="BC15" s="1919" t="str">
        <f t="shared" ref="BC15:BC20" si="30">IF(ISBLANK(EG15),"",EG15)</f>
        <v/>
      </c>
      <c r="BD15" s="1920" t="str">
        <f t="shared" si="12"/>
        <v/>
      </c>
      <c r="BE15" s="1910" t="str">
        <f t="shared" si="13"/>
        <v/>
      </c>
      <c r="BF15" s="1918" t="str">
        <f t="shared" ref="BF15:BF20" si="31">IF(ISBLANK(EJ15),"",EJ15)</f>
        <v/>
      </c>
      <c r="BG15" s="1919" t="str">
        <f t="shared" ref="BG15:BG20" si="32">IF(ISBLANK(EK15),"",EK15)</f>
        <v/>
      </c>
      <c r="BH15" s="322"/>
      <c r="BJ15" s="178"/>
      <c r="BK15" s="171"/>
      <c r="BW15" s="1253">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54" t="str">
        <f ca="1">IF(AND(AB15="",BW15&gt;0),BX14,IF(ISBLANK(AB15),"",AB15))</f>
        <v/>
      </c>
      <c r="BY15" s="1254" t="b">
        <f t="shared" ref="BY15:BY45" ca="1" si="34">IF(ISERROR(VLOOKUP(BX15,$BJ$14:$BL$45,3,FALSE)),FALSE,VLOOKUP(BX15,$BJ$14:$BL$45,3,FALSE))</f>
        <v>0</v>
      </c>
      <c r="BZ15" s="1255"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82"/>
      <c r="EM15" s="1267"/>
      <c r="EN15" s="1183"/>
      <c r="EO15" s="1184"/>
      <c r="EP15" s="173"/>
      <c r="EQ15" s="173"/>
      <c r="ER15" s="173"/>
      <c r="ES15" s="173"/>
      <c r="ET15" s="173"/>
      <c r="EU15" s="173"/>
      <c r="EX15" s="1194" t="str">
        <f t="shared" ref="EX15:EX45" ca="1" si="35">IF(AND(AC15="",BX15=BX14),EX14,CONCATENATE(BX15,AC15))</f>
        <v/>
      </c>
      <c r="EY15" s="1196" t="str">
        <f t="shared" si="14"/>
        <v/>
      </c>
      <c r="EZ15" s="1196" t="str">
        <f t="shared" ref="EZ15:EZ45" si="36">IF(AB15="","",IF(VLOOKUP(BX15,$A$28:$F$45,6,FALSE)="",0,HLOOKUP(VLOOKUP(BX15,$A$28:$F$45,6,FALSE),$FG$4:$FI$5,2,TRUE)))</f>
        <v/>
      </c>
      <c r="FA15" s="1217" t="str">
        <f ca="1">IF(FB15="","",IF(FC15=0,FA14,FB15=FF15))</f>
        <v/>
      </c>
      <c r="FB15" s="1218"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8">
        <f t="shared" ca="1" si="15"/>
        <v>0</v>
      </c>
      <c r="FD15" s="1218">
        <f t="shared" ca="1" si="16"/>
        <v>0</v>
      </c>
      <c r="FE15" s="1218">
        <f t="shared" ca="1" si="17"/>
        <v>0</v>
      </c>
      <c r="FF15" s="1218">
        <f t="shared" ref="FF15:FF45" ca="1" si="38">SUM(FC15:FE15)+IF(FE15=0,FF16,0)</f>
        <v>0</v>
      </c>
      <c r="FN15" s="969"/>
      <c r="FO15" s="969"/>
      <c r="FP15" s="969" t="b">
        <v>0</v>
      </c>
      <c r="FQ15" s="969" t="b">
        <f t="shared" ref="FQ15:FQ45" si="39">NOT(ISERROR(VLOOKUP(AB15,$A$28:$A$45,1,FALSE)))</f>
        <v>1</v>
      </c>
      <c r="FX15" s="236"/>
      <c r="FZ15" s="2"/>
      <c r="GA15" s="173"/>
      <c r="GB15" s="173"/>
      <c r="GC15" s="173"/>
      <c r="GD15" s="173"/>
      <c r="GE15" s="173"/>
      <c r="GF15" s="173"/>
      <c r="GG15" s="173"/>
      <c r="GH15" s="173"/>
      <c r="GI15" s="173"/>
      <c r="GJ15" s="173"/>
      <c r="GK15" s="2"/>
      <c r="GO15" s="171"/>
      <c r="GZ15" s="171"/>
      <c r="HA15" s="2564" t="s">
        <v>662</v>
      </c>
      <c r="HB15" s="2565"/>
      <c r="HC15" s="2565"/>
      <c r="HD15" s="2565"/>
      <c r="HE15" s="2565"/>
      <c r="HF15" s="2565"/>
      <c r="HG15" s="2565"/>
      <c r="HH15" s="2565"/>
      <c r="HI15" s="2565"/>
      <c r="HJ15" s="2565"/>
      <c r="HK15" s="2565"/>
      <c r="HL15" s="2565"/>
      <c r="HM15" s="2565"/>
      <c r="HN15" s="2565"/>
      <c r="HO15" s="2565"/>
      <c r="HP15" s="2565"/>
      <c r="HQ15" s="2565"/>
      <c r="HR15" s="2565"/>
      <c r="HS15" s="2565"/>
      <c r="HT15" s="2565"/>
      <c r="HU15" s="2565"/>
      <c r="HV15" s="2565"/>
      <c r="HW15" s="2565"/>
      <c r="HX15" s="2566"/>
      <c r="ID15" s="1002"/>
      <c r="IE15" s="1612"/>
      <c r="IF15" s="1613"/>
      <c r="IG15" s="1614"/>
      <c r="IH15" s="1615"/>
      <c r="II15" s="1613"/>
      <c r="IJ15" s="1614"/>
      <c r="IK15" s="1615"/>
      <c r="IL15" s="1613"/>
      <c r="IM15" s="1613"/>
      <c r="IN15" s="1613"/>
      <c r="IO15" s="1613"/>
      <c r="IP15" s="1613"/>
      <c r="IQ15" s="1613"/>
      <c r="IR15" s="1613"/>
      <c r="IS15" s="1614"/>
      <c r="IT15" s="1615"/>
      <c r="IU15" s="1613"/>
      <c r="IV15" s="1613"/>
      <c r="IW15" s="1614"/>
      <c r="IX15" s="1615"/>
      <c r="IY15" s="1613"/>
      <c r="IZ15" s="1613"/>
      <c r="JA15" s="1614"/>
      <c r="JB15" s="1615"/>
      <c r="JC15" s="1613"/>
      <c r="JD15" s="1613"/>
      <c r="JE15" s="1614"/>
      <c r="JF15" s="1615"/>
      <c r="JG15" s="1613"/>
      <c r="JH15" s="1613"/>
      <c r="JI15" s="1613"/>
      <c r="JJ15" s="1616"/>
      <c r="JK15" s="1613"/>
      <c r="JL15" s="1521">
        <f ca="1">IF(ISBLANK(JK15),IF(JL14=0,0,IF(VALUE(OFFSET(JK15,JL14*-1,0))&lt;JL14+1,0,JL14+1)),1)</f>
        <v>0</v>
      </c>
      <c r="JM15" s="289"/>
    </row>
    <row r="16" spans="1:276" ht="12.6" customHeight="1" x14ac:dyDescent="0.25">
      <c r="A16" s="1403"/>
      <c r="B16" s="1403"/>
      <c r="C16" s="1403"/>
      <c r="D16" s="1403"/>
      <c r="E16" s="1403"/>
      <c r="F16" s="1403"/>
      <c r="G16" s="1403"/>
      <c r="H16" s="1403"/>
      <c r="I16" s="1403"/>
      <c r="J16" s="1403"/>
      <c r="K16" s="1403"/>
      <c r="L16" s="1403"/>
      <c r="M16" s="1403"/>
      <c r="N16" s="1403"/>
      <c r="O16" s="1403"/>
      <c r="P16" s="1403"/>
      <c r="Q16" s="1403"/>
      <c r="R16" s="1403"/>
      <c r="S16" s="1403"/>
      <c r="T16" s="1403"/>
      <c r="U16" s="1403"/>
      <c r="V16" s="1403"/>
      <c r="W16" s="1403"/>
      <c r="X16" s="1403"/>
      <c r="Y16" s="1403"/>
      <c r="Z16" s="1403"/>
      <c r="AA16" s="1403"/>
      <c r="AB16" s="1471" t="str">
        <f t="shared" si="18"/>
        <v/>
      </c>
      <c r="AC16" s="1908" t="str">
        <f t="shared" si="19"/>
        <v/>
      </c>
      <c r="AD16" s="1909" t="str">
        <f ca="1">IF(ISERROR(FV56),"",IF(FV56="","",TRUNC(FV56/12)))</f>
        <v/>
      </c>
      <c r="AE16" s="1910" t="str">
        <f ca="1">IF(ISERROR(FV56),"",IF(FV56="","",FV56-(AD16*12)))</f>
        <v/>
      </c>
      <c r="AF16" s="1908" t="str">
        <f ca="1">IF(ISERROR(FO56),"",IF(FO56="","",FO56))</f>
        <v/>
      </c>
      <c r="AG16" s="1909" t="str">
        <f ca="1">IF(ISERROR(FX56),"",IF(FX56="","",TRUNC(FX56/12)))</f>
        <v/>
      </c>
      <c r="AH16" s="1910" t="str">
        <f ca="1">IF(ISERROR(FX56),"",IF(FX56="","",FX56-(AG16*12)))</f>
        <v/>
      </c>
      <c r="AI16" s="1909" t="str">
        <f ca="1">IF(ISERROR(FZ56),"",IF(FZ56="","",TRUNC(FZ56/12)))</f>
        <v/>
      </c>
      <c r="AJ16" s="1910" t="str">
        <f ca="1">IF(ISERROR(FZ56),"",IF(FZ56="","",FZ56-(AI16*12)))</f>
        <v/>
      </c>
      <c r="AK16" s="1911" t="str">
        <f t="shared" si="20"/>
        <v/>
      </c>
      <c r="AL16" s="1912" t="str">
        <f t="shared" si="21"/>
        <v/>
      </c>
      <c r="AM16" s="1913" t="str">
        <f t="shared" si="22"/>
        <v/>
      </c>
      <c r="AN16" s="1908" t="str">
        <f t="shared" si="23"/>
        <v/>
      </c>
      <c r="AO16" s="1914" t="str">
        <f t="shared" si="24"/>
        <v/>
      </c>
      <c r="AP16" s="1915" t="str">
        <f t="shared" si="4"/>
        <v/>
      </c>
      <c r="AQ16" s="1916" t="str">
        <f t="shared" si="5"/>
        <v/>
      </c>
      <c r="AR16" s="1917" t="str">
        <f t="shared" si="6"/>
        <v/>
      </c>
      <c r="AS16" s="1910" t="str">
        <f t="shared" si="7"/>
        <v/>
      </c>
      <c r="AT16" s="1918" t="str">
        <f t="shared" si="25"/>
        <v/>
      </c>
      <c r="AU16" s="1919" t="str">
        <f t="shared" si="26"/>
        <v/>
      </c>
      <c r="AV16" s="1920" t="str">
        <f t="shared" si="8"/>
        <v/>
      </c>
      <c r="AW16" s="1910" t="str">
        <f t="shared" si="9"/>
        <v/>
      </c>
      <c r="AX16" s="1918" t="str">
        <f t="shared" si="27"/>
        <v/>
      </c>
      <c r="AY16" s="1919" t="str">
        <f t="shared" si="28"/>
        <v/>
      </c>
      <c r="AZ16" s="1920" t="str">
        <f t="shared" si="10"/>
        <v/>
      </c>
      <c r="BA16" s="1910" t="str">
        <f t="shared" si="11"/>
        <v/>
      </c>
      <c r="BB16" s="1918" t="str">
        <f t="shared" si="29"/>
        <v/>
      </c>
      <c r="BC16" s="1919" t="str">
        <f t="shared" si="30"/>
        <v/>
      </c>
      <c r="BD16" s="1920" t="str">
        <f t="shared" si="12"/>
        <v/>
      </c>
      <c r="BE16" s="1910" t="str">
        <f t="shared" si="13"/>
        <v/>
      </c>
      <c r="BF16" s="1918" t="str">
        <f t="shared" si="31"/>
        <v/>
      </c>
      <c r="BG16" s="1919" t="str">
        <f t="shared" si="32"/>
        <v/>
      </c>
      <c r="BH16" s="322"/>
      <c r="BJ16" s="178"/>
      <c r="BK16" s="171"/>
      <c r="BW16" s="1253">
        <f t="shared" ca="1" si="33"/>
        <v>0</v>
      </c>
      <c r="BX16" s="1254" t="str">
        <f t="shared" ref="BX16:BX45" ca="1" si="40">IF(AND(AB16="",BW16&gt;0),BX15,IF(ISBLANK(AB16),"",AB16))</f>
        <v/>
      </c>
      <c r="BY16" s="1254" t="b">
        <f t="shared" ca="1" si="34"/>
        <v>0</v>
      </c>
      <c r="BZ16" s="1255"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82"/>
      <c r="EM16" s="1267"/>
      <c r="EN16" s="1183"/>
      <c r="EO16" s="1184"/>
      <c r="EP16" s="173"/>
      <c r="EQ16" s="173"/>
      <c r="ER16" s="173"/>
      <c r="ES16" s="173"/>
      <c r="ET16" s="173"/>
      <c r="EU16" s="173"/>
      <c r="EX16" s="1194" t="str">
        <f t="shared" ca="1" si="35"/>
        <v/>
      </c>
      <c r="EY16" s="1196" t="str">
        <f t="shared" si="14"/>
        <v/>
      </c>
      <c r="EZ16" s="1196" t="str">
        <f t="shared" si="36"/>
        <v/>
      </c>
      <c r="FA16" s="1217" t="str">
        <f t="shared" ref="FA16:FA45" ca="1" si="42">IF(FB16="","",IF(FC16=0,FA15,FB16=FF16))</f>
        <v/>
      </c>
      <c r="FB16" s="1218" t="str">
        <f t="shared" ca="1" si="37"/>
        <v/>
      </c>
      <c r="FC16" s="1218">
        <f t="shared" ca="1" si="15"/>
        <v>0</v>
      </c>
      <c r="FD16" s="1218">
        <f t="shared" ca="1" si="16"/>
        <v>0</v>
      </c>
      <c r="FE16" s="1218">
        <f t="shared" ca="1" si="17"/>
        <v>0</v>
      </c>
      <c r="FF16" s="1218">
        <f t="shared" ca="1" si="38"/>
        <v>0</v>
      </c>
      <c r="FN16" s="969"/>
      <c r="FO16" s="969"/>
      <c r="FP16" s="969" t="b">
        <v>0</v>
      </c>
      <c r="FQ16" s="969" t="b">
        <f t="shared" si="39"/>
        <v>1</v>
      </c>
      <c r="FX16" s="236"/>
      <c r="FZ16" s="2"/>
      <c r="GA16" s="173"/>
      <c r="GB16" s="173"/>
      <c r="GC16" s="173"/>
      <c r="GD16" s="173"/>
      <c r="GE16" s="173"/>
      <c r="GF16" s="173"/>
      <c r="GG16" s="173"/>
      <c r="GH16" s="173"/>
      <c r="GI16" s="173"/>
      <c r="GJ16" s="173"/>
      <c r="GK16" s="2"/>
      <c r="GN16" s="171"/>
      <c r="GO16" s="172"/>
      <c r="GZ16" s="172"/>
      <c r="HA16" s="2567"/>
      <c r="HB16" s="2568"/>
      <c r="HC16" s="2568"/>
      <c r="HD16" s="2568"/>
      <c r="HE16" s="2568"/>
      <c r="HF16" s="2568"/>
      <c r="HG16" s="2568"/>
      <c r="HH16" s="2568"/>
      <c r="HI16" s="2568"/>
      <c r="HJ16" s="2568"/>
      <c r="HK16" s="2568"/>
      <c r="HL16" s="2568"/>
      <c r="HM16" s="2568"/>
      <c r="HN16" s="2568"/>
      <c r="HO16" s="2568"/>
      <c r="HP16" s="2568"/>
      <c r="HQ16" s="2568"/>
      <c r="HR16" s="2568"/>
      <c r="HS16" s="2568"/>
      <c r="HT16" s="2568"/>
      <c r="HU16" s="2568"/>
      <c r="HV16" s="2568"/>
      <c r="HW16" s="2568"/>
      <c r="HX16" s="2569"/>
      <c r="ID16" s="1002"/>
      <c r="IE16" s="1612"/>
      <c r="IF16" s="1613"/>
      <c r="IG16" s="1614"/>
      <c r="IH16" s="1615"/>
      <c r="II16" s="1613"/>
      <c r="IJ16" s="1614"/>
      <c r="IK16" s="1615"/>
      <c r="IL16" s="1613"/>
      <c r="IM16" s="1613"/>
      <c r="IN16" s="1613"/>
      <c r="IO16" s="1613"/>
      <c r="IP16" s="1613"/>
      <c r="IQ16" s="1613"/>
      <c r="IR16" s="1613"/>
      <c r="IS16" s="1614"/>
      <c r="IT16" s="1615"/>
      <c r="IU16" s="1613"/>
      <c r="IV16" s="1613"/>
      <c r="IW16" s="1614"/>
      <c r="IX16" s="1615"/>
      <c r="IY16" s="1613"/>
      <c r="IZ16" s="1613"/>
      <c r="JA16" s="1614"/>
      <c r="JB16" s="1615"/>
      <c r="JC16" s="1613"/>
      <c r="JD16" s="1613"/>
      <c r="JE16" s="1614"/>
      <c r="JF16" s="1615"/>
      <c r="JG16" s="1613"/>
      <c r="JH16" s="1613"/>
      <c r="JI16" s="1613"/>
      <c r="JJ16" s="1616"/>
      <c r="JK16" s="1613"/>
      <c r="JL16" s="1521">
        <f t="shared" ref="JL16:JL45" ca="1" si="43">IF(ISBLANK(JK16),IF(JL15=0,0,IF(VALUE(OFFSET(JK16,JL15*-1,0))&lt;JL15+1,0,JL15+1)),1)</f>
        <v>0</v>
      </c>
      <c r="JM16" s="171"/>
    </row>
    <row r="17" spans="1:274" ht="12.6" customHeight="1" thickBot="1" x14ac:dyDescent="0.3">
      <c r="A17" s="1403"/>
      <c r="B17" s="1403"/>
      <c r="C17" s="1403"/>
      <c r="D17" s="1403"/>
      <c r="E17" s="1403"/>
      <c r="F17" s="1403"/>
      <c r="G17" s="1403"/>
      <c r="H17" s="1403"/>
      <c r="I17" s="1403"/>
      <c r="J17" s="1403"/>
      <c r="K17" s="1403"/>
      <c r="L17" s="1403"/>
      <c r="M17" s="1403"/>
      <c r="N17" s="1403"/>
      <c r="O17" s="1403"/>
      <c r="P17" s="1403"/>
      <c r="Q17" s="1403"/>
      <c r="R17" s="1403"/>
      <c r="S17" s="1403"/>
      <c r="T17" s="1403"/>
      <c r="U17" s="1403"/>
      <c r="V17" s="1403"/>
      <c r="W17" s="1403"/>
      <c r="X17" s="1403"/>
      <c r="Y17" s="1403"/>
      <c r="Z17" s="1403"/>
      <c r="AA17" s="1403"/>
      <c r="AB17" s="1471" t="str">
        <f t="shared" si="18"/>
        <v/>
      </c>
      <c r="AC17" s="1908" t="str">
        <f t="shared" si="19"/>
        <v/>
      </c>
      <c r="AD17" s="1909" t="str">
        <f ca="1">IF(ISERROR(FV57),"",IF(FV57="","",TRUNC(FV57/12)))</f>
        <v/>
      </c>
      <c r="AE17" s="1910" t="str">
        <f ca="1">IF(ISERROR(FV57),"",IF(FV57="","",FV57-(AD17*12)))</f>
        <v/>
      </c>
      <c r="AF17" s="1908" t="str">
        <f ca="1">IF(ISERROR(FO57),"",IF(FO57="","",FO57))</f>
        <v/>
      </c>
      <c r="AG17" s="1909" t="str">
        <f ca="1">IF(ISERROR(FX57),"",IF(FX57="","",TRUNC(FX57/12)))</f>
        <v/>
      </c>
      <c r="AH17" s="1910" t="str">
        <f ca="1">IF(ISERROR(FX57),"",IF(FX57="","",FX57-(AG17*12)))</f>
        <v/>
      </c>
      <c r="AI17" s="1909" t="str">
        <f ca="1">IF(ISERROR(FZ57),"",IF(FZ57="","",TRUNC(FZ57/12)))</f>
        <v/>
      </c>
      <c r="AJ17" s="1910" t="str">
        <f ca="1">IF(ISERROR(FZ57),"",IF(FZ57="","",FZ57-(AI17*12)))</f>
        <v/>
      </c>
      <c r="AK17" s="1911" t="str">
        <f t="shared" si="20"/>
        <v/>
      </c>
      <c r="AL17" s="1912" t="str">
        <f t="shared" si="21"/>
        <v/>
      </c>
      <c r="AM17" s="1913" t="str">
        <f t="shared" si="22"/>
        <v/>
      </c>
      <c r="AN17" s="1908" t="str">
        <f t="shared" si="23"/>
        <v/>
      </c>
      <c r="AO17" s="1914" t="str">
        <f t="shared" si="24"/>
        <v/>
      </c>
      <c r="AP17" s="1915" t="str">
        <f t="shared" si="4"/>
        <v/>
      </c>
      <c r="AQ17" s="1916" t="str">
        <f t="shared" si="5"/>
        <v/>
      </c>
      <c r="AR17" s="1917" t="str">
        <f t="shared" si="6"/>
        <v/>
      </c>
      <c r="AS17" s="1910" t="str">
        <f t="shared" si="7"/>
        <v/>
      </c>
      <c r="AT17" s="1918" t="str">
        <f t="shared" si="25"/>
        <v/>
      </c>
      <c r="AU17" s="1919" t="str">
        <f t="shared" si="26"/>
        <v/>
      </c>
      <c r="AV17" s="1920" t="str">
        <f t="shared" si="8"/>
        <v/>
      </c>
      <c r="AW17" s="1910" t="str">
        <f t="shared" si="9"/>
        <v/>
      </c>
      <c r="AX17" s="1918" t="str">
        <f t="shared" si="27"/>
        <v/>
      </c>
      <c r="AY17" s="1919" t="str">
        <f t="shared" si="28"/>
        <v/>
      </c>
      <c r="AZ17" s="1920" t="str">
        <f t="shared" si="10"/>
        <v/>
      </c>
      <c r="BA17" s="1910" t="str">
        <f t="shared" si="11"/>
        <v/>
      </c>
      <c r="BB17" s="1918" t="str">
        <f t="shared" si="29"/>
        <v/>
      </c>
      <c r="BC17" s="1919" t="str">
        <f t="shared" si="30"/>
        <v/>
      </c>
      <c r="BD17" s="1920" t="str">
        <f t="shared" si="12"/>
        <v/>
      </c>
      <c r="BE17" s="1910" t="str">
        <f t="shared" si="13"/>
        <v/>
      </c>
      <c r="BF17" s="1918" t="str">
        <f t="shared" si="31"/>
        <v/>
      </c>
      <c r="BG17" s="1919" t="str">
        <f t="shared" si="32"/>
        <v/>
      </c>
      <c r="BH17" s="322"/>
      <c r="BJ17" s="178"/>
      <c r="BK17" s="171"/>
      <c r="BW17" s="1253">
        <f t="shared" ca="1" si="33"/>
        <v>0</v>
      </c>
      <c r="BX17" s="1254" t="str">
        <f t="shared" ca="1" si="40"/>
        <v/>
      </c>
      <c r="BY17" s="1254" t="b">
        <f t="shared" ca="1" si="34"/>
        <v>0</v>
      </c>
      <c r="BZ17" s="1255"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82"/>
      <c r="EM17" s="1267"/>
      <c r="EN17" s="1183"/>
      <c r="EO17" s="1184"/>
      <c r="EP17" s="173"/>
      <c r="EQ17" s="173"/>
      <c r="ER17" s="173"/>
      <c r="ES17" s="173"/>
      <c r="ET17" s="173"/>
      <c r="EU17" s="173"/>
      <c r="EX17" s="1194" t="str">
        <f t="shared" ca="1" si="35"/>
        <v/>
      </c>
      <c r="EY17" s="1196" t="str">
        <f t="shared" si="14"/>
        <v/>
      </c>
      <c r="EZ17" s="1196" t="str">
        <f t="shared" si="36"/>
        <v/>
      </c>
      <c r="FA17" s="1217" t="str">
        <f t="shared" ca="1" si="42"/>
        <v/>
      </c>
      <c r="FB17" s="1218" t="str">
        <f t="shared" ca="1" si="37"/>
        <v/>
      </c>
      <c r="FC17" s="1218">
        <f t="shared" ca="1" si="15"/>
        <v>0</v>
      </c>
      <c r="FD17" s="1218">
        <f t="shared" ca="1" si="16"/>
        <v>0</v>
      </c>
      <c r="FE17" s="1218">
        <f t="shared" ca="1" si="17"/>
        <v>0</v>
      </c>
      <c r="FF17" s="1218">
        <f t="shared" ca="1" si="38"/>
        <v>0</v>
      </c>
      <c r="FN17" s="969"/>
      <c r="FO17" s="969"/>
      <c r="FP17" s="969" t="b">
        <v>0</v>
      </c>
      <c r="FQ17" s="969" t="b">
        <f t="shared" si="39"/>
        <v>1</v>
      </c>
      <c r="FX17" s="236"/>
      <c r="FZ17" s="2"/>
      <c r="GA17" s="173"/>
      <c r="GB17" s="173"/>
      <c r="GC17" s="173"/>
      <c r="GD17" s="173"/>
      <c r="GE17" s="173"/>
      <c r="GF17" s="173"/>
      <c r="GG17" s="173"/>
      <c r="GH17" s="173"/>
      <c r="GI17" s="173"/>
      <c r="GJ17" s="173"/>
      <c r="GK17" s="2"/>
      <c r="HA17" s="2570"/>
      <c r="HB17" s="2571"/>
      <c r="HC17" s="2571"/>
      <c r="HD17" s="2571"/>
      <c r="HE17" s="2571"/>
      <c r="HF17" s="2571"/>
      <c r="HG17" s="2571"/>
      <c r="HH17" s="2571"/>
      <c r="HI17" s="2571"/>
      <c r="HJ17" s="2571"/>
      <c r="HK17" s="2571"/>
      <c r="HL17" s="2571"/>
      <c r="HM17" s="2571"/>
      <c r="HN17" s="2571"/>
      <c r="HO17" s="2571"/>
      <c r="HP17" s="2571"/>
      <c r="HQ17" s="2571"/>
      <c r="HR17" s="2571"/>
      <c r="HS17" s="2571"/>
      <c r="HT17" s="2571"/>
      <c r="HU17" s="2571"/>
      <c r="HV17" s="2571"/>
      <c r="HW17" s="2571"/>
      <c r="HX17" s="2572"/>
      <c r="ID17" s="1002"/>
      <c r="IE17" s="1612"/>
      <c r="IF17" s="1613"/>
      <c r="IG17" s="1614"/>
      <c r="IH17" s="1615"/>
      <c r="II17" s="1613"/>
      <c r="IJ17" s="1614"/>
      <c r="IK17" s="1615"/>
      <c r="IL17" s="1613"/>
      <c r="IM17" s="1613"/>
      <c r="IN17" s="1613"/>
      <c r="IO17" s="1613"/>
      <c r="IP17" s="1613"/>
      <c r="IQ17" s="1613"/>
      <c r="IR17" s="1613"/>
      <c r="IS17" s="1614"/>
      <c r="IT17" s="1615"/>
      <c r="IU17" s="1613"/>
      <c r="IV17" s="1613"/>
      <c r="IW17" s="1614"/>
      <c r="IX17" s="1615"/>
      <c r="IY17" s="1613"/>
      <c r="IZ17" s="1613"/>
      <c r="JA17" s="1614"/>
      <c r="JB17" s="1615"/>
      <c r="JC17" s="1613"/>
      <c r="JD17" s="1613"/>
      <c r="JE17" s="1614"/>
      <c r="JF17" s="1615"/>
      <c r="JG17" s="1613"/>
      <c r="JH17" s="1613"/>
      <c r="JI17" s="1613"/>
      <c r="JJ17" s="1616"/>
      <c r="JK17" s="1613"/>
      <c r="JL17" s="1521">
        <f t="shared" ca="1" si="43"/>
        <v>0</v>
      </c>
      <c r="JM17" s="171"/>
      <c r="JN17" s="163"/>
    </row>
    <row r="18" spans="1:274" ht="12.6" customHeight="1" thickTop="1" x14ac:dyDescent="0.25">
      <c r="A18" s="1403"/>
      <c r="B18" s="1403"/>
      <c r="C18" s="1403"/>
      <c r="D18" s="1403"/>
      <c r="E18" s="1403"/>
      <c r="F18" s="1403"/>
      <c r="G18" s="1403"/>
      <c r="H18" s="1403"/>
      <c r="I18" s="1403"/>
      <c r="J18" s="1403"/>
      <c r="K18" s="1403"/>
      <c r="L18" s="1403"/>
      <c r="M18" s="1403"/>
      <c r="N18" s="1403"/>
      <c r="O18" s="1403"/>
      <c r="P18" s="1403"/>
      <c r="Q18" s="1403"/>
      <c r="R18" s="1403"/>
      <c r="S18" s="1403"/>
      <c r="T18" s="1403"/>
      <c r="U18" s="1403"/>
      <c r="V18" s="1403"/>
      <c r="W18" s="1403"/>
      <c r="X18" s="1403"/>
      <c r="Y18" s="1403"/>
      <c r="Z18" s="1403"/>
      <c r="AA18" s="1403"/>
      <c r="AB18" s="1471" t="str">
        <f t="shared" si="18"/>
        <v/>
      </c>
      <c r="AC18" s="1908" t="str">
        <f t="shared" si="19"/>
        <v/>
      </c>
      <c r="AD18" s="1909" t="str">
        <f ca="1">IF(ISERROR(FV58),"",IF(FV58="","",TRUNC(FV58/12)))</f>
        <v/>
      </c>
      <c r="AE18" s="1910" t="str">
        <f ca="1">IF(ISERROR(FV58),"",IF(FV58="","",FV58-(AD18*12)))</f>
        <v/>
      </c>
      <c r="AF18" s="1908" t="str">
        <f ca="1">IF(ISERROR(FO58),"",IF(FO58="","",FO58))</f>
        <v/>
      </c>
      <c r="AG18" s="1909" t="str">
        <f ca="1">IF(ISERROR(FX58),"",IF(FX58="","",TRUNC(FX58/12)))</f>
        <v/>
      </c>
      <c r="AH18" s="1910" t="str">
        <f ca="1">IF(ISERROR(FX58),"",IF(FX58="","",FX58-(AG18*12)))</f>
        <v/>
      </c>
      <c r="AI18" s="1909" t="str">
        <f ca="1">IF(ISERROR(FZ58),"",IF(FZ58="","",TRUNC(FZ58/12)))</f>
        <v/>
      </c>
      <c r="AJ18" s="1910" t="str">
        <f ca="1">IF(ISERROR(FZ58),"",IF(FZ58="","",FZ58-(AI18*12)))</f>
        <v/>
      </c>
      <c r="AK18" s="1911" t="str">
        <f t="shared" si="20"/>
        <v/>
      </c>
      <c r="AL18" s="1912" t="str">
        <f t="shared" si="21"/>
        <v/>
      </c>
      <c r="AM18" s="1913" t="str">
        <f t="shared" si="22"/>
        <v/>
      </c>
      <c r="AN18" s="1908" t="str">
        <f t="shared" si="23"/>
        <v/>
      </c>
      <c r="AO18" s="1914" t="str">
        <f t="shared" si="24"/>
        <v/>
      </c>
      <c r="AP18" s="1915" t="str">
        <f t="shared" si="4"/>
        <v/>
      </c>
      <c r="AQ18" s="1916" t="str">
        <f t="shared" si="5"/>
        <v/>
      </c>
      <c r="AR18" s="1917" t="str">
        <f t="shared" si="6"/>
        <v/>
      </c>
      <c r="AS18" s="1910" t="str">
        <f t="shared" si="7"/>
        <v/>
      </c>
      <c r="AT18" s="1918" t="str">
        <f t="shared" si="25"/>
        <v/>
      </c>
      <c r="AU18" s="1919" t="str">
        <f t="shared" si="26"/>
        <v/>
      </c>
      <c r="AV18" s="1920" t="str">
        <f t="shared" si="8"/>
        <v/>
      </c>
      <c r="AW18" s="1910" t="str">
        <f t="shared" si="9"/>
        <v/>
      </c>
      <c r="AX18" s="1918" t="str">
        <f t="shared" si="27"/>
        <v/>
      </c>
      <c r="AY18" s="1919" t="str">
        <f t="shared" si="28"/>
        <v/>
      </c>
      <c r="AZ18" s="1920" t="str">
        <f t="shared" si="10"/>
        <v/>
      </c>
      <c r="BA18" s="1910" t="str">
        <f t="shared" si="11"/>
        <v/>
      </c>
      <c r="BB18" s="1918" t="str">
        <f t="shared" si="29"/>
        <v/>
      </c>
      <c r="BC18" s="1919" t="str">
        <f t="shared" si="30"/>
        <v/>
      </c>
      <c r="BD18" s="1920" t="str">
        <f t="shared" si="12"/>
        <v/>
      </c>
      <c r="BE18" s="1910" t="str">
        <f t="shared" si="13"/>
        <v/>
      </c>
      <c r="BF18" s="1918" t="str">
        <f t="shared" si="31"/>
        <v/>
      </c>
      <c r="BG18" s="1919" t="str">
        <f t="shared" si="32"/>
        <v/>
      </c>
      <c r="BH18" s="322"/>
      <c r="BJ18" s="178"/>
      <c r="BK18" s="171"/>
      <c r="BW18" s="1253">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54" t="str">
        <f t="shared" ca="1" si="40"/>
        <v/>
      </c>
      <c r="BY18" s="1254" t="b">
        <f t="shared" ca="1" si="34"/>
        <v>0</v>
      </c>
      <c r="BZ18" s="1255"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82"/>
      <c r="EM18" s="1267"/>
      <c r="EN18" s="1183"/>
      <c r="EO18" s="1184"/>
      <c r="EP18" s="173"/>
      <c r="EQ18" s="173"/>
      <c r="ER18" s="173"/>
      <c r="ES18" s="173"/>
      <c r="ET18" s="173"/>
      <c r="EU18" s="173"/>
      <c r="EX18" s="1194" t="str">
        <f t="shared" ca="1" si="35"/>
        <v/>
      </c>
      <c r="EY18" s="1196" t="str">
        <f t="shared" si="14"/>
        <v/>
      </c>
      <c r="EZ18" s="1196" t="str">
        <f t="shared" si="36"/>
        <v/>
      </c>
      <c r="FA18" s="1217" t="str">
        <f t="shared" ca="1" si="42"/>
        <v/>
      </c>
      <c r="FB18" s="1218" t="str">
        <f t="shared" ca="1" si="37"/>
        <v/>
      </c>
      <c r="FC18" s="1218">
        <f t="shared" ca="1" si="15"/>
        <v>0</v>
      </c>
      <c r="FD18" s="1218">
        <f t="shared" ca="1" si="16"/>
        <v>0</v>
      </c>
      <c r="FE18" s="1218">
        <f t="shared" ca="1" si="17"/>
        <v>0</v>
      </c>
      <c r="FF18" s="1218">
        <f t="shared" ca="1" si="38"/>
        <v>0</v>
      </c>
      <c r="FN18" s="969"/>
      <c r="FO18" s="969"/>
      <c r="FP18" s="969" t="b">
        <v>0</v>
      </c>
      <c r="FQ18" s="969"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1002"/>
      <c r="IE18" s="1612"/>
      <c r="IF18" s="1613"/>
      <c r="IG18" s="1614"/>
      <c r="IH18" s="1615"/>
      <c r="II18" s="1613"/>
      <c r="IJ18" s="1614"/>
      <c r="IK18" s="1615"/>
      <c r="IL18" s="1613"/>
      <c r="IM18" s="1613"/>
      <c r="IN18" s="1613"/>
      <c r="IO18" s="1613"/>
      <c r="IP18" s="1613"/>
      <c r="IQ18" s="1613"/>
      <c r="IR18" s="1613"/>
      <c r="IS18" s="1614"/>
      <c r="IT18" s="1615"/>
      <c r="IU18" s="1613"/>
      <c r="IV18" s="1613"/>
      <c r="IW18" s="1614"/>
      <c r="IX18" s="1615"/>
      <c r="IY18" s="1613"/>
      <c r="IZ18" s="1613"/>
      <c r="JA18" s="1614"/>
      <c r="JB18" s="1615"/>
      <c r="JC18" s="1613"/>
      <c r="JD18" s="1613"/>
      <c r="JE18" s="1614"/>
      <c r="JF18" s="1615"/>
      <c r="JG18" s="1613"/>
      <c r="JH18" s="1613"/>
      <c r="JI18" s="1613"/>
      <c r="JJ18" s="1616"/>
      <c r="JK18" s="1613"/>
      <c r="JL18" s="1521">
        <f t="shared" ca="1" si="43"/>
        <v>0</v>
      </c>
      <c r="JM18" s="171"/>
      <c r="JN18" s="163"/>
    </row>
    <row r="19" spans="1:274" ht="12.6" customHeight="1" x14ac:dyDescent="0.25">
      <c r="A19" s="1403"/>
      <c r="B19" s="1403"/>
      <c r="C19" s="1403"/>
      <c r="D19" s="1403"/>
      <c r="E19" s="1403"/>
      <c r="F19" s="1403"/>
      <c r="G19" s="1403"/>
      <c r="H19" s="1403"/>
      <c r="I19" s="1403"/>
      <c r="J19" s="1403"/>
      <c r="K19" s="1403"/>
      <c r="L19" s="1403"/>
      <c r="M19" s="1403"/>
      <c r="N19" s="1403"/>
      <c r="O19" s="1403"/>
      <c r="P19" s="1403"/>
      <c r="Q19" s="1403"/>
      <c r="R19" s="1403"/>
      <c r="S19" s="1403"/>
      <c r="T19" s="1403"/>
      <c r="U19" s="1403"/>
      <c r="V19" s="1403"/>
      <c r="W19" s="1403"/>
      <c r="X19" s="1403"/>
      <c r="Y19" s="1403"/>
      <c r="Z19" s="1403"/>
      <c r="AA19" s="1403"/>
      <c r="AB19" s="1471" t="str">
        <f t="shared" si="18"/>
        <v/>
      </c>
      <c r="AC19" s="1908" t="str">
        <f t="shared" si="19"/>
        <v/>
      </c>
      <c r="AD19" s="1909" t="str">
        <f t="shared" ref="AD19:AD45" ca="1" si="44">IF(ISERROR(FV59),"",IF(FV59="","",TRUNC(FV59/12)))</f>
        <v/>
      </c>
      <c r="AE19" s="1910" t="str">
        <f t="shared" ref="AE19:AE45" ca="1" si="45">IF(ISERROR(FV59),"",IF(FV59="","",FV59-(AD19*12)))</f>
        <v/>
      </c>
      <c r="AF19" s="1908" t="str">
        <f t="shared" ref="AF19:AF45" ca="1" si="46">IF(ISERROR(FO59),"",IF(FO59="","",FO59))</f>
        <v/>
      </c>
      <c r="AG19" s="1909" t="str">
        <f t="shared" ref="AG19:AG45" ca="1" si="47">IF(ISERROR(FX59),"",IF(FX59="","",TRUNC(FX59/12)))</f>
        <v/>
      </c>
      <c r="AH19" s="1910" t="str">
        <f t="shared" ref="AH19:AH45" ca="1" si="48">IF(ISERROR(FX59),"",IF(FX59="","",FX59-(AG19*12)))</f>
        <v/>
      </c>
      <c r="AI19" s="1909" t="str">
        <f t="shared" ref="AI19:AI45" ca="1" si="49">IF(ISERROR(FZ59),"",IF(FZ59="","",TRUNC(FZ59/12)))</f>
        <v/>
      </c>
      <c r="AJ19" s="1910" t="str">
        <f t="shared" ref="AJ19:AJ45" ca="1" si="50">IF(ISERROR(FZ59),"",IF(FZ59="","",FZ59-(AI19*12)))</f>
        <v/>
      </c>
      <c r="AK19" s="1911" t="str">
        <f t="shared" si="20"/>
        <v/>
      </c>
      <c r="AL19" s="1912" t="str">
        <f t="shared" si="21"/>
        <v/>
      </c>
      <c r="AM19" s="1913" t="str">
        <f t="shared" si="22"/>
        <v/>
      </c>
      <c r="AN19" s="1908" t="str">
        <f t="shared" si="23"/>
        <v/>
      </c>
      <c r="AO19" s="1914" t="str">
        <f t="shared" si="24"/>
        <v/>
      </c>
      <c r="AP19" s="1915" t="str">
        <f t="shared" si="4"/>
        <v/>
      </c>
      <c r="AQ19" s="1916" t="str">
        <f t="shared" si="5"/>
        <v/>
      </c>
      <c r="AR19" s="1917" t="str">
        <f t="shared" si="6"/>
        <v/>
      </c>
      <c r="AS19" s="1910" t="str">
        <f t="shared" si="7"/>
        <v/>
      </c>
      <c r="AT19" s="1918" t="str">
        <f t="shared" si="25"/>
        <v/>
      </c>
      <c r="AU19" s="1919" t="str">
        <f t="shared" si="26"/>
        <v/>
      </c>
      <c r="AV19" s="1920" t="str">
        <f t="shared" si="8"/>
        <v/>
      </c>
      <c r="AW19" s="1910" t="str">
        <f t="shared" si="9"/>
        <v/>
      </c>
      <c r="AX19" s="1918" t="str">
        <f t="shared" si="27"/>
        <v/>
      </c>
      <c r="AY19" s="1919" t="str">
        <f t="shared" si="28"/>
        <v/>
      </c>
      <c r="AZ19" s="1920" t="str">
        <f t="shared" si="10"/>
        <v/>
      </c>
      <c r="BA19" s="1910" t="str">
        <f t="shared" si="11"/>
        <v/>
      </c>
      <c r="BB19" s="1918" t="str">
        <f t="shared" si="29"/>
        <v/>
      </c>
      <c r="BC19" s="1919" t="str">
        <f t="shared" si="30"/>
        <v/>
      </c>
      <c r="BD19" s="1920" t="str">
        <f t="shared" si="12"/>
        <v/>
      </c>
      <c r="BE19" s="1910" t="str">
        <f t="shared" si="13"/>
        <v/>
      </c>
      <c r="BF19" s="1918" t="str">
        <f t="shared" si="31"/>
        <v/>
      </c>
      <c r="BG19" s="1919" t="str">
        <f t="shared" si="32"/>
        <v/>
      </c>
      <c r="BH19" s="322"/>
      <c r="BJ19" s="178"/>
      <c r="BK19" s="171"/>
      <c r="BW19" s="1253">
        <f t="shared" ca="1" si="33"/>
        <v>0</v>
      </c>
      <c r="BX19" s="1254" t="str">
        <f t="shared" ca="1" si="40"/>
        <v/>
      </c>
      <c r="BY19" s="1254" t="b">
        <f t="shared" ca="1" si="34"/>
        <v>0</v>
      </c>
      <c r="BZ19" s="1255"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82"/>
      <c r="EM19" s="1267"/>
      <c r="EN19" s="1183"/>
      <c r="EO19" s="1184"/>
      <c r="EP19" s="173"/>
      <c r="EQ19" s="173"/>
      <c r="ER19" s="173"/>
      <c r="ES19" s="173"/>
      <c r="ET19" s="173"/>
      <c r="EU19" s="173"/>
      <c r="EX19" s="1194" t="str">
        <f t="shared" ca="1" si="35"/>
        <v/>
      </c>
      <c r="EY19" s="1196" t="str">
        <f t="shared" si="14"/>
        <v/>
      </c>
      <c r="EZ19" s="1196" t="str">
        <f t="shared" si="36"/>
        <v/>
      </c>
      <c r="FA19" s="1217" t="str">
        <f t="shared" ca="1" si="42"/>
        <v/>
      </c>
      <c r="FB19" s="1218" t="str">
        <f t="shared" ca="1" si="37"/>
        <v/>
      </c>
      <c r="FC19" s="1218">
        <f t="shared" ca="1" si="15"/>
        <v>0</v>
      </c>
      <c r="FD19" s="1218">
        <f t="shared" ca="1" si="16"/>
        <v>0</v>
      </c>
      <c r="FE19" s="1218">
        <f t="shared" ca="1" si="17"/>
        <v>0</v>
      </c>
      <c r="FF19" s="1218">
        <f t="shared" ca="1" si="38"/>
        <v>0</v>
      </c>
      <c r="FN19" s="969"/>
      <c r="FO19" s="969"/>
      <c r="FP19" s="969" t="b">
        <v>0</v>
      </c>
      <c r="FQ19" s="969" t="b">
        <f t="shared" si="39"/>
        <v>1</v>
      </c>
      <c r="FX19" s="236"/>
      <c r="FZ19" s="2"/>
      <c r="GA19" s="173"/>
      <c r="GB19" s="173"/>
      <c r="GC19" s="173"/>
      <c r="GD19" s="173"/>
      <c r="GE19" s="173"/>
      <c r="GF19" s="173"/>
      <c r="GG19" s="173"/>
      <c r="GH19" s="173"/>
      <c r="GI19" s="173"/>
      <c r="GJ19" s="173"/>
      <c r="GK19" s="2"/>
      <c r="GL19" s="171"/>
      <c r="GM19" s="171"/>
      <c r="GZ19" s="1515" t="s">
        <v>1205</v>
      </c>
      <c r="HA19" s="1516">
        <v>80</v>
      </c>
      <c r="HB19" s="1516">
        <f t="shared" ref="HB19:ID19" si="51">HA19+1</f>
        <v>81</v>
      </c>
      <c r="HC19" s="1516">
        <f t="shared" si="51"/>
        <v>82</v>
      </c>
      <c r="HD19" s="1516">
        <f t="shared" si="51"/>
        <v>83</v>
      </c>
      <c r="HE19" s="1516">
        <f t="shared" si="51"/>
        <v>84</v>
      </c>
      <c r="HF19" s="1516">
        <f t="shared" si="51"/>
        <v>85</v>
      </c>
      <c r="HG19" s="1516">
        <f t="shared" si="51"/>
        <v>86</v>
      </c>
      <c r="HH19" s="1516">
        <f t="shared" si="51"/>
        <v>87</v>
      </c>
      <c r="HI19" s="1516">
        <f t="shared" si="51"/>
        <v>88</v>
      </c>
      <c r="HJ19" s="1516">
        <f t="shared" si="51"/>
        <v>89</v>
      </c>
      <c r="HK19" s="1516">
        <f t="shared" si="51"/>
        <v>90</v>
      </c>
      <c r="HL19" s="1516">
        <f t="shared" si="51"/>
        <v>91</v>
      </c>
      <c r="HM19" s="1516">
        <f t="shared" si="51"/>
        <v>92</v>
      </c>
      <c r="HN19" s="1516">
        <f t="shared" si="51"/>
        <v>93</v>
      </c>
      <c r="HO19" s="1516">
        <f t="shared" si="51"/>
        <v>94</v>
      </c>
      <c r="HP19" s="1516">
        <f t="shared" si="51"/>
        <v>95</v>
      </c>
      <c r="HQ19" s="1516">
        <f t="shared" si="51"/>
        <v>96</v>
      </c>
      <c r="HR19" s="1516">
        <f t="shared" si="51"/>
        <v>97</v>
      </c>
      <c r="HS19" s="1516">
        <f t="shared" si="51"/>
        <v>98</v>
      </c>
      <c r="HT19" s="1516">
        <f t="shared" si="51"/>
        <v>99</v>
      </c>
      <c r="HU19" s="1516">
        <f t="shared" si="51"/>
        <v>100</v>
      </c>
      <c r="HV19" s="1516">
        <f t="shared" si="51"/>
        <v>101</v>
      </c>
      <c r="HW19" s="1516">
        <f t="shared" si="51"/>
        <v>102</v>
      </c>
      <c r="HX19" s="1516">
        <f t="shared" si="51"/>
        <v>103</v>
      </c>
      <c r="HY19" s="1516">
        <f t="shared" si="51"/>
        <v>104</v>
      </c>
      <c r="HZ19" s="1516">
        <f t="shared" si="51"/>
        <v>105</v>
      </c>
      <c r="IA19" s="1516">
        <f t="shared" si="51"/>
        <v>106</v>
      </c>
      <c r="IB19" s="1516">
        <f t="shared" si="51"/>
        <v>107</v>
      </c>
      <c r="IC19" s="1516">
        <f t="shared" si="51"/>
        <v>108</v>
      </c>
      <c r="ID19" s="1516">
        <f t="shared" si="51"/>
        <v>109</v>
      </c>
      <c r="IE19" s="1612"/>
      <c r="IF19" s="1613"/>
      <c r="IG19" s="1614"/>
      <c r="IH19" s="1615"/>
      <c r="II19" s="1613"/>
      <c r="IJ19" s="1614"/>
      <c r="IK19" s="1615"/>
      <c r="IL19" s="1613"/>
      <c r="IM19" s="1613"/>
      <c r="IN19" s="1613"/>
      <c r="IO19" s="1613"/>
      <c r="IP19" s="1613"/>
      <c r="IQ19" s="1613"/>
      <c r="IR19" s="1613"/>
      <c r="IS19" s="1614"/>
      <c r="IT19" s="1615"/>
      <c r="IU19" s="1613"/>
      <c r="IV19" s="1613"/>
      <c r="IW19" s="1614"/>
      <c r="IX19" s="1615"/>
      <c r="IY19" s="1613"/>
      <c r="IZ19" s="1613"/>
      <c r="JA19" s="1614"/>
      <c r="JB19" s="1615"/>
      <c r="JC19" s="1613"/>
      <c r="JD19" s="1613"/>
      <c r="JE19" s="1614"/>
      <c r="JF19" s="1615"/>
      <c r="JG19" s="1613"/>
      <c r="JH19" s="1613"/>
      <c r="JI19" s="1613"/>
      <c r="JJ19" s="1616"/>
      <c r="JK19" s="1613"/>
      <c r="JL19" s="1521">
        <f t="shared" ca="1" si="43"/>
        <v>0</v>
      </c>
      <c r="JM19" s="171"/>
    </row>
    <row r="20" spans="1:274" ht="12.6" customHeight="1" x14ac:dyDescent="0.25">
      <c r="A20" s="1403"/>
      <c r="B20" s="1403"/>
      <c r="C20" s="1403"/>
      <c r="D20" s="1403"/>
      <c r="E20" s="1403"/>
      <c r="F20" s="1403"/>
      <c r="G20" s="1403"/>
      <c r="H20" s="1403"/>
      <c r="I20" s="1403"/>
      <c r="J20" s="1403"/>
      <c r="K20" s="1403"/>
      <c r="L20" s="1403"/>
      <c r="M20" s="1403"/>
      <c r="N20" s="1403"/>
      <c r="O20" s="1403"/>
      <c r="P20" s="1403"/>
      <c r="Q20" s="1403"/>
      <c r="R20" s="1403"/>
      <c r="S20" s="1403"/>
      <c r="T20" s="1403"/>
      <c r="U20" s="1403"/>
      <c r="V20" s="1403"/>
      <c r="W20" s="1403"/>
      <c r="X20" s="1403"/>
      <c r="Y20" s="1403"/>
      <c r="Z20" s="1403"/>
      <c r="AA20" s="1403"/>
      <c r="AB20" s="1471" t="str">
        <f t="shared" si="18"/>
        <v/>
      </c>
      <c r="AC20" s="1908" t="str">
        <f t="shared" si="19"/>
        <v/>
      </c>
      <c r="AD20" s="1909" t="str">
        <f t="shared" ca="1" si="44"/>
        <v/>
      </c>
      <c r="AE20" s="1910" t="str">
        <f t="shared" ca="1" si="45"/>
        <v/>
      </c>
      <c r="AF20" s="1908" t="str">
        <f t="shared" ca="1" si="46"/>
        <v/>
      </c>
      <c r="AG20" s="1909" t="str">
        <f t="shared" ca="1" si="47"/>
        <v/>
      </c>
      <c r="AH20" s="1910" t="str">
        <f t="shared" ca="1" si="48"/>
        <v/>
      </c>
      <c r="AI20" s="1909" t="str">
        <f t="shared" ca="1" si="49"/>
        <v/>
      </c>
      <c r="AJ20" s="1910" t="str">
        <f t="shared" ca="1" si="50"/>
        <v/>
      </c>
      <c r="AK20" s="1911" t="str">
        <f t="shared" si="20"/>
        <v/>
      </c>
      <c r="AL20" s="1912" t="str">
        <f t="shared" si="21"/>
        <v/>
      </c>
      <c r="AM20" s="1913" t="str">
        <f t="shared" si="22"/>
        <v/>
      </c>
      <c r="AN20" s="1908" t="str">
        <f t="shared" si="23"/>
        <v/>
      </c>
      <c r="AO20" s="1914" t="str">
        <f t="shared" si="24"/>
        <v/>
      </c>
      <c r="AP20" s="1915" t="str">
        <f t="shared" si="4"/>
        <v/>
      </c>
      <c r="AQ20" s="1916" t="str">
        <f t="shared" si="5"/>
        <v/>
      </c>
      <c r="AR20" s="1917" t="str">
        <f t="shared" si="6"/>
        <v/>
      </c>
      <c r="AS20" s="1910" t="str">
        <f t="shared" si="7"/>
        <v/>
      </c>
      <c r="AT20" s="1918" t="str">
        <f t="shared" si="25"/>
        <v/>
      </c>
      <c r="AU20" s="1919" t="str">
        <f t="shared" si="26"/>
        <v/>
      </c>
      <c r="AV20" s="1920" t="str">
        <f t="shared" si="8"/>
        <v/>
      </c>
      <c r="AW20" s="1910" t="str">
        <f t="shared" si="9"/>
        <v/>
      </c>
      <c r="AX20" s="1918" t="str">
        <f t="shared" si="27"/>
        <v/>
      </c>
      <c r="AY20" s="1919" t="str">
        <f t="shared" si="28"/>
        <v/>
      </c>
      <c r="AZ20" s="1920" t="str">
        <f t="shared" si="10"/>
        <v/>
      </c>
      <c r="BA20" s="1910" t="str">
        <f t="shared" si="11"/>
        <v/>
      </c>
      <c r="BB20" s="1918" t="str">
        <f t="shared" si="29"/>
        <v/>
      </c>
      <c r="BC20" s="1919" t="str">
        <f t="shared" si="30"/>
        <v/>
      </c>
      <c r="BD20" s="1920" t="str">
        <f t="shared" si="12"/>
        <v/>
      </c>
      <c r="BE20" s="1910" t="str">
        <f t="shared" si="13"/>
        <v/>
      </c>
      <c r="BF20" s="1918" t="str">
        <f t="shared" si="31"/>
        <v/>
      </c>
      <c r="BG20" s="1919" t="str">
        <f t="shared" si="32"/>
        <v/>
      </c>
      <c r="BH20" s="322"/>
      <c r="BJ20" s="178"/>
      <c r="BK20" s="171"/>
      <c r="BW20" s="1253">
        <f t="shared" ca="1" si="33"/>
        <v>0</v>
      </c>
      <c r="BX20" s="1254" t="str">
        <f t="shared" ca="1" si="40"/>
        <v/>
      </c>
      <c r="BY20" s="1254" t="b">
        <f t="shared" ca="1" si="34"/>
        <v>0</v>
      </c>
      <c r="BZ20" s="1255"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82"/>
      <c r="EM20" s="1267"/>
      <c r="EN20" s="1185"/>
      <c r="EO20" s="1184"/>
      <c r="EP20" s="173"/>
      <c r="EQ20" s="173"/>
      <c r="ER20" s="173"/>
      <c r="ES20" s="173"/>
      <c r="ET20" s="173"/>
      <c r="EU20" s="173"/>
      <c r="EX20" s="1194" t="str">
        <f t="shared" ca="1" si="35"/>
        <v/>
      </c>
      <c r="EY20" s="1196" t="str">
        <f t="shared" si="14"/>
        <v/>
      </c>
      <c r="EZ20" s="1196" t="str">
        <f t="shared" si="36"/>
        <v/>
      </c>
      <c r="FA20" s="1217" t="str">
        <f t="shared" ca="1" si="42"/>
        <v/>
      </c>
      <c r="FB20" s="1218" t="str">
        <f t="shared" ca="1" si="37"/>
        <v/>
      </c>
      <c r="FC20" s="1218">
        <f t="shared" ca="1" si="15"/>
        <v>0</v>
      </c>
      <c r="FD20" s="1218">
        <f t="shared" ca="1" si="16"/>
        <v>0</v>
      </c>
      <c r="FE20" s="1218">
        <f t="shared" ca="1" si="17"/>
        <v>0</v>
      </c>
      <c r="FF20" s="1218">
        <f t="shared" ca="1" si="38"/>
        <v>0</v>
      </c>
      <c r="FN20" s="969"/>
      <c r="FO20" s="969"/>
      <c r="FP20" s="969" t="b">
        <v>0</v>
      </c>
      <c r="FQ20" s="969" t="b">
        <f t="shared" si="39"/>
        <v>1</v>
      </c>
      <c r="FX20" s="236"/>
      <c r="FZ20" s="2"/>
      <c r="GA20" s="173"/>
      <c r="GB20" s="173"/>
      <c r="GC20" s="173"/>
      <c r="GD20" s="173"/>
      <c r="GE20" s="173"/>
      <c r="GF20" s="173"/>
      <c r="GG20" s="173"/>
      <c r="GH20" s="173"/>
      <c r="GI20" s="173"/>
      <c r="GJ20" s="173"/>
      <c r="GK20" s="2"/>
      <c r="GL20" s="171"/>
      <c r="GM20" s="171"/>
      <c r="GZ20" s="1515" t="s">
        <v>1181</v>
      </c>
      <c r="HA20" s="1516">
        <v>1</v>
      </c>
      <c r="HB20" s="1516">
        <f t="shared" ref="HB20:HZ20" si="52">HA20+1</f>
        <v>2</v>
      </c>
      <c r="HC20" s="1516">
        <f t="shared" si="52"/>
        <v>3</v>
      </c>
      <c r="HD20" s="1516">
        <f t="shared" si="52"/>
        <v>4</v>
      </c>
      <c r="HE20" s="1516">
        <f t="shared" si="52"/>
        <v>5</v>
      </c>
      <c r="HF20" s="1516">
        <f t="shared" si="52"/>
        <v>6</v>
      </c>
      <c r="HG20" s="1516">
        <f t="shared" si="52"/>
        <v>7</v>
      </c>
      <c r="HH20" s="1516">
        <f t="shared" si="52"/>
        <v>8</v>
      </c>
      <c r="HI20" s="1516">
        <f t="shared" si="52"/>
        <v>9</v>
      </c>
      <c r="HJ20" s="1516">
        <f t="shared" si="52"/>
        <v>10</v>
      </c>
      <c r="HK20" s="1516">
        <f t="shared" si="52"/>
        <v>11</v>
      </c>
      <c r="HL20" s="1516">
        <f t="shared" si="52"/>
        <v>12</v>
      </c>
      <c r="HM20" s="1516">
        <f t="shared" si="52"/>
        <v>13</v>
      </c>
      <c r="HN20" s="1516">
        <f t="shared" si="52"/>
        <v>14</v>
      </c>
      <c r="HO20" s="1516">
        <f t="shared" si="52"/>
        <v>15</v>
      </c>
      <c r="HP20" s="1516">
        <f t="shared" si="52"/>
        <v>16</v>
      </c>
      <c r="HQ20" s="1516">
        <f t="shared" si="52"/>
        <v>17</v>
      </c>
      <c r="HR20" s="1516">
        <f t="shared" si="52"/>
        <v>18</v>
      </c>
      <c r="HS20" s="1516">
        <f t="shared" si="52"/>
        <v>19</v>
      </c>
      <c r="HT20" s="1516">
        <f t="shared" si="52"/>
        <v>20</v>
      </c>
      <c r="HU20" s="1516">
        <f t="shared" si="52"/>
        <v>21</v>
      </c>
      <c r="HV20" s="1516">
        <f t="shared" si="52"/>
        <v>22</v>
      </c>
      <c r="HW20" s="1516">
        <f t="shared" si="52"/>
        <v>23</v>
      </c>
      <c r="HX20" s="1516">
        <f t="shared" si="52"/>
        <v>24</v>
      </c>
      <c r="HY20" s="1516">
        <f t="shared" si="52"/>
        <v>25</v>
      </c>
      <c r="HZ20" s="1516">
        <f t="shared" si="52"/>
        <v>26</v>
      </c>
      <c r="IA20" s="1517" t="s">
        <v>1215</v>
      </c>
      <c r="IB20" s="1516">
        <v>27</v>
      </c>
      <c r="IC20" s="1516"/>
      <c r="ID20" s="1516"/>
      <c r="IE20" s="1612"/>
      <c r="IF20" s="1613"/>
      <c r="IG20" s="1614"/>
      <c r="IH20" s="1615"/>
      <c r="II20" s="1613"/>
      <c r="IJ20" s="1614"/>
      <c r="IK20" s="1615"/>
      <c r="IL20" s="1613"/>
      <c r="IM20" s="1613"/>
      <c r="IN20" s="1613"/>
      <c r="IO20" s="1613"/>
      <c r="IP20" s="1613"/>
      <c r="IQ20" s="1613"/>
      <c r="IR20" s="1613"/>
      <c r="IS20" s="1614"/>
      <c r="IT20" s="1615"/>
      <c r="IU20" s="1613"/>
      <c r="IV20" s="1613"/>
      <c r="IW20" s="1614"/>
      <c r="IX20" s="1615"/>
      <c r="IY20" s="1613"/>
      <c r="IZ20" s="1613"/>
      <c r="JA20" s="1614"/>
      <c r="JB20" s="1615"/>
      <c r="JC20" s="1613"/>
      <c r="JD20" s="1613"/>
      <c r="JE20" s="1614"/>
      <c r="JF20" s="1615"/>
      <c r="JG20" s="1613"/>
      <c r="JH20" s="1613"/>
      <c r="JI20" s="1613"/>
      <c r="JJ20" s="1616"/>
      <c r="JK20" s="1613"/>
      <c r="JL20" s="1521">
        <f t="shared" ca="1" si="43"/>
        <v>0</v>
      </c>
      <c r="JM20" s="171"/>
    </row>
    <row r="21" spans="1:274" ht="12.6" customHeight="1" thickBot="1" x14ac:dyDescent="0.3">
      <c r="A21" s="1403"/>
      <c r="B21" s="1403"/>
      <c r="C21" s="1403"/>
      <c r="D21" s="1403"/>
      <c r="E21" s="1403"/>
      <c r="F21" s="1403"/>
      <c r="G21" s="1403"/>
      <c r="H21" s="1403"/>
      <c r="I21" s="1403"/>
      <c r="J21" s="1403"/>
      <c r="K21" s="1403"/>
      <c r="L21" s="1403"/>
      <c r="M21" s="1403"/>
      <c r="N21" s="1403"/>
      <c r="O21" s="1403"/>
      <c r="P21" s="1403"/>
      <c r="Q21" s="1403"/>
      <c r="R21" s="1403"/>
      <c r="S21" s="1403"/>
      <c r="T21" s="1403"/>
      <c r="U21" s="1403"/>
      <c r="V21" s="1403"/>
      <c r="W21" s="1403"/>
      <c r="X21" s="1403"/>
      <c r="Y21" s="1403"/>
      <c r="Z21" s="1403"/>
      <c r="AA21" s="1403"/>
      <c r="AB21" s="1471" t="str">
        <f t="shared" si="18"/>
        <v/>
      </c>
      <c r="AC21" s="1908" t="str">
        <f t="shared" ref="AC21:AC45" si="53">IF(ISBLANK(DI21),"",DI21)</f>
        <v/>
      </c>
      <c r="AD21" s="1909" t="str">
        <f t="shared" ca="1" si="44"/>
        <v/>
      </c>
      <c r="AE21" s="1910" t="str">
        <f t="shared" ca="1" si="45"/>
        <v/>
      </c>
      <c r="AF21" s="1908" t="str">
        <f t="shared" ca="1" si="46"/>
        <v/>
      </c>
      <c r="AG21" s="1909" t="str">
        <f t="shared" ca="1" si="47"/>
        <v/>
      </c>
      <c r="AH21" s="1910" t="str">
        <f t="shared" ca="1" si="48"/>
        <v/>
      </c>
      <c r="AI21" s="1909" t="str">
        <f t="shared" ca="1" si="49"/>
        <v/>
      </c>
      <c r="AJ21" s="1910" t="str">
        <f t="shared" ca="1" si="50"/>
        <v/>
      </c>
      <c r="AK21" s="1911" t="str">
        <f t="shared" ref="AK21:AK45" si="54">IF(ISBLANK(DO21),"",DO21)</f>
        <v/>
      </c>
      <c r="AL21" s="1912" t="str">
        <f t="shared" ref="AL21:AL45" si="55">IF(ISBLANK(DP21),"",DP21)</f>
        <v/>
      </c>
      <c r="AM21" s="1913" t="str">
        <f t="shared" ref="AM21:AM45" si="56">IF(ISBLANK(DQ21),"",DQ21)</f>
        <v/>
      </c>
      <c r="AN21" s="1908" t="str">
        <f t="shared" ref="AN21:AN45" si="57">IF(ISBLANK(DR21),"",DR21)</f>
        <v/>
      </c>
      <c r="AO21" s="1914" t="str">
        <f t="shared" ref="AO21:AO45" si="58">IF(ISBLANK(DS21),"",DS21)</f>
        <v/>
      </c>
      <c r="AP21" s="1915" t="str">
        <f t="shared" si="4"/>
        <v/>
      </c>
      <c r="AQ21" s="1916" t="str">
        <f t="shared" si="5"/>
        <v/>
      </c>
      <c r="AR21" s="1917" t="str">
        <f t="shared" si="6"/>
        <v/>
      </c>
      <c r="AS21" s="1910" t="str">
        <f t="shared" si="7"/>
        <v/>
      </c>
      <c r="AT21" s="1918" t="str">
        <f t="shared" ref="AT21:AT45" si="59">IF(ISBLANK(DX21),"",DX21)</f>
        <v/>
      </c>
      <c r="AU21" s="1919" t="str">
        <f t="shared" ref="AU21:AU45" si="60">IF(ISBLANK(DY21),"",DY21)</f>
        <v/>
      </c>
      <c r="AV21" s="1920" t="str">
        <f t="shared" si="8"/>
        <v/>
      </c>
      <c r="AW21" s="1910" t="str">
        <f t="shared" si="9"/>
        <v/>
      </c>
      <c r="AX21" s="1918" t="str">
        <f t="shared" ref="AX21:AX45" si="61">IF(ISBLANK(EB21),"",EB21)</f>
        <v/>
      </c>
      <c r="AY21" s="1919" t="str">
        <f t="shared" ref="AY21:AY45" si="62">IF(ISBLANK(EC21),"",EC21)</f>
        <v/>
      </c>
      <c r="AZ21" s="1920" t="str">
        <f t="shared" si="10"/>
        <v/>
      </c>
      <c r="BA21" s="1910" t="str">
        <f t="shared" si="11"/>
        <v/>
      </c>
      <c r="BB21" s="1918" t="str">
        <f t="shared" ref="BB21:BB45" si="63">IF(ISBLANK(EF21),"",EF21)</f>
        <v/>
      </c>
      <c r="BC21" s="1919" t="str">
        <f t="shared" ref="BC21:BC45" si="64">IF(ISBLANK(EG21),"",EG21)</f>
        <v/>
      </c>
      <c r="BD21" s="1920" t="str">
        <f t="shared" si="12"/>
        <v/>
      </c>
      <c r="BE21" s="1910" t="str">
        <f t="shared" si="13"/>
        <v/>
      </c>
      <c r="BF21" s="1918" t="str">
        <f t="shared" ref="BF21:BF45" si="65">IF(ISBLANK(EJ21),"",EJ21)</f>
        <v/>
      </c>
      <c r="BG21" s="1919" t="str">
        <f t="shared" ref="BG21:BG45" si="66">IF(ISBLANK(EK21),"",EK21)</f>
        <v/>
      </c>
      <c r="BH21" s="322"/>
      <c r="BJ21" s="178"/>
      <c r="BK21" s="171"/>
      <c r="BW21" s="1253">
        <f t="shared" ca="1" si="33"/>
        <v>0</v>
      </c>
      <c r="BX21" s="1254" t="str">
        <f t="shared" ca="1" si="40"/>
        <v/>
      </c>
      <c r="BY21" s="1254" t="b">
        <f t="shared" ca="1" si="34"/>
        <v>0</v>
      </c>
      <c r="BZ21" s="1255"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7"/>
      <c r="EN21" s="1183"/>
      <c r="EO21" s="1184"/>
      <c r="EP21" s="173"/>
      <c r="EQ21" s="173"/>
      <c r="ER21" s="173"/>
      <c r="ES21" s="173"/>
      <c r="ET21" s="173"/>
      <c r="EU21" s="173"/>
      <c r="EX21" s="1194" t="str">
        <f t="shared" ca="1" si="35"/>
        <v/>
      </c>
      <c r="EY21" s="1196" t="str">
        <f t="shared" si="14"/>
        <v/>
      </c>
      <c r="EZ21" s="1196" t="str">
        <f t="shared" si="36"/>
        <v/>
      </c>
      <c r="FA21" s="1217" t="str">
        <f t="shared" ca="1" si="42"/>
        <v/>
      </c>
      <c r="FB21" s="1218" t="str">
        <f t="shared" ca="1" si="37"/>
        <v/>
      </c>
      <c r="FC21" s="1218">
        <f t="shared" ca="1" si="15"/>
        <v>0</v>
      </c>
      <c r="FD21" s="1218">
        <f t="shared" ca="1" si="16"/>
        <v>0</v>
      </c>
      <c r="FE21" s="1218">
        <f t="shared" ca="1" si="17"/>
        <v>0</v>
      </c>
      <c r="FF21" s="1218">
        <f t="shared" ca="1" si="38"/>
        <v>0</v>
      </c>
      <c r="FN21" s="969"/>
      <c r="FO21" s="969"/>
      <c r="FP21" s="969" t="b">
        <v>0</v>
      </c>
      <c r="FQ21" s="969" t="b">
        <f t="shared" si="39"/>
        <v>1</v>
      </c>
      <c r="FX21" s="971"/>
      <c r="FZ21" s="26"/>
      <c r="GA21" s="173"/>
      <c r="GB21" s="173"/>
      <c r="GC21" s="173"/>
      <c r="GD21" s="173"/>
      <c r="GE21" s="173"/>
      <c r="GF21" s="173"/>
      <c r="GG21" s="173"/>
      <c r="GH21" s="173"/>
      <c r="GI21" s="173"/>
      <c r="GJ21" s="173"/>
      <c r="GK21" s="26"/>
      <c r="GL21" s="171"/>
      <c r="GM21" s="171"/>
      <c r="GZ21" s="1515" t="s">
        <v>1204</v>
      </c>
      <c r="HA21" s="1516">
        <v>1</v>
      </c>
      <c r="HB21" s="1516">
        <f>HA21+1</f>
        <v>2</v>
      </c>
      <c r="HC21" s="1516">
        <f t="shared" ref="HC21:HK22" si="67">HB21+1</f>
        <v>3</v>
      </c>
      <c r="HD21" s="1516">
        <f t="shared" si="67"/>
        <v>4</v>
      </c>
      <c r="HE21" s="1516">
        <f t="shared" si="67"/>
        <v>5</v>
      </c>
      <c r="HF21" s="1516">
        <f t="shared" si="67"/>
        <v>6</v>
      </c>
      <c r="HG21" s="1516">
        <f t="shared" si="67"/>
        <v>7</v>
      </c>
      <c r="HH21" s="1516">
        <f t="shared" si="67"/>
        <v>8</v>
      </c>
      <c r="HI21" s="1516">
        <f t="shared" si="67"/>
        <v>9</v>
      </c>
      <c r="HJ21" s="1516">
        <f t="shared" si="67"/>
        <v>10</v>
      </c>
      <c r="HK21" s="1516">
        <f t="shared" si="67"/>
        <v>11</v>
      </c>
      <c r="HL21" s="1516">
        <f t="shared" ref="HL21:HX22" si="68">HK21+1</f>
        <v>12</v>
      </c>
      <c r="HM21" s="1516">
        <f t="shared" si="68"/>
        <v>13</v>
      </c>
      <c r="HN21" s="1516">
        <f t="shared" si="68"/>
        <v>14</v>
      </c>
      <c r="HO21" s="1516">
        <f t="shared" si="68"/>
        <v>15</v>
      </c>
      <c r="HP21" s="1516">
        <f t="shared" si="68"/>
        <v>16</v>
      </c>
      <c r="HQ21" s="1516">
        <f t="shared" si="68"/>
        <v>17</v>
      </c>
      <c r="HR21" s="1516">
        <f t="shared" si="68"/>
        <v>18</v>
      </c>
      <c r="HS21" s="1516">
        <f t="shared" ref="HS21:ID21" si="69">HR21+1</f>
        <v>19</v>
      </c>
      <c r="HT21" s="1516">
        <f t="shared" si="69"/>
        <v>20</v>
      </c>
      <c r="HU21" s="1516">
        <f t="shared" si="69"/>
        <v>21</v>
      </c>
      <c r="HV21" s="1516">
        <f t="shared" si="69"/>
        <v>22</v>
      </c>
      <c r="HW21" s="1516">
        <f t="shared" si="69"/>
        <v>23</v>
      </c>
      <c r="HX21" s="1516">
        <f t="shared" si="69"/>
        <v>24</v>
      </c>
      <c r="HY21" s="1516">
        <f t="shared" si="69"/>
        <v>25</v>
      </c>
      <c r="HZ21" s="1516">
        <f t="shared" si="69"/>
        <v>26</v>
      </c>
      <c r="IA21" s="1518">
        <f t="shared" si="69"/>
        <v>27</v>
      </c>
      <c r="IB21" s="1518">
        <f t="shared" si="69"/>
        <v>28</v>
      </c>
      <c r="IC21" s="1518">
        <f t="shared" si="69"/>
        <v>29</v>
      </c>
      <c r="ID21" s="1518">
        <f t="shared" si="69"/>
        <v>30</v>
      </c>
      <c r="IE21" s="1612"/>
      <c r="IF21" s="1613"/>
      <c r="IG21" s="1614"/>
      <c r="IH21" s="1615"/>
      <c r="II21" s="1613"/>
      <c r="IJ21" s="1614"/>
      <c r="IK21" s="1615"/>
      <c r="IL21" s="1613"/>
      <c r="IM21" s="1613"/>
      <c r="IN21" s="1613"/>
      <c r="IO21" s="1613"/>
      <c r="IP21" s="1613"/>
      <c r="IQ21" s="1613"/>
      <c r="IR21" s="1613"/>
      <c r="IS21" s="1614"/>
      <c r="IT21" s="1615"/>
      <c r="IU21" s="1613"/>
      <c r="IV21" s="1613"/>
      <c r="IW21" s="1614"/>
      <c r="IX21" s="1615"/>
      <c r="IY21" s="1613"/>
      <c r="IZ21" s="1613"/>
      <c r="JA21" s="1614"/>
      <c r="JB21" s="1615"/>
      <c r="JC21" s="1613"/>
      <c r="JD21" s="1613"/>
      <c r="JE21" s="1614"/>
      <c r="JF21" s="1615"/>
      <c r="JG21" s="1613"/>
      <c r="JH21" s="1613"/>
      <c r="JI21" s="1613"/>
      <c r="JJ21" s="1616"/>
      <c r="JK21" s="1613"/>
      <c r="JL21" s="1521">
        <f t="shared" ca="1" si="43"/>
        <v>0</v>
      </c>
      <c r="JM21" s="171"/>
    </row>
    <row r="22" spans="1:274" ht="12.6" customHeight="1" thickTop="1" x14ac:dyDescent="0.25">
      <c r="A22" s="1403"/>
      <c r="B22" s="1403"/>
      <c r="C22" s="1403"/>
      <c r="D22" s="1403"/>
      <c r="E22" s="1403"/>
      <c r="F22" s="1403"/>
      <c r="G22" s="1403"/>
      <c r="H22" s="1403"/>
      <c r="I22" s="1403"/>
      <c r="J22" s="1403"/>
      <c r="K22" s="1403"/>
      <c r="L22" s="1403"/>
      <c r="M22" s="1403"/>
      <c r="N22" s="1403"/>
      <c r="O22" s="1403"/>
      <c r="P22" s="1403"/>
      <c r="Q22" s="1403"/>
      <c r="R22" s="1403"/>
      <c r="S22" s="1403"/>
      <c r="T22" s="1403"/>
      <c r="U22" s="1403"/>
      <c r="V22" s="1403"/>
      <c r="W22" s="1403"/>
      <c r="X22" s="1403"/>
      <c r="Y22" s="1403"/>
      <c r="Z22" s="1403"/>
      <c r="AA22" s="1403"/>
      <c r="AB22" s="1471" t="str">
        <f t="shared" si="18"/>
        <v/>
      </c>
      <c r="AC22" s="1908" t="str">
        <f t="shared" si="53"/>
        <v/>
      </c>
      <c r="AD22" s="1909" t="str">
        <f t="shared" ca="1" si="44"/>
        <v/>
      </c>
      <c r="AE22" s="1910" t="str">
        <f t="shared" ca="1" si="45"/>
        <v/>
      </c>
      <c r="AF22" s="1908" t="str">
        <f t="shared" ca="1" si="46"/>
        <v/>
      </c>
      <c r="AG22" s="1909" t="str">
        <f t="shared" ca="1" si="47"/>
        <v/>
      </c>
      <c r="AH22" s="1910" t="str">
        <f t="shared" ca="1" si="48"/>
        <v/>
      </c>
      <c r="AI22" s="1909" t="str">
        <f t="shared" ca="1" si="49"/>
        <v/>
      </c>
      <c r="AJ22" s="1910" t="str">
        <f t="shared" ca="1" si="50"/>
        <v/>
      </c>
      <c r="AK22" s="1911" t="str">
        <f t="shared" si="54"/>
        <v/>
      </c>
      <c r="AL22" s="1912" t="str">
        <f t="shared" si="55"/>
        <v/>
      </c>
      <c r="AM22" s="1913" t="str">
        <f t="shared" si="56"/>
        <v/>
      </c>
      <c r="AN22" s="1908" t="str">
        <f t="shared" si="57"/>
        <v/>
      </c>
      <c r="AO22" s="1914" t="str">
        <f t="shared" si="58"/>
        <v/>
      </c>
      <c r="AP22" s="1915" t="str">
        <f t="shared" si="4"/>
        <v/>
      </c>
      <c r="AQ22" s="1916" t="str">
        <f t="shared" si="5"/>
        <v/>
      </c>
      <c r="AR22" s="1917" t="str">
        <f t="shared" si="6"/>
        <v/>
      </c>
      <c r="AS22" s="1910" t="str">
        <f t="shared" si="7"/>
        <v/>
      </c>
      <c r="AT22" s="1918" t="str">
        <f t="shared" si="59"/>
        <v/>
      </c>
      <c r="AU22" s="1919" t="str">
        <f t="shared" si="60"/>
        <v/>
      </c>
      <c r="AV22" s="1920" t="str">
        <f t="shared" si="8"/>
        <v/>
      </c>
      <c r="AW22" s="1910" t="str">
        <f t="shared" si="9"/>
        <v/>
      </c>
      <c r="AX22" s="1918" t="str">
        <f t="shared" si="61"/>
        <v/>
      </c>
      <c r="AY22" s="1919" t="str">
        <f t="shared" si="62"/>
        <v/>
      </c>
      <c r="AZ22" s="1920" t="str">
        <f t="shared" si="10"/>
        <v/>
      </c>
      <c r="BA22" s="1910" t="str">
        <f t="shared" si="11"/>
        <v/>
      </c>
      <c r="BB22" s="1918" t="str">
        <f t="shared" si="63"/>
        <v/>
      </c>
      <c r="BC22" s="1919" t="str">
        <f t="shared" si="64"/>
        <v/>
      </c>
      <c r="BD22" s="1920" t="str">
        <f t="shared" si="12"/>
        <v/>
      </c>
      <c r="BE22" s="1910" t="str">
        <f t="shared" si="13"/>
        <v/>
      </c>
      <c r="BF22" s="1918" t="str">
        <f t="shared" si="65"/>
        <v/>
      </c>
      <c r="BG22" s="1919" t="str">
        <f t="shared" si="66"/>
        <v/>
      </c>
      <c r="BH22" s="322"/>
      <c r="BJ22" s="178"/>
      <c r="BK22" s="171"/>
      <c r="BW22" s="1253">
        <f t="shared" ca="1" si="33"/>
        <v>0</v>
      </c>
      <c r="BX22" s="1254" t="str">
        <f t="shared" ca="1" si="40"/>
        <v/>
      </c>
      <c r="BY22" s="1254" t="b">
        <f t="shared" ca="1" si="34"/>
        <v>0</v>
      </c>
      <c r="BZ22" s="1255" t="b">
        <f t="shared" si="41"/>
        <v>0</v>
      </c>
      <c r="CB22" s="2477" t="s">
        <v>679</v>
      </c>
      <c r="CC22" s="2478"/>
      <c r="CD22" s="2478"/>
      <c r="CE22" s="2478"/>
      <c r="CF22" s="2478"/>
      <c r="CG22" s="2478"/>
      <c r="CH22" s="2478"/>
      <c r="CI22" s="2478"/>
      <c r="CJ22" s="2478"/>
      <c r="CK22" s="2478"/>
      <c r="CL22" s="2478"/>
      <c r="CM22" s="2478"/>
      <c r="CN22" s="2478"/>
      <c r="CO22" s="2478"/>
      <c r="CP22" s="2478"/>
      <c r="CQ22" s="2478"/>
      <c r="CR22" s="2478"/>
      <c r="CS22" s="2478"/>
      <c r="CT22" s="2478"/>
      <c r="CU22" s="2478"/>
      <c r="CV22" s="2478"/>
      <c r="CW22" s="2478"/>
      <c r="CX22" s="2478"/>
      <c r="CY22" s="2479"/>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7"/>
      <c r="EN22" s="1183"/>
      <c r="EO22" s="1184"/>
      <c r="EP22" s="173"/>
      <c r="EQ22" s="173"/>
      <c r="ER22" s="173"/>
      <c r="ES22" s="173"/>
      <c r="ET22" s="173"/>
      <c r="EU22" s="173"/>
      <c r="EX22" s="1194" t="str">
        <f t="shared" ca="1" si="35"/>
        <v/>
      </c>
      <c r="EY22" s="1196" t="str">
        <f t="shared" si="14"/>
        <v/>
      </c>
      <c r="EZ22" s="1196" t="str">
        <f t="shared" si="36"/>
        <v/>
      </c>
      <c r="FA22" s="1217" t="str">
        <f t="shared" ca="1" si="42"/>
        <v/>
      </c>
      <c r="FB22" s="1218" t="str">
        <f t="shared" ca="1" si="37"/>
        <v/>
      </c>
      <c r="FC22" s="1218">
        <f t="shared" ca="1" si="15"/>
        <v>0</v>
      </c>
      <c r="FD22" s="1218">
        <f t="shared" ca="1" si="16"/>
        <v>0</v>
      </c>
      <c r="FE22" s="1218">
        <f t="shared" ca="1" si="17"/>
        <v>0</v>
      </c>
      <c r="FF22" s="1218">
        <f t="shared" ca="1" si="38"/>
        <v>0</v>
      </c>
      <c r="FN22" s="969"/>
      <c r="FO22" s="969"/>
      <c r="FP22" s="969" t="b">
        <v>0</v>
      </c>
      <c r="FQ22" s="969" t="b">
        <f t="shared" si="39"/>
        <v>1</v>
      </c>
      <c r="FX22" s="971"/>
      <c r="FZ22" s="26"/>
      <c r="GA22" s="173"/>
      <c r="GB22" s="173"/>
      <c r="GC22" s="173"/>
      <c r="GD22" s="173"/>
      <c r="GE22" s="173"/>
      <c r="GF22" s="173"/>
      <c r="GG22" s="173"/>
      <c r="GH22" s="173"/>
      <c r="GI22" s="173"/>
      <c r="GJ22" s="173"/>
      <c r="GK22" s="26"/>
      <c r="GL22" s="171"/>
      <c r="GM22" s="171"/>
      <c r="GZ22" s="1515" t="s">
        <v>1181</v>
      </c>
      <c r="HA22" s="1516">
        <v>1</v>
      </c>
      <c r="HB22" s="1516">
        <f>HA22+1</f>
        <v>2</v>
      </c>
      <c r="HC22" s="1516">
        <f>HB22+1</f>
        <v>3</v>
      </c>
      <c r="HD22" s="1516">
        <f t="shared" si="67"/>
        <v>4</v>
      </c>
      <c r="HE22" s="1516">
        <f t="shared" si="67"/>
        <v>5</v>
      </c>
      <c r="HF22" s="1516">
        <f t="shared" si="67"/>
        <v>6</v>
      </c>
      <c r="HG22" s="1516">
        <f t="shared" si="67"/>
        <v>7</v>
      </c>
      <c r="HH22" s="1516">
        <f t="shared" si="67"/>
        <v>8</v>
      </c>
      <c r="HI22" s="1516">
        <f t="shared" si="67"/>
        <v>9</v>
      </c>
      <c r="HJ22" s="1516">
        <f t="shared" si="67"/>
        <v>10</v>
      </c>
      <c r="HK22" s="1516">
        <f t="shared" si="67"/>
        <v>11</v>
      </c>
      <c r="HL22" s="1516">
        <f t="shared" si="68"/>
        <v>12</v>
      </c>
      <c r="HM22" s="1516">
        <f t="shared" si="68"/>
        <v>13</v>
      </c>
      <c r="HN22" s="1516">
        <f t="shared" si="68"/>
        <v>14</v>
      </c>
      <c r="HO22" s="1516">
        <f t="shared" si="68"/>
        <v>15</v>
      </c>
      <c r="HP22" s="1516">
        <f t="shared" si="68"/>
        <v>16</v>
      </c>
      <c r="HQ22" s="1516">
        <f t="shared" si="68"/>
        <v>17</v>
      </c>
      <c r="HR22" s="1516">
        <f t="shared" si="68"/>
        <v>18</v>
      </c>
      <c r="HS22" s="1516">
        <f t="shared" si="68"/>
        <v>19</v>
      </c>
      <c r="HT22" s="1516">
        <f t="shared" si="68"/>
        <v>20</v>
      </c>
      <c r="HU22" s="1516">
        <f t="shared" si="68"/>
        <v>21</v>
      </c>
      <c r="HV22" s="1516">
        <f t="shared" si="68"/>
        <v>22</v>
      </c>
      <c r="HW22" s="1516">
        <f t="shared" si="68"/>
        <v>23</v>
      </c>
      <c r="HX22" s="1516">
        <f t="shared" si="68"/>
        <v>24</v>
      </c>
      <c r="HY22" s="1516">
        <f>HX22+1</f>
        <v>25</v>
      </c>
      <c r="HZ22" s="1516">
        <f>HY22+1</f>
        <v>26</v>
      </c>
      <c r="IA22" s="1516">
        <f>HZ22+1</f>
        <v>27</v>
      </c>
      <c r="IB22" s="1516">
        <f>IA22+1</f>
        <v>28</v>
      </c>
      <c r="IC22" s="1516"/>
      <c r="ID22" s="1516"/>
      <c r="IE22" s="1612"/>
      <c r="IF22" s="1613"/>
      <c r="IG22" s="1614"/>
      <c r="IH22" s="1615"/>
      <c r="II22" s="1613"/>
      <c r="IJ22" s="1614"/>
      <c r="IK22" s="1615"/>
      <c r="IL22" s="1613"/>
      <c r="IM22" s="1613"/>
      <c r="IN22" s="1613"/>
      <c r="IO22" s="1613"/>
      <c r="IP22" s="1613"/>
      <c r="IQ22" s="1613"/>
      <c r="IR22" s="1613"/>
      <c r="IS22" s="1614"/>
      <c r="IT22" s="1615"/>
      <c r="IU22" s="1613"/>
      <c r="IV22" s="1613"/>
      <c r="IW22" s="1614"/>
      <c r="IX22" s="1615"/>
      <c r="IY22" s="1613"/>
      <c r="IZ22" s="1613"/>
      <c r="JA22" s="1614"/>
      <c r="JB22" s="1615"/>
      <c r="JC22" s="1613"/>
      <c r="JD22" s="1613"/>
      <c r="JE22" s="1614"/>
      <c r="JF22" s="1615"/>
      <c r="JG22" s="1613"/>
      <c r="JH22" s="1613"/>
      <c r="JI22" s="1613"/>
      <c r="JJ22" s="1616"/>
      <c r="JK22" s="1613"/>
      <c r="JL22" s="1521">
        <f t="shared" ca="1" si="43"/>
        <v>0</v>
      </c>
      <c r="JM22" s="171"/>
    </row>
    <row r="23" spans="1:274" ht="12.6" customHeight="1" thickBot="1" x14ac:dyDescent="0.3">
      <c r="A23" s="1403"/>
      <c r="B23" s="1403"/>
      <c r="C23" s="1403"/>
      <c r="D23" s="1403"/>
      <c r="E23" s="1403"/>
      <c r="F23" s="1403"/>
      <c r="G23" s="1403"/>
      <c r="H23" s="1403"/>
      <c r="I23" s="1403"/>
      <c r="J23" s="1403"/>
      <c r="K23" s="1403"/>
      <c r="L23" s="1403"/>
      <c r="M23" s="1403"/>
      <c r="N23" s="1403"/>
      <c r="O23" s="1403"/>
      <c r="P23" s="1403"/>
      <c r="Q23" s="1403"/>
      <c r="R23" s="1403"/>
      <c r="S23" s="1403"/>
      <c r="T23" s="1403"/>
      <c r="U23" s="1403"/>
      <c r="V23" s="1403"/>
      <c r="W23" s="1403"/>
      <c r="X23" s="1403"/>
      <c r="Y23" s="1403"/>
      <c r="Z23" s="1403"/>
      <c r="AA23" s="1403"/>
      <c r="AB23" s="1471" t="str">
        <f t="shared" si="18"/>
        <v/>
      </c>
      <c r="AC23" s="1908" t="str">
        <f t="shared" si="53"/>
        <v/>
      </c>
      <c r="AD23" s="1909" t="str">
        <f t="shared" ca="1" si="44"/>
        <v/>
      </c>
      <c r="AE23" s="1910" t="str">
        <f t="shared" ca="1" si="45"/>
        <v/>
      </c>
      <c r="AF23" s="1908" t="str">
        <f t="shared" ca="1" si="46"/>
        <v/>
      </c>
      <c r="AG23" s="1909" t="str">
        <f t="shared" ca="1" si="47"/>
        <v/>
      </c>
      <c r="AH23" s="1910" t="str">
        <f t="shared" ca="1" si="48"/>
        <v/>
      </c>
      <c r="AI23" s="1909" t="str">
        <f t="shared" ca="1" si="49"/>
        <v/>
      </c>
      <c r="AJ23" s="1910" t="str">
        <f t="shared" ca="1" si="50"/>
        <v/>
      </c>
      <c r="AK23" s="1911" t="str">
        <f t="shared" si="54"/>
        <v/>
      </c>
      <c r="AL23" s="1912" t="str">
        <f t="shared" si="55"/>
        <v/>
      </c>
      <c r="AM23" s="1913" t="str">
        <f t="shared" si="56"/>
        <v/>
      </c>
      <c r="AN23" s="1908" t="str">
        <f t="shared" si="57"/>
        <v/>
      </c>
      <c r="AO23" s="1914" t="str">
        <f t="shared" si="58"/>
        <v/>
      </c>
      <c r="AP23" s="1915" t="str">
        <f t="shared" si="4"/>
        <v/>
      </c>
      <c r="AQ23" s="1916" t="str">
        <f t="shared" si="5"/>
        <v/>
      </c>
      <c r="AR23" s="1917" t="str">
        <f t="shared" si="6"/>
        <v/>
      </c>
      <c r="AS23" s="1910" t="str">
        <f t="shared" si="7"/>
        <v/>
      </c>
      <c r="AT23" s="1918" t="str">
        <f t="shared" si="59"/>
        <v/>
      </c>
      <c r="AU23" s="1919" t="str">
        <f t="shared" si="60"/>
        <v/>
      </c>
      <c r="AV23" s="1920" t="str">
        <f t="shared" si="8"/>
        <v/>
      </c>
      <c r="AW23" s="1910" t="str">
        <f t="shared" si="9"/>
        <v/>
      </c>
      <c r="AX23" s="1918" t="str">
        <f t="shared" si="61"/>
        <v/>
      </c>
      <c r="AY23" s="1919" t="str">
        <f t="shared" si="62"/>
        <v/>
      </c>
      <c r="AZ23" s="1920" t="str">
        <f t="shared" si="10"/>
        <v/>
      </c>
      <c r="BA23" s="1910" t="str">
        <f t="shared" si="11"/>
        <v/>
      </c>
      <c r="BB23" s="1918" t="str">
        <f t="shared" si="63"/>
        <v/>
      </c>
      <c r="BC23" s="1919" t="str">
        <f t="shared" si="64"/>
        <v/>
      </c>
      <c r="BD23" s="1920" t="str">
        <f t="shared" si="12"/>
        <v/>
      </c>
      <c r="BE23" s="1910" t="str">
        <f t="shared" si="13"/>
        <v/>
      </c>
      <c r="BF23" s="1918" t="str">
        <f t="shared" si="65"/>
        <v/>
      </c>
      <c r="BG23" s="1919" t="str">
        <f t="shared" si="66"/>
        <v/>
      </c>
      <c r="BH23" s="322"/>
      <c r="BJ23" s="178"/>
      <c r="BK23" s="171"/>
      <c r="BW23" s="1253">
        <f t="shared" ca="1" si="33"/>
        <v>0</v>
      </c>
      <c r="BX23" s="1254" t="str">
        <f t="shared" ca="1" si="40"/>
        <v/>
      </c>
      <c r="BY23" s="1254" t="b">
        <f t="shared" ca="1" si="34"/>
        <v>0</v>
      </c>
      <c r="BZ23" s="1255" t="b">
        <f t="shared" si="41"/>
        <v>0</v>
      </c>
      <c r="CB23" s="2480"/>
      <c r="CC23" s="2481"/>
      <c r="CD23" s="2481"/>
      <c r="CE23" s="2481"/>
      <c r="CF23" s="2481"/>
      <c r="CG23" s="2482"/>
      <c r="CH23" s="2482"/>
      <c r="CI23" s="2482"/>
      <c r="CJ23" s="2482"/>
      <c r="CK23" s="2482"/>
      <c r="CL23" s="2482"/>
      <c r="CM23" s="2482"/>
      <c r="CN23" s="2482"/>
      <c r="CO23" s="2482"/>
      <c r="CP23" s="2482"/>
      <c r="CQ23" s="2482"/>
      <c r="CR23" s="2482"/>
      <c r="CS23" s="2482"/>
      <c r="CT23" s="2482"/>
      <c r="CU23" s="2481"/>
      <c r="CV23" s="2482"/>
      <c r="CW23" s="2482"/>
      <c r="CX23" s="2481"/>
      <c r="CY23" s="2483"/>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94" t="str">
        <f t="shared" ca="1" si="35"/>
        <v/>
      </c>
      <c r="EY23" s="1196" t="str">
        <f t="shared" si="14"/>
        <v/>
      </c>
      <c r="EZ23" s="1196" t="str">
        <f t="shared" si="36"/>
        <v/>
      </c>
      <c r="FA23" s="1217" t="str">
        <f t="shared" ca="1" si="42"/>
        <v/>
      </c>
      <c r="FB23" s="1218" t="str">
        <f t="shared" ca="1" si="37"/>
        <v/>
      </c>
      <c r="FC23" s="1218">
        <f t="shared" ca="1" si="15"/>
        <v>0</v>
      </c>
      <c r="FD23" s="1218">
        <f t="shared" ca="1" si="16"/>
        <v>0</v>
      </c>
      <c r="FE23" s="1218">
        <f t="shared" ca="1" si="17"/>
        <v>0</v>
      </c>
      <c r="FF23" s="1218">
        <f t="shared" ca="1" si="38"/>
        <v>0</v>
      </c>
      <c r="FN23" s="969"/>
      <c r="FO23" s="969"/>
      <c r="FP23" s="969" t="b">
        <v>0</v>
      </c>
      <c r="FQ23" s="969" t="b">
        <f t="shared" si="39"/>
        <v>1</v>
      </c>
      <c r="FX23" s="236"/>
      <c r="FZ23" s="2"/>
      <c r="GA23" s="173"/>
      <c r="GB23" s="173"/>
      <c r="GC23" s="173"/>
      <c r="GD23" s="173"/>
      <c r="GE23" s="173"/>
      <c r="GF23" s="173"/>
      <c r="GG23" s="173"/>
      <c r="GH23" s="173"/>
      <c r="GI23" s="173"/>
      <c r="GJ23" s="173"/>
      <c r="GK23" s="2"/>
      <c r="GL23" s="171"/>
      <c r="GM23" s="171"/>
      <c r="ID23" s="1002"/>
      <c r="IE23" s="1612"/>
      <c r="IF23" s="1613"/>
      <c r="IG23" s="1614"/>
      <c r="IH23" s="1615"/>
      <c r="II23" s="1613"/>
      <c r="IJ23" s="1614"/>
      <c r="IK23" s="1615"/>
      <c r="IL23" s="1613"/>
      <c r="IM23" s="1613"/>
      <c r="IN23" s="1613"/>
      <c r="IO23" s="1613"/>
      <c r="IP23" s="1613"/>
      <c r="IQ23" s="1613"/>
      <c r="IR23" s="1613"/>
      <c r="IS23" s="1614"/>
      <c r="IT23" s="1615"/>
      <c r="IU23" s="1613"/>
      <c r="IV23" s="1613"/>
      <c r="IW23" s="1614"/>
      <c r="IX23" s="1615"/>
      <c r="IY23" s="1613"/>
      <c r="IZ23" s="1613"/>
      <c r="JA23" s="1614"/>
      <c r="JB23" s="1615"/>
      <c r="JC23" s="1613"/>
      <c r="JD23" s="1613"/>
      <c r="JE23" s="1614"/>
      <c r="JF23" s="1615"/>
      <c r="JG23" s="1613"/>
      <c r="JH23" s="1613"/>
      <c r="JI23" s="1613"/>
      <c r="JJ23" s="1616"/>
      <c r="JK23" s="1613"/>
      <c r="JL23" s="1521">
        <f t="shared" ca="1" si="43"/>
        <v>0</v>
      </c>
      <c r="JM23" s="171"/>
    </row>
    <row r="24" spans="1:274" ht="12.6" customHeight="1" thickTop="1" thickBot="1" x14ac:dyDescent="0.3">
      <c r="A24" s="1403"/>
      <c r="B24" s="1403"/>
      <c r="C24" s="1403"/>
      <c r="D24" s="1403"/>
      <c r="E24" s="1403"/>
      <c r="F24" s="1403"/>
      <c r="G24" s="1403"/>
      <c r="H24" s="1403"/>
      <c r="I24" s="1403"/>
      <c r="J24" s="1403"/>
      <c r="K24" s="1403"/>
      <c r="L24" s="1403"/>
      <c r="M24" s="1403"/>
      <c r="N24" s="1403"/>
      <c r="O24" s="1403"/>
      <c r="P24" s="1403"/>
      <c r="Q24" s="1403"/>
      <c r="R24" s="1403"/>
      <c r="S24" s="1403"/>
      <c r="T24" s="1403"/>
      <c r="U24" s="1403"/>
      <c r="V24" s="1403"/>
      <c r="W24" s="1404" t="s">
        <v>62</v>
      </c>
      <c r="X24" s="2452">
        <f>B48+B49</f>
        <v>0</v>
      </c>
      <c r="Y24" s="2452"/>
      <c r="Z24" s="1403"/>
      <c r="AA24" s="1403"/>
      <c r="AB24" s="1471" t="str">
        <f t="shared" ref="AB24:AB45" si="70">IF(ISBLANK(DH24),"",DH24)</f>
        <v/>
      </c>
      <c r="AC24" s="1908" t="str">
        <f t="shared" si="53"/>
        <v/>
      </c>
      <c r="AD24" s="1909" t="str">
        <f t="shared" ca="1" si="44"/>
        <v/>
      </c>
      <c r="AE24" s="1910" t="str">
        <f t="shared" ca="1" si="45"/>
        <v/>
      </c>
      <c r="AF24" s="1908" t="str">
        <f t="shared" ca="1" si="46"/>
        <v/>
      </c>
      <c r="AG24" s="1909" t="str">
        <f t="shared" ca="1" si="47"/>
        <v/>
      </c>
      <c r="AH24" s="1910" t="str">
        <f t="shared" ca="1" si="48"/>
        <v/>
      </c>
      <c r="AI24" s="1909" t="str">
        <f t="shared" ca="1" si="49"/>
        <v/>
      </c>
      <c r="AJ24" s="1910" t="str">
        <f t="shared" ca="1" si="50"/>
        <v/>
      </c>
      <c r="AK24" s="1911" t="str">
        <f t="shared" si="54"/>
        <v/>
      </c>
      <c r="AL24" s="1912" t="str">
        <f t="shared" si="55"/>
        <v/>
      </c>
      <c r="AM24" s="1913" t="str">
        <f t="shared" si="56"/>
        <v/>
      </c>
      <c r="AN24" s="1908" t="str">
        <f t="shared" si="57"/>
        <v/>
      </c>
      <c r="AO24" s="1914" t="str">
        <f t="shared" si="58"/>
        <v/>
      </c>
      <c r="AP24" s="1915" t="str">
        <f t="shared" si="4"/>
        <v/>
      </c>
      <c r="AQ24" s="1916" t="str">
        <f t="shared" si="5"/>
        <v/>
      </c>
      <c r="AR24" s="1917" t="str">
        <f t="shared" si="6"/>
        <v/>
      </c>
      <c r="AS24" s="1910" t="str">
        <f t="shared" si="7"/>
        <v/>
      </c>
      <c r="AT24" s="1918" t="str">
        <f t="shared" si="59"/>
        <v/>
      </c>
      <c r="AU24" s="1919" t="str">
        <f t="shared" si="60"/>
        <v/>
      </c>
      <c r="AV24" s="1920" t="str">
        <f t="shared" si="8"/>
        <v/>
      </c>
      <c r="AW24" s="1910" t="str">
        <f t="shared" si="9"/>
        <v/>
      </c>
      <c r="AX24" s="1918" t="str">
        <f t="shared" si="61"/>
        <v/>
      </c>
      <c r="AY24" s="1919" t="str">
        <f t="shared" si="62"/>
        <v/>
      </c>
      <c r="AZ24" s="1920" t="str">
        <f t="shared" si="10"/>
        <v/>
      </c>
      <c r="BA24" s="1910" t="str">
        <f t="shared" si="11"/>
        <v/>
      </c>
      <c r="BB24" s="1918" t="str">
        <f t="shared" si="63"/>
        <v/>
      </c>
      <c r="BC24" s="1919" t="str">
        <f t="shared" si="64"/>
        <v/>
      </c>
      <c r="BD24" s="1920" t="str">
        <f t="shared" si="12"/>
        <v/>
      </c>
      <c r="BE24" s="1910" t="str">
        <f t="shared" si="13"/>
        <v/>
      </c>
      <c r="BF24" s="1918" t="str">
        <f t="shared" si="65"/>
        <v/>
      </c>
      <c r="BG24" s="1919" t="str">
        <f t="shared" si="66"/>
        <v/>
      </c>
      <c r="BH24" s="322"/>
      <c r="BJ24" s="178"/>
      <c r="BK24" s="171"/>
      <c r="BW24" s="1253">
        <f t="shared" ca="1" si="33"/>
        <v>0</v>
      </c>
      <c r="BX24" s="1254" t="str">
        <f t="shared" ca="1" si="40"/>
        <v/>
      </c>
      <c r="BY24" s="1254" t="b">
        <f t="shared" ca="1" si="34"/>
        <v>0</v>
      </c>
      <c r="BZ24" s="1255" t="b">
        <f t="shared" si="41"/>
        <v>0</v>
      </c>
      <c r="CB24" s="624"/>
      <c r="CC24" s="625"/>
      <c r="CD24" s="625"/>
      <c r="CE24" s="625"/>
      <c r="CF24" s="626"/>
      <c r="CG24" s="2413" t="s">
        <v>506</v>
      </c>
      <c r="CH24" s="2414"/>
      <c r="CI24" s="2414"/>
      <c r="CJ24" s="2414"/>
      <c r="CK24" s="2414"/>
      <c r="CL24" s="2414"/>
      <c r="CM24" s="2415"/>
      <c r="CN24" s="2413" t="s">
        <v>507</v>
      </c>
      <c r="CO24" s="2414"/>
      <c r="CP24" s="2414"/>
      <c r="CQ24" s="2414"/>
      <c r="CR24" s="2414"/>
      <c r="CS24" s="2414"/>
      <c r="CT24" s="2415"/>
      <c r="CU24" s="631"/>
      <c r="CV24" s="180"/>
      <c r="CW24" s="652"/>
      <c r="CX24" s="624"/>
      <c r="CY24" s="626"/>
      <c r="CZ24" s="470" t="s">
        <v>719</v>
      </c>
      <c r="DA24" s="2373"/>
      <c r="DB24" s="2374"/>
      <c r="DC24" s="2374"/>
      <c r="DD24" s="2374"/>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6"/>
      <c r="EO24" s="173"/>
      <c r="EP24" s="173"/>
      <c r="EQ24" s="173"/>
      <c r="ER24" s="2471" t="s">
        <v>655</v>
      </c>
      <c r="ES24" s="2472"/>
      <c r="ET24" s="2608" t="s">
        <v>519</v>
      </c>
      <c r="EU24" s="2611" t="s">
        <v>520</v>
      </c>
      <c r="EX24" s="1194" t="str">
        <f t="shared" ca="1" si="35"/>
        <v/>
      </c>
      <c r="EY24" s="1196" t="str">
        <f t="shared" si="14"/>
        <v/>
      </c>
      <c r="EZ24" s="1196" t="str">
        <f t="shared" si="36"/>
        <v/>
      </c>
      <c r="FA24" s="1217" t="str">
        <f t="shared" ca="1" si="42"/>
        <v/>
      </c>
      <c r="FB24" s="1218" t="str">
        <f t="shared" ca="1" si="37"/>
        <v/>
      </c>
      <c r="FC24" s="1218">
        <f t="shared" ca="1" si="15"/>
        <v>0</v>
      </c>
      <c r="FD24" s="1218">
        <f t="shared" ca="1" si="16"/>
        <v>0</v>
      </c>
      <c r="FE24" s="1218">
        <f t="shared" ca="1" si="17"/>
        <v>0</v>
      </c>
      <c r="FF24" s="1218">
        <f t="shared" ca="1" si="38"/>
        <v>0</v>
      </c>
      <c r="FN24" s="969"/>
      <c r="FO24" s="969"/>
      <c r="FP24" s="969" t="b">
        <v>0</v>
      </c>
      <c r="FQ24" s="969" t="b">
        <f t="shared" si="39"/>
        <v>1</v>
      </c>
      <c r="FX24" s="236"/>
      <c r="FZ24" s="2"/>
      <c r="GA24" s="173"/>
      <c r="GB24" s="173"/>
      <c r="GC24" s="173"/>
      <c r="GD24" s="173"/>
      <c r="GE24" s="173"/>
      <c r="GF24" s="173"/>
      <c r="GG24" s="173"/>
      <c r="GH24" s="173"/>
      <c r="GI24" s="173"/>
      <c r="GJ24" s="173"/>
      <c r="GK24" s="2"/>
      <c r="ID24" s="1002"/>
      <c r="IE24" s="1612"/>
      <c r="IF24" s="1613"/>
      <c r="IG24" s="1614"/>
      <c r="IH24" s="1615"/>
      <c r="II24" s="1613"/>
      <c r="IJ24" s="1614"/>
      <c r="IK24" s="1615"/>
      <c r="IL24" s="1613"/>
      <c r="IM24" s="1613"/>
      <c r="IN24" s="1613"/>
      <c r="IO24" s="1613"/>
      <c r="IP24" s="1613"/>
      <c r="IQ24" s="1613"/>
      <c r="IR24" s="1613"/>
      <c r="IS24" s="1614"/>
      <c r="IT24" s="1615"/>
      <c r="IU24" s="1613"/>
      <c r="IV24" s="1613"/>
      <c r="IW24" s="1614"/>
      <c r="IX24" s="1615"/>
      <c r="IY24" s="1613"/>
      <c r="IZ24" s="1613"/>
      <c r="JA24" s="1614"/>
      <c r="JB24" s="1615"/>
      <c r="JC24" s="1613"/>
      <c r="JD24" s="1613"/>
      <c r="JE24" s="1614"/>
      <c r="JF24" s="1615"/>
      <c r="JG24" s="1613"/>
      <c r="JH24" s="1613"/>
      <c r="JI24" s="1613"/>
      <c r="JJ24" s="1616"/>
      <c r="JK24" s="1613"/>
      <c r="JL24" s="1521">
        <f t="shared" ca="1" si="43"/>
        <v>0</v>
      </c>
      <c r="JM24" s="171"/>
    </row>
    <row r="25" spans="1:274" ht="12.6" customHeight="1" thickTop="1" thickBot="1" x14ac:dyDescent="0.3">
      <c r="A25" s="1403"/>
      <c r="B25" s="1403"/>
      <c r="C25" s="1403"/>
      <c r="D25" s="1403"/>
      <c r="E25" s="1403"/>
      <c r="F25" s="1403"/>
      <c r="G25" s="1403"/>
      <c r="H25" s="1403"/>
      <c r="I25" s="1403"/>
      <c r="J25" s="1403"/>
      <c r="K25" s="1403"/>
      <c r="L25" s="1403"/>
      <c r="M25" s="1403"/>
      <c r="N25" s="1403"/>
      <c r="O25" s="1403"/>
      <c r="P25" s="1403"/>
      <c r="Q25" s="1403"/>
      <c r="R25" s="1403"/>
      <c r="S25" s="1403"/>
      <c r="T25" s="1403"/>
      <c r="U25" s="1403"/>
      <c r="V25" s="1403"/>
      <c r="W25" s="1403"/>
      <c r="X25" s="1403"/>
      <c r="Y25" s="1403"/>
      <c r="Z25" s="1403"/>
      <c r="AA25" s="1403"/>
      <c r="AB25" s="1471" t="str">
        <f t="shared" si="70"/>
        <v/>
      </c>
      <c r="AC25" s="1908" t="str">
        <f t="shared" si="53"/>
        <v/>
      </c>
      <c r="AD25" s="1909" t="str">
        <f t="shared" ca="1" si="44"/>
        <v/>
      </c>
      <c r="AE25" s="1910" t="str">
        <f t="shared" ca="1" si="45"/>
        <v/>
      </c>
      <c r="AF25" s="1908" t="str">
        <f t="shared" ca="1" si="46"/>
        <v/>
      </c>
      <c r="AG25" s="1909" t="str">
        <f t="shared" ca="1" si="47"/>
        <v/>
      </c>
      <c r="AH25" s="1910" t="str">
        <f t="shared" ca="1" si="48"/>
        <v/>
      </c>
      <c r="AI25" s="1909" t="str">
        <f t="shared" ca="1" si="49"/>
        <v/>
      </c>
      <c r="AJ25" s="1910" t="str">
        <f t="shared" ca="1" si="50"/>
        <v/>
      </c>
      <c r="AK25" s="1911" t="str">
        <f t="shared" si="54"/>
        <v/>
      </c>
      <c r="AL25" s="1912" t="str">
        <f t="shared" si="55"/>
        <v/>
      </c>
      <c r="AM25" s="1913" t="str">
        <f t="shared" si="56"/>
        <v/>
      </c>
      <c r="AN25" s="1908" t="str">
        <f t="shared" si="57"/>
        <v/>
      </c>
      <c r="AO25" s="1914" t="str">
        <f t="shared" si="58"/>
        <v/>
      </c>
      <c r="AP25" s="1915" t="str">
        <f t="shared" si="4"/>
        <v/>
      </c>
      <c r="AQ25" s="1916" t="str">
        <f t="shared" si="5"/>
        <v/>
      </c>
      <c r="AR25" s="1917" t="str">
        <f t="shared" si="6"/>
        <v/>
      </c>
      <c r="AS25" s="1910" t="str">
        <f t="shared" si="7"/>
        <v/>
      </c>
      <c r="AT25" s="1918" t="str">
        <f t="shared" si="59"/>
        <v/>
      </c>
      <c r="AU25" s="1919" t="str">
        <f t="shared" si="60"/>
        <v/>
      </c>
      <c r="AV25" s="1920" t="str">
        <f t="shared" si="8"/>
        <v/>
      </c>
      <c r="AW25" s="1910" t="str">
        <f t="shared" si="9"/>
        <v/>
      </c>
      <c r="AX25" s="1918" t="str">
        <f t="shared" si="61"/>
        <v/>
      </c>
      <c r="AY25" s="1919" t="str">
        <f t="shared" si="62"/>
        <v/>
      </c>
      <c r="AZ25" s="1920" t="str">
        <f t="shared" si="10"/>
        <v/>
      </c>
      <c r="BA25" s="1910" t="str">
        <f t="shared" si="11"/>
        <v/>
      </c>
      <c r="BB25" s="1918" t="str">
        <f t="shared" si="63"/>
        <v/>
      </c>
      <c r="BC25" s="1919" t="str">
        <f t="shared" si="64"/>
        <v/>
      </c>
      <c r="BD25" s="1920" t="str">
        <f t="shared" si="12"/>
        <v/>
      </c>
      <c r="BE25" s="1910" t="str">
        <f t="shared" si="13"/>
        <v/>
      </c>
      <c r="BF25" s="1918" t="str">
        <f t="shared" si="65"/>
        <v/>
      </c>
      <c r="BG25" s="1919" t="str">
        <f t="shared" si="66"/>
        <v/>
      </c>
      <c r="BH25" s="322"/>
      <c r="BJ25" s="178"/>
      <c r="BK25" s="171"/>
      <c r="BW25" s="1253">
        <f t="shared" ca="1" si="33"/>
        <v>0</v>
      </c>
      <c r="BX25" s="1254" t="str">
        <f t="shared" ca="1" si="40"/>
        <v/>
      </c>
      <c r="BY25" s="1254" t="b">
        <f t="shared" ca="1" si="34"/>
        <v>0</v>
      </c>
      <c r="BZ25" s="1255" t="b">
        <f t="shared" si="41"/>
        <v>0</v>
      </c>
      <c r="CB25" s="627"/>
      <c r="CC25" s="628"/>
      <c r="CD25" s="628"/>
      <c r="CE25" s="629"/>
      <c r="CF25" s="630"/>
      <c r="CG25" s="2416"/>
      <c r="CH25" s="2417"/>
      <c r="CI25" s="2417"/>
      <c r="CJ25" s="2417"/>
      <c r="CK25" s="2417"/>
      <c r="CL25" s="2417"/>
      <c r="CM25" s="2418"/>
      <c r="CN25" s="2416"/>
      <c r="CO25" s="2417"/>
      <c r="CP25" s="2417"/>
      <c r="CQ25" s="2417"/>
      <c r="CR25" s="2417"/>
      <c r="CS25" s="2417"/>
      <c r="CT25" s="2418"/>
      <c r="CU25" s="632"/>
      <c r="CV25" s="181"/>
      <c r="CW25" s="182"/>
      <c r="CX25" s="637"/>
      <c r="CY25" s="638"/>
      <c r="CZ25" s="2633" t="s">
        <v>1103</v>
      </c>
      <c r="DA25" s="2634"/>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6"/>
      <c r="EO25" s="173"/>
      <c r="EP25" s="173"/>
      <c r="EQ25" s="173"/>
      <c r="ER25" s="2473"/>
      <c r="ES25" s="2474"/>
      <c r="ET25" s="2609"/>
      <c r="EU25" s="2612"/>
      <c r="EX25" s="1194" t="str">
        <f t="shared" ca="1" si="35"/>
        <v/>
      </c>
      <c r="EY25" s="1196" t="str">
        <f t="shared" si="14"/>
        <v/>
      </c>
      <c r="EZ25" s="1196" t="str">
        <f t="shared" si="36"/>
        <v/>
      </c>
      <c r="FA25" s="1217" t="str">
        <f t="shared" ca="1" si="42"/>
        <v/>
      </c>
      <c r="FB25" s="1218" t="str">
        <f t="shared" ca="1" si="37"/>
        <v/>
      </c>
      <c r="FC25" s="1218">
        <f t="shared" ca="1" si="15"/>
        <v>0</v>
      </c>
      <c r="FD25" s="1218">
        <f t="shared" ca="1" si="16"/>
        <v>0</v>
      </c>
      <c r="FE25" s="1218">
        <f t="shared" ca="1" si="17"/>
        <v>0</v>
      </c>
      <c r="FF25" s="1218">
        <f t="shared" ca="1" si="38"/>
        <v>0</v>
      </c>
      <c r="FN25" s="969"/>
      <c r="FO25" s="969"/>
      <c r="FP25" s="969" t="b">
        <v>0</v>
      </c>
      <c r="FQ25" s="969" t="b">
        <f t="shared" si="39"/>
        <v>1</v>
      </c>
      <c r="FX25" s="236"/>
      <c r="FZ25" s="2"/>
      <c r="GA25" s="2639" t="s">
        <v>1188</v>
      </c>
      <c r="GB25" s="2639"/>
      <c r="GC25" s="2639"/>
      <c r="GD25" s="2639"/>
      <c r="GE25" s="2639"/>
      <c r="GF25" s="2639"/>
      <c r="GG25" s="2640"/>
      <c r="GH25" s="2640"/>
      <c r="GI25" s="2640"/>
      <c r="GJ25" s="2640"/>
      <c r="GK25" s="2"/>
      <c r="ID25" s="1002"/>
      <c r="IE25" s="1612"/>
      <c r="IF25" s="1613"/>
      <c r="IG25" s="1614"/>
      <c r="IH25" s="1615"/>
      <c r="II25" s="1613"/>
      <c r="IJ25" s="1614"/>
      <c r="IK25" s="1615"/>
      <c r="IL25" s="1613"/>
      <c r="IM25" s="1613"/>
      <c r="IN25" s="1613"/>
      <c r="IO25" s="1613"/>
      <c r="IP25" s="1613"/>
      <c r="IQ25" s="1613"/>
      <c r="IR25" s="1613"/>
      <c r="IS25" s="1614"/>
      <c r="IT25" s="1615"/>
      <c r="IU25" s="1613"/>
      <c r="IV25" s="1613"/>
      <c r="IW25" s="1614"/>
      <c r="IX25" s="1615"/>
      <c r="IY25" s="1613"/>
      <c r="IZ25" s="1613"/>
      <c r="JA25" s="1614"/>
      <c r="JB25" s="1615"/>
      <c r="JC25" s="1613"/>
      <c r="JD25" s="1613"/>
      <c r="JE25" s="1614"/>
      <c r="JF25" s="1615"/>
      <c r="JG25" s="1613"/>
      <c r="JH25" s="1613"/>
      <c r="JI25" s="1613"/>
      <c r="JJ25" s="1616"/>
      <c r="JK25" s="1613"/>
      <c r="JL25" s="1521">
        <f t="shared" ca="1" si="43"/>
        <v>0</v>
      </c>
      <c r="JM25" s="171"/>
    </row>
    <row r="26" spans="1:274" ht="12.6" customHeight="1" thickTop="1" thickBot="1" x14ac:dyDescent="0.3">
      <c r="A26" s="2434" t="s">
        <v>40</v>
      </c>
      <c r="B26" s="2435" t="s">
        <v>131</v>
      </c>
      <c r="C26" s="2435" t="s">
        <v>31</v>
      </c>
      <c r="D26" s="2435" t="s">
        <v>25</v>
      </c>
      <c r="E26" s="2439"/>
      <c r="F26" s="2445" t="s">
        <v>89</v>
      </c>
      <c r="G26" s="2344" t="s">
        <v>9</v>
      </c>
      <c r="H26" s="2443"/>
      <c r="I26" s="2443"/>
      <c r="J26" s="2443" t="s">
        <v>10</v>
      </c>
      <c r="K26" s="2443"/>
      <c r="L26" s="2342"/>
      <c r="M26" s="2437" t="s">
        <v>11</v>
      </c>
      <c r="N26" s="2438"/>
      <c r="O26" s="2440" t="s">
        <v>12</v>
      </c>
      <c r="P26" s="2441"/>
      <c r="Q26" s="2441" t="s">
        <v>13</v>
      </c>
      <c r="R26" s="2451"/>
      <c r="S26" s="2442" t="s">
        <v>14</v>
      </c>
      <c r="T26" s="2443"/>
      <c r="U26" s="2443"/>
      <c r="V26" s="2443"/>
      <c r="W26" s="2444"/>
      <c r="X26" s="2344" t="s">
        <v>112</v>
      </c>
      <c r="Y26" s="2342"/>
      <c r="Z26" s="1437" t="s">
        <v>15</v>
      </c>
      <c r="AA26" s="2496" t="s">
        <v>982</v>
      </c>
      <c r="AB26" s="1471" t="str">
        <f t="shared" si="70"/>
        <v/>
      </c>
      <c r="AC26" s="1908" t="str">
        <f t="shared" si="53"/>
        <v/>
      </c>
      <c r="AD26" s="1909" t="str">
        <f t="shared" ca="1" si="44"/>
        <v/>
      </c>
      <c r="AE26" s="1910" t="str">
        <f t="shared" ca="1" si="45"/>
        <v/>
      </c>
      <c r="AF26" s="1908" t="str">
        <f t="shared" ca="1" si="46"/>
        <v/>
      </c>
      <c r="AG26" s="1909" t="str">
        <f t="shared" ca="1" si="47"/>
        <v/>
      </c>
      <c r="AH26" s="1910" t="str">
        <f t="shared" ca="1" si="48"/>
        <v/>
      </c>
      <c r="AI26" s="1909" t="str">
        <f t="shared" ca="1" si="49"/>
        <v/>
      </c>
      <c r="AJ26" s="1910" t="str">
        <f t="shared" ca="1" si="50"/>
        <v/>
      </c>
      <c r="AK26" s="1911" t="str">
        <f t="shared" si="54"/>
        <v/>
      </c>
      <c r="AL26" s="1912" t="str">
        <f t="shared" si="55"/>
        <v/>
      </c>
      <c r="AM26" s="1913" t="str">
        <f t="shared" si="56"/>
        <v/>
      </c>
      <c r="AN26" s="1908" t="str">
        <f t="shared" si="57"/>
        <v/>
      </c>
      <c r="AO26" s="1914" t="str">
        <f t="shared" si="58"/>
        <v/>
      </c>
      <c r="AP26" s="1915" t="str">
        <f t="shared" si="4"/>
        <v/>
      </c>
      <c r="AQ26" s="1916" t="str">
        <f t="shared" si="5"/>
        <v/>
      </c>
      <c r="AR26" s="1917" t="str">
        <f t="shared" si="6"/>
        <v/>
      </c>
      <c r="AS26" s="1910" t="str">
        <f t="shared" si="7"/>
        <v/>
      </c>
      <c r="AT26" s="1918" t="str">
        <f t="shared" si="59"/>
        <v/>
      </c>
      <c r="AU26" s="1919" t="str">
        <f t="shared" si="60"/>
        <v/>
      </c>
      <c r="AV26" s="1920" t="str">
        <f t="shared" si="8"/>
        <v/>
      </c>
      <c r="AW26" s="1910" t="str">
        <f t="shared" si="9"/>
        <v/>
      </c>
      <c r="AX26" s="1918" t="str">
        <f t="shared" si="61"/>
        <v/>
      </c>
      <c r="AY26" s="1919" t="str">
        <f t="shared" si="62"/>
        <v/>
      </c>
      <c r="AZ26" s="1920" t="str">
        <f t="shared" si="10"/>
        <v/>
      </c>
      <c r="BA26" s="1910" t="str">
        <f t="shared" si="11"/>
        <v/>
      </c>
      <c r="BB26" s="1918" t="str">
        <f t="shared" si="63"/>
        <v/>
      </c>
      <c r="BC26" s="1919" t="str">
        <f t="shared" si="64"/>
        <v/>
      </c>
      <c r="BD26" s="1920" t="str">
        <f t="shared" si="12"/>
        <v/>
      </c>
      <c r="BE26" s="1910" t="str">
        <f t="shared" si="13"/>
        <v/>
      </c>
      <c r="BF26" s="1918" t="str">
        <f t="shared" si="65"/>
        <v/>
      </c>
      <c r="BG26" s="1919" t="str">
        <f t="shared" si="66"/>
        <v/>
      </c>
      <c r="BH26" s="322"/>
      <c r="BJ26" s="178"/>
      <c r="BK26" s="171"/>
      <c r="BW26" s="1253">
        <f t="shared" ca="1" si="33"/>
        <v>0</v>
      </c>
      <c r="BX26" s="1254" t="str">
        <f t="shared" ca="1" si="40"/>
        <v/>
      </c>
      <c r="BY26" s="1254" t="b">
        <f t="shared" ca="1" si="34"/>
        <v>0</v>
      </c>
      <c r="BZ26" s="1255" t="b">
        <f t="shared" si="41"/>
        <v>0</v>
      </c>
      <c r="CB26" s="2505" t="s">
        <v>653</v>
      </c>
      <c r="CC26" s="2487" t="s">
        <v>131</v>
      </c>
      <c r="CD26" s="2507" t="s">
        <v>515</v>
      </c>
      <c r="CE26" s="2419" t="s">
        <v>516</v>
      </c>
      <c r="CF26" s="2420"/>
      <c r="CG26" s="2616" t="s">
        <v>579</v>
      </c>
      <c r="CH26" s="2618" t="s">
        <v>635</v>
      </c>
      <c r="CI26" s="2619"/>
      <c r="CJ26" s="2618" t="s">
        <v>636</v>
      </c>
      <c r="CK26" s="2619"/>
      <c r="CL26" s="2484" t="s">
        <v>525</v>
      </c>
      <c r="CM26" s="2626" t="s">
        <v>832</v>
      </c>
      <c r="CN26" s="2616" t="s">
        <v>579</v>
      </c>
      <c r="CO26" s="2618" t="s">
        <v>635</v>
      </c>
      <c r="CP26" s="2619"/>
      <c r="CQ26" s="2618" t="s">
        <v>636</v>
      </c>
      <c r="CR26" s="2619"/>
      <c r="CS26" s="2484" t="s">
        <v>525</v>
      </c>
      <c r="CT26" s="2626" t="s">
        <v>832</v>
      </c>
      <c r="CU26" s="2614" t="s">
        <v>848</v>
      </c>
      <c r="CV26" s="2411"/>
      <c r="CW26" s="2412"/>
      <c r="CX26" s="2623" t="s">
        <v>981</v>
      </c>
      <c r="CY26" s="2625" t="s">
        <v>518</v>
      </c>
      <c r="CZ26" s="2635" t="s">
        <v>677</v>
      </c>
      <c r="DA26" s="2637" t="s">
        <v>678</v>
      </c>
      <c r="DB26" s="2632" t="s">
        <v>847</v>
      </c>
      <c r="DC26" s="2632"/>
      <c r="DD26" s="2573" t="s">
        <v>1064</v>
      </c>
      <c r="DE26" s="2573"/>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630" t="s">
        <v>628</v>
      </c>
      <c r="EM26" s="2631"/>
      <c r="EN26" s="2631"/>
      <c r="EO26" s="2628" t="s">
        <v>629</v>
      </c>
      <c r="EP26" s="2621" t="s">
        <v>827</v>
      </c>
      <c r="EQ26" s="2622"/>
      <c r="ER26" s="2475"/>
      <c r="ES26" s="2476"/>
      <c r="ET26" s="2609"/>
      <c r="EU26" s="2612"/>
      <c r="EX26" s="1194" t="str">
        <f t="shared" ca="1" si="35"/>
        <v/>
      </c>
      <c r="EY26" s="1196" t="str">
        <f t="shared" si="14"/>
        <v/>
      </c>
      <c r="EZ26" s="1196" t="str">
        <f t="shared" si="36"/>
        <v/>
      </c>
      <c r="FA26" s="1217" t="str">
        <f t="shared" ca="1" si="42"/>
        <v/>
      </c>
      <c r="FB26" s="1218" t="str">
        <f t="shared" ca="1" si="37"/>
        <v/>
      </c>
      <c r="FC26" s="1218">
        <f t="shared" ca="1" si="15"/>
        <v>0</v>
      </c>
      <c r="FD26" s="1218">
        <f t="shared" ca="1" si="16"/>
        <v>0</v>
      </c>
      <c r="FE26" s="1218">
        <f t="shared" ca="1" si="17"/>
        <v>0</v>
      </c>
      <c r="FF26" s="1218">
        <f t="shared" ca="1" si="38"/>
        <v>0</v>
      </c>
      <c r="FN26" s="969"/>
      <c r="FO26" s="969"/>
      <c r="FP26" s="969" t="b">
        <v>0</v>
      </c>
      <c r="FQ26" s="969" t="b">
        <f t="shared" si="39"/>
        <v>1</v>
      </c>
      <c r="FX26" s="236"/>
      <c r="FZ26" s="2"/>
      <c r="GA26" s="2498" t="s">
        <v>749</v>
      </c>
      <c r="GB26" s="2499"/>
      <c r="GC26" s="2498" t="s">
        <v>597</v>
      </c>
      <c r="GD26" s="2499"/>
      <c r="GE26" s="2500" t="s">
        <v>752</v>
      </c>
      <c r="GF26" s="2502" t="s">
        <v>673</v>
      </c>
      <c r="GG26" s="2498" t="s">
        <v>1190</v>
      </c>
      <c r="GH26" s="2499"/>
      <c r="GI26" s="2498" t="s">
        <v>1189</v>
      </c>
      <c r="GJ26" s="2499"/>
      <c r="GK26" s="2491" t="s">
        <v>753</v>
      </c>
      <c r="GL26" s="2491" t="s">
        <v>754</v>
      </c>
      <c r="GM26" s="2491" t="s">
        <v>755</v>
      </c>
      <c r="GZ26" s="183"/>
      <c r="HA26" s="2574" t="s">
        <v>673</v>
      </c>
      <c r="HB26" s="2493" t="s">
        <v>1182</v>
      </c>
      <c r="HC26" s="2493" t="s">
        <v>1207</v>
      </c>
      <c r="HD26" s="2493" t="str">
        <f>IF($HA$1,"Bay Length","Overall Length")</f>
        <v>Overall Length</v>
      </c>
      <c r="HE26" s="2561"/>
      <c r="HF26" s="2493" t="str">
        <f>IF($HA$1,"L Sect #","TC Width")</f>
        <v>TC Width</v>
      </c>
      <c r="HG26" s="2495" t="str">
        <f>IF($HA$1,"L Min Sup Wid","TCXL Feet")</f>
        <v>TCXL Feet</v>
      </c>
      <c r="HH26" s="2495" t="str">
        <f>IF($HA$1,"L Max Sup Wid","TCXL Inch")</f>
        <v>TCXL Inch</v>
      </c>
      <c r="HI26" s="2495" t="str">
        <f>IF($HA$1,"L Min Flg Ga","TCXL Type")</f>
        <v>TCXL Type</v>
      </c>
      <c r="HJ26" s="2495" t="str">
        <f>IF($HA$1,"L Max Flg Ga","TCXR Feet")</f>
        <v>TCXR Feet</v>
      </c>
      <c r="HK26" s="2495" t="str">
        <f>IF($HA$1,"L Skew","TCXR Inch")</f>
        <v>TCXR Inch</v>
      </c>
      <c r="HL26" s="2495" t="str">
        <f>IF($HA$1,"L Brg Slp","TCXR Type")</f>
        <v>TCXR Type</v>
      </c>
      <c r="HM26" s="2493" t="str">
        <f>IF($HA$1,"R Sect #","BDL")</f>
        <v>BDL</v>
      </c>
      <c r="HN26" s="2495" t="str">
        <f>IF($HA$1,"R Min Sup Wid","BDR")</f>
        <v>BDR</v>
      </c>
      <c r="HO26" s="2495" t="str">
        <f>IF($HA$1,"R Max Sup Wid","BCXL Feet")</f>
        <v>BCXL Feet</v>
      </c>
      <c r="HP26" s="2495" t="str">
        <f>IF($HA$1,"R Min Flg Ga","BCXL Inch")</f>
        <v>BCXL Inch</v>
      </c>
      <c r="HQ26" s="2495" t="str">
        <f>IF($HA$1,"R Max Flg Ga","BCXR Feet")</f>
        <v>BCXR Feet</v>
      </c>
      <c r="HR26" s="2495" t="str">
        <f>IF($HA$1,"R Skew","BCXR Inch")</f>
        <v>BCXR Inch</v>
      </c>
      <c r="HS26" s="2495" t="str">
        <f>IF($HA$1,"R Brg Slp","HL Feet")</f>
        <v>HL Feet</v>
      </c>
      <c r="HT26" s="2495" t="str">
        <f>IF($HA$1,"TC Slope","HL Inch")</f>
        <v>HL Inch</v>
      </c>
      <c r="HU26" s="2495" t="str">
        <f>IF($HA$1,"Load Notes","HR Feet")</f>
        <v>HR Feet</v>
      </c>
      <c r="HV26" s="2495" t="str">
        <f>IF($HA$1,"Spcl Notes","HR Inch")</f>
        <v>HR Inch</v>
      </c>
      <c r="HW26" s="2495" t="str">
        <f>IF($HA$1,"# KB","Slot Ga")</f>
        <v>Slot Ga</v>
      </c>
      <c r="HX26" s="2495" t="str">
        <f>IF($HA$1,"TC Width","L Seat Slp")</f>
        <v>L Seat Slp</v>
      </c>
      <c r="HY26" s="2495" t="str">
        <f>IF($HA$1,"TCL Override","R Seat Slp")</f>
        <v>R Seat Slp</v>
      </c>
      <c r="HZ26" s="2495" t="str">
        <f>IF($HA$1,"TCR Override","Load Notes")</f>
        <v>Load Notes</v>
      </c>
      <c r="IA26" s="2495" t="str">
        <f>IF($HA$1,"L-BL Override","Spcl Notes")</f>
        <v>Spcl Notes</v>
      </c>
      <c r="IB26" s="2576" t="str">
        <f>IF($HA$1,"R-BL Override","# KB")</f>
        <v># KB</v>
      </c>
      <c r="IC26" s="2495" t="str">
        <f>IF($HA$1,"BDL Override","-")</f>
        <v>-</v>
      </c>
      <c r="ID26" s="2559" t="str">
        <f>IF($HA$1,"BDR Override","-")</f>
        <v>-</v>
      </c>
      <c r="IE26" s="1612"/>
      <c r="IF26" s="1613"/>
      <c r="IG26" s="1614"/>
      <c r="IH26" s="1615"/>
      <c r="II26" s="1613"/>
      <c r="IJ26" s="1614"/>
      <c r="IK26" s="1615"/>
      <c r="IL26" s="1613"/>
      <c r="IM26" s="1613"/>
      <c r="IN26" s="1613"/>
      <c r="IO26" s="1613"/>
      <c r="IP26" s="1613"/>
      <c r="IQ26" s="1613"/>
      <c r="IR26" s="1613"/>
      <c r="IS26" s="1614"/>
      <c r="IT26" s="1615"/>
      <c r="IU26" s="1613"/>
      <c r="IV26" s="1613"/>
      <c r="IW26" s="1614"/>
      <c r="IX26" s="1615"/>
      <c r="IY26" s="1613"/>
      <c r="IZ26" s="1613"/>
      <c r="JA26" s="1614"/>
      <c r="JB26" s="1615"/>
      <c r="JC26" s="1613"/>
      <c r="JD26" s="1613"/>
      <c r="JE26" s="1614"/>
      <c r="JF26" s="1615"/>
      <c r="JG26" s="1613"/>
      <c r="JH26" s="1613"/>
      <c r="JI26" s="1613"/>
      <c r="JJ26" s="1616"/>
      <c r="JK26" s="1613"/>
      <c r="JL26" s="1521">
        <f t="shared" ca="1" si="43"/>
        <v>0</v>
      </c>
      <c r="JM26" s="171"/>
    </row>
    <row r="27" spans="1:274" ht="12.6" customHeight="1" thickTop="1" thickBot="1" x14ac:dyDescent="0.3">
      <c r="A27" s="2434"/>
      <c r="B27" s="2435"/>
      <c r="C27" s="2435"/>
      <c r="D27" s="2435"/>
      <c r="E27" s="2439"/>
      <c r="F27" s="2445"/>
      <c r="G27" s="2352" t="s">
        <v>16</v>
      </c>
      <c r="H27" s="2436"/>
      <c r="I27" s="1423" t="s">
        <v>773</v>
      </c>
      <c r="J27" s="2436" t="s">
        <v>16</v>
      </c>
      <c r="K27" s="2436"/>
      <c r="L27" s="1371" t="s">
        <v>773</v>
      </c>
      <c r="M27" s="1427" t="s">
        <v>18</v>
      </c>
      <c r="N27" s="549" t="s">
        <v>19</v>
      </c>
      <c r="O27" s="2440"/>
      <c r="P27" s="2441"/>
      <c r="Q27" s="2441"/>
      <c r="R27" s="2451"/>
      <c r="S27" s="2355" t="s">
        <v>81</v>
      </c>
      <c r="T27" s="2436"/>
      <c r="U27" s="2436" t="s">
        <v>82</v>
      </c>
      <c r="V27" s="2436"/>
      <c r="W27" s="549" t="s">
        <v>27</v>
      </c>
      <c r="X27" s="1422" t="s">
        <v>113</v>
      </c>
      <c r="Y27" s="1371" t="s">
        <v>114</v>
      </c>
      <c r="Z27" s="1438" t="s">
        <v>58</v>
      </c>
      <c r="AA27" s="2497"/>
      <c r="AB27" s="1471" t="str">
        <f t="shared" si="70"/>
        <v/>
      </c>
      <c r="AC27" s="1908" t="str">
        <f t="shared" si="53"/>
        <v/>
      </c>
      <c r="AD27" s="1909" t="str">
        <f t="shared" ca="1" si="44"/>
        <v/>
      </c>
      <c r="AE27" s="1910" t="str">
        <f t="shared" ca="1" si="45"/>
        <v/>
      </c>
      <c r="AF27" s="1908" t="str">
        <f t="shared" ca="1" si="46"/>
        <v/>
      </c>
      <c r="AG27" s="1909" t="str">
        <f t="shared" ca="1" si="47"/>
        <v/>
      </c>
      <c r="AH27" s="1910" t="str">
        <f t="shared" ca="1" si="48"/>
        <v/>
      </c>
      <c r="AI27" s="1909" t="str">
        <f t="shared" ca="1" si="49"/>
        <v/>
      </c>
      <c r="AJ27" s="1910" t="str">
        <f t="shared" ca="1" si="50"/>
        <v/>
      </c>
      <c r="AK27" s="1911" t="str">
        <f t="shared" si="54"/>
        <v/>
      </c>
      <c r="AL27" s="1912" t="str">
        <f t="shared" si="55"/>
        <v/>
      </c>
      <c r="AM27" s="1913" t="str">
        <f t="shared" si="56"/>
        <v/>
      </c>
      <c r="AN27" s="1908" t="str">
        <f t="shared" si="57"/>
        <v/>
      </c>
      <c r="AO27" s="1914" t="str">
        <f t="shared" si="58"/>
        <v/>
      </c>
      <c r="AP27" s="1915" t="str">
        <f t="shared" si="4"/>
        <v/>
      </c>
      <c r="AQ27" s="1916" t="str">
        <f t="shared" si="5"/>
        <v/>
      </c>
      <c r="AR27" s="1917" t="str">
        <f t="shared" si="6"/>
        <v/>
      </c>
      <c r="AS27" s="1910" t="str">
        <f t="shared" si="7"/>
        <v/>
      </c>
      <c r="AT27" s="1918" t="str">
        <f t="shared" si="59"/>
        <v/>
      </c>
      <c r="AU27" s="1919" t="str">
        <f t="shared" si="60"/>
        <v/>
      </c>
      <c r="AV27" s="1920" t="str">
        <f t="shared" si="8"/>
        <v/>
      </c>
      <c r="AW27" s="1910" t="str">
        <f t="shared" si="9"/>
        <v/>
      </c>
      <c r="AX27" s="1918" t="str">
        <f t="shared" si="61"/>
        <v/>
      </c>
      <c r="AY27" s="1919" t="str">
        <f t="shared" si="62"/>
        <v/>
      </c>
      <c r="AZ27" s="1920" t="str">
        <f t="shared" si="10"/>
        <v/>
      </c>
      <c r="BA27" s="1910" t="str">
        <f t="shared" si="11"/>
        <v/>
      </c>
      <c r="BB27" s="1918" t="str">
        <f t="shared" si="63"/>
        <v/>
      </c>
      <c r="BC27" s="1919" t="str">
        <f t="shared" si="64"/>
        <v/>
      </c>
      <c r="BD27" s="1920" t="str">
        <f t="shared" si="12"/>
        <v/>
      </c>
      <c r="BE27" s="1910" t="str">
        <f t="shared" si="13"/>
        <v/>
      </c>
      <c r="BF27" s="1918" t="str">
        <f t="shared" si="65"/>
        <v/>
      </c>
      <c r="BG27" s="1919"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53">
        <f t="shared" ca="1" si="33"/>
        <v>0</v>
      </c>
      <c r="BX27" s="1254" t="str">
        <f t="shared" ca="1" si="40"/>
        <v/>
      </c>
      <c r="BY27" s="1254" t="b">
        <f t="shared" ca="1" si="34"/>
        <v>0</v>
      </c>
      <c r="BZ27" s="1255" t="b">
        <f t="shared" si="41"/>
        <v>0</v>
      </c>
      <c r="CB27" s="2506"/>
      <c r="CC27" s="2485"/>
      <c r="CD27" s="2508"/>
      <c r="CE27" s="2421"/>
      <c r="CF27" s="2422"/>
      <c r="CG27" s="2617"/>
      <c r="CH27" s="2508"/>
      <c r="CI27" s="2620"/>
      <c r="CJ27" s="2508"/>
      <c r="CK27" s="2620"/>
      <c r="CL27" s="2485"/>
      <c r="CM27" s="2627"/>
      <c r="CN27" s="2617"/>
      <c r="CO27" s="2508"/>
      <c r="CP27" s="2620"/>
      <c r="CQ27" s="2508"/>
      <c r="CR27" s="2620"/>
      <c r="CS27" s="2485"/>
      <c r="CT27" s="2627"/>
      <c r="CU27" s="2615"/>
      <c r="CV27" s="515" t="s">
        <v>455</v>
      </c>
      <c r="CW27" s="516" t="s">
        <v>592</v>
      </c>
      <c r="CX27" s="2624"/>
      <c r="CY27" s="2624"/>
      <c r="CZ27" s="2636"/>
      <c r="DA27" s="2638"/>
      <c r="DB27" s="1041" t="s">
        <v>646</v>
      </c>
      <c r="DC27" s="1042"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629"/>
      <c r="EP27" s="658" t="s">
        <v>646</v>
      </c>
      <c r="EQ27" s="659" t="s">
        <v>647</v>
      </c>
      <c r="ER27" s="660" t="s">
        <v>557</v>
      </c>
      <c r="ES27" s="661" t="s">
        <v>170</v>
      </c>
      <c r="ET27" s="2610"/>
      <c r="EU27" s="2613"/>
      <c r="EX27" s="1194" t="str">
        <f t="shared" ca="1" si="35"/>
        <v/>
      </c>
      <c r="EY27" s="1196" t="str">
        <f t="shared" si="14"/>
        <v/>
      </c>
      <c r="EZ27" s="1196" t="str">
        <f t="shared" si="36"/>
        <v/>
      </c>
      <c r="FA27" s="1217" t="str">
        <f t="shared" ca="1" si="42"/>
        <v/>
      </c>
      <c r="FB27" s="1218" t="str">
        <f t="shared" ca="1" si="37"/>
        <v/>
      </c>
      <c r="FC27" s="1218">
        <f t="shared" ca="1" si="15"/>
        <v>0</v>
      </c>
      <c r="FD27" s="1218">
        <f t="shared" ca="1" si="16"/>
        <v>0</v>
      </c>
      <c r="FE27" s="1218">
        <f t="shared" ca="1" si="17"/>
        <v>0</v>
      </c>
      <c r="FF27" s="1218">
        <f t="shared" ca="1" si="38"/>
        <v>0</v>
      </c>
      <c r="FN27" s="969"/>
      <c r="FO27" s="969"/>
      <c r="FP27" s="969" t="b">
        <v>0</v>
      </c>
      <c r="FQ27" s="969" t="b">
        <f t="shared" si="39"/>
        <v>1</v>
      </c>
      <c r="FX27" s="236"/>
      <c r="FZ27" s="2"/>
      <c r="GA27" s="664" t="s">
        <v>750</v>
      </c>
      <c r="GB27" s="665" t="s">
        <v>751</v>
      </c>
      <c r="GC27" s="664" t="s">
        <v>646</v>
      </c>
      <c r="GD27" s="665" t="s">
        <v>647</v>
      </c>
      <c r="GE27" s="2501"/>
      <c r="GF27" s="2501"/>
      <c r="GG27" s="664" t="s">
        <v>750</v>
      </c>
      <c r="GH27" s="665" t="s">
        <v>751</v>
      </c>
      <c r="GI27" s="664" t="s">
        <v>750</v>
      </c>
      <c r="GJ27" s="665" t="s">
        <v>751</v>
      </c>
      <c r="GK27" s="2492"/>
      <c r="GL27" s="2492"/>
      <c r="GM27" s="2492"/>
      <c r="GZ27" s="183"/>
      <c r="HA27" s="2575"/>
      <c r="HB27" s="2494"/>
      <c r="HC27" s="2494"/>
      <c r="HD27" s="2494"/>
      <c r="HE27" s="2494"/>
      <c r="HF27" s="2494"/>
      <c r="HG27" s="2494"/>
      <c r="HH27" s="2494"/>
      <c r="HI27" s="2494"/>
      <c r="HJ27" s="2494"/>
      <c r="HK27" s="2494"/>
      <c r="HL27" s="2494"/>
      <c r="HM27" s="2494"/>
      <c r="HN27" s="2494"/>
      <c r="HO27" s="2494"/>
      <c r="HP27" s="2494"/>
      <c r="HQ27" s="2494"/>
      <c r="HR27" s="2494"/>
      <c r="HS27" s="2494"/>
      <c r="HT27" s="2494"/>
      <c r="HU27" s="2494"/>
      <c r="HV27" s="2494"/>
      <c r="HW27" s="2494"/>
      <c r="HX27" s="2494"/>
      <c r="HY27" s="2494"/>
      <c r="HZ27" s="2494"/>
      <c r="IA27" s="2494"/>
      <c r="IB27" s="2577"/>
      <c r="IC27" s="2494"/>
      <c r="ID27" s="2560"/>
      <c r="IE27" s="1612"/>
      <c r="IF27" s="1613"/>
      <c r="IG27" s="1614"/>
      <c r="IH27" s="1615"/>
      <c r="II27" s="1613"/>
      <c r="IJ27" s="1614"/>
      <c r="IK27" s="1615"/>
      <c r="IL27" s="1613"/>
      <c r="IM27" s="1613"/>
      <c r="IN27" s="1613"/>
      <c r="IO27" s="1613"/>
      <c r="IP27" s="1613"/>
      <c r="IQ27" s="1613"/>
      <c r="IR27" s="1613"/>
      <c r="IS27" s="1614"/>
      <c r="IT27" s="1615"/>
      <c r="IU27" s="1613"/>
      <c r="IV27" s="1613"/>
      <c r="IW27" s="1614"/>
      <c r="IX27" s="1615"/>
      <c r="IY27" s="1613"/>
      <c r="IZ27" s="1613"/>
      <c r="JA27" s="1614"/>
      <c r="JB27" s="1615"/>
      <c r="JC27" s="1613"/>
      <c r="JD27" s="1613"/>
      <c r="JE27" s="1614"/>
      <c r="JF27" s="1615"/>
      <c r="JG27" s="1613"/>
      <c r="JH27" s="1613"/>
      <c r="JI27" s="1613"/>
      <c r="JJ27" s="1616"/>
      <c r="JK27" s="1613"/>
      <c r="JL27" s="1521">
        <f t="shared" ca="1" si="43"/>
        <v>0</v>
      </c>
      <c r="JM27" s="171"/>
    </row>
    <row r="28" spans="1:274" ht="12.6" customHeight="1" thickTop="1" x14ac:dyDescent="0.3">
      <c r="A28" s="1845" t="str">
        <f t="shared" ref="A28:A44" si="71">IF(ISBLANK(CB28),"",CB28)</f>
        <v/>
      </c>
      <c r="B28" s="1846" t="str">
        <f t="shared" ref="B28:B44" si="72">IF(ISBLANK(CC28),"",CC28)</f>
        <v/>
      </c>
      <c r="C28" s="1847" t="str">
        <f t="shared" ref="C28:C44" si="73">IF(ISBLANK(CD28),"",CD28)</f>
        <v/>
      </c>
      <c r="D28" s="1848" t="str">
        <f t="shared" ref="D28:D44" si="74">IF(CV68="","",TRUNC(CV68/12))</f>
        <v/>
      </c>
      <c r="E28" s="1849" t="str">
        <f t="shared" ref="E28:E44" si="75">IF(CV68="","",CV68-(D28*12))</f>
        <v/>
      </c>
      <c r="F28" s="1850" t="str">
        <f t="shared" ref="F28:F44" si="76">IF(ISBLANK(CY28),"",CY28)</f>
        <v/>
      </c>
      <c r="G28" s="1851" t="str">
        <f t="shared" ref="G28:G44" si="77">IF(DD68=0,"",TRUNC(DD68/12))</f>
        <v/>
      </c>
      <c r="H28" s="1852" t="str">
        <f t="shared" ref="H28:H44" si="78">IF(DD68=0,"",DD68-(G28*12))</f>
        <v/>
      </c>
      <c r="I28" s="1853" t="str">
        <f t="shared" ref="I28:I44" si="79">IF(DD68=0,"",CE68)</f>
        <v/>
      </c>
      <c r="J28" s="1848" t="str">
        <f t="shared" ref="J28:J44" si="80">IF(DJ68=0,"",TRUNC(DJ68/12))</f>
        <v/>
      </c>
      <c r="K28" s="1852" t="str">
        <f t="shared" ref="K28:K44" si="81">IF(DJ68=0,"",DJ68-(J28*12))</f>
        <v/>
      </c>
      <c r="L28" s="1854" t="str">
        <f t="shared" ref="L28:L44" si="82">IF(DJ68=0,"",CN68)</f>
        <v/>
      </c>
      <c r="M28" s="1855" t="str">
        <f t="shared" ref="M28:M45" si="83">IF(CW68="","",CW68)</f>
        <v/>
      </c>
      <c r="N28" s="1856" t="str">
        <f t="shared" ref="N28:N45" si="84">IF(CX68="","",CX68)</f>
        <v/>
      </c>
      <c r="O28" s="1851" t="str">
        <f t="shared" ref="O28:O44" si="85">IF(DZ68="","",IF(AND(DZ68&gt;-12,DZ68&lt;0),-0.000001,TRUNC(DZ68/12)))</f>
        <v/>
      </c>
      <c r="P28" s="1852" t="str">
        <f t="shared" ref="P28:P44" si="86">IF(DZ68="","",IF(AND(DZ68&lt;0,DZ68-(O28*12)=0),-0.00001,DZ68-(O28*12)))</f>
        <v/>
      </c>
      <c r="Q28" s="1848" t="str">
        <f t="shared" ref="Q28:Q44" si="87">IF(EA68="","",IF(AND(EA68&gt;-12,EA68&lt;0),-0.000001,TRUNC(EA68/12)))</f>
        <v/>
      </c>
      <c r="R28" s="1849" t="str">
        <f t="shared" ref="R28:R44" si="88">IF(EA68="","",IF(AND(EA68&lt;0,EA68-(Q28*12)=0),-0.00001,EA68-(Q28*12)))</f>
        <v/>
      </c>
      <c r="S28" s="1857" t="str">
        <f t="shared" ref="S28:S44" si="89">IF(DR68="","",IF(DR68="ERR",TRUNC(DQ68/12),TRUNC(DR68/12)))</f>
        <v/>
      </c>
      <c r="T28" s="1852" t="str">
        <f t="shared" ref="T28:T44" si="90">IF(DR68="","",IF(DR68="ERR",DQ68-(S28*12),DR68-(S28*12)))</f>
        <v/>
      </c>
      <c r="U28" s="1848" t="str">
        <f t="shared" ref="U28:U44" si="91">IF(DY68="","",IF(DY68="ERR",TRUNC(DX68/12),TRUNC(DY68/12)))</f>
        <v/>
      </c>
      <c r="V28" s="1852" t="str">
        <f t="shared" ref="V28:V44" si="92">IF(DY68="","",IF(DY68="ERR",DX68-(U28*12),DY68-(U28*12)))</f>
        <v/>
      </c>
      <c r="W28" s="1856">
        <f t="shared" ref="W28:W44" si="93">IF(EC68="",0,EC68)</f>
        <v>0</v>
      </c>
      <c r="X28" s="1858" t="str">
        <f t="shared" ref="X28:X44" si="94">IF(EN68="","",EN68)</f>
        <v/>
      </c>
      <c r="Y28" s="1859" t="str">
        <f t="shared" ref="Y28:Y44" si="95">IF(ES68="","",ES68)</f>
        <v/>
      </c>
      <c r="Z28" s="1941"/>
      <c r="AA28" s="1860" t="str">
        <f t="shared" ref="AA28:AA44" si="96">IF(ISBLANK(CX28),"",CX28)</f>
        <v/>
      </c>
      <c r="AB28" s="1471" t="str">
        <f t="shared" si="70"/>
        <v/>
      </c>
      <c r="AC28" s="1908" t="str">
        <f t="shared" si="53"/>
        <v/>
      </c>
      <c r="AD28" s="1909" t="str">
        <f t="shared" ca="1" si="44"/>
        <v/>
      </c>
      <c r="AE28" s="1910" t="str">
        <f t="shared" ca="1" si="45"/>
        <v/>
      </c>
      <c r="AF28" s="1908" t="str">
        <f t="shared" ca="1" si="46"/>
        <v/>
      </c>
      <c r="AG28" s="1909" t="str">
        <f t="shared" ca="1" si="47"/>
        <v/>
      </c>
      <c r="AH28" s="1910" t="str">
        <f t="shared" ca="1" si="48"/>
        <v/>
      </c>
      <c r="AI28" s="1909" t="str">
        <f t="shared" ca="1" si="49"/>
        <v/>
      </c>
      <c r="AJ28" s="1910" t="str">
        <f t="shared" ca="1" si="50"/>
        <v/>
      </c>
      <c r="AK28" s="1911" t="str">
        <f t="shared" si="54"/>
        <v/>
      </c>
      <c r="AL28" s="1912" t="str">
        <f t="shared" si="55"/>
        <v/>
      </c>
      <c r="AM28" s="1913" t="str">
        <f t="shared" si="56"/>
        <v/>
      </c>
      <c r="AN28" s="1908" t="str">
        <f t="shared" si="57"/>
        <v/>
      </c>
      <c r="AO28" s="1914" t="str">
        <f t="shared" si="58"/>
        <v/>
      </c>
      <c r="AP28" s="1915" t="str">
        <f t="shared" si="4"/>
        <v/>
      </c>
      <c r="AQ28" s="1916" t="str">
        <f t="shared" si="5"/>
        <v/>
      </c>
      <c r="AR28" s="1917" t="str">
        <f t="shared" si="6"/>
        <v/>
      </c>
      <c r="AS28" s="1910" t="str">
        <f t="shared" si="7"/>
        <v/>
      </c>
      <c r="AT28" s="1918" t="str">
        <f t="shared" si="59"/>
        <v/>
      </c>
      <c r="AU28" s="1919" t="str">
        <f t="shared" si="60"/>
        <v/>
      </c>
      <c r="AV28" s="1920" t="str">
        <f t="shared" si="8"/>
        <v/>
      </c>
      <c r="AW28" s="1910" t="str">
        <f t="shared" si="9"/>
        <v/>
      </c>
      <c r="AX28" s="1918" t="str">
        <f t="shared" si="61"/>
        <v/>
      </c>
      <c r="AY28" s="1919" t="str">
        <f t="shared" si="62"/>
        <v/>
      </c>
      <c r="AZ28" s="1920" t="str">
        <f t="shared" si="10"/>
        <v/>
      </c>
      <c r="BA28" s="1910" t="str">
        <f t="shared" si="11"/>
        <v/>
      </c>
      <c r="BB28" s="1918" t="str">
        <f t="shared" si="63"/>
        <v/>
      </c>
      <c r="BC28" s="1919" t="str">
        <f t="shared" si="64"/>
        <v/>
      </c>
      <c r="BD28" s="1920" t="str">
        <f t="shared" si="12"/>
        <v/>
      </c>
      <c r="BE28" s="1910" t="str">
        <f t="shared" si="13"/>
        <v/>
      </c>
      <c r="BF28" s="1918" t="str">
        <f t="shared" si="65"/>
        <v/>
      </c>
      <c r="BG28" s="1919" t="str">
        <f t="shared" si="66"/>
        <v/>
      </c>
      <c r="BH28" s="322"/>
      <c r="BJ28" s="1258" t="str">
        <f>IF(OR(ISBLANK(A28),A28=""),"",A28)</f>
        <v/>
      </c>
      <c r="BK28" s="1250" t="b">
        <f>IF($BK$1,IF(AND(BJ28&lt;&gt;"",OR(B28=0,B28="")),TRUE,FALSE),FALSE)</f>
        <v>0</v>
      </c>
      <c r="BL28" s="1251" t="b">
        <v>0</v>
      </c>
      <c r="BM28" s="1251">
        <f>IF(C28="",0,VALUE(IF(BN28="","",LEFT(C28,SEARCH(BN28,C28)-1))))</f>
        <v>0</v>
      </c>
      <c r="BN28" s="1251">
        <f>IF(C28="",0,IF(NOT(ISERROR(SEARCH("VG",C28))),"VG",IF(NOT(ISERROR(SEARCH("BG",C28))),"BG",IF(NOT(ISERROR(SEARCH("G",C28))),"G"))))</f>
        <v>0</v>
      </c>
      <c r="BO28" s="1251">
        <f>IF(C28="",0,VALUE(MID(C28,SEARCH(BN28,C28)+LEN(BN28),SEARCH("N",C28)-SEARCH(BN28,C28)-LEN(BN28))))</f>
        <v>0</v>
      </c>
      <c r="BP28" s="1251">
        <f>IF(ISERROR(SEARCH("F",C28)),IF(C28="",0,VALUE(MID(C28,SEARCH("N",C28)+1,SEARCH("K",C28)-SEARCH("N",C28)-1))),IF(C28="",0,VALUE(MID(C28,SEARCH("N",C28)+1,SEARCH("F",C28)-SEARCH("N",C28)-1))))</f>
        <v>0</v>
      </c>
      <c r="BQ28" s="1251">
        <f>IF(ISERROR(SEARCH("F",C28)),IF(C28="",0,IF(SEARCH("K",C28)=LEN(C28),0,VALUE(MID(C28,SEARCH("K",C28)+1,LEN(C28))))),IF(C28="",0,IF(SEARCH("F",C28)=LEN(C28),0,VALUE(MID(C28,SEARCH("F",C28)+1,LEN(C28))))))</f>
        <v>0</v>
      </c>
      <c r="BR28" s="1251" t="b">
        <f>IF(OR(ISERROR(BM28),ISERROR(BN28),ISERROR(BO28),ISERROR(BP28),ISERROR(BQ28)),FALSE,TRUE)</f>
        <v>1</v>
      </c>
      <c r="BS28" s="1252">
        <f>6+IF(LEFT(I28,1)="R",IF(ISNUMBER(G28),G28*12,0)+IF(ISNUMBER(H28),H28,0),0)</f>
        <v>6</v>
      </c>
      <c r="BT28" s="1252" t="str">
        <f>IF(IF(ISNUMBER(S28),S28*12,0)+IF(ISNUMBER(T28),T28,0)&gt;0,IF(AND(IF(ISNUMBER(S28),S28*12,0)+IF(ISNUMBER(T28),T28,0)&gt;=1.25,IF(ISNUMBER(S28),S28*12,0)+IF(ISNUMBER(T28),T28,0)&lt;=(BS28-1.25)+IF(I28="X",2,0)),"Yes","No"),"No")</f>
        <v>No</v>
      </c>
      <c r="BU28" s="1252">
        <f>6+IF(LEFT(L28,1)="R",IF(ISNUMBER(J28),J28*12,0)+IF(ISNUMBER(K28),K28,0),0)</f>
        <v>6</v>
      </c>
      <c r="BV28" s="1252" t="str">
        <f>IF(IF(ISNUMBER(U28),U28*12,0)+IF(ISNUMBER(V28),V28,0)&gt;0,IF(AND(IF(ISNUMBER(U28),U28*12,0)+IF(ISNUMBER(V28),V28,0)&gt;=1.25,IF(ISNUMBER(U28),U28*12,0)+IF(ISNUMBER(V28),V28,0)&lt;=(BU28-1.25)+IF(L28="X",2,0)),"Yes","No"),"No")</f>
        <v>No</v>
      </c>
      <c r="BW28" s="1253">
        <f t="shared" ca="1" si="33"/>
        <v>0</v>
      </c>
      <c r="BX28" s="1254" t="str">
        <f t="shared" ca="1" si="40"/>
        <v/>
      </c>
      <c r="BY28" s="1254" t="b">
        <f t="shared" ca="1" si="34"/>
        <v>0</v>
      </c>
      <c r="BZ28" s="1255" t="b">
        <f t="shared" si="41"/>
        <v>0</v>
      </c>
      <c r="CB28" s="829"/>
      <c r="CC28" s="893"/>
      <c r="CD28" s="880"/>
      <c r="CE28" s="881"/>
      <c r="CF28" s="882"/>
      <c r="CG28" s="896"/>
      <c r="CH28" s="897"/>
      <c r="CI28" s="898"/>
      <c r="CJ28" s="897"/>
      <c r="CK28" s="898"/>
      <c r="CL28" s="899"/>
      <c r="CM28" s="943"/>
      <c r="CN28" s="896"/>
      <c r="CO28" s="897"/>
      <c r="CP28" s="898"/>
      <c r="CQ28" s="897"/>
      <c r="CR28" s="898"/>
      <c r="CS28" s="899"/>
      <c r="CT28" s="943"/>
      <c r="CU28" s="900"/>
      <c r="CV28" s="1212"/>
      <c r="CW28" s="1213"/>
      <c r="CX28" s="913"/>
      <c r="CY28" s="914"/>
      <c r="CZ28" s="932"/>
      <c r="DA28" s="933"/>
      <c r="DB28" s="922"/>
      <c r="DC28" s="923"/>
      <c r="DD28" s="1149"/>
      <c r="DE28" s="1150"/>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43" t="str">
        <f t="shared" ref="EO28:EO45" si="100">IF(AND(ER28&lt;&gt;"",CL28&lt;&gt;"",ES28&lt;&gt;"",CS28&lt;&gt;""),"BE",IF(AND(ER28&lt;&gt;"",CL28&lt;&gt;""),"LE",IF(AND(ES28&lt;&gt;"",CS28&lt;&gt;""),"RE","")))</f>
        <v/>
      </c>
      <c r="EP28" s="1164" t="str">
        <f>IF(ISBLANK(DB28),"",DB68+IF(DB28&gt;0,0,ABS(DB28)))</f>
        <v/>
      </c>
      <c r="EQ28" s="1165" t="str">
        <f>IF(ISBLANK(DC28),"",DH68+IF(DC28&gt;0,0,ABS(DC28)))</f>
        <v/>
      </c>
      <c r="ER28" s="957" t="str">
        <f t="shared" ref="ER28:ER45" si="101">IF(CG28="","",IF($FB$4&gt;EV68,EV68,""))</f>
        <v/>
      </c>
      <c r="ES28" s="958" t="str">
        <f t="shared" ref="ES28:ES45" si="102">IF(CN28="","",IF($FB$4&gt;EW68,EW68,""))</f>
        <v/>
      </c>
      <c r="ET28" s="959" t="str">
        <f t="shared" ref="ET28:ET45" si="103">IF(CC68="","",IF(ABS(EM68)&lt;ABS($FA$2),$EZ$4,CEILING($EZ$4/COS(EL68)+0.375+IF(CC68="M",IF(EL68&gt;0,(DB68-DC68)/12,0),IF(EL68&gt;0,0,(DB68-CD68)/12))*ABS(EM68),0.125)))</f>
        <v/>
      </c>
      <c r="EU28" s="960" t="str">
        <f t="shared" ref="EU28:EU45" si="104">IF(CL68="","",IF(ABS(ER68)&lt;ABS($FA$2),$EZ$4,CEILING($EZ$4/COS(EQ68)+0.375+IF(CL68="M",IF(EQ68&lt;0,(DH68-DI68)/12,0),IF(EQ68&lt;0,0,(DH68-CM68)/12))*ABS(ER68),0.125)))</f>
        <v/>
      </c>
      <c r="EX28" s="1194" t="str">
        <f t="shared" ca="1" si="35"/>
        <v/>
      </c>
      <c r="EY28" s="1196" t="str">
        <f t="shared" si="14"/>
        <v/>
      </c>
      <c r="EZ28" s="1196" t="str">
        <f t="shared" si="36"/>
        <v/>
      </c>
      <c r="FA28" s="1217" t="str">
        <f t="shared" ca="1" si="42"/>
        <v/>
      </c>
      <c r="FB28" s="1218" t="str">
        <f t="shared" ca="1" si="37"/>
        <v/>
      </c>
      <c r="FC28" s="1218">
        <f t="shared" ca="1" si="15"/>
        <v>0</v>
      </c>
      <c r="FD28" s="1218">
        <f t="shared" ca="1" si="16"/>
        <v>0</v>
      </c>
      <c r="FE28" s="1218">
        <f t="shared" ca="1" si="17"/>
        <v>0</v>
      </c>
      <c r="FF28" s="1218">
        <f t="shared" ca="1" si="38"/>
        <v>0</v>
      </c>
      <c r="FN28" s="1256" t="b">
        <v>1</v>
      </c>
      <c r="FO28" s="969" t="b">
        <f>NOT(ISERROR(VLOOKUP(A28,$AB$14:$AB$45,1,FALSE)))</f>
        <v>1</v>
      </c>
      <c r="FP28" s="969" t="b">
        <v>0</v>
      </c>
      <c r="FQ28" s="969" t="b">
        <f t="shared" si="39"/>
        <v>1</v>
      </c>
      <c r="FX28" s="236"/>
      <c r="FZ28" s="2"/>
      <c r="GA28" s="1935" t="str">
        <f t="shared" ref="GA28:GA45" si="105">IF(GF28="","",CE28)</f>
        <v/>
      </c>
      <c r="GB28" s="1936" t="str">
        <f t="shared" ref="GB28:GB45" si="106">IF(GF28="","",CF28)</f>
        <v/>
      </c>
      <c r="GC28" s="1937" t="str">
        <f t="shared" ref="GC28:GC45" si="107">IF(GF28="","",IF(CD68="",0,CD68))</f>
        <v/>
      </c>
      <c r="GD28" s="1938" t="str">
        <f t="shared" ref="GD28:GD45" si="108">IF(GF28="","",IF(CM68="",0,CM68))</f>
        <v/>
      </c>
      <c r="GE28" s="1939" t="str">
        <f t="shared" ref="GE28:GE45" si="109">IF(GF28="","",IF(ISBLANK(CU28),IF(X28=Y28,0,MAX(ABS(X28),ABS(Y28))*IF(X28&lt;0,-1,1)),CU28))</f>
        <v/>
      </c>
      <c r="GF28" s="1940" t="str">
        <f t="shared" ref="GF28:GF45" si="110">IF(A28=0,"",A28)</f>
        <v/>
      </c>
      <c r="GG28" s="1457"/>
      <c r="GH28" s="1458"/>
      <c r="GI28" s="1457"/>
      <c r="GJ28" s="1458"/>
      <c r="GK28" s="326">
        <f t="shared" ref="GK28:GK45" si="111">IF(D28="",0,D28*12+E28)</f>
        <v>0</v>
      </c>
      <c r="GL28" s="326" t="e">
        <f t="shared" ref="GL28:GL45" si="112">(GA28*12+GB28+GC28+GD28)/COS(ATAN(ABS(GE28/12)))</f>
        <v>#VALUE!</v>
      </c>
      <c r="GM28" s="327" t="e">
        <f>IF(ABS(GK28-GL28)&gt;='Job Info.'!$L$22,ABS(GK28-GL28),0)</f>
        <v>#VALUE!</v>
      </c>
      <c r="GZ28" s="179"/>
      <c r="HA28" s="1606"/>
      <c r="HB28" s="1607"/>
      <c r="HC28" s="1607"/>
      <c r="HD28" s="1608"/>
      <c r="HE28" s="1609"/>
      <c r="HF28" s="1607"/>
      <c r="HG28" s="1607"/>
      <c r="HH28" s="1607"/>
      <c r="HI28" s="1607"/>
      <c r="HJ28" s="1607"/>
      <c r="HK28" s="1607"/>
      <c r="HL28" s="1607"/>
      <c r="HM28" s="1607"/>
      <c r="HN28" s="1607"/>
      <c r="HO28" s="1607"/>
      <c r="HP28" s="1607"/>
      <c r="HQ28" s="1607"/>
      <c r="HR28" s="1607"/>
      <c r="HS28" s="1607"/>
      <c r="HT28" s="1607"/>
      <c r="HU28" s="1607"/>
      <c r="HV28" s="1607"/>
      <c r="HW28" s="1607"/>
      <c r="HX28" s="1607"/>
      <c r="HY28" s="1610"/>
      <c r="HZ28" s="1610"/>
      <c r="IA28" s="1610"/>
      <c r="IB28" s="1610"/>
      <c r="IC28" s="1610"/>
      <c r="ID28" s="1611"/>
      <c r="IE28" s="1612"/>
      <c r="IF28" s="1613"/>
      <c r="IG28" s="1614"/>
      <c r="IH28" s="1615"/>
      <c r="II28" s="1613"/>
      <c r="IJ28" s="1614"/>
      <c r="IK28" s="1615"/>
      <c r="IL28" s="1613"/>
      <c r="IM28" s="1613"/>
      <c r="IN28" s="1613"/>
      <c r="IO28" s="1613"/>
      <c r="IP28" s="1613"/>
      <c r="IQ28" s="1613"/>
      <c r="IR28" s="1613"/>
      <c r="IS28" s="1614"/>
      <c r="IT28" s="1615"/>
      <c r="IU28" s="1613"/>
      <c r="IV28" s="1613"/>
      <c r="IW28" s="1614"/>
      <c r="IX28" s="1615"/>
      <c r="IY28" s="1613"/>
      <c r="IZ28" s="1613"/>
      <c r="JA28" s="1614"/>
      <c r="JB28" s="1615"/>
      <c r="JC28" s="1613"/>
      <c r="JD28" s="1613"/>
      <c r="JE28" s="1614"/>
      <c r="JF28" s="1615"/>
      <c r="JG28" s="1613"/>
      <c r="JH28" s="1613"/>
      <c r="JI28" s="1613"/>
      <c r="JJ28" s="1616"/>
      <c r="JK28" s="1613"/>
      <c r="JL28" s="1521">
        <f t="shared" ca="1" si="43"/>
        <v>0</v>
      </c>
      <c r="JM28" s="171"/>
    </row>
    <row r="29" spans="1:274" ht="12.6" customHeight="1" x14ac:dyDescent="0.25">
      <c r="A29" s="1861" t="str">
        <f t="shared" si="71"/>
        <v/>
      </c>
      <c r="B29" s="1862" t="str">
        <f t="shared" si="72"/>
        <v/>
      </c>
      <c r="C29" s="1863" t="str">
        <f t="shared" si="73"/>
        <v/>
      </c>
      <c r="D29" s="1864" t="str">
        <f t="shared" si="74"/>
        <v/>
      </c>
      <c r="E29" s="1865" t="str">
        <f t="shared" si="75"/>
        <v/>
      </c>
      <c r="F29" s="1866" t="str">
        <f t="shared" si="76"/>
        <v/>
      </c>
      <c r="G29" s="1867" t="str">
        <f t="shared" si="77"/>
        <v/>
      </c>
      <c r="H29" s="1868" t="str">
        <f t="shared" si="78"/>
        <v/>
      </c>
      <c r="I29" s="1869" t="str">
        <f t="shared" si="79"/>
        <v/>
      </c>
      <c r="J29" s="1864" t="str">
        <f t="shared" si="80"/>
        <v/>
      </c>
      <c r="K29" s="1868" t="str">
        <f t="shared" si="81"/>
        <v/>
      </c>
      <c r="L29" s="1870" t="str">
        <f t="shared" si="82"/>
        <v/>
      </c>
      <c r="M29" s="1871" t="str">
        <f t="shared" si="83"/>
        <v/>
      </c>
      <c r="N29" s="1872" t="str">
        <f t="shared" si="84"/>
        <v/>
      </c>
      <c r="O29" s="1867" t="str">
        <f t="shared" si="85"/>
        <v/>
      </c>
      <c r="P29" s="1868" t="str">
        <f t="shared" si="86"/>
        <v/>
      </c>
      <c r="Q29" s="1864" t="str">
        <f t="shared" si="87"/>
        <v/>
      </c>
      <c r="R29" s="1865" t="str">
        <f t="shared" si="88"/>
        <v/>
      </c>
      <c r="S29" s="1873" t="str">
        <f t="shared" si="89"/>
        <v/>
      </c>
      <c r="T29" s="1868" t="str">
        <f t="shared" si="90"/>
        <v/>
      </c>
      <c r="U29" s="1864" t="str">
        <f t="shared" si="91"/>
        <v/>
      </c>
      <c r="V29" s="1868" t="str">
        <f t="shared" si="92"/>
        <v/>
      </c>
      <c r="W29" s="1872">
        <f t="shared" si="93"/>
        <v>0</v>
      </c>
      <c r="X29" s="1874" t="str">
        <f t="shared" si="94"/>
        <v/>
      </c>
      <c r="Y29" s="1875" t="str">
        <f t="shared" si="95"/>
        <v/>
      </c>
      <c r="Z29" s="1941"/>
      <c r="AA29" s="1876" t="str">
        <f t="shared" si="96"/>
        <v/>
      </c>
      <c r="AB29" s="1471" t="str">
        <f t="shared" si="70"/>
        <v/>
      </c>
      <c r="AC29" s="1908" t="str">
        <f t="shared" si="53"/>
        <v/>
      </c>
      <c r="AD29" s="1909" t="str">
        <f t="shared" ca="1" si="44"/>
        <v/>
      </c>
      <c r="AE29" s="1910" t="str">
        <f t="shared" ca="1" si="45"/>
        <v/>
      </c>
      <c r="AF29" s="1908" t="str">
        <f t="shared" ca="1" si="46"/>
        <v/>
      </c>
      <c r="AG29" s="1909" t="str">
        <f t="shared" ca="1" si="47"/>
        <v/>
      </c>
      <c r="AH29" s="1910" t="str">
        <f t="shared" ca="1" si="48"/>
        <v/>
      </c>
      <c r="AI29" s="1909" t="str">
        <f t="shared" ca="1" si="49"/>
        <v/>
      </c>
      <c r="AJ29" s="1910" t="str">
        <f t="shared" ca="1" si="50"/>
        <v/>
      </c>
      <c r="AK29" s="1911" t="str">
        <f t="shared" si="54"/>
        <v/>
      </c>
      <c r="AL29" s="1912" t="str">
        <f t="shared" si="55"/>
        <v/>
      </c>
      <c r="AM29" s="1913" t="str">
        <f t="shared" si="56"/>
        <v/>
      </c>
      <c r="AN29" s="1908" t="str">
        <f t="shared" si="57"/>
        <v/>
      </c>
      <c r="AO29" s="1914" t="str">
        <f t="shared" si="58"/>
        <v/>
      </c>
      <c r="AP29" s="1915" t="str">
        <f t="shared" si="4"/>
        <v/>
      </c>
      <c r="AQ29" s="1916" t="str">
        <f t="shared" si="5"/>
        <v/>
      </c>
      <c r="AR29" s="1917" t="str">
        <f t="shared" si="6"/>
        <v/>
      </c>
      <c r="AS29" s="1910" t="str">
        <f t="shared" si="7"/>
        <v/>
      </c>
      <c r="AT29" s="1918" t="str">
        <f t="shared" si="59"/>
        <v/>
      </c>
      <c r="AU29" s="1919" t="str">
        <f t="shared" si="60"/>
        <v/>
      </c>
      <c r="AV29" s="1920" t="str">
        <f t="shared" si="8"/>
        <v/>
      </c>
      <c r="AW29" s="1910" t="str">
        <f t="shared" si="9"/>
        <v/>
      </c>
      <c r="AX29" s="1918" t="str">
        <f t="shared" si="61"/>
        <v/>
      </c>
      <c r="AY29" s="1919" t="str">
        <f t="shared" si="62"/>
        <v/>
      </c>
      <c r="AZ29" s="1920" t="str">
        <f t="shared" si="10"/>
        <v/>
      </c>
      <c r="BA29" s="1910" t="str">
        <f t="shared" si="11"/>
        <v/>
      </c>
      <c r="BB29" s="1918" t="str">
        <f t="shared" si="63"/>
        <v/>
      </c>
      <c r="BC29" s="1919" t="str">
        <f t="shared" si="64"/>
        <v/>
      </c>
      <c r="BD29" s="1920" t="str">
        <f t="shared" si="12"/>
        <v/>
      </c>
      <c r="BE29" s="1910" t="str">
        <f t="shared" si="13"/>
        <v/>
      </c>
      <c r="BF29" s="1918" t="str">
        <f t="shared" si="65"/>
        <v/>
      </c>
      <c r="BG29" s="1919" t="str">
        <f t="shared" si="66"/>
        <v/>
      </c>
      <c r="BH29" s="322"/>
      <c r="BJ29" s="1258" t="str">
        <f>IF(AND(OR(ISBLANK(A29),A29=""),Z29&lt;&gt;""),BJ28,IF(OR(ISBLANK(A29),A29=""),"",A29))</f>
        <v/>
      </c>
      <c r="BK29" s="1256" t="b">
        <f>IF($BK$1,IF(BJ29=BJ28,BK28,IF(AND(BJ29&lt;&gt;"",OR(B29=0,B29="")),TRUE,FALSE)),FALSE)</f>
        <v>0</v>
      </c>
      <c r="BL29" s="1251" t="b">
        <v>0</v>
      </c>
      <c r="BM29" s="1251">
        <f t="shared" ref="BM29:BM45" si="113">IF(C29="",0,VALUE(IF(BN29="","",LEFT(C29,SEARCH(BN29,C29)-1))))</f>
        <v>0</v>
      </c>
      <c r="BN29" s="1251">
        <f t="shared" ref="BN29:BN45" si="114">IF(C29="",0,IF(NOT(ISERROR(SEARCH("VG",C29))),"VG",IF(NOT(ISERROR(SEARCH("BG",C29))),"BG",IF(NOT(ISERROR(SEARCH("G",C29))),"G"))))</f>
        <v>0</v>
      </c>
      <c r="BO29" s="1251">
        <f t="shared" ref="BO29:BO45" si="115">IF(C29="",0,VALUE(MID(C29,SEARCH(BN29,C29)+LEN(BN29),SEARCH("N",C29)-SEARCH(BN29,C29)-LEN(BN29))))</f>
        <v>0</v>
      </c>
      <c r="BP29" s="1251">
        <f t="shared" ref="BP29:BP45" si="116">IF(ISERROR(SEARCH("F",C29)),IF(C29="",0,VALUE(MID(C29,SEARCH("N",C29)+1,SEARCH("K",C29)-SEARCH("N",C29)-1))),IF(C29="",0,VALUE(MID(C29,SEARCH("N",C29)+1,SEARCH("F",C29)-SEARCH("N",C29)-1))))</f>
        <v>0</v>
      </c>
      <c r="BQ29" s="1251">
        <f t="shared" ref="BQ29:BQ45" si="117">IF(ISERROR(SEARCH("F",C29)),IF(C29="",0,IF(SEARCH("K",C29)=LEN(C29),0,VALUE(MID(C29,SEARCH("K",C29)+1,LEN(C29))))),IF(C29="",0,IF(SEARCH("F",C29)=LEN(C29),0,VALUE(MID(C29,SEARCH("F",C29)+1,LEN(C29))))))</f>
        <v>0</v>
      </c>
      <c r="BR29" s="1251" t="b">
        <f t="shared" ref="BR29:BR45" si="118">IF(OR(ISERROR(BM29),ISERROR(BN29),ISERROR(BO29),ISERROR(BP29),ISERROR(BQ29)),FALSE,TRUE)</f>
        <v>1</v>
      </c>
      <c r="BS29" s="1252">
        <f t="shared" ref="BS29:BS45" si="119">6+IF(LEFT(I29,1)="R",IF(ISNUMBER(G29),G29*12,0)+IF(ISNUMBER(H29),H29,0),0)</f>
        <v>6</v>
      </c>
      <c r="BT29" s="1252" t="str">
        <f t="shared" ref="BT29:BT45" si="120">IF(IF(ISNUMBER(S29),S29*12,0)+IF(ISNUMBER(T29),T29,0)&gt;0,IF(AND(IF(ISNUMBER(S29),S29*12,0)+IF(ISNUMBER(T29),T29,0)&gt;=1.25,IF(ISNUMBER(S29),S29*12,0)+IF(ISNUMBER(T29),T29,0)&lt;=(BS29-1.25)+IF(I29="X",2,0)),"Yes","No"),"No")</f>
        <v>No</v>
      </c>
      <c r="BU29" s="1252">
        <f t="shared" ref="BU29:BU45" si="121">6+IF(LEFT(L29,1)="R",IF(ISNUMBER(J29),J29*12,0)+IF(ISNUMBER(K29),K29,0),0)</f>
        <v>6</v>
      </c>
      <c r="BV29" s="1252" t="str">
        <f t="shared" ref="BV29:BV45" si="122">IF(IF(ISNUMBER(U29),U29*12,0)+IF(ISNUMBER(V29),V29,0)&gt;0,IF(AND(IF(ISNUMBER(U29),U29*12,0)+IF(ISNUMBER(V29),V29,0)&gt;=1.25,IF(ISNUMBER(U29),U29*12,0)+IF(ISNUMBER(V29),V29,0)&lt;=(BU29-1.25)+IF(L29="X",2,0)),"Yes","No"),"No")</f>
        <v>No</v>
      </c>
      <c r="BW29" s="1253">
        <f t="shared" ca="1" si="33"/>
        <v>0</v>
      </c>
      <c r="BX29" s="1254" t="str">
        <f t="shared" ca="1" si="40"/>
        <v/>
      </c>
      <c r="BY29" s="1254" t="b">
        <f t="shared" ca="1" si="34"/>
        <v>0</v>
      </c>
      <c r="BZ29" s="1255" t="b">
        <f t="shared" si="41"/>
        <v>0</v>
      </c>
      <c r="CB29" s="842"/>
      <c r="CC29" s="894"/>
      <c r="CD29" s="883"/>
      <c r="CE29" s="884"/>
      <c r="CF29" s="885"/>
      <c r="CG29" s="901"/>
      <c r="CH29" s="902"/>
      <c r="CI29" s="903"/>
      <c r="CJ29" s="902"/>
      <c r="CK29" s="903"/>
      <c r="CL29" s="904"/>
      <c r="CM29" s="944"/>
      <c r="CN29" s="901"/>
      <c r="CO29" s="902"/>
      <c r="CP29" s="903"/>
      <c r="CQ29" s="902"/>
      <c r="CR29" s="903"/>
      <c r="CS29" s="904"/>
      <c r="CT29" s="944"/>
      <c r="CU29" s="906"/>
      <c r="CV29" s="886"/>
      <c r="CW29" s="887"/>
      <c r="CX29" s="915"/>
      <c r="CY29" s="916"/>
      <c r="CZ29" s="932"/>
      <c r="DA29" s="933"/>
      <c r="DB29" s="932"/>
      <c r="DC29" s="933"/>
      <c r="DD29" s="1149"/>
      <c r="DE29" s="1150"/>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44" t="str">
        <f t="shared" si="100"/>
        <v/>
      </c>
      <c r="EP29" s="1166" t="str">
        <f>IF(ISBLANK(DB29),"",DB69+IF(DB29&gt;0,0,ABS(DB29)))</f>
        <v/>
      </c>
      <c r="EQ29" s="1167" t="str">
        <f>IF(ISBLANK(DC29),"",DH69+IF(DC29&gt;0,0,ABS(DC29)))</f>
        <v/>
      </c>
      <c r="ER29" s="961" t="str">
        <f t="shared" si="101"/>
        <v/>
      </c>
      <c r="ES29" s="962" t="str">
        <f t="shared" si="102"/>
        <v/>
      </c>
      <c r="ET29" s="963" t="str">
        <f t="shared" si="103"/>
        <v/>
      </c>
      <c r="EU29" s="964" t="str">
        <f t="shared" si="104"/>
        <v/>
      </c>
      <c r="EX29" s="1194" t="str">
        <f t="shared" ca="1" si="35"/>
        <v/>
      </c>
      <c r="EY29" s="1196" t="str">
        <f t="shared" si="14"/>
        <v/>
      </c>
      <c r="EZ29" s="1196" t="str">
        <f t="shared" si="36"/>
        <v/>
      </c>
      <c r="FA29" s="1217" t="str">
        <f t="shared" ca="1" si="42"/>
        <v/>
      </c>
      <c r="FB29" s="1218" t="str">
        <f t="shared" ca="1" si="37"/>
        <v/>
      </c>
      <c r="FC29" s="1218">
        <f t="shared" ca="1" si="15"/>
        <v>0</v>
      </c>
      <c r="FD29" s="1218">
        <f t="shared" ca="1" si="16"/>
        <v>0</v>
      </c>
      <c r="FE29" s="1218">
        <f t="shared" ca="1" si="17"/>
        <v>0</v>
      </c>
      <c r="FF29" s="1218">
        <f t="shared" ca="1" si="38"/>
        <v>0</v>
      </c>
      <c r="FN29" s="1256" t="b">
        <v>0</v>
      </c>
      <c r="FO29" s="969" t="b">
        <f t="shared" ref="FO29:FO45" si="123">NOT(ISERROR(VLOOKUP(A29,$AB$14:$AB$45,1,FALSE)))</f>
        <v>1</v>
      </c>
      <c r="FP29" s="969" t="b">
        <v>0</v>
      </c>
      <c r="FQ29" s="969" t="b">
        <f t="shared" si="39"/>
        <v>1</v>
      </c>
      <c r="FX29" s="236"/>
      <c r="FZ29" s="2"/>
      <c r="GA29" s="1935" t="str">
        <f t="shared" si="105"/>
        <v/>
      </c>
      <c r="GB29" s="1936" t="str">
        <f t="shared" si="106"/>
        <v/>
      </c>
      <c r="GC29" s="1937" t="str">
        <f t="shared" si="107"/>
        <v/>
      </c>
      <c r="GD29" s="1938" t="str">
        <f t="shared" si="108"/>
        <v/>
      </c>
      <c r="GE29" s="1939" t="str">
        <f t="shared" si="109"/>
        <v/>
      </c>
      <c r="GF29" s="1940" t="str">
        <f t="shared" si="110"/>
        <v/>
      </c>
      <c r="GG29" s="1457"/>
      <c r="GH29" s="1459"/>
      <c r="GI29" s="1457"/>
      <c r="GJ29" s="1459"/>
      <c r="GK29" s="326">
        <f t="shared" si="111"/>
        <v>0</v>
      </c>
      <c r="GL29" s="326" t="e">
        <f t="shared" si="112"/>
        <v>#VALUE!</v>
      </c>
      <c r="GM29" s="327" t="e">
        <f>IF(ABS(GK29-GL29)&gt;='Job Info.'!$L$22,ABS(GK29-GL29),0)</f>
        <v>#VALUE!</v>
      </c>
      <c r="HA29" s="1612"/>
      <c r="HB29" s="1613"/>
      <c r="HC29" s="1613"/>
      <c r="HD29" s="1614"/>
      <c r="HE29" s="1615"/>
      <c r="HF29" s="1613"/>
      <c r="HG29" s="1613"/>
      <c r="HH29" s="1613"/>
      <c r="HI29" s="1613"/>
      <c r="HJ29" s="1613"/>
      <c r="HK29" s="1613"/>
      <c r="HL29" s="1613"/>
      <c r="HM29" s="1613"/>
      <c r="HN29" s="1613"/>
      <c r="HO29" s="1613"/>
      <c r="HP29" s="1613"/>
      <c r="HQ29" s="1613"/>
      <c r="HR29" s="1613"/>
      <c r="HS29" s="1613"/>
      <c r="HT29" s="1613"/>
      <c r="HU29" s="1613"/>
      <c r="HV29" s="1613"/>
      <c r="HW29" s="1613"/>
      <c r="HX29" s="1613"/>
      <c r="HY29" s="1617"/>
      <c r="HZ29" s="1617"/>
      <c r="IA29" s="1617"/>
      <c r="IB29" s="1617"/>
      <c r="IC29" s="1617"/>
      <c r="ID29" s="1618"/>
      <c r="IE29" s="1612"/>
      <c r="IF29" s="1613"/>
      <c r="IG29" s="1614"/>
      <c r="IH29" s="1615"/>
      <c r="II29" s="1613"/>
      <c r="IJ29" s="1614"/>
      <c r="IK29" s="1615"/>
      <c r="IL29" s="1613"/>
      <c r="IM29" s="1613"/>
      <c r="IN29" s="1613"/>
      <c r="IO29" s="1613"/>
      <c r="IP29" s="1613"/>
      <c r="IQ29" s="1613"/>
      <c r="IR29" s="1613"/>
      <c r="IS29" s="1614"/>
      <c r="IT29" s="1615"/>
      <c r="IU29" s="1613"/>
      <c r="IV29" s="1613"/>
      <c r="IW29" s="1614"/>
      <c r="IX29" s="1615"/>
      <c r="IY29" s="1613"/>
      <c r="IZ29" s="1613"/>
      <c r="JA29" s="1614"/>
      <c r="JB29" s="1615"/>
      <c r="JC29" s="1613"/>
      <c r="JD29" s="1613"/>
      <c r="JE29" s="1614"/>
      <c r="JF29" s="1615"/>
      <c r="JG29" s="1613"/>
      <c r="JH29" s="1613"/>
      <c r="JI29" s="1613"/>
      <c r="JJ29" s="1616"/>
      <c r="JK29" s="1613"/>
      <c r="JL29" s="1521">
        <f t="shared" ca="1" si="43"/>
        <v>0</v>
      </c>
      <c r="JM29" s="171"/>
    </row>
    <row r="30" spans="1:274" s="183" customFormat="1" ht="12.6" customHeight="1" x14ac:dyDescent="0.25">
      <c r="A30" s="1861" t="str">
        <f t="shared" si="71"/>
        <v/>
      </c>
      <c r="B30" s="1862" t="str">
        <f t="shared" si="72"/>
        <v/>
      </c>
      <c r="C30" s="1863" t="str">
        <f t="shared" si="73"/>
        <v/>
      </c>
      <c r="D30" s="1864" t="str">
        <f t="shared" si="74"/>
        <v/>
      </c>
      <c r="E30" s="1865" t="str">
        <f t="shared" si="75"/>
        <v/>
      </c>
      <c r="F30" s="1866" t="str">
        <f t="shared" si="76"/>
        <v/>
      </c>
      <c r="G30" s="1867" t="str">
        <f t="shared" si="77"/>
        <v/>
      </c>
      <c r="H30" s="1868" t="str">
        <f t="shared" si="78"/>
        <v/>
      </c>
      <c r="I30" s="1869" t="str">
        <f t="shared" si="79"/>
        <v/>
      </c>
      <c r="J30" s="1864" t="str">
        <f t="shared" si="80"/>
        <v/>
      </c>
      <c r="K30" s="1868" t="str">
        <f t="shared" si="81"/>
        <v/>
      </c>
      <c r="L30" s="1870" t="str">
        <f t="shared" si="82"/>
        <v/>
      </c>
      <c r="M30" s="1871" t="str">
        <f t="shared" si="83"/>
        <v/>
      </c>
      <c r="N30" s="1872" t="str">
        <f t="shared" si="84"/>
        <v/>
      </c>
      <c r="O30" s="1867" t="str">
        <f t="shared" si="85"/>
        <v/>
      </c>
      <c r="P30" s="1868" t="str">
        <f t="shared" si="86"/>
        <v/>
      </c>
      <c r="Q30" s="1864" t="str">
        <f t="shared" si="87"/>
        <v/>
      </c>
      <c r="R30" s="1865" t="str">
        <f t="shared" si="88"/>
        <v/>
      </c>
      <c r="S30" s="1873" t="str">
        <f t="shared" si="89"/>
        <v/>
      </c>
      <c r="T30" s="1868" t="str">
        <f t="shared" si="90"/>
        <v/>
      </c>
      <c r="U30" s="1864" t="str">
        <f t="shared" si="91"/>
        <v/>
      </c>
      <c r="V30" s="1868" t="str">
        <f t="shared" si="92"/>
        <v/>
      </c>
      <c r="W30" s="1872">
        <f t="shared" si="93"/>
        <v>0</v>
      </c>
      <c r="X30" s="1874" t="str">
        <f t="shared" si="94"/>
        <v/>
      </c>
      <c r="Y30" s="1875" t="str">
        <f t="shared" si="95"/>
        <v/>
      </c>
      <c r="Z30" s="1941"/>
      <c r="AA30" s="1876" t="str">
        <f t="shared" si="96"/>
        <v/>
      </c>
      <c r="AB30" s="1471" t="str">
        <f t="shared" si="70"/>
        <v/>
      </c>
      <c r="AC30" s="1908" t="str">
        <f t="shared" si="53"/>
        <v/>
      </c>
      <c r="AD30" s="1909" t="str">
        <f t="shared" ca="1" si="44"/>
        <v/>
      </c>
      <c r="AE30" s="1910" t="str">
        <f t="shared" ca="1" si="45"/>
        <v/>
      </c>
      <c r="AF30" s="1908" t="str">
        <f t="shared" ca="1" si="46"/>
        <v/>
      </c>
      <c r="AG30" s="1909" t="str">
        <f t="shared" ca="1" si="47"/>
        <v/>
      </c>
      <c r="AH30" s="1910" t="str">
        <f t="shared" ca="1" si="48"/>
        <v/>
      </c>
      <c r="AI30" s="1909" t="str">
        <f t="shared" ca="1" si="49"/>
        <v/>
      </c>
      <c r="AJ30" s="1910" t="str">
        <f t="shared" ca="1" si="50"/>
        <v/>
      </c>
      <c r="AK30" s="1911" t="str">
        <f t="shared" si="54"/>
        <v/>
      </c>
      <c r="AL30" s="1912" t="str">
        <f t="shared" si="55"/>
        <v/>
      </c>
      <c r="AM30" s="1913" t="str">
        <f t="shared" si="56"/>
        <v/>
      </c>
      <c r="AN30" s="1908" t="str">
        <f t="shared" si="57"/>
        <v/>
      </c>
      <c r="AO30" s="1914" t="str">
        <f t="shared" si="58"/>
        <v/>
      </c>
      <c r="AP30" s="1915" t="str">
        <f t="shared" si="4"/>
        <v/>
      </c>
      <c r="AQ30" s="1916" t="str">
        <f t="shared" si="5"/>
        <v/>
      </c>
      <c r="AR30" s="1917" t="str">
        <f t="shared" si="6"/>
        <v/>
      </c>
      <c r="AS30" s="1910" t="str">
        <f t="shared" si="7"/>
        <v/>
      </c>
      <c r="AT30" s="1918" t="str">
        <f t="shared" si="59"/>
        <v/>
      </c>
      <c r="AU30" s="1919" t="str">
        <f t="shared" si="60"/>
        <v/>
      </c>
      <c r="AV30" s="1920" t="str">
        <f t="shared" si="8"/>
        <v/>
      </c>
      <c r="AW30" s="1910" t="str">
        <f t="shared" si="9"/>
        <v/>
      </c>
      <c r="AX30" s="1918" t="str">
        <f t="shared" si="61"/>
        <v/>
      </c>
      <c r="AY30" s="1919" t="str">
        <f t="shared" si="62"/>
        <v/>
      </c>
      <c r="AZ30" s="1920" t="str">
        <f t="shared" si="10"/>
        <v/>
      </c>
      <c r="BA30" s="1910" t="str">
        <f t="shared" si="11"/>
        <v/>
      </c>
      <c r="BB30" s="1918" t="str">
        <f t="shared" si="63"/>
        <v/>
      </c>
      <c r="BC30" s="1919" t="str">
        <f t="shared" si="64"/>
        <v/>
      </c>
      <c r="BD30" s="1920" t="str">
        <f t="shared" si="12"/>
        <v/>
      </c>
      <c r="BE30" s="1910" t="str">
        <f t="shared" si="13"/>
        <v/>
      </c>
      <c r="BF30" s="1918" t="str">
        <f t="shared" si="65"/>
        <v/>
      </c>
      <c r="BG30" s="1919" t="str">
        <f t="shared" si="66"/>
        <v/>
      </c>
      <c r="BH30" s="323"/>
      <c r="BJ30" s="1258" t="str">
        <f t="shared" ref="BJ30:BJ45" si="124">IF(AND(OR(ISBLANK(A30),A30=""),Z30&lt;&gt;""),BJ29,IF(OR(ISBLANK(A30),A30=""),"",A30))</f>
        <v/>
      </c>
      <c r="BK30" s="1256" t="b">
        <f>IF($BK$1,IF(BJ30=BJ29,BK29,IF(AND(BJ30&lt;&gt;"",OR(B30=0,B30="")),TRUE,FALSE)),FALSE)</f>
        <v>0</v>
      </c>
      <c r="BL30" s="1251" t="b">
        <v>0</v>
      </c>
      <c r="BM30" s="1251">
        <f t="shared" si="113"/>
        <v>0</v>
      </c>
      <c r="BN30" s="1251">
        <f t="shared" si="114"/>
        <v>0</v>
      </c>
      <c r="BO30" s="1251">
        <f t="shared" si="115"/>
        <v>0</v>
      </c>
      <c r="BP30" s="1251">
        <f t="shared" si="116"/>
        <v>0</v>
      </c>
      <c r="BQ30" s="1251">
        <f t="shared" si="117"/>
        <v>0</v>
      </c>
      <c r="BR30" s="1251" t="b">
        <f t="shared" si="118"/>
        <v>1</v>
      </c>
      <c r="BS30" s="1252">
        <f t="shared" si="119"/>
        <v>6</v>
      </c>
      <c r="BT30" s="1252" t="str">
        <f t="shared" si="120"/>
        <v>No</v>
      </c>
      <c r="BU30" s="1252">
        <f t="shared" si="121"/>
        <v>6</v>
      </c>
      <c r="BV30" s="1252" t="str">
        <f t="shared" si="122"/>
        <v>No</v>
      </c>
      <c r="BW30" s="1253">
        <f t="shared" ca="1" si="33"/>
        <v>0</v>
      </c>
      <c r="BX30" s="1254" t="str">
        <f t="shared" ca="1" si="40"/>
        <v/>
      </c>
      <c r="BY30" s="1254" t="b">
        <f t="shared" ca="1" si="34"/>
        <v>0</v>
      </c>
      <c r="BZ30" s="1255" t="b">
        <f t="shared" si="41"/>
        <v>0</v>
      </c>
      <c r="CB30" s="842"/>
      <c r="CC30" s="894"/>
      <c r="CD30" s="883"/>
      <c r="CE30" s="884"/>
      <c r="CF30" s="885"/>
      <c r="CG30" s="901"/>
      <c r="CH30" s="902"/>
      <c r="CI30" s="903"/>
      <c r="CJ30" s="902"/>
      <c r="CK30" s="903"/>
      <c r="CL30" s="904"/>
      <c r="CM30" s="944"/>
      <c r="CN30" s="901"/>
      <c r="CO30" s="902"/>
      <c r="CP30" s="903"/>
      <c r="CQ30" s="902"/>
      <c r="CR30" s="903"/>
      <c r="CS30" s="904"/>
      <c r="CT30" s="944"/>
      <c r="CU30" s="906"/>
      <c r="CV30" s="886"/>
      <c r="CW30" s="887"/>
      <c r="CX30" s="915"/>
      <c r="CY30" s="916"/>
      <c r="CZ30" s="932"/>
      <c r="DA30" s="933"/>
      <c r="DB30" s="932"/>
      <c r="DC30" s="933"/>
      <c r="DD30" s="1149"/>
      <c r="DE30" s="1150"/>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44" t="str">
        <f t="shared" si="100"/>
        <v/>
      </c>
      <c r="EP30" s="1168" t="str">
        <f>IF(ISBLANK(DB30),"",DB70+IF(DB30&gt;0,0,ABS(DB30)))</f>
        <v/>
      </c>
      <c r="EQ30" s="1169" t="str">
        <f>IF(ISBLANK(DC30),"",DH70+IF(DC30&gt;0,0,ABS(DC30)))</f>
        <v/>
      </c>
      <c r="ER30" s="961" t="str">
        <f t="shared" si="101"/>
        <v/>
      </c>
      <c r="ES30" s="962" t="str">
        <f t="shared" si="102"/>
        <v/>
      </c>
      <c r="ET30" s="963" t="str">
        <f t="shared" si="103"/>
        <v/>
      </c>
      <c r="EU30" s="964" t="str">
        <f t="shared" si="104"/>
        <v/>
      </c>
      <c r="EX30" s="1194" t="str">
        <f t="shared" ca="1" si="35"/>
        <v/>
      </c>
      <c r="EY30" s="1196" t="str">
        <f t="shared" si="14"/>
        <v/>
      </c>
      <c r="EZ30" s="1196" t="str">
        <f t="shared" si="36"/>
        <v/>
      </c>
      <c r="FA30" s="1217" t="str">
        <f t="shared" ca="1" si="42"/>
        <v/>
      </c>
      <c r="FB30" s="1218" t="str">
        <f t="shared" ca="1" si="37"/>
        <v/>
      </c>
      <c r="FC30" s="1218">
        <f t="shared" ca="1" si="15"/>
        <v>0</v>
      </c>
      <c r="FD30" s="1218">
        <f t="shared" ca="1" si="16"/>
        <v>0</v>
      </c>
      <c r="FE30" s="1218">
        <f t="shared" ca="1" si="17"/>
        <v>0</v>
      </c>
      <c r="FF30" s="1218">
        <f t="shared" ca="1" si="38"/>
        <v>0</v>
      </c>
      <c r="FN30" s="1256" t="b">
        <v>0</v>
      </c>
      <c r="FO30" s="970" t="b">
        <f t="shared" si="123"/>
        <v>1</v>
      </c>
      <c r="FP30" s="969" t="b">
        <v>0</v>
      </c>
      <c r="FQ30" s="970" t="b">
        <f t="shared" si="39"/>
        <v>1</v>
      </c>
      <c r="FX30" s="236"/>
      <c r="FZ30" s="2"/>
      <c r="GA30" s="1935" t="str">
        <f t="shared" si="105"/>
        <v/>
      </c>
      <c r="GB30" s="1936" t="str">
        <f t="shared" si="106"/>
        <v/>
      </c>
      <c r="GC30" s="1937" t="str">
        <f t="shared" si="107"/>
        <v/>
      </c>
      <c r="GD30" s="1938" t="str">
        <f t="shared" si="108"/>
        <v/>
      </c>
      <c r="GE30" s="1939" t="str">
        <f t="shared" si="109"/>
        <v/>
      </c>
      <c r="GF30" s="1940" t="str">
        <f t="shared" si="110"/>
        <v/>
      </c>
      <c r="GG30" s="1457"/>
      <c r="GH30" s="1459"/>
      <c r="GI30" s="1457"/>
      <c r="GJ30" s="1459"/>
      <c r="GK30" s="326">
        <f t="shared" si="111"/>
        <v>0</v>
      </c>
      <c r="GL30" s="326" t="e">
        <f t="shared" si="112"/>
        <v>#VALUE!</v>
      </c>
      <c r="GM30" s="327" t="e">
        <f>IF(ABS(GK30-GL30)&gt;='Job Info.'!$L$22,ABS(GK30-GL30),0)</f>
        <v>#VALUE!</v>
      </c>
      <c r="GZ30" s="161"/>
      <c r="HA30" s="1612"/>
      <c r="HB30" s="1613"/>
      <c r="HC30" s="1613"/>
      <c r="HD30" s="1614"/>
      <c r="HE30" s="1615"/>
      <c r="HF30" s="1613"/>
      <c r="HG30" s="1613"/>
      <c r="HH30" s="1613"/>
      <c r="HI30" s="1613"/>
      <c r="HJ30" s="1613"/>
      <c r="HK30" s="1613"/>
      <c r="HL30" s="1613"/>
      <c r="HM30" s="1613"/>
      <c r="HN30" s="1613"/>
      <c r="HO30" s="1613"/>
      <c r="HP30" s="1613"/>
      <c r="HQ30" s="1613"/>
      <c r="HR30" s="1613"/>
      <c r="HS30" s="1613"/>
      <c r="HT30" s="1613"/>
      <c r="HU30" s="1613"/>
      <c r="HV30" s="1613"/>
      <c r="HW30" s="1613"/>
      <c r="HX30" s="1613"/>
      <c r="HY30" s="1619"/>
      <c r="HZ30" s="1619"/>
      <c r="IA30" s="1619"/>
      <c r="IB30" s="1619"/>
      <c r="IC30" s="1619"/>
      <c r="ID30" s="1618"/>
      <c r="IE30" s="1612"/>
      <c r="IF30" s="1613"/>
      <c r="IG30" s="1614"/>
      <c r="IH30" s="1615"/>
      <c r="II30" s="1613"/>
      <c r="IJ30" s="1614"/>
      <c r="IK30" s="1615"/>
      <c r="IL30" s="1613"/>
      <c r="IM30" s="1613"/>
      <c r="IN30" s="1613"/>
      <c r="IO30" s="1613"/>
      <c r="IP30" s="1613"/>
      <c r="IQ30" s="1613"/>
      <c r="IR30" s="1613"/>
      <c r="IS30" s="1614"/>
      <c r="IT30" s="1615"/>
      <c r="IU30" s="1613"/>
      <c r="IV30" s="1613"/>
      <c r="IW30" s="1614"/>
      <c r="IX30" s="1615"/>
      <c r="IY30" s="1613"/>
      <c r="IZ30" s="1613"/>
      <c r="JA30" s="1614"/>
      <c r="JB30" s="1615"/>
      <c r="JC30" s="1613"/>
      <c r="JD30" s="1613"/>
      <c r="JE30" s="1614"/>
      <c r="JF30" s="1615"/>
      <c r="JG30" s="1613"/>
      <c r="JH30" s="1613"/>
      <c r="JI30" s="1613"/>
      <c r="JJ30" s="1619"/>
      <c r="JK30" s="1613"/>
      <c r="JL30" s="1521">
        <f t="shared" ca="1" si="43"/>
        <v>0</v>
      </c>
      <c r="JM30" s="1493"/>
    </row>
    <row r="31" spans="1:274" s="183" customFormat="1" ht="12.6" customHeight="1" x14ac:dyDescent="0.25">
      <c r="A31" s="1861" t="str">
        <f t="shared" si="71"/>
        <v/>
      </c>
      <c r="B31" s="1862" t="str">
        <f t="shared" si="72"/>
        <v/>
      </c>
      <c r="C31" s="1863" t="str">
        <f t="shared" si="73"/>
        <v/>
      </c>
      <c r="D31" s="1864" t="str">
        <f t="shared" si="74"/>
        <v/>
      </c>
      <c r="E31" s="1865" t="str">
        <f t="shared" si="75"/>
        <v/>
      </c>
      <c r="F31" s="1866" t="str">
        <f t="shared" si="76"/>
        <v/>
      </c>
      <c r="G31" s="1867" t="str">
        <f t="shared" si="77"/>
        <v/>
      </c>
      <c r="H31" s="1868" t="str">
        <f t="shared" si="78"/>
        <v/>
      </c>
      <c r="I31" s="1869" t="str">
        <f t="shared" si="79"/>
        <v/>
      </c>
      <c r="J31" s="1864" t="str">
        <f t="shared" si="80"/>
        <v/>
      </c>
      <c r="K31" s="1868" t="str">
        <f t="shared" si="81"/>
        <v/>
      </c>
      <c r="L31" s="1870" t="str">
        <f t="shared" si="82"/>
        <v/>
      </c>
      <c r="M31" s="1871" t="str">
        <f t="shared" si="83"/>
        <v/>
      </c>
      <c r="N31" s="1872" t="str">
        <f t="shared" si="84"/>
        <v/>
      </c>
      <c r="O31" s="1867" t="str">
        <f t="shared" si="85"/>
        <v/>
      </c>
      <c r="P31" s="1868" t="str">
        <f t="shared" si="86"/>
        <v/>
      </c>
      <c r="Q31" s="1864" t="str">
        <f t="shared" si="87"/>
        <v/>
      </c>
      <c r="R31" s="1865" t="str">
        <f t="shared" si="88"/>
        <v/>
      </c>
      <c r="S31" s="1873" t="str">
        <f t="shared" si="89"/>
        <v/>
      </c>
      <c r="T31" s="1868" t="str">
        <f t="shared" si="90"/>
        <v/>
      </c>
      <c r="U31" s="1864" t="str">
        <f t="shared" si="91"/>
        <v/>
      </c>
      <c r="V31" s="1868" t="str">
        <f t="shared" si="92"/>
        <v/>
      </c>
      <c r="W31" s="1872">
        <f t="shared" si="93"/>
        <v>0</v>
      </c>
      <c r="X31" s="1874" t="str">
        <f t="shared" si="94"/>
        <v/>
      </c>
      <c r="Y31" s="1875" t="str">
        <f t="shared" si="95"/>
        <v/>
      </c>
      <c r="Z31" s="1941"/>
      <c r="AA31" s="1876" t="str">
        <f t="shared" si="96"/>
        <v/>
      </c>
      <c r="AB31" s="1471" t="str">
        <f t="shared" si="70"/>
        <v/>
      </c>
      <c r="AC31" s="1908" t="str">
        <f t="shared" si="53"/>
        <v/>
      </c>
      <c r="AD31" s="1909" t="str">
        <f t="shared" ca="1" si="44"/>
        <v/>
      </c>
      <c r="AE31" s="1910" t="str">
        <f t="shared" ca="1" si="45"/>
        <v/>
      </c>
      <c r="AF31" s="1908" t="str">
        <f t="shared" ca="1" si="46"/>
        <v/>
      </c>
      <c r="AG31" s="1909" t="str">
        <f t="shared" ca="1" si="47"/>
        <v/>
      </c>
      <c r="AH31" s="1910" t="str">
        <f t="shared" ca="1" si="48"/>
        <v/>
      </c>
      <c r="AI31" s="1909" t="str">
        <f t="shared" ca="1" si="49"/>
        <v/>
      </c>
      <c r="AJ31" s="1910" t="str">
        <f t="shared" ca="1" si="50"/>
        <v/>
      </c>
      <c r="AK31" s="1911" t="str">
        <f t="shared" si="54"/>
        <v/>
      </c>
      <c r="AL31" s="1912" t="str">
        <f t="shared" si="55"/>
        <v/>
      </c>
      <c r="AM31" s="1913" t="str">
        <f t="shared" si="56"/>
        <v/>
      </c>
      <c r="AN31" s="1908" t="str">
        <f t="shared" si="57"/>
        <v/>
      </c>
      <c r="AO31" s="1914" t="str">
        <f t="shared" si="58"/>
        <v/>
      </c>
      <c r="AP31" s="1915" t="str">
        <f t="shared" si="4"/>
        <v/>
      </c>
      <c r="AQ31" s="1916" t="str">
        <f t="shared" si="5"/>
        <v/>
      </c>
      <c r="AR31" s="1917" t="str">
        <f t="shared" si="6"/>
        <v/>
      </c>
      <c r="AS31" s="1910" t="str">
        <f t="shared" si="7"/>
        <v/>
      </c>
      <c r="AT31" s="1918" t="str">
        <f t="shared" si="59"/>
        <v/>
      </c>
      <c r="AU31" s="1919" t="str">
        <f t="shared" si="60"/>
        <v/>
      </c>
      <c r="AV31" s="1920" t="str">
        <f t="shared" si="8"/>
        <v/>
      </c>
      <c r="AW31" s="1910" t="str">
        <f t="shared" si="9"/>
        <v/>
      </c>
      <c r="AX31" s="1918" t="str">
        <f t="shared" si="61"/>
        <v/>
      </c>
      <c r="AY31" s="1919" t="str">
        <f t="shared" si="62"/>
        <v/>
      </c>
      <c r="AZ31" s="1920" t="str">
        <f t="shared" si="10"/>
        <v/>
      </c>
      <c r="BA31" s="1910" t="str">
        <f t="shared" si="11"/>
        <v/>
      </c>
      <c r="BB31" s="1918" t="str">
        <f t="shared" si="63"/>
        <v/>
      </c>
      <c r="BC31" s="1919" t="str">
        <f t="shared" si="64"/>
        <v/>
      </c>
      <c r="BD31" s="1920" t="str">
        <f t="shared" si="12"/>
        <v/>
      </c>
      <c r="BE31" s="1910" t="str">
        <f t="shared" si="13"/>
        <v/>
      </c>
      <c r="BF31" s="1918" t="str">
        <f t="shared" si="65"/>
        <v/>
      </c>
      <c r="BG31" s="1919" t="str">
        <f t="shared" si="66"/>
        <v/>
      </c>
      <c r="BH31" s="323"/>
      <c r="BJ31" s="1258" t="str">
        <f t="shared" si="124"/>
        <v/>
      </c>
      <c r="BK31" s="1256" t="b">
        <f t="shared" ref="BK31:BK45" si="125">IF($BK$1,IF(BJ31=BJ30,BK30,IF(AND(BJ31&lt;&gt;"",OR(B31=0,B31="")),TRUE,FALSE)),FALSE)</f>
        <v>0</v>
      </c>
      <c r="BL31" s="1251" t="b">
        <v>0</v>
      </c>
      <c r="BM31" s="1251">
        <f t="shared" si="113"/>
        <v>0</v>
      </c>
      <c r="BN31" s="1251">
        <f t="shared" si="114"/>
        <v>0</v>
      </c>
      <c r="BO31" s="1251">
        <f t="shared" si="115"/>
        <v>0</v>
      </c>
      <c r="BP31" s="1251">
        <f t="shared" si="116"/>
        <v>0</v>
      </c>
      <c r="BQ31" s="1251">
        <f t="shared" si="117"/>
        <v>0</v>
      </c>
      <c r="BR31" s="1251" t="b">
        <f t="shared" si="118"/>
        <v>1</v>
      </c>
      <c r="BS31" s="1252">
        <f t="shared" si="119"/>
        <v>6</v>
      </c>
      <c r="BT31" s="1252" t="str">
        <f t="shared" si="120"/>
        <v>No</v>
      </c>
      <c r="BU31" s="1252">
        <f t="shared" si="121"/>
        <v>6</v>
      </c>
      <c r="BV31" s="1252" t="str">
        <f t="shared" si="122"/>
        <v>No</v>
      </c>
      <c r="BW31" s="1253">
        <f t="shared" ca="1" si="33"/>
        <v>0</v>
      </c>
      <c r="BX31" s="1254" t="str">
        <f t="shared" ca="1" si="40"/>
        <v/>
      </c>
      <c r="BY31" s="1254" t="b">
        <f t="shared" ca="1" si="34"/>
        <v>0</v>
      </c>
      <c r="BZ31" s="1255" t="b">
        <f t="shared" si="41"/>
        <v>0</v>
      </c>
      <c r="CB31" s="842"/>
      <c r="CC31" s="894"/>
      <c r="CD31" s="883"/>
      <c r="CE31" s="884"/>
      <c r="CF31" s="885"/>
      <c r="CG31" s="901"/>
      <c r="CH31" s="902"/>
      <c r="CI31" s="903"/>
      <c r="CJ31" s="902"/>
      <c r="CK31" s="903"/>
      <c r="CL31" s="904"/>
      <c r="CM31" s="944"/>
      <c r="CN31" s="901"/>
      <c r="CO31" s="902"/>
      <c r="CP31" s="903"/>
      <c r="CQ31" s="902"/>
      <c r="CR31" s="903"/>
      <c r="CS31" s="904"/>
      <c r="CT31" s="944"/>
      <c r="CU31" s="906"/>
      <c r="CV31" s="886"/>
      <c r="CW31" s="887"/>
      <c r="CX31" s="915"/>
      <c r="CY31" s="916"/>
      <c r="CZ31" s="932"/>
      <c r="DA31" s="933"/>
      <c r="DB31" s="932"/>
      <c r="DC31" s="933"/>
      <c r="DD31" s="1149"/>
      <c r="DE31" s="1150"/>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44" t="str">
        <f t="shared" si="100"/>
        <v/>
      </c>
      <c r="EP31" s="1168" t="str">
        <f t="shared" ref="EP31:EP45" si="126">IF(ISBLANK(DB31),"",DB71+IF(DB31&gt;0,0,ABS(DB31)))</f>
        <v/>
      </c>
      <c r="EQ31" s="1169" t="str">
        <f t="shared" ref="EQ31:EQ45" si="127">IF(ISBLANK(DC31),"",DH71+IF(DC31&gt;0,0,ABS(DC31)))</f>
        <v/>
      </c>
      <c r="ER31" s="961" t="str">
        <f t="shared" si="101"/>
        <v/>
      </c>
      <c r="ES31" s="962" t="str">
        <f t="shared" si="102"/>
        <v/>
      </c>
      <c r="ET31" s="963" t="str">
        <f t="shared" si="103"/>
        <v/>
      </c>
      <c r="EU31" s="964" t="str">
        <f t="shared" si="104"/>
        <v/>
      </c>
      <c r="EX31" s="1194" t="str">
        <f t="shared" ca="1" si="35"/>
        <v/>
      </c>
      <c r="EY31" s="1196" t="str">
        <f t="shared" si="14"/>
        <v/>
      </c>
      <c r="EZ31" s="1196" t="str">
        <f t="shared" si="36"/>
        <v/>
      </c>
      <c r="FA31" s="1217" t="str">
        <f t="shared" ca="1" si="42"/>
        <v/>
      </c>
      <c r="FB31" s="1218" t="str">
        <f t="shared" ca="1" si="37"/>
        <v/>
      </c>
      <c r="FC31" s="1218">
        <f t="shared" ca="1" si="15"/>
        <v>0</v>
      </c>
      <c r="FD31" s="1218">
        <f t="shared" ca="1" si="16"/>
        <v>0</v>
      </c>
      <c r="FE31" s="1218">
        <f t="shared" ca="1" si="17"/>
        <v>0</v>
      </c>
      <c r="FF31" s="1218">
        <f t="shared" ca="1" si="38"/>
        <v>0</v>
      </c>
      <c r="FN31" s="1256" t="b">
        <v>0</v>
      </c>
      <c r="FO31" s="970" t="b">
        <f t="shared" si="123"/>
        <v>1</v>
      </c>
      <c r="FP31" s="969" t="b">
        <v>0</v>
      </c>
      <c r="FQ31" s="970" t="b">
        <f t="shared" si="39"/>
        <v>1</v>
      </c>
      <c r="FX31" s="236"/>
      <c r="FZ31" s="2"/>
      <c r="GA31" s="1935" t="str">
        <f t="shared" si="105"/>
        <v/>
      </c>
      <c r="GB31" s="1936" t="str">
        <f t="shared" si="106"/>
        <v/>
      </c>
      <c r="GC31" s="1937" t="str">
        <f t="shared" si="107"/>
        <v/>
      </c>
      <c r="GD31" s="1938" t="str">
        <f t="shared" si="108"/>
        <v/>
      </c>
      <c r="GE31" s="1939" t="str">
        <f t="shared" si="109"/>
        <v/>
      </c>
      <c r="GF31" s="1940" t="str">
        <f t="shared" si="110"/>
        <v/>
      </c>
      <c r="GG31" s="1457"/>
      <c r="GH31" s="1459"/>
      <c r="GI31" s="1457"/>
      <c r="GJ31" s="1459"/>
      <c r="GK31" s="326">
        <f t="shared" si="111"/>
        <v>0</v>
      </c>
      <c r="GL31" s="326" t="e">
        <f t="shared" si="112"/>
        <v>#VALUE!</v>
      </c>
      <c r="GM31" s="327" t="e">
        <f>IF(ABS(GK31-GL31)&gt;='Job Info.'!$L$22,ABS(GK31-GL31),0)</f>
        <v>#VALUE!</v>
      </c>
      <c r="GZ31" s="161"/>
      <c r="HA31" s="1612"/>
      <c r="HB31" s="1613"/>
      <c r="HC31" s="1613"/>
      <c r="HD31" s="1614"/>
      <c r="HE31" s="1615"/>
      <c r="HF31" s="1613"/>
      <c r="HG31" s="1613"/>
      <c r="HH31" s="1613"/>
      <c r="HI31" s="1613"/>
      <c r="HJ31" s="1613"/>
      <c r="HK31" s="1613"/>
      <c r="HL31" s="1613"/>
      <c r="HM31" s="1613"/>
      <c r="HN31" s="1613"/>
      <c r="HO31" s="1613"/>
      <c r="HP31" s="1613"/>
      <c r="HQ31" s="1613"/>
      <c r="HR31" s="1613"/>
      <c r="HS31" s="1613"/>
      <c r="HT31" s="1613"/>
      <c r="HU31" s="1613"/>
      <c r="HV31" s="1613"/>
      <c r="HW31" s="1613"/>
      <c r="HX31" s="1613"/>
      <c r="HY31" s="1619"/>
      <c r="HZ31" s="1619"/>
      <c r="IA31" s="1619"/>
      <c r="IB31" s="1619"/>
      <c r="IC31" s="1619"/>
      <c r="ID31" s="1618"/>
      <c r="IE31" s="1612"/>
      <c r="IF31" s="1613"/>
      <c r="IG31" s="1614"/>
      <c r="IH31" s="1615"/>
      <c r="II31" s="1613"/>
      <c r="IJ31" s="1614"/>
      <c r="IK31" s="1615"/>
      <c r="IL31" s="1613"/>
      <c r="IM31" s="1613"/>
      <c r="IN31" s="1613"/>
      <c r="IO31" s="1613"/>
      <c r="IP31" s="1613"/>
      <c r="IQ31" s="1613"/>
      <c r="IR31" s="1613"/>
      <c r="IS31" s="1614"/>
      <c r="IT31" s="1615"/>
      <c r="IU31" s="1613"/>
      <c r="IV31" s="1613"/>
      <c r="IW31" s="1614"/>
      <c r="IX31" s="1615"/>
      <c r="IY31" s="1613"/>
      <c r="IZ31" s="1613"/>
      <c r="JA31" s="1614"/>
      <c r="JB31" s="1615"/>
      <c r="JC31" s="1613"/>
      <c r="JD31" s="1613"/>
      <c r="JE31" s="1614"/>
      <c r="JF31" s="1615"/>
      <c r="JG31" s="1613"/>
      <c r="JH31" s="1613"/>
      <c r="JI31" s="1613"/>
      <c r="JJ31" s="1619"/>
      <c r="JK31" s="1613"/>
      <c r="JL31" s="1521">
        <f t="shared" ca="1" si="43"/>
        <v>0</v>
      </c>
      <c r="JM31" s="1493"/>
    </row>
    <row r="32" spans="1:274" ht="12.6" customHeight="1" x14ac:dyDescent="0.25">
      <c r="A32" s="1861" t="str">
        <f t="shared" si="71"/>
        <v/>
      </c>
      <c r="B32" s="1862" t="str">
        <f t="shared" si="72"/>
        <v/>
      </c>
      <c r="C32" s="1863" t="str">
        <f t="shared" si="73"/>
        <v/>
      </c>
      <c r="D32" s="1864" t="str">
        <f t="shared" si="74"/>
        <v/>
      </c>
      <c r="E32" s="1865" t="str">
        <f t="shared" si="75"/>
        <v/>
      </c>
      <c r="F32" s="1866" t="str">
        <f t="shared" si="76"/>
        <v/>
      </c>
      <c r="G32" s="1867" t="str">
        <f t="shared" si="77"/>
        <v/>
      </c>
      <c r="H32" s="1868" t="str">
        <f t="shared" si="78"/>
        <v/>
      </c>
      <c r="I32" s="1869" t="str">
        <f t="shared" si="79"/>
        <v/>
      </c>
      <c r="J32" s="1864" t="str">
        <f t="shared" si="80"/>
        <v/>
      </c>
      <c r="K32" s="1868" t="str">
        <f t="shared" si="81"/>
        <v/>
      </c>
      <c r="L32" s="1870" t="str">
        <f t="shared" si="82"/>
        <v/>
      </c>
      <c r="M32" s="1871" t="str">
        <f t="shared" si="83"/>
        <v/>
      </c>
      <c r="N32" s="1872" t="str">
        <f t="shared" si="84"/>
        <v/>
      </c>
      <c r="O32" s="1867" t="str">
        <f t="shared" si="85"/>
        <v/>
      </c>
      <c r="P32" s="1868" t="str">
        <f t="shared" si="86"/>
        <v/>
      </c>
      <c r="Q32" s="1864" t="str">
        <f t="shared" si="87"/>
        <v/>
      </c>
      <c r="R32" s="1865" t="str">
        <f t="shared" si="88"/>
        <v/>
      </c>
      <c r="S32" s="1873" t="str">
        <f t="shared" si="89"/>
        <v/>
      </c>
      <c r="T32" s="1868" t="str">
        <f t="shared" si="90"/>
        <v/>
      </c>
      <c r="U32" s="1864" t="str">
        <f t="shared" si="91"/>
        <v/>
      </c>
      <c r="V32" s="1868" t="str">
        <f t="shared" si="92"/>
        <v/>
      </c>
      <c r="W32" s="1872">
        <f t="shared" si="93"/>
        <v>0</v>
      </c>
      <c r="X32" s="1874" t="str">
        <f t="shared" si="94"/>
        <v/>
      </c>
      <c r="Y32" s="1875" t="str">
        <f t="shared" si="95"/>
        <v/>
      </c>
      <c r="Z32" s="1941"/>
      <c r="AA32" s="1876" t="str">
        <f t="shared" si="96"/>
        <v/>
      </c>
      <c r="AB32" s="1471" t="str">
        <f t="shared" si="70"/>
        <v/>
      </c>
      <c r="AC32" s="1908" t="str">
        <f t="shared" si="53"/>
        <v/>
      </c>
      <c r="AD32" s="1909" t="str">
        <f t="shared" ca="1" si="44"/>
        <v/>
      </c>
      <c r="AE32" s="1910" t="str">
        <f t="shared" ca="1" si="45"/>
        <v/>
      </c>
      <c r="AF32" s="1908" t="str">
        <f t="shared" ca="1" si="46"/>
        <v/>
      </c>
      <c r="AG32" s="1909" t="str">
        <f t="shared" ca="1" si="47"/>
        <v/>
      </c>
      <c r="AH32" s="1910" t="str">
        <f t="shared" ca="1" si="48"/>
        <v/>
      </c>
      <c r="AI32" s="1909" t="str">
        <f t="shared" ca="1" si="49"/>
        <v/>
      </c>
      <c r="AJ32" s="1910" t="str">
        <f t="shared" ca="1" si="50"/>
        <v/>
      </c>
      <c r="AK32" s="1911" t="str">
        <f t="shared" si="54"/>
        <v/>
      </c>
      <c r="AL32" s="1912" t="str">
        <f t="shared" si="55"/>
        <v/>
      </c>
      <c r="AM32" s="1913" t="str">
        <f t="shared" si="56"/>
        <v/>
      </c>
      <c r="AN32" s="1908" t="str">
        <f t="shared" si="57"/>
        <v/>
      </c>
      <c r="AO32" s="1914" t="str">
        <f t="shared" si="58"/>
        <v/>
      </c>
      <c r="AP32" s="1915" t="str">
        <f t="shared" si="4"/>
        <v/>
      </c>
      <c r="AQ32" s="1916" t="str">
        <f t="shared" si="5"/>
        <v/>
      </c>
      <c r="AR32" s="1917" t="str">
        <f t="shared" si="6"/>
        <v/>
      </c>
      <c r="AS32" s="1910" t="str">
        <f t="shared" si="7"/>
        <v/>
      </c>
      <c r="AT32" s="1918" t="str">
        <f t="shared" si="59"/>
        <v/>
      </c>
      <c r="AU32" s="1919" t="str">
        <f t="shared" si="60"/>
        <v/>
      </c>
      <c r="AV32" s="1920" t="str">
        <f t="shared" si="8"/>
        <v/>
      </c>
      <c r="AW32" s="1910" t="str">
        <f t="shared" si="9"/>
        <v/>
      </c>
      <c r="AX32" s="1918" t="str">
        <f t="shared" si="61"/>
        <v/>
      </c>
      <c r="AY32" s="1919" t="str">
        <f t="shared" si="62"/>
        <v/>
      </c>
      <c r="AZ32" s="1920" t="str">
        <f t="shared" si="10"/>
        <v/>
      </c>
      <c r="BA32" s="1910" t="str">
        <f t="shared" si="11"/>
        <v/>
      </c>
      <c r="BB32" s="1918" t="str">
        <f t="shared" si="63"/>
        <v/>
      </c>
      <c r="BC32" s="1919" t="str">
        <f t="shared" si="64"/>
        <v/>
      </c>
      <c r="BD32" s="1920" t="str">
        <f t="shared" si="12"/>
        <v/>
      </c>
      <c r="BE32" s="1910" t="str">
        <f t="shared" si="13"/>
        <v/>
      </c>
      <c r="BF32" s="1918" t="str">
        <f t="shared" si="65"/>
        <v/>
      </c>
      <c r="BG32" s="1919" t="str">
        <f t="shared" si="66"/>
        <v/>
      </c>
      <c r="BH32" s="322"/>
      <c r="BJ32" s="1258" t="str">
        <f t="shared" si="124"/>
        <v/>
      </c>
      <c r="BK32" s="1256" t="b">
        <f t="shared" si="125"/>
        <v>0</v>
      </c>
      <c r="BL32" s="1251" t="b">
        <v>0</v>
      </c>
      <c r="BM32" s="1251">
        <f t="shared" si="113"/>
        <v>0</v>
      </c>
      <c r="BN32" s="1251">
        <f t="shared" si="114"/>
        <v>0</v>
      </c>
      <c r="BO32" s="1251">
        <f t="shared" si="115"/>
        <v>0</v>
      </c>
      <c r="BP32" s="1251">
        <f t="shared" si="116"/>
        <v>0</v>
      </c>
      <c r="BQ32" s="1251">
        <f t="shared" si="117"/>
        <v>0</v>
      </c>
      <c r="BR32" s="1251" t="b">
        <f t="shared" si="118"/>
        <v>1</v>
      </c>
      <c r="BS32" s="1252">
        <f t="shared" si="119"/>
        <v>6</v>
      </c>
      <c r="BT32" s="1252" t="str">
        <f t="shared" si="120"/>
        <v>No</v>
      </c>
      <c r="BU32" s="1252">
        <f t="shared" si="121"/>
        <v>6</v>
      </c>
      <c r="BV32" s="1252" t="str">
        <f t="shared" si="122"/>
        <v>No</v>
      </c>
      <c r="BW32" s="1253">
        <f t="shared" ca="1" si="33"/>
        <v>0</v>
      </c>
      <c r="BX32" s="1254" t="str">
        <f t="shared" ca="1" si="40"/>
        <v/>
      </c>
      <c r="BY32" s="1254" t="b">
        <f t="shared" ca="1" si="34"/>
        <v>0</v>
      </c>
      <c r="BZ32" s="1255"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2"/>
      <c r="DA32" s="933"/>
      <c r="DB32" s="932"/>
      <c r="DC32" s="933"/>
      <c r="DD32" s="1149"/>
      <c r="DE32" s="1150"/>
      <c r="DF32" s="173"/>
      <c r="DG32" s="173"/>
      <c r="DH32" s="949"/>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44" t="str">
        <f t="shared" si="100"/>
        <v/>
      </c>
      <c r="EP32" s="1166" t="str">
        <f t="shared" si="126"/>
        <v/>
      </c>
      <c r="EQ32" s="1167" t="str">
        <f t="shared" si="127"/>
        <v/>
      </c>
      <c r="ER32" s="961" t="str">
        <f t="shared" si="101"/>
        <v/>
      </c>
      <c r="ES32" s="962" t="str">
        <f t="shared" si="102"/>
        <v/>
      </c>
      <c r="ET32" s="963" t="str">
        <f t="shared" si="103"/>
        <v/>
      </c>
      <c r="EU32" s="964" t="str">
        <f t="shared" si="104"/>
        <v/>
      </c>
      <c r="EX32" s="1194" t="str">
        <f t="shared" ca="1" si="35"/>
        <v/>
      </c>
      <c r="EY32" s="1196" t="str">
        <f t="shared" si="14"/>
        <v/>
      </c>
      <c r="EZ32" s="1196" t="str">
        <f t="shared" si="36"/>
        <v/>
      </c>
      <c r="FA32" s="1217" t="str">
        <f t="shared" ca="1" si="42"/>
        <v/>
      </c>
      <c r="FB32" s="1218" t="str">
        <f t="shared" ca="1" si="37"/>
        <v/>
      </c>
      <c r="FC32" s="1218">
        <f t="shared" ca="1" si="15"/>
        <v>0</v>
      </c>
      <c r="FD32" s="1218">
        <f t="shared" ca="1" si="16"/>
        <v>0</v>
      </c>
      <c r="FE32" s="1218">
        <f t="shared" ca="1" si="17"/>
        <v>0</v>
      </c>
      <c r="FF32" s="1218">
        <f t="shared" ca="1" si="38"/>
        <v>0</v>
      </c>
      <c r="FN32" s="1256" t="b">
        <v>0</v>
      </c>
      <c r="FO32" s="969" t="b">
        <f t="shared" si="123"/>
        <v>1</v>
      </c>
      <c r="FP32" s="969" t="b">
        <v>0</v>
      </c>
      <c r="FQ32" s="969" t="b">
        <f t="shared" si="39"/>
        <v>1</v>
      </c>
      <c r="FX32" s="236"/>
      <c r="FZ32" s="2"/>
      <c r="GA32" s="1935" t="str">
        <f t="shared" si="105"/>
        <v/>
      </c>
      <c r="GB32" s="1936" t="str">
        <f t="shared" si="106"/>
        <v/>
      </c>
      <c r="GC32" s="1937" t="str">
        <f t="shared" si="107"/>
        <v/>
      </c>
      <c r="GD32" s="1938" t="str">
        <f t="shared" si="108"/>
        <v/>
      </c>
      <c r="GE32" s="1939" t="str">
        <f t="shared" si="109"/>
        <v/>
      </c>
      <c r="GF32" s="1940" t="str">
        <f t="shared" si="110"/>
        <v/>
      </c>
      <c r="GG32" s="1457"/>
      <c r="GH32" s="1459"/>
      <c r="GI32" s="1457"/>
      <c r="GJ32" s="1459"/>
      <c r="GK32" s="326">
        <f t="shared" si="111"/>
        <v>0</v>
      </c>
      <c r="GL32" s="326" t="e">
        <f t="shared" si="112"/>
        <v>#VALUE!</v>
      </c>
      <c r="GM32" s="327" t="e">
        <f>IF(ABS(GK32-GL32)&gt;='Job Info.'!$L$22,ABS(GK32-GL32),0)</f>
        <v>#VALUE!</v>
      </c>
      <c r="HA32" s="1612"/>
      <c r="HB32" s="1613"/>
      <c r="HC32" s="1613"/>
      <c r="HD32" s="1614"/>
      <c r="HE32" s="1615"/>
      <c r="HF32" s="1613"/>
      <c r="HG32" s="1613"/>
      <c r="HH32" s="1613"/>
      <c r="HI32" s="1613"/>
      <c r="HJ32" s="1613"/>
      <c r="HK32" s="1613"/>
      <c r="HL32" s="1613"/>
      <c r="HM32" s="1613"/>
      <c r="HN32" s="1613"/>
      <c r="HO32" s="1613"/>
      <c r="HP32" s="1613"/>
      <c r="HQ32" s="1613"/>
      <c r="HR32" s="1613"/>
      <c r="HS32" s="1613"/>
      <c r="HT32" s="1613"/>
      <c r="HU32" s="1613"/>
      <c r="HV32" s="1613"/>
      <c r="HW32" s="1613"/>
      <c r="HX32" s="1613"/>
      <c r="HY32" s="1617"/>
      <c r="HZ32" s="1617"/>
      <c r="IA32" s="1617"/>
      <c r="IB32" s="1617"/>
      <c r="IC32" s="1617"/>
      <c r="ID32" s="1618"/>
      <c r="IE32" s="1612"/>
      <c r="IF32" s="1613"/>
      <c r="IG32" s="1614"/>
      <c r="IH32" s="1615"/>
      <c r="II32" s="1613"/>
      <c r="IJ32" s="1614"/>
      <c r="IK32" s="1615"/>
      <c r="IL32" s="1613"/>
      <c r="IM32" s="1613"/>
      <c r="IN32" s="1613"/>
      <c r="IO32" s="1613"/>
      <c r="IP32" s="1613"/>
      <c r="IQ32" s="1613"/>
      <c r="IR32" s="1613"/>
      <c r="IS32" s="1614"/>
      <c r="IT32" s="1615"/>
      <c r="IU32" s="1613"/>
      <c r="IV32" s="1613"/>
      <c r="IW32" s="1614"/>
      <c r="IX32" s="1615"/>
      <c r="IY32" s="1613"/>
      <c r="IZ32" s="1613"/>
      <c r="JA32" s="1614"/>
      <c r="JB32" s="1615"/>
      <c r="JC32" s="1613"/>
      <c r="JD32" s="1613"/>
      <c r="JE32" s="1614"/>
      <c r="JF32" s="1615"/>
      <c r="JG32" s="1613"/>
      <c r="JH32" s="1613"/>
      <c r="JI32" s="1613"/>
      <c r="JJ32" s="1616"/>
      <c r="JK32" s="1613"/>
      <c r="JL32" s="1521">
        <f t="shared" ca="1" si="43"/>
        <v>0</v>
      </c>
      <c r="JM32" s="171"/>
    </row>
    <row r="33" spans="1:273" ht="12.6" customHeight="1" x14ac:dyDescent="0.25">
      <c r="A33" s="1861" t="str">
        <f t="shared" si="71"/>
        <v/>
      </c>
      <c r="B33" s="1862" t="str">
        <f t="shared" si="72"/>
        <v/>
      </c>
      <c r="C33" s="1863" t="str">
        <f t="shared" si="73"/>
        <v/>
      </c>
      <c r="D33" s="1864" t="str">
        <f t="shared" si="74"/>
        <v/>
      </c>
      <c r="E33" s="1865" t="str">
        <f t="shared" si="75"/>
        <v/>
      </c>
      <c r="F33" s="1866" t="str">
        <f t="shared" si="76"/>
        <v/>
      </c>
      <c r="G33" s="1867" t="str">
        <f t="shared" si="77"/>
        <v/>
      </c>
      <c r="H33" s="1868" t="str">
        <f t="shared" si="78"/>
        <v/>
      </c>
      <c r="I33" s="1869" t="str">
        <f t="shared" si="79"/>
        <v/>
      </c>
      <c r="J33" s="1864" t="str">
        <f t="shared" si="80"/>
        <v/>
      </c>
      <c r="K33" s="1868" t="str">
        <f t="shared" si="81"/>
        <v/>
      </c>
      <c r="L33" s="1870" t="str">
        <f t="shared" si="82"/>
        <v/>
      </c>
      <c r="M33" s="1871" t="str">
        <f t="shared" si="83"/>
        <v/>
      </c>
      <c r="N33" s="1872" t="str">
        <f t="shared" si="84"/>
        <v/>
      </c>
      <c r="O33" s="1867" t="str">
        <f t="shared" si="85"/>
        <v/>
      </c>
      <c r="P33" s="1868" t="str">
        <f t="shared" si="86"/>
        <v/>
      </c>
      <c r="Q33" s="1864" t="str">
        <f t="shared" si="87"/>
        <v/>
      </c>
      <c r="R33" s="1865" t="str">
        <f t="shared" si="88"/>
        <v/>
      </c>
      <c r="S33" s="1873" t="str">
        <f t="shared" si="89"/>
        <v/>
      </c>
      <c r="T33" s="1868" t="str">
        <f t="shared" si="90"/>
        <v/>
      </c>
      <c r="U33" s="1864" t="str">
        <f t="shared" si="91"/>
        <v/>
      </c>
      <c r="V33" s="1868" t="str">
        <f t="shared" si="92"/>
        <v/>
      </c>
      <c r="W33" s="1872">
        <f t="shared" si="93"/>
        <v>0</v>
      </c>
      <c r="X33" s="1874" t="str">
        <f t="shared" si="94"/>
        <v/>
      </c>
      <c r="Y33" s="1875" t="str">
        <f t="shared" si="95"/>
        <v/>
      </c>
      <c r="Z33" s="1941"/>
      <c r="AA33" s="1876" t="str">
        <f t="shared" si="96"/>
        <v/>
      </c>
      <c r="AB33" s="1471" t="str">
        <f t="shared" si="70"/>
        <v/>
      </c>
      <c r="AC33" s="1908" t="str">
        <f t="shared" si="53"/>
        <v/>
      </c>
      <c r="AD33" s="1909" t="str">
        <f t="shared" ca="1" si="44"/>
        <v/>
      </c>
      <c r="AE33" s="1910" t="str">
        <f t="shared" ca="1" si="45"/>
        <v/>
      </c>
      <c r="AF33" s="1908" t="str">
        <f t="shared" ca="1" si="46"/>
        <v/>
      </c>
      <c r="AG33" s="1909" t="str">
        <f t="shared" ca="1" si="47"/>
        <v/>
      </c>
      <c r="AH33" s="1910" t="str">
        <f t="shared" ca="1" si="48"/>
        <v/>
      </c>
      <c r="AI33" s="1909" t="str">
        <f t="shared" ca="1" si="49"/>
        <v/>
      </c>
      <c r="AJ33" s="1910" t="str">
        <f t="shared" ca="1" si="50"/>
        <v/>
      </c>
      <c r="AK33" s="1911" t="str">
        <f t="shared" si="54"/>
        <v/>
      </c>
      <c r="AL33" s="1912" t="str">
        <f t="shared" si="55"/>
        <v/>
      </c>
      <c r="AM33" s="1913" t="str">
        <f t="shared" si="56"/>
        <v/>
      </c>
      <c r="AN33" s="1908" t="str">
        <f t="shared" si="57"/>
        <v/>
      </c>
      <c r="AO33" s="1914" t="str">
        <f t="shared" si="58"/>
        <v/>
      </c>
      <c r="AP33" s="1915" t="str">
        <f t="shared" si="4"/>
        <v/>
      </c>
      <c r="AQ33" s="1916" t="str">
        <f t="shared" si="5"/>
        <v/>
      </c>
      <c r="AR33" s="1917" t="str">
        <f t="shared" si="6"/>
        <v/>
      </c>
      <c r="AS33" s="1910" t="str">
        <f t="shared" si="7"/>
        <v/>
      </c>
      <c r="AT33" s="1918" t="str">
        <f t="shared" si="59"/>
        <v/>
      </c>
      <c r="AU33" s="1919" t="str">
        <f t="shared" si="60"/>
        <v/>
      </c>
      <c r="AV33" s="1920" t="str">
        <f t="shared" si="8"/>
        <v/>
      </c>
      <c r="AW33" s="1910" t="str">
        <f t="shared" si="9"/>
        <v/>
      </c>
      <c r="AX33" s="1918" t="str">
        <f t="shared" si="61"/>
        <v/>
      </c>
      <c r="AY33" s="1919" t="str">
        <f t="shared" si="62"/>
        <v/>
      </c>
      <c r="AZ33" s="1920" t="str">
        <f t="shared" si="10"/>
        <v/>
      </c>
      <c r="BA33" s="1910" t="str">
        <f t="shared" si="11"/>
        <v/>
      </c>
      <c r="BB33" s="1918" t="str">
        <f t="shared" si="63"/>
        <v/>
      </c>
      <c r="BC33" s="1919" t="str">
        <f t="shared" si="64"/>
        <v/>
      </c>
      <c r="BD33" s="1920" t="str">
        <f t="shared" si="12"/>
        <v/>
      </c>
      <c r="BE33" s="1910" t="str">
        <f t="shared" si="13"/>
        <v/>
      </c>
      <c r="BF33" s="1918" t="str">
        <f t="shared" si="65"/>
        <v/>
      </c>
      <c r="BG33" s="1919" t="str">
        <f t="shared" si="66"/>
        <v/>
      </c>
      <c r="BH33" s="322"/>
      <c r="BJ33" s="1258" t="str">
        <f t="shared" si="124"/>
        <v/>
      </c>
      <c r="BK33" s="1256" t="b">
        <f t="shared" si="125"/>
        <v>0</v>
      </c>
      <c r="BL33" s="1251" t="b">
        <v>0</v>
      </c>
      <c r="BM33" s="1251">
        <f t="shared" si="113"/>
        <v>0</v>
      </c>
      <c r="BN33" s="1251">
        <f t="shared" si="114"/>
        <v>0</v>
      </c>
      <c r="BO33" s="1251">
        <f t="shared" si="115"/>
        <v>0</v>
      </c>
      <c r="BP33" s="1251">
        <f t="shared" si="116"/>
        <v>0</v>
      </c>
      <c r="BQ33" s="1251">
        <f t="shared" si="117"/>
        <v>0</v>
      </c>
      <c r="BR33" s="1251" t="b">
        <f t="shared" si="118"/>
        <v>1</v>
      </c>
      <c r="BS33" s="1252">
        <f t="shared" si="119"/>
        <v>6</v>
      </c>
      <c r="BT33" s="1252" t="str">
        <f t="shared" si="120"/>
        <v>No</v>
      </c>
      <c r="BU33" s="1252">
        <f t="shared" si="121"/>
        <v>6</v>
      </c>
      <c r="BV33" s="1252" t="str">
        <f t="shared" si="122"/>
        <v>No</v>
      </c>
      <c r="BW33" s="1253">
        <f t="shared" ca="1" si="33"/>
        <v>0</v>
      </c>
      <c r="BX33" s="1254" t="str">
        <f t="shared" ca="1" si="40"/>
        <v/>
      </c>
      <c r="BY33" s="1254" t="b">
        <f t="shared" ca="1" si="34"/>
        <v>0</v>
      </c>
      <c r="BZ33" s="1255" t="b">
        <f t="shared" si="41"/>
        <v>0</v>
      </c>
      <c r="CB33" s="842"/>
      <c r="CC33" s="894"/>
      <c r="CD33" s="883"/>
      <c r="CE33" s="884"/>
      <c r="CF33" s="885"/>
      <c r="CG33" s="901"/>
      <c r="CH33" s="902"/>
      <c r="CI33" s="903"/>
      <c r="CJ33" s="902"/>
      <c r="CK33" s="903"/>
      <c r="CL33" s="904"/>
      <c r="CM33" s="944"/>
      <c r="CN33" s="901"/>
      <c r="CO33" s="902"/>
      <c r="CP33" s="903"/>
      <c r="CQ33" s="902"/>
      <c r="CR33" s="903"/>
      <c r="CS33" s="904"/>
      <c r="CT33" s="944"/>
      <c r="CU33" s="906"/>
      <c r="CV33" s="886"/>
      <c r="CW33" s="887"/>
      <c r="CX33" s="915"/>
      <c r="CY33" s="916"/>
      <c r="CZ33" s="932"/>
      <c r="DA33" s="933"/>
      <c r="DB33" s="932"/>
      <c r="DC33" s="933"/>
      <c r="DD33" s="1149"/>
      <c r="DE33" s="1150"/>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44" t="str">
        <f t="shared" si="100"/>
        <v/>
      </c>
      <c r="EP33" s="1166" t="str">
        <f t="shared" si="126"/>
        <v/>
      </c>
      <c r="EQ33" s="1167" t="str">
        <f t="shared" si="127"/>
        <v/>
      </c>
      <c r="ER33" s="961" t="str">
        <f t="shared" si="101"/>
        <v/>
      </c>
      <c r="ES33" s="962" t="str">
        <f t="shared" si="102"/>
        <v/>
      </c>
      <c r="ET33" s="963" t="str">
        <f t="shared" si="103"/>
        <v/>
      </c>
      <c r="EU33" s="964" t="str">
        <f t="shared" si="104"/>
        <v/>
      </c>
      <c r="EX33" s="1194" t="str">
        <f t="shared" ca="1" si="35"/>
        <v/>
      </c>
      <c r="EY33" s="1196" t="str">
        <f t="shared" si="14"/>
        <v/>
      </c>
      <c r="EZ33" s="1196" t="str">
        <f t="shared" si="36"/>
        <v/>
      </c>
      <c r="FA33" s="1217" t="str">
        <f t="shared" ca="1" si="42"/>
        <v/>
      </c>
      <c r="FB33" s="1218" t="str">
        <f t="shared" ca="1" si="37"/>
        <v/>
      </c>
      <c r="FC33" s="1218">
        <f t="shared" ca="1" si="15"/>
        <v>0</v>
      </c>
      <c r="FD33" s="1218">
        <f t="shared" ca="1" si="16"/>
        <v>0</v>
      </c>
      <c r="FE33" s="1218">
        <f t="shared" ca="1" si="17"/>
        <v>0</v>
      </c>
      <c r="FF33" s="1218">
        <f t="shared" ca="1" si="38"/>
        <v>0</v>
      </c>
      <c r="FN33" s="1256" t="b">
        <v>0</v>
      </c>
      <c r="FO33" s="969" t="b">
        <f t="shared" si="123"/>
        <v>1</v>
      </c>
      <c r="FP33" s="969" t="b">
        <v>0</v>
      </c>
      <c r="FQ33" s="969" t="b">
        <f t="shared" si="39"/>
        <v>1</v>
      </c>
      <c r="FX33" s="236"/>
      <c r="FZ33" s="2"/>
      <c r="GA33" s="1935" t="str">
        <f t="shared" si="105"/>
        <v/>
      </c>
      <c r="GB33" s="1936" t="str">
        <f t="shared" si="106"/>
        <v/>
      </c>
      <c r="GC33" s="1937" t="str">
        <f t="shared" si="107"/>
        <v/>
      </c>
      <c r="GD33" s="1938" t="str">
        <f t="shared" si="108"/>
        <v/>
      </c>
      <c r="GE33" s="1939" t="str">
        <f t="shared" si="109"/>
        <v/>
      </c>
      <c r="GF33" s="1940" t="str">
        <f t="shared" si="110"/>
        <v/>
      </c>
      <c r="GG33" s="1457"/>
      <c r="GH33" s="1459"/>
      <c r="GI33" s="1457"/>
      <c r="GJ33" s="1459"/>
      <c r="GK33" s="326">
        <f t="shared" si="111"/>
        <v>0</v>
      </c>
      <c r="GL33" s="326" t="e">
        <f t="shared" si="112"/>
        <v>#VALUE!</v>
      </c>
      <c r="GM33" s="327" t="e">
        <f>IF(ABS(GK33-GL33)&gt;='Job Info.'!$L$22,ABS(GK33-GL33),0)</f>
        <v>#VALUE!</v>
      </c>
      <c r="HA33" s="1612"/>
      <c r="HB33" s="1613"/>
      <c r="HC33" s="1613"/>
      <c r="HD33" s="1614"/>
      <c r="HE33" s="1615"/>
      <c r="HF33" s="1613"/>
      <c r="HG33" s="1613"/>
      <c r="HH33" s="1613"/>
      <c r="HI33" s="1613"/>
      <c r="HJ33" s="1613"/>
      <c r="HK33" s="1613"/>
      <c r="HL33" s="1613"/>
      <c r="HM33" s="1613"/>
      <c r="HN33" s="1613"/>
      <c r="HO33" s="1613"/>
      <c r="HP33" s="1613"/>
      <c r="HQ33" s="1613"/>
      <c r="HR33" s="1613"/>
      <c r="HS33" s="1613"/>
      <c r="HT33" s="1613"/>
      <c r="HU33" s="1613"/>
      <c r="HV33" s="1613"/>
      <c r="HW33" s="1613"/>
      <c r="HX33" s="1613"/>
      <c r="HY33" s="1617"/>
      <c r="HZ33" s="1617"/>
      <c r="IA33" s="1617"/>
      <c r="IB33" s="1617"/>
      <c r="IC33" s="1617"/>
      <c r="ID33" s="1618"/>
      <c r="IE33" s="1612"/>
      <c r="IF33" s="1613"/>
      <c r="IG33" s="1614"/>
      <c r="IH33" s="1615"/>
      <c r="II33" s="1613"/>
      <c r="IJ33" s="1614"/>
      <c r="IK33" s="1615"/>
      <c r="IL33" s="1613"/>
      <c r="IM33" s="1613"/>
      <c r="IN33" s="1613"/>
      <c r="IO33" s="1613"/>
      <c r="IP33" s="1613"/>
      <c r="IQ33" s="1613"/>
      <c r="IR33" s="1613"/>
      <c r="IS33" s="1614"/>
      <c r="IT33" s="1615"/>
      <c r="IU33" s="1613"/>
      <c r="IV33" s="1613"/>
      <c r="IW33" s="1614"/>
      <c r="IX33" s="1615"/>
      <c r="IY33" s="1613"/>
      <c r="IZ33" s="1613"/>
      <c r="JA33" s="1614"/>
      <c r="JB33" s="1615"/>
      <c r="JC33" s="1613"/>
      <c r="JD33" s="1613"/>
      <c r="JE33" s="1614"/>
      <c r="JF33" s="1615"/>
      <c r="JG33" s="1613"/>
      <c r="JH33" s="1613"/>
      <c r="JI33" s="1613"/>
      <c r="JJ33" s="1616"/>
      <c r="JK33" s="1613"/>
      <c r="JL33" s="1521">
        <f t="shared" ca="1" si="43"/>
        <v>0</v>
      </c>
      <c r="JM33" s="171"/>
    </row>
    <row r="34" spans="1:273" ht="12.6" customHeight="1" x14ac:dyDescent="0.25">
      <c r="A34" s="1861" t="str">
        <f t="shared" si="71"/>
        <v/>
      </c>
      <c r="B34" s="1862" t="str">
        <f t="shared" si="72"/>
        <v/>
      </c>
      <c r="C34" s="1863" t="str">
        <f t="shared" si="73"/>
        <v/>
      </c>
      <c r="D34" s="1864" t="str">
        <f t="shared" si="74"/>
        <v/>
      </c>
      <c r="E34" s="1865" t="str">
        <f t="shared" si="75"/>
        <v/>
      </c>
      <c r="F34" s="1866" t="str">
        <f t="shared" si="76"/>
        <v/>
      </c>
      <c r="G34" s="1867" t="str">
        <f t="shared" si="77"/>
        <v/>
      </c>
      <c r="H34" s="1868" t="str">
        <f t="shared" si="78"/>
        <v/>
      </c>
      <c r="I34" s="1869" t="str">
        <f t="shared" si="79"/>
        <v/>
      </c>
      <c r="J34" s="1864" t="str">
        <f t="shared" si="80"/>
        <v/>
      </c>
      <c r="K34" s="1868" t="str">
        <f t="shared" si="81"/>
        <v/>
      </c>
      <c r="L34" s="1870" t="str">
        <f t="shared" si="82"/>
        <v/>
      </c>
      <c r="M34" s="1871" t="str">
        <f t="shared" si="83"/>
        <v/>
      </c>
      <c r="N34" s="1872" t="str">
        <f t="shared" si="84"/>
        <v/>
      </c>
      <c r="O34" s="1867" t="str">
        <f t="shared" si="85"/>
        <v/>
      </c>
      <c r="P34" s="1868" t="str">
        <f t="shared" si="86"/>
        <v/>
      </c>
      <c r="Q34" s="1864" t="str">
        <f t="shared" si="87"/>
        <v/>
      </c>
      <c r="R34" s="1865" t="str">
        <f t="shared" si="88"/>
        <v/>
      </c>
      <c r="S34" s="1873" t="str">
        <f t="shared" si="89"/>
        <v/>
      </c>
      <c r="T34" s="1868" t="str">
        <f t="shared" si="90"/>
        <v/>
      </c>
      <c r="U34" s="1864" t="str">
        <f t="shared" si="91"/>
        <v/>
      </c>
      <c r="V34" s="1868" t="str">
        <f t="shared" si="92"/>
        <v/>
      </c>
      <c r="W34" s="1872">
        <f t="shared" si="93"/>
        <v>0</v>
      </c>
      <c r="X34" s="1874" t="str">
        <f t="shared" si="94"/>
        <v/>
      </c>
      <c r="Y34" s="1875" t="str">
        <f t="shared" si="95"/>
        <v/>
      </c>
      <c r="Z34" s="1941"/>
      <c r="AA34" s="1876" t="str">
        <f t="shared" si="96"/>
        <v/>
      </c>
      <c r="AB34" s="1471" t="str">
        <f t="shared" si="70"/>
        <v/>
      </c>
      <c r="AC34" s="1908" t="str">
        <f t="shared" si="53"/>
        <v/>
      </c>
      <c r="AD34" s="1909" t="str">
        <f t="shared" ca="1" si="44"/>
        <v/>
      </c>
      <c r="AE34" s="1910" t="str">
        <f t="shared" ca="1" si="45"/>
        <v/>
      </c>
      <c r="AF34" s="1908" t="str">
        <f t="shared" ca="1" si="46"/>
        <v/>
      </c>
      <c r="AG34" s="1909" t="str">
        <f t="shared" ca="1" si="47"/>
        <v/>
      </c>
      <c r="AH34" s="1910" t="str">
        <f t="shared" ca="1" si="48"/>
        <v/>
      </c>
      <c r="AI34" s="1909" t="str">
        <f t="shared" ca="1" si="49"/>
        <v/>
      </c>
      <c r="AJ34" s="1910" t="str">
        <f t="shared" ca="1" si="50"/>
        <v/>
      </c>
      <c r="AK34" s="1911" t="str">
        <f t="shared" si="54"/>
        <v/>
      </c>
      <c r="AL34" s="1912" t="str">
        <f t="shared" si="55"/>
        <v/>
      </c>
      <c r="AM34" s="1913" t="str">
        <f t="shared" si="56"/>
        <v/>
      </c>
      <c r="AN34" s="1908" t="str">
        <f t="shared" si="57"/>
        <v/>
      </c>
      <c r="AO34" s="1914" t="str">
        <f t="shared" si="58"/>
        <v/>
      </c>
      <c r="AP34" s="1915" t="str">
        <f t="shared" si="4"/>
        <v/>
      </c>
      <c r="AQ34" s="1916" t="str">
        <f t="shared" si="5"/>
        <v/>
      </c>
      <c r="AR34" s="1917" t="str">
        <f t="shared" si="6"/>
        <v/>
      </c>
      <c r="AS34" s="1910" t="str">
        <f t="shared" si="7"/>
        <v/>
      </c>
      <c r="AT34" s="1918" t="str">
        <f t="shared" si="59"/>
        <v/>
      </c>
      <c r="AU34" s="1919" t="str">
        <f t="shared" si="60"/>
        <v/>
      </c>
      <c r="AV34" s="1920" t="str">
        <f t="shared" si="8"/>
        <v/>
      </c>
      <c r="AW34" s="1910" t="str">
        <f t="shared" si="9"/>
        <v/>
      </c>
      <c r="AX34" s="1918" t="str">
        <f t="shared" si="61"/>
        <v/>
      </c>
      <c r="AY34" s="1919" t="str">
        <f t="shared" si="62"/>
        <v/>
      </c>
      <c r="AZ34" s="1920" t="str">
        <f t="shared" si="10"/>
        <v/>
      </c>
      <c r="BA34" s="1910" t="str">
        <f t="shared" si="11"/>
        <v/>
      </c>
      <c r="BB34" s="1918" t="str">
        <f t="shared" si="63"/>
        <v/>
      </c>
      <c r="BC34" s="1919" t="str">
        <f t="shared" si="64"/>
        <v/>
      </c>
      <c r="BD34" s="1920" t="str">
        <f t="shared" si="12"/>
        <v/>
      </c>
      <c r="BE34" s="1910" t="str">
        <f t="shared" si="13"/>
        <v/>
      </c>
      <c r="BF34" s="1918" t="str">
        <f t="shared" si="65"/>
        <v/>
      </c>
      <c r="BG34" s="1919" t="str">
        <f t="shared" si="66"/>
        <v/>
      </c>
      <c r="BH34" s="322"/>
      <c r="BJ34" s="1258" t="str">
        <f t="shared" si="124"/>
        <v/>
      </c>
      <c r="BK34" s="1256" t="b">
        <f t="shared" si="125"/>
        <v>0</v>
      </c>
      <c r="BL34" s="1251" t="b">
        <v>0</v>
      </c>
      <c r="BM34" s="1251">
        <f t="shared" si="113"/>
        <v>0</v>
      </c>
      <c r="BN34" s="1251">
        <f t="shared" si="114"/>
        <v>0</v>
      </c>
      <c r="BO34" s="1251">
        <f t="shared" si="115"/>
        <v>0</v>
      </c>
      <c r="BP34" s="1251">
        <f t="shared" si="116"/>
        <v>0</v>
      </c>
      <c r="BQ34" s="1251">
        <f t="shared" si="117"/>
        <v>0</v>
      </c>
      <c r="BR34" s="1251" t="b">
        <f t="shared" si="118"/>
        <v>1</v>
      </c>
      <c r="BS34" s="1252">
        <f t="shared" si="119"/>
        <v>6</v>
      </c>
      <c r="BT34" s="1252" t="str">
        <f t="shared" si="120"/>
        <v>No</v>
      </c>
      <c r="BU34" s="1252">
        <f t="shared" si="121"/>
        <v>6</v>
      </c>
      <c r="BV34" s="1252" t="str">
        <f t="shared" si="122"/>
        <v>No</v>
      </c>
      <c r="BW34" s="1253">
        <f t="shared" ca="1" si="33"/>
        <v>0</v>
      </c>
      <c r="BX34" s="1254" t="str">
        <f t="shared" ca="1" si="40"/>
        <v/>
      </c>
      <c r="BY34" s="1254" t="b">
        <f t="shared" ca="1" si="34"/>
        <v>0</v>
      </c>
      <c r="BZ34" s="1255" t="b">
        <f t="shared" si="41"/>
        <v>0</v>
      </c>
      <c r="CB34" s="842"/>
      <c r="CC34" s="894"/>
      <c r="CD34" s="883"/>
      <c r="CE34" s="884"/>
      <c r="CF34" s="885"/>
      <c r="CG34" s="901"/>
      <c r="CH34" s="902"/>
      <c r="CI34" s="903"/>
      <c r="CJ34" s="902"/>
      <c r="CK34" s="903"/>
      <c r="CL34" s="904"/>
      <c r="CM34" s="944"/>
      <c r="CN34" s="901"/>
      <c r="CO34" s="902"/>
      <c r="CP34" s="903"/>
      <c r="CQ34" s="902"/>
      <c r="CR34" s="903"/>
      <c r="CS34" s="904"/>
      <c r="CT34" s="944"/>
      <c r="CU34" s="906"/>
      <c r="CV34" s="886"/>
      <c r="CW34" s="887"/>
      <c r="CX34" s="915"/>
      <c r="CY34" s="916"/>
      <c r="CZ34" s="932"/>
      <c r="DA34" s="933"/>
      <c r="DB34" s="932"/>
      <c r="DC34" s="933"/>
      <c r="DD34" s="1149"/>
      <c r="DE34" s="1150"/>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44" t="str">
        <f t="shared" si="100"/>
        <v/>
      </c>
      <c r="EP34" s="1166" t="str">
        <f t="shared" si="126"/>
        <v/>
      </c>
      <c r="EQ34" s="1167" t="str">
        <f t="shared" si="127"/>
        <v/>
      </c>
      <c r="ER34" s="961" t="str">
        <f t="shared" si="101"/>
        <v/>
      </c>
      <c r="ES34" s="962" t="str">
        <f t="shared" si="102"/>
        <v/>
      </c>
      <c r="ET34" s="963" t="str">
        <f t="shared" si="103"/>
        <v/>
      </c>
      <c r="EU34" s="964" t="str">
        <f t="shared" si="104"/>
        <v/>
      </c>
      <c r="EX34" s="1194" t="str">
        <f t="shared" ca="1" si="35"/>
        <v/>
      </c>
      <c r="EY34" s="1196" t="str">
        <f t="shared" si="14"/>
        <v/>
      </c>
      <c r="EZ34" s="1196" t="str">
        <f t="shared" si="36"/>
        <v/>
      </c>
      <c r="FA34" s="1217" t="str">
        <f t="shared" ca="1" si="42"/>
        <v/>
      </c>
      <c r="FB34" s="1218" t="str">
        <f t="shared" ca="1" si="37"/>
        <v/>
      </c>
      <c r="FC34" s="1218">
        <f t="shared" ca="1" si="15"/>
        <v>0</v>
      </c>
      <c r="FD34" s="1218">
        <f t="shared" ca="1" si="16"/>
        <v>0</v>
      </c>
      <c r="FE34" s="1218">
        <f t="shared" ca="1" si="17"/>
        <v>0</v>
      </c>
      <c r="FF34" s="1218">
        <f t="shared" ca="1" si="38"/>
        <v>0</v>
      </c>
      <c r="FN34" s="1256" t="b">
        <v>0</v>
      </c>
      <c r="FO34" s="969" t="b">
        <f t="shared" si="123"/>
        <v>1</v>
      </c>
      <c r="FP34" s="969" t="b">
        <v>0</v>
      </c>
      <c r="FQ34" s="969" t="b">
        <f t="shared" si="39"/>
        <v>1</v>
      </c>
      <c r="FX34" s="236"/>
      <c r="FZ34" s="2"/>
      <c r="GA34" s="1935" t="str">
        <f t="shared" si="105"/>
        <v/>
      </c>
      <c r="GB34" s="1936" t="str">
        <f t="shared" si="106"/>
        <v/>
      </c>
      <c r="GC34" s="1937" t="str">
        <f t="shared" si="107"/>
        <v/>
      </c>
      <c r="GD34" s="1938" t="str">
        <f t="shared" si="108"/>
        <v/>
      </c>
      <c r="GE34" s="1939" t="str">
        <f t="shared" si="109"/>
        <v/>
      </c>
      <c r="GF34" s="1940" t="str">
        <f t="shared" si="110"/>
        <v/>
      </c>
      <c r="GG34" s="1457"/>
      <c r="GH34" s="1459"/>
      <c r="GI34" s="1457"/>
      <c r="GJ34" s="1459"/>
      <c r="GK34" s="326">
        <f t="shared" si="111"/>
        <v>0</v>
      </c>
      <c r="GL34" s="326" t="e">
        <f t="shared" si="112"/>
        <v>#VALUE!</v>
      </c>
      <c r="GM34" s="327" t="e">
        <f>IF(ABS(GK34-GL34)&gt;='Job Info.'!$L$22,ABS(GK34-GL34),0)</f>
        <v>#VALUE!</v>
      </c>
      <c r="HA34" s="1612"/>
      <c r="HB34" s="1613"/>
      <c r="HC34" s="1613"/>
      <c r="HD34" s="1614"/>
      <c r="HE34" s="1615"/>
      <c r="HF34" s="1613"/>
      <c r="HG34" s="1613"/>
      <c r="HH34" s="1613"/>
      <c r="HI34" s="1613"/>
      <c r="HJ34" s="1613"/>
      <c r="HK34" s="1613"/>
      <c r="HL34" s="1613"/>
      <c r="HM34" s="1613"/>
      <c r="HN34" s="1613"/>
      <c r="HO34" s="1613"/>
      <c r="HP34" s="1613"/>
      <c r="HQ34" s="1613"/>
      <c r="HR34" s="1613"/>
      <c r="HS34" s="1613"/>
      <c r="HT34" s="1613"/>
      <c r="HU34" s="1613"/>
      <c r="HV34" s="1613"/>
      <c r="HW34" s="1613"/>
      <c r="HX34" s="1613"/>
      <c r="HY34" s="1617"/>
      <c r="HZ34" s="1617"/>
      <c r="IA34" s="1617"/>
      <c r="IB34" s="1617"/>
      <c r="IC34" s="1617"/>
      <c r="ID34" s="1618"/>
      <c r="IE34" s="1612"/>
      <c r="IF34" s="1613"/>
      <c r="IG34" s="1614"/>
      <c r="IH34" s="1615"/>
      <c r="II34" s="1613"/>
      <c r="IJ34" s="1614"/>
      <c r="IK34" s="1615"/>
      <c r="IL34" s="1613"/>
      <c r="IM34" s="1613"/>
      <c r="IN34" s="1613"/>
      <c r="IO34" s="1613"/>
      <c r="IP34" s="1613"/>
      <c r="IQ34" s="1613"/>
      <c r="IR34" s="1613"/>
      <c r="IS34" s="1614"/>
      <c r="IT34" s="1615"/>
      <c r="IU34" s="1613"/>
      <c r="IV34" s="1613"/>
      <c r="IW34" s="1614"/>
      <c r="IX34" s="1615"/>
      <c r="IY34" s="1613"/>
      <c r="IZ34" s="1613"/>
      <c r="JA34" s="1614"/>
      <c r="JB34" s="1615"/>
      <c r="JC34" s="1613"/>
      <c r="JD34" s="1613"/>
      <c r="JE34" s="1614"/>
      <c r="JF34" s="1615"/>
      <c r="JG34" s="1613"/>
      <c r="JH34" s="1613"/>
      <c r="JI34" s="1613"/>
      <c r="JJ34" s="1616"/>
      <c r="JK34" s="1613"/>
      <c r="JL34" s="1521">
        <f t="shared" ca="1" si="43"/>
        <v>0</v>
      </c>
      <c r="JM34" s="171"/>
    </row>
    <row r="35" spans="1:273" ht="12.6" customHeight="1" x14ac:dyDescent="0.25">
      <c r="A35" s="1861" t="str">
        <f t="shared" si="71"/>
        <v/>
      </c>
      <c r="B35" s="1862" t="str">
        <f t="shared" si="72"/>
        <v/>
      </c>
      <c r="C35" s="1863" t="str">
        <f t="shared" si="73"/>
        <v/>
      </c>
      <c r="D35" s="1864" t="str">
        <f t="shared" si="74"/>
        <v/>
      </c>
      <c r="E35" s="1865" t="str">
        <f t="shared" si="75"/>
        <v/>
      </c>
      <c r="F35" s="1866" t="str">
        <f t="shared" si="76"/>
        <v/>
      </c>
      <c r="G35" s="1867" t="str">
        <f t="shared" si="77"/>
        <v/>
      </c>
      <c r="H35" s="1868" t="str">
        <f t="shared" si="78"/>
        <v/>
      </c>
      <c r="I35" s="1869" t="str">
        <f t="shared" si="79"/>
        <v/>
      </c>
      <c r="J35" s="1864" t="str">
        <f t="shared" si="80"/>
        <v/>
      </c>
      <c r="K35" s="1868" t="str">
        <f t="shared" si="81"/>
        <v/>
      </c>
      <c r="L35" s="1870" t="str">
        <f t="shared" si="82"/>
        <v/>
      </c>
      <c r="M35" s="1871" t="str">
        <f t="shared" si="83"/>
        <v/>
      </c>
      <c r="N35" s="1872" t="str">
        <f t="shared" si="84"/>
        <v/>
      </c>
      <c r="O35" s="1867" t="str">
        <f t="shared" si="85"/>
        <v/>
      </c>
      <c r="P35" s="1868" t="str">
        <f t="shared" si="86"/>
        <v/>
      </c>
      <c r="Q35" s="1864" t="str">
        <f t="shared" si="87"/>
        <v/>
      </c>
      <c r="R35" s="1865" t="str">
        <f t="shared" si="88"/>
        <v/>
      </c>
      <c r="S35" s="1873" t="str">
        <f t="shared" si="89"/>
        <v/>
      </c>
      <c r="T35" s="1868" t="str">
        <f t="shared" si="90"/>
        <v/>
      </c>
      <c r="U35" s="1864" t="str">
        <f t="shared" si="91"/>
        <v/>
      </c>
      <c r="V35" s="1868" t="str">
        <f t="shared" si="92"/>
        <v/>
      </c>
      <c r="W35" s="1872">
        <f t="shared" si="93"/>
        <v>0</v>
      </c>
      <c r="X35" s="1874" t="str">
        <f t="shared" si="94"/>
        <v/>
      </c>
      <c r="Y35" s="1875" t="str">
        <f t="shared" si="95"/>
        <v/>
      </c>
      <c r="Z35" s="1941"/>
      <c r="AA35" s="1876" t="str">
        <f t="shared" si="96"/>
        <v/>
      </c>
      <c r="AB35" s="1471" t="str">
        <f t="shared" si="70"/>
        <v/>
      </c>
      <c r="AC35" s="1908" t="str">
        <f t="shared" si="53"/>
        <v/>
      </c>
      <c r="AD35" s="1909" t="str">
        <f t="shared" ca="1" si="44"/>
        <v/>
      </c>
      <c r="AE35" s="1910" t="str">
        <f t="shared" ca="1" si="45"/>
        <v/>
      </c>
      <c r="AF35" s="1908" t="str">
        <f t="shared" ca="1" si="46"/>
        <v/>
      </c>
      <c r="AG35" s="1909" t="str">
        <f t="shared" ca="1" si="47"/>
        <v/>
      </c>
      <c r="AH35" s="1910" t="str">
        <f t="shared" ca="1" si="48"/>
        <v/>
      </c>
      <c r="AI35" s="1909" t="str">
        <f t="shared" ca="1" si="49"/>
        <v/>
      </c>
      <c r="AJ35" s="1910" t="str">
        <f t="shared" ca="1" si="50"/>
        <v/>
      </c>
      <c r="AK35" s="1911" t="str">
        <f t="shared" si="54"/>
        <v/>
      </c>
      <c r="AL35" s="1912" t="str">
        <f t="shared" si="55"/>
        <v/>
      </c>
      <c r="AM35" s="1913" t="str">
        <f t="shared" si="56"/>
        <v/>
      </c>
      <c r="AN35" s="1908" t="str">
        <f t="shared" si="57"/>
        <v/>
      </c>
      <c r="AO35" s="1914" t="str">
        <f t="shared" si="58"/>
        <v/>
      </c>
      <c r="AP35" s="1915" t="str">
        <f t="shared" si="4"/>
        <v/>
      </c>
      <c r="AQ35" s="1916" t="str">
        <f t="shared" si="5"/>
        <v/>
      </c>
      <c r="AR35" s="1917" t="str">
        <f t="shared" si="6"/>
        <v/>
      </c>
      <c r="AS35" s="1910" t="str">
        <f t="shared" si="7"/>
        <v/>
      </c>
      <c r="AT35" s="1918" t="str">
        <f t="shared" si="59"/>
        <v/>
      </c>
      <c r="AU35" s="1919" t="str">
        <f t="shared" si="60"/>
        <v/>
      </c>
      <c r="AV35" s="1920" t="str">
        <f t="shared" si="8"/>
        <v/>
      </c>
      <c r="AW35" s="1910" t="str">
        <f t="shared" si="9"/>
        <v/>
      </c>
      <c r="AX35" s="1918" t="str">
        <f t="shared" si="61"/>
        <v/>
      </c>
      <c r="AY35" s="1919" t="str">
        <f t="shared" si="62"/>
        <v/>
      </c>
      <c r="AZ35" s="1920" t="str">
        <f t="shared" si="10"/>
        <v/>
      </c>
      <c r="BA35" s="1910" t="str">
        <f t="shared" si="11"/>
        <v/>
      </c>
      <c r="BB35" s="1918" t="str">
        <f t="shared" si="63"/>
        <v/>
      </c>
      <c r="BC35" s="1919" t="str">
        <f t="shared" si="64"/>
        <v/>
      </c>
      <c r="BD35" s="1920" t="str">
        <f t="shared" si="12"/>
        <v/>
      </c>
      <c r="BE35" s="1910" t="str">
        <f t="shared" si="13"/>
        <v/>
      </c>
      <c r="BF35" s="1918" t="str">
        <f t="shared" si="65"/>
        <v/>
      </c>
      <c r="BG35" s="1919" t="str">
        <f t="shared" si="66"/>
        <v/>
      </c>
      <c r="BH35" s="322"/>
      <c r="BJ35" s="1258" t="str">
        <f t="shared" si="124"/>
        <v/>
      </c>
      <c r="BK35" s="1256" t="b">
        <f t="shared" si="125"/>
        <v>0</v>
      </c>
      <c r="BL35" s="1251" t="b">
        <v>0</v>
      </c>
      <c r="BM35" s="1251">
        <f t="shared" si="113"/>
        <v>0</v>
      </c>
      <c r="BN35" s="1251">
        <f t="shared" si="114"/>
        <v>0</v>
      </c>
      <c r="BO35" s="1251">
        <f t="shared" si="115"/>
        <v>0</v>
      </c>
      <c r="BP35" s="1251">
        <f t="shared" si="116"/>
        <v>0</v>
      </c>
      <c r="BQ35" s="1251">
        <f t="shared" si="117"/>
        <v>0</v>
      </c>
      <c r="BR35" s="1251" t="b">
        <f t="shared" si="118"/>
        <v>1</v>
      </c>
      <c r="BS35" s="1252">
        <f t="shared" si="119"/>
        <v>6</v>
      </c>
      <c r="BT35" s="1252" t="str">
        <f t="shared" si="120"/>
        <v>No</v>
      </c>
      <c r="BU35" s="1252">
        <f t="shared" si="121"/>
        <v>6</v>
      </c>
      <c r="BV35" s="1252" t="str">
        <f t="shared" si="122"/>
        <v>No</v>
      </c>
      <c r="BW35" s="1253">
        <f t="shared" ca="1" si="33"/>
        <v>0</v>
      </c>
      <c r="BX35" s="1254" t="str">
        <f t="shared" ca="1" si="40"/>
        <v/>
      </c>
      <c r="BY35" s="1254" t="b">
        <f t="shared" ca="1" si="34"/>
        <v>0</v>
      </c>
      <c r="BZ35" s="1255" t="b">
        <f t="shared" si="41"/>
        <v>0</v>
      </c>
      <c r="CB35" s="842"/>
      <c r="CC35" s="894"/>
      <c r="CD35" s="883"/>
      <c r="CE35" s="884"/>
      <c r="CF35" s="885"/>
      <c r="CG35" s="901"/>
      <c r="CH35" s="902"/>
      <c r="CI35" s="903"/>
      <c r="CJ35" s="902"/>
      <c r="CK35" s="903"/>
      <c r="CL35" s="904"/>
      <c r="CM35" s="944"/>
      <c r="CN35" s="901"/>
      <c r="CO35" s="902"/>
      <c r="CP35" s="903"/>
      <c r="CQ35" s="902"/>
      <c r="CR35" s="903"/>
      <c r="CS35" s="904"/>
      <c r="CT35" s="944"/>
      <c r="CU35" s="906"/>
      <c r="CV35" s="886"/>
      <c r="CW35" s="887"/>
      <c r="CX35" s="915"/>
      <c r="CY35" s="916"/>
      <c r="CZ35" s="932"/>
      <c r="DA35" s="933"/>
      <c r="DB35" s="932"/>
      <c r="DC35" s="933"/>
      <c r="DD35" s="1149"/>
      <c r="DE35" s="1150"/>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44" t="str">
        <f t="shared" si="100"/>
        <v/>
      </c>
      <c r="EP35" s="1166" t="str">
        <f t="shared" si="126"/>
        <v/>
      </c>
      <c r="EQ35" s="1167" t="str">
        <f t="shared" si="127"/>
        <v/>
      </c>
      <c r="ER35" s="961" t="str">
        <f t="shared" si="101"/>
        <v/>
      </c>
      <c r="ES35" s="962" t="str">
        <f t="shared" si="102"/>
        <v/>
      </c>
      <c r="ET35" s="963" t="str">
        <f t="shared" si="103"/>
        <v/>
      </c>
      <c r="EU35" s="964" t="str">
        <f t="shared" si="104"/>
        <v/>
      </c>
      <c r="EX35" s="1194" t="str">
        <f t="shared" ca="1" si="35"/>
        <v/>
      </c>
      <c r="EY35" s="1196" t="str">
        <f t="shared" si="14"/>
        <v/>
      </c>
      <c r="EZ35" s="1196" t="str">
        <f t="shared" si="36"/>
        <v/>
      </c>
      <c r="FA35" s="1217" t="str">
        <f t="shared" ca="1" si="42"/>
        <v/>
      </c>
      <c r="FB35" s="1218" t="str">
        <f t="shared" ca="1" si="37"/>
        <v/>
      </c>
      <c r="FC35" s="1218">
        <f t="shared" ca="1" si="15"/>
        <v>0</v>
      </c>
      <c r="FD35" s="1218">
        <f t="shared" ca="1" si="16"/>
        <v>0</v>
      </c>
      <c r="FE35" s="1218">
        <f t="shared" ca="1" si="17"/>
        <v>0</v>
      </c>
      <c r="FF35" s="1218">
        <f t="shared" ca="1" si="38"/>
        <v>0</v>
      </c>
      <c r="FN35" s="1256" t="b">
        <v>0</v>
      </c>
      <c r="FO35" s="969" t="b">
        <f t="shared" si="123"/>
        <v>1</v>
      </c>
      <c r="FP35" s="969" t="b">
        <v>0</v>
      </c>
      <c r="FQ35" s="969" t="b">
        <f t="shared" si="39"/>
        <v>1</v>
      </c>
      <c r="FX35" s="236"/>
      <c r="FZ35" s="2"/>
      <c r="GA35" s="1935" t="str">
        <f t="shared" si="105"/>
        <v/>
      </c>
      <c r="GB35" s="1936" t="str">
        <f t="shared" si="106"/>
        <v/>
      </c>
      <c r="GC35" s="1937" t="str">
        <f t="shared" si="107"/>
        <v/>
      </c>
      <c r="GD35" s="1938" t="str">
        <f t="shared" si="108"/>
        <v/>
      </c>
      <c r="GE35" s="1939" t="str">
        <f t="shared" si="109"/>
        <v/>
      </c>
      <c r="GF35" s="1940" t="str">
        <f t="shared" si="110"/>
        <v/>
      </c>
      <c r="GG35" s="1457"/>
      <c r="GH35" s="1459"/>
      <c r="GI35" s="1457"/>
      <c r="GJ35" s="1459"/>
      <c r="GK35" s="326">
        <f t="shared" si="111"/>
        <v>0</v>
      </c>
      <c r="GL35" s="326" t="e">
        <f t="shared" si="112"/>
        <v>#VALUE!</v>
      </c>
      <c r="GM35" s="327" t="e">
        <f>IF(ABS(GK35-GL35)&gt;='Job Info.'!$L$22,ABS(GK35-GL35),0)</f>
        <v>#VALUE!</v>
      </c>
      <c r="HA35" s="1612"/>
      <c r="HB35" s="1613"/>
      <c r="HC35" s="1613"/>
      <c r="HD35" s="1614"/>
      <c r="HE35" s="1615"/>
      <c r="HF35" s="1613"/>
      <c r="HG35" s="1613"/>
      <c r="HH35" s="1613"/>
      <c r="HI35" s="1613"/>
      <c r="HJ35" s="1613"/>
      <c r="HK35" s="1613"/>
      <c r="HL35" s="1613"/>
      <c r="HM35" s="1613"/>
      <c r="HN35" s="1613"/>
      <c r="HO35" s="1613"/>
      <c r="HP35" s="1613"/>
      <c r="HQ35" s="1613"/>
      <c r="HR35" s="1613"/>
      <c r="HS35" s="1613"/>
      <c r="HT35" s="1613"/>
      <c r="HU35" s="1613"/>
      <c r="HV35" s="1613"/>
      <c r="HW35" s="1613"/>
      <c r="HX35" s="1613"/>
      <c r="HY35" s="1617"/>
      <c r="HZ35" s="1617"/>
      <c r="IA35" s="1617"/>
      <c r="IB35" s="1617"/>
      <c r="IC35" s="1617"/>
      <c r="ID35" s="1618"/>
      <c r="IE35" s="1612"/>
      <c r="IF35" s="1613"/>
      <c r="IG35" s="1614"/>
      <c r="IH35" s="1615"/>
      <c r="II35" s="1613"/>
      <c r="IJ35" s="1614"/>
      <c r="IK35" s="1615"/>
      <c r="IL35" s="1613"/>
      <c r="IM35" s="1613"/>
      <c r="IN35" s="1613"/>
      <c r="IO35" s="1613"/>
      <c r="IP35" s="1613"/>
      <c r="IQ35" s="1613"/>
      <c r="IR35" s="1613"/>
      <c r="IS35" s="1614"/>
      <c r="IT35" s="1615"/>
      <c r="IU35" s="1613"/>
      <c r="IV35" s="1613"/>
      <c r="IW35" s="1614"/>
      <c r="IX35" s="1615"/>
      <c r="IY35" s="1613"/>
      <c r="IZ35" s="1613"/>
      <c r="JA35" s="1614"/>
      <c r="JB35" s="1615"/>
      <c r="JC35" s="1613"/>
      <c r="JD35" s="1613"/>
      <c r="JE35" s="1614"/>
      <c r="JF35" s="1615"/>
      <c r="JG35" s="1613"/>
      <c r="JH35" s="1613"/>
      <c r="JI35" s="1613"/>
      <c r="JJ35" s="1616"/>
      <c r="JK35" s="1613"/>
      <c r="JL35" s="1521">
        <f t="shared" ca="1" si="43"/>
        <v>0</v>
      </c>
      <c r="JM35" s="171"/>
    </row>
    <row r="36" spans="1:273" ht="12.6" customHeight="1" x14ac:dyDescent="0.25">
      <c r="A36" s="1861" t="str">
        <f t="shared" si="71"/>
        <v/>
      </c>
      <c r="B36" s="1862" t="str">
        <f t="shared" si="72"/>
        <v/>
      </c>
      <c r="C36" s="1863" t="str">
        <f t="shared" si="73"/>
        <v/>
      </c>
      <c r="D36" s="1864" t="str">
        <f t="shared" si="74"/>
        <v/>
      </c>
      <c r="E36" s="1865" t="str">
        <f t="shared" si="75"/>
        <v/>
      </c>
      <c r="F36" s="1866" t="str">
        <f t="shared" si="76"/>
        <v/>
      </c>
      <c r="G36" s="1867" t="str">
        <f t="shared" si="77"/>
        <v/>
      </c>
      <c r="H36" s="1868" t="str">
        <f t="shared" si="78"/>
        <v/>
      </c>
      <c r="I36" s="1869" t="str">
        <f t="shared" si="79"/>
        <v/>
      </c>
      <c r="J36" s="1864" t="str">
        <f t="shared" si="80"/>
        <v/>
      </c>
      <c r="K36" s="1868" t="str">
        <f t="shared" si="81"/>
        <v/>
      </c>
      <c r="L36" s="1870" t="str">
        <f t="shared" si="82"/>
        <v/>
      </c>
      <c r="M36" s="1871" t="str">
        <f t="shared" si="83"/>
        <v/>
      </c>
      <c r="N36" s="1872" t="str">
        <f t="shared" si="84"/>
        <v/>
      </c>
      <c r="O36" s="1867" t="str">
        <f t="shared" si="85"/>
        <v/>
      </c>
      <c r="P36" s="1868" t="str">
        <f t="shared" si="86"/>
        <v/>
      </c>
      <c r="Q36" s="1864" t="str">
        <f t="shared" si="87"/>
        <v/>
      </c>
      <c r="R36" s="1865" t="str">
        <f t="shared" si="88"/>
        <v/>
      </c>
      <c r="S36" s="1873" t="str">
        <f t="shared" si="89"/>
        <v/>
      </c>
      <c r="T36" s="1868" t="str">
        <f t="shared" si="90"/>
        <v/>
      </c>
      <c r="U36" s="1864" t="str">
        <f t="shared" si="91"/>
        <v/>
      </c>
      <c r="V36" s="1868" t="str">
        <f t="shared" si="92"/>
        <v/>
      </c>
      <c r="W36" s="1872">
        <f t="shared" si="93"/>
        <v>0</v>
      </c>
      <c r="X36" s="1874" t="str">
        <f t="shared" si="94"/>
        <v/>
      </c>
      <c r="Y36" s="1875" t="str">
        <f t="shared" si="95"/>
        <v/>
      </c>
      <c r="Z36" s="1941"/>
      <c r="AA36" s="1876" t="str">
        <f t="shared" si="96"/>
        <v/>
      </c>
      <c r="AB36" s="1471" t="str">
        <f t="shared" si="70"/>
        <v/>
      </c>
      <c r="AC36" s="1908" t="str">
        <f t="shared" si="53"/>
        <v/>
      </c>
      <c r="AD36" s="1909" t="str">
        <f t="shared" ca="1" si="44"/>
        <v/>
      </c>
      <c r="AE36" s="1910" t="str">
        <f t="shared" ca="1" si="45"/>
        <v/>
      </c>
      <c r="AF36" s="1908" t="str">
        <f t="shared" ca="1" si="46"/>
        <v/>
      </c>
      <c r="AG36" s="1909" t="str">
        <f t="shared" ca="1" si="47"/>
        <v/>
      </c>
      <c r="AH36" s="1910" t="str">
        <f t="shared" ca="1" si="48"/>
        <v/>
      </c>
      <c r="AI36" s="1909" t="str">
        <f t="shared" ca="1" si="49"/>
        <v/>
      </c>
      <c r="AJ36" s="1910" t="str">
        <f t="shared" ca="1" si="50"/>
        <v/>
      </c>
      <c r="AK36" s="1911" t="str">
        <f t="shared" si="54"/>
        <v/>
      </c>
      <c r="AL36" s="1912" t="str">
        <f t="shared" si="55"/>
        <v/>
      </c>
      <c r="AM36" s="1913" t="str">
        <f t="shared" si="56"/>
        <v/>
      </c>
      <c r="AN36" s="1908" t="str">
        <f t="shared" si="57"/>
        <v/>
      </c>
      <c r="AO36" s="1914" t="str">
        <f t="shared" si="58"/>
        <v/>
      </c>
      <c r="AP36" s="1915" t="str">
        <f t="shared" si="4"/>
        <v/>
      </c>
      <c r="AQ36" s="1916" t="str">
        <f t="shared" si="5"/>
        <v/>
      </c>
      <c r="AR36" s="1917" t="str">
        <f t="shared" si="6"/>
        <v/>
      </c>
      <c r="AS36" s="1910" t="str">
        <f t="shared" si="7"/>
        <v/>
      </c>
      <c r="AT36" s="1918" t="str">
        <f t="shared" si="59"/>
        <v/>
      </c>
      <c r="AU36" s="1919" t="str">
        <f t="shared" si="60"/>
        <v/>
      </c>
      <c r="AV36" s="1920" t="str">
        <f t="shared" si="8"/>
        <v/>
      </c>
      <c r="AW36" s="1910" t="str">
        <f t="shared" si="9"/>
        <v/>
      </c>
      <c r="AX36" s="1918" t="str">
        <f t="shared" si="61"/>
        <v/>
      </c>
      <c r="AY36" s="1919" t="str">
        <f t="shared" si="62"/>
        <v/>
      </c>
      <c r="AZ36" s="1920" t="str">
        <f t="shared" si="10"/>
        <v/>
      </c>
      <c r="BA36" s="1910" t="str">
        <f t="shared" si="11"/>
        <v/>
      </c>
      <c r="BB36" s="1918" t="str">
        <f t="shared" si="63"/>
        <v/>
      </c>
      <c r="BC36" s="1919" t="str">
        <f t="shared" si="64"/>
        <v/>
      </c>
      <c r="BD36" s="1920" t="str">
        <f t="shared" si="12"/>
        <v/>
      </c>
      <c r="BE36" s="1910" t="str">
        <f t="shared" si="13"/>
        <v/>
      </c>
      <c r="BF36" s="1918" t="str">
        <f t="shared" si="65"/>
        <v/>
      </c>
      <c r="BG36" s="1919" t="str">
        <f t="shared" si="66"/>
        <v/>
      </c>
      <c r="BH36" s="322"/>
      <c r="BJ36" s="1258" t="str">
        <f t="shared" si="124"/>
        <v/>
      </c>
      <c r="BK36" s="1256" t="b">
        <f t="shared" si="125"/>
        <v>0</v>
      </c>
      <c r="BL36" s="1251" t="b">
        <v>0</v>
      </c>
      <c r="BM36" s="1251">
        <f t="shared" si="113"/>
        <v>0</v>
      </c>
      <c r="BN36" s="1251">
        <f t="shared" si="114"/>
        <v>0</v>
      </c>
      <c r="BO36" s="1251">
        <f t="shared" si="115"/>
        <v>0</v>
      </c>
      <c r="BP36" s="1251">
        <f t="shared" si="116"/>
        <v>0</v>
      </c>
      <c r="BQ36" s="1251">
        <f t="shared" si="117"/>
        <v>0</v>
      </c>
      <c r="BR36" s="1251" t="b">
        <f t="shared" si="118"/>
        <v>1</v>
      </c>
      <c r="BS36" s="1252">
        <f t="shared" si="119"/>
        <v>6</v>
      </c>
      <c r="BT36" s="1252" t="str">
        <f t="shared" si="120"/>
        <v>No</v>
      </c>
      <c r="BU36" s="1252">
        <f t="shared" si="121"/>
        <v>6</v>
      </c>
      <c r="BV36" s="1252" t="str">
        <f t="shared" si="122"/>
        <v>No</v>
      </c>
      <c r="BW36" s="1253">
        <f t="shared" ca="1" si="33"/>
        <v>0</v>
      </c>
      <c r="BX36" s="1254" t="str">
        <f t="shared" ca="1" si="40"/>
        <v/>
      </c>
      <c r="BY36" s="1254" t="b">
        <f t="shared" ca="1" si="34"/>
        <v>0</v>
      </c>
      <c r="BZ36" s="1255" t="b">
        <f t="shared" si="41"/>
        <v>0</v>
      </c>
      <c r="CB36" s="842"/>
      <c r="CC36" s="894"/>
      <c r="CD36" s="883"/>
      <c r="CE36" s="884"/>
      <c r="CF36" s="885"/>
      <c r="CG36" s="901"/>
      <c r="CH36" s="902"/>
      <c r="CI36" s="903"/>
      <c r="CJ36" s="902"/>
      <c r="CK36" s="903"/>
      <c r="CL36" s="904"/>
      <c r="CM36" s="944"/>
      <c r="CN36" s="901"/>
      <c r="CO36" s="902"/>
      <c r="CP36" s="903"/>
      <c r="CQ36" s="902"/>
      <c r="CR36" s="903"/>
      <c r="CS36" s="904"/>
      <c r="CT36" s="944"/>
      <c r="CU36" s="906"/>
      <c r="CV36" s="886"/>
      <c r="CW36" s="887"/>
      <c r="CX36" s="915"/>
      <c r="CY36" s="916"/>
      <c r="CZ36" s="932"/>
      <c r="DA36" s="933"/>
      <c r="DB36" s="932"/>
      <c r="DC36" s="933"/>
      <c r="DD36" s="1149"/>
      <c r="DE36" s="1150"/>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44" t="str">
        <f t="shared" si="100"/>
        <v/>
      </c>
      <c r="EP36" s="1166" t="str">
        <f t="shared" si="126"/>
        <v/>
      </c>
      <c r="EQ36" s="1167" t="str">
        <f t="shared" si="127"/>
        <v/>
      </c>
      <c r="ER36" s="961" t="str">
        <f t="shared" si="101"/>
        <v/>
      </c>
      <c r="ES36" s="962" t="str">
        <f t="shared" si="102"/>
        <v/>
      </c>
      <c r="ET36" s="963" t="str">
        <f t="shared" si="103"/>
        <v/>
      </c>
      <c r="EU36" s="964" t="str">
        <f t="shared" si="104"/>
        <v/>
      </c>
      <c r="EX36" s="1194" t="str">
        <f t="shared" ca="1" si="35"/>
        <v/>
      </c>
      <c r="EY36" s="1196" t="str">
        <f t="shared" si="14"/>
        <v/>
      </c>
      <c r="EZ36" s="1196" t="str">
        <f t="shared" si="36"/>
        <v/>
      </c>
      <c r="FA36" s="1217" t="str">
        <f t="shared" ca="1" si="42"/>
        <v/>
      </c>
      <c r="FB36" s="1218" t="str">
        <f t="shared" ca="1" si="37"/>
        <v/>
      </c>
      <c r="FC36" s="1218">
        <f t="shared" ca="1" si="15"/>
        <v>0</v>
      </c>
      <c r="FD36" s="1218">
        <f t="shared" ca="1" si="16"/>
        <v>0</v>
      </c>
      <c r="FE36" s="1218">
        <f t="shared" ca="1" si="17"/>
        <v>0</v>
      </c>
      <c r="FF36" s="1218">
        <f t="shared" ca="1" si="38"/>
        <v>0</v>
      </c>
      <c r="FN36" s="1256" t="b">
        <v>0</v>
      </c>
      <c r="FO36" s="969" t="b">
        <f t="shared" si="123"/>
        <v>1</v>
      </c>
      <c r="FP36" s="969" t="b">
        <v>0</v>
      </c>
      <c r="FQ36" s="969" t="b">
        <f t="shared" si="39"/>
        <v>1</v>
      </c>
      <c r="FX36" s="236"/>
      <c r="FZ36" s="2"/>
      <c r="GA36" s="1935" t="str">
        <f t="shared" si="105"/>
        <v/>
      </c>
      <c r="GB36" s="1936" t="str">
        <f t="shared" si="106"/>
        <v/>
      </c>
      <c r="GC36" s="1937" t="str">
        <f t="shared" si="107"/>
        <v/>
      </c>
      <c r="GD36" s="1938" t="str">
        <f t="shared" si="108"/>
        <v/>
      </c>
      <c r="GE36" s="1939" t="str">
        <f t="shared" si="109"/>
        <v/>
      </c>
      <c r="GF36" s="1940" t="str">
        <f t="shared" si="110"/>
        <v/>
      </c>
      <c r="GG36" s="1457"/>
      <c r="GH36" s="1459"/>
      <c r="GI36" s="1457"/>
      <c r="GJ36" s="1459"/>
      <c r="GK36" s="326">
        <f t="shared" si="111"/>
        <v>0</v>
      </c>
      <c r="GL36" s="326" t="e">
        <f t="shared" si="112"/>
        <v>#VALUE!</v>
      </c>
      <c r="GM36" s="327" t="e">
        <f>IF(ABS(GK36-GL36)&gt;='Job Info.'!$L$22,ABS(GK36-GL36),0)</f>
        <v>#VALUE!</v>
      </c>
      <c r="HA36" s="1612"/>
      <c r="HB36" s="1613"/>
      <c r="HC36" s="1613"/>
      <c r="HD36" s="1614"/>
      <c r="HE36" s="1615"/>
      <c r="HF36" s="1613"/>
      <c r="HG36" s="1613"/>
      <c r="HH36" s="1613"/>
      <c r="HI36" s="1613"/>
      <c r="HJ36" s="1613"/>
      <c r="HK36" s="1613"/>
      <c r="HL36" s="1613"/>
      <c r="HM36" s="1613"/>
      <c r="HN36" s="1613"/>
      <c r="HO36" s="1613"/>
      <c r="HP36" s="1613"/>
      <c r="HQ36" s="1613"/>
      <c r="HR36" s="1613"/>
      <c r="HS36" s="1613"/>
      <c r="HT36" s="1613"/>
      <c r="HU36" s="1613"/>
      <c r="HV36" s="1613"/>
      <c r="HW36" s="1613"/>
      <c r="HX36" s="1613"/>
      <c r="HY36" s="1617"/>
      <c r="HZ36" s="1617"/>
      <c r="IA36" s="1617"/>
      <c r="IB36" s="1617"/>
      <c r="IC36" s="1617"/>
      <c r="ID36" s="1618"/>
      <c r="IE36" s="1612"/>
      <c r="IF36" s="1613"/>
      <c r="IG36" s="1614"/>
      <c r="IH36" s="1615"/>
      <c r="II36" s="1613"/>
      <c r="IJ36" s="1614"/>
      <c r="IK36" s="1615"/>
      <c r="IL36" s="1613"/>
      <c r="IM36" s="1613"/>
      <c r="IN36" s="1613"/>
      <c r="IO36" s="1613"/>
      <c r="IP36" s="1613"/>
      <c r="IQ36" s="1613"/>
      <c r="IR36" s="1613"/>
      <c r="IS36" s="1614"/>
      <c r="IT36" s="1615"/>
      <c r="IU36" s="1613"/>
      <c r="IV36" s="1613"/>
      <c r="IW36" s="1614"/>
      <c r="IX36" s="1615"/>
      <c r="IY36" s="1613"/>
      <c r="IZ36" s="1613"/>
      <c r="JA36" s="1614"/>
      <c r="JB36" s="1615"/>
      <c r="JC36" s="1613"/>
      <c r="JD36" s="1613"/>
      <c r="JE36" s="1614"/>
      <c r="JF36" s="1615"/>
      <c r="JG36" s="1613"/>
      <c r="JH36" s="1613"/>
      <c r="JI36" s="1613"/>
      <c r="JJ36" s="1616"/>
      <c r="JK36" s="1613"/>
      <c r="JL36" s="1521">
        <f t="shared" ca="1" si="43"/>
        <v>0</v>
      </c>
      <c r="JM36" s="171"/>
    </row>
    <row r="37" spans="1:273" ht="12.6" customHeight="1" x14ac:dyDescent="0.25">
      <c r="A37" s="1861" t="str">
        <f t="shared" si="71"/>
        <v/>
      </c>
      <c r="B37" s="1862" t="str">
        <f t="shared" si="72"/>
        <v/>
      </c>
      <c r="C37" s="1863" t="str">
        <f t="shared" si="73"/>
        <v/>
      </c>
      <c r="D37" s="1864" t="str">
        <f t="shared" si="74"/>
        <v/>
      </c>
      <c r="E37" s="1865" t="str">
        <f t="shared" si="75"/>
        <v/>
      </c>
      <c r="F37" s="1866" t="str">
        <f t="shared" si="76"/>
        <v/>
      </c>
      <c r="G37" s="1867" t="str">
        <f t="shared" si="77"/>
        <v/>
      </c>
      <c r="H37" s="1868" t="str">
        <f t="shared" si="78"/>
        <v/>
      </c>
      <c r="I37" s="1869" t="str">
        <f t="shared" si="79"/>
        <v/>
      </c>
      <c r="J37" s="1864" t="str">
        <f t="shared" si="80"/>
        <v/>
      </c>
      <c r="K37" s="1868" t="str">
        <f t="shared" si="81"/>
        <v/>
      </c>
      <c r="L37" s="1870" t="str">
        <f t="shared" si="82"/>
        <v/>
      </c>
      <c r="M37" s="1871" t="str">
        <f t="shared" si="83"/>
        <v/>
      </c>
      <c r="N37" s="1872" t="str">
        <f t="shared" si="84"/>
        <v/>
      </c>
      <c r="O37" s="1867" t="str">
        <f t="shared" si="85"/>
        <v/>
      </c>
      <c r="P37" s="1868" t="str">
        <f t="shared" si="86"/>
        <v/>
      </c>
      <c r="Q37" s="1864" t="str">
        <f t="shared" si="87"/>
        <v/>
      </c>
      <c r="R37" s="1865" t="str">
        <f t="shared" si="88"/>
        <v/>
      </c>
      <c r="S37" s="1873" t="str">
        <f t="shared" si="89"/>
        <v/>
      </c>
      <c r="T37" s="1868" t="str">
        <f t="shared" si="90"/>
        <v/>
      </c>
      <c r="U37" s="1864" t="str">
        <f t="shared" si="91"/>
        <v/>
      </c>
      <c r="V37" s="1868" t="str">
        <f t="shared" si="92"/>
        <v/>
      </c>
      <c r="W37" s="1872">
        <f t="shared" si="93"/>
        <v>0</v>
      </c>
      <c r="X37" s="1874" t="str">
        <f t="shared" si="94"/>
        <v/>
      </c>
      <c r="Y37" s="1875" t="str">
        <f t="shared" si="95"/>
        <v/>
      </c>
      <c r="Z37" s="1941"/>
      <c r="AA37" s="1876" t="str">
        <f t="shared" si="96"/>
        <v/>
      </c>
      <c r="AB37" s="1471" t="str">
        <f t="shared" si="70"/>
        <v/>
      </c>
      <c r="AC37" s="1908" t="str">
        <f t="shared" si="53"/>
        <v/>
      </c>
      <c r="AD37" s="1909" t="str">
        <f t="shared" ca="1" si="44"/>
        <v/>
      </c>
      <c r="AE37" s="1910" t="str">
        <f t="shared" ca="1" si="45"/>
        <v/>
      </c>
      <c r="AF37" s="1908" t="str">
        <f t="shared" ca="1" si="46"/>
        <v/>
      </c>
      <c r="AG37" s="1909" t="str">
        <f t="shared" ca="1" si="47"/>
        <v/>
      </c>
      <c r="AH37" s="1910" t="str">
        <f t="shared" ca="1" si="48"/>
        <v/>
      </c>
      <c r="AI37" s="1909" t="str">
        <f t="shared" ca="1" si="49"/>
        <v/>
      </c>
      <c r="AJ37" s="1910" t="str">
        <f t="shared" ca="1" si="50"/>
        <v/>
      </c>
      <c r="AK37" s="1911" t="str">
        <f t="shared" si="54"/>
        <v/>
      </c>
      <c r="AL37" s="1912" t="str">
        <f t="shared" si="55"/>
        <v/>
      </c>
      <c r="AM37" s="1913" t="str">
        <f t="shared" si="56"/>
        <v/>
      </c>
      <c r="AN37" s="1908" t="str">
        <f t="shared" si="57"/>
        <v/>
      </c>
      <c r="AO37" s="1914" t="str">
        <f t="shared" si="58"/>
        <v/>
      </c>
      <c r="AP37" s="1915" t="str">
        <f t="shared" si="4"/>
        <v/>
      </c>
      <c r="AQ37" s="1916" t="str">
        <f t="shared" si="5"/>
        <v/>
      </c>
      <c r="AR37" s="1917" t="str">
        <f t="shared" si="6"/>
        <v/>
      </c>
      <c r="AS37" s="1910" t="str">
        <f t="shared" si="7"/>
        <v/>
      </c>
      <c r="AT37" s="1918" t="str">
        <f t="shared" si="59"/>
        <v/>
      </c>
      <c r="AU37" s="1919" t="str">
        <f t="shared" si="60"/>
        <v/>
      </c>
      <c r="AV37" s="1920" t="str">
        <f t="shared" si="8"/>
        <v/>
      </c>
      <c r="AW37" s="1910" t="str">
        <f t="shared" si="9"/>
        <v/>
      </c>
      <c r="AX37" s="1918" t="str">
        <f t="shared" si="61"/>
        <v/>
      </c>
      <c r="AY37" s="1919" t="str">
        <f t="shared" si="62"/>
        <v/>
      </c>
      <c r="AZ37" s="1920" t="str">
        <f t="shared" si="10"/>
        <v/>
      </c>
      <c r="BA37" s="1910" t="str">
        <f t="shared" si="11"/>
        <v/>
      </c>
      <c r="BB37" s="1918" t="str">
        <f t="shared" si="63"/>
        <v/>
      </c>
      <c r="BC37" s="1919" t="str">
        <f t="shared" si="64"/>
        <v/>
      </c>
      <c r="BD37" s="1920" t="str">
        <f t="shared" si="12"/>
        <v/>
      </c>
      <c r="BE37" s="1910" t="str">
        <f t="shared" si="13"/>
        <v/>
      </c>
      <c r="BF37" s="1918" t="str">
        <f t="shared" si="65"/>
        <v/>
      </c>
      <c r="BG37" s="1919" t="str">
        <f t="shared" si="66"/>
        <v/>
      </c>
      <c r="BH37" s="322"/>
      <c r="BJ37" s="1258" t="str">
        <f t="shared" si="124"/>
        <v/>
      </c>
      <c r="BK37" s="1256" t="b">
        <f t="shared" si="125"/>
        <v>0</v>
      </c>
      <c r="BL37" s="1251" t="b">
        <v>0</v>
      </c>
      <c r="BM37" s="1251">
        <f t="shared" si="113"/>
        <v>0</v>
      </c>
      <c r="BN37" s="1251">
        <f t="shared" si="114"/>
        <v>0</v>
      </c>
      <c r="BO37" s="1251">
        <f t="shared" si="115"/>
        <v>0</v>
      </c>
      <c r="BP37" s="1251">
        <f t="shared" si="116"/>
        <v>0</v>
      </c>
      <c r="BQ37" s="1251">
        <f t="shared" si="117"/>
        <v>0</v>
      </c>
      <c r="BR37" s="1251" t="b">
        <f t="shared" si="118"/>
        <v>1</v>
      </c>
      <c r="BS37" s="1252">
        <f t="shared" si="119"/>
        <v>6</v>
      </c>
      <c r="BT37" s="1252" t="str">
        <f t="shared" si="120"/>
        <v>No</v>
      </c>
      <c r="BU37" s="1252">
        <f t="shared" si="121"/>
        <v>6</v>
      </c>
      <c r="BV37" s="1252" t="str">
        <f t="shared" si="122"/>
        <v>No</v>
      </c>
      <c r="BW37" s="1253">
        <f t="shared" ca="1" si="33"/>
        <v>0</v>
      </c>
      <c r="BX37" s="1254" t="str">
        <f t="shared" ca="1" si="40"/>
        <v/>
      </c>
      <c r="BY37" s="1254" t="b">
        <f t="shared" ca="1" si="34"/>
        <v>0</v>
      </c>
      <c r="BZ37" s="1255" t="b">
        <f t="shared" si="41"/>
        <v>0</v>
      </c>
      <c r="CB37" s="842"/>
      <c r="CC37" s="894"/>
      <c r="CD37" s="883"/>
      <c r="CE37" s="884"/>
      <c r="CF37" s="885"/>
      <c r="CG37" s="901"/>
      <c r="CH37" s="902"/>
      <c r="CI37" s="903"/>
      <c r="CJ37" s="902"/>
      <c r="CK37" s="903"/>
      <c r="CL37" s="904"/>
      <c r="CM37" s="944"/>
      <c r="CN37" s="901"/>
      <c r="CO37" s="902"/>
      <c r="CP37" s="903"/>
      <c r="CQ37" s="902"/>
      <c r="CR37" s="903"/>
      <c r="CS37" s="904"/>
      <c r="CT37" s="944"/>
      <c r="CU37" s="906"/>
      <c r="CV37" s="886"/>
      <c r="CW37" s="887"/>
      <c r="CX37" s="915"/>
      <c r="CY37" s="916"/>
      <c r="CZ37" s="932"/>
      <c r="DA37" s="933"/>
      <c r="DB37" s="932"/>
      <c r="DC37" s="933"/>
      <c r="DD37" s="1149"/>
      <c r="DE37" s="1150"/>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44" t="str">
        <f t="shared" si="100"/>
        <v/>
      </c>
      <c r="EP37" s="1166" t="str">
        <f t="shared" si="126"/>
        <v/>
      </c>
      <c r="EQ37" s="1167" t="str">
        <f t="shared" si="127"/>
        <v/>
      </c>
      <c r="ER37" s="961" t="str">
        <f t="shared" si="101"/>
        <v/>
      </c>
      <c r="ES37" s="962" t="str">
        <f t="shared" si="102"/>
        <v/>
      </c>
      <c r="ET37" s="963" t="str">
        <f t="shared" si="103"/>
        <v/>
      </c>
      <c r="EU37" s="964" t="str">
        <f t="shared" si="104"/>
        <v/>
      </c>
      <c r="EX37" s="1194" t="str">
        <f t="shared" ca="1" si="35"/>
        <v/>
      </c>
      <c r="EY37" s="1196" t="str">
        <f t="shared" si="14"/>
        <v/>
      </c>
      <c r="EZ37" s="1196" t="str">
        <f t="shared" si="36"/>
        <v/>
      </c>
      <c r="FA37" s="1217" t="str">
        <f t="shared" ca="1" si="42"/>
        <v/>
      </c>
      <c r="FB37" s="1218" t="str">
        <f t="shared" ca="1" si="37"/>
        <v/>
      </c>
      <c r="FC37" s="1218">
        <f t="shared" ca="1" si="15"/>
        <v>0</v>
      </c>
      <c r="FD37" s="1218">
        <f t="shared" ca="1" si="16"/>
        <v>0</v>
      </c>
      <c r="FE37" s="1218">
        <f t="shared" ca="1" si="17"/>
        <v>0</v>
      </c>
      <c r="FF37" s="1218">
        <f t="shared" ca="1" si="38"/>
        <v>0</v>
      </c>
      <c r="FN37" s="1256" t="b">
        <v>0</v>
      </c>
      <c r="FO37" s="969" t="b">
        <f t="shared" si="123"/>
        <v>1</v>
      </c>
      <c r="FP37" s="969" t="b">
        <v>0</v>
      </c>
      <c r="FQ37" s="969" t="b">
        <f t="shared" si="39"/>
        <v>1</v>
      </c>
      <c r="FX37" s="236"/>
      <c r="FZ37" s="2"/>
      <c r="GA37" s="1935" t="str">
        <f t="shared" si="105"/>
        <v/>
      </c>
      <c r="GB37" s="1936" t="str">
        <f t="shared" si="106"/>
        <v/>
      </c>
      <c r="GC37" s="1937" t="str">
        <f t="shared" si="107"/>
        <v/>
      </c>
      <c r="GD37" s="1938" t="str">
        <f t="shared" si="108"/>
        <v/>
      </c>
      <c r="GE37" s="1939" t="str">
        <f t="shared" si="109"/>
        <v/>
      </c>
      <c r="GF37" s="1940" t="str">
        <f t="shared" si="110"/>
        <v/>
      </c>
      <c r="GG37" s="1457"/>
      <c r="GH37" s="1459"/>
      <c r="GI37" s="1457"/>
      <c r="GJ37" s="1459"/>
      <c r="GK37" s="326">
        <f t="shared" si="111"/>
        <v>0</v>
      </c>
      <c r="GL37" s="326" t="e">
        <f t="shared" si="112"/>
        <v>#VALUE!</v>
      </c>
      <c r="GM37" s="327" t="e">
        <f>IF(ABS(GK37-GL37)&gt;='Job Info.'!$L$22,ABS(GK37-GL37),0)</f>
        <v>#VALUE!</v>
      </c>
      <c r="HA37" s="1612"/>
      <c r="HB37" s="1613"/>
      <c r="HC37" s="1613"/>
      <c r="HD37" s="1614"/>
      <c r="HE37" s="1615"/>
      <c r="HF37" s="1613"/>
      <c r="HG37" s="1613"/>
      <c r="HH37" s="1613"/>
      <c r="HI37" s="1613"/>
      <c r="HJ37" s="1613"/>
      <c r="HK37" s="1613"/>
      <c r="HL37" s="1613"/>
      <c r="HM37" s="1613"/>
      <c r="HN37" s="1613"/>
      <c r="HO37" s="1613"/>
      <c r="HP37" s="1613"/>
      <c r="HQ37" s="1613"/>
      <c r="HR37" s="1613"/>
      <c r="HS37" s="1613"/>
      <c r="HT37" s="1613"/>
      <c r="HU37" s="1613"/>
      <c r="HV37" s="1613"/>
      <c r="HW37" s="1613"/>
      <c r="HX37" s="1613"/>
      <c r="HY37" s="1617"/>
      <c r="HZ37" s="1617"/>
      <c r="IA37" s="1617"/>
      <c r="IB37" s="1617"/>
      <c r="IC37" s="1617"/>
      <c r="ID37" s="1618"/>
      <c r="IE37" s="1612"/>
      <c r="IF37" s="1613"/>
      <c r="IG37" s="1614"/>
      <c r="IH37" s="1615"/>
      <c r="II37" s="1613"/>
      <c r="IJ37" s="1614"/>
      <c r="IK37" s="1615"/>
      <c r="IL37" s="1613"/>
      <c r="IM37" s="1613"/>
      <c r="IN37" s="1613"/>
      <c r="IO37" s="1613"/>
      <c r="IP37" s="1613"/>
      <c r="IQ37" s="1613"/>
      <c r="IR37" s="1613"/>
      <c r="IS37" s="1614"/>
      <c r="IT37" s="1615"/>
      <c r="IU37" s="1613"/>
      <c r="IV37" s="1613"/>
      <c r="IW37" s="1614"/>
      <c r="IX37" s="1615"/>
      <c r="IY37" s="1613"/>
      <c r="IZ37" s="1613"/>
      <c r="JA37" s="1614"/>
      <c r="JB37" s="1615"/>
      <c r="JC37" s="1613"/>
      <c r="JD37" s="1613"/>
      <c r="JE37" s="1614"/>
      <c r="JF37" s="1615"/>
      <c r="JG37" s="1613"/>
      <c r="JH37" s="1613"/>
      <c r="JI37" s="1613"/>
      <c r="JJ37" s="1616"/>
      <c r="JK37" s="1613"/>
      <c r="JL37" s="1521">
        <f t="shared" ca="1" si="43"/>
        <v>0</v>
      </c>
      <c r="JM37" s="171"/>
    </row>
    <row r="38" spans="1:273" ht="12.6" customHeight="1" x14ac:dyDescent="0.25">
      <c r="A38" s="1861" t="str">
        <f t="shared" si="71"/>
        <v/>
      </c>
      <c r="B38" s="1862" t="str">
        <f t="shared" si="72"/>
        <v/>
      </c>
      <c r="C38" s="1863" t="str">
        <f t="shared" si="73"/>
        <v/>
      </c>
      <c r="D38" s="1864" t="str">
        <f t="shared" si="74"/>
        <v/>
      </c>
      <c r="E38" s="1865" t="str">
        <f t="shared" si="75"/>
        <v/>
      </c>
      <c r="F38" s="1866" t="str">
        <f t="shared" si="76"/>
        <v/>
      </c>
      <c r="G38" s="1867" t="str">
        <f t="shared" si="77"/>
        <v/>
      </c>
      <c r="H38" s="1868" t="str">
        <f t="shared" si="78"/>
        <v/>
      </c>
      <c r="I38" s="1869" t="str">
        <f t="shared" si="79"/>
        <v/>
      </c>
      <c r="J38" s="1864" t="str">
        <f t="shared" si="80"/>
        <v/>
      </c>
      <c r="K38" s="1868" t="str">
        <f t="shared" si="81"/>
        <v/>
      </c>
      <c r="L38" s="1870" t="str">
        <f t="shared" si="82"/>
        <v/>
      </c>
      <c r="M38" s="1871" t="str">
        <f t="shared" si="83"/>
        <v/>
      </c>
      <c r="N38" s="1872" t="str">
        <f t="shared" si="84"/>
        <v/>
      </c>
      <c r="O38" s="1867" t="str">
        <f t="shared" si="85"/>
        <v/>
      </c>
      <c r="P38" s="1868" t="str">
        <f t="shared" si="86"/>
        <v/>
      </c>
      <c r="Q38" s="1864" t="str">
        <f t="shared" si="87"/>
        <v/>
      </c>
      <c r="R38" s="1865" t="str">
        <f t="shared" si="88"/>
        <v/>
      </c>
      <c r="S38" s="1873" t="str">
        <f t="shared" si="89"/>
        <v/>
      </c>
      <c r="T38" s="1868" t="str">
        <f t="shared" si="90"/>
        <v/>
      </c>
      <c r="U38" s="1864" t="str">
        <f t="shared" si="91"/>
        <v/>
      </c>
      <c r="V38" s="1868" t="str">
        <f t="shared" si="92"/>
        <v/>
      </c>
      <c r="W38" s="1872">
        <f t="shared" si="93"/>
        <v>0</v>
      </c>
      <c r="X38" s="1874" t="str">
        <f t="shared" si="94"/>
        <v/>
      </c>
      <c r="Y38" s="1875" t="str">
        <f t="shared" si="95"/>
        <v/>
      </c>
      <c r="Z38" s="1941"/>
      <c r="AA38" s="1876" t="str">
        <f t="shared" si="96"/>
        <v/>
      </c>
      <c r="AB38" s="1471" t="str">
        <f t="shared" si="70"/>
        <v/>
      </c>
      <c r="AC38" s="1908" t="str">
        <f t="shared" si="53"/>
        <v/>
      </c>
      <c r="AD38" s="1909" t="str">
        <f t="shared" ca="1" si="44"/>
        <v/>
      </c>
      <c r="AE38" s="1910" t="str">
        <f t="shared" ca="1" si="45"/>
        <v/>
      </c>
      <c r="AF38" s="1908" t="str">
        <f t="shared" ca="1" si="46"/>
        <v/>
      </c>
      <c r="AG38" s="1909" t="str">
        <f t="shared" ca="1" si="47"/>
        <v/>
      </c>
      <c r="AH38" s="1910" t="str">
        <f t="shared" ca="1" si="48"/>
        <v/>
      </c>
      <c r="AI38" s="1909" t="str">
        <f t="shared" ca="1" si="49"/>
        <v/>
      </c>
      <c r="AJ38" s="1910" t="str">
        <f t="shared" ca="1" si="50"/>
        <v/>
      </c>
      <c r="AK38" s="1911" t="str">
        <f t="shared" si="54"/>
        <v/>
      </c>
      <c r="AL38" s="1912" t="str">
        <f t="shared" si="55"/>
        <v/>
      </c>
      <c r="AM38" s="1913" t="str">
        <f t="shared" si="56"/>
        <v/>
      </c>
      <c r="AN38" s="1908" t="str">
        <f t="shared" si="57"/>
        <v/>
      </c>
      <c r="AO38" s="1914" t="str">
        <f t="shared" si="58"/>
        <v/>
      </c>
      <c r="AP38" s="1915" t="str">
        <f t="shared" si="4"/>
        <v/>
      </c>
      <c r="AQ38" s="1916" t="str">
        <f t="shared" si="5"/>
        <v/>
      </c>
      <c r="AR38" s="1917" t="str">
        <f t="shared" si="6"/>
        <v/>
      </c>
      <c r="AS38" s="1910" t="str">
        <f t="shared" si="7"/>
        <v/>
      </c>
      <c r="AT38" s="1918" t="str">
        <f t="shared" si="59"/>
        <v/>
      </c>
      <c r="AU38" s="1919" t="str">
        <f t="shared" si="60"/>
        <v/>
      </c>
      <c r="AV38" s="1920" t="str">
        <f t="shared" si="8"/>
        <v/>
      </c>
      <c r="AW38" s="1910" t="str">
        <f t="shared" si="9"/>
        <v/>
      </c>
      <c r="AX38" s="1918" t="str">
        <f t="shared" si="61"/>
        <v/>
      </c>
      <c r="AY38" s="1919" t="str">
        <f t="shared" si="62"/>
        <v/>
      </c>
      <c r="AZ38" s="1920" t="str">
        <f t="shared" si="10"/>
        <v/>
      </c>
      <c r="BA38" s="1910" t="str">
        <f t="shared" si="11"/>
        <v/>
      </c>
      <c r="BB38" s="1918" t="str">
        <f t="shared" si="63"/>
        <v/>
      </c>
      <c r="BC38" s="1919" t="str">
        <f t="shared" si="64"/>
        <v/>
      </c>
      <c r="BD38" s="1920" t="str">
        <f t="shared" si="12"/>
        <v/>
      </c>
      <c r="BE38" s="1910" t="str">
        <f t="shared" si="13"/>
        <v/>
      </c>
      <c r="BF38" s="1918" t="str">
        <f t="shared" si="65"/>
        <v/>
      </c>
      <c r="BG38" s="1919" t="str">
        <f t="shared" si="66"/>
        <v/>
      </c>
      <c r="BH38" s="322"/>
      <c r="BJ38" s="1258" t="str">
        <f t="shared" si="124"/>
        <v/>
      </c>
      <c r="BK38" s="1256" t="b">
        <f t="shared" si="125"/>
        <v>0</v>
      </c>
      <c r="BL38" s="1251" t="b">
        <v>0</v>
      </c>
      <c r="BM38" s="1251">
        <f t="shared" si="113"/>
        <v>0</v>
      </c>
      <c r="BN38" s="1251">
        <f t="shared" si="114"/>
        <v>0</v>
      </c>
      <c r="BO38" s="1251">
        <f t="shared" si="115"/>
        <v>0</v>
      </c>
      <c r="BP38" s="1251">
        <f t="shared" si="116"/>
        <v>0</v>
      </c>
      <c r="BQ38" s="1251">
        <f t="shared" si="117"/>
        <v>0</v>
      </c>
      <c r="BR38" s="1251" t="b">
        <f t="shared" si="118"/>
        <v>1</v>
      </c>
      <c r="BS38" s="1252">
        <f t="shared" si="119"/>
        <v>6</v>
      </c>
      <c r="BT38" s="1252" t="str">
        <f t="shared" si="120"/>
        <v>No</v>
      </c>
      <c r="BU38" s="1252">
        <f t="shared" si="121"/>
        <v>6</v>
      </c>
      <c r="BV38" s="1252" t="str">
        <f t="shared" si="122"/>
        <v>No</v>
      </c>
      <c r="BW38" s="1253">
        <f t="shared" ca="1" si="33"/>
        <v>0</v>
      </c>
      <c r="BX38" s="1254" t="str">
        <f t="shared" ca="1" si="40"/>
        <v/>
      </c>
      <c r="BY38" s="1254" t="b">
        <f t="shared" ca="1" si="34"/>
        <v>0</v>
      </c>
      <c r="BZ38" s="1255" t="b">
        <f t="shared" si="41"/>
        <v>0</v>
      </c>
      <c r="CB38" s="842"/>
      <c r="CC38" s="894"/>
      <c r="CD38" s="883"/>
      <c r="CE38" s="884"/>
      <c r="CF38" s="885"/>
      <c r="CG38" s="901"/>
      <c r="CH38" s="902"/>
      <c r="CI38" s="903"/>
      <c r="CJ38" s="902"/>
      <c r="CK38" s="903"/>
      <c r="CL38" s="904"/>
      <c r="CM38" s="944"/>
      <c r="CN38" s="901"/>
      <c r="CO38" s="902"/>
      <c r="CP38" s="903"/>
      <c r="CQ38" s="902"/>
      <c r="CR38" s="903"/>
      <c r="CS38" s="904"/>
      <c r="CT38" s="944"/>
      <c r="CU38" s="906"/>
      <c r="CV38" s="886"/>
      <c r="CW38" s="887"/>
      <c r="CX38" s="915"/>
      <c r="CY38" s="916"/>
      <c r="CZ38" s="932"/>
      <c r="DA38" s="933"/>
      <c r="DB38" s="932"/>
      <c r="DC38" s="933"/>
      <c r="DD38" s="1149"/>
      <c r="DE38" s="1150"/>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44" t="str">
        <f t="shared" si="100"/>
        <v/>
      </c>
      <c r="EP38" s="1166" t="str">
        <f t="shared" si="126"/>
        <v/>
      </c>
      <c r="EQ38" s="1167" t="str">
        <f t="shared" si="127"/>
        <v/>
      </c>
      <c r="ER38" s="961" t="str">
        <f t="shared" si="101"/>
        <v/>
      </c>
      <c r="ES38" s="962" t="str">
        <f t="shared" si="102"/>
        <v/>
      </c>
      <c r="ET38" s="963" t="str">
        <f t="shared" si="103"/>
        <v/>
      </c>
      <c r="EU38" s="964" t="str">
        <f t="shared" si="104"/>
        <v/>
      </c>
      <c r="EX38" s="1194" t="str">
        <f t="shared" ca="1" si="35"/>
        <v/>
      </c>
      <c r="EY38" s="1196" t="str">
        <f t="shared" si="14"/>
        <v/>
      </c>
      <c r="EZ38" s="1196" t="str">
        <f t="shared" si="36"/>
        <v/>
      </c>
      <c r="FA38" s="1217" t="str">
        <f t="shared" ca="1" si="42"/>
        <v/>
      </c>
      <c r="FB38" s="1218" t="str">
        <f t="shared" ca="1" si="37"/>
        <v/>
      </c>
      <c r="FC38" s="1218">
        <f t="shared" ca="1" si="15"/>
        <v>0</v>
      </c>
      <c r="FD38" s="1218">
        <f t="shared" ca="1" si="16"/>
        <v>0</v>
      </c>
      <c r="FE38" s="1218">
        <f t="shared" ca="1" si="17"/>
        <v>0</v>
      </c>
      <c r="FF38" s="1218">
        <f t="shared" ca="1" si="38"/>
        <v>0</v>
      </c>
      <c r="FN38" s="1256" t="b">
        <v>0</v>
      </c>
      <c r="FO38" s="969" t="b">
        <f t="shared" si="123"/>
        <v>1</v>
      </c>
      <c r="FP38" s="969" t="b">
        <v>0</v>
      </c>
      <c r="FQ38" s="969" t="b">
        <f t="shared" si="39"/>
        <v>1</v>
      </c>
      <c r="FX38" s="236"/>
      <c r="FZ38" s="2"/>
      <c r="GA38" s="1935" t="str">
        <f t="shared" si="105"/>
        <v/>
      </c>
      <c r="GB38" s="1936" t="str">
        <f t="shared" si="106"/>
        <v/>
      </c>
      <c r="GC38" s="1937" t="str">
        <f t="shared" si="107"/>
        <v/>
      </c>
      <c r="GD38" s="1938" t="str">
        <f t="shared" si="108"/>
        <v/>
      </c>
      <c r="GE38" s="1939" t="str">
        <f t="shared" si="109"/>
        <v/>
      </c>
      <c r="GF38" s="1940" t="str">
        <f t="shared" si="110"/>
        <v/>
      </c>
      <c r="GG38" s="1457"/>
      <c r="GH38" s="1459"/>
      <c r="GI38" s="1457"/>
      <c r="GJ38" s="1459"/>
      <c r="GK38" s="326">
        <f t="shared" si="111"/>
        <v>0</v>
      </c>
      <c r="GL38" s="326" t="e">
        <f t="shared" si="112"/>
        <v>#VALUE!</v>
      </c>
      <c r="GM38" s="327" t="e">
        <f>IF(ABS(GK38-GL38)&gt;='Job Info.'!$L$22,ABS(GK38-GL38),0)</f>
        <v>#VALUE!</v>
      </c>
      <c r="HA38" s="1612"/>
      <c r="HB38" s="1613"/>
      <c r="HC38" s="1613"/>
      <c r="HD38" s="1614"/>
      <c r="HE38" s="1615"/>
      <c r="HF38" s="1613"/>
      <c r="HG38" s="1613"/>
      <c r="HH38" s="1613"/>
      <c r="HI38" s="1613"/>
      <c r="HJ38" s="1613"/>
      <c r="HK38" s="1613"/>
      <c r="HL38" s="1613"/>
      <c r="HM38" s="1613"/>
      <c r="HN38" s="1613"/>
      <c r="HO38" s="1613"/>
      <c r="HP38" s="1613"/>
      <c r="HQ38" s="1613"/>
      <c r="HR38" s="1613"/>
      <c r="HS38" s="1613"/>
      <c r="HT38" s="1613"/>
      <c r="HU38" s="1613"/>
      <c r="HV38" s="1613"/>
      <c r="HW38" s="1613"/>
      <c r="HX38" s="1613"/>
      <c r="HY38" s="1617"/>
      <c r="HZ38" s="1617"/>
      <c r="IA38" s="1617"/>
      <c r="IB38" s="1617"/>
      <c r="IC38" s="1617"/>
      <c r="ID38" s="1618"/>
      <c r="IE38" s="1612"/>
      <c r="IF38" s="1613"/>
      <c r="IG38" s="1614"/>
      <c r="IH38" s="1615"/>
      <c r="II38" s="1613"/>
      <c r="IJ38" s="1614"/>
      <c r="IK38" s="1615"/>
      <c r="IL38" s="1613"/>
      <c r="IM38" s="1613"/>
      <c r="IN38" s="1613"/>
      <c r="IO38" s="1613"/>
      <c r="IP38" s="1613"/>
      <c r="IQ38" s="1613"/>
      <c r="IR38" s="1613"/>
      <c r="IS38" s="1614"/>
      <c r="IT38" s="1615"/>
      <c r="IU38" s="1613"/>
      <c r="IV38" s="1613"/>
      <c r="IW38" s="1614"/>
      <c r="IX38" s="1615"/>
      <c r="IY38" s="1613"/>
      <c r="IZ38" s="1613"/>
      <c r="JA38" s="1614"/>
      <c r="JB38" s="1615"/>
      <c r="JC38" s="1613"/>
      <c r="JD38" s="1613"/>
      <c r="JE38" s="1614"/>
      <c r="JF38" s="1615"/>
      <c r="JG38" s="1613"/>
      <c r="JH38" s="1613"/>
      <c r="JI38" s="1613"/>
      <c r="JJ38" s="1616"/>
      <c r="JK38" s="1613"/>
      <c r="JL38" s="1521">
        <f t="shared" ca="1" si="43"/>
        <v>0</v>
      </c>
      <c r="JM38" s="171"/>
    </row>
    <row r="39" spans="1:273" ht="12.6" customHeight="1" x14ac:dyDescent="0.25">
      <c r="A39" s="1861" t="str">
        <f t="shared" si="71"/>
        <v/>
      </c>
      <c r="B39" s="1862" t="str">
        <f t="shared" si="72"/>
        <v/>
      </c>
      <c r="C39" s="1863" t="str">
        <f t="shared" si="73"/>
        <v/>
      </c>
      <c r="D39" s="1864" t="str">
        <f t="shared" si="74"/>
        <v/>
      </c>
      <c r="E39" s="1865" t="str">
        <f t="shared" si="75"/>
        <v/>
      </c>
      <c r="F39" s="1866" t="str">
        <f t="shared" si="76"/>
        <v/>
      </c>
      <c r="G39" s="1867" t="str">
        <f t="shared" si="77"/>
        <v/>
      </c>
      <c r="H39" s="1868" t="str">
        <f t="shared" si="78"/>
        <v/>
      </c>
      <c r="I39" s="1869" t="str">
        <f t="shared" si="79"/>
        <v/>
      </c>
      <c r="J39" s="1864" t="str">
        <f t="shared" si="80"/>
        <v/>
      </c>
      <c r="K39" s="1868" t="str">
        <f t="shared" si="81"/>
        <v/>
      </c>
      <c r="L39" s="1870" t="str">
        <f t="shared" si="82"/>
        <v/>
      </c>
      <c r="M39" s="1871" t="str">
        <f t="shared" si="83"/>
        <v/>
      </c>
      <c r="N39" s="1872" t="str">
        <f t="shared" si="84"/>
        <v/>
      </c>
      <c r="O39" s="1867" t="str">
        <f t="shared" si="85"/>
        <v/>
      </c>
      <c r="P39" s="1868" t="str">
        <f t="shared" si="86"/>
        <v/>
      </c>
      <c r="Q39" s="1864" t="str">
        <f t="shared" si="87"/>
        <v/>
      </c>
      <c r="R39" s="1865" t="str">
        <f t="shared" si="88"/>
        <v/>
      </c>
      <c r="S39" s="1873" t="str">
        <f t="shared" si="89"/>
        <v/>
      </c>
      <c r="T39" s="1868" t="str">
        <f t="shared" si="90"/>
        <v/>
      </c>
      <c r="U39" s="1864" t="str">
        <f t="shared" si="91"/>
        <v/>
      </c>
      <c r="V39" s="1868" t="str">
        <f t="shared" si="92"/>
        <v/>
      </c>
      <c r="W39" s="1872">
        <f t="shared" si="93"/>
        <v>0</v>
      </c>
      <c r="X39" s="1874" t="str">
        <f t="shared" si="94"/>
        <v/>
      </c>
      <c r="Y39" s="1875" t="str">
        <f t="shared" si="95"/>
        <v/>
      </c>
      <c r="Z39" s="1941"/>
      <c r="AA39" s="1876" t="str">
        <f t="shared" si="96"/>
        <v/>
      </c>
      <c r="AB39" s="1471" t="str">
        <f t="shared" si="70"/>
        <v/>
      </c>
      <c r="AC39" s="1908" t="str">
        <f t="shared" si="53"/>
        <v/>
      </c>
      <c r="AD39" s="1909" t="str">
        <f t="shared" ca="1" si="44"/>
        <v/>
      </c>
      <c r="AE39" s="1910" t="str">
        <f t="shared" ca="1" si="45"/>
        <v/>
      </c>
      <c r="AF39" s="1908" t="str">
        <f t="shared" ca="1" si="46"/>
        <v/>
      </c>
      <c r="AG39" s="1909" t="str">
        <f t="shared" ca="1" si="47"/>
        <v/>
      </c>
      <c r="AH39" s="1910" t="str">
        <f t="shared" ca="1" si="48"/>
        <v/>
      </c>
      <c r="AI39" s="1909" t="str">
        <f t="shared" ca="1" si="49"/>
        <v/>
      </c>
      <c r="AJ39" s="1910" t="str">
        <f t="shared" ca="1" si="50"/>
        <v/>
      </c>
      <c r="AK39" s="1911" t="str">
        <f t="shared" si="54"/>
        <v/>
      </c>
      <c r="AL39" s="1912" t="str">
        <f t="shared" si="55"/>
        <v/>
      </c>
      <c r="AM39" s="1913" t="str">
        <f t="shared" si="56"/>
        <v/>
      </c>
      <c r="AN39" s="1908" t="str">
        <f t="shared" si="57"/>
        <v/>
      </c>
      <c r="AO39" s="1914" t="str">
        <f t="shared" si="58"/>
        <v/>
      </c>
      <c r="AP39" s="1915" t="str">
        <f t="shared" si="4"/>
        <v/>
      </c>
      <c r="AQ39" s="1916" t="str">
        <f t="shared" si="5"/>
        <v/>
      </c>
      <c r="AR39" s="1917" t="str">
        <f t="shared" si="6"/>
        <v/>
      </c>
      <c r="AS39" s="1910" t="str">
        <f t="shared" si="7"/>
        <v/>
      </c>
      <c r="AT39" s="1918" t="str">
        <f t="shared" si="59"/>
        <v/>
      </c>
      <c r="AU39" s="1919" t="str">
        <f t="shared" si="60"/>
        <v/>
      </c>
      <c r="AV39" s="1920" t="str">
        <f t="shared" si="8"/>
        <v/>
      </c>
      <c r="AW39" s="1910" t="str">
        <f t="shared" si="9"/>
        <v/>
      </c>
      <c r="AX39" s="1918" t="str">
        <f t="shared" si="61"/>
        <v/>
      </c>
      <c r="AY39" s="1919" t="str">
        <f t="shared" si="62"/>
        <v/>
      </c>
      <c r="AZ39" s="1920" t="str">
        <f t="shared" si="10"/>
        <v/>
      </c>
      <c r="BA39" s="1910" t="str">
        <f t="shared" si="11"/>
        <v/>
      </c>
      <c r="BB39" s="1918" t="str">
        <f t="shared" si="63"/>
        <v/>
      </c>
      <c r="BC39" s="1919" t="str">
        <f t="shared" si="64"/>
        <v/>
      </c>
      <c r="BD39" s="1920" t="str">
        <f t="shared" si="12"/>
        <v/>
      </c>
      <c r="BE39" s="1910" t="str">
        <f t="shared" si="13"/>
        <v/>
      </c>
      <c r="BF39" s="1918" t="str">
        <f t="shared" si="65"/>
        <v/>
      </c>
      <c r="BG39" s="1919" t="str">
        <f t="shared" si="66"/>
        <v/>
      </c>
      <c r="BH39" s="322"/>
      <c r="BJ39" s="1258" t="str">
        <f t="shared" si="124"/>
        <v/>
      </c>
      <c r="BK39" s="1256" t="b">
        <f t="shared" si="125"/>
        <v>0</v>
      </c>
      <c r="BL39" s="1251" t="b">
        <v>0</v>
      </c>
      <c r="BM39" s="1251">
        <f t="shared" si="113"/>
        <v>0</v>
      </c>
      <c r="BN39" s="1251">
        <f t="shared" si="114"/>
        <v>0</v>
      </c>
      <c r="BO39" s="1251">
        <f t="shared" si="115"/>
        <v>0</v>
      </c>
      <c r="BP39" s="1251">
        <f t="shared" si="116"/>
        <v>0</v>
      </c>
      <c r="BQ39" s="1251">
        <f t="shared" si="117"/>
        <v>0</v>
      </c>
      <c r="BR39" s="1251" t="b">
        <f t="shared" si="118"/>
        <v>1</v>
      </c>
      <c r="BS39" s="1252">
        <f t="shared" si="119"/>
        <v>6</v>
      </c>
      <c r="BT39" s="1252" t="str">
        <f t="shared" si="120"/>
        <v>No</v>
      </c>
      <c r="BU39" s="1252">
        <f t="shared" si="121"/>
        <v>6</v>
      </c>
      <c r="BV39" s="1252" t="str">
        <f t="shared" si="122"/>
        <v>No</v>
      </c>
      <c r="BW39" s="1253">
        <f t="shared" ca="1" si="33"/>
        <v>0</v>
      </c>
      <c r="BX39" s="1254" t="str">
        <f t="shared" ca="1" si="40"/>
        <v/>
      </c>
      <c r="BY39" s="1254" t="b">
        <f t="shared" ca="1" si="34"/>
        <v>0</v>
      </c>
      <c r="BZ39" s="1255" t="b">
        <f t="shared" si="41"/>
        <v>0</v>
      </c>
      <c r="CB39" s="842"/>
      <c r="CC39" s="894"/>
      <c r="CD39" s="883"/>
      <c r="CE39" s="884"/>
      <c r="CF39" s="885"/>
      <c r="CG39" s="901"/>
      <c r="CH39" s="902"/>
      <c r="CI39" s="903"/>
      <c r="CJ39" s="902"/>
      <c r="CK39" s="903"/>
      <c r="CL39" s="904"/>
      <c r="CM39" s="944"/>
      <c r="CN39" s="901"/>
      <c r="CO39" s="902"/>
      <c r="CP39" s="903"/>
      <c r="CQ39" s="902"/>
      <c r="CR39" s="903"/>
      <c r="CS39" s="904"/>
      <c r="CT39" s="944"/>
      <c r="CU39" s="906"/>
      <c r="CV39" s="886"/>
      <c r="CW39" s="887"/>
      <c r="CX39" s="915"/>
      <c r="CY39" s="916"/>
      <c r="CZ39" s="932"/>
      <c r="DA39" s="933"/>
      <c r="DB39" s="932"/>
      <c r="DC39" s="933"/>
      <c r="DD39" s="1149"/>
      <c r="DE39" s="1150"/>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44" t="str">
        <f t="shared" si="100"/>
        <v/>
      </c>
      <c r="EP39" s="1166" t="str">
        <f t="shared" si="126"/>
        <v/>
      </c>
      <c r="EQ39" s="1167" t="str">
        <f t="shared" si="127"/>
        <v/>
      </c>
      <c r="ER39" s="961" t="str">
        <f t="shared" si="101"/>
        <v/>
      </c>
      <c r="ES39" s="962" t="str">
        <f t="shared" si="102"/>
        <v/>
      </c>
      <c r="ET39" s="963" t="str">
        <f t="shared" si="103"/>
        <v/>
      </c>
      <c r="EU39" s="964" t="str">
        <f t="shared" si="104"/>
        <v/>
      </c>
      <c r="EX39" s="1194" t="str">
        <f t="shared" ca="1" si="35"/>
        <v/>
      </c>
      <c r="EY39" s="1196" t="str">
        <f t="shared" si="14"/>
        <v/>
      </c>
      <c r="EZ39" s="1196" t="str">
        <f t="shared" si="36"/>
        <v/>
      </c>
      <c r="FA39" s="1217" t="str">
        <f t="shared" ca="1" si="42"/>
        <v/>
      </c>
      <c r="FB39" s="1218" t="str">
        <f t="shared" ca="1" si="37"/>
        <v/>
      </c>
      <c r="FC39" s="1218">
        <f t="shared" ca="1" si="15"/>
        <v>0</v>
      </c>
      <c r="FD39" s="1218">
        <f t="shared" ca="1" si="16"/>
        <v>0</v>
      </c>
      <c r="FE39" s="1218">
        <f t="shared" ca="1" si="17"/>
        <v>0</v>
      </c>
      <c r="FF39" s="1218">
        <f t="shared" ca="1" si="38"/>
        <v>0</v>
      </c>
      <c r="FN39" s="1256" t="b">
        <v>0</v>
      </c>
      <c r="FO39" s="969" t="b">
        <f t="shared" si="123"/>
        <v>1</v>
      </c>
      <c r="FP39" s="969" t="b">
        <v>0</v>
      </c>
      <c r="FQ39" s="969" t="b">
        <f t="shared" si="39"/>
        <v>1</v>
      </c>
      <c r="FX39" s="236"/>
      <c r="FZ39" s="2"/>
      <c r="GA39" s="1935" t="str">
        <f t="shared" si="105"/>
        <v/>
      </c>
      <c r="GB39" s="1936" t="str">
        <f t="shared" si="106"/>
        <v/>
      </c>
      <c r="GC39" s="1937" t="str">
        <f t="shared" si="107"/>
        <v/>
      </c>
      <c r="GD39" s="1938" t="str">
        <f t="shared" si="108"/>
        <v/>
      </c>
      <c r="GE39" s="1939" t="str">
        <f t="shared" si="109"/>
        <v/>
      </c>
      <c r="GF39" s="1940" t="str">
        <f t="shared" si="110"/>
        <v/>
      </c>
      <c r="GG39" s="1457"/>
      <c r="GH39" s="1459"/>
      <c r="GI39" s="1457"/>
      <c r="GJ39" s="1459"/>
      <c r="GK39" s="326">
        <f t="shared" si="111"/>
        <v>0</v>
      </c>
      <c r="GL39" s="326" t="e">
        <f t="shared" si="112"/>
        <v>#VALUE!</v>
      </c>
      <c r="GM39" s="327" t="e">
        <f>IF(ABS(GK39-GL39)&gt;='Job Info.'!$L$22,ABS(GK39-GL39),0)</f>
        <v>#VALUE!</v>
      </c>
      <c r="HA39" s="1612"/>
      <c r="HB39" s="1613"/>
      <c r="HC39" s="1613"/>
      <c r="HD39" s="1614"/>
      <c r="HE39" s="1615"/>
      <c r="HF39" s="1613"/>
      <c r="HG39" s="1613"/>
      <c r="HH39" s="1613"/>
      <c r="HI39" s="1613"/>
      <c r="HJ39" s="1613"/>
      <c r="HK39" s="1613"/>
      <c r="HL39" s="1613"/>
      <c r="HM39" s="1613"/>
      <c r="HN39" s="1613"/>
      <c r="HO39" s="1613"/>
      <c r="HP39" s="1613"/>
      <c r="HQ39" s="1613"/>
      <c r="HR39" s="1613"/>
      <c r="HS39" s="1613"/>
      <c r="HT39" s="1613"/>
      <c r="HU39" s="1613"/>
      <c r="HV39" s="1613"/>
      <c r="HW39" s="1613"/>
      <c r="HX39" s="1613"/>
      <c r="HY39" s="1617"/>
      <c r="HZ39" s="1617"/>
      <c r="IA39" s="1617"/>
      <c r="IB39" s="1617"/>
      <c r="IC39" s="1617"/>
      <c r="ID39" s="1618"/>
      <c r="IE39" s="1612"/>
      <c r="IF39" s="1613"/>
      <c r="IG39" s="1614"/>
      <c r="IH39" s="1615"/>
      <c r="II39" s="1613"/>
      <c r="IJ39" s="1614"/>
      <c r="IK39" s="1615"/>
      <c r="IL39" s="1613"/>
      <c r="IM39" s="1613"/>
      <c r="IN39" s="1613"/>
      <c r="IO39" s="1613"/>
      <c r="IP39" s="1613"/>
      <c r="IQ39" s="1613"/>
      <c r="IR39" s="1613"/>
      <c r="IS39" s="1614"/>
      <c r="IT39" s="1615"/>
      <c r="IU39" s="1613"/>
      <c r="IV39" s="1613"/>
      <c r="IW39" s="1614"/>
      <c r="IX39" s="1615"/>
      <c r="IY39" s="1613"/>
      <c r="IZ39" s="1613"/>
      <c r="JA39" s="1614"/>
      <c r="JB39" s="1615"/>
      <c r="JC39" s="1613"/>
      <c r="JD39" s="1613"/>
      <c r="JE39" s="1614"/>
      <c r="JF39" s="1615"/>
      <c r="JG39" s="1613"/>
      <c r="JH39" s="1613"/>
      <c r="JI39" s="1613"/>
      <c r="JJ39" s="1616"/>
      <c r="JK39" s="1613"/>
      <c r="JL39" s="1521">
        <f t="shared" ca="1" si="43"/>
        <v>0</v>
      </c>
      <c r="JM39" s="171"/>
    </row>
    <row r="40" spans="1:273" ht="12.6" customHeight="1" x14ac:dyDescent="0.25">
      <c r="A40" s="1861" t="str">
        <f t="shared" si="71"/>
        <v/>
      </c>
      <c r="B40" s="1862" t="str">
        <f t="shared" si="72"/>
        <v/>
      </c>
      <c r="C40" s="1863" t="str">
        <f t="shared" si="73"/>
        <v/>
      </c>
      <c r="D40" s="1864" t="str">
        <f t="shared" si="74"/>
        <v/>
      </c>
      <c r="E40" s="1865" t="str">
        <f t="shared" si="75"/>
        <v/>
      </c>
      <c r="F40" s="1866" t="str">
        <f t="shared" si="76"/>
        <v/>
      </c>
      <c r="G40" s="1867" t="str">
        <f t="shared" si="77"/>
        <v/>
      </c>
      <c r="H40" s="1868" t="str">
        <f t="shared" si="78"/>
        <v/>
      </c>
      <c r="I40" s="1869" t="str">
        <f t="shared" si="79"/>
        <v/>
      </c>
      <c r="J40" s="1864" t="str">
        <f t="shared" si="80"/>
        <v/>
      </c>
      <c r="K40" s="1868" t="str">
        <f t="shared" si="81"/>
        <v/>
      </c>
      <c r="L40" s="1870" t="str">
        <f t="shared" si="82"/>
        <v/>
      </c>
      <c r="M40" s="1871" t="str">
        <f t="shared" si="83"/>
        <v/>
      </c>
      <c r="N40" s="1872" t="str">
        <f t="shared" si="84"/>
        <v/>
      </c>
      <c r="O40" s="1867" t="str">
        <f t="shared" si="85"/>
        <v/>
      </c>
      <c r="P40" s="1868" t="str">
        <f t="shared" si="86"/>
        <v/>
      </c>
      <c r="Q40" s="1864" t="str">
        <f t="shared" si="87"/>
        <v/>
      </c>
      <c r="R40" s="1865" t="str">
        <f t="shared" si="88"/>
        <v/>
      </c>
      <c r="S40" s="1873" t="str">
        <f t="shared" si="89"/>
        <v/>
      </c>
      <c r="T40" s="1868" t="str">
        <f t="shared" si="90"/>
        <v/>
      </c>
      <c r="U40" s="1864" t="str">
        <f t="shared" si="91"/>
        <v/>
      </c>
      <c r="V40" s="1868" t="str">
        <f t="shared" si="92"/>
        <v/>
      </c>
      <c r="W40" s="1872">
        <f t="shared" si="93"/>
        <v>0</v>
      </c>
      <c r="X40" s="1874" t="str">
        <f t="shared" si="94"/>
        <v/>
      </c>
      <c r="Y40" s="1875" t="str">
        <f t="shared" si="95"/>
        <v/>
      </c>
      <c r="Z40" s="1941"/>
      <c r="AA40" s="1876" t="str">
        <f t="shared" si="96"/>
        <v/>
      </c>
      <c r="AB40" s="1471" t="str">
        <f t="shared" si="70"/>
        <v/>
      </c>
      <c r="AC40" s="1908" t="str">
        <f t="shared" si="53"/>
        <v/>
      </c>
      <c r="AD40" s="1909" t="str">
        <f t="shared" ca="1" si="44"/>
        <v/>
      </c>
      <c r="AE40" s="1910" t="str">
        <f t="shared" ca="1" si="45"/>
        <v/>
      </c>
      <c r="AF40" s="1908" t="str">
        <f t="shared" ca="1" si="46"/>
        <v/>
      </c>
      <c r="AG40" s="1909" t="str">
        <f t="shared" ca="1" si="47"/>
        <v/>
      </c>
      <c r="AH40" s="1910" t="str">
        <f t="shared" ca="1" si="48"/>
        <v/>
      </c>
      <c r="AI40" s="1909" t="str">
        <f t="shared" ca="1" si="49"/>
        <v/>
      </c>
      <c r="AJ40" s="1910" t="str">
        <f t="shared" ca="1" si="50"/>
        <v/>
      </c>
      <c r="AK40" s="1911" t="str">
        <f t="shared" si="54"/>
        <v/>
      </c>
      <c r="AL40" s="1912" t="str">
        <f t="shared" si="55"/>
        <v/>
      </c>
      <c r="AM40" s="1913" t="str">
        <f t="shared" si="56"/>
        <v/>
      </c>
      <c r="AN40" s="1908" t="str">
        <f t="shared" si="57"/>
        <v/>
      </c>
      <c r="AO40" s="1914" t="str">
        <f t="shared" si="58"/>
        <v/>
      </c>
      <c r="AP40" s="1915" t="str">
        <f t="shared" si="4"/>
        <v/>
      </c>
      <c r="AQ40" s="1916" t="str">
        <f t="shared" si="5"/>
        <v/>
      </c>
      <c r="AR40" s="1917" t="str">
        <f t="shared" si="6"/>
        <v/>
      </c>
      <c r="AS40" s="1910" t="str">
        <f t="shared" si="7"/>
        <v/>
      </c>
      <c r="AT40" s="1918" t="str">
        <f t="shared" si="59"/>
        <v/>
      </c>
      <c r="AU40" s="1919" t="str">
        <f t="shared" si="60"/>
        <v/>
      </c>
      <c r="AV40" s="1920" t="str">
        <f t="shared" si="8"/>
        <v/>
      </c>
      <c r="AW40" s="1910" t="str">
        <f t="shared" si="9"/>
        <v/>
      </c>
      <c r="AX40" s="1918" t="str">
        <f t="shared" si="61"/>
        <v/>
      </c>
      <c r="AY40" s="1919" t="str">
        <f t="shared" si="62"/>
        <v/>
      </c>
      <c r="AZ40" s="1920" t="str">
        <f t="shared" si="10"/>
        <v/>
      </c>
      <c r="BA40" s="1910" t="str">
        <f t="shared" si="11"/>
        <v/>
      </c>
      <c r="BB40" s="1918" t="str">
        <f t="shared" si="63"/>
        <v/>
      </c>
      <c r="BC40" s="1919" t="str">
        <f t="shared" si="64"/>
        <v/>
      </c>
      <c r="BD40" s="1920" t="str">
        <f t="shared" si="12"/>
        <v/>
      </c>
      <c r="BE40" s="1910" t="str">
        <f t="shared" si="13"/>
        <v/>
      </c>
      <c r="BF40" s="1918" t="str">
        <f t="shared" si="65"/>
        <v/>
      </c>
      <c r="BG40" s="1919" t="str">
        <f t="shared" si="66"/>
        <v/>
      </c>
      <c r="BH40" s="322"/>
      <c r="BJ40" s="1258" t="str">
        <f t="shared" si="124"/>
        <v/>
      </c>
      <c r="BK40" s="1256" t="b">
        <f t="shared" si="125"/>
        <v>0</v>
      </c>
      <c r="BL40" s="1251" t="b">
        <v>0</v>
      </c>
      <c r="BM40" s="1251">
        <f t="shared" si="113"/>
        <v>0</v>
      </c>
      <c r="BN40" s="1251">
        <f t="shared" si="114"/>
        <v>0</v>
      </c>
      <c r="BO40" s="1251">
        <f t="shared" si="115"/>
        <v>0</v>
      </c>
      <c r="BP40" s="1251">
        <f t="shared" si="116"/>
        <v>0</v>
      </c>
      <c r="BQ40" s="1251">
        <f t="shared" si="117"/>
        <v>0</v>
      </c>
      <c r="BR40" s="1251" t="b">
        <f t="shared" si="118"/>
        <v>1</v>
      </c>
      <c r="BS40" s="1252">
        <f t="shared" si="119"/>
        <v>6</v>
      </c>
      <c r="BT40" s="1252" t="str">
        <f t="shared" si="120"/>
        <v>No</v>
      </c>
      <c r="BU40" s="1252">
        <f t="shared" si="121"/>
        <v>6</v>
      </c>
      <c r="BV40" s="1252" t="str">
        <f t="shared" si="122"/>
        <v>No</v>
      </c>
      <c r="BW40" s="1253">
        <f t="shared" ca="1" si="33"/>
        <v>0</v>
      </c>
      <c r="BX40" s="1254" t="str">
        <f t="shared" ca="1" si="40"/>
        <v/>
      </c>
      <c r="BY40" s="1254" t="b">
        <f t="shared" ca="1" si="34"/>
        <v>0</v>
      </c>
      <c r="BZ40" s="1255" t="b">
        <f t="shared" si="41"/>
        <v>0</v>
      </c>
      <c r="CB40" s="842"/>
      <c r="CC40" s="894"/>
      <c r="CD40" s="883"/>
      <c r="CE40" s="884"/>
      <c r="CF40" s="885"/>
      <c r="CG40" s="901"/>
      <c r="CH40" s="902"/>
      <c r="CI40" s="903"/>
      <c r="CJ40" s="902"/>
      <c r="CK40" s="903"/>
      <c r="CL40" s="904"/>
      <c r="CM40" s="944"/>
      <c r="CN40" s="901"/>
      <c r="CO40" s="902"/>
      <c r="CP40" s="903"/>
      <c r="CQ40" s="902"/>
      <c r="CR40" s="903"/>
      <c r="CS40" s="904"/>
      <c r="CT40" s="944"/>
      <c r="CU40" s="906"/>
      <c r="CV40" s="886"/>
      <c r="CW40" s="887"/>
      <c r="CX40" s="915"/>
      <c r="CY40" s="916"/>
      <c r="CZ40" s="932"/>
      <c r="DA40" s="933"/>
      <c r="DB40" s="932"/>
      <c r="DC40" s="933"/>
      <c r="DD40" s="1149"/>
      <c r="DE40" s="1150"/>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44" t="str">
        <f t="shared" si="100"/>
        <v/>
      </c>
      <c r="EP40" s="1166" t="str">
        <f t="shared" si="126"/>
        <v/>
      </c>
      <c r="EQ40" s="1167" t="str">
        <f t="shared" si="127"/>
        <v/>
      </c>
      <c r="ER40" s="961" t="str">
        <f t="shared" si="101"/>
        <v/>
      </c>
      <c r="ES40" s="962" t="str">
        <f t="shared" si="102"/>
        <v/>
      </c>
      <c r="ET40" s="963" t="str">
        <f t="shared" si="103"/>
        <v/>
      </c>
      <c r="EU40" s="964" t="str">
        <f t="shared" si="104"/>
        <v/>
      </c>
      <c r="EX40" s="1194" t="str">
        <f t="shared" ca="1" si="35"/>
        <v/>
      </c>
      <c r="EY40" s="1196" t="str">
        <f t="shared" si="14"/>
        <v/>
      </c>
      <c r="EZ40" s="1196" t="str">
        <f t="shared" si="36"/>
        <v/>
      </c>
      <c r="FA40" s="1217" t="str">
        <f t="shared" ca="1" si="42"/>
        <v/>
      </c>
      <c r="FB40" s="1218" t="str">
        <f t="shared" ca="1" si="37"/>
        <v/>
      </c>
      <c r="FC40" s="1218">
        <f t="shared" ca="1" si="15"/>
        <v>0</v>
      </c>
      <c r="FD40" s="1218">
        <f t="shared" ca="1" si="16"/>
        <v>0</v>
      </c>
      <c r="FE40" s="1218">
        <f t="shared" ca="1" si="17"/>
        <v>0</v>
      </c>
      <c r="FF40" s="1218">
        <f t="shared" ca="1" si="38"/>
        <v>0</v>
      </c>
      <c r="FN40" s="1256" t="b">
        <v>0</v>
      </c>
      <c r="FO40" s="969" t="b">
        <f t="shared" si="123"/>
        <v>1</v>
      </c>
      <c r="FP40" s="969" t="b">
        <v>0</v>
      </c>
      <c r="FQ40" s="969" t="b">
        <f t="shared" si="39"/>
        <v>1</v>
      </c>
      <c r="FX40" s="236"/>
      <c r="FZ40" s="2"/>
      <c r="GA40" s="1935" t="str">
        <f t="shared" si="105"/>
        <v/>
      </c>
      <c r="GB40" s="1936" t="str">
        <f t="shared" si="106"/>
        <v/>
      </c>
      <c r="GC40" s="1937" t="str">
        <f t="shared" si="107"/>
        <v/>
      </c>
      <c r="GD40" s="1938" t="str">
        <f t="shared" si="108"/>
        <v/>
      </c>
      <c r="GE40" s="1939" t="str">
        <f t="shared" si="109"/>
        <v/>
      </c>
      <c r="GF40" s="1940" t="str">
        <f t="shared" si="110"/>
        <v/>
      </c>
      <c r="GG40" s="1457"/>
      <c r="GH40" s="1459"/>
      <c r="GI40" s="1457"/>
      <c r="GJ40" s="1459"/>
      <c r="GK40" s="326">
        <f t="shared" si="111"/>
        <v>0</v>
      </c>
      <c r="GL40" s="326" t="e">
        <f t="shared" si="112"/>
        <v>#VALUE!</v>
      </c>
      <c r="GM40" s="327" t="e">
        <f>IF(ABS(GK40-GL40)&gt;='Job Info.'!$L$22,ABS(GK40-GL40),0)</f>
        <v>#VALUE!</v>
      </c>
      <c r="HA40" s="1612"/>
      <c r="HB40" s="1613"/>
      <c r="HC40" s="1613"/>
      <c r="HD40" s="1614"/>
      <c r="HE40" s="1615"/>
      <c r="HF40" s="1613"/>
      <c r="HG40" s="1613"/>
      <c r="HH40" s="1613"/>
      <c r="HI40" s="1613"/>
      <c r="HJ40" s="1613"/>
      <c r="HK40" s="1613"/>
      <c r="HL40" s="1613"/>
      <c r="HM40" s="1613"/>
      <c r="HN40" s="1613"/>
      <c r="HO40" s="1613"/>
      <c r="HP40" s="1613"/>
      <c r="HQ40" s="1613"/>
      <c r="HR40" s="1613"/>
      <c r="HS40" s="1613"/>
      <c r="HT40" s="1613"/>
      <c r="HU40" s="1613"/>
      <c r="HV40" s="1613"/>
      <c r="HW40" s="1613"/>
      <c r="HX40" s="1613"/>
      <c r="HY40" s="1617"/>
      <c r="HZ40" s="1617"/>
      <c r="IA40" s="1617"/>
      <c r="IB40" s="1617"/>
      <c r="IC40" s="1617"/>
      <c r="ID40" s="1618"/>
      <c r="IE40" s="1612"/>
      <c r="IF40" s="1613"/>
      <c r="IG40" s="1614"/>
      <c r="IH40" s="1615"/>
      <c r="II40" s="1613"/>
      <c r="IJ40" s="1614"/>
      <c r="IK40" s="1615"/>
      <c r="IL40" s="1613"/>
      <c r="IM40" s="1613"/>
      <c r="IN40" s="1613"/>
      <c r="IO40" s="1613"/>
      <c r="IP40" s="1613"/>
      <c r="IQ40" s="1613"/>
      <c r="IR40" s="1613"/>
      <c r="IS40" s="1614"/>
      <c r="IT40" s="1615"/>
      <c r="IU40" s="1613"/>
      <c r="IV40" s="1613"/>
      <c r="IW40" s="1614"/>
      <c r="IX40" s="1615"/>
      <c r="IY40" s="1613"/>
      <c r="IZ40" s="1613"/>
      <c r="JA40" s="1614"/>
      <c r="JB40" s="1615"/>
      <c r="JC40" s="1613"/>
      <c r="JD40" s="1613"/>
      <c r="JE40" s="1614"/>
      <c r="JF40" s="1615"/>
      <c r="JG40" s="1613"/>
      <c r="JH40" s="1613"/>
      <c r="JI40" s="1613"/>
      <c r="JJ40" s="1616"/>
      <c r="JK40" s="1613"/>
      <c r="JL40" s="1521">
        <f t="shared" ca="1" si="43"/>
        <v>0</v>
      </c>
      <c r="JM40" s="171"/>
    </row>
    <row r="41" spans="1:273" ht="12.6" customHeight="1" x14ac:dyDescent="0.25">
      <c r="A41" s="1861" t="str">
        <f t="shared" si="71"/>
        <v/>
      </c>
      <c r="B41" s="1862" t="str">
        <f t="shared" si="72"/>
        <v/>
      </c>
      <c r="C41" s="1863" t="str">
        <f t="shared" si="73"/>
        <v/>
      </c>
      <c r="D41" s="1864" t="str">
        <f t="shared" si="74"/>
        <v/>
      </c>
      <c r="E41" s="1865" t="str">
        <f t="shared" si="75"/>
        <v/>
      </c>
      <c r="F41" s="1866" t="str">
        <f t="shared" si="76"/>
        <v/>
      </c>
      <c r="G41" s="1867" t="str">
        <f t="shared" si="77"/>
        <v/>
      </c>
      <c r="H41" s="1868" t="str">
        <f t="shared" si="78"/>
        <v/>
      </c>
      <c r="I41" s="1869" t="str">
        <f t="shared" si="79"/>
        <v/>
      </c>
      <c r="J41" s="1864" t="str">
        <f t="shared" si="80"/>
        <v/>
      </c>
      <c r="K41" s="1868" t="str">
        <f t="shared" si="81"/>
        <v/>
      </c>
      <c r="L41" s="1870" t="str">
        <f t="shared" si="82"/>
        <v/>
      </c>
      <c r="M41" s="1871" t="str">
        <f t="shared" si="83"/>
        <v/>
      </c>
      <c r="N41" s="1872" t="str">
        <f t="shared" si="84"/>
        <v/>
      </c>
      <c r="O41" s="1867" t="str">
        <f t="shared" si="85"/>
        <v/>
      </c>
      <c r="P41" s="1868" t="str">
        <f t="shared" si="86"/>
        <v/>
      </c>
      <c r="Q41" s="1864" t="str">
        <f t="shared" si="87"/>
        <v/>
      </c>
      <c r="R41" s="1865" t="str">
        <f t="shared" si="88"/>
        <v/>
      </c>
      <c r="S41" s="1873" t="str">
        <f t="shared" si="89"/>
        <v/>
      </c>
      <c r="T41" s="1868" t="str">
        <f t="shared" si="90"/>
        <v/>
      </c>
      <c r="U41" s="1864" t="str">
        <f t="shared" si="91"/>
        <v/>
      </c>
      <c r="V41" s="1868" t="str">
        <f t="shared" si="92"/>
        <v/>
      </c>
      <c r="W41" s="1872">
        <f t="shared" si="93"/>
        <v>0</v>
      </c>
      <c r="X41" s="1874" t="str">
        <f t="shared" si="94"/>
        <v/>
      </c>
      <c r="Y41" s="1875" t="str">
        <f t="shared" si="95"/>
        <v/>
      </c>
      <c r="Z41" s="1941"/>
      <c r="AA41" s="1876" t="str">
        <f t="shared" si="96"/>
        <v/>
      </c>
      <c r="AB41" s="1471" t="str">
        <f t="shared" si="70"/>
        <v/>
      </c>
      <c r="AC41" s="1908" t="str">
        <f t="shared" si="53"/>
        <v/>
      </c>
      <c r="AD41" s="1909" t="str">
        <f t="shared" ca="1" si="44"/>
        <v/>
      </c>
      <c r="AE41" s="1910" t="str">
        <f t="shared" ca="1" si="45"/>
        <v/>
      </c>
      <c r="AF41" s="1908" t="str">
        <f t="shared" ca="1" si="46"/>
        <v/>
      </c>
      <c r="AG41" s="1909" t="str">
        <f t="shared" ca="1" si="47"/>
        <v/>
      </c>
      <c r="AH41" s="1910" t="str">
        <f t="shared" ca="1" si="48"/>
        <v/>
      </c>
      <c r="AI41" s="1909" t="str">
        <f t="shared" ca="1" si="49"/>
        <v/>
      </c>
      <c r="AJ41" s="1910" t="str">
        <f t="shared" ca="1" si="50"/>
        <v/>
      </c>
      <c r="AK41" s="1911" t="str">
        <f t="shared" si="54"/>
        <v/>
      </c>
      <c r="AL41" s="1912" t="str">
        <f t="shared" si="55"/>
        <v/>
      </c>
      <c r="AM41" s="1913" t="str">
        <f t="shared" si="56"/>
        <v/>
      </c>
      <c r="AN41" s="1908" t="str">
        <f t="shared" si="57"/>
        <v/>
      </c>
      <c r="AO41" s="1914" t="str">
        <f t="shared" si="58"/>
        <v/>
      </c>
      <c r="AP41" s="1915" t="str">
        <f t="shared" si="4"/>
        <v/>
      </c>
      <c r="AQ41" s="1916" t="str">
        <f t="shared" si="5"/>
        <v/>
      </c>
      <c r="AR41" s="1917" t="str">
        <f t="shared" si="6"/>
        <v/>
      </c>
      <c r="AS41" s="1910" t="str">
        <f t="shared" si="7"/>
        <v/>
      </c>
      <c r="AT41" s="1918" t="str">
        <f t="shared" si="59"/>
        <v/>
      </c>
      <c r="AU41" s="1919" t="str">
        <f t="shared" si="60"/>
        <v/>
      </c>
      <c r="AV41" s="1920" t="str">
        <f t="shared" si="8"/>
        <v/>
      </c>
      <c r="AW41" s="1910" t="str">
        <f t="shared" si="9"/>
        <v/>
      </c>
      <c r="AX41" s="1918" t="str">
        <f t="shared" si="61"/>
        <v/>
      </c>
      <c r="AY41" s="1919" t="str">
        <f t="shared" si="62"/>
        <v/>
      </c>
      <c r="AZ41" s="1920" t="str">
        <f t="shared" si="10"/>
        <v/>
      </c>
      <c r="BA41" s="1910" t="str">
        <f t="shared" si="11"/>
        <v/>
      </c>
      <c r="BB41" s="1918" t="str">
        <f t="shared" si="63"/>
        <v/>
      </c>
      <c r="BC41" s="1919" t="str">
        <f t="shared" si="64"/>
        <v/>
      </c>
      <c r="BD41" s="1920" t="str">
        <f t="shared" si="12"/>
        <v/>
      </c>
      <c r="BE41" s="1910" t="str">
        <f t="shared" si="13"/>
        <v/>
      </c>
      <c r="BF41" s="1918" t="str">
        <f t="shared" si="65"/>
        <v/>
      </c>
      <c r="BG41" s="1919" t="str">
        <f t="shared" si="66"/>
        <v/>
      </c>
      <c r="BH41" s="322"/>
      <c r="BJ41" s="1258" t="str">
        <f t="shared" si="124"/>
        <v/>
      </c>
      <c r="BK41" s="1256" t="b">
        <f t="shared" si="125"/>
        <v>0</v>
      </c>
      <c r="BL41" s="1251" t="b">
        <v>0</v>
      </c>
      <c r="BM41" s="1251">
        <f t="shared" si="113"/>
        <v>0</v>
      </c>
      <c r="BN41" s="1251">
        <f t="shared" si="114"/>
        <v>0</v>
      </c>
      <c r="BO41" s="1251">
        <f t="shared" si="115"/>
        <v>0</v>
      </c>
      <c r="BP41" s="1251">
        <f t="shared" si="116"/>
        <v>0</v>
      </c>
      <c r="BQ41" s="1251">
        <f t="shared" si="117"/>
        <v>0</v>
      </c>
      <c r="BR41" s="1251" t="b">
        <f t="shared" si="118"/>
        <v>1</v>
      </c>
      <c r="BS41" s="1252">
        <f t="shared" si="119"/>
        <v>6</v>
      </c>
      <c r="BT41" s="1252" t="str">
        <f t="shared" si="120"/>
        <v>No</v>
      </c>
      <c r="BU41" s="1252">
        <f t="shared" si="121"/>
        <v>6</v>
      </c>
      <c r="BV41" s="1252" t="str">
        <f t="shared" si="122"/>
        <v>No</v>
      </c>
      <c r="BW41" s="1253">
        <f t="shared" ca="1" si="33"/>
        <v>0</v>
      </c>
      <c r="BX41" s="1254" t="str">
        <f t="shared" ca="1" si="40"/>
        <v/>
      </c>
      <c r="BY41" s="1254" t="b">
        <f t="shared" ca="1" si="34"/>
        <v>0</v>
      </c>
      <c r="BZ41" s="1255" t="b">
        <f t="shared" si="41"/>
        <v>0</v>
      </c>
      <c r="CB41" s="842"/>
      <c r="CC41" s="894"/>
      <c r="CD41" s="883"/>
      <c r="CE41" s="884"/>
      <c r="CF41" s="885"/>
      <c r="CG41" s="901"/>
      <c r="CH41" s="902"/>
      <c r="CI41" s="903"/>
      <c r="CJ41" s="902"/>
      <c r="CK41" s="903"/>
      <c r="CL41" s="904"/>
      <c r="CM41" s="944"/>
      <c r="CN41" s="901"/>
      <c r="CO41" s="902"/>
      <c r="CP41" s="903"/>
      <c r="CQ41" s="902"/>
      <c r="CR41" s="903"/>
      <c r="CS41" s="904"/>
      <c r="CT41" s="944"/>
      <c r="CU41" s="906"/>
      <c r="CV41" s="886"/>
      <c r="CW41" s="887"/>
      <c r="CX41" s="915"/>
      <c r="CY41" s="916"/>
      <c r="CZ41" s="932"/>
      <c r="DA41" s="933"/>
      <c r="DB41" s="932"/>
      <c r="DC41" s="933"/>
      <c r="DD41" s="1149"/>
      <c r="DE41" s="1150"/>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44" t="str">
        <f t="shared" si="100"/>
        <v/>
      </c>
      <c r="EP41" s="1166" t="str">
        <f t="shared" si="126"/>
        <v/>
      </c>
      <c r="EQ41" s="1167" t="str">
        <f t="shared" si="127"/>
        <v/>
      </c>
      <c r="ER41" s="961" t="str">
        <f t="shared" si="101"/>
        <v/>
      </c>
      <c r="ES41" s="962" t="str">
        <f t="shared" si="102"/>
        <v/>
      </c>
      <c r="ET41" s="963" t="str">
        <f t="shared" si="103"/>
        <v/>
      </c>
      <c r="EU41" s="964" t="str">
        <f t="shared" si="104"/>
        <v/>
      </c>
      <c r="EX41" s="1194" t="str">
        <f t="shared" ca="1" si="35"/>
        <v/>
      </c>
      <c r="EY41" s="1196" t="str">
        <f t="shared" si="14"/>
        <v/>
      </c>
      <c r="EZ41" s="1196" t="str">
        <f t="shared" si="36"/>
        <v/>
      </c>
      <c r="FA41" s="1217" t="str">
        <f t="shared" ca="1" si="42"/>
        <v/>
      </c>
      <c r="FB41" s="1218" t="str">
        <f t="shared" ca="1" si="37"/>
        <v/>
      </c>
      <c r="FC41" s="1218">
        <f t="shared" ca="1" si="15"/>
        <v>0</v>
      </c>
      <c r="FD41" s="1218">
        <f t="shared" ca="1" si="16"/>
        <v>0</v>
      </c>
      <c r="FE41" s="1218">
        <f t="shared" ca="1" si="17"/>
        <v>0</v>
      </c>
      <c r="FF41" s="1218">
        <f t="shared" ca="1" si="38"/>
        <v>0</v>
      </c>
      <c r="FN41" s="1256" t="b">
        <v>0</v>
      </c>
      <c r="FO41" s="969" t="b">
        <f t="shared" si="123"/>
        <v>1</v>
      </c>
      <c r="FP41" s="969" t="b">
        <v>0</v>
      </c>
      <c r="FQ41" s="969" t="b">
        <f t="shared" si="39"/>
        <v>1</v>
      </c>
      <c r="FX41" s="236"/>
      <c r="FZ41" s="2"/>
      <c r="GA41" s="1935" t="str">
        <f t="shared" si="105"/>
        <v/>
      </c>
      <c r="GB41" s="1936" t="str">
        <f t="shared" si="106"/>
        <v/>
      </c>
      <c r="GC41" s="1937" t="str">
        <f t="shared" si="107"/>
        <v/>
      </c>
      <c r="GD41" s="1938" t="str">
        <f t="shared" si="108"/>
        <v/>
      </c>
      <c r="GE41" s="1939" t="str">
        <f t="shared" si="109"/>
        <v/>
      </c>
      <c r="GF41" s="1940" t="str">
        <f t="shared" si="110"/>
        <v/>
      </c>
      <c r="GG41" s="1457"/>
      <c r="GH41" s="1459"/>
      <c r="GI41" s="1457"/>
      <c r="GJ41" s="1459"/>
      <c r="GK41" s="326">
        <f t="shared" si="111"/>
        <v>0</v>
      </c>
      <c r="GL41" s="326" t="e">
        <f t="shared" si="112"/>
        <v>#VALUE!</v>
      </c>
      <c r="GM41" s="327" t="e">
        <f>IF(ABS(GK41-GL41)&gt;='Job Info.'!$L$22,ABS(GK41-GL41),0)</f>
        <v>#VALUE!</v>
      </c>
      <c r="HA41" s="1612"/>
      <c r="HB41" s="1613"/>
      <c r="HC41" s="1613"/>
      <c r="HD41" s="1614"/>
      <c r="HE41" s="1615"/>
      <c r="HF41" s="1613"/>
      <c r="HG41" s="1613"/>
      <c r="HH41" s="1613"/>
      <c r="HI41" s="1613"/>
      <c r="HJ41" s="1613"/>
      <c r="HK41" s="1613"/>
      <c r="HL41" s="1613"/>
      <c r="HM41" s="1613"/>
      <c r="HN41" s="1613"/>
      <c r="HO41" s="1613"/>
      <c r="HP41" s="1613"/>
      <c r="HQ41" s="1613"/>
      <c r="HR41" s="1613"/>
      <c r="HS41" s="1613"/>
      <c r="HT41" s="1613"/>
      <c r="HU41" s="1613"/>
      <c r="HV41" s="1613"/>
      <c r="HW41" s="1613"/>
      <c r="HX41" s="1613"/>
      <c r="HY41" s="1617"/>
      <c r="HZ41" s="1617"/>
      <c r="IA41" s="1617"/>
      <c r="IB41" s="1617"/>
      <c r="IC41" s="1617"/>
      <c r="ID41" s="1618"/>
      <c r="IE41" s="1612"/>
      <c r="IF41" s="1613"/>
      <c r="IG41" s="1614"/>
      <c r="IH41" s="1615"/>
      <c r="II41" s="1613"/>
      <c r="IJ41" s="1614"/>
      <c r="IK41" s="1615"/>
      <c r="IL41" s="1613"/>
      <c r="IM41" s="1613"/>
      <c r="IN41" s="1613"/>
      <c r="IO41" s="1613"/>
      <c r="IP41" s="1613"/>
      <c r="IQ41" s="1613"/>
      <c r="IR41" s="1613"/>
      <c r="IS41" s="1614"/>
      <c r="IT41" s="1615"/>
      <c r="IU41" s="1613"/>
      <c r="IV41" s="1613"/>
      <c r="IW41" s="1614"/>
      <c r="IX41" s="1615"/>
      <c r="IY41" s="1613"/>
      <c r="IZ41" s="1613"/>
      <c r="JA41" s="1614"/>
      <c r="JB41" s="1615"/>
      <c r="JC41" s="1613"/>
      <c r="JD41" s="1613"/>
      <c r="JE41" s="1614"/>
      <c r="JF41" s="1615"/>
      <c r="JG41" s="1613"/>
      <c r="JH41" s="1613"/>
      <c r="JI41" s="1613"/>
      <c r="JJ41" s="1616"/>
      <c r="JK41" s="1613"/>
      <c r="JL41" s="1521">
        <f t="shared" ca="1" si="43"/>
        <v>0</v>
      </c>
      <c r="JM41" s="171"/>
    </row>
    <row r="42" spans="1:273" ht="12.6" customHeight="1" x14ac:dyDescent="0.25">
      <c r="A42" s="1861" t="str">
        <f t="shared" si="71"/>
        <v/>
      </c>
      <c r="B42" s="1862" t="str">
        <f t="shared" si="72"/>
        <v/>
      </c>
      <c r="C42" s="1863" t="str">
        <f t="shared" si="73"/>
        <v/>
      </c>
      <c r="D42" s="1864" t="str">
        <f t="shared" si="74"/>
        <v/>
      </c>
      <c r="E42" s="1865" t="str">
        <f t="shared" si="75"/>
        <v/>
      </c>
      <c r="F42" s="1866" t="str">
        <f t="shared" si="76"/>
        <v/>
      </c>
      <c r="G42" s="1867" t="str">
        <f t="shared" si="77"/>
        <v/>
      </c>
      <c r="H42" s="1868" t="str">
        <f t="shared" si="78"/>
        <v/>
      </c>
      <c r="I42" s="1869" t="str">
        <f t="shared" si="79"/>
        <v/>
      </c>
      <c r="J42" s="1864" t="str">
        <f t="shared" si="80"/>
        <v/>
      </c>
      <c r="K42" s="1868" t="str">
        <f t="shared" si="81"/>
        <v/>
      </c>
      <c r="L42" s="1870" t="str">
        <f t="shared" si="82"/>
        <v/>
      </c>
      <c r="M42" s="1871" t="str">
        <f t="shared" si="83"/>
        <v/>
      </c>
      <c r="N42" s="1872" t="str">
        <f t="shared" si="84"/>
        <v/>
      </c>
      <c r="O42" s="1867" t="str">
        <f t="shared" si="85"/>
        <v/>
      </c>
      <c r="P42" s="1868" t="str">
        <f t="shared" si="86"/>
        <v/>
      </c>
      <c r="Q42" s="1864" t="str">
        <f t="shared" si="87"/>
        <v/>
      </c>
      <c r="R42" s="1865" t="str">
        <f t="shared" si="88"/>
        <v/>
      </c>
      <c r="S42" s="1873" t="str">
        <f t="shared" si="89"/>
        <v/>
      </c>
      <c r="T42" s="1868" t="str">
        <f t="shared" si="90"/>
        <v/>
      </c>
      <c r="U42" s="1864" t="str">
        <f t="shared" si="91"/>
        <v/>
      </c>
      <c r="V42" s="1868" t="str">
        <f t="shared" si="92"/>
        <v/>
      </c>
      <c r="W42" s="1872">
        <f t="shared" si="93"/>
        <v>0</v>
      </c>
      <c r="X42" s="1874" t="str">
        <f t="shared" si="94"/>
        <v/>
      </c>
      <c r="Y42" s="1875" t="str">
        <f t="shared" si="95"/>
        <v/>
      </c>
      <c r="Z42" s="1941"/>
      <c r="AA42" s="1876" t="str">
        <f t="shared" si="96"/>
        <v/>
      </c>
      <c r="AB42" s="1471" t="str">
        <f t="shared" si="70"/>
        <v/>
      </c>
      <c r="AC42" s="1908" t="str">
        <f t="shared" si="53"/>
        <v/>
      </c>
      <c r="AD42" s="1909" t="str">
        <f t="shared" ca="1" si="44"/>
        <v/>
      </c>
      <c r="AE42" s="1910" t="str">
        <f t="shared" ca="1" si="45"/>
        <v/>
      </c>
      <c r="AF42" s="1908" t="str">
        <f t="shared" ca="1" si="46"/>
        <v/>
      </c>
      <c r="AG42" s="1909" t="str">
        <f t="shared" ca="1" si="47"/>
        <v/>
      </c>
      <c r="AH42" s="1910" t="str">
        <f t="shared" ca="1" si="48"/>
        <v/>
      </c>
      <c r="AI42" s="1909" t="str">
        <f t="shared" ca="1" si="49"/>
        <v/>
      </c>
      <c r="AJ42" s="1910" t="str">
        <f t="shared" ca="1" si="50"/>
        <v/>
      </c>
      <c r="AK42" s="1911" t="str">
        <f t="shared" si="54"/>
        <v/>
      </c>
      <c r="AL42" s="1912" t="str">
        <f t="shared" si="55"/>
        <v/>
      </c>
      <c r="AM42" s="1913" t="str">
        <f t="shared" si="56"/>
        <v/>
      </c>
      <c r="AN42" s="1908" t="str">
        <f t="shared" si="57"/>
        <v/>
      </c>
      <c r="AO42" s="1914" t="str">
        <f t="shared" si="58"/>
        <v/>
      </c>
      <c r="AP42" s="1915" t="str">
        <f t="shared" si="4"/>
        <v/>
      </c>
      <c r="AQ42" s="1916" t="str">
        <f t="shared" si="5"/>
        <v/>
      </c>
      <c r="AR42" s="1917" t="str">
        <f t="shared" si="6"/>
        <v/>
      </c>
      <c r="AS42" s="1910" t="str">
        <f t="shared" si="7"/>
        <v/>
      </c>
      <c r="AT42" s="1918" t="str">
        <f t="shared" si="59"/>
        <v/>
      </c>
      <c r="AU42" s="1919" t="str">
        <f t="shared" si="60"/>
        <v/>
      </c>
      <c r="AV42" s="1920" t="str">
        <f t="shared" si="8"/>
        <v/>
      </c>
      <c r="AW42" s="1910" t="str">
        <f t="shared" si="9"/>
        <v/>
      </c>
      <c r="AX42" s="1918" t="str">
        <f t="shared" si="61"/>
        <v/>
      </c>
      <c r="AY42" s="1919" t="str">
        <f t="shared" si="62"/>
        <v/>
      </c>
      <c r="AZ42" s="1920" t="str">
        <f t="shared" si="10"/>
        <v/>
      </c>
      <c r="BA42" s="1910" t="str">
        <f t="shared" si="11"/>
        <v/>
      </c>
      <c r="BB42" s="1918" t="str">
        <f t="shared" si="63"/>
        <v/>
      </c>
      <c r="BC42" s="1919" t="str">
        <f t="shared" si="64"/>
        <v/>
      </c>
      <c r="BD42" s="1920" t="str">
        <f t="shared" si="12"/>
        <v/>
      </c>
      <c r="BE42" s="1910" t="str">
        <f t="shared" si="13"/>
        <v/>
      </c>
      <c r="BF42" s="1918" t="str">
        <f t="shared" si="65"/>
        <v/>
      </c>
      <c r="BG42" s="1919" t="str">
        <f t="shared" si="66"/>
        <v/>
      </c>
      <c r="BH42" s="322"/>
      <c r="BJ42" s="1258" t="str">
        <f t="shared" si="124"/>
        <v/>
      </c>
      <c r="BK42" s="1256" t="b">
        <f t="shared" si="125"/>
        <v>0</v>
      </c>
      <c r="BL42" s="1251" t="b">
        <v>0</v>
      </c>
      <c r="BM42" s="1251">
        <f t="shared" si="113"/>
        <v>0</v>
      </c>
      <c r="BN42" s="1251">
        <f t="shared" si="114"/>
        <v>0</v>
      </c>
      <c r="BO42" s="1251">
        <f t="shared" si="115"/>
        <v>0</v>
      </c>
      <c r="BP42" s="1251">
        <f t="shared" si="116"/>
        <v>0</v>
      </c>
      <c r="BQ42" s="1251">
        <f t="shared" si="117"/>
        <v>0</v>
      </c>
      <c r="BR42" s="1251" t="b">
        <f t="shared" si="118"/>
        <v>1</v>
      </c>
      <c r="BS42" s="1252">
        <f t="shared" si="119"/>
        <v>6</v>
      </c>
      <c r="BT42" s="1252" t="str">
        <f t="shared" si="120"/>
        <v>No</v>
      </c>
      <c r="BU42" s="1252">
        <f t="shared" si="121"/>
        <v>6</v>
      </c>
      <c r="BV42" s="1252" t="str">
        <f t="shared" si="122"/>
        <v>No</v>
      </c>
      <c r="BW42" s="1253">
        <f t="shared" ca="1" si="33"/>
        <v>0</v>
      </c>
      <c r="BX42" s="1254" t="str">
        <f t="shared" ca="1" si="40"/>
        <v/>
      </c>
      <c r="BY42" s="1254" t="b">
        <f t="shared" ca="1" si="34"/>
        <v>0</v>
      </c>
      <c r="BZ42" s="1255" t="b">
        <f t="shared" si="41"/>
        <v>0</v>
      </c>
      <c r="CB42" s="842"/>
      <c r="CC42" s="894"/>
      <c r="CD42" s="883"/>
      <c r="CE42" s="884"/>
      <c r="CF42" s="885"/>
      <c r="CG42" s="901"/>
      <c r="CH42" s="902"/>
      <c r="CI42" s="903"/>
      <c r="CJ42" s="902"/>
      <c r="CK42" s="903"/>
      <c r="CL42" s="904"/>
      <c r="CM42" s="944"/>
      <c r="CN42" s="901"/>
      <c r="CO42" s="902"/>
      <c r="CP42" s="903"/>
      <c r="CQ42" s="902"/>
      <c r="CR42" s="903"/>
      <c r="CS42" s="904"/>
      <c r="CT42" s="944"/>
      <c r="CU42" s="906"/>
      <c r="CV42" s="886"/>
      <c r="CW42" s="887"/>
      <c r="CX42" s="915"/>
      <c r="CY42" s="916"/>
      <c r="CZ42" s="932"/>
      <c r="DA42" s="933"/>
      <c r="DB42" s="932"/>
      <c r="DC42" s="933"/>
      <c r="DD42" s="1149"/>
      <c r="DE42" s="1150"/>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44" t="str">
        <f t="shared" si="100"/>
        <v/>
      </c>
      <c r="EP42" s="1166" t="str">
        <f t="shared" si="126"/>
        <v/>
      </c>
      <c r="EQ42" s="1167" t="str">
        <f t="shared" si="127"/>
        <v/>
      </c>
      <c r="ER42" s="961" t="str">
        <f t="shared" si="101"/>
        <v/>
      </c>
      <c r="ES42" s="962" t="str">
        <f t="shared" si="102"/>
        <v/>
      </c>
      <c r="ET42" s="963" t="str">
        <f t="shared" si="103"/>
        <v/>
      </c>
      <c r="EU42" s="964" t="str">
        <f t="shared" si="104"/>
        <v/>
      </c>
      <c r="EX42" s="1194" t="str">
        <f t="shared" ca="1" si="35"/>
        <v/>
      </c>
      <c r="EY42" s="1196" t="str">
        <f t="shared" si="14"/>
        <v/>
      </c>
      <c r="EZ42" s="1196" t="str">
        <f t="shared" si="36"/>
        <v/>
      </c>
      <c r="FA42" s="1217" t="str">
        <f t="shared" ca="1" si="42"/>
        <v/>
      </c>
      <c r="FB42" s="1218" t="str">
        <f t="shared" ca="1" si="37"/>
        <v/>
      </c>
      <c r="FC42" s="1218">
        <f t="shared" ca="1" si="15"/>
        <v>0</v>
      </c>
      <c r="FD42" s="1218">
        <f t="shared" ca="1" si="16"/>
        <v>0</v>
      </c>
      <c r="FE42" s="1218">
        <f t="shared" ca="1" si="17"/>
        <v>0</v>
      </c>
      <c r="FF42" s="1218">
        <f t="shared" ca="1" si="38"/>
        <v>0</v>
      </c>
      <c r="FN42" s="1256" t="b">
        <v>0</v>
      </c>
      <c r="FO42" s="969" t="b">
        <f t="shared" si="123"/>
        <v>1</v>
      </c>
      <c r="FP42" s="969" t="b">
        <v>0</v>
      </c>
      <c r="FQ42" s="969" t="b">
        <f t="shared" si="39"/>
        <v>1</v>
      </c>
      <c r="FX42" s="303"/>
      <c r="GA42" s="1935" t="str">
        <f t="shared" si="105"/>
        <v/>
      </c>
      <c r="GB42" s="1936" t="str">
        <f t="shared" si="106"/>
        <v/>
      </c>
      <c r="GC42" s="1937" t="str">
        <f t="shared" si="107"/>
        <v/>
      </c>
      <c r="GD42" s="1938" t="str">
        <f t="shared" si="108"/>
        <v/>
      </c>
      <c r="GE42" s="1939" t="str">
        <f t="shared" si="109"/>
        <v/>
      </c>
      <c r="GF42" s="1940" t="str">
        <f t="shared" si="110"/>
        <v/>
      </c>
      <c r="GG42" s="1457"/>
      <c r="GH42" s="1459"/>
      <c r="GI42" s="1457"/>
      <c r="GJ42" s="1459"/>
      <c r="GK42" s="326">
        <f t="shared" si="111"/>
        <v>0</v>
      </c>
      <c r="GL42" s="326" t="e">
        <f t="shared" si="112"/>
        <v>#VALUE!</v>
      </c>
      <c r="GM42" s="327" t="e">
        <f>IF(ABS(GK42-GL42)&gt;='Job Info.'!$L$22,ABS(GK42-GL42),0)</f>
        <v>#VALUE!</v>
      </c>
      <c r="HA42" s="1612"/>
      <c r="HB42" s="1613"/>
      <c r="HC42" s="1613"/>
      <c r="HD42" s="1614"/>
      <c r="HE42" s="1615"/>
      <c r="HF42" s="1613"/>
      <c r="HG42" s="1613"/>
      <c r="HH42" s="1613"/>
      <c r="HI42" s="1613"/>
      <c r="HJ42" s="1613"/>
      <c r="HK42" s="1613"/>
      <c r="HL42" s="1613"/>
      <c r="HM42" s="1613"/>
      <c r="HN42" s="1613"/>
      <c r="HO42" s="1613"/>
      <c r="HP42" s="1613"/>
      <c r="HQ42" s="1613"/>
      <c r="HR42" s="1613"/>
      <c r="HS42" s="1613"/>
      <c r="HT42" s="1613"/>
      <c r="HU42" s="1613"/>
      <c r="HV42" s="1613"/>
      <c r="HW42" s="1613"/>
      <c r="HX42" s="1613"/>
      <c r="HY42" s="1617"/>
      <c r="HZ42" s="1617"/>
      <c r="IA42" s="1617"/>
      <c r="IB42" s="1617"/>
      <c r="IC42" s="1617"/>
      <c r="ID42" s="1618"/>
      <c r="IE42" s="1612"/>
      <c r="IF42" s="1613"/>
      <c r="IG42" s="1614"/>
      <c r="IH42" s="1615"/>
      <c r="II42" s="1613"/>
      <c r="IJ42" s="1614"/>
      <c r="IK42" s="1615"/>
      <c r="IL42" s="1613"/>
      <c r="IM42" s="1613"/>
      <c r="IN42" s="1613"/>
      <c r="IO42" s="1613"/>
      <c r="IP42" s="1613"/>
      <c r="IQ42" s="1613"/>
      <c r="IR42" s="1613"/>
      <c r="IS42" s="1614"/>
      <c r="IT42" s="1615"/>
      <c r="IU42" s="1613"/>
      <c r="IV42" s="1613"/>
      <c r="IW42" s="1614"/>
      <c r="IX42" s="1615"/>
      <c r="IY42" s="1613"/>
      <c r="IZ42" s="1613"/>
      <c r="JA42" s="1614"/>
      <c r="JB42" s="1615"/>
      <c r="JC42" s="1613"/>
      <c r="JD42" s="1613"/>
      <c r="JE42" s="1614"/>
      <c r="JF42" s="1615"/>
      <c r="JG42" s="1613"/>
      <c r="JH42" s="1613"/>
      <c r="JI42" s="1613"/>
      <c r="JJ42" s="1616"/>
      <c r="JK42" s="1613"/>
      <c r="JL42" s="1521">
        <f t="shared" ca="1" si="43"/>
        <v>0</v>
      </c>
      <c r="JM42" s="171"/>
    </row>
    <row r="43" spans="1:273" ht="12.6" customHeight="1" x14ac:dyDescent="0.25">
      <c r="A43" s="1861" t="str">
        <f t="shared" si="71"/>
        <v/>
      </c>
      <c r="B43" s="1862" t="str">
        <f t="shared" si="72"/>
        <v/>
      </c>
      <c r="C43" s="1863" t="str">
        <f t="shared" si="73"/>
        <v/>
      </c>
      <c r="D43" s="1864" t="str">
        <f t="shared" si="74"/>
        <v/>
      </c>
      <c r="E43" s="1865" t="str">
        <f t="shared" si="75"/>
        <v/>
      </c>
      <c r="F43" s="1866" t="str">
        <f t="shared" si="76"/>
        <v/>
      </c>
      <c r="G43" s="1867" t="str">
        <f t="shared" si="77"/>
        <v/>
      </c>
      <c r="H43" s="1868" t="str">
        <f t="shared" si="78"/>
        <v/>
      </c>
      <c r="I43" s="1869" t="str">
        <f t="shared" si="79"/>
        <v/>
      </c>
      <c r="J43" s="1864" t="str">
        <f t="shared" si="80"/>
        <v/>
      </c>
      <c r="K43" s="1868" t="str">
        <f t="shared" si="81"/>
        <v/>
      </c>
      <c r="L43" s="1870" t="str">
        <f t="shared" si="82"/>
        <v/>
      </c>
      <c r="M43" s="1871" t="str">
        <f t="shared" si="83"/>
        <v/>
      </c>
      <c r="N43" s="1872" t="str">
        <f t="shared" si="84"/>
        <v/>
      </c>
      <c r="O43" s="1867" t="str">
        <f t="shared" si="85"/>
        <v/>
      </c>
      <c r="P43" s="1868" t="str">
        <f t="shared" si="86"/>
        <v/>
      </c>
      <c r="Q43" s="1864" t="str">
        <f t="shared" si="87"/>
        <v/>
      </c>
      <c r="R43" s="1865" t="str">
        <f t="shared" si="88"/>
        <v/>
      </c>
      <c r="S43" s="1873" t="str">
        <f t="shared" si="89"/>
        <v/>
      </c>
      <c r="T43" s="1868" t="str">
        <f t="shared" si="90"/>
        <v/>
      </c>
      <c r="U43" s="1864" t="str">
        <f t="shared" si="91"/>
        <v/>
      </c>
      <c r="V43" s="1868" t="str">
        <f t="shared" si="92"/>
        <v/>
      </c>
      <c r="W43" s="1872">
        <f t="shared" si="93"/>
        <v>0</v>
      </c>
      <c r="X43" s="1874" t="str">
        <f t="shared" si="94"/>
        <v/>
      </c>
      <c r="Y43" s="1875" t="str">
        <f t="shared" si="95"/>
        <v/>
      </c>
      <c r="Z43" s="1941"/>
      <c r="AA43" s="1876" t="str">
        <f t="shared" si="96"/>
        <v/>
      </c>
      <c r="AB43" s="1471" t="str">
        <f t="shared" si="70"/>
        <v/>
      </c>
      <c r="AC43" s="1908" t="str">
        <f t="shared" si="53"/>
        <v/>
      </c>
      <c r="AD43" s="1909" t="str">
        <f t="shared" ca="1" si="44"/>
        <v/>
      </c>
      <c r="AE43" s="1910" t="str">
        <f t="shared" ca="1" si="45"/>
        <v/>
      </c>
      <c r="AF43" s="1908" t="str">
        <f t="shared" ca="1" si="46"/>
        <v/>
      </c>
      <c r="AG43" s="1909" t="str">
        <f t="shared" ca="1" si="47"/>
        <v/>
      </c>
      <c r="AH43" s="1910" t="str">
        <f t="shared" ca="1" si="48"/>
        <v/>
      </c>
      <c r="AI43" s="1909" t="str">
        <f t="shared" ca="1" si="49"/>
        <v/>
      </c>
      <c r="AJ43" s="1910" t="str">
        <f t="shared" ca="1" si="50"/>
        <v/>
      </c>
      <c r="AK43" s="1911" t="str">
        <f t="shared" si="54"/>
        <v/>
      </c>
      <c r="AL43" s="1912" t="str">
        <f t="shared" si="55"/>
        <v/>
      </c>
      <c r="AM43" s="1913" t="str">
        <f t="shared" si="56"/>
        <v/>
      </c>
      <c r="AN43" s="1908" t="str">
        <f t="shared" si="57"/>
        <v/>
      </c>
      <c r="AO43" s="1914" t="str">
        <f t="shared" si="58"/>
        <v/>
      </c>
      <c r="AP43" s="1915" t="str">
        <f t="shared" si="4"/>
        <v/>
      </c>
      <c r="AQ43" s="1916" t="str">
        <f t="shared" si="5"/>
        <v/>
      </c>
      <c r="AR43" s="1917" t="str">
        <f t="shared" si="6"/>
        <v/>
      </c>
      <c r="AS43" s="1910" t="str">
        <f t="shared" si="7"/>
        <v/>
      </c>
      <c r="AT43" s="1918" t="str">
        <f t="shared" si="59"/>
        <v/>
      </c>
      <c r="AU43" s="1919" t="str">
        <f t="shared" si="60"/>
        <v/>
      </c>
      <c r="AV43" s="1920" t="str">
        <f t="shared" si="8"/>
        <v/>
      </c>
      <c r="AW43" s="1910" t="str">
        <f t="shared" si="9"/>
        <v/>
      </c>
      <c r="AX43" s="1918" t="str">
        <f t="shared" si="61"/>
        <v/>
      </c>
      <c r="AY43" s="1919" t="str">
        <f t="shared" si="62"/>
        <v/>
      </c>
      <c r="AZ43" s="1920" t="str">
        <f t="shared" si="10"/>
        <v/>
      </c>
      <c r="BA43" s="1910" t="str">
        <f t="shared" si="11"/>
        <v/>
      </c>
      <c r="BB43" s="1918" t="str">
        <f t="shared" si="63"/>
        <v/>
      </c>
      <c r="BC43" s="1919" t="str">
        <f t="shared" si="64"/>
        <v/>
      </c>
      <c r="BD43" s="1920" t="str">
        <f t="shared" si="12"/>
        <v/>
      </c>
      <c r="BE43" s="1910" t="str">
        <f t="shared" si="13"/>
        <v/>
      </c>
      <c r="BF43" s="1918" t="str">
        <f t="shared" si="65"/>
        <v/>
      </c>
      <c r="BG43" s="1919" t="str">
        <f t="shared" si="66"/>
        <v/>
      </c>
      <c r="BH43" s="322"/>
      <c r="BJ43" s="1258" t="str">
        <f t="shared" si="124"/>
        <v/>
      </c>
      <c r="BK43" s="1256" t="b">
        <f t="shared" si="125"/>
        <v>0</v>
      </c>
      <c r="BL43" s="1251" t="b">
        <v>0</v>
      </c>
      <c r="BM43" s="1251">
        <f t="shared" si="113"/>
        <v>0</v>
      </c>
      <c r="BN43" s="1251">
        <f t="shared" si="114"/>
        <v>0</v>
      </c>
      <c r="BO43" s="1251">
        <f t="shared" si="115"/>
        <v>0</v>
      </c>
      <c r="BP43" s="1251">
        <f t="shared" si="116"/>
        <v>0</v>
      </c>
      <c r="BQ43" s="1251">
        <f t="shared" si="117"/>
        <v>0</v>
      </c>
      <c r="BR43" s="1251" t="b">
        <f t="shared" si="118"/>
        <v>1</v>
      </c>
      <c r="BS43" s="1252">
        <f t="shared" si="119"/>
        <v>6</v>
      </c>
      <c r="BT43" s="1252" t="str">
        <f t="shared" si="120"/>
        <v>No</v>
      </c>
      <c r="BU43" s="1252">
        <f t="shared" si="121"/>
        <v>6</v>
      </c>
      <c r="BV43" s="1252" t="str">
        <f t="shared" si="122"/>
        <v>No</v>
      </c>
      <c r="BW43" s="1253">
        <f t="shared" ca="1" si="33"/>
        <v>0</v>
      </c>
      <c r="BX43" s="1254" t="str">
        <f t="shared" ca="1" si="40"/>
        <v/>
      </c>
      <c r="BY43" s="1254" t="b">
        <f t="shared" ca="1" si="34"/>
        <v>0</v>
      </c>
      <c r="BZ43" s="1255" t="b">
        <f t="shared" si="41"/>
        <v>0</v>
      </c>
      <c r="CB43" s="842"/>
      <c r="CC43" s="894"/>
      <c r="CD43" s="883"/>
      <c r="CE43" s="884"/>
      <c r="CF43" s="885"/>
      <c r="CG43" s="901"/>
      <c r="CH43" s="902"/>
      <c r="CI43" s="903"/>
      <c r="CJ43" s="902"/>
      <c r="CK43" s="903"/>
      <c r="CL43" s="904"/>
      <c r="CM43" s="944"/>
      <c r="CN43" s="901"/>
      <c r="CO43" s="902"/>
      <c r="CP43" s="903"/>
      <c r="CQ43" s="902"/>
      <c r="CR43" s="903"/>
      <c r="CS43" s="904"/>
      <c r="CT43" s="944"/>
      <c r="CU43" s="906"/>
      <c r="CV43" s="886"/>
      <c r="CW43" s="887"/>
      <c r="CX43" s="915"/>
      <c r="CY43" s="916"/>
      <c r="CZ43" s="932"/>
      <c r="DA43" s="933"/>
      <c r="DB43" s="932"/>
      <c r="DC43" s="933"/>
      <c r="DD43" s="1149"/>
      <c r="DE43" s="1150"/>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44" t="str">
        <f t="shared" si="100"/>
        <v/>
      </c>
      <c r="EP43" s="1166" t="str">
        <f t="shared" si="126"/>
        <v/>
      </c>
      <c r="EQ43" s="1167" t="str">
        <f t="shared" si="127"/>
        <v/>
      </c>
      <c r="ER43" s="961" t="str">
        <f t="shared" si="101"/>
        <v/>
      </c>
      <c r="ES43" s="962" t="str">
        <f t="shared" si="102"/>
        <v/>
      </c>
      <c r="ET43" s="963" t="str">
        <f t="shared" si="103"/>
        <v/>
      </c>
      <c r="EU43" s="964" t="str">
        <f t="shared" si="104"/>
        <v/>
      </c>
      <c r="EX43" s="1194" t="str">
        <f t="shared" ca="1" si="35"/>
        <v/>
      </c>
      <c r="EY43" s="1196" t="str">
        <f t="shared" si="14"/>
        <v/>
      </c>
      <c r="EZ43" s="1196" t="str">
        <f t="shared" si="36"/>
        <v/>
      </c>
      <c r="FA43" s="1217" t="str">
        <f t="shared" ca="1" si="42"/>
        <v/>
      </c>
      <c r="FB43" s="1218" t="str">
        <f t="shared" ca="1" si="37"/>
        <v/>
      </c>
      <c r="FC43" s="1218">
        <f t="shared" ca="1" si="15"/>
        <v>0</v>
      </c>
      <c r="FD43" s="1218">
        <f t="shared" ca="1" si="16"/>
        <v>0</v>
      </c>
      <c r="FE43" s="1218">
        <f t="shared" ca="1" si="17"/>
        <v>0</v>
      </c>
      <c r="FF43" s="1218">
        <f t="shared" ca="1" si="38"/>
        <v>0</v>
      </c>
      <c r="FN43" s="1256" t="b">
        <v>0</v>
      </c>
      <c r="FO43" s="969" t="b">
        <f t="shared" si="123"/>
        <v>1</v>
      </c>
      <c r="FP43" s="969" t="b">
        <v>0</v>
      </c>
      <c r="FQ43" s="969" t="b">
        <f t="shared" si="39"/>
        <v>1</v>
      </c>
      <c r="FX43" s="303"/>
      <c r="GA43" s="1935" t="str">
        <f t="shared" si="105"/>
        <v/>
      </c>
      <c r="GB43" s="1936" t="str">
        <f t="shared" si="106"/>
        <v/>
      </c>
      <c r="GC43" s="1937" t="str">
        <f t="shared" si="107"/>
        <v/>
      </c>
      <c r="GD43" s="1938" t="str">
        <f t="shared" si="108"/>
        <v/>
      </c>
      <c r="GE43" s="1939" t="str">
        <f t="shared" si="109"/>
        <v/>
      </c>
      <c r="GF43" s="1940" t="str">
        <f t="shared" si="110"/>
        <v/>
      </c>
      <c r="GG43" s="1457"/>
      <c r="GH43" s="1459"/>
      <c r="GI43" s="1457"/>
      <c r="GJ43" s="1459"/>
      <c r="GK43" s="326">
        <f t="shared" si="111"/>
        <v>0</v>
      </c>
      <c r="GL43" s="326" t="e">
        <f t="shared" si="112"/>
        <v>#VALUE!</v>
      </c>
      <c r="GM43" s="327" t="e">
        <f>IF(ABS(GK43-GL43)&gt;='Job Info.'!$L$22,ABS(GK43-GL43),0)</f>
        <v>#VALUE!</v>
      </c>
      <c r="HA43" s="1612"/>
      <c r="HB43" s="1613"/>
      <c r="HC43" s="1613"/>
      <c r="HD43" s="1614"/>
      <c r="HE43" s="1615"/>
      <c r="HF43" s="1613"/>
      <c r="HG43" s="1613"/>
      <c r="HH43" s="1613"/>
      <c r="HI43" s="1613"/>
      <c r="HJ43" s="1613"/>
      <c r="HK43" s="1613"/>
      <c r="HL43" s="1613"/>
      <c r="HM43" s="1613"/>
      <c r="HN43" s="1613"/>
      <c r="HO43" s="1613"/>
      <c r="HP43" s="1613"/>
      <c r="HQ43" s="1613"/>
      <c r="HR43" s="1613"/>
      <c r="HS43" s="1613"/>
      <c r="HT43" s="1613"/>
      <c r="HU43" s="1613"/>
      <c r="HV43" s="1613"/>
      <c r="HW43" s="1613"/>
      <c r="HX43" s="1613"/>
      <c r="HY43" s="1617"/>
      <c r="HZ43" s="1617"/>
      <c r="IA43" s="1617"/>
      <c r="IB43" s="1617"/>
      <c r="IC43" s="1617"/>
      <c r="ID43" s="1618"/>
      <c r="IE43" s="1612"/>
      <c r="IF43" s="1613"/>
      <c r="IG43" s="1614"/>
      <c r="IH43" s="1615"/>
      <c r="II43" s="1613"/>
      <c r="IJ43" s="1614"/>
      <c r="IK43" s="1615"/>
      <c r="IL43" s="1613"/>
      <c r="IM43" s="1613"/>
      <c r="IN43" s="1613"/>
      <c r="IO43" s="1613"/>
      <c r="IP43" s="1613"/>
      <c r="IQ43" s="1613"/>
      <c r="IR43" s="1613"/>
      <c r="IS43" s="1614"/>
      <c r="IT43" s="1615"/>
      <c r="IU43" s="1613"/>
      <c r="IV43" s="1613"/>
      <c r="IW43" s="1614"/>
      <c r="IX43" s="1615"/>
      <c r="IY43" s="1613"/>
      <c r="IZ43" s="1613"/>
      <c r="JA43" s="1614"/>
      <c r="JB43" s="1615"/>
      <c r="JC43" s="1613"/>
      <c r="JD43" s="1613"/>
      <c r="JE43" s="1614"/>
      <c r="JF43" s="1615"/>
      <c r="JG43" s="1613"/>
      <c r="JH43" s="1613"/>
      <c r="JI43" s="1613"/>
      <c r="JJ43" s="1616"/>
      <c r="JK43" s="1613"/>
      <c r="JL43" s="1521">
        <f t="shared" ca="1" si="43"/>
        <v>0</v>
      </c>
      <c r="JM43" s="171"/>
    </row>
    <row r="44" spans="1:273" ht="12.6" customHeight="1" x14ac:dyDescent="0.25">
      <c r="A44" s="1861" t="str">
        <f t="shared" si="71"/>
        <v/>
      </c>
      <c r="B44" s="1862" t="str">
        <f t="shared" si="72"/>
        <v/>
      </c>
      <c r="C44" s="1863" t="str">
        <f t="shared" si="73"/>
        <v/>
      </c>
      <c r="D44" s="1864" t="str">
        <f t="shared" si="74"/>
        <v/>
      </c>
      <c r="E44" s="1865" t="str">
        <f t="shared" si="75"/>
        <v/>
      </c>
      <c r="F44" s="1866" t="str">
        <f t="shared" si="76"/>
        <v/>
      </c>
      <c r="G44" s="1867" t="str">
        <f t="shared" si="77"/>
        <v/>
      </c>
      <c r="H44" s="1868" t="str">
        <f t="shared" si="78"/>
        <v/>
      </c>
      <c r="I44" s="1869" t="str">
        <f t="shared" si="79"/>
        <v/>
      </c>
      <c r="J44" s="1864" t="str">
        <f t="shared" si="80"/>
        <v/>
      </c>
      <c r="K44" s="1868" t="str">
        <f t="shared" si="81"/>
        <v/>
      </c>
      <c r="L44" s="1870" t="str">
        <f t="shared" si="82"/>
        <v/>
      </c>
      <c r="M44" s="1871" t="str">
        <f t="shared" si="83"/>
        <v/>
      </c>
      <c r="N44" s="1872" t="str">
        <f t="shared" si="84"/>
        <v/>
      </c>
      <c r="O44" s="1867" t="str">
        <f t="shared" si="85"/>
        <v/>
      </c>
      <c r="P44" s="1868" t="str">
        <f t="shared" si="86"/>
        <v/>
      </c>
      <c r="Q44" s="1864" t="str">
        <f t="shared" si="87"/>
        <v/>
      </c>
      <c r="R44" s="1865" t="str">
        <f t="shared" si="88"/>
        <v/>
      </c>
      <c r="S44" s="1873" t="str">
        <f t="shared" si="89"/>
        <v/>
      </c>
      <c r="T44" s="1868" t="str">
        <f t="shared" si="90"/>
        <v/>
      </c>
      <c r="U44" s="1864" t="str">
        <f t="shared" si="91"/>
        <v/>
      </c>
      <c r="V44" s="1868" t="str">
        <f t="shared" si="92"/>
        <v/>
      </c>
      <c r="W44" s="1872">
        <f t="shared" si="93"/>
        <v>0</v>
      </c>
      <c r="X44" s="1874" t="str">
        <f t="shared" si="94"/>
        <v/>
      </c>
      <c r="Y44" s="1875" t="str">
        <f t="shared" si="95"/>
        <v/>
      </c>
      <c r="Z44" s="1941"/>
      <c r="AA44" s="1876" t="str">
        <f t="shared" si="96"/>
        <v/>
      </c>
      <c r="AB44" s="1471" t="str">
        <f t="shared" si="70"/>
        <v/>
      </c>
      <c r="AC44" s="1908" t="str">
        <f t="shared" si="53"/>
        <v/>
      </c>
      <c r="AD44" s="1909" t="str">
        <f t="shared" ca="1" si="44"/>
        <v/>
      </c>
      <c r="AE44" s="1910" t="str">
        <f t="shared" ca="1" si="45"/>
        <v/>
      </c>
      <c r="AF44" s="1908" t="str">
        <f t="shared" ca="1" si="46"/>
        <v/>
      </c>
      <c r="AG44" s="1909" t="str">
        <f t="shared" ca="1" si="47"/>
        <v/>
      </c>
      <c r="AH44" s="1910" t="str">
        <f t="shared" ca="1" si="48"/>
        <v/>
      </c>
      <c r="AI44" s="1909" t="str">
        <f t="shared" ca="1" si="49"/>
        <v/>
      </c>
      <c r="AJ44" s="1910" t="str">
        <f t="shared" ca="1" si="50"/>
        <v/>
      </c>
      <c r="AK44" s="1911" t="str">
        <f t="shared" si="54"/>
        <v/>
      </c>
      <c r="AL44" s="1912" t="str">
        <f t="shared" si="55"/>
        <v/>
      </c>
      <c r="AM44" s="1913" t="str">
        <f t="shared" si="56"/>
        <v/>
      </c>
      <c r="AN44" s="1908" t="str">
        <f t="shared" si="57"/>
        <v/>
      </c>
      <c r="AO44" s="1914" t="str">
        <f t="shared" si="58"/>
        <v/>
      </c>
      <c r="AP44" s="1915" t="str">
        <f t="shared" si="4"/>
        <v/>
      </c>
      <c r="AQ44" s="1916" t="str">
        <f t="shared" si="5"/>
        <v/>
      </c>
      <c r="AR44" s="1917" t="str">
        <f t="shared" si="6"/>
        <v/>
      </c>
      <c r="AS44" s="1910" t="str">
        <f t="shared" si="7"/>
        <v/>
      </c>
      <c r="AT44" s="1918" t="str">
        <f t="shared" si="59"/>
        <v/>
      </c>
      <c r="AU44" s="1919" t="str">
        <f t="shared" si="60"/>
        <v/>
      </c>
      <c r="AV44" s="1920" t="str">
        <f t="shared" si="8"/>
        <v/>
      </c>
      <c r="AW44" s="1910" t="str">
        <f t="shared" si="9"/>
        <v/>
      </c>
      <c r="AX44" s="1918" t="str">
        <f t="shared" si="61"/>
        <v/>
      </c>
      <c r="AY44" s="1919" t="str">
        <f t="shared" si="62"/>
        <v/>
      </c>
      <c r="AZ44" s="1920" t="str">
        <f t="shared" si="10"/>
        <v/>
      </c>
      <c r="BA44" s="1910" t="str">
        <f t="shared" si="11"/>
        <v/>
      </c>
      <c r="BB44" s="1918" t="str">
        <f t="shared" si="63"/>
        <v/>
      </c>
      <c r="BC44" s="1919" t="str">
        <f t="shared" si="64"/>
        <v/>
      </c>
      <c r="BD44" s="1920" t="str">
        <f t="shared" si="12"/>
        <v/>
      </c>
      <c r="BE44" s="1910" t="str">
        <f t="shared" si="13"/>
        <v/>
      </c>
      <c r="BF44" s="1918" t="str">
        <f t="shared" si="65"/>
        <v/>
      </c>
      <c r="BG44" s="1919" t="str">
        <f t="shared" si="66"/>
        <v/>
      </c>
      <c r="BH44" s="322"/>
      <c r="BJ44" s="1258" t="str">
        <f t="shared" si="124"/>
        <v/>
      </c>
      <c r="BK44" s="1256" t="b">
        <f t="shared" si="125"/>
        <v>0</v>
      </c>
      <c r="BL44" s="1251" t="b">
        <v>0</v>
      </c>
      <c r="BM44" s="1251">
        <f t="shared" si="113"/>
        <v>0</v>
      </c>
      <c r="BN44" s="1251">
        <f t="shared" si="114"/>
        <v>0</v>
      </c>
      <c r="BO44" s="1251">
        <f t="shared" si="115"/>
        <v>0</v>
      </c>
      <c r="BP44" s="1251">
        <f t="shared" si="116"/>
        <v>0</v>
      </c>
      <c r="BQ44" s="1251">
        <f t="shared" si="117"/>
        <v>0</v>
      </c>
      <c r="BR44" s="1251" t="b">
        <f t="shared" si="118"/>
        <v>1</v>
      </c>
      <c r="BS44" s="1252">
        <f t="shared" si="119"/>
        <v>6</v>
      </c>
      <c r="BT44" s="1252" t="str">
        <f t="shared" si="120"/>
        <v>No</v>
      </c>
      <c r="BU44" s="1252">
        <f t="shared" si="121"/>
        <v>6</v>
      </c>
      <c r="BV44" s="1252" t="str">
        <f t="shared" si="122"/>
        <v>No</v>
      </c>
      <c r="BW44" s="1253">
        <f t="shared" ca="1" si="33"/>
        <v>0</v>
      </c>
      <c r="BX44" s="1254" t="str">
        <f t="shared" ca="1" si="40"/>
        <v/>
      </c>
      <c r="BY44" s="1254" t="b">
        <f t="shared" ca="1" si="34"/>
        <v>0</v>
      </c>
      <c r="BZ44" s="1255" t="b">
        <f t="shared" si="41"/>
        <v>0</v>
      </c>
      <c r="CB44" s="842"/>
      <c r="CC44" s="894"/>
      <c r="CD44" s="883"/>
      <c r="CE44" s="884"/>
      <c r="CF44" s="885"/>
      <c r="CG44" s="901"/>
      <c r="CH44" s="902"/>
      <c r="CI44" s="903"/>
      <c r="CJ44" s="902"/>
      <c r="CK44" s="903"/>
      <c r="CL44" s="904"/>
      <c r="CM44" s="944"/>
      <c r="CN44" s="901"/>
      <c r="CO44" s="902"/>
      <c r="CP44" s="903"/>
      <c r="CQ44" s="902"/>
      <c r="CR44" s="903"/>
      <c r="CS44" s="904"/>
      <c r="CT44" s="944"/>
      <c r="CU44" s="906"/>
      <c r="CV44" s="886"/>
      <c r="CW44" s="887"/>
      <c r="CX44" s="915"/>
      <c r="CY44" s="916"/>
      <c r="CZ44" s="932"/>
      <c r="DA44" s="933"/>
      <c r="DB44" s="932"/>
      <c r="DC44" s="933"/>
      <c r="DD44" s="1149"/>
      <c r="DE44" s="1150"/>
      <c r="DF44" s="173"/>
      <c r="DG44" s="173"/>
      <c r="DH44" s="946"/>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44" t="str">
        <f t="shared" si="100"/>
        <v/>
      </c>
      <c r="EP44" s="1166" t="str">
        <f t="shared" si="126"/>
        <v/>
      </c>
      <c r="EQ44" s="1167" t="str">
        <f t="shared" si="127"/>
        <v/>
      </c>
      <c r="ER44" s="961" t="str">
        <f t="shared" si="101"/>
        <v/>
      </c>
      <c r="ES44" s="962" t="str">
        <f t="shared" si="102"/>
        <v/>
      </c>
      <c r="ET44" s="963" t="str">
        <f t="shared" si="103"/>
        <v/>
      </c>
      <c r="EU44" s="964" t="str">
        <f t="shared" si="104"/>
        <v/>
      </c>
      <c r="EX44" s="1194" t="str">
        <f t="shared" ca="1" si="35"/>
        <v/>
      </c>
      <c r="EY44" s="1196" t="str">
        <f t="shared" si="14"/>
        <v/>
      </c>
      <c r="EZ44" s="1196" t="str">
        <f t="shared" si="36"/>
        <v/>
      </c>
      <c r="FA44" s="1217" t="str">
        <f t="shared" ca="1" si="42"/>
        <v/>
      </c>
      <c r="FB44" s="1218" t="str">
        <f t="shared" ca="1" si="37"/>
        <v/>
      </c>
      <c r="FC44" s="1218">
        <f t="shared" ca="1" si="15"/>
        <v>0</v>
      </c>
      <c r="FD44" s="1218">
        <f t="shared" ca="1" si="16"/>
        <v>0</v>
      </c>
      <c r="FE44" s="1218">
        <f t="shared" ca="1" si="17"/>
        <v>0</v>
      </c>
      <c r="FF44" s="1218">
        <f t="shared" ca="1" si="38"/>
        <v>0</v>
      </c>
      <c r="FN44" s="1256" t="b">
        <v>0</v>
      </c>
      <c r="FO44" s="969" t="b">
        <f t="shared" si="123"/>
        <v>1</v>
      </c>
      <c r="FP44" s="969" t="b">
        <v>0</v>
      </c>
      <c r="FQ44" s="969" t="b">
        <f t="shared" si="39"/>
        <v>1</v>
      </c>
      <c r="FX44" s="303"/>
      <c r="GA44" s="1935" t="str">
        <f t="shared" si="105"/>
        <v/>
      </c>
      <c r="GB44" s="1936" t="str">
        <f t="shared" si="106"/>
        <v/>
      </c>
      <c r="GC44" s="1937" t="str">
        <f t="shared" si="107"/>
        <v/>
      </c>
      <c r="GD44" s="1938" t="str">
        <f t="shared" si="108"/>
        <v/>
      </c>
      <c r="GE44" s="1939" t="str">
        <f t="shared" si="109"/>
        <v/>
      </c>
      <c r="GF44" s="1940" t="str">
        <f t="shared" si="110"/>
        <v/>
      </c>
      <c r="GG44" s="1457"/>
      <c r="GH44" s="1459"/>
      <c r="GI44" s="1457"/>
      <c r="GJ44" s="1459"/>
      <c r="GK44" s="326">
        <f t="shared" si="111"/>
        <v>0</v>
      </c>
      <c r="GL44" s="326" t="e">
        <f t="shared" si="112"/>
        <v>#VALUE!</v>
      </c>
      <c r="GM44" s="327" t="e">
        <f>IF(ABS(GK44-GL44)&gt;='Job Info.'!$L$22,ABS(GK44-GL44),0)</f>
        <v>#VALUE!</v>
      </c>
      <c r="GN44" s="171"/>
      <c r="GO44" s="172"/>
      <c r="HA44" s="1612"/>
      <c r="HB44" s="1613"/>
      <c r="HC44" s="1613"/>
      <c r="HD44" s="1614"/>
      <c r="HE44" s="1615"/>
      <c r="HF44" s="1613"/>
      <c r="HG44" s="1613"/>
      <c r="HH44" s="1613"/>
      <c r="HI44" s="1613"/>
      <c r="HJ44" s="1613"/>
      <c r="HK44" s="1613"/>
      <c r="HL44" s="1613"/>
      <c r="HM44" s="1613"/>
      <c r="HN44" s="1613"/>
      <c r="HO44" s="1613"/>
      <c r="HP44" s="1613"/>
      <c r="HQ44" s="1613"/>
      <c r="HR44" s="1613"/>
      <c r="HS44" s="1613"/>
      <c r="HT44" s="1613"/>
      <c r="HU44" s="1613"/>
      <c r="HV44" s="1613"/>
      <c r="HW44" s="1613"/>
      <c r="HX44" s="1613"/>
      <c r="HY44" s="1617"/>
      <c r="HZ44" s="1617"/>
      <c r="IA44" s="1617"/>
      <c r="IB44" s="1617"/>
      <c r="IC44" s="1617"/>
      <c r="ID44" s="1618"/>
      <c r="IE44" s="1612"/>
      <c r="IF44" s="1613"/>
      <c r="IG44" s="1614"/>
      <c r="IH44" s="1615"/>
      <c r="II44" s="1613"/>
      <c r="IJ44" s="1614"/>
      <c r="IK44" s="1615"/>
      <c r="IL44" s="1613"/>
      <c r="IM44" s="1613"/>
      <c r="IN44" s="1613"/>
      <c r="IO44" s="1613"/>
      <c r="IP44" s="1613"/>
      <c r="IQ44" s="1613"/>
      <c r="IR44" s="1613"/>
      <c r="IS44" s="1614"/>
      <c r="IT44" s="1615"/>
      <c r="IU44" s="1613"/>
      <c r="IV44" s="1613"/>
      <c r="IW44" s="1614"/>
      <c r="IX44" s="1615"/>
      <c r="IY44" s="1613"/>
      <c r="IZ44" s="1613"/>
      <c r="JA44" s="1614"/>
      <c r="JB44" s="1615"/>
      <c r="JC44" s="1613"/>
      <c r="JD44" s="1613"/>
      <c r="JE44" s="1614"/>
      <c r="JF44" s="1615"/>
      <c r="JG44" s="1613"/>
      <c r="JH44" s="1613"/>
      <c r="JI44" s="1613"/>
      <c r="JJ44" s="1616"/>
      <c r="JK44" s="1613"/>
      <c r="JL44" s="1521">
        <f t="shared" ca="1" si="43"/>
        <v>0</v>
      </c>
      <c r="JM44" s="171"/>
    </row>
    <row r="45" spans="1:273" ht="12.6" customHeight="1" thickBot="1" x14ac:dyDescent="0.35">
      <c r="A45" s="1877" t="str">
        <f>IF(ISBLANK(CB45),"",CB45)</f>
        <v/>
      </c>
      <c r="B45" s="1878" t="str">
        <f>IF(ISBLANK(CC45),"",CC45)</f>
        <v/>
      </c>
      <c r="C45" s="1879" t="str">
        <f>IF(ISBLANK(CD45),"",CD45)</f>
        <v/>
      </c>
      <c r="D45" s="1880" t="str">
        <f>IF(CV85="","",TRUNC(CV85/12))</f>
        <v/>
      </c>
      <c r="E45" s="1881" t="str">
        <f>IF(CV85="","",CV85-(D45*12))</f>
        <v/>
      </c>
      <c r="F45" s="1882" t="str">
        <f>IF(ISBLANK(CY45),"",CY45)</f>
        <v/>
      </c>
      <c r="G45" s="1883" t="str">
        <f>IF(DD85=0,"",TRUNC(DD85/12))</f>
        <v/>
      </c>
      <c r="H45" s="1884" t="str">
        <f>IF(DD85=0,"",DD85-(G45*12))</f>
        <v/>
      </c>
      <c r="I45" s="1885" t="str">
        <f>IF(DD85=0,"",CE85)</f>
        <v/>
      </c>
      <c r="J45" s="1880" t="str">
        <f>IF(DJ85=0,"",TRUNC(DJ85/12))</f>
        <v/>
      </c>
      <c r="K45" s="1884" t="str">
        <f>IF(DJ85=0,"",DJ85-(J45*12))</f>
        <v/>
      </c>
      <c r="L45" s="1886" t="str">
        <f>IF(DJ85=0,"",CN85)</f>
        <v/>
      </c>
      <c r="M45" s="1887" t="str">
        <f t="shared" si="83"/>
        <v/>
      </c>
      <c r="N45" s="1888" t="str">
        <f t="shared" si="84"/>
        <v/>
      </c>
      <c r="O45" s="1883" t="str">
        <f>IF(DZ85="","",IF(AND(DZ85&gt;-12,DZ85&lt;0),-0.000001,TRUNC(DZ85/12)))</f>
        <v/>
      </c>
      <c r="P45" s="1884" t="str">
        <f>IF(DZ85="","",IF(AND(DZ85&lt;0,DZ85-(O45*12)=0),-0.00001,DZ85-(O45*12)))</f>
        <v/>
      </c>
      <c r="Q45" s="1880" t="str">
        <f>IF(EA85="","",IF(AND(EA85&gt;-12,EA85&lt;0),-0.000001,TRUNC(EA85/12)))</f>
        <v/>
      </c>
      <c r="R45" s="1881" t="str">
        <f>IF(EA85="","",IF(AND(EA85&lt;0,EA85-(Q45*12)=0),-0.00001,EA85-(Q45*12)))</f>
        <v/>
      </c>
      <c r="S45" s="1889" t="str">
        <f>IF(DR85="","",IF(DR85="ERR",TRUNC(DQ85/12),TRUNC(DR85/12)))</f>
        <v/>
      </c>
      <c r="T45" s="1884" t="str">
        <f>IF(DR85="","",IF(DR85="ERR",DQ85-(S45*12),DR85-(S45*12)))</f>
        <v/>
      </c>
      <c r="U45" s="1880" t="str">
        <f>IF(DY85="","",IF(DY85="ERR",TRUNC(DX85/12),TRUNC(DY85/12)))</f>
        <v/>
      </c>
      <c r="V45" s="1884" t="str">
        <f>IF(DY85="","",IF(DY85="ERR",DX85-(U45*12),DY85-(U45*12)))</f>
        <v/>
      </c>
      <c r="W45" s="1888">
        <f>IF(EC85="",0,EC85)</f>
        <v>0</v>
      </c>
      <c r="X45" s="1890" t="str">
        <f>IF(EN85="","",EN85)</f>
        <v/>
      </c>
      <c r="Y45" s="1891" t="str">
        <f>IF(ES85="","",ES85)</f>
        <v/>
      </c>
      <c r="Z45" s="1941"/>
      <c r="AA45" s="1892" t="str">
        <f>IF(ISBLANK(CX45),"",CX45)</f>
        <v/>
      </c>
      <c r="AB45" s="1472" t="str">
        <f t="shared" si="70"/>
        <v/>
      </c>
      <c r="AC45" s="1921" t="str">
        <f t="shared" si="53"/>
        <v/>
      </c>
      <c r="AD45" s="1922" t="str">
        <f t="shared" ca="1" si="44"/>
        <v/>
      </c>
      <c r="AE45" s="1923" t="str">
        <f t="shared" ca="1" si="45"/>
        <v/>
      </c>
      <c r="AF45" s="1921" t="str">
        <f t="shared" ca="1" si="46"/>
        <v/>
      </c>
      <c r="AG45" s="1922" t="str">
        <f t="shared" ca="1" si="47"/>
        <v/>
      </c>
      <c r="AH45" s="1923" t="str">
        <f t="shared" ca="1" si="48"/>
        <v/>
      </c>
      <c r="AI45" s="1922" t="str">
        <f t="shared" ca="1" si="49"/>
        <v/>
      </c>
      <c r="AJ45" s="1923" t="str">
        <f t="shared" ca="1" si="50"/>
        <v/>
      </c>
      <c r="AK45" s="1924" t="str">
        <f t="shared" si="54"/>
        <v/>
      </c>
      <c r="AL45" s="1925" t="str">
        <f t="shared" si="55"/>
        <v/>
      </c>
      <c r="AM45" s="1926" t="str">
        <f t="shared" si="56"/>
        <v/>
      </c>
      <c r="AN45" s="1921" t="str">
        <f t="shared" si="57"/>
        <v/>
      </c>
      <c r="AO45" s="1927" t="str">
        <f t="shared" si="58"/>
        <v/>
      </c>
      <c r="AP45" s="1928" t="str">
        <f t="shared" si="4"/>
        <v/>
      </c>
      <c r="AQ45" s="1929" t="str">
        <f t="shared" si="5"/>
        <v/>
      </c>
      <c r="AR45" s="1930" t="str">
        <f t="shared" si="6"/>
        <v/>
      </c>
      <c r="AS45" s="1923" t="str">
        <f t="shared" si="7"/>
        <v/>
      </c>
      <c r="AT45" s="1931" t="str">
        <f t="shared" si="59"/>
        <v/>
      </c>
      <c r="AU45" s="1932" t="str">
        <f t="shared" si="60"/>
        <v/>
      </c>
      <c r="AV45" s="1933" t="str">
        <f t="shared" si="8"/>
        <v/>
      </c>
      <c r="AW45" s="1923" t="str">
        <f t="shared" si="9"/>
        <v/>
      </c>
      <c r="AX45" s="1931" t="str">
        <f t="shared" si="61"/>
        <v/>
      </c>
      <c r="AY45" s="1932" t="str">
        <f t="shared" si="62"/>
        <v/>
      </c>
      <c r="AZ45" s="1933" t="str">
        <f t="shared" si="10"/>
        <v/>
      </c>
      <c r="BA45" s="1923" t="str">
        <f t="shared" si="11"/>
        <v/>
      </c>
      <c r="BB45" s="1931" t="str">
        <f t="shared" si="63"/>
        <v/>
      </c>
      <c r="BC45" s="1932" t="str">
        <f t="shared" si="64"/>
        <v/>
      </c>
      <c r="BD45" s="1933" t="str">
        <f t="shared" si="12"/>
        <v/>
      </c>
      <c r="BE45" s="1923" t="str">
        <f t="shared" si="13"/>
        <v/>
      </c>
      <c r="BF45" s="1931" t="str">
        <f t="shared" si="65"/>
        <v/>
      </c>
      <c r="BG45" s="1932" t="str">
        <f t="shared" si="66"/>
        <v/>
      </c>
      <c r="BH45" s="322"/>
      <c r="BJ45" s="1258" t="str">
        <f t="shared" si="124"/>
        <v/>
      </c>
      <c r="BK45" s="1256" t="b">
        <f t="shared" si="125"/>
        <v>0</v>
      </c>
      <c r="BL45" s="1251" t="b">
        <v>0</v>
      </c>
      <c r="BM45" s="1251">
        <f t="shared" si="113"/>
        <v>0</v>
      </c>
      <c r="BN45" s="1251">
        <f t="shared" si="114"/>
        <v>0</v>
      </c>
      <c r="BO45" s="1251">
        <f t="shared" si="115"/>
        <v>0</v>
      </c>
      <c r="BP45" s="1251">
        <f t="shared" si="116"/>
        <v>0</v>
      </c>
      <c r="BQ45" s="1251">
        <f t="shared" si="117"/>
        <v>0</v>
      </c>
      <c r="BR45" s="1251" t="b">
        <f t="shared" si="118"/>
        <v>1</v>
      </c>
      <c r="BS45" s="1252">
        <f t="shared" si="119"/>
        <v>6</v>
      </c>
      <c r="BT45" s="1252" t="str">
        <f t="shared" si="120"/>
        <v>No</v>
      </c>
      <c r="BU45" s="1252">
        <f t="shared" si="121"/>
        <v>6</v>
      </c>
      <c r="BV45" s="1252" t="str">
        <f t="shared" si="122"/>
        <v>No</v>
      </c>
      <c r="BW45" s="1253">
        <f t="shared" ca="1" si="33"/>
        <v>0</v>
      </c>
      <c r="BX45" s="1254" t="str">
        <f t="shared" ca="1" si="40"/>
        <v/>
      </c>
      <c r="BY45" s="1254" t="b">
        <f t="shared" ca="1" si="34"/>
        <v>0</v>
      </c>
      <c r="BZ45" s="1255" t="b">
        <f t="shared" si="41"/>
        <v>0</v>
      </c>
      <c r="CB45" s="854"/>
      <c r="CC45" s="895"/>
      <c r="CD45" s="888"/>
      <c r="CE45" s="889"/>
      <c r="CF45" s="890"/>
      <c r="CG45" s="907"/>
      <c r="CH45" s="908"/>
      <c r="CI45" s="909"/>
      <c r="CJ45" s="908"/>
      <c r="CK45" s="909"/>
      <c r="CL45" s="910"/>
      <c r="CM45" s="945"/>
      <c r="CN45" s="907"/>
      <c r="CO45" s="908"/>
      <c r="CP45" s="909"/>
      <c r="CQ45" s="908"/>
      <c r="CR45" s="909"/>
      <c r="CS45" s="910"/>
      <c r="CT45" s="945"/>
      <c r="CU45" s="912"/>
      <c r="CV45" s="891"/>
      <c r="CW45" s="892"/>
      <c r="CX45" s="917"/>
      <c r="CY45" s="918"/>
      <c r="CZ45" s="939"/>
      <c r="DA45" s="940"/>
      <c r="DB45" s="939"/>
      <c r="DC45" s="940"/>
      <c r="DD45" s="1151"/>
      <c r="DE45" s="1152"/>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45" t="str">
        <f t="shared" si="100"/>
        <v/>
      </c>
      <c r="EP45" s="1170" t="str">
        <f t="shared" si="126"/>
        <v/>
      </c>
      <c r="EQ45" s="1171" t="str">
        <f t="shared" si="127"/>
        <v/>
      </c>
      <c r="ER45" s="965" t="str">
        <f t="shared" si="101"/>
        <v/>
      </c>
      <c r="ES45" s="966" t="str">
        <f t="shared" si="102"/>
        <v/>
      </c>
      <c r="ET45" s="967" t="str">
        <f t="shared" si="103"/>
        <v/>
      </c>
      <c r="EU45" s="968" t="str">
        <f t="shared" si="104"/>
        <v/>
      </c>
      <c r="EX45" s="1194" t="str">
        <f t="shared" ca="1" si="35"/>
        <v/>
      </c>
      <c r="EY45" s="1196" t="str">
        <f t="shared" si="14"/>
        <v/>
      </c>
      <c r="EZ45" s="1196" t="str">
        <f t="shared" si="36"/>
        <v/>
      </c>
      <c r="FA45" s="1217" t="str">
        <f t="shared" ca="1" si="42"/>
        <v/>
      </c>
      <c r="FB45" s="1218" t="str">
        <f t="shared" ca="1" si="37"/>
        <v/>
      </c>
      <c r="FC45" s="1218">
        <f t="shared" ca="1" si="15"/>
        <v>0</v>
      </c>
      <c r="FD45" s="1218">
        <f t="shared" ca="1" si="16"/>
        <v>0</v>
      </c>
      <c r="FE45" s="1218">
        <f t="shared" ca="1" si="17"/>
        <v>0</v>
      </c>
      <c r="FF45" s="1218">
        <f t="shared" ca="1" si="38"/>
        <v>0</v>
      </c>
      <c r="FN45" s="1256" t="b">
        <v>0</v>
      </c>
      <c r="FO45" s="969" t="b">
        <f t="shared" si="123"/>
        <v>1</v>
      </c>
      <c r="FP45" s="969" t="b">
        <v>0</v>
      </c>
      <c r="FQ45" s="969" t="b">
        <f t="shared" si="39"/>
        <v>1</v>
      </c>
      <c r="FX45" s="303"/>
      <c r="FZ45" s="124"/>
      <c r="GA45" s="1935" t="str">
        <f t="shared" si="105"/>
        <v/>
      </c>
      <c r="GB45" s="1936" t="str">
        <f t="shared" si="106"/>
        <v/>
      </c>
      <c r="GC45" s="1937" t="str">
        <f t="shared" si="107"/>
        <v/>
      </c>
      <c r="GD45" s="1938" t="str">
        <f t="shared" si="108"/>
        <v/>
      </c>
      <c r="GE45" s="1939" t="str">
        <f t="shared" si="109"/>
        <v/>
      </c>
      <c r="GF45" s="1940" t="str">
        <f t="shared" si="110"/>
        <v/>
      </c>
      <c r="GG45" s="1460"/>
      <c r="GH45" s="1461"/>
      <c r="GI45" s="1460"/>
      <c r="GJ45" s="1461"/>
      <c r="GK45" s="326">
        <f t="shared" si="111"/>
        <v>0</v>
      </c>
      <c r="GL45" s="326" t="e">
        <f t="shared" si="112"/>
        <v>#VALUE!</v>
      </c>
      <c r="GM45" s="327" t="e">
        <f>IF(ABS(GK45-GL45)&gt;='Job Info.'!$L$22,ABS(GK45-GL45),0)</f>
        <v>#VALUE!</v>
      </c>
      <c r="GN45" s="171"/>
      <c r="GO45" s="171"/>
      <c r="GZ45" s="179"/>
      <c r="HA45" s="1620"/>
      <c r="HB45" s="1621"/>
      <c r="HC45" s="1621"/>
      <c r="HD45" s="1622"/>
      <c r="HE45" s="1623"/>
      <c r="HF45" s="1621"/>
      <c r="HG45" s="1621"/>
      <c r="HH45" s="1621"/>
      <c r="HI45" s="1621"/>
      <c r="HJ45" s="1621"/>
      <c r="HK45" s="1621"/>
      <c r="HL45" s="1621"/>
      <c r="HM45" s="1621"/>
      <c r="HN45" s="1621"/>
      <c r="HO45" s="1621"/>
      <c r="HP45" s="1621"/>
      <c r="HQ45" s="1621"/>
      <c r="HR45" s="1621"/>
      <c r="HS45" s="1621"/>
      <c r="HT45" s="1621"/>
      <c r="HU45" s="1621"/>
      <c r="HV45" s="1621"/>
      <c r="HW45" s="1621"/>
      <c r="HX45" s="1621"/>
      <c r="HY45" s="1624"/>
      <c r="HZ45" s="1624"/>
      <c r="IA45" s="1624"/>
      <c r="IB45" s="1624"/>
      <c r="IC45" s="1624"/>
      <c r="ID45" s="1625"/>
      <c r="IE45" s="1620"/>
      <c r="IF45" s="1621"/>
      <c r="IG45" s="1622"/>
      <c r="IH45" s="1623"/>
      <c r="II45" s="1621"/>
      <c r="IJ45" s="1622"/>
      <c r="IK45" s="1623"/>
      <c r="IL45" s="1621"/>
      <c r="IM45" s="1621"/>
      <c r="IN45" s="1621"/>
      <c r="IO45" s="1621"/>
      <c r="IP45" s="1621"/>
      <c r="IQ45" s="1621"/>
      <c r="IR45" s="1621"/>
      <c r="IS45" s="1622"/>
      <c r="IT45" s="1623"/>
      <c r="IU45" s="1621"/>
      <c r="IV45" s="1621"/>
      <c r="IW45" s="1622"/>
      <c r="IX45" s="1623"/>
      <c r="IY45" s="1621"/>
      <c r="IZ45" s="1621"/>
      <c r="JA45" s="1622"/>
      <c r="JB45" s="1623"/>
      <c r="JC45" s="1621"/>
      <c r="JD45" s="1621"/>
      <c r="JE45" s="1622"/>
      <c r="JF45" s="1623"/>
      <c r="JG45" s="1621"/>
      <c r="JH45" s="1621"/>
      <c r="JI45" s="1621"/>
      <c r="JJ45" s="1626"/>
      <c r="JK45" s="1621"/>
      <c r="JL45" s="1522">
        <f t="shared" ca="1" si="43"/>
        <v>0</v>
      </c>
      <c r="JM45" s="171"/>
    </row>
    <row r="46" spans="1:273"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63"/>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62"/>
      <c r="GC46" s="1462"/>
      <c r="GD46" s="1462"/>
      <c r="GE46" s="1462"/>
      <c r="GF46" s="1462"/>
      <c r="GG46" s="1462"/>
      <c r="GH46" s="1462"/>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2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62"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57"/>
      <c r="GH48" s="1459"/>
      <c r="GI48" s="1457"/>
      <c r="GJ48" s="1459"/>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25">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385" t="s">
        <v>509</v>
      </c>
      <c r="EE50" s="2385" t="s">
        <v>562</v>
      </c>
      <c r="EF50" s="2385" t="s">
        <v>563</v>
      </c>
      <c r="EG50" s="2385" t="s">
        <v>564</v>
      </c>
      <c r="EH50" s="2385" t="s">
        <v>565</v>
      </c>
      <c r="EI50" s="2385" t="s">
        <v>566</v>
      </c>
      <c r="EJ50" s="2385" t="s">
        <v>567</v>
      </c>
      <c r="EK50" s="2385" t="s">
        <v>568</v>
      </c>
      <c r="EL50" s="2385" t="s">
        <v>510</v>
      </c>
      <c r="EM50" s="2385" t="s">
        <v>569</v>
      </c>
      <c r="EN50" s="2385" t="s">
        <v>623</v>
      </c>
      <c r="EO50" s="2385" t="s">
        <v>511</v>
      </c>
      <c r="EP50" s="2385" t="s">
        <v>570</v>
      </c>
      <c r="EQ50" s="2385" t="s">
        <v>512</v>
      </c>
      <c r="ER50" s="2385" t="s">
        <v>571</v>
      </c>
      <c r="ES50" s="2385" t="s">
        <v>624</v>
      </c>
      <c r="ET50" s="2385" t="s">
        <v>513</v>
      </c>
      <c r="EU50" s="2385" t="s">
        <v>514</v>
      </c>
      <c r="EV50" s="360"/>
      <c r="EW50" s="360"/>
      <c r="EX50" s="360"/>
      <c r="EY50" s="363"/>
      <c r="EZ50" s="363"/>
      <c r="FA50" s="363"/>
      <c r="FB50" s="360"/>
      <c r="FC50" s="360"/>
      <c r="FD50" s="360"/>
      <c r="FG50" s="139"/>
      <c r="FH50" s="139"/>
      <c r="FI50" s="139"/>
      <c r="FJ50" s="139"/>
      <c r="FK50" s="139"/>
      <c r="FL50" s="139"/>
      <c r="FM50" s="139"/>
      <c r="FN50" s="2553" t="s">
        <v>656</v>
      </c>
      <c r="FO50" s="2554"/>
      <c r="FP50" s="2554"/>
      <c r="FQ50" s="2554"/>
      <c r="FR50" s="2554"/>
      <c r="FS50" s="2555"/>
      <c r="FT50" s="2519" t="s">
        <v>657</v>
      </c>
      <c r="FU50" s="2520"/>
      <c r="FV50" s="2520"/>
      <c r="FW50" s="2520"/>
      <c r="FX50" s="2520"/>
      <c r="FY50" s="2520"/>
      <c r="FZ50" s="2521"/>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408" t="s">
        <v>654</v>
      </c>
      <c r="CD51" s="2409"/>
      <c r="CE51" s="2409"/>
      <c r="CF51" s="2409"/>
      <c r="CG51" s="2409"/>
      <c r="CH51" s="2409"/>
      <c r="CI51" s="2409"/>
      <c r="CJ51" s="2409"/>
      <c r="CK51" s="2410"/>
      <c r="CL51" s="2408" t="s">
        <v>507</v>
      </c>
      <c r="CM51" s="2409"/>
      <c r="CN51" s="2409"/>
      <c r="CO51" s="2409"/>
      <c r="CP51" s="2409"/>
      <c r="CQ51" s="2409"/>
      <c r="CR51" s="2409"/>
      <c r="CS51" s="2409"/>
      <c r="CT51" s="241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387"/>
      <c r="EE51" s="2386"/>
      <c r="EF51" s="2386"/>
      <c r="EG51" s="2395"/>
      <c r="EH51" s="2386"/>
      <c r="EI51" s="2386"/>
      <c r="EJ51" s="2386"/>
      <c r="EK51" s="2387"/>
      <c r="EL51" s="2387"/>
      <c r="EM51" s="2387"/>
      <c r="EN51" s="2386"/>
      <c r="EO51" s="2387"/>
      <c r="EP51" s="2407"/>
      <c r="EQ51" s="2387"/>
      <c r="ER51" s="2387"/>
      <c r="ES51" s="2387"/>
      <c r="ET51" s="2387"/>
      <c r="EU51" s="2407"/>
      <c r="EV51" s="360"/>
      <c r="EW51" s="360"/>
      <c r="EX51" s="2515" t="s">
        <v>658</v>
      </c>
      <c r="EY51" s="2606" t="s">
        <v>659</v>
      </c>
      <c r="EZ51" s="360"/>
      <c r="FA51" s="360"/>
      <c r="FB51" s="360"/>
      <c r="FC51" s="360"/>
      <c r="FD51" s="360"/>
      <c r="FF51" s="2603" t="s">
        <v>990</v>
      </c>
      <c r="FG51" s="2604"/>
      <c r="FH51" s="2604"/>
      <c r="FI51" s="2604"/>
      <c r="FN51" s="2556"/>
      <c r="FO51" s="2557"/>
      <c r="FP51" s="2557"/>
      <c r="FQ51" s="2557"/>
      <c r="FR51" s="2557"/>
      <c r="FS51" s="2558"/>
      <c r="FT51" s="2522"/>
      <c r="FU51" s="2523"/>
      <c r="FV51" s="2523"/>
      <c r="FW51" s="2523"/>
      <c r="FX51" s="2523"/>
      <c r="FY51" s="2523"/>
      <c r="FZ51" s="2524"/>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5" hidden="1" customHeight="1" thickTop="1" thickBot="1" x14ac:dyDescent="0.25">
      <c r="BZ52" s="360"/>
      <c r="CA52" s="360"/>
      <c r="CB52" s="2503" t="s">
        <v>653</v>
      </c>
      <c r="CC52" s="2401" t="s">
        <v>535</v>
      </c>
      <c r="CD52" s="2403" t="s">
        <v>536</v>
      </c>
      <c r="CE52" s="2403" t="s">
        <v>537</v>
      </c>
      <c r="CF52" s="2403" t="s">
        <v>538</v>
      </c>
      <c r="CG52" s="2403" t="s">
        <v>599</v>
      </c>
      <c r="CH52" s="2403" t="s">
        <v>539</v>
      </c>
      <c r="CI52" s="2403" t="s">
        <v>619</v>
      </c>
      <c r="CJ52" s="2403" t="s">
        <v>540</v>
      </c>
      <c r="CK52" s="2405" t="s">
        <v>541</v>
      </c>
      <c r="CL52" s="2401" t="s">
        <v>535</v>
      </c>
      <c r="CM52" s="2403" t="s">
        <v>536</v>
      </c>
      <c r="CN52" s="2403" t="s">
        <v>542</v>
      </c>
      <c r="CO52" s="2403" t="s">
        <v>538</v>
      </c>
      <c r="CP52" s="2403" t="s">
        <v>599</v>
      </c>
      <c r="CQ52" s="2403" t="s">
        <v>539</v>
      </c>
      <c r="CR52" s="2403" t="s">
        <v>619</v>
      </c>
      <c r="CS52" s="2403" t="s">
        <v>540</v>
      </c>
      <c r="CT52" s="2405" t="s">
        <v>541</v>
      </c>
      <c r="CU52" s="2510" t="s">
        <v>528</v>
      </c>
      <c r="CV52" s="2393" t="s">
        <v>543</v>
      </c>
      <c r="CW52" s="2393" t="s">
        <v>544</v>
      </c>
      <c r="CX52" s="2391" t="s">
        <v>545</v>
      </c>
      <c r="CY52" s="2397" t="s">
        <v>582</v>
      </c>
      <c r="CZ52" s="2513" t="s">
        <v>1058</v>
      </c>
      <c r="DA52" s="2514"/>
      <c r="DB52" s="2397" t="s">
        <v>547</v>
      </c>
      <c r="DC52" s="2393" t="s">
        <v>550</v>
      </c>
      <c r="DD52" s="2393" t="s">
        <v>551</v>
      </c>
      <c r="DE52" s="2397" t="s">
        <v>583</v>
      </c>
      <c r="DF52" s="2513" t="s">
        <v>1059</v>
      </c>
      <c r="DG52" s="2514"/>
      <c r="DH52" s="2393" t="s">
        <v>549</v>
      </c>
      <c r="DI52" s="2393" t="s">
        <v>552</v>
      </c>
      <c r="DJ52" s="2393" t="s">
        <v>553</v>
      </c>
      <c r="DK52" s="2393" t="s">
        <v>554</v>
      </c>
      <c r="DL52" s="2393" t="s">
        <v>584</v>
      </c>
      <c r="DM52" s="2388" t="s">
        <v>585</v>
      </c>
      <c r="DN52" s="2389"/>
      <c r="DO52" s="2388" t="s">
        <v>586</v>
      </c>
      <c r="DP52" s="2390"/>
      <c r="DQ52" s="2391" t="s">
        <v>587</v>
      </c>
      <c r="DR52" s="2392"/>
      <c r="DS52" s="2393" t="s">
        <v>608</v>
      </c>
      <c r="DT52" s="2388" t="s">
        <v>588</v>
      </c>
      <c r="DU52" s="2389"/>
      <c r="DV52" s="2388" t="s">
        <v>589</v>
      </c>
      <c r="DW52" s="2390"/>
      <c r="DX52" s="2391" t="s">
        <v>590</v>
      </c>
      <c r="DY52" s="2392"/>
      <c r="DZ52" s="2393" t="s">
        <v>12</v>
      </c>
      <c r="EA52" s="2393" t="s">
        <v>13</v>
      </c>
      <c r="EB52" s="2393" t="s">
        <v>622</v>
      </c>
      <c r="EC52" s="2393" t="s">
        <v>621</v>
      </c>
      <c r="ED52" s="2387"/>
      <c r="EE52" s="2386"/>
      <c r="EF52" s="2386"/>
      <c r="EG52" s="2395"/>
      <c r="EH52" s="2386"/>
      <c r="EI52" s="2386"/>
      <c r="EJ52" s="2386"/>
      <c r="EK52" s="2387"/>
      <c r="EL52" s="2387"/>
      <c r="EM52" s="2387"/>
      <c r="EN52" s="2386"/>
      <c r="EO52" s="2387"/>
      <c r="EP52" s="2407"/>
      <c r="EQ52" s="2387"/>
      <c r="ER52" s="2387"/>
      <c r="ES52" s="2387"/>
      <c r="ET52" s="2387"/>
      <c r="EU52" s="2407"/>
      <c r="EV52" s="2393" t="s">
        <v>630</v>
      </c>
      <c r="EW52" s="2393" t="s">
        <v>631</v>
      </c>
      <c r="EX52" s="2516"/>
      <c r="EY52" s="2606"/>
      <c r="EZ52" s="2488" t="s">
        <v>555</v>
      </c>
      <c r="FA52" s="2490" t="s">
        <v>556</v>
      </c>
      <c r="FB52" s="2517" t="s">
        <v>723</v>
      </c>
      <c r="FC52" s="2517" t="s">
        <v>724</v>
      </c>
      <c r="FD52" s="2543" t="s">
        <v>828</v>
      </c>
      <c r="FE52" s="2544"/>
      <c r="FF52" s="296" t="s">
        <v>991</v>
      </c>
      <c r="FK52" s="2529" t="s">
        <v>831</v>
      </c>
      <c r="FL52" s="2531" t="s">
        <v>660</v>
      </c>
      <c r="FM52" s="2533" t="s">
        <v>527</v>
      </c>
      <c r="FN52" s="2541" t="s">
        <v>529</v>
      </c>
      <c r="FO52" s="2551" t="s">
        <v>530</v>
      </c>
      <c r="FP52" s="2537" t="s">
        <v>531</v>
      </c>
      <c r="FQ52" s="2537" t="s">
        <v>532</v>
      </c>
      <c r="FR52" s="2539" t="s">
        <v>533</v>
      </c>
      <c r="FS52" s="2535" t="s">
        <v>534</v>
      </c>
      <c r="FT52" s="2527" t="s">
        <v>683</v>
      </c>
      <c r="FU52" s="2525" t="s">
        <v>521</v>
      </c>
      <c r="FV52" s="2525" t="s">
        <v>686</v>
      </c>
      <c r="FW52" s="2525" t="s">
        <v>685</v>
      </c>
      <c r="FX52" s="2525" t="s">
        <v>522</v>
      </c>
      <c r="FY52" s="2525" t="s">
        <v>684</v>
      </c>
      <c r="FZ52" s="2525" t="s">
        <v>687</v>
      </c>
      <c r="GA52" s="2525" t="s">
        <v>523</v>
      </c>
      <c r="GB52" s="2549" t="s">
        <v>524</v>
      </c>
      <c r="GC52" s="2547" t="s">
        <v>665</v>
      </c>
      <c r="GD52" s="249"/>
      <c r="GE52" s="164"/>
      <c r="GF52" s="164"/>
      <c r="GG52" s="168"/>
      <c r="GH52" s="168"/>
      <c r="GI52" s="169"/>
      <c r="GJ52" s="2545" t="s">
        <v>688</v>
      </c>
      <c r="GK52" s="171"/>
      <c r="GL52" s="171"/>
      <c r="GM52" s="171"/>
    </row>
    <row r="53" spans="1:222" ht="12.6" hidden="1" customHeight="1" thickTop="1" thickBot="1" x14ac:dyDescent="0.25">
      <c r="BZ53" s="360"/>
      <c r="CA53" s="360"/>
      <c r="CB53" s="2504"/>
      <c r="CC53" s="2402"/>
      <c r="CD53" s="2407"/>
      <c r="CE53" s="2407"/>
      <c r="CF53" s="2404"/>
      <c r="CG53" s="2404"/>
      <c r="CH53" s="2404"/>
      <c r="CI53" s="2404"/>
      <c r="CJ53" s="2404"/>
      <c r="CK53" s="2406"/>
      <c r="CL53" s="2402"/>
      <c r="CM53" s="2407"/>
      <c r="CN53" s="2407"/>
      <c r="CO53" s="2404"/>
      <c r="CP53" s="2404"/>
      <c r="CQ53" s="2404"/>
      <c r="CR53" s="2404"/>
      <c r="CS53" s="2404"/>
      <c r="CT53" s="2406"/>
      <c r="CU53" s="2511"/>
      <c r="CV53" s="2394"/>
      <c r="CW53" s="2509"/>
      <c r="CX53" s="2512"/>
      <c r="CY53" s="2387"/>
      <c r="CZ53" s="412" t="s">
        <v>593</v>
      </c>
      <c r="DA53" s="412" t="s">
        <v>594</v>
      </c>
      <c r="DB53" s="2387"/>
      <c r="DC53" s="2394"/>
      <c r="DD53" s="2394"/>
      <c r="DE53" s="2387"/>
      <c r="DF53" s="412" t="s">
        <v>593</v>
      </c>
      <c r="DG53" s="412" t="s">
        <v>594</v>
      </c>
      <c r="DH53" s="2394"/>
      <c r="DI53" s="2394"/>
      <c r="DJ53" s="2394"/>
      <c r="DK53" s="2394"/>
      <c r="DL53" s="2394"/>
      <c r="DM53" s="413" t="s">
        <v>558</v>
      </c>
      <c r="DN53" s="413" t="s">
        <v>559</v>
      </c>
      <c r="DO53" s="413" t="s">
        <v>558</v>
      </c>
      <c r="DP53" s="413" t="s">
        <v>559</v>
      </c>
      <c r="DQ53" s="413" t="s">
        <v>558</v>
      </c>
      <c r="DR53" s="413" t="s">
        <v>559</v>
      </c>
      <c r="DS53" s="2394"/>
      <c r="DT53" s="413" t="s">
        <v>558</v>
      </c>
      <c r="DU53" s="413" t="s">
        <v>559</v>
      </c>
      <c r="DV53" s="413" t="s">
        <v>558</v>
      </c>
      <c r="DW53" s="413" t="s">
        <v>559</v>
      </c>
      <c r="DX53" s="413" t="s">
        <v>558</v>
      </c>
      <c r="DY53" s="413" t="s">
        <v>559</v>
      </c>
      <c r="DZ53" s="2394"/>
      <c r="EA53" s="2394"/>
      <c r="EB53" s="2396"/>
      <c r="EC53" s="2396"/>
      <c r="ED53" s="2387"/>
      <c r="EE53" s="2386"/>
      <c r="EF53" s="2386"/>
      <c r="EG53" s="2395"/>
      <c r="EH53" s="2386"/>
      <c r="EI53" s="2386"/>
      <c r="EJ53" s="2386"/>
      <c r="EK53" s="2387"/>
      <c r="EL53" s="2387"/>
      <c r="EM53" s="2387"/>
      <c r="EN53" s="2386"/>
      <c r="EO53" s="2387"/>
      <c r="EP53" s="2407"/>
      <c r="EQ53" s="2387"/>
      <c r="ER53" s="2387"/>
      <c r="ES53" s="2387"/>
      <c r="ET53" s="2387"/>
      <c r="EU53" s="2407"/>
      <c r="EV53" s="2394"/>
      <c r="EW53" s="2394"/>
      <c r="EX53" s="2516"/>
      <c r="EY53" s="2607"/>
      <c r="EZ53" s="2489"/>
      <c r="FA53" s="2406"/>
      <c r="FB53" s="2518"/>
      <c r="FC53" s="2518"/>
      <c r="FD53" s="610" t="s">
        <v>646</v>
      </c>
      <c r="FE53" s="611" t="s">
        <v>647</v>
      </c>
      <c r="FF53" s="303" t="s">
        <v>992</v>
      </c>
      <c r="FG53" s="303" t="s">
        <v>993</v>
      </c>
      <c r="FH53" s="303" t="s">
        <v>994</v>
      </c>
      <c r="FI53" s="303" t="s">
        <v>995</v>
      </c>
      <c r="FK53" s="2530"/>
      <c r="FL53" s="2532"/>
      <c r="FM53" s="2534"/>
      <c r="FN53" s="2542"/>
      <c r="FO53" s="2552"/>
      <c r="FP53" s="2538"/>
      <c r="FQ53" s="2538"/>
      <c r="FR53" s="2540"/>
      <c r="FS53" s="2536"/>
      <c r="FT53" s="2528"/>
      <c r="FU53" s="2526"/>
      <c r="FV53" s="2526"/>
      <c r="FW53" s="2526"/>
      <c r="FX53" s="2526"/>
      <c r="FY53" s="2526"/>
      <c r="FZ53" s="2526"/>
      <c r="GA53" s="2526"/>
      <c r="GB53" s="2550"/>
      <c r="GC53" s="2548"/>
      <c r="GD53" s="250" t="s">
        <v>663</v>
      </c>
      <c r="GE53" s="177" t="s">
        <v>664</v>
      </c>
      <c r="GF53" s="166" t="s">
        <v>667</v>
      </c>
      <c r="GG53" s="166" t="s">
        <v>668</v>
      </c>
      <c r="GH53" s="166" t="s">
        <v>669</v>
      </c>
      <c r="GI53" s="167" t="s">
        <v>670</v>
      </c>
      <c r="GJ53" s="2546"/>
      <c r="GK53" s="1156" t="s">
        <v>996</v>
      </c>
      <c r="GL53" s="171"/>
      <c r="GM53" s="171"/>
    </row>
    <row r="54" spans="1:222" ht="12.6" hidden="1" customHeight="1" thickTop="1" x14ac:dyDescent="0.2">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9" t="b">
        <f t="shared" ref="FF54:FF85" si="128">IF(ISERROR(AR14),TRUE,IF(OR(AR14="",ISBLANK(AR14)),FALSE,IF(ISTEXT(AR14),IF(AND(AR14="P",LEFT(AS14,1)="#"),FALSE,TRUE),IF(ISTEXT(AS14),TRUE,FALSE))))</f>
        <v>0</v>
      </c>
      <c r="FG54" s="969" t="b">
        <f t="shared" ref="FG54:FG85" si="129">IF(ISERROR(AV14),TRUE,IF(OR(AV14="",ISBLANK(AV14)),FALSE,IF(ISTEXT(AV14),IF(AND(AV14="P",LEFT(AW14,1)="#"),FALSE,TRUE),IF(ISTEXT(AW14),TRUE,FALSE))))</f>
        <v>0</v>
      </c>
      <c r="FH54" s="969" t="b">
        <f t="shared" ref="FH54:FH85" si="130">IF(ISERROR(AZ14),TRUE,IF(OR(AZ14="",ISBLANK(AZ14)),FALSE,IF(ISTEXT(AZ14),IF(AND(AZ14="P",LEFT(BA14,1)="#"),FALSE,TRUE),IF(ISTEXT(BA14),TRUE,FALSE))))</f>
        <v>0</v>
      </c>
      <c r="FI54" s="969" t="b">
        <f t="shared" ref="FI54:FI85" si="131">IF(ISERROR(BD14),TRUE,IF(OR(BD14="",ISBLANK(BD14)),FALSE,IF(ISTEXT(BD14),IF(AND(BD14="P",LEFT(BE14,1)="#"),FALSE,TRUE),IF(ISTEXT(BE14),TRUE,FALSE))))</f>
        <v>0</v>
      </c>
      <c r="FJ54" s="1003"/>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7" t="str">
        <f>CONCATENATE(IF(AND(AD14&lt;&gt;"",AE14&lt;&gt;""),IF(AD14*12+AE14&lt;VLOOKUP(BX14,$BJ$28:$BM$45,4,FALSE)/$EX$5,"A",""),""),IF(AND(AI14&lt;&gt;"",AJ14&lt;&gt;""),IF(AI14*12+AJ14&lt;VLOOKUP(BX14,$BJ$28:$BM$45,4,FALSE)/$EX$5,"B",""),""))</f>
        <v/>
      </c>
      <c r="GL54" s="171"/>
      <c r="GM54" s="171"/>
    </row>
    <row r="55" spans="1:222" ht="12.6" hidden="1" customHeight="1" x14ac:dyDescent="0.2">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9" t="b">
        <f t="shared" si="128"/>
        <v>0</v>
      </c>
      <c r="FG55" s="969" t="b">
        <f t="shared" si="129"/>
        <v>0</v>
      </c>
      <c r="FH55" s="969" t="b">
        <f t="shared" si="130"/>
        <v>0</v>
      </c>
      <c r="FI55" s="1158" t="b">
        <f t="shared" si="131"/>
        <v>0</v>
      </c>
      <c r="FJ55" s="1161" t="str">
        <f t="shared" ref="FJ55:FJ85" si="140">IF(AND(COUNTA(DH15:EK15)&gt;0,FK55=FK54,FK55&lt;&gt;""),"G","")</f>
        <v/>
      </c>
      <c r="FK55" s="1160"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54" t="str">
        <f t="shared" ref="GK55:GK85" ca="1" si="153">CONCATENATE(IF(AND(AD15&lt;&gt;"",AE15&lt;&gt;""),IF(AD15*12+AE15&lt;VLOOKUP(BX15,$BJ$28:$BM$45,4,FALSE)/$EX$5,"A",""),""),IF(AND(AI15&lt;&gt;"",AJ15&lt;&gt;""),IF(AI15*12+AJ15&lt;VLOOKUP(BX15,$BJ$28:$BM$45,4,FALSE)/$EX$5,"B",""),""))</f>
        <v/>
      </c>
      <c r="GL55" s="171"/>
      <c r="GM55" s="171"/>
    </row>
    <row r="56" spans="1:222" ht="12.6" hidden="1" customHeight="1" x14ac:dyDescent="0.2">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9" t="b">
        <f t="shared" si="128"/>
        <v>0</v>
      </c>
      <c r="FG56" s="969" t="b">
        <f t="shared" si="129"/>
        <v>0</v>
      </c>
      <c r="FH56" s="969" t="b">
        <f t="shared" si="130"/>
        <v>0</v>
      </c>
      <c r="FI56" s="1158" t="b">
        <f t="shared" si="131"/>
        <v>0</v>
      </c>
      <c r="FJ56" s="1161" t="str">
        <f t="shared" si="140"/>
        <v/>
      </c>
      <c r="FK56" s="1160"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54" t="str">
        <f t="shared" ca="1" si="153"/>
        <v/>
      </c>
      <c r="GL56" s="171"/>
      <c r="GM56" s="171"/>
    </row>
    <row r="57" spans="1:222" ht="12.6" hidden="1" customHeight="1" x14ac:dyDescent="0.2">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9" t="b">
        <f t="shared" si="128"/>
        <v>0</v>
      </c>
      <c r="FG57" s="969" t="b">
        <f t="shared" si="129"/>
        <v>0</v>
      </c>
      <c r="FH57" s="969" t="b">
        <f t="shared" si="130"/>
        <v>0</v>
      </c>
      <c r="FI57" s="1158" t="b">
        <f t="shared" si="131"/>
        <v>0</v>
      </c>
      <c r="FJ57" s="1161" t="str">
        <f t="shared" si="140"/>
        <v/>
      </c>
      <c r="FK57" s="1160"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54" t="str">
        <f t="shared" ca="1" si="153"/>
        <v/>
      </c>
      <c r="GL57" s="171"/>
      <c r="GM57" s="171"/>
    </row>
    <row r="58" spans="1:222" ht="12.6" hidden="1" customHeight="1" x14ac:dyDescent="0.2">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9" t="b">
        <f t="shared" si="128"/>
        <v>0</v>
      </c>
      <c r="FG58" s="969" t="b">
        <f t="shared" si="129"/>
        <v>0</v>
      </c>
      <c r="FH58" s="969" t="b">
        <f t="shared" si="130"/>
        <v>0</v>
      </c>
      <c r="FI58" s="1158" t="b">
        <f t="shared" si="131"/>
        <v>0</v>
      </c>
      <c r="FJ58" s="1161" t="str">
        <f t="shared" si="140"/>
        <v/>
      </c>
      <c r="FK58" s="1160"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54" t="str">
        <f t="shared" ca="1" si="153"/>
        <v/>
      </c>
    </row>
    <row r="59" spans="1:222" ht="12.6" hidden="1" customHeight="1" x14ac:dyDescent="0.2">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9" t="b">
        <f t="shared" si="128"/>
        <v>0</v>
      </c>
      <c r="FG59" s="969" t="b">
        <f t="shared" si="129"/>
        <v>0</v>
      </c>
      <c r="FH59" s="969" t="b">
        <f t="shared" si="130"/>
        <v>0</v>
      </c>
      <c r="FI59" s="1158" t="b">
        <f t="shared" si="131"/>
        <v>0</v>
      </c>
      <c r="FJ59" s="1161" t="str">
        <f t="shared" si="140"/>
        <v/>
      </c>
      <c r="FK59" s="1160"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54" t="str">
        <f t="shared" ca="1" si="153"/>
        <v/>
      </c>
    </row>
    <row r="60" spans="1:222" ht="12.6" hidden="1" customHeight="1" x14ac:dyDescent="0.2">
      <c r="A60" s="1128"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9" t="b">
        <f t="shared" si="128"/>
        <v>0</v>
      </c>
      <c r="FG60" s="969" t="b">
        <f t="shared" si="129"/>
        <v>0</v>
      </c>
      <c r="FH60" s="969" t="b">
        <f t="shared" si="130"/>
        <v>0</v>
      </c>
      <c r="FI60" s="1158" t="b">
        <f t="shared" si="131"/>
        <v>0</v>
      </c>
      <c r="FJ60" s="1161" t="str">
        <f t="shared" si="140"/>
        <v/>
      </c>
      <c r="FK60" s="1160"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54" t="str">
        <f t="shared" ca="1" si="153"/>
        <v/>
      </c>
    </row>
    <row r="61" spans="1:222" ht="12.6" hidden="1" customHeight="1" x14ac:dyDescent="0.2">
      <c r="A61" s="1130"/>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9" t="b">
        <f t="shared" si="128"/>
        <v>0</v>
      </c>
      <c r="FG61" s="969" t="b">
        <f t="shared" si="129"/>
        <v>0</v>
      </c>
      <c r="FH61" s="969" t="b">
        <f t="shared" si="130"/>
        <v>0</v>
      </c>
      <c r="FI61" s="1158" t="b">
        <f t="shared" si="131"/>
        <v>0</v>
      </c>
      <c r="FJ61" s="1161" t="str">
        <f t="shared" si="140"/>
        <v/>
      </c>
      <c r="FK61" s="1160"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54" t="str">
        <f t="shared" ca="1" si="153"/>
        <v/>
      </c>
    </row>
    <row r="62" spans="1:222" ht="12.6" hidden="1" customHeight="1" x14ac:dyDescent="0.2">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9" t="b">
        <f t="shared" si="128"/>
        <v>0</v>
      </c>
      <c r="FG62" s="969" t="b">
        <f t="shared" si="129"/>
        <v>0</v>
      </c>
      <c r="FH62" s="969" t="b">
        <f t="shared" si="130"/>
        <v>0</v>
      </c>
      <c r="FI62" s="1158" t="b">
        <f t="shared" si="131"/>
        <v>0</v>
      </c>
      <c r="FJ62" s="1161" t="str">
        <f t="shared" si="140"/>
        <v/>
      </c>
      <c r="FK62" s="1160"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54" t="str">
        <f t="shared" ca="1" si="153"/>
        <v/>
      </c>
    </row>
    <row r="63" spans="1:222" ht="12.6" hidden="1" customHeight="1" x14ac:dyDescent="0.2">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9" t="b">
        <f t="shared" si="128"/>
        <v>0</v>
      </c>
      <c r="FG63" s="969" t="b">
        <f t="shared" si="129"/>
        <v>0</v>
      </c>
      <c r="FH63" s="969" t="b">
        <f t="shared" si="130"/>
        <v>0</v>
      </c>
      <c r="FI63" s="1158" t="b">
        <f t="shared" si="131"/>
        <v>0</v>
      </c>
      <c r="FJ63" s="1161" t="str">
        <f t="shared" si="140"/>
        <v/>
      </c>
      <c r="FK63" s="1160"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54" t="str">
        <f t="shared" ca="1" si="153"/>
        <v/>
      </c>
    </row>
    <row r="64" spans="1:222" ht="12.6" hidden="1" customHeight="1" x14ac:dyDescent="0.2">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9" t="b">
        <f t="shared" si="128"/>
        <v>0</v>
      </c>
      <c r="FG64" s="969" t="b">
        <f t="shared" si="129"/>
        <v>0</v>
      </c>
      <c r="FH64" s="969" t="b">
        <f t="shared" si="130"/>
        <v>0</v>
      </c>
      <c r="FI64" s="1158" t="b">
        <f t="shared" si="131"/>
        <v>0</v>
      </c>
      <c r="FJ64" s="1161" t="str">
        <f t="shared" si="140"/>
        <v/>
      </c>
      <c r="FK64" s="1160"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54" t="str">
        <f t="shared" ca="1" si="153"/>
        <v/>
      </c>
    </row>
    <row r="65" spans="78:193" ht="12.6" hidden="1" customHeight="1" x14ac:dyDescent="0.2">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9" t="b">
        <f t="shared" si="128"/>
        <v>0</v>
      </c>
      <c r="FG65" s="969" t="b">
        <f t="shared" si="129"/>
        <v>0</v>
      </c>
      <c r="FH65" s="969" t="b">
        <f t="shared" si="130"/>
        <v>0</v>
      </c>
      <c r="FI65" s="1158" t="b">
        <f t="shared" si="131"/>
        <v>0</v>
      </c>
      <c r="FJ65" s="1161" t="str">
        <f t="shared" si="140"/>
        <v/>
      </c>
      <c r="FK65" s="1160"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54" t="str">
        <f t="shared" ca="1" si="153"/>
        <v/>
      </c>
    </row>
    <row r="66" spans="78:193" ht="12.6" hidden="1" customHeight="1" x14ac:dyDescent="0.2">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9" t="b">
        <f t="shared" si="128"/>
        <v>0</v>
      </c>
      <c r="FG66" s="969" t="b">
        <f t="shared" si="129"/>
        <v>0</v>
      </c>
      <c r="FH66" s="969" t="b">
        <f t="shared" si="130"/>
        <v>0</v>
      </c>
      <c r="FI66" s="1158" t="b">
        <f t="shared" si="131"/>
        <v>0</v>
      </c>
      <c r="FJ66" s="1161" t="str">
        <f t="shared" si="140"/>
        <v/>
      </c>
      <c r="FK66" s="1160"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54" t="str">
        <f t="shared" ca="1" si="153"/>
        <v/>
      </c>
    </row>
    <row r="67" spans="78:193" ht="12.6" hidden="1" customHeight="1" x14ac:dyDescent="0.2">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9" t="b">
        <f t="shared" si="128"/>
        <v>0</v>
      </c>
      <c r="FG67" s="969" t="b">
        <f t="shared" si="129"/>
        <v>0</v>
      </c>
      <c r="FH67" s="969" t="b">
        <f t="shared" si="130"/>
        <v>0</v>
      </c>
      <c r="FI67" s="1158" t="b">
        <f t="shared" si="131"/>
        <v>0</v>
      </c>
      <c r="FJ67" s="1161" t="str">
        <f t="shared" si="140"/>
        <v/>
      </c>
      <c r="FK67" s="1160"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54" t="str">
        <f t="shared" ca="1" si="153"/>
        <v/>
      </c>
    </row>
    <row r="68" spans="78:193" ht="12.6" hidden="1" customHeight="1" x14ac:dyDescent="0.2">
      <c r="BZ68" s="360"/>
      <c r="CA68" s="360"/>
      <c r="CB68" s="435" t="str">
        <f t="shared" ref="CB68:CB85" si="159">IF(CB28="","",CB28)</f>
        <v/>
      </c>
      <c r="CC68" s="436" t="str">
        <f>IF(CG28="","",VLOOKUP(CG28,SectInfo!$B:$N,12,FALSE))</f>
        <v/>
      </c>
      <c r="CD68" s="1172" t="str">
        <f>IF(ISBLANK(CZ28),IF(CG28="","",VLOOKUP(CG28,SectInfo!$B:$N,13,FALSE)),CZ28)</f>
        <v/>
      </c>
      <c r="CE68" s="437" t="str">
        <f>IF(CG28="","",IF(VLOOKUP(CG28,SectInfo!$B:$N,5,FALSE)="","R",UPPER(VLOOKUP(CG28,SectInfo!$B:$N,5,FALSE))))</f>
        <v/>
      </c>
      <c r="CF68" s="1172"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72" t="str">
        <f>IF(ISBLANK(DA28),IF(CN28="","",VLOOKUP(CN28,SectInfo!$B:$N,13,FALSE)),DA28)</f>
        <v/>
      </c>
      <c r="CN68" s="437" t="str">
        <f>IF(CN28="","",IF(VLOOKUP(CN28,SectInfo!$B:$N,5,FALSE)="","R",UPPER(VLOOKUP(CN28,SectInfo!$B:$N,5,FALSE))))</f>
        <v/>
      </c>
      <c r="CO68" s="1172"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8" t="str">
        <f t="shared" ref="CX68:CX85" si="162">IF(CO68="","",IF(ABS(ER68)&lt;ABS($FA$2),CO68,IF(ER68=0,CO68,CEILING((CO68+((DI68-CM68)/12)*ER68)-0.0625,0.125))))</f>
        <v/>
      </c>
      <c r="CY68" s="1109">
        <f>RADIANS(ABS(CL28))</f>
        <v>0</v>
      </c>
      <c r="CZ68" s="1109">
        <f t="shared" ref="CZ68:CZ85" si="163">MIN(IF(CH28&gt;0,CH28/2,MAX(CI28/2,CJ68)),IF(CI28&gt;0,CI28/2,MAX(CH28/2,CJ68)),IF(CJ68&gt;0,CJ68,MAX(CI28/2,CH28/2)))/IF(OR(CC68="C",AND(CC68="M",$FG$1="N")),1,COS(CY68))</f>
        <v>0</v>
      </c>
      <c r="DA68" s="1109" t="str">
        <f t="shared" ref="DA68:DA85" si="164">IF(CD68="","",IF(CJ68&gt;=0,MAX(CH28/2,CI28/2,CJ68),CJ68)/IF(OR(CC68="C",AND(CC68="M",$FG$1="N")),1,COS(CY68)))</f>
        <v/>
      </c>
      <c r="DB68" s="1125" t="str">
        <f>IF(CD68="","",CD68+DA68+($EY$4*TAN(CY68)))</f>
        <v/>
      </c>
      <c r="DC68" s="1125" t="str">
        <f>IF(CD68="","",IF(NOT(ISBLANK(DB28)),CD68-DB28,MAX(IF(AND(CZ68&gt;=$FB$4,DA68&lt;=$FA$4,OR($FA$1=1,$FA$1=4)),CD68,IF(OR($FA$1=3,$FA$1=4),DB68-$FA$4,DB68+MAX(($FA$4-$FB$4)-(DA68-CZ68)-$EY$4/2*TAN(CY68),0)-$FA$4))-EO68,0)))</f>
        <v/>
      </c>
      <c r="DD68" s="1110">
        <f>IF(CD68="",0,IF(DC68/COS(EU68)&lt;0.0625,0,CEILING(DC68/COS(EU68)-0.03125,0.125)))</f>
        <v>0</v>
      </c>
      <c r="DE68" s="1108">
        <f>RADIANS(ABS(CS28))</f>
        <v>0</v>
      </c>
      <c r="DF68" s="1109">
        <f t="shared" ref="DF68:DF85" si="165">MIN(IF(CO28&gt;0,CO28/2,MAX(CP28/2,CS68)),IF(CP28&gt;0,CP28/2,MAX(CO28/2,CS68)),IF(CS68&gt;0,CS68,MAX(CP28/2,CO28/2)))/IF(OR(CL68="C",AND(CL68="M",$FG$1="N")),1,COS(DE68))</f>
        <v>0</v>
      </c>
      <c r="DG68" s="1109" t="str">
        <f t="shared" ref="DG68:DG85" si="166">IF(CM68="","",IF(CS68&gt;=0,MAX(CO28/2,CP28/2,CS68),CS68)/IF(OR(CL68="C",AND(CL68="M",$FG$1="N")),1,COS(DE68)))</f>
        <v/>
      </c>
      <c r="DH68" s="1125" t="str">
        <f>IF(CM68="","",CM68+DG68+($EY$4*TAN(DE68)))</f>
        <v/>
      </c>
      <c r="DI68" s="1125" t="str">
        <f>IF(CM68="","",IF(NOT(ISBLANK(DC28)),CM68-DC28,MAX(IF(AND(DF68&gt;=$FB$4,DG68&lt;=$FA$4,OR($FA$1=1,$FA$1=4)),CM68,IF(OR($FA$1=3,$FA$1=4),DH68-$FA$4,DH68+MAX(($FA$4-$FB$4)-(DG68-DF68)-$EY$4/2*TAN(DE68),0)-$FA$4))-ET68,0)-DC28))</f>
        <v/>
      </c>
      <c r="DJ68" s="1110">
        <f>IF(CM68="",0,IF(DI68/COS(EU68)&lt;0.0625,0,CEILING(DI68/COS(EU68)-0.03125,0.125)))</f>
        <v>0</v>
      </c>
      <c r="DK68" s="1108" t="str">
        <f>IF(CV68="","",CEILING(CV68-DD68-DJ68-0.0625,0.125))</f>
        <v/>
      </c>
      <c r="DL68" s="1108" t="str">
        <f>IF(AND(EG68="",CH68=""),"",IF(EG68="ERR","ERR",IF(ISNUMBER(EG68),(EG68/2)*-1,CH68)))</f>
        <v/>
      </c>
      <c r="DM68" s="1108" t="str">
        <f t="shared" ref="DM68:DM85" si="167">IF(DL68="ERR","ERR",IF(DL68="","",IF(CR68*TAN(CY68)&lt;=($FE$4-($FD$4-0.0625)),CD68-(DL68-EO68)/IF(OR(CC68="C",AND(CC68="M",$FG$1="N")),1,COS(CY68))-IF(MID(CE68,1,1)="R",0,DC68),(ABS(DL68-EO68)/IF(OR(CC68="C",AND(CC68="M",$FG$1="N")),1,COS(CY68))+CD68)-((CR68/2)*TAN(CY68))-IF(MID(CE68,1,1)="R",0,DC68))))</f>
        <v/>
      </c>
      <c r="DN68" s="1108" t="str">
        <f t="shared" ref="DN68:DN85" si="168">IF(DL68="ERR","ERR",IF(DL68="","",IF(CI68*TAN(CY68)&lt;=($FE$4-($FD$4-0.0625)),CD68-(DL68-EO68)/IF(OR(CC68="C",AND(CC68="M",$FG$1="N")),1,COS(CY68))-IF(MID(CE68,1,1)="R",0,DC68),(ABS(DL68-EO68)/IF(OR(CC68="C",AND(CC68="M",$FG$1="N")),1,COS(CY68))+CD68)+((CI68/2)*TAN(CY68))-IF(MID(CE68,1,1)="R",0,DC68))))</f>
        <v/>
      </c>
      <c r="DO68" s="1125" t="str">
        <f>IF(ISBLANK(DB28),IF(DM68&lt;0.5+($FD$4-0.0625)/2,"ERR",IF(DM68&lt;0.5+$FE$4/2,($FE$4/2+0.5),IF(DM68&lt;$FA$4+IF(MID(CE68,1,1)="R",DC68+DB28,0)-$FE$4/2-0.5,DM68,IF(DM68&lt;=$FA$4+IF(MID(CE68,1,1)="R",DC68,0)-($FD$4-0.0625)/2-0.5,$FA$4+IF(MID(CE68,1,1)="R",DC68,0)-($FE$4/2+0.5),"ERR")))),DM68)</f>
        <v>ERR</v>
      </c>
      <c r="DP68" s="1125" t="str">
        <f>IF(ISBLANK(DB28),IF(DN68&lt;0.5+($FD$4-0.0625)/2,"ERR",IF(DN68&lt;0.5+$FE$4/2,($FE$4/2+0.5),IF(DN68&lt;$FA$4+IF(MID(CE68,1,1)="R",DC68+DB28,0)-$FE$4/2-0.5,DN68,IF(DN68&lt;=$FA$4+IF(MID(CE68,1,1)="R",DC68,0)-($FD$4-0.0625)/2-0.5,$FA$4+IF(MID(CE68,1,1)="R",DC68,0)-($FE$4/2+0.5),"ERR")))),DN68)</f>
        <v>ERR</v>
      </c>
      <c r="DQ68" s="1108" t="str">
        <f>IF(ISERROR(DM68),"ERR",IF(DM68="","",IF(DO68="ERR","ERR",CEILING(DO68-0.0625,0.125))))</f>
        <v/>
      </c>
      <c r="DR68" s="1108" t="str">
        <f>IF(ISERROR(DN68),"ERR",IF(DN68="","",IF(DP68="ERR","ERR",CEILING(DP68-0.0625,0.125))))</f>
        <v/>
      </c>
      <c r="DS68" s="1108" t="str">
        <f>IF(AND(EJ68="",CQ68=""),"",IF(EJ68="ERR","ERR",IF(ISNUMBER(EJ68),(EJ68/2)*-1,CQ68)))</f>
        <v/>
      </c>
      <c r="DT68" s="1108" t="str">
        <f t="shared" ref="DT68:DT85" si="169">IF(DS68="ERR","ERR",IF(DS68="","",IF(CR68*TAN(DE68)&lt;=($FE$4-($FD$4-0.0625)),CM68-(DS68-ET68)/IF(OR(CL68="C",AND(CL68="M",$FG$1="N")),1,COS(DE68))-IF(MID(CN68,1,1)="R",0,DI68),(ABS(DS68-ET68)/IF(OR(CL68="C",AND(CL68="M",$FG$1="N")),1,COS(DE68))+CM68)-((CR68/2)*TAN(DE68))-IF(MID(CN68,1,1)="R",0,DI68))))</f>
        <v/>
      </c>
      <c r="DU68" s="1108" t="str">
        <f t="shared" ref="DU68:DU85" si="170">IF(DS68="ERR","ERR",IF(DS68="","",IF(CR68*TAN(DE68)&lt;=($FE$4-($FD$4-0.0625)),CM68-(DS68-ET68)/IF(OR(CL68="C",AND(CL68="M",$FG$1="N")),1,COS(DE68))-IF(MID(CN68,1,1)="R",0,DI68),(ABS(DS68-ET68)/IF(OR(CL68="C",AND(CL68="M",$FG$1="N")),1,COS(DE68))+CM68)+((CR68/2)*TAN(DE68))-IF(MID(CN68,1,1)="R",0,DI68))))</f>
        <v/>
      </c>
      <c r="DV68" s="1125" t="str">
        <f>IF(ISBLANK(DC28),IF(DT68&lt;0.5+($FD$4-0.0625)/2,"ERR",IF(DT68&lt;0.5+$FE$4/2,($FE$4/2+0.5),IF(DT68&lt;$FA$4+IF(MID(CN68,1,1)="R",DI68+DC28,0)-$FE$4/2-0.5,DT68,IF(DT68&lt;=$FA$4+IF(MID(CN68,1,1)="R",DI68,0)-($FD$4-0.0625)/2-0.5,$FA$4+IF(MID(CN68,1,1)="R",DI68,0)-($FE$4/2+0.5),"ERR")))),DT68)</f>
        <v>ERR</v>
      </c>
      <c r="DW68" s="1125" t="str">
        <f>IF(ISBLANK(DC28),IF(DU68&lt;0.5+($FD$4-0.0625)/2,"ERR",IF(DU68&lt;0.5+$FE$4/2,($FE$4/2+0.5),IF(DU68&lt;$FA$4+IF(MID(CN68,1,1)="R",DI68+DC28,0)-$FE$4/2-0.5,DU68,IF(DU68&lt;=$FA$4+IF(MID(CN68,1,1)="R",DI68,0)-($FD$4-0.0625)/2-0.5,$FA$4+IF(MID(CN68,1,1)="R",DI68,0)-($FE$4/2+0.5),"ERR")))),DU68)</f>
        <v>ERR</v>
      </c>
      <c r="DX68" s="1108" t="str">
        <f>IF(ISERROR(DT68),"ERR",IF(DT68="","",IF(DV68="ERR","ERR",CEILING(DV68-0.0625,0.125))))</f>
        <v/>
      </c>
      <c r="DY68" s="1108" t="str">
        <f>IF(ISERROR(DU68),"ERR",IF(DU68="","",IF(DW68="ERR","ERR",CEILING(DW68-0.0625,0.125))))</f>
        <v/>
      </c>
      <c r="DZ68" s="1108" t="str">
        <f>IF(CG68="","",IF((CD68-CG68)/COS(CU68)-FB68&lt;=-0.0625,CEILING((CD68-CG68)/COS(CU68)-FB68+0.0625,-0.125),IF((CD68-CG68)/COS(CU68)-FB68&gt;=0.0625,CEILING((CD68-CG68)/COS(CU68)-FB68-0.0625,0.125),0)))</f>
        <v/>
      </c>
      <c r="EA68" s="1108" t="str">
        <f>IF(CP68="","",IF((CM68-CP68)/COS(CU68)-FC68&lt;=-0.0625,CEILING((CM68-CP68)/COS(CU68)-FC68+0.0625,-0.125),IF((CM68-CP68)/COS(CU68)-FC68&gt;=0.0625,CEILING((CM68-CP68)/COS(CU68)-FC68-0.0625,0.125),0)))</f>
        <v/>
      </c>
      <c r="EB68" s="1111" t="str">
        <f t="shared" ref="EB68:EB85" si="171">IF(CD28="","",$FC$4)</f>
        <v/>
      </c>
      <c r="EC68" s="1112" t="str">
        <f>IF(AND(DR68="",DY68=""),"",IF(OR(CI68=EB68,CR68=EB68),EB68,CI68))</f>
        <v/>
      </c>
      <c r="ED68" s="1111" t="str">
        <f t="shared" ref="ED68:ED85" si="172">IF(CU28="","",CEILING(($EZ$4/COS(CU68)+$FA$4/12*ABS(CU28)+0.5),0.125))</f>
        <v/>
      </c>
      <c r="EE68" s="1111" t="str">
        <f>(IF(CC68="B",MIN(CJ28:CK28),""))</f>
        <v/>
      </c>
      <c r="EF68" s="1111" t="str">
        <f>(IF(CC68="B",MAX(CJ28:CK28),""))</f>
        <v/>
      </c>
      <c r="EG68" s="1111" t="str">
        <f t="shared" ref="EG68:EG85" si="173">IF(EE68="","",IF((EF68-EE68)/2&lt;=($FE$4-($FD$4-0.0625)),(EE68+EF68)/2,"ERR"))</f>
        <v/>
      </c>
      <c r="EH68" s="1111" t="str">
        <f>IF(CL68="B",MIN(CQ28:CR28),"")</f>
        <v/>
      </c>
      <c r="EI68" s="1111" t="str">
        <f>IF(CL68="B",MAX(CQ28:CR28),"")</f>
        <v/>
      </c>
      <c r="EJ68" s="1111" t="str">
        <f t="shared" ref="EJ68:EJ85" si="174">IF(EH68="","",IF((EI68-EH68)/2&lt;=($FE$4-($FD$4-0.0625)),(EH68+EI68)/2,"ERR"))</f>
        <v/>
      </c>
      <c r="EK68" s="1109">
        <f>IF(CK68="",0,ATAN(CK68/12))</f>
        <v>0</v>
      </c>
      <c r="EL68" s="1109">
        <f>CU68-EK68</f>
        <v>0</v>
      </c>
      <c r="EM68" s="1109">
        <f t="shared" ref="EM68:EM85" si="175">TAN(EL68)*12</f>
        <v>0</v>
      </c>
      <c r="EN68" s="1109" t="str">
        <f t="shared" ref="EN68:EN85" si="176">IF(ABS(EM68)&lt;$FA$2,"",IF(EM68&gt;0,CEILING(EM68-0.0625,0.125),CEILING(EM68+0.0625,-0.125)))</f>
        <v/>
      </c>
      <c r="EO68" s="1108" t="str">
        <f>IF(CF68="","",CF68*TAN(EK68))</f>
        <v/>
      </c>
      <c r="EP68" s="1109">
        <f>IF(CT68="",0,ATAN(CT68/12))</f>
        <v>0</v>
      </c>
      <c r="EQ68" s="1109">
        <f>CU68+EP68</f>
        <v>0</v>
      </c>
      <c r="ER68" s="1109">
        <f t="shared" ref="ER68:ER85" si="177">TAN(EQ68)*-12</f>
        <v>0</v>
      </c>
      <c r="ES68" s="1109" t="str">
        <f t="shared" ref="ES68:ES85" si="178">IF(ABS(ER68)&lt;$FA$2,"",IF(ER68&gt;0,CEILING(ER68-0.0625,0.125),CEILING(ER68+0.0625,-0.125)))</f>
        <v/>
      </c>
      <c r="ET68" s="1108" t="str">
        <f>IF(CO68="","",CO68*TAN(EP68))</f>
        <v/>
      </c>
      <c r="EU68" s="1108">
        <f t="shared" ref="EU68:EU85" si="179">IF((CE28*12+CF28)/COS(CU68)-(CE28*12+CF28)&lt;$FE$2,0,CU68)</f>
        <v>0</v>
      </c>
      <c r="EV68" s="1111" t="e">
        <f>MIN(IF(CH28&gt;0,CH28/2,MAX(CI28/2,CJ68)),IF(CI28&gt;0,CI28/2,MAX(CH28/2,CJ68)),IF(CJ68&gt;0,CJ68,MAX(CI28/2,CH28/2)))/COS(CY68)+CD68-DC68</f>
        <v>#VALUE!</v>
      </c>
      <c r="EW68" s="1111" t="e">
        <f>MIN(IF(CO28&gt;0,CO28/2,MAX(CP28/2,CS68)),IF(CP28&gt;0,CP28/2,MAX(CO28/2,CS68)),IF(CS68&gt;0,CS68,MAX(CP28/2,CO28/2)))/COS(DE68)+CM68-DI68</f>
        <v>#VALUE!</v>
      </c>
      <c r="EX68" s="1199" t="str">
        <f>IF(CD28="","",IF(EZ68&lt;1.2,5+$EX$4,IF(EZ68&lt;1.79,6+$EX$4,IF(EZ68&lt;2.3,7+$EX$4,IF(EZ68&lt;3.76,8+$EX$4,IF(EZ68&lt;4.76,10+$EY$4,IF(EZ68&lt;8.45,12+$EY$4,"ERR")))))))</f>
        <v/>
      </c>
      <c r="EY68" s="1114" t="e">
        <f>TRUNC(IF(FA68&lt;1.03,25.667,IF(FA68&lt;1.2,29.667,IF(FA68&lt;1.79,33.583,IF(FA68&lt;2.3,37.75,IF(FA68&lt;3.76,42,IF(FA68&lt;4.76,50.167,IF(FA68&lt;8.45,58.167,"ERR"))))))))</f>
        <v>#DIV/0!</v>
      </c>
      <c r="EZ68" s="1219" t="e">
        <f>(0.03*BP28*((CE28+CF28/12)/BO28)*(BO28^2-IF(ISEVEN(BO28),0,1)))/BM28</f>
        <v>#DIV/0!</v>
      </c>
      <c r="FA68" s="1220" t="e">
        <f>(0.026*BP28*((CE28+CF28/12)/BO28)*(BO28^2-IF(ISEVEN(BO28),0,1)))/BM28</f>
        <v>#DIV/0!</v>
      </c>
      <c r="FB68" s="1115" t="str">
        <f t="shared" ref="FB68:FB85" si="180">IF(CG68="","",IF(ABS(CU28*((BM28-IF(CU28&gt;0,$FF$4,0))/12))&gt;$CX$2,CU28*((BM28-IF(CU28&gt;0,$FF$4,0))/12),0))</f>
        <v/>
      </c>
      <c r="FC68" s="1116" t="str">
        <f t="shared" ref="FC68:FC85" si="181">IF(CP68="","",IF(ABS(CU28*((BM28-IF(CU28&lt;0,$FF$4,0))/12))&gt;$CX$2,CU28*((BM28-IF(CU28&lt;0,$FF$4,0))/12)*-1,0))</f>
        <v/>
      </c>
      <c r="FD68" s="614">
        <f t="shared" ref="FD68:FD85" si="182">IF(CF68="",0,MAX(0,DB68-$FA$4))</f>
        <v>0</v>
      </c>
      <c r="FE68" s="615">
        <f t="shared" ref="FE68:FE85" si="183">IF(CO68="",0,MAX(0,DH68-$FA$4))</f>
        <v>0</v>
      </c>
      <c r="FF68" s="969" t="b">
        <f t="shared" si="128"/>
        <v>0</v>
      </c>
      <c r="FG68" s="969" t="b">
        <f t="shared" si="129"/>
        <v>0</v>
      </c>
      <c r="FH68" s="969" t="b">
        <f t="shared" si="130"/>
        <v>0</v>
      </c>
      <c r="FI68" s="1158" t="b">
        <f t="shared" si="131"/>
        <v>0</v>
      </c>
      <c r="FJ68" s="1161" t="str">
        <f t="shared" si="140"/>
        <v/>
      </c>
      <c r="FK68" s="1160"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54" t="str">
        <f t="shared" ca="1" si="153"/>
        <v/>
      </c>
    </row>
    <row r="69" spans="78:193" ht="12.6" hidden="1" customHeight="1" x14ac:dyDescent="0.2">
      <c r="BZ69" s="360"/>
      <c r="CA69" s="360"/>
      <c r="CB69" s="435" t="str">
        <f t="shared" si="159"/>
        <v/>
      </c>
      <c r="CC69" s="436" t="str">
        <f>IF(CG29="","",VLOOKUP(CG29,SectInfo!$B:$N,12,FALSE))</f>
        <v/>
      </c>
      <c r="CD69" s="1172" t="str">
        <f>IF(ISBLANK(CZ29),IF(CG29="","",VLOOKUP(CG29,SectInfo!$B:$N,13,FALSE)),CZ29)</f>
        <v/>
      </c>
      <c r="CE69" s="437" t="str">
        <f>IF(CG29="","",IF(VLOOKUP(CG29,SectInfo!$B:$N,5,FALSE)="","R",UPPER(VLOOKUP(CG29,SectInfo!$B:$N,5,FALSE))))</f>
        <v/>
      </c>
      <c r="CF69" s="1172"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72" t="str">
        <f>IF(ISBLANK(DA29),IF(CN29="","",VLOOKUP(CN29,SectInfo!$B:$N,13,FALSE)),DA29)</f>
        <v/>
      </c>
      <c r="CN69" s="437" t="str">
        <f>IF(CN29="","",IF(VLOOKUP(CN29,SectInfo!$B:$N,5,FALSE)="","R",UPPER(VLOOKUP(CN29,SectInfo!$B:$N,5,FALSE))))</f>
        <v/>
      </c>
      <c r="CO69" s="1172"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8" t="str">
        <f t="shared" si="162"/>
        <v/>
      </c>
      <c r="CY69" s="1109">
        <f t="shared" ref="CY69:CY85" si="185">RADIANS(ABS(CL29))</f>
        <v>0</v>
      </c>
      <c r="CZ69" s="1109">
        <f t="shared" si="163"/>
        <v>0</v>
      </c>
      <c r="DA69" s="1109" t="str">
        <f t="shared" si="164"/>
        <v/>
      </c>
      <c r="DB69" s="1125" t="str">
        <f t="shared" ref="DB69:DB85" si="186">IF(CD69="","",CD69+DA69+($EY$4*TAN(CY69)))</f>
        <v/>
      </c>
      <c r="DC69" s="1125" t="str">
        <f>IF(CD69="","",IF(NOT(ISBLANK(DB29)),CD69-DB29,MAX(IF(AND(CZ69&gt;=$FB$4,DA69&lt;=$FA$4,OR($FA$1=1,$FA$1=4)),CD69,IF(OR($FA$1=3,$FA$1=4),DB69-$FA$4,DB69+MAX(($FA$4-$FB$4)-(DA69-CZ69)-$EY$4/2*TAN(CY69),0)-$FA$4))-EO69,0)))</f>
        <v/>
      </c>
      <c r="DD69" s="1110">
        <f t="shared" ref="DD69:DD85" si="187">IF(CD69="",0,IF(DC69/COS(EU69)&lt;0.0625,0,CEILING(DC69/COS(EU69)-0.03125,0.125)))</f>
        <v>0</v>
      </c>
      <c r="DE69" s="1108">
        <f t="shared" ref="DE69:DE85" si="188">RADIANS(ABS(CS29))</f>
        <v>0</v>
      </c>
      <c r="DF69" s="1109">
        <f t="shared" si="165"/>
        <v>0</v>
      </c>
      <c r="DG69" s="1109" t="str">
        <f t="shared" si="166"/>
        <v/>
      </c>
      <c r="DH69" s="1125" t="str">
        <f t="shared" ref="DH69:DH85" si="189">IF(CM69="","",CM69+DG69+($EY$4*TAN(DE69)))</f>
        <v/>
      </c>
      <c r="DI69" s="1125" t="str">
        <f t="shared" ref="DI69:DI85" si="190">IF(CM69="","",IF(NOT(ISBLANK(DC29)),CM69-DC29,MAX(IF(AND(DF69&gt;=$FB$4,DG69&lt;=$FA$4,OR($FA$1=1,$FA$1=4)),CM69,IF(OR($FA$1=3,$FA$1=4),DH69-$FA$4,DH69+MAX(($FA$4-$FB$4)-(DG69-DF69)-$EY$4/2*TAN(DE69),0)-$FA$4))-ET69,0)-DC29))</f>
        <v/>
      </c>
      <c r="DJ69" s="1110">
        <f t="shared" ref="DJ69:DJ85" si="191">IF(CM69="",0,IF(DI69/COS(EU69)&lt;0.0625,0,CEILING(DI69/COS(EU69)-0.03125,0.125)))</f>
        <v>0</v>
      </c>
      <c r="DK69" s="1108" t="str">
        <f t="shared" ref="DK69:DK85" si="192">IF(CV69="","",CEILING(CV69-DD69-DJ69-0.0625,0.125))</f>
        <v/>
      </c>
      <c r="DL69" s="1108" t="str">
        <f t="shared" ref="DL69:DL85" si="193">IF(AND(EG69="",CH69=""),"",IF(EG69="ERR","ERR",IF(ISNUMBER(EG69),(EG69/2)*-1,CH69)))</f>
        <v/>
      </c>
      <c r="DM69" s="1108" t="str">
        <f t="shared" si="167"/>
        <v/>
      </c>
      <c r="DN69" s="1108" t="str">
        <f t="shared" si="168"/>
        <v/>
      </c>
      <c r="DO69" s="1125" t="str">
        <f>IF(ISBLANK(DB29),IF(DM69&lt;0.5+($FD$4-0.0625)/2,"ERR",IF(DM69&lt;0.5+$FE$4/2,($FE$4/2+0.5),IF(DM69&lt;$FA$4+IF(MID(CE69,1,1)="R",DC69+DB29,0)-$FE$4/2-0.5,DM69,IF(DM69&lt;=$FA$4+IF(MID(CE69,1,1)="R",DC69,0)-($FD$4-0.0625)/2-0.5,$FA$4+IF(MID(CE69,1,1)="R",DC69,0)-($FE$4/2+0.5),"ERR")))),DM69)</f>
        <v>ERR</v>
      </c>
      <c r="DP69" s="1125" t="str">
        <f>IF(ISBLANK(DB29),IF(DN69&lt;0.5+($FD$4-0.0625)/2,"ERR",IF(DN69&lt;0.5+$FE$4/2,($FE$4/2+0.5),IF(DN69&lt;$FA$4+IF(MID(CE69,1,1)="R",DC69+DB29,0)-$FE$4/2-0.5,DN69,IF(DN69&lt;=$FA$4+IF(MID(CE69,1,1)="R",DC69,0)-($FD$4-0.0625)/2-0.5,$FA$4+IF(MID(CE69,1,1)="R",DC69,0)-($FE$4/2+0.5),"ERR")))),DN69)</f>
        <v>ERR</v>
      </c>
      <c r="DQ69" s="1108" t="str">
        <f t="shared" ref="DQ69:DQ85" si="194">IF(ISERROR(DM69),"ERR",IF(DM69="","",IF(DO69="ERR","ERR",CEILING(DO69-0.0625,0.125))))</f>
        <v/>
      </c>
      <c r="DR69" s="1108" t="str">
        <f t="shared" ref="DR69:DR85" si="195">IF(ISERROR(DN69),"ERR",IF(DN69="","",IF(DP69="ERR","ERR",CEILING(DP69-0.0625,0.125))))</f>
        <v/>
      </c>
      <c r="DS69" s="1108" t="str">
        <f t="shared" ref="DS69:DS85" si="196">IF(AND(EJ69="",CQ69=""),"",IF(EJ69="ERR","ERR",IF(ISNUMBER(EJ69),(EJ69/2)*-1,CQ69)))</f>
        <v/>
      </c>
      <c r="DT69" s="1108" t="str">
        <f t="shared" si="169"/>
        <v/>
      </c>
      <c r="DU69" s="1108" t="str">
        <f t="shared" si="170"/>
        <v/>
      </c>
      <c r="DV69" s="1125" t="str">
        <f>IF(ISBLANK(DC29),IF(DT69&lt;0.5+($FD$4-0.0625)/2,"ERR",IF(DT69&lt;0.5+$FE$4/2,($FE$4/2+0.5),IF(DT69&lt;$FA$4+IF(MID(CN69,1,1)="R",DI69+DC29,0)-$FE$4/2-0.5,DT69,IF(DT69&lt;=$FA$4+IF(MID(CN69,1,1)="R",DI69,0)-($FD$4-0.0625)/2-0.5,$FA$4+IF(MID(CN69,1,1)="R",DI69,0)-($FE$4/2+0.5),"ERR")))),DT69)</f>
        <v>ERR</v>
      </c>
      <c r="DW69" s="1125" t="str">
        <f>IF(ISBLANK(DC29),IF(DU69&lt;0.5+($FD$4-0.0625)/2,"ERR",IF(DU69&lt;0.5+$FE$4/2,($FE$4/2+0.5),IF(DU69&lt;$FA$4+IF(MID(CN69,1,1)="R",DI69+DC29,0)-$FE$4/2-0.5,DU69,IF(DU69&lt;=$FA$4+IF(MID(CN69,1,1)="R",DI69,0)-($FD$4-0.0625)/2-0.5,$FA$4+IF(MID(CN69,1,1)="R",DI69,0)-($FE$4/2+0.5),"ERR")))),DU69)</f>
        <v>ERR</v>
      </c>
      <c r="DX69" s="1108" t="str">
        <f t="shared" ref="DX69:DX85" si="197">IF(ISERROR(DT69),"ERR",IF(DT69="","",IF(DV69="ERR","ERR",CEILING(DV69-0.0625,0.125))))</f>
        <v/>
      </c>
      <c r="DY69" s="1108" t="str">
        <f t="shared" ref="DY69:DY85" si="198">IF(ISERROR(DU69),"ERR",IF(DU69="","",IF(DW69="ERR","ERR",CEILING(DW69-0.0625,0.125))))</f>
        <v/>
      </c>
      <c r="DZ69" s="1108" t="str">
        <f>IF(CG69="","",IF((CD69-CG69)/COS(CU69)-FB69&lt;=-0.0625,CEILING((CD69-CG69)/COS(CU69)-FB69+0.0625,-0.125),IF((CD69-CG69)/COS(CU69)-FB69&gt;=0.0625,CEILING((CD69-CG69)/COS(CU69)-FB69-0.0625,0.125),0)))</f>
        <v/>
      </c>
      <c r="EA69" s="1108" t="str">
        <f>IF(CP69="","",IF((CM69-CP69)/COS(CU69)-FC69&lt;=-0.0625,CEILING((CM69-CP69)/COS(CU69)-FC69+0.0625,-0.125),IF((CM69-CP69)/COS(CU69)-FC69&gt;=0.0625,CEILING((CM69-CP69)/COS(CU69)-FC69-0.0625,0.125),0)))</f>
        <v/>
      </c>
      <c r="EB69" s="1111" t="str">
        <f t="shared" si="171"/>
        <v/>
      </c>
      <c r="EC69" s="1112" t="str">
        <f t="shared" ref="EC69:EC85" si="199">IF(AND(DR69="",DY69=""),"",IF(OR(CI69=EB69,CR69=EB69),EB69,CI69))</f>
        <v/>
      </c>
      <c r="ED69" s="1111" t="str">
        <f t="shared" si="172"/>
        <v/>
      </c>
      <c r="EE69" s="1111" t="str">
        <f t="shared" ref="EE69:EE85" si="200">(IF(CC69="B",MIN(CJ29:CK29),""))</f>
        <v/>
      </c>
      <c r="EF69" s="1111" t="str">
        <f t="shared" ref="EF69:EF85" si="201">(IF(CC69="B",MAX(CJ29:CK29),""))</f>
        <v/>
      </c>
      <c r="EG69" s="1111" t="str">
        <f t="shared" si="173"/>
        <v/>
      </c>
      <c r="EH69" s="1111" t="str">
        <f t="shared" ref="EH69:EH85" si="202">IF(CL69="B",MIN(CQ29:CR29),"")</f>
        <v/>
      </c>
      <c r="EI69" s="1111" t="str">
        <f t="shared" ref="EI69:EI85" si="203">IF(CL69="B",MAX(CQ29:CR29),"")</f>
        <v/>
      </c>
      <c r="EJ69" s="1111" t="str">
        <f t="shared" si="174"/>
        <v/>
      </c>
      <c r="EK69" s="1109">
        <f t="shared" ref="EK69:EK85" si="204">IF(CK69="",0,ATAN(CK69/12))</f>
        <v>0</v>
      </c>
      <c r="EL69" s="1109">
        <f t="shared" ref="EL69:EL85" si="205">CU69-EK69</f>
        <v>0</v>
      </c>
      <c r="EM69" s="1109">
        <f t="shared" si="175"/>
        <v>0</v>
      </c>
      <c r="EN69" s="1109" t="str">
        <f t="shared" si="176"/>
        <v/>
      </c>
      <c r="EO69" s="1108" t="str">
        <f t="shared" ref="EO69:EO85" si="206">IF(CF69="","",CF69*TAN(EK69))</f>
        <v/>
      </c>
      <c r="EP69" s="1109">
        <f t="shared" ref="EP69:EP85" si="207">IF(CT69="",0,ATAN(CT69/12))</f>
        <v>0</v>
      </c>
      <c r="EQ69" s="1109">
        <f t="shared" ref="EQ69:EQ85" si="208">CU69+EP69</f>
        <v>0</v>
      </c>
      <c r="ER69" s="1109">
        <f t="shared" si="177"/>
        <v>0</v>
      </c>
      <c r="ES69" s="1109" t="str">
        <f t="shared" si="178"/>
        <v/>
      </c>
      <c r="ET69" s="1108" t="str">
        <f t="shared" ref="ET69:ET85" si="209">IF(CO69="","",CO69*TAN(EP69))</f>
        <v/>
      </c>
      <c r="EU69" s="1108">
        <f t="shared" si="179"/>
        <v>0</v>
      </c>
      <c r="EV69" s="1111" t="e">
        <f>MIN(IF(CH29&gt;0,CH29/2,MAX(CI29/2,CJ69)),IF(CI29&gt;0,CI29/2,MAX(CH29/2,CJ69)),IF(CJ69&gt;0,CJ69,MAX(CI29/2,CH29/2)))/COS(CY69)+CD69-DC69</f>
        <v>#VALUE!</v>
      </c>
      <c r="EW69" s="1111" t="e">
        <f>MIN(IF(CO29&gt;0,CO29/2,MAX(CP29/2,CS69)),IF(CP29&gt;0,CP29/2,MAX(CO29/2,CS69)),IF(CS69&gt;0,CS69,MAX(CP29/2,CO29/2)))/COS(DE69)+CM69-DI69</f>
        <v>#VALUE!</v>
      </c>
      <c r="EX69" s="1199" t="str">
        <f t="shared" ref="EX69:EX85" si="210">IF(CD29="","",IF(EZ69&lt;1.2,5+$EX$4,IF(EZ69&lt;1.79,6+$EX$4,IF(EZ69&lt;2.3,7+$EX$4,IF(EZ69&lt;3.76,8+$EX$4,IF(EZ69&lt;4.76,10+$EY$4,IF(EZ69&lt;8.45,12+$EY$4,"ERR")))))))</f>
        <v/>
      </c>
      <c r="EY69" s="1114" t="e">
        <f t="shared" ref="EY69:EY85" si="211">TRUNC(IF(FA69&lt;1.03,25.667,IF(FA69&lt;1.2,29.667,IF(FA69&lt;1.79,33.583,IF(FA69&lt;2.3,37.75,IF(FA69&lt;3.76,42,IF(FA69&lt;4.76,50.167,IF(FA69&lt;8.45,58.167,"ERR"))))))))</f>
        <v>#DIV/0!</v>
      </c>
      <c r="EZ69" s="1219" t="e">
        <f t="shared" ref="EZ69:EZ85" si="212">(0.03*BP29*((CE29+CF29/12)/BO29)*(BO29^2-IF(ISEVEN(BO29),0,1)))/BM29</f>
        <v>#DIV/0!</v>
      </c>
      <c r="FA69" s="1220" t="e">
        <f t="shared" ref="FA69:FA85" si="213">(0.026*BP29*((CE29+CF29/12)/BO29)*(BO29^2-IF(ISEVEN(BO29),0,1)))/BM29</f>
        <v>#DIV/0!</v>
      </c>
      <c r="FB69" s="1115" t="str">
        <f t="shared" si="180"/>
        <v/>
      </c>
      <c r="FC69" s="1116" t="str">
        <f t="shared" si="181"/>
        <v/>
      </c>
      <c r="FD69" s="614">
        <f t="shared" si="182"/>
        <v>0</v>
      </c>
      <c r="FE69" s="615">
        <f t="shared" si="183"/>
        <v>0</v>
      </c>
      <c r="FF69" s="969" t="b">
        <f t="shared" si="128"/>
        <v>0</v>
      </c>
      <c r="FG69" s="969" t="b">
        <f t="shared" si="129"/>
        <v>0</v>
      </c>
      <c r="FH69" s="969" t="b">
        <f t="shared" si="130"/>
        <v>0</v>
      </c>
      <c r="FI69" s="1158" t="b">
        <f t="shared" si="131"/>
        <v>0</v>
      </c>
      <c r="FJ69" s="1161" t="str">
        <f t="shared" si="140"/>
        <v/>
      </c>
      <c r="FK69" s="1160"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54" t="str">
        <f t="shared" ca="1" si="153"/>
        <v/>
      </c>
    </row>
    <row r="70" spans="78:193" ht="12.6" hidden="1" customHeight="1" x14ac:dyDescent="0.2">
      <c r="BZ70" s="360"/>
      <c r="CA70" s="360"/>
      <c r="CB70" s="435" t="str">
        <f t="shared" si="159"/>
        <v/>
      </c>
      <c r="CC70" s="436" t="str">
        <f>IF(CG30="","",VLOOKUP(CG30,SectInfo!$B:$N,12,FALSE))</f>
        <v/>
      </c>
      <c r="CD70" s="1172" t="str">
        <f>IF(ISBLANK(CZ30),IF(CG30="","",VLOOKUP(CG30,SectInfo!$B:$N,13,FALSE)),CZ30)</f>
        <v/>
      </c>
      <c r="CE70" s="437" t="str">
        <f>IF(CG30="","",IF(VLOOKUP(CG30,SectInfo!$B:$N,5,FALSE)="","R",UPPER(VLOOKUP(CG30,SectInfo!$B:$N,5,FALSE))))</f>
        <v/>
      </c>
      <c r="CF70" s="1172"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72" t="str">
        <f>IF(ISBLANK(DA30),IF(CN30="","",VLOOKUP(CN30,SectInfo!$B:$N,13,FALSE)),DA30)</f>
        <v/>
      </c>
      <c r="CN70" s="437" t="str">
        <f>IF(CN30="","",IF(VLOOKUP(CN30,SectInfo!$B:$N,5,FALSE)="","R",UPPER(VLOOKUP(CN30,SectInfo!$B:$N,5,FALSE))))</f>
        <v/>
      </c>
      <c r="CO70" s="1172"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8" t="str">
        <f t="shared" si="162"/>
        <v/>
      </c>
      <c r="CY70" s="1109">
        <f t="shared" si="185"/>
        <v>0</v>
      </c>
      <c r="CZ70" s="1109">
        <f t="shared" si="163"/>
        <v>0</v>
      </c>
      <c r="DA70" s="1109" t="str">
        <f t="shared" si="164"/>
        <v/>
      </c>
      <c r="DB70" s="1125" t="str">
        <f t="shared" si="186"/>
        <v/>
      </c>
      <c r="DC70" s="1125" t="str">
        <f>IF(CD70="","",IF(NOT(ISBLANK(DB30)),CD70-DB30,MAX(IF(AND(CZ70&gt;=$FB$4,DA70&lt;=$FA$4,OR($FA$1=1,$FA$1=4)),CD70,IF(OR($FA$1=3,$FA$1=4),DB70-$FA$4,DB70+MAX(($FA$4-$FB$4)-(DA70-CZ70)-$EY$4/2*TAN(CY70),0)-$FA$4))-EO70,0)))</f>
        <v/>
      </c>
      <c r="DD70" s="1110">
        <f t="shared" si="187"/>
        <v>0</v>
      </c>
      <c r="DE70" s="1108">
        <f t="shared" si="188"/>
        <v>0</v>
      </c>
      <c r="DF70" s="1109">
        <f t="shared" si="165"/>
        <v>0</v>
      </c>
      <c r="DG70" s="1109" t="str">
        <f t="shared" si="166"/>
        <v/>
      </c>
      <c r="DH70" s="1125" t="str">
        <f t="shared" si="189"/>
        <v/>
      </c>
      <c r="DI70" s="1125" t="str">
        <f t="shared" si="190"/>
        <v/>
      </c>
      <c r="DJ70" s="1110">
        <f t="shared" si="191"/>
        <v>0</v>
      </c>
      <c r="DK70" s="1108" t="str">
        <f t="shared" si="192"/>
        <v/>
      </c>
      <c r="DL70" s="1108" t="str">
        <f t="shared" si="193"/>
        <v/>
      </c>
      <c r="DM70" s="1108" t="str">
        <f t="shared" si="167"/>
        <v/>
      </c>
      <c r="DN70" s="1108" t="str">
        <f t="shared" si="168"/>
        <v/>
      </c>
      <c r="DO70" s="1125" t="str">
        <f>IF(ISBLANK(DB30),IF(DM70&lt;0.5+($FD$4-0.0625)/2,"ERR",IF(DM70&lt;0.5+$FE$4/2,($FE$4/2+0.5),IF(DM70&lt;$FA$4+IF(MID(CE70,1,1)="R",DC70+DB30,0)-$FE$4/2-0.5,DM70,IF(DM70&lt;=$FA$4+IF(MID(CE70,1,1)="R",DC70,0)-($FD$4-0.0625)/2-0.5,$FA$4+IF(MID(CE70,1,1)="R",DC70,0)-($FE$4/2+0.5),"ERR")))),DM70)</f>
        <v>ERR</v>
      </c>
      <c r="DP70" s="1125" t="str">
        <f>IF(ISBLANK(DB30),IF(DN70&lt;0.5+($FD$4-0.0625)/2,"ERR",IF(DN70&lt;0.5+$FE$4/2,($FE$4/2+0.5),IF(DN70&lt;$FA$4+IF(MID(CE70,1,1)="R",DC70+DB30,0)-$FE$4/2-0.5,DN70,IF(DN70&lt;=$FA$4+IF(MID(CE70,1,1)="R",DC70,0)-($FD$4-0.0625)/2-0.5,$FA$4+IF(MID(CE70,1,1)="R",DC70,0)-($FE$4/2+0.5),"ERR")))),DN70)</f>
        <v>ERR</v>
      </c>
      <c r="DQ70" s="1108" t="str">
        <f t="shared" si="194"/>
        <v/>
      </c>
      <c r="DR70" s="1108" t="str">
        <f t="shared" si="195"/>
        <v/>
      </c>
      <c r="DS70" s="1108" t="str">
        <f t="shared" si="196"/>
        <v/>
      </c>
      <c r="DT70" s="1108" t="str">
        <f t="shared" si="169"/>
        <v/>
      </c>
      <c r="DU70" s="1108" t="str">
        <f t="shared" si="170"/>
        <v/>
      </c>
      <c r="DV70" s="1125" t="str">
        <f>IF(ISBLANK(DC30),IF(DT70&lt;0.5+($FD$4-0.0625)/2,"ERR",IF(DT70&lt;0.5+$FE$4/2,($FE$4/2+0.5),IF(DT70&lt;$FA$4+IF(MID(CN70,1,1)="R",DI70+DC30,0)-$FE$4/2-0.5,DT70,IF(DT70&lt;=$FA$4+IF(MID(CN70,1,1)="R",DI70,0)-($FD$4-0.0625)/2-0.5,$FA$4+IF(MID(CN70,1,1)="R",DI70,0)-($FE$4/2+0.5),"ERR")))),DT70)</f>
        <v>ERR</v>
      </c>
      <c r="DW70" s="1125" t="str">
        <f>IF(ISBLANK(DC30),IF(DU70&lt;0.5+($FD$4-0.0625)/2,"ERR",IF(DU70&lt;0.5+$FE$4/2,($FE$4/2+0.5),IF(DU70&lt;$FA$4+IF(MID(CN70,1,1)="R",DI70+DC30,0)-$FE$4/2-0.5,DU70,IF(DU70&lt;=$FA$4+IF(MID(CN70,1,1)="R",DI70,0)-($FD$4-0.0625)/2-0.5,$FA$4+IF(MID(CN70,1,1)="R",DI70,0)-($FE$4/2+0.5),"ERR")))),DU70)</f>
        <v>ERR</v>
      </c>
      <c r="DX70" s="1108" t="str">
        <f t="shared" si="197"/>
        <v/>
      </c>
      <c r="DY70" s="1108" t="str">
        <f t="shared" si="198"/>
        <v/>
      </c>
      <c r="DZ70" s="1108" t="str">
        <f>IF(CG70="","",IF((CD70-CG70)/COS(CU70)-FB70&lt;=-0.0625,CEILING((CD70-CG70)/COS(CU70)-FB70+0.0625,-0.125),IF((CD70-CG70)/COS(CU70)-FB70&gt;=0.0625,CEILING((CD70-CG70)/COS(CU70)-FB70-0.0625,0.125),0)))</f>
        <v/>
      </c>
      <c r="EA70" s="1108" t="str">
        <f>IF(CP70="","",IF((CM70-CP70)/COS(CU70)-FC70&lt;=-0.0625,CEILING((CM70-CP70)/COS(CU70)-FC70+0.0625,-0.125),IF((CM70-CP70)/COS(CU70)-FC70&gt;=0.0625,CEILING((CM70-CP70)/COS(CU70)-FC70-0.0625,0.125),0)))</f>
        <v/>
      </c>
      <c r="EB70" s="1111" t="str">
        <f t="shared" si="171"/>
        <v/>
      </c>
      <c r="EC70" s="1112" t="str">
        <f t="shared" si="199"/>
        <v/>
      </c>
      <c r="ED70" s="1111" t="str">
        <f t="shared" si="172"/>
        <v/>
      </c>
      <c r="EE70" s="1111" t="str">
        <f t="shared" si="200"/>
        <v/>
      </c>
      <c r="EF70" s="1111" t="str">
        <f t="shared" si="201"/>
        <v/>
      </c>
      <c r="EG70" s="1111" t="str">
        <f t="shared" si="173"/>
        <v/>
      </c>
      <c r="EH70" s="1111" t="str">
        <f t="shared" si="202"/>
        <v/>
      </c>
      <c r="EI70" s="1111" t="str">
        <f t="shared" si="203"/>
        <v/>
      </c>
      <c r="EJ70" s="1111" t="str">
        <f t="shared" si="174"/>
        <v/>
      </c>
      <c r="EK70" s="1109">
        <f>IF(CK70="",0,ATAN(CK70/12))</f>
        <v>0</v>
      </c>
      <c r="EL70" s="1109">
        <f t="shared" si="205"/>
        <v>0</v>
      </c>
      <c r="EM70" s="1109">
        <f t="shared" si="175"/>
        <v>0</v>
      </c>
      <c r="EN70" s="1109" t="str">
        <f t="shared" si="176"/>
        <v/>
      </c>
      <c r="EO70" s="1108" t="str">
        <f t="shared" si="206"/>
        <v/>
      </c>
      <c r="EP70" s="1109">
        <f t="shared" si="207"/>
        <v>0</v>
      </c>
      <c r="EQ70" s="1109">
        <f t="shared" si="208"/>
        <v>0</v>
      </c>
      <c r="ER70" s="1109">
        <f t="shared" si="177"/>
        <v>0</v>
      </c>
      <c r="ES70" s="1109" t="str">
        <f t="shared" si="178"/>
        <v/>
      </c>
      <c r="ET70" s="1108" t="str">
        <f t="shared" si="209"/>
        <v/>
      </c>
      <c r="EU70" s="1108">
        <f t="shared" si="179"/>
        <v>0</v>
      </c>
      <c r="EV70" s="1111" t="e">
        <f>MIN(IF(CH30&gt;0,CH30/2,MAX(CI30/2,CJ70)),IF(CI30&gt;0,CI30/2,MAX(CH30/2,CJ70)),IF(CJ70&gt;0,CJ70,MAX(CI30/2,CH30/2)))/COS(CY70)+CD70-DC70</f>
        <v>#VALUE!</v>
      </c>
      <c r="EW70" s="1111" t="e">
        <f>MIN(IF(CO30&gt;0,CO30/2,MAX(CP30/2,CS70)),IF(CP30&gt;0,CP30/2,MAX(CO30/2,CS70)),IF(CS70&gt;0,CS70,MAX(CP30/2,CO30/2)))/COS(DE70)+CM70-DI70</f>
        <v>#VALUE!</v>
      </c>
      <c r="EX70" s="1199" t="str">
        <f t="shared" si="210"/>
        <v/>
      </c>
      <c r="EY70" s="1114" t="e">
        <f t="shared" si="211"/>
        <v>#DIV/0!</v>
      </c>
      <c r="EZ70" s="1219" t="e">
        <f t="shared" si="212"/>
        <v>#DIV/0!</v>
      </c>
      <c r="FA70" s="1220" t="e">
        <f t="shared" si="213"/>
        <v>#DIV/0!</v>
      </c>
      <c r="FB70" s="1115" t="str">
        <f t="shared" si="180"/>
        <v/>
      </c>
      <c r="FC70" s="1116" t="str">
        <f t="shared" si="181"/>
        <v/>
      </c>
      <c r="FD70" s="614">
        <f t="shared" si="182"/>
        <v>0</v>
      </c>
      <c r="FE70" s="615">
        <f t="shared" si="183"/>
        <v>0</v>
      </c>
      <c r="FF70" s="970" t="b">
        <f t="shared" si="128"/>
        <v>0</v>
      </c>
      <c r="FG70" s="970" t="b">
        <f t="shared" si="129"/>
        <v>0</v>
      </c>
      <c r="FH70" s="970" t="b">
        <f t="shared" si="130"/>
        <v>0</v>
      </c>
      <c r="FI70" s="1159" t="b">
        <f t="shared" si="131"/>
        <v>0</v>
      </c>
      <c r="FJ70" s="1161" t="str">
        <f t="shared" si="140"/>
        <v/>
      </c>
      <c r="FK70" s="1160"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54" t="str">
        <f t="shared" ca="1" si="153"/>
        <v/>
      </c>
    </row>
    <row r="71" spans="78:193" ht="12.6" hidden="1" customHeight="1" x14ac:dyDescent="0.2">
      <c r="BZ71" s="360"/>
      <c r="CA71" s="360"/>
      <c r="CB71" s="435" t="str">
        <f t="shared" si="159"/>
        <v/>
      </c>
      <c r="CC71" s="436" t="str">
        <f>IF(CG31="","",VLOOKUP(CG31,SectInfo!$B:$N,12,FALSE))</f>
        <v/>
      </c>
      <c r="CD71" s="1172" t="str">
        <f>IF(ISBLANK(CZ31),IF(CG31="","",VLOOKUP(CG31,SectInfo!$B:$N,13,FALSE)),CZ31)</f>
        <v/>
      </c>
      <c r="CE71" s="437" t="str">
        <f>IF(CG31="","",IF(VLOOKUP(CG31,SectInfo!$B:$N,5,FALSE)="","R",UPPER(VLOOKUP(CG31,SectInfo!$B:$N,5,FALSE))))</f>
        <v/>
      </c>
      <c r="CF71" s="1172"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72" t="str">
        <f>IF(ISBLANK(DA31),IF(CN31="","",VLOOKUP(CN31,SectInfo!$B:$N,13,FALSE)),DA31)</f>
        <v/>
      </c>
      <c r="CN71" s="437" t="str">
        <f>IF(CN31="","",IF(VLOOKUP(CN31,SectInfo!$B:$N,5,FALSE)="","R",UPPER(VLOOKUP(CN31,SectInfo!$B:$N,5,FALSE))))</f>
        <v/>
      </c>
      <c r="CO71" s="1172"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8" t="str">
        <f t="shared" si="162"/>
        <v/>
      </c>
      <c r="CY71" s="1109">
        <f t="shared" si="185"/>
        <v>0</v>
      </c>
      <c r="CZ71" s="1109">
        <f t="shared" si="163"/>
        <v>0</v>
      </c>
      <c r="DA71" s="1109" t="str">
        <f t="shared" si="164"/>
        <v/>
      </c>
      <c r="DB71" s="1125" t="str">
        <f t="shared" si="186"/>
        <v/>
      </c>
      <c r="DC71" s="1125" t="str">
        <f t="shared" ref="DC71:DC85" si="216">IF(CD71="","",IF(NOT(ISBLANK(DB31)),CD71-DB31,MAX(IF(AND(CZ71&gt;=$FB$4,DA71&lt;=$FA$4,OR($FA$1=1,$FA$1=4)),CD71,IF(OR($FA$1=3,$FA$1=4),DB71-$FA$4,DB71+MAX(($FA$4-$FB$4)-(DA71-CZ71)-$EY$4/2*TAN(CY71),0)-$FA$4))-EO71,0)))</f>
        <v/>
      </c>
      <c r="DD71" s="1110">
        <f t="shared" si="187"/>
        <v>0</v>
      </c>
      <c r="DE71" s="1108">
        <f t="shared" si="188"/>
        <v>0</v>
      </c>
      <c r="DF71" s="1109">
        <f t="shared" si="165"/>
        <v>0</v>
      </c>
      <c r="DG71" s="1109" t="str">
        <f t="shared" si="166"/>
        <v/>
      </c>
      <c r="DH71" s="1125" t="str">
        <f t="shared" si="189"/>
        <v/>
      </c>
      <c r="DI71" s="1125" t="str">
        <f t="shared" si="190"/>
        <v/>
      </c>
      <c r="DJ71" s="1110">
        <f t="shared" si="191"/>
        <v>0</v>
      </c>
      <c r="DK71" s="1108" t="str">
        <f t="shared" si="192"/>
        <v/>
      </c>
      <c r="DL71" s="1108" t="str">
        <f t="shared" si="193"/>
        <v/>
      </c>
      <c r="DM71" s="1108" t="str">
        <f t="shared" si="167"/>
        <v/>
      </c>
      <c r="DN71" s="1108" t="str">
        <f t="shared" si="168"/>
        <v/>
      </c>
      <c r="DO71" s="1125" t="str">
        <f t="shared" ref="DO71:DO85" si="217">IF(ISBLANK(DB31),IF(DM71&lt;0.5+($FD$4-0.0625)/2,"ERR",IF(DM71&lt;0.5+$FE$4/2,($FE$4/2+0.5),IF(DM71&lt;$FA$4+IF(MID(CE71,1,1)="R",DC71+DB31,0)-$FE$4/2-0.5,DM71,IF(DM71&lt;=$FA$4+IF(MID(CE71,1,1)="R",DC71,0)-($FD$4-0.0625)/2-0.5,$FA$4+IF(MID(CE71,1,1)="R",DC71,0)-($FE$4/2+0.5),"ERR")))),DM71)</f>
        <v>ERR</v>
      </c>
      <c r="DP71" s="1125" t="str">
        <f t="shared" ref="DP71:DP85" si="218">IF(ISBLANK(DB31),IF(DN71&lt;0.5+($FD$4-0.0625)/2,"ERR",IF(DN71&lt;0.5+$FE$4/2,($FE$4/2+0.5),IF(DN71&lt;$FA$4+IF(MID(CE71,1,1)="R",DC71+DB31,0)-$FE$4/2-0.5,DN71,IF(DN71&lt;=$FA$4+IF(MID(CE71,1,1)="R",DC71,0)-($FD$4-0.0625)/2-0.5,$FA$4+IF(MID(CE71,1,1)="R",DC71,0)-($FE$4/2+0.5),"ERR")))),DN71)</f>
        <v>ERR</v>
      </c>
      <c r="DQ71" s="1108" t="str">
        <f t="shared" si="194"/>
        <v/>
      </c>
      <c r="DR71" s="1108" t="str">
        <f t="shared" si="195"/>
        <v/>
      </c>
      <c r="DS71" s="1108" t="str">
        <f t="shared" si="196"/>
        <v/>
      </c>
      <c r="DT71" s="1108" t="str">
        <f t="shared" si="169"/>
        <v/>
      </c>
      <c r="DU71" s="1108" t="str">
        <f t="shared" si="170"/>
        <v/>
      </c>
      <c r="DV71" s="1125" t="str">
        <f t="shared" ref="DV71:DV85" si="219">IF(ISBLANK(DC31),IF(DT71&lt;0.5+($FD$4-0.0625)/2,"ERR",IF(DT71&lt;0.5+$FE$4/2,($FE$4/2+0.5),IF(DT71&lt;$FA$4+IF(MID(CN71,1,1)="R",DI71+DC31,0)-$FE$4/2-0.5,DT71,IF(DT71&lt;=$FA$4+IF(MID(CN71,1,1)="R",DI71,0)-($FD$4-0.0625)/2-0.5,$FA$4+IF(MID(CN71,1,1)="R",DI71,0)-($FE$4/2+0.5),"ERR")))),DT71)</f>
        <v>ERR</v>
      </c>
      <c r="DW71" s="1125" t="str">
        <f t="shared" ref="DW71:DW85" si="220">IF(ISBLANK(DC31),IF(DU71&lt;0.5+($FD$4-0.0625)/2,"ERR",IF(DU71&lt;0.5+$FE$4/2,($FE$4/2+0.5),IF(DU71&lt;$FA$4+IF(MID(CN71,1,1)="R",DI71+DC31,0)-$FE$4/2-0.5,DU71,IF(DU71&lt;=$FA$4+IF(MID(CN71,1,1)="R",DI71,0)-($FD$4-0.0625)/2-0.5,$FA$4+IF(MID(CN71,1,1)="R",DI71,0)-($FE$4/2+0.5),"ERR")))),DU71)</f>
        <v>ERR</v>
      </c>
      <c r="DX71" s="1108" t="str">
        <f t="shared" si="197"/>
        <v/>
      </c>
      <c r="DY71" s="1108" t="str">
        <f t="shared" si="198"/>
        <v/>
      </c>
      <c r="DZ71" s="1108" t="str">
        <f>IF(CG71="","",IF((CD71-CG71)/COS(CU71)-FB71&lt;=-0.0625,CEILING((CD71-CG71)/COS(CU71)-FB71+0.0625,-0.125),IF((CD71-CG71)/COS(CU71)-FB71&gt;=0.0625,CEILING((CD71-CG71)/COS(CU71)-FB71-0.0625,0.125),0)))</f>
        <v/>
      </c>
      <c r="EA71" s="1108" t="str">
        <f>IF(CP71="","",IF((CM71-CP71)/COS(CU71)-FC71&lt;=-0.0625,CEILING((CM71-CP71)/COS(CU71)-FC71+0.0625,-0.125),IF((CM71-CP71)/COS(CU71)-FC71&gt;=0.0625,CEILING((CM71-CP71)/COS(CU71)-FC71-0.0625,0.125),0)))</f>
        <v/>
      </c>
      <c r="EB71" s="1111" t="str">
        <f t="shared" si="171"/>
        <v/>
      </c>
      <c r="EC71" s="1112" t="str">
        <f t="shared" si="199"/>
        <v/>
      </c>
      <c r="ED71" s="1111" t="str">
        <f t="shared" si="172"/>
        <v/>
      </c>
      <c r="EE71" s="1111" t="str">
        <f t="shared" si="200"/>
        <v/>
      </c>
      <c r="EF71" s="1111" t="str">
        <f t="shared" si="201"/>
        <v/>
      </c>
      <c r="EG71" s="1111" t="str">
        <f t="shared" si="173"/>
        <v/>
      </c>
      <c r="EH71" s="1111" t="str">
        <f t="shared" si="202"/>
        <v/>
      </c>
      <c r="EI71" s="1111" t="str">
        <f t="shared" si="203"/>
        <v/>
      </c>
      <c r="EJ71" s="1111" t="str">
        <f t="shared" si="174"/>
        <v/>
      </c>
      <c r="EK71" s="1109">
        <f t="shared" si="204"/>
        <v>0</v>
      </c>
      <c r="EL71" s="1109">
        <f t="shared" si="205"/>
        <v>0</v>
      </c>
      <c r="EM71" s="1109">
        <f t="shared" si="175"/>
        <v>0</v>
      </c>
      <c r="EN71" s="1109" t="str">
        <f t="shared" si="176"/>
        <v/>
      </c>
      <c r="EO71" s="1108" t="str">
        <f t="shared" si="206"/>
        <v/>
      </c>
      <c r="EP71" s="1109">
        <f t="shared" si="207"/>
        <v>0</v>
      </c>
      <c r="EQ71" s="1109">
        <f t="shared" si="208"/>
        <v>0</v>
      </c>
      <c r="ER71" s="1109">
        <f t="shared" si="177"/>
        <v>0</v>
      </c>
      <c r="ES71" s="1109" t="str">
        <f t="shared" si="178"/>
        <v/>
      </c>
      <c r="ET71" s="1108" t="str">
        <f t="shared" si="209"/>
        <v/>
      </c>
      <c r="EU71" s="1108">
        <f t="shared" si="179"/>
        <v>0</v>
      </c>
      <c r="EV71" s="1111" t="e">
        <f t="shared" ref="EV71:EV85" si="221">MIN(IF(CH31&gt;0,CH31/2,MAX(CI31/2,CJ71)),IF(CI31&gt;0,CI31/2,MAX(CH31/2,CJ71)),IF(CJ71&gt;0,CJ71,MAX(CI31/2,CH31/2)))/COS(CY71)+CD71-DC71</f>
        <v>#VALUE!</v>
      </c>
      <c r="EW71" s="1111" t="e">
        <f t="shared" ref="EW71:EW85" si="222">MIN(IF(CO31&gt;0,CO31/2,MAX(CP31/2,CS71)),IF(CP31&gt;0,CP31/2,MAX(CO31/2,CS71)),IF(CS71&gt;0,CS71,MAX(CP31/2,CO31/2)))/COS(DE71)+CM71-DI71</f>
        <v>#VALUE!</v>
      </c>
      <c r="EX71" s="1199" t="str">
        <f t="shared" si="210"/>
        <v/>
      </c>
      <c r="EY71" s="1114" t="e">
        <f t="shared" si="211"/>
        <v>#DIV/0!</v>
      </c>
      <c r="EZ71" s="1219" t="e">
        <f t="shared" si="212"/>
        <v>#DIV/0!</v>
      </c>
      <c r="FA71" s="1220" t="e">
        <f t="shared" si="213"/>
        <v>#DIV/0!</v>
      </c>
      <c r="FB71" s="1115" t="str">
        <f t="shared" si="180"/>
        <v/>
      </c>
      <c r="FC71" s="1116" t="str">
        <f t="shared" si="181"/>
        <v/>
      </c>
      <c r="FD71" s="614">
        <f t="shared" si="182"/>
        <v>0</v>
      </c>
      <c r="FE71" s="615">
        <f t="shared" si="183"/>
        <v>0</v>
      </c>
      <c r="FF71" s="970" t="b">
        <f t="shared" si="128"/>
        <v>0</v>
      </c>
      <c r="FG71" s="970" t="b">
        <f t="shared" si="129"/>
        <v>0</v>
      </c>
      <c r="FH71" s="970" t="b">
        <f t="shared" si="130"/>
        <v>0</v>
      </c>
      <c r="FI71" s="1159" t="b">
        <f t="shared" si="131"/>
        <v>0</v>
      </c>
      <c r="FJ71" s="1161" t="str">
        <f t="shared" si="140"/>
        <v/>
      </c>
      <c r="FK71" s="1160"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54" t="str">
        <f t="shared" ca="1" si="153"/>
        <v/>
      </c>
    </row>
    <row r="72" spans="78:193" ht="12.6" hidden="1" customHeight="1" x14ac:dyDescent="0.2">
      <c r="BZ72" s="360"/>
      <c r="CA72" s="360"/>
      <c r="CB72" s="435" t="str">
        <f t="shared" si="159"/>
        <v/>
      </c>
      <c r="CC72" s="436" t="str">
        <f>IF(CG32="","",VLOOKUP(CG32,SectInfo!$B:$N,12,FALSE))</f>
        <v/>
      </c>
      <c r="CD72" s="1172" t="str">
        <f>IF(ISBLANK(CZ32),IF(CG32="","",VLOOKUP(CG32,SectInfo!$B:$N,13,FALSE)),CZ32)</f>
        <v/>
      </c>
      <c r="CE72" s="437" t="str">
        <f>IF(CG32="","",IF(VLOOKUP(CG32,SectInfo!$B:$N,5,FALSE)="","R",UPPER(VLOOKUP(CG32,SectInfo!$B:$N,5,FALSE))))</f>
        <v/>
      </c>
      <c r="CF72" s="1172"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72" t="str">
        <f>IF(ISBLANK(DA32),IF(CN32="","",VLOOKUP(CN32,SectInfo!$B:$N,13,FALSE)),DA32)</f>
        <v/>
      </c>
      <c r="CN72" s="437" t="str">
        <f>IF(CN32="","",IF(VLOOKUP(CN32,SectInfo!$B:$N,5,FALSE)="","R",UPPER(VLOOKUP(CN32,SectInfo!$B:$N,5,FALSE))))</f>
        <v/>
      </c>
      <c r="CO72" s="1172"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8" t="str">
        <f t="shared" si="162"/>
        <v/>
      </c>
      <c r="CY72" s="1109">
        <f t="shared" si="185"/>
        <v>0</v>
      </c>
      <c r="CZ72" s="1109">
        <f t="shared" si="163"/>
        <v>0</v>
      </c>
      <c r="DA72" s="1109" t="str">
        <f t="shared" si="164"/>
        <v/>
      </c>
      <c r="DB72" s="1125" t="str">
        <f t="shared" si="186"/>
        <v/>
      </c>
      <c r="DC72" s="1125" t="str">
        <f t="shared" si="216"/>
        <v/>
      </c>
      <c r="DD72" s="1110">
        <f t="shared" si="187"/>
        <v>0</v>
      </c>
      <c r="DE72" s="1108">
        <f t="shared" si="188"/>
        <v>0</v>
      </c>
      <c r="DF72" s="1109">
        <f t="shared" si="165"/>
        <v>0</v>
      </c>
      <c r="DG72" s="1109" t="str">
        <f t="shared" si="166"/>
        <v/>
      </c>
      <c r="DH72" s="1125" t="str">
        <f t="shared" si="189"/>
        <v/>
      </c>
      <c r="DI72" s="1125" t="str">
        <f t="shared" si="190"/>
        <v/>
      </c>
      <c r="DJ72" s="1110">
        <f t="shared" si="191"/>
        <v>0</v>
      </c>
      <c r="DK72" s="1108" t="str">
        <f t="shared" si="192"/>
        <v/>
      </c>
      <c r="DL72" s="1108" t="str">
        <f t="shared" si="193"/>
        <v/>
      </c>
      <c r="DM72" s="1108" t="str">
        <f t="shared" si="167"/>
        <v/>
      </c>
      <c r="DN72" s="1108" t="str">
        <f t="shared" si="168"/>
        <v/>
      </c>
      <c r="DO72" s="1125" t="str">
        <f t="shared" si="217"/>
        <v>ERR</v>
      </c>
      <c r="DP72" s="1125" t="str">
        <f t="shared" si="218"/>
        <v>ERR</v>
      </c>
      <c r="DQ72" s="1108" t="str">
        <f t="shared" si="194"/>
        <v/>
      </c>
      <c r="DR72" s="1108" t="str">
        <f t="shared" si="195"/>
        <v/>
      </c>
      <c r="DS72" s="1108" t="str">
        <f t="shared" si="196"/>
        <v/>
      </c>
      <c r="DT72" s="1108" t="str">
        <f t="shared" si="169"/>
        <v/>
      </c>
      <c r="DU72" s="1108" t="str">
        <f t="shared" si="170"/>
        <v/>
      </c>
      <c r="DV72" s="1125" t="str">
        <f t="shared" si="219"/>
        <v>ERR</v>
      </c>
      <c r="DW72" s="1125" t="str">
        <f t="shared" si="220"/>
        <v>ERR</v>
      </c>
      <c r="DX72" s="1108" t="str">
        <f t="shared" si="197"/>
        <v/>
      </c>
      <c r="DY72" s="1108" t="str">
        <f t="shared" si="198"/>
        <v/>
      </c>
      <c r="DZ72" s="1108" t="str">
        <f>IF(CG72="","",IF((CD72-CG72)/COS(CU72)-FB72&lt;=-0.0625,CEILING((CD72-CG72)/COS(CU72)-FB72+0.0625,-0.125),IF((CD72-CG72)/COS(CU72)-FB72&gt;=0.0625,CEILING((CD72-CG72)/COS(CU72)-FB72-0.0625,0.125),0)))</f>
        <v/>
      </c>
      <c r="EA72" s="1108" t="str">
        <f>IF(CP72="","",IF((CM72-CP72)/COS(CU72)-FC72&lt;=-0.0625,CEILING((CM72-CP72)/COS(CU72)-FC72+0.0625,-0.125),IF((CM72-CP72)/COS(CU72)-FC72&gt;=0.0625,CEILING((CM72-CP72)/COS(CU72)-FC72-0.0625,0.125),0)))</f>
        <v/>
      </c>
      <c r="EB72" s="1111" t="str">
        <f t="shared" si="171"/>
        <v/>
      </c>
      <c r="EC72" s="1112" t="str">
        <f t="shared" si="199"/>
        <v/>
      </c>
      <c r="ED72" s="1111" t="str">
        <f t="shared" si="172"/>
        <v/>
      </c>
      <c r="EE72" s="1111" t="str">
        <f t="shared" si="200"/>
        <v/>
      </c>
      <c r="EF72" s="1111" t="str">
        <f t="shared" si="201"/>
        <v/>
      </c>
      <c r="EG72" s="1111" t="str">
        <f t="shared" si="173"/>
        <v/>
      </c>
      <c r="EH72" s="1111" t="str">
        <f t="shared" si="202"/>
        <v/>
      </c>
      <c r="EI72" s="1111" t="str">
        <f t="shared" si="203"/>
        <v/>
      </c>
      <c r="EJ72" s="1111" t="str">
        <f t="shared" si="174"/>
        <v/>
      </c>
      <c r="EK72" s="1109">
        <f t="shared" si="204"/>
        <v>0</v>
      </c>
      <c r="EL72" s="1109">
        <f t="shared" si="205"/>
        <v>0</v>
      </c>
      <c r="EM72" s="1109">
        <f t="shared" si="175"/>
        <v>0</v>
      </c>
      <c r="EN72" s="1109" t="str">
        <f t="shared" si="176"/>
        <v/>
      </c>
      <c r="EO72" s="1108" t="str">
        <f t="shared" si="206"/>
        <v/>
      </c>
      <c r="EP72" s="1109">
        <f t="shared" si="207"/>
        <v>0</v>
      </c>
      <c r="EQ72" s="1109">
        <f t="shared" si="208"/>
        <v>0</v>
      </c>
      <c r="ER72" s="1109">
        <f t="shared" si="177"/>
        <v>0</v>
      </c>
      <c r="ES72" s="1109" t="str">
        <f t="shared" si="178"/>
        <v/>
      </c>
      <c r="ET72" s="1108" t="str">
        <f t="shared" si="209"/>
        <v/>
      </c>
      <c r="EU72" s="1108">
        <f t="shared" si="179"/>
        <v>0</v>
      </c>
      <c r="EV72" s="1111" t="e">
        <f t="shared" si="221"/>
        <v>#VALUE!</v>
      </c>
      <c r="EW72" s="1111" t="e">
        <f t="shared" si="222"/>
        <v>#VALUE!</v>
      </c>
      <c r="EX72" s="1199" t="str">
        <f t="shared" si="210"/>
        <v/>
      </c>
      <c r="EY72" s="1114" t="e">
        <f t="shared" si="211"/>
        <v>#DIV/0!</v>
      </c>
      <c r="EZ72" s="1219" t="e">
        <f t="shared" si="212"/>
        <v>#DIV/0!</v>
      </c>
      <c r="FA72" s="1220" t="e">
        <f t="shared" si="213"/>
        <v>#DIV/0!</v>
      </c>
      <c r="FB72" s="1115" t="str">
        <f t="shared" si="180"/>
        <v/>
      </c>
      <c r="FC72" s="1116" t="str">
        <f t="shared" si="181"/>
        <v/>
      </c>
      <c r="FD72" s="614">
        <f t="shared" si="182"/>
        <v>0</v>
      </c>
      <c r="FE72" s="615">
        <f t="shared" si="183"/>
        <v>0</v>
      </c>
      <c r="FF72" s="969" t="b">
        <f t="shared" si="128"/>
        <v>0</v>
      </c>
      <c r="FG72" s="969" t="b">
        <f t="shared" si="129"/>
        <v>0</v>
      </c>
      <c r="FH72" s="969" t="b">
        <f t="shared" si="130"/>
        <v>0</v>
      </c>
      <c r="FI72" s="1158" t="b">
        <f t="shared" si="131"/>
        <v>0</v>
      </c>
      <c r="FJ72" s="1161" t="str">
        <f t="shared" si="140"/>
        <v/>
      </c>
      <c r="FK72" s="1160"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54" t="str">
        <f t="shared" ca="1" si="153"/>
        <v/>
      </c>
    </row>
    <row r="73" spans="78:193" ht="12.6" hidden="1" customHeight="1" x14ac:dyDescent="0.2">
      <c r="BZ73" s="360"/>
      <c r="CA73" s="360"/>
      <c r="CB73" s="435" t="str">
        <f t="shared" si="159"/>
        <v/>
      </c>
      <c r="CC73" s="436" t="str">
        <f>IF(CG33="","",VLOOKUP(CG33,SectInfo!$B:$N,12,FALSE))</f>
        <v/>
      </c>
      <c r="CD73" s="1172" t="str">
        <f>IF(ISBLANK(CZ33),IF(CG33="","",VLOOKUP(CG33,SectInfo!$B:$N,13,FALSE)),CZ33)</f>
        <v/>
      </c>
      <c r="CE73" s="437" t="str">
        <f>IF(CG33="","",IF(VLOOKUP(CG33,SectInfo!$B:$N,5,FALSE)="","R",UPPER(VLOOKUP(CG33,SectInfo!$B:$N,5,FALSE))))</f>
        <v/>
      </c>
      <c r="CF73" s="1172"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72" t="str">
        <f>IF(ISBLANK(DA33),IF(CN33="","",VLOOKUP(CN33,SectInfo!$B:$N,13,FALSE)),DA33)</f>
        <v/>
      </c>
      <c r="CN73" s="437" t="str">
        <f>IF(CN33="","",IF(VLOOKUP(CN33,SectInfo!$B:$N,5,FALSE)="","R",UPPER(VLOOKUP(CN33,SectInfo!$B:$N,5,FALSE))))</f>
        <v/>
      </c>
      <c r="CO73" s="1172"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8" t="str">
        <f t="shared" si="162"/>
        <v/>
      </c>
      <c r="CY73" s="1109">
        <f t="shared" si="185"/>
        <v>0</v>
      </c>
      <c r="CZ73" s="1109">
        <f t="shared" si="163"/>
        <v>0</v>
      </c>
      <c r="DA73" s="1109" t="str">
        <f t="shared" si="164"/>
        <v/>
      </c>
      <c r="DB73" s="1125" t="str">
        <f t="shared" si="186"/>
        <v/>
      </c>
      <c r="DC73" s="1125" t="str">
        <f t="shared" si="216"/>
        <v/>
      </c>
      <c r="DD73" s="1110">
        <f t="shared" si="187"/>
        <v>0</v>
      </c>
      <c r="DE73" s="1108">
        <f t="shared" si="188"/>
        <v>0</v>
      </c>
      <c r="DF73" s="1109">
        <f t="shared" si="165"/>
        <v>0</v>
      </c>
      <c r="DG73" s="1109" t="str">
        <f t="shared" si="166"/>
        <v/>
      </c>
      <c r="DH73" s="1125" t="str">
        <f t="shared" si="189"/>
        <v/>
      </c>
      <c r="DI73" s="1125" t="str">
        <f t="shared" si="190"/>
        <v/>
      </c>
      <c r="DJ73" s="1110">
        <f t="shared" si="191"/>
        <v>0</v>
      </c>
      <c r="DK73" s="1108" t="str">
        <f t="shared" si="192"/>
        <v/>
      </c>
      <c r="DL73" s="1108" t="str">
        <f t="shared" si="193"/>
        <v/>
      </c>
      <c r="DM73" s="1108" t="str">
        <f t="shared" si="167"/>
        <v/>
      </c>
      <c r="DN73" s="1108" t="str">
        <f t="shared" si="168"/>
        <v/>
      </c>
      <c r="DO73" s="1125" t="str">
        <f t="shared" si="217"/>
        <v>ERR</v>
      </c>
      <c r="DP73" s="1125" t="str">
        <f t="shared" si="218"/>
        <v>ERR</v>
      </c>
      <c r="DQ73" s="1108" t="str">
        <f t="shared" si="194"/>
        <v/>
      </c>
      <c r="DR73" s="1108" t="str">
        <f t="shared" si="195"/>
        <v/>
      </c>
      <c r="DS73" s="1108" t="str">
        <f t="shared" si="196"/>
        <v/>
      </c>
      <c r="DT73" s="1108" t="str">
        <f t="shared" si="169"/>
        <v/>
      </c>
      <c r="DU73" s="1108" t="str">
        <f t="shared" si="170"/>
        <v/>
      </c>
      <c r="DV73" s="1125" t="str">
        <f t="shared" si="219"/>
        <v>ERR</v>
      </c>
      <c r="DW73" s="1125" t="str">
        <f t="shared" si="220"/>
        <v>ERR</v>
      </c>
      <c r="DX73" s="1108" t="str">
        <f t="shared" si="197"/>
        <v/>
      </c>
      <c r="DY73" s="1108" t="str">
        <f t="shared" si="198"/>
        <v/>
      </c>
      <c r="DZ73" s="1108" t="str">
        <f t="shared" ref="DZ73:DZ85" si="223">IF(CG73="","",IF((CD73-CG73)/COS(CU73)-FB73&lt;=-0.0625,CEILING((CD73-CG73)/COS(CU73)-FB73+0.0625,-0.125),IF((CD73-CG73)/COS(CU73)-FB73&gt;=0.0625,CEILING((CD73-CG73)/COS(CU73)-FB73-0.0625,0.125),0)))</f>
        <v/>
      </c>
      <c r="EA73" s="1108" t="str">
        <f t="shared" ref="EA73:EA85" si="224">IF(CP73="","",IF((CM73-CP73)/COS(CU73)-FC73&lt;=-0.0625,CEILING((CM73-CP73)/COS(CU73)-FC73+0.0625,-0.125),IF((CM73-CP73)/COS(CU73)-FC73&gt;=0.0625,CEILING((CM73-CP73)/COS(CU73)-FC73-0.0625,0.125),0)))</f>
        <v/>
      </c>
      <c r="EB73" s="1111" t="str">
        <f t="shared" si="171"/>
        <v/>
      </c>
      <c r="EC73" s="1112" t="str">
        <f t="shared" si="199"/>
        <v/>
      </c>
      <c r="ED73" s="1111" t="str">
        <f t="shared" si="172"/>
        <v/>
      </c>
      <c r="EE73" s="1111" t="str">
        <f t="shared" si="200"/>
        <v/>
      </c>
      <c r="EF73" s="1111" t="str">
        <f t="shared" si="201"/>
        <v/>
      </c>
      <c r="EG73" s="1111" t="str">
        <f t="shared" si="173"/>
        <v/>
      </c>
      <c r="EH73" s="1111" t="str">
        <f t="shared" si="202"/>
        <v/>
      </c>
      <c r="EI73" s="1111" t="str">
        <f t="shared" si="203"/>
        <v/>
      </c>
      <c r="EJ73" s="1111" t="str">
        <f t="shared" si="174"/>
        <v/>
      </c>
      <c r="EK73" s="1109">
        <f t="shared" si="204"/>
        <v>0</v>
      </c>
      <c r="EL73" s="1109">
        <f t="shared" si="205"/>
        <v>0</v>
      </c>
      <c r="EM73" s="1109">
        <f t="shared" si="175"/>
        <v>0</v>
      </c>
      <c r="EN73" s="1109" t="str">
        <f t="shared" si="176"/>
        <v/>
      </c>
      <c r="EO73" s="1108" t="str">
        <f t="shared" si="206"/>
        <v/>
      </c>
      <c r="EP73" s="1109">
        <f t="shared" si="207"/>
        <v>0</v>
      </c>
      <c r="EQ73" s="1109">
        <f t="shared" si="208"/>
        <v>0</v>
      </c>
      <c r="ER73" s="1109">
        <f t="shared" si="177"/>
        <v>0</v>
      </c>
      <c r="ES73" s="1109" t="str">
        <f t="shared" si="178"/>
        <v/>
      </c>
      <c r="ET73" s="1108" t="str">
        <f t="shared" si="209"/>
        <v/>
      </c>
      <c r="EU73" s="1108">
        <f t="shared" si="179"/>
        <v>0</v>
      </c>
      <c r="EV73" s="1111" t="e">
        <f t="shared" si="221"/>
        <v>#VALUE!</v>
      </c>
      <c r="EW73" s="1111" t="e">
        <f t="shared" si="222"/>
        <v>#VALUE!</v>
      </c>
      <c r="EX73" s="1199" t="str">
        <f t="shared" si="210"/>
        <v/>
      </c>
      <c r="EY73" s="1114" t="e">
        <f t="shared" si="211"/>
        <v>#DIV/0!</v>
      </c>
      <c r="EZ73" s="1219" t="e">
        <f t="shared" si="212"/>
        <v>#DIV/0!</v>
      </c>
      <c r="FA73" s="1220" t="e">
        <f t="shared" si="213"/>
        <v>#DIV/0!</v>
      </c>
      <c r="FB73" s="1115" t="str">
        <f t="shared" si="180"/>
        <v/>
      </c>
      <c r="FC73" s="1116" t="str">
        <f t="shared" si="181"/>
        <v/>
      </c>
      <c r="FD73" s="643">
        <f t="shared" si="182"/>
        <v>0</v>
      </c>
      <c r="FE73" s="644">
        <f t="shared" si="183"/>
        <v>0</v>
      </c>
      <c r="FF73" s="969" t="b">
        <f t="shared" si="128"/>
        <v>0</v>
      </c>
      <c r="FG73" s="969" t="b">
        <f t="shared" si="129"/>
        <v>0</v>
      </c>
      <c r="FH73" s="969" t="b">
        <f t="shared" si="130"/>
        <v>0</v>
      </c>
      <c r="FI73" s="1158" t="b">
        <f t="shared" si="131"/>
        <v>0</v>
      </c>
      <c r="FJ73" s="1161" t="str">
        <f t="shared" si="140"/>
        <v/>
      </c>
      <c r="FK73" s="1160"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54" t="str">
        <f t="shared" ca="1" si="153"/>
        <v/>
      </c>
    </row>
    <row r="74" spans="78:193" ht="12.6" hidden="1" customHeight="1" x14ac:dyDescent="0.2">
      <c r="BZ74" s="360"/>
      <c r="CA74" s="360"/>
      <c r="CB74" s="435" t="str">
        <f t="shared" si="159"/>
        <v/>
      </c>
      <c r="CC74" s="436" t="str">
        <f>IF(CG34="","",VLOOKUP(CG34,SectInfo!$B:$N,12,FALSE))</f>
        <v/>
      </c>
      <c r="CD74" s="1172" t="str">
        <f>IF(ISBLANK(CZ34),IF(CG34="","",VLOOKUP(CG34,SectInfo!$B:$N,13,FALSE)),CZ34)</f>
        <v/>
      </c>
      <c r="CE74" s="437" t="str">
        <f>IF(CG34="","",IF(VLOOKUP(CG34,SectInfo!$B:$N,5,FALSE)="","R",UPPER(VLOOKUP(CG34,SectInfo!$B:$N,5,FALSE))))</f>
        <v/>
      </c>
      <c r="CF74" s="1172"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72" t="str">
        <f>IF(ISBLANK(DA34),IF(CN34="","",VLOOKUP(CN34,SectInfo!$B:$N,13,FALSE)),DA34)</f>
        <v/>
      </c>
      <c r="CN74" s="437" t="str">
        <f>IF(CN34="","",IF(VLOOKUP(CN34,SectInfo!$B:$N,5,FALSE)="","R",UPPER(VLOOKUP(CN34,SectInfo!$B:$N,5,FALSE))))</f>
        <v/>
      </c>
      <c r="CO74" s="1172"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8" t="str">
        <f t="shared" si="162"/>
        <v/>
      </c>
      <c r="CY74" s="1109">
        <f t="shared" si="185"/>
        <v>0</v>
      </c>
      <c r="CZ74" s="1109">
        <f t="shared" si="163"/>
        <v>0</v>
      </c>
      <c r="DA74" s="1109" t="str">
        <f t="shared" si="164"/>
        <v/>
      </c>
      <c r="DB74" s="1125" t="str">
        <f t="shared" si="186"/>
        <v/>
      </c>
      <c r="DC74" s="1125" t="str">
        <f t="shared" si="216"/>
        <v/>
      </c>
      <c r="DD74" s="1110">
        <f t="shared" si="187"/>
        <v>0</v>
      </c>
      <c r="DE74" s="1108">
        <f t="shared" si="188"/>
        <v>0</v>
      </c>
      <c r="DF74" s="1109">
        <f t="shared" si="165"/>
        <v>0</v>
      </c>
      <c r="DG74" s="1109" t="str">
        <f t="shared" si="166"/>
        <v/>
      </c>
      <c r="DH74" s="1125" t="str">
        <f t="shared" si="189"/>
        <v/>
      </c>
      <c r="DI74" s="1125" t="str">
        <f t="shared" si="190"/>
        <v/>
      </c>
      <c r="DJ74" s="1110">
        <f t="shared" si="191"/>
        <v>0</v>
      </c>
      <c r="DK74" s="1108" t="str">
        <f t="shared" si="192"/>
        <v/>
      </c>
      <c r="DL74" s="1108" t="str">
        <f t="shared" si="193"/>
        <v/>
      </c>
      <c r="DM74" s="1108" t="str">
        <f t="shared" si="167"/>
        <v/>
      </c>
      <c r="DN74" s="1108" t="str">
        <f t="shared" si="168"/>
        <v/>
      </c>
      <c r="DO74" s="1125" t="str">
        <f t="shared" si="217"/>
        <v>ERR</v>
      </c>
      <c r="DP74" s="1125" t="str">
        <f t="shared" si="218"/>
        <v>ERR</v>
      </c>
      <c r="DQ74" s="1108" t="str">
        <f t="shared" si="194"/>
        <v/>
      </c>
      <c r="DR74" s="1108" t="str">
        <f t="shared" si="195"/>
        <v/>
      </c>
      <c r="DS74" s="1108" t="str">
        <f t="shared" si="196"/>
        <v/>
      </c>
      <c r="DT74" s="1108" t="str">
        <f t="shared" si="169"/>
        <v/>
      </c>
      <c r="DU74" s="1108" t="str">
        <f t="shared" si="170"/>
        <v/>
      </c>
      <c r="DV74" s="1125" t="str">
        <f t="shared" si="219"/>
        <v>ERR</v>
      </c>
      <c r="DW74" s="1125" t="str">
        <f t="shared" si="220"/>
        <v>ERR</v>
      </c>
      <c r="DX74" s="1108" t="str">
        <f t="shared" si="197"/>
        <v/>
      </c>
      <c r="DY74" s="1108" t="str">
        <f t="shared" si="198"/>
        <v/>
      </c>
      <c r="DZ74" s="1108" t="str">
        <f t="shared" si="223"/>
        <v/>
      </c>
      <c r="EA74" s="1108" t="str">
        <f t="shared" si="224"/>
        <v/>
      </c>
      <c r="EB74" s="1111" t="str">
        <f t="shared" si="171"/>
        <v/>
      </c>
      <c r="EC74" s="1112" t="str">
        <f t="shared" si="199"/>
        <v/>
      </c>
      <c r="ED74" s="1111" t="str">
        <f t="shared" si="172"/>
        <v/>
      </c>
      <c r="EE74" s="1111" t="str">
        <f t="shared" si="200"/>
        <v/>
      </c>
      <c r="EF74" s="1111" t="str">
        <f t="shared" si="201"/>
        <v/>
      </c>
      <c r="EG74" s="1111" t="str">
        <f t="shared" si="173"/>
        <v/>
      </c>
      <c r="EH74" s="1111" t="str">
        <f t="shared" si="202"/>
        <v/>
      </c>
      <c r="EI74" s="1111" t="str">
        <f t="shared" si="203"/>
        <v/>
      </c>
      <c r="EJ74" s="1111" t="str">
        <f t="shared" si="174"/>
        <v/>
      </c>
      <c r="EK74" s="1109">
        <f t="shared" si="204"/>
        <v>0</v>
      </c>
      <c r="EL74" s="1109">
        <f t="shared" si="205"/>
        <v>0</v>
      </c>
      <c r="EM74" s="1109">
        <f t="shared" si="175"/>
        <v>0</v>
      </c>
      <c r="EN74" s="1109" t="str">
        <f t="shared" si="176"/>
        <v/>
      </c>
      <c r="EO74" s="1108" t="str">
        <f t="shared" si="206"/>
        <v/>
      </c>
      <c r="EP74" s="1109">
        <f t="shared" si="207"/>
        <v>0</v>
      </c>
      <c r="EQ74" s="1109">
        <f t="shared" si="208"/>
        <v>0</v>
      </c>
      <c r="ER74" s="1109">
        <f t="shared" si="177"/>
        <v>0</v>
      </c>
      <c r="ES74" s="1109" t="str">
        <f t="shared" si="178"/>
        <v/>
      </c>
      <c r="ET74" s="1108" t="str">
        <f t="shared" si="209"/>
        <v/>
      </c>
      <c r="EU74" s="1108">
        <f t="shared" si="179"/>
        <v>0</v>
      </c>
      <c r="EV74" s="1111" t="e">
        <f t="shared" si="221"/>
        <v>#VALUE!</v>
      </c>
      <c r="EW74" s="1111" t="e">
        <f t="shared" si="222"/>
        <v>#VALUE!</v>
      </c>
      <c r="EX74" s="1199" t="str">
        <f t="shared" si="210"/>
        <v/>
      </c>
      <c r="EY74" s="1114" t="e">
        <f t="shared" si="211"/>
        <v>#DIV/0!</v>
      </c>
      <c r="EZ74" s="1219" t="e">
        <f t="shared" si="212"/>
        <v>#DIV/0!</v>
      </c>
      <c r="FA74" s="1220" t="e">
        <f t="shared" si="213"/>
        <v>#DIV/0!</v>
      </c>
      <c r="FB74" s="1115" t="str">
        <f t="shared" si="180"/>
        <v/>
      </c>
      <c r="FC74" s="1116" t="str">
        <f t="shared" si="181"/>
        <v/>
      </c>
      <c r="FD74" s="614">
        <f t="shared" si="182"/>
        <v>0</v>
      </c>
      <c r="FE74" s="615">
        <f t="shared" si="183"/>
        <v>0</v>
      </c>
      <c r="FF74" s="969" t="b">
        <f t="shared" si="128"/>
        <v>0</v>
      </c>
      <c r="FG74" s="969" t="b">
        <f t="shared" si="129"/>
        <v>0</v>
      </c>
      <c r="FH74" s="969" t="b">
        <f t="shared" si="130"/>
        <v>0</v>
      </c>
      <c r="FI74" s="1158" t="b">
        <f t="shared" si="131"/>
        <v>0</v>
      </c>
      <c r="FJ74" s="1161" t="str">
        <f t="shared" si="140"/>
        <v/>
      </c>
      <c r="FK74" s="1160"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54" t="str">
        <f t="shared" ca="1" si="153"/>
        <v/>
      </c>
    </row>
    <row r="75" spans="78:193" ht="12.6" hidden="1" customHeight="1" x14ac:dyDescent="0.2">
      <c r="BZ75" s="360"/>
      <c r="CA75" s="360"/>
      <c r="CB75" s="435" t="str">
        <f t="shared" si="159"/>
        <v/>
      </c>
      <c r="CC75" s="436" t="str">
        <f>IF(CG35="","",VLOOKUP(CG35,SectInfo!$B:$N,12,FALSE))</f>
        <v/>
      </c>
      <c r="CD75" s="1172" t="str">
        <f>IF(ISBLANK(CZ35),IF(CG35="","",VLOOKUP(CG35,SectInfo!$B:$N,13,FALSE)),CZ35)</f>
        <v/>
      </c>
      <c r="CE75" s="437" t="str">
        <f>IF(CG35="","",IF(VLOOKUP(CG35,SectInfo!$B:$N,5,FALSE)="","R",UPPER(VLOOKUP(CG35,SectInfo!$B:$N,5,FALSE))))</f>
        <v/>
      </c>
      <c r="CF75" s="1172"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72" t="str">
        <f>IF(ISBLANK(DA35),IF(CN35="","",VLOOKUP(CN35,SectInfo!$B:$N,13,FALSE)),DA35)</f>
        <v/>
      </c>
      <c r="CN75" s="437" t="str">
        <f>IF(CN35="","",IF(VLOOKUP(CN35,SectInfo!$B:$N,5,FALSE)="","R",UPPER(VLOOKUP(CN35,SectInfo!$B:$N,5,FALSE))))</f>
        <v/>
      </c>
      <c r="CO75" s="1172"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8" t="str">
        <f t="shared" si="162"/>
        <v/>
      </c>
      <c r="CY75" s="1109">
        <f t="shared" si="185"/>
        <v>0</v>
      </c>
      <c r="CZ75" s="1109">
        <f t="shared" si="163"/>
        <v>0</v>
      </c>
      <c r="DA75" s="1109" t="str">
        <f t="shared" si="164"/>
        <v/>
      </c>
      <c r="DB75" s="1125" t="str">
        <f t="shared" si="186"/>
        <v/>
      </c>
      <c r="DC75" s="1125" t="str">
        <f t="shared" si="216"/>
        <v/>
      </c>
      <c r="DD75" s="1110">
        <f t="shared" si="187"/>
        <v>0</v>
      </c>
      <c r="DE75" s="1108">
        <f t="shared" si="188"/>
        <v>0</v>
      </c>
      <c r="DF75" s="1109">
        <f t="shared" si="165"/>
        <v>0</v>
      </c>
      <c r="DG75" s="1109" t="str">
        <f t="shared" si="166"/>
        <v/>
      </c>
      <c r="DH75" s="1125" t="str">
        <f t="shared" si="189"/>
        <v/>
      </c>
      <c r="DI75" s="1125" t="str">
        <f t="shared" si="190"/>
        <v/>
      </c>
      <c r="DJ75" s="1110">
        <f t="shared" si="191"/>
        <v>0</v>
      </c>
      <c r="DK75" s="1108" t="str">
        <f t="shared" si="192"/>
        <v/>
      </c>
      <c r="DL75" s="1108" t="str">
        <f t="shared" si="193"/>
        <v/>
      </c>
      <c r="DM75" s="1108" t="str">
        <f t="shared" si="167"/>
        <v/>
      </c>
      <c r="DN75" s="1108" t="str">
        <f t="shared" si="168"/>
        <v/>
      </c>
      <c r="DO75" s="1125" t="str">
        <f t="shared" si="217"/>
        <v>ERR</v>
      </c>
      <c r="DP75" s="1125" t="str">
        <f t="shared" si="218"/>
        <v>ERR</v>
      </c>
      <c r="DQ75" s="1108" t="str">
        <f t="shared" si="194"/>
        <v/>
      </c>
      <c r="DR75" s="1108" t="str">
        <f t="shared" si="195"/>
        <v/>
      </c>
      <c r="DS75" s="1108" t="str">
        <f t="shared" si="196"/>
        <v/>
      </c>
      <c r="DT75" s="1108" t="str">
        <f t="shared" si="169"/>
        <v/>
      </c>
      <c r="DU75" s="1108" t="str">
        <f t="shared" si="170"/>
        <v/>
      </c>
      <c r="DV75" s="1125" t="str">
        <f t="shared" si="219"/>
        <v>ERR</v>
      </c>
      <c r="DW75" s="1125" t="str">
        <f t="shared" si="220"/>
        <v>ERR</v>
      </c>
      <c r="DX75" s="1108" t="str">
        <f t="shared" si="197"/>
        <v/>
      </c>
      <c r="DY75" s="1108" t="str">
        <f t="shared" si="198"/>
        <v/>
      </c>
      <c r="DZ75" s="1108" t="str">
        <f t="shared" si="223"/>
        <v/>
      </c>
      <c r="EA75" s="1108" t="str">
        <f t="shared" si="224"/>
        <v/>
      </c>
      <c r="EB75" s="1111" t="str">
        <f t="shared" si="171"/>
        <v/>
      </c>
      <c r="EC75" s="1112" t="str">
        <f t="shared" si="199"/>
        <v/>
      </c>
      <c r="ED75" s="1111" t="str">
        <f t="shared" si="172"/>
        <v/>
      </c>
      <c r="EE75" s="1111" t="str">
        <f t="shared" si="200"/>
        <v/>
      </c>
      <c r="EF75" s="1111" t="str">
        <f t="shared" si="201"/>
        <v/>
      </c>
      <c r="EG75" s="1111" t="str">
        <f t="shared" si="173"/>
        <v/>
      </c>
      <c r="EH75" s="1111" t="str">
        <f t="shared" si="202"/>
        <v/>
      </c>
      <c r="EI75" s="1111" t="str">
        <f t="shared" si="203"/>
        <v/>
      </c>
      <c r="EJ75" s="1111" t="str">
        <f t="shared" si="174"/>
        <v/>
      </c>
      <c r="EK75" s="1109">
        <f t="shared" si="204"/>
        <v>0</v>
      </c>
      <c r="EL75" s="1109">
        <f t="shared" si="205"/>
        <v>0</v>
      </c>
      <c r="EM75" s="1109">
        <f t="shared" si="175"/>
        <v>0</v>
      </c>
      <c r="EN75" s="1109" t="str">
        <f t="shared" si="176"/>
        <v/>
      </c>
      <c r="EO75" s="1108" t="str">
        <f t="shared" si="206"/>
        <v/>
      </c>
      <c r="EP75" s="1109">
        <f t="shared" si="207"/>
        <v>0</v>
      </c>
      <c r="EQ75" s="1109">
        <f t="shared" si="208"/>
        <v>0</v>
      </c>
      <c r="ER75" s="1109">
        <f t="shared" si="177"/>
        <v>0</v>
      </c>
      <c r="ES75" s="1109" t="str">
        <f t="shared" si="178"/>
        <v/>
      </c>
      <c r="ET75" s="1108" t="str">
        <f t="shared" si="209"/>
        <v/>
      </c>
      <c r="EU75" s="1108">
        <f t="shared" si="179"/>
        <v>0</v>
      </c>
      <c r="EV75" s="1111" t="e">
        <f t="shared" si="221"/>
        <v>#VALUE!</v>
      </c>
      <c r="EW75" s="1111" t="e">
        <f t="shared" si="222"/>
        <v>#VALUE!</v>
      </c>
      <c r="EX75" s="1199" t="str">
        <f t="shared" si="210"/>
        <v/>
      </c>
      <c r="EY75" s="1114" t="e">
        <f t="shared" si="211"/>
        <v>#DIV/0!</v>
      </c>
      <c r="EZ75" s="1219" t="e">
        <f t="shared" si="212"/>
        <v>#DIV/0!</v>
      </c>
      <c r="FA75" s="1220" t="e">
        <f t="shared" si="213"/>
        <v>#DIV/0!</v>
      </c>
      <c r="FB75" s="1115" t="str">
        <f t="shared" si="180"/>
        <v/>
      </c>
      <c r="FC75" s="1116" t="str">
        <f t="shared" si="181"/>
        <v/>
      </c>
      <c r="FD75" s="614">
        <f t="shared" si="182"/>
        <v>0</v>
      </c>
      <c r="FE75" s="615">
        <f t="shared" si="183"/>
        <v>0</v>
      </c>
      <c r="FF75" s="969" t="b">
        <f t="shared" si="128"/>
        <v>0</v>
      </c>
      <c r="FG75" s="969" t="b">
        <f t="shared" si="129"/>
        <v>0</v>
      </c>
      <c r="FH75" s="969" t="b">
        <f t="shared" si="130"/>
        <v>0</v>
      </c>
      <c r="FI75" s="1158" t="b">
        <f t="shared" si="131"/>
        <v>0</v>
      </c>
      <c r="FJ75" s="1161" t="str">
        <f t="shared" si="140"/>
        <v/>
      </c>
      <c r="FK75" s="1160"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54" t="str">
        <f t="shared" ca="1" si="153"/>
        <v/>
      </c>
    </row>
    <row r="76" spans="78:193" ht="12.6" hidden="1" customHeight="1" x14ac:dyDescent="0.2">
      <c r="BZ76" s="360"/>
      <c r="CA76" s="360"/>
      <c r="CB76" s="435" t="str">
        <f t="shared" si="159"/>
        <v/>
      </c>
      <c r="CC76" s="436" t="str">
        <f>IF(CG36="","",VLOOKUP(CG36,SectInfo!$B:$N,12,FALSE))</f>
        <v/>
      </c>
      <c r="CD76" s="1172" t="str">
        <f>IF(ISBLANK(CZ36),IF(CG36="","",VLOOKUP(CG36,SectInfo!$B:$N,13,FALSE)),CZ36)</f>
        <v/>
      </c>
      <c r="CE76" s="437" t="str">
        <f>IF(CG36="","",IF(VLOOKUP(CG36,SectInfo!$B:$N,5,FALSE)="","R",UPPER(VLOOKUP(CG36,SectInfo!$B:$N,5,FALSE))))</f>
        <v/>
      </c>
      <c r="CF76" s="1172"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72" t="str">
        <f>IF(ISBLANK(DA36),IF(CN36="","",VLOOKUP(CN36,SectInfo!$B:$N,13,FALSE)),DA36)</f>
        <v/>
      </c>
      <c r="CN76" s="437" t="str">
        <f>IF(CN36="","",IF(VLOOKUP(CN36,SectInfo!$B:$N,5,FALSE)="","R",UPPER(VLOOKUP(CN36,SectInfo!$B:$N,5,FALSE))))</f>
        <v/>
      </c>
      <c r="CO76" s="1172"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8" t="str">
        <f t="shared" si="162"/>
        <v/>
      </c>
      <c r="CY76" s="1109">
        <f t="shared" si="185"/>
        <v>0</v>
      </c>
      <c r="CZ76" s="1109">
        <f t="shared" si="163"/>
        <v>0</v>
      </c>
      <c r="DA76" s="1109" t="str">
        <f t="shared" si="164"/>
        <v/>
      </c>
      <c r="DB76" s="1125" t="str">
        <f t="shared" si="186"/>
        <v/>
      </c>
      <c r="DC76" s="1125" t="str">
        <f t="shared" si="216"/>
        <v/>
      </c>
      <c r="DD76" s="1110">
        <f t="shared" si="187"/>
        <v>0</v>
      </c>
      <c r="DE76" s="1108">
        <f t="shared" si="188"/>
        <v>0</v>
      </c>
      <c r="DF76" s="1109">
        <f t="shared" si="165"/>
        <v>0</v>
      </c>
      <c r="DG76" s="1109" t="str">
        <f t="shared" si="166"/>
        <v/>
      </c>
      <c r="DH76" s="1125" t="str">
        <f t="shared" si="189"/>
        <v/>
      </c>
      <c r="DI76" s="1125" t="str">
        <f t="shared" si="190"/>
        <v/>
      </c>
      <c r="DJ76" s="1110">
        <f t="shared" si="191"/>
        <v>0</v>
      </c>
      <c r="DK76" s="1108" t="str">
        <f t="shared" si="192"/>
        <v/>
      </c>
      <c r="DL76" s="1108" t="str">
        <f t="shared" si="193"/>
        <v/>
      </c>
      <c r="DM76" s="1108" t="str">
        <f t="shared" si="167"/>
        <v/>
      </c>
      <c r="DN76" s="1108" t="str">
        <f t="shared" si="168"/>
        <v/>
      </c>
      <c r="DO76" s="1125" t="str">
        <f t="shared" si="217"/>
        <v>ERR</v>
      </c>
      <c r="DP76" s="1125" t="str">
        <f t="shared" si="218"/>
        <v>ERR</v>
      </c>
      <c r="DQ76" s="1108" t="str">
        <f t="shared" si="194"/>
        <v/>
      </c>
      <c r="DR76" s="1108" t="str">
        <f t="shared" si="195"/>
        <v/>
      </c>
      <c r="DS76" s="1108" t="str">
        <f t="shared" si="196"/>
        <v/>
      </c>
      <c r="DT76" s="1108" t="str">
        <f t="shared" si="169"/>
        <v/>
      </c>
      <c r="DU76" s="1108" t="str">
        <f t="shared" si="170"/>
        <v/>
      </c>
      <c r="DV76" s="1125" t="str">
        <f t="shared" si="219"/>
        <v>ERR</v>
      </c>
      <c r="DW76" s="1125" t="str">
        <f t="shared" si="220"/>
        <v>ERR</v>
      </c>
      <c r="DX76" s="1108" t="str">
        <f t="shared" si="197"/>
        <v/>
      </c>
      <c r="DY76" s="1108" t="str">
        <f t="shared" si="198"/>
        <v/>
      </c>
      <c r="DZ76" s="1108" t="str">
        <f t="shared" si="223"/>
        <v/>
      </c>
      <c r="EA76" s="1108" t="str">
        <f t="shared" si="224"/>
        <v/>
      </c>
      <c r="EB76" s="1111" t="str">
        <f t="shared" si="171"/>
        <v/>
      </c>
      <c r="EC76" s="1112" t="str">
        <f t="shared" si="199"/>
        <v/>
      </c>
      <c r="ED76" s="1111" t="str">
        <f t="shared" si="172"/>
        <v/>
      </c>
      <c r="EE76" s="1111" t="str">
        <f t="shared" si="200"/>
        <v/>
      </c>
      <c r="EF76" s="1111" t="str">
        <f t="shared" si="201"/>
        <v/>
      </c>
      <c r="EG76" s="1111" t="str">
        <f t="shared" si="173"/>
        <v/>
      </c>
      <c r="EH76" s="1111" t="str">
        <f t="shared" si="202"/>
        <v/>
      </c>
      <c r="EI76" s="1111" t="str">
        <f t="shared" si="203"/>
        <v/>
      </c>
      <c r="EJ76" s="1111" t="str">
        <f t="shared" si="174"/>
        <v/>
      </c>
      <c r="EK76" s="1109">
        <f t="shared" si="204"/>
        <v>0</v>
      </c>
      <c r="EL76" s="1109">
        <f t="shared" si="205"/>
        <v>0</v>
      </c>
      <c r="EM76" s="1109">
        <f t="shared" si="175"/>
        <v>0</v>
      </c>
      <c r="EN76" s="1109" t="str">
        <f t="shared" si="176"/>
        <v/>
      </c>
      <c r="EO76" s="1108" t="str">
        <f t="shared" si="206"/>
        <v/>
      </c>
      <c r="EP76" s="1109">
        <f t="shared" si="207"/>
        <v>0</v>
      </c>
      <c r="EQ76" s="1109">
        <f t="shared" si="208"/>
        <v>0</v>
      </c>
      <c r="ER76" s="1109">
        <f t="shared" si="177"/>
        <v>0</v>
      </c>
      <c r="ES76" s="1109" t="str">
        <f t="shared" si="178"/>
        <v/>
      </c>
      <c r="ET76" s="1108" t="str">
        <f t="shared" si="209"/>
        <v/>
      </c>
      <c r="EU76" s="1108">
        <f t="shared" si="179"/>
        <v>0</v>
      </c>
      <c r="EV76" s="1111" t="e">
        <f t="shared" si="221"/>
        <v>#VALUE!</v>
      </c>
      <c r="EW76" s="1111" t="e">
        <f t="shared" si="222"/>
        <v>#VALUE!</v>
      </c>
      <c r="EX76" s="1199" t="str">
        <f t="shared" si="210"/>
        <v/>
      </c>
      <c r="EY76" s="1114" t="e">
        <f t="shared" si="211"/>
        <v>#DIV/0!</v>
      </c>
      <c r="EZ76" s="1219" t="e">
        <f t="shared" si="212"/>
        <v>#DIV/0!</v>
      </c>
      <c r="FA76" s="1220" t="e">
        <f t="shared" si="213"/>
        <v>#DIV/0!</v>
      </c>
      <c r="FB76" s="1115" t="str">
        <f t="shared" si="180"/>
        <v/>
      </c>
      <c r="FC76" s="1116" t="str">
        <f t="shared" si="181"/>
        <v/>
      </c>
      <c r="FD76" s="614">
        <f t="shared" si="182"/>
        <v>0</v>
      </c>
      <c r="FE76" s="615">
        <f t="shared" si="183"/>
        <v>0</v>
      </c>
      <c r="FF76" s="969" t="b">
        <f t="shared" si="128"/>
        <v>0</v>
      </c>
      <c r="FG76" s="969" t="b">
        <f t="shared" si="129"/>
        <v>0</v>
      </c>
      <c r="FH76" s="969" t="b">
        <f t="shared" si="130"/>
        <v>0</v>
      </c>
      <c r="FI76" s="1158" t="b">
        <f t="shared" si="131"/>
        <v>0</v>
      </c>
      <c r="FJ76" s="1161" t="str">
        <f t="shared" si="140"/>
        <v/>
      </c>
      <c r="FK76" s="1160"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54" t="str">
        <f t="shared" ca="1" si="153"/>
        <v/>
      </c>
    </row>
    <row r="77" spans="78:193" ht="12.6" hidden="1" customHeight="1" x14ac:dyDescent="0.2">
      <c r="BZ77" s="360"/>
      <c r="CA77" s="360"/>
      <c r="CB77" s="435" t="str">
        <f t="shared" si="159"/>
        <v/>
      </c>
      <c r="CC77" s="436" t="str">
        <f>IF(CG37="","",VLOOKUP(CG37,SectInfo!$B:$N,12,FALSE))</f>
        <v/>
      </c>
      <c r="CD77" s="1172" t="str">
        <f>IF(ISBLANK(CZ37),IF(CG37="","",VLOOKUP(CG37,SectInfo!$B:$N,13,FALSE)),CZ37)</f>
        <v/>
      </c>
      <c r="CE77" s="437" t="str">
        <f>IF(CG37="","",IF(VLOOKUP(CG37,SectInfo!$B:$N,5,FALSE)="","R",UPPER(VLOOKUP(CG37,SectInfo!$B:$N,5,FALSE))))</f>
        <v/>
      </c>
      <c r="CF77" s="1172"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72" t="str">
        <f>IF(ISBLANK(DA37),IF(CN37="","",VLOOKUP(CN37,SectInfo!$B:$N,13,FALSE)),DA37)</f>
        <v/>
      </c>
      <c r="CN77" s="437" t="str">
        <f>IF(CN37="","",IF(VLOOKUP(CN37,SectInfo!$B:$N,5,FALSE)="","R",UPPER(VLOOKUP(CN37,SectInfo!$B:$N,5,FALSE))))</f>
        <v/>
      </c>
      <c r="CO77" s="1172"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8" t="str">
        <f t="shared" si="162"/>
        <v/>
      </c>
      <c r="CY77" s="1109">
        <f t="shared" si="185"/>
        <v>0</v>
      </c>
      <c r="CZ77" s="1109">
        <f t="shared" si="163"/>
        <v>0</v>
      </c>
      <c r="DA77" s="1109" t="str">
        <f t="shared" si="164"/>
        <v/>
      </c>
      <c r="DB77" s="1125" t="str">
        <f t="shared" si="186"/>
        <v/>
      </c>
      <c r="DC77" s="1125" t="str">
        <f t="shared" si="216"/>
        <v/>
      </c>
      <c r="DD77" s="1110">
        <f t="shared" si="187"/>
        <v>0</v>
      </c>
      <c r="DE77" s="1108">
        <f t="shared" si="188"/>
        <v>0</v>
      </c>
      <c r="DF77" s="1109">
        <f t="shared" si="165"/>
        <v>0</v>
      </c>
      <c r="DG77" s="1109" t="str">
        <f t="shared" si="166"/>
        <v/>
      </c>
      <c r="DH77" s="1125" t="str">
        <f t="shared" si="189"/>
        <v/>
      </c>
      <c r="DI77" s="1125" t="str">
        <f t="shared" si="190"/>
        <v/>
      </c>
      <c r="DJ77" s="1110">
        <f t="shared" si="191"/>
        <v>0</v>
      </c>
      <c r="DK77" s="1108" t="str">
        <f t="shared" si="192"/>
        <v/>
      </c>
      <c r="DL77" s="1108" t="str">
        <f t="shared" si="193"/>
        <v/>
      </c>
      <c r="DM77" s="1108" t="str">
        <f t="shared" si="167"/>
        <v/>
      </c>
      <c r="DN77" s="1108" t="str">
        <f t="shared" si="168"/>
        <v/>
      </c>
      <c r="DO77" s="1125" t="str">
        <f t="shared" si="217"/>
        <v>ERR</v>
      </c>
      <c r="DP77" s="1125" t="str">
        <f t="shared" si="218"/>
        <v>ERR</v>
      </c>
      <c r="DQ77" s="1108" t="str">
        <f t="shared" si="194"/>
        <v/>
      </c>
      <c r="DR77" s="1108" t="str">
        <f t="shared" si="195"/>
        <v/>
      </c>
      <c r="DS77" s="1108" t="str">
        <f t="shared" si="196"/>
        <v/>
      </c>
      <c r="DT77" s="1108" t="str">
        <f t="shared" si="169"/>
        <v/>
      </c>
      <c r="DU77" s="1108" t="str">
        <f t="shared" si="170"/>
        <v/>
      </c>
      <c r="DV77" s="1125" t="str">
        <f t="shared" si="219"/>
        <v>ERR</v>
      </c>
      <c r="DW77" s="1125" t="str">
        <f t="shared" si="220"/>
        <v>ERR</v>
      </c>
      <c r="DX77" s="1108" t="str">
        <f t="shared" si="197"/>
        <v/>
      </c>
      <c r="DY77" s="1108" t="str">
        <f t="shared" si="198"/>
        <v/>
      </c>
      <c r="DZ77" s="1108" t="str">
        <f t="shared" si="223"/>
        <v/>
      </c>
      <c r="EA77" s="1108" t="str">
        <f t="shared" si="224"/>
        <v/>
      </c>
      <c r="EB77" s="1111" t="str">
        <f t="shared" si="171"/>
        <v/>
      </c>
      <c r="EC77" s="1112" t="str">
        <f t="shared" si="199"/>
        <v/>
      </c>
      <c r="ED77" s="1111" t="str">
        <f t="shared" si="172"/>
        <v/>
      </c>
      <c r="EE77" s="1111" t="str">
        <f t="shared" si="200"/>
        <v/>
      </c>
      <c r="EF77" s="1111" t="str">
        <f t="shared" si="201"/>
        <v/>
      </c>
      <c r="EG77" s="1111" t="str">
        <f t="shared" si="173"/>
        <v/>
      </c>
      <c r="EH77" s="1111" t="str">
        <f t="shared" si="202"/>
        <v/>
      </c>
      <c r="EI77" s="1111" t="str">
        <f t="shared" si="203"/>
        <v/>
      </c>
      <c r="EJ77" s="1111" t="str">
        <f t="shared" si="174"/>
        <v/>
      </c>
      <c r="EK77" s="1109">
        <f t="shared" si="204"/>
        <v>0</v>
      </c>
      <c r="EL77" s="1109">
        <f t="shared" si="205"/>
        <v>0</v>
      </c>
      <c r="EM77" s="1109">
        <f t="shared" si="175"/>
        <v>0</v>
      </c>
      <c r="EN77" s="1109" t="str">
        <f t="shared" si="176"/>
        <v/>
      </c>
      <c r="EO77" s="1108" t="str">
        <f t="shared" si="206"/>
        <v/>
      </c>
      <c r="EP77" s="1109">
        <f t="shared" si="207"/>
        <v>0</v>
      </c>
      <c r="EQ77" s="1109">
        <f t="shared" si="208"/>
        <v>0</v>
      </c>
      <c r="ER77" s="1109">
        <f t="shared" si="177"/>
        <v>0</v>
      </c>
      <c r="ES77" s="1109" t="str">
        <f t="shared" si="178"/>
        <v/>
      </c>
      <c r="ET77" s="1108" t="str">
        <f t="shared" si="209"/>
        <v/>
      </c>
      <c r="EU77" s="1108">
        <f t="shared" si="179"/>
        <v>0</v>
      </c>
      <c r="EV77" s="1111" t="e">
        <f t="shared" si="221"/>
        <v>#VALUE!</v>
      </c>
      <c r="EW77" s="1111" t="e">
        <f t="shared" si="222"/>
        <v>#VALUE!</v>
      </c>
      <c r="EX77" s="1199" t="str">
        <f t="shared" si="210"/>
        <v/>
      </c>
      <c r="EY77" s="1114" t="e">
        <f t="shared" si="211"/>
        <v>#DIV/0!</v>
      </c>
      <c r="EZ77" s="1219" t="e">
        <f t="shared" si="212"/>
        <v>#DIV/0!</v>
      </c>
      <c r="FA77" s="1220" t="e">
        <f t="shared" si="213"/>
        <v>#DIV/0!</v>
      </c>
      <c r="FB77" s="1115" t="str">
        <f t="shared" si="180"/>
        <v/>
      </c>
      <c r="FC77" s="1116" t="str">
        <f t="shared" si="181"/>
        <v/>
      </c>
      <c r="FD77" s="614">
        <f t="shared" si="182"/>
        <v>0</v>
      </c>
      <c r="FE77" s="615">
        <f t="shared" si="183"/>
        <v>0</v>
      </c>
      <c r="FF77" s="969" t="b">
        <f t="shared" si="128"/>
        <v>0</v>
      </c>
      <c r="FG77" s="969" t="b">
        <f t="shared" si="129"/>
        <v>0</v>
      </c>
      <c r="FH77" s="969" t="b">
        <f t="shared" si="130"/>
        <v>0</v>
      </c>
      <c r="FI77" s="1158" t="b">
        <f t="shared" si="131"/>
        <v>0</v>
      </c>
      <c r="FJ77" s="1161" t="str">
        <f t="shared" si="140"/>
        <v/>
      </c>
      <c r="FK77" s="1160"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54" t="str">
        <f t="shared" ca="1" si="153"/>
        <v/>
      </c>
    </row>
    <row r="78" spans="78:193" ht="12.6" hidden="1" customHeight="1" x14ac:dyDescent="0.2">
      <c r="BZ78" s="360"/>
      <c r="CA78" s="360"/>
      <c r="CB78" s="435" t="str">
        <f t="shared" si="159"/>
        <v/>
      </c>
      <c r="CC78" s="436" t="str">
        <f>IF(CG38="","",VLOOKUP(CG38,SectInfo!$B:$N,12,FALSE))</f>
        <v/>
      </c>
      <c r="CD78" s="1172" t="str">
        <f>IF(ISBLANK(CZ38),IF(CG38="","",VLOOKUP(CG38,SectInfo!$B:$N,13,FALSE)),CZ38)</f>
        <v/>
      </c>
      <c r="CE78" s="437" t="str">
        <f>IF(CG38="","",IF(VLOOKUP(CG38,SectInfo!$B:$N,5,FALSE)="","R",UPPER(VLOOKUP(CG38,SectInfo!$B:$N,5,FALSE))))</f>
        <v/>
      </c>
      <c r="CF78" s="1172"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72" t="str">
        <f>IF(ISBLANK(DA38),IF(CN38="","",VLOOKUP(CN38,SectInfo!$B:$N,13,FALSE)),DA38)</f>
        <v/>
      </c>
      <c r="CN78" s="437" t="str">
        <f>IF(CN38="","",IF(VLOOKUP(CN38,SectInfo!$B:$N,5,FALSE)="","R",UPPER(VLOOKUP(CN38,SectInfo!$B:$N,5,FALSE))))</f>
        <v/>
      </c>
      <c r="CO78" s="1172"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8" t="str">
        <f t="shared" si="162"/>
        <v/>
      </c>
      <c r="CY78" s="1109">
        <f t="shared" si="185"/>
        <v>0</v>
      </c>
      <c r="CZ78" s="1109">
        <f t="shared" si="163"/>
        <v>0</v>
      </c>
      <c r="DA78" s="1109" t="str">
        <f t="shared" si="164"/>
        <v/>
      </c>
      <c r="DB78" s="1125" t="str">
        <f t="shared" si="186"/>
        <v/>
      </c>
      <c r="DC78" s="1125" t="str">
        <f t="shared" si="216"/>
        <v/>
      </c>
      <c r="DD78" s="1110">
        <f t="shared" si="187"/>
        <v>0</v>
      </c>
      <c r="DE78" s="1108">
        <f t="shared" si="188"/>
        <v>0</v>
      </c>
      <c r="DF78" s="1109">
        <f t="shared" si="165"/>
        <v>0</v>
      </c>
      <c r="DG78" s="1109" t="str">
        <f t="shared" si="166"/>
        <v/>
      </c>
      <c r="DH78" s="1125" t="str">
        <f t="shared" si="189"/>
        <v/>
      </c>
      <c r="DI78" s="1125" t="str">
        <f t="shared" si="190"/>
        <v/>
      </c>
      <c r="DJ78" s="1110">
        <f t="shared" si="191"/>
        <v>0</v>
      </c>
      <c r="DK78" s="1108" t="str">
        <f t="shared" si="192"/>
        <v/>
      </c>
      <c r="DL78" s="1108" t="str">
        <f t="shared" si="193"/>
        <v/>
      </c>
      <c r="DM78" s="1108" t="str">
        <f t="shared" si="167"/>
        <v/>
      </c>
      <c r="DN78" s="1108" t="str">
        <f t="shared" si="168"/>
        <v/>
      </c>
      <c r="DO78" s="1125" t="str">
        <f t="shared" si="217"/>
        <v>ERR</v>
      </c>
      <c r="DP78" s="1125" t="str">
        <f t="shared" si="218"/>
        <v>ERR</v>
      </c>
      <c r="DQ78" s="1108" t="str">
        <f t="shared" si="194"/>
        <v/>
      </c>
      <c r="DR78" s="1108" t="str">
        <f t="shared" si="195"/>
        <v/>
      </c>
      <c r="DS78" s="1108" t="str">
        <f t="shared" si="196"/>
        <v/>
      </c>
      <c r="DT78" s="1108" t="str">
        <f t="shared" si="169"/>
        <v/>
      </c>
      <c r="DU78" s="1108" t="str">
        <f t="shared" si="170"/>
        <v/>
      </c>
      <c r="DV78" s="1125" t="str">
        <f t="shared" si="219"/>
        <v>ERR</v>
      </c>
      <c r="DW78" s="1125" t="str">
        <f t="shared" si="220"/>
        <v>ERR</v>
      </c>
      <c r="DX78" s="1108" t="str">
        <f t="shared" si="197"/>
        <v/>
      </c>
      <c r="DY78" s="1108" t="str">
        <f t="shared" si="198"/>
        <v/>
      </c>
      <c r="DZ78" s="1108" t="str">
        <f t="shared" si="223"/>
        <v/>
      </c>
      <c r="EA78" s="1108" t="str">
        <f t="shared" si="224"/>
        <v/>
      </c>
      <c r="EB78" s="1111" t="str">
        <f t="shared" si="171"/>
        <v/>
      </c>
      <c r="EC78" s="1112" t="str">
        <f t="shared" si="199"/>
        <v/>
      </c>
      <c r="ED78" s="1111" t="str">
        <f t="shared" si="172"/>
        <v/>
      </c>
      <c r="EE78" s="1111" t="str">
        <f t="shared" si="200"/>
        <v/>
      </c>
      <c r="EF78" s="1111" t="str">
        <f t="shared" si="201"/>
        <v/>
      </c>
      <c r="EG78" s="1111" t="str">
        <f t="shared" si="173"/>
        <v/>
      </c>
      <c r="EH78" s="1111" t="str">
        <f t="shared" si="202"/>
        <v/>
      </c>
      <c r="EI78" s="1111" t="str">
        <f t="shared" si="203"/>
        <v/>
      </c>
      <c r="EJ78" s="1111" t="str">
        <f t="shared" si="174"/>
        <v/>
      </c>
      <c r="EK78" s="1109">
        <f t="shared" si="204"/>
        <v>0</v>
      </c>
      <c r="EL78" s="1109">
        <f t="shared" si="205"/>
        <v>0</v>
      </c>
      <c r="EM78" s="1109">
        <f t="shared" si="175"/>
        <v>0</v>
      </c>
      <c r="EN78" s="1109" t="str">
        <f t="shared" si="176"/>
        <v/>
      </c>
      <c r="EO78" s="1108" t="str">
        <f t="shared" si="206"/>
        <v/>
      </c>
      <c r="EP78" s="1109">
        <f t="shared" si="207"/>
        <v>0</v>
      </c>
      <c r="EQ78" s="1109">
        <f t="shared" si="208"/>
        <v>0</v>
      </c>
      <c r="ER78" s="1109">
        <f t="shared" si="177"/>
        <v>0</v>
      </c>
      <c r="ES78" s="1109" t="str">
        <f t="shared" si="178"/>
        <v/>
      </c>
      <c r="ET78" s="1108" t="str">
        <f t="shared" si="209"/>
        <v/>
      </c>
      <c r="EU78" s="1108">
        <f t="shared" si="179"/>
        <v>0</v>
      </c>
      <c r="EV78" s="1111" t="e">
        <f t="shared" si="221"/>
        <v>#VALUE!</v>
      </c>
      <c r="EW78" s="1111" t="e">
        <f t="shared" si="222"/>
        <v>#VALUE!</v>
      </c>
      <c r="EX78" s="1199" t="str">
        <f t="shared" si="210"/>
        <v/>
      </c>
      <c r="EY78" s="1114" t="e">
        <f t="shared" si="211"/>
        <v>#DIV/0!</v>
      </c>
      <c r="EZ78" s="1219" t="e">
        <f t="shared" si="212"/>
        <v>#DIV/0!</v>
      </c>
      <c r="FA78" s="1220" t="e">
        <f t="shared" si="213"/>
        <v>#DIV/0!</v>
      </c>
      <c r="FB78" s="1115" t="str">
        <f t="shared" si="180"/>
        <v/>
      </c>
      <c r="FC78" s="1116" t="str">
        <f t="shared" si="181"/>
        <v/>
      </c>
      <c r="FD78" s="614">
        <f t="shared" si="182"/>
        <v>0</v>
      </c>
      <c r="FE78" s="615">
        <f t="shared" si="183"/>
        <v>0</v>
      </c>
      <c r="FF78" s="969" t="b">
        <f t="shared" si="128"/>
        <v>0</v>
      </c>
      <c r="FG78" s="969" t="b">
        <f t="shared" si="129"/>
        <v>0</v>
      </c>
      <c r="FH78" s="969" t="b">
        <f t="shared" si="130"/>
        <v>0</v>
      </c>
      <c r="FI78" s="1158" t="b">
        <f t="shared" si="131"/>
        <v>0</v>
      </c>
      <c r="FJ78" s="1161" t="str">
        <f t="shared" si="140"/>
        <v/>
      </c>
      <c r="FK78" s="1160"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54" t="str">
        <f t="shared" ca="1" si="153"/>
        <v/>
      </c>
    </row>
    <row r="79" spans="78:193" ht="12.6" hidden="1" customHeight="1" x14ac:dyDescent="0.2">
      <c r="BZ79" s="360"/>
      <c r="CA79" s="360"/>
      <c r="CB79" s="435" t="str">
        <f t="shared" si="159"/>
        <v/>
      </c>
      <c r="CC79" s="436" t="str">
        <f>IF(CG39="","",VLOOKUP(CG39,SectInfo!$B:$N,12,FALSE))</f>
        <v/>
      </c>
      <c r="CD79" s="1172" t="str">
        <f>IF(ISBLANK(CZ39),IF(CG39="","",VLOOKUP(CG39,SectInfo!$B:$N,13,FALSE)),CZ39)</f>
        <v/>
      </c>
      <c r="CE79" s="437" t="str">
        <f>IF(CG39="","",IF(VLOOKUP(CG39,SectInfo!$B:$N,5,FALSE)="","R",UPPER(VLOOKUP(CG39,SectInfo!$B:$N,5,FALSE))))</f>
        <v/>
      </c>
      <c r="CF79" s="1172"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72" t="str">
        <f>IF(ISBLANK(DA39),IF(CN39="","",VLOOKUP(CN39,SectInfo!$B:$N,13,FALSE)),DA39)</f>
        <v/>
      </c>
      <c r="CN79" s="437" t="str">
        <f>IF(CN39="","",IF(VLOOKUP(CN39,SectInfo!$B:$N,5,FALSE)="","R",UPPER(VLOOKUP(CN39,SectInfo!$B:$N,5,FALSE))))</f>
        <v/>
      </c>
      <c r="CO79" s="1172"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8" t="str">
        <f t="shared" si="162"/>
        <v/>
      </c>
      <c r="CY79" s="1109">
        <f t="shared" si="185"/>
        <v>0</v>
      </c>
      <c r="CZ79" s="1109">
        <f t="shared" si="163"/>
        <v>0</v>
      </c>
      <c r="DA79" s="1109" t="str">
        <f t="shared" si="164"/>
        <v/>
      </c>
      <c r="DB79" s="1125" t="str">
        <f t="shared" si="186"/>
        <v/>
      </c>
      <c r="DC79" s="1125" t="str">
        <f t="shared" si="216"/>
        <v/>
      </c>
      <c r="DD79" s="1110">
        <f t="shared" si="187"/>
        <v>0</v>
      </c>
      <c r="DE79" s="1108">
        <f t="shared" si="188"/>
        <v>0</v>
      </c>
      <c r="DF79" s="1109">
        <f t="shared" si="165"/>
        <v>0</v>
      </c>
      <c r="DG79" s="1109" t="str">
        <f t="shared" si="166"/>
        <v/>
      </c>
      <c r="DH79" s="1125" t="str">
        <f t="shared" si="189"/>
        <v/>
      </c>
      <c r="DI79" s="1125" t="str">
        <f t="shared" si="190"/>
        <v/>
      </c>
      <c r="DJ79" s="1110">
        <f t="shared" si="191"/>
        <v>0</v>
      </c>
      <c r="DK79" s="1108" t="str">
        <f t="shared" si="192"/>
        <v/>
      </c>
      <c r="DL79" s="1108" t="str">
        <f t="shared" si="193"/>
        <v/>
      </c>
      <c r="DM79" s="1108" t="str">
        <f t="shared" si="167"/>
        <v/>
      </c>
      <c r="DN79" s="1108" t="str">
        <f t="shared" si="168"/>
        <v/>
      </c>
      <c r="DO79" s="1125" t="str">
        <f t="shared" si="217"/>
        <v>ERR</v>
      </c>
      <c r="DP79" s="1125" t="str">
        <f t="shared" si="218"/>
        <v>ERR</v>
      </c>
      <c r="DQ79" s="1108" t="str">
        <f t="shared" si="194"/>
        <v/>
      </c>
      <c r="DR79" s="1108" t="str">
        <f t="shared" si="195"/>
        <v/>
      </c>
      <c r="DS79" s="1108" t="str">
        <f t="shared" si="196"/>
        <v/>
      </c>
      <c r="DT79" s="1108" t="str">
        <f t="shared" si="169"/>
        <v/>
      </c>
      <c r="DU79" s="1108" t="str">
        <f t="shared" si="170"/>
        <v/>
      </c>
      <c r="DV79" s="1125" t="str">
        <f t="shared" si="219"/>
        <v>ERR</v>
      </c>
      <c r="DW79" s="1125" t="str">
        <f t="shared" si="220"/>
        <v>ERR</v>
      </c>
      <c r="DX79" s="1108" t="str">
        <f t="shared" si="197"/>
        <v/>
      </c>
      <c r="DY79" s="1108" t="str">
        <f t="shared" si="198"/>
        <v/>
      </c>
      <c r="DZ79" s="1108" t="str">
        <f t="shared" si="223"/>
        <v/>
      </c>
      <c r="EA79" s="1108" t="str">
        <f t="shared" si="224"/>
        <v/>
      </c>
      <c r="EB79" s="1111" t="str">
        <f t="shared" si="171"/>
        <v/>
      </c>
      <c r="EC79" s="1112" t="str">
        <f t="shared" si="199"/>
        <v/>
      </c>
      <c r="ED79" s="1111" t="str">
        <f t="shared" si="172"/>
        <v/>
      </c>
      <c r="EE79" s="1111" t="str">
        <f t="shared" si="200"/>
        <v/>
      </c>
      <c r="EF79" s="1111" t="str">
        <f t="shared" si="201"/>
        <v/>
      </c>
      <c r="EG79" s="1111" t="str">
        <f t="shared" si="173"/>
        <v/>
      </c>
      <c r="EH79" s="1111" t="str">
        <f t="shared" si="202"/>
        <v/>
      </c>
      <c r="EI79" s="1111" t="str">
        <f t="shared" si="203"/>
        <v/>
      </c>
      <c r="EJ79" s="1111" t="str">
        <f t="shared" si="174"/>
        <v/>
      </c>
      <c r="EK79" s="1109">
        <f t="shared" si="204"/>
        <v>0</v>
      </c>
      <c r="EL79" s="1109">
        <f t="shared" si="205"/>
        <v>0</v>
      </c>
      <c r="EM79" s="1109">
        <f t="shared" si="175"/>
        <v>0</v>
      </c>
      <c r="EN79" s="1109" t="str">
        <f t="shared" si="176"/>
        <v/>
      </c>
      <c r="EO79" s="1108" t="str">
        <f t="shared" si="206"/>
        <v/>
      </c>
      <c r="EP79" s="1109">
        <f t="shared" si="207"/>
        <v>0</v>
      </c>
      <c r="EQ79" s="1109">
        <f t="shared" si="208"/>
        <v>0</v>
      </c>
      <c r="ER79" s="1109">
        <f t="shared" si="177"/>
        <v>0</v>
      </c>
      <c r="ES79" s="1109" t="str">
        <f t="shared" si="178"/>
        <v/>
      </c>
      <c r="ET79" s="1108" t="str">
        <f t="shared" si="209"/>
        <v/>
      </c>
      <c r="EU79" s="1108">
        <f t="shared" si="179"/>
        <v>0</v>
      </c>
      <c r="EV79" s="1111" t="e">
        <f t="shared" si="221"/>
        <v>#VALUE!</v>
      </c>
      <c r="EW79" s="1111" t="e">
        <f t="shared" si="222"/>
        <v>#VALUE!</v>
      </c>
      <c r="EX79" s="1199" t="str">
        <f t="shared" si="210"/>
        <v/>
      </c>
      <c r="EY79" s="1114" t="e">
        <f t="shared" si="211"/>
        <v>#DIV/0!</v>
      </c>
      <c r="EZ79" s="1219" t="e">
        <f t="shared" si="212"/>
        <v>#DIV/0!</v>
      </c>
      <c r="FA79" s="1220" t="e">
        <f t="shared" si="213"/>
        <v>#DIV/0!</v>
      </c>
      <c r="FB79" s="1115" t="str">
        <f t="shared" si="180"/>
        <v/>
      </c>
      <c r="FC79" s="1116" t="str">
        <f t="shared" si="181"/>
        <v/>
      </c>
      <c r="FD79" s="614">
        <f t="shared" si="182"/>
        <v>0</v>
      </c>
      <c r="FE79" s="615">
        <f t="shared" si="183"/>
        <v>0</v>
      </c>
      <c r="FF79" s="969" t="b">
        <f t="shared" si="128"/>
        <v>0</v>
      </c>
      <c r="FG79" s="969" t="b">
        <f t="shared" si="129"/>
        <v>0</v>
      </c>
      <c r="FH79" s="969" t="b">
        <f t="shared" si="130"/>
        <v>0</v>
      </c>
      <c r="FI79" s="1158" t="b">
        <f t="shared" si="131"/>
        <v>0</v>
      </c>
      <c r="FJ79" s="1161" t="str">
        <f t="shared" si="140"/>
        <v/>
      </c>
      <c r="FK79" s="1160"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54" t="str">
        <f t="shared" ca="1" si="153"/>
        <v/>
      </c>
    </row>
    <row r="80" spans="78:193" ht="12.6" hidden="1" customHeight="1" x14ac:dyDescent="0.2">
      <c r="BZ80" s="360"/>
      <c r="CA80" s="360"/>
      <c r="CB80" s="435" t="str">
        <f t="shared" si="159"/>
        <v/>
      </c>
      <c r="CC80" s="436" t="str">
        <f>IF(CG40="","",VLOOKUP(CG40,SectInfo!$B:$N,12,FALSE))</f>
        <v/>
      </c>
      <c r="CD80" s="1172" t="str">
        <f>IF(ISBLANK(CZ40),IF(CG40="","",VLOOKUP(CG40,SectInfo!$B:$N,13,FALSE)),CZ40)</f>
        <v/>
      </c>
      <c r="CE80" s="437" t="str">
        <f>IF(CG40="","",IF(VLOOKUP(CG40,SectInfo!$B:$N,5,FALSE)="","R",UPPER(VLOOKUP(CG40,SectInfo!$B:$N,5,FALSE))))</f>
        <v/>
      </c>
      <c r="CF80" s="1172"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72" t="str">
        <f>IF(ISBLANK(DA40),IF(CN40="","",VLOOKUP(CN40,SectInfo!$B:$N,13,FALSE)),DA40)</f>
        <v/>
      </c>
      <c r="CN80" s="437" t="str">
        <f>IF(CN40="","",IF(VLOOKUP(CN40,SectInfo!$B:$N,5,FALSE)="","R",UPPER(VLOOKUP(CN40,SectInfo!$B:$N,5,FALSE))))</f>
        <v/>
      </c>
      <c r="CO80" s="1172"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8" t="str">
        <f t="shared" si="162"/>
        <v/>
      </c>
      <c r="CY80" s="1109">
        <f t="shared" si="185"/>
        <v>0</v>
      </c>
      <c r="CZ80" s="1109">
        <f t="shared" si="163"/>
        <v>0</v>
      </c>
      <c r="DA80" s="1109" t="str">
        <f t="shared" si="164"/>
        <v/>
      </c>
      <c r="DB80" s="1125" t="str">
        <f t="shared" si="186"/>
        <v/>
      </c>
      <c r="DC80" s="1125" t="str">
        <f t="shared" si="216"/>
        <v/>
      </c>
      <c r="DD80" s="1110">
        <f t="shared" si="187"/>
        <v>0</v>
      </c>
      <c r="DE80" s="1108">
        <f t="shared" si="188"/>
        <v>0</v>
      </c>
      <c r="DF80" s="1109">
        <f t="shared" si="165"/>
        <v>0</v>
      </c>
      <c r="DG80" s="1109" t="str">
        <f t="shared" si="166"/>
        <v/>
      </c>
      <c r="DH80" s="1125" t="str">
        <f t="shared" si="189"/>
        <v/>
      </c>
      <c r="DI80" s="1125" t="str">
        <f t="shared" si="190"/>
        <v/>
      </c>
      <c r="DJ80" s="1110">
        <f t="shared" si="191"/>
        <v>0</v>
      </c>
      <c r="DK80" s="1108" t="str">
        <f t="shared" si="192"/>
        <v/>
      </c>
      <c r="DL80" s="1108" t="str">
        <f t="shared" si="193"/>
        <v/>
      </c>
      <c r="DM80" s="1108" t="str">
        <f t="shared" si="167"/>
        <v/>
      </c>
      <c r="DN80" s="1108" t="str">
        <f t="shared" si="168"/>
        <v/>
      </c>
      <c r="DO80" s="1125" t="str">
        <f t="shared" si="217"/>
        <v>ERR</v>
      </c>
      <c r="DP80" s="1125" t="str">
        <f t="shared" si="218"/>
        <v>ERR</v>
      </c>
      <c r="DQ80" s="1108" t="str">
        <f t="shared" si="194"/>
        <v/>
      </c>
      <c r="DR80" s="1108" t="str">
        <f t="shared" si="195"/>
        <v/>
      </c>
      <c r="DS80" s="1108" t="str">
        <f t="shared" si="196"/>
        <v/>
      </c>
      <c r="DT80" s="1108" t="str">
        <f t="shared" si="169"/>
        <v/>
      </c>
      <c r="DU80" s="1108" t="str">
        <f t="shared" si="170"/>
        <v/>
      </c>
      <c r="DV80" s="1125" t="str">
        <f t="shared" si="219"/>
        <v>ERR</v>
      </c>
      <c r="DW80" s="1125" t="str">
        <f t="shared" si="220"/>
        <v>ERR</v>
      </c>
      <c r="DX80" s="1108" t="str">
        <f t="shared" si="197"/>
        <v/>
      </c>
      <c r="DY80" s="1108" t="str">
        <f t="shared" si="198"/>
        <v/>
      </c>
      <c r="DZ80" s="1108" t="str">
        <f t="shared" si="223"/>
        <v/>
      </c>
      <c r="EA80" s="1108" t="str">
        <f t="shared" si="224"/>
        <v/>
      </c>
      <c r="EB80" s="1111" t="str">
        <f t="shared" si="171"/>
        <v/>
      </c>
      <c r="EC80" s="1112" t="str">
        <f t="shared" si="199"/>
        <v/>
      </c>
      <c r="ED80" s="1111" t="str">
        <f t="shared" si="172"/>
        <v/>
      </c>
      <c r="EE80" s="1111" t="str">
        <f t="shared" si="200"/>
        <v/>
      </c>
      <c r="EF80" s="1111" t="str">
        <f t="shared" si="201"/>
        <v/>
      </c>
      <c r="EG80" s="1111" t="str">
        <f t="shared" si="173"/>
        <v/>
      </c>
      <c r="EH80" s="1111" t="str">
        <f t="shared" si="202"/>
        <v/>
      </c>
      <c r="EI80" s="1111" t="str">
        <f t="shared" si="203"/>
        <v/>
      </c>
      <c r="EJ80" s="1111" t="str">
        <f t="shared" si="174"/>
        <v/>
      </c>
      <c r="EK80" s="1109">
        <f t="shared" si="204"/>
        <v>0</v>
      </c>
      <c r="EL80" s="1109">
        <f t="shared" si="205"/>
        <v>0</v>
      </c>
      <c r="EM80" s="1109">
        <f t="shared" si="175"/>
        <v>0</v>
      </c>
      <c r="EN80" s="1109" t="str">
        <f t="shared" si="176"/>
        <v/>
      </c>
      <c r="EO80" s="1108" t="str">
        <f t="shared" si="206"/>
        <v/>
      </c>
      <c r="EP80" s="1109">
        <f t="shared" si="207"/>
        <v>0</v>
      </c>
      <c r="EQ80" s="1109">
        <f t="shared" si="208"/>
        <v>0</v>
      </c>
      <c r="ER80" s="1109">
        <f t="shared" si="177"/>
        <v>0</v>
      </c>
      <c r="ES80" s="1109" t="str">
        <f t="shared" si="178"/>
        <v/>
      </c>
      <c r="ET80" s="1108" t="str">
        <f t="shared" si="209"/>
        <v/>
      </c>
      <c r="EU80" s="1108">
        <f t="shared" si="179"/>
        <v>0</v>
      </c>
      <c r="EV80" s="1111" t="e">
        <f t="shared" si="221"/>
        <v>#VALUE!</v>
      </c>
      <c r="EW80" s="1111" t="e">
        <f t="shared" si="222"/>
        <v>#VALUE!</v>
      </c>
      <c r="EX80" s="1199" t="str">
        <f t="shared" si="210"/>
        <v/>
      </c>
      <c r="EY80" s="1114" t="e">
        <f t="shared" si="211"/>
        <v>#DIV/0!</v>
      </c>
      <c r="EZ80" s="1219" t="e">
        <f t="shared" si="212"/>
        <v>#DIV/0!</v>
      </c>
      <c r="FA80" s="1220" t="e">
        <f t="shared" si="213"/>
        <v>#DIV/0!</v>
      </c>
      <c r="FB80" s="1115" t="str">
        <f t="shared" si="180"/>
        <v/>
      </c>
      <c r="FC80" s="1116" t="str">
        <f t="shared" si="181"/>
        <v/>
      </c>
      <c r="FD80" s="614">
        <f t="shared" si="182"/>
        <v>0</v>
      </c>
      <c r="FE80" s="615">
        <f t="shared" si="183"/>
        <v>0</v>
      </c>
      <c r="FF80" s="969" t="b">
        <f t="shared" si="128"/>
        <v>0</v>
      </c>
      <c r="FG80" s="969" t="b">
        <f t="shared" si="129"/>
        <v>0</v>
      </c>
      <c r="FH80" s="969" t="b">
        <f t="shared" si="130"/>
        <v>0</v>
      </c>
      <c r="FI80" s="1158" t="b">
        <f t="shared" si="131"/>
        <v>0</v>
      </c>
      <c r="FJ80" s="1161" t="str">
        <f t="shared" si="140"/>
        <v/>
      </c>
      <c r="FK80" s="1160"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54" t="str">
        <f t="shared" ca="1" si="153"/>
        <v/>
      </c>
    </row>
    <row r="81" spans="1:238" ht="12.6" hidden="1" customHeight="1" x14ac:dyDescent="0.2">
      <c r="BZ81" s="360"/>
      <c r="CA81" s="360"/>
      <c r="CB81" s="435" t="str">
        <f t="shared" si="159"/>
        <v/>
      </c>
      <c r="CC81" s="436" t="str">
        <f>IF(CG41="","",VLOOKUP(CG41,SectInfo!$B:$N,12,FALSE))</f>
        <v/>
      </c>
      <c r="CD81" s="1172" t="str">
        <f>IF(ISBLANK(CZ41),IF(CG41="","",VLOOKUP(CG41,SectInfo!$B:$N,13,FALSE)),CZ41)</f>
        <v/>
      </c>
      <c r="CE81" s="437" t="str">
        <f>IF(CG41="","",IF(VLOOKUP(CG41,SectInfo!$B:$N,5,FALSE)="","R",UPPER(VLOOKUP(CG41,SectInfo!$B:$N,5,FALSE))))</f>
        <v/>
      </c>
      <c r="CF81" s="1172"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72" t="str">
        <f>IF(ISBLANK(DA41),IF(CN41="","",VLOOKUP(CN41,SectInfo!$B:$N,13,FALSE)),DA41)</f>
        <v/>
      </c>
      <c r="CN81" s="437" t="str">
        <f>IF(CN41="","",IF(VLOOKUP(CN41,SectInfo!$B:$N,5,FALSE)="","R",UPPER(VLOOKUP(CN41,SectInfo!$B:$N,5,FALSE))))</f>
        <v/>
      </c>
      <c r="CO81" s="1172"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8" t="str">
        <f t="shared" si="162"/>
        <v/>
      </c>
      <c r="CY81" s="1109">
        <f t="shared" si="185"/>
        <v>0</v>
      </c>
      <c r="CZ81" s="1109">
        <f t="shared" si="163"/>
        <v>0</v>
      </c>
      <c r="DA81" s="1109" t="str">
        <f t="shared" si="164"/>
        <v/>
      </c>
      <c r="DB81" s="1125" t="str">
        <f t="shared" si="186"/>
        <v/>
      </c>
      <c r="DC81" s="1125" t="str">
        <f t="shared" si="216"/>
        <v/>
      </c>
      <c r="DD81" s="1110">
        <f t="shared" si="187"/>
        <v>0</v>
      </c>
      <c r="DE81" s="1108">
        <f t="shared" si="188"/>
        <v>0</v>
      </c>
      <c r="DF81" s="1109">
        <f t="shared" si="165"/>
        <v>0</v>
      </c>
      <c r="DG81" s="1109" t="str">
        <f t="shared" si="166"/>
        <v/>
      </c>
      <c r="DH81" s="1125" t="str">
        <f t="shared" si="189"/>
        <v/>
      </c>
      <c r="DI81" s="1125" t="str">
        <f t="shared" si="190"/>
        <v/>
      </c>
      <c r="DJ81" s="1110">
        <f t="shared" si="191"/>
        <v>0</v>
      </c>
      <c r="DK81" s="1108" t="str">
        <f t="shared" si="192"/>
        <v/>
      </c>
      <c r="DL81" s="1108" t="str">
        <f t="shared" si="193"/>
        <v/>
      </c>
      <c r="DM81" s="1108" t="str">
        <f t="shared" si="167"/>
        <v/>
      </c>
      <c r="DN81" s="1108" t="str">
        <f t="shared" si="168"/>
        <v/>
      </c>
      <c r="DO81" s="1125" t="str">
        <f t="shared" si="217"/>
        <v>ERR</v>
      </c>
      <c r="DP81" s="1125" t="str">
        <f t="shared" si="218"/>
        <v>ERR</v>
      </c>
      <c r="DQ81" s="1108" t="str">
        <f t="shared" si="194"/>
        <v/>
      </c>
      <c r="DR81" s="1108" t="str">
        <f t="shared" si="195"/>
        <v/>
      </c>
      <c r="DS81" s="1108" t="str">
        <f t="shared" si="196"/>
        <v/>
      </c>
      <c r="DT81" s="1108" t="str">
        <f t="shared" si="169"/>
        <v/>
      </c>
      <c r="DU81" s="1108" t="str">
        <f t="shared" si="170"/>
        <v/>
      </c>
      <c r="DV81" s="1125" t="str">
        <f t="shared" si="219"/>
        <v>ERR</v>
      </c>
      <c r="DW81" s="1125" t="str">
        <f t="shared" si="220"/>
        <v>ERR</v>
      </c>
      <c r="DX81" s="1108" t="str">
        <f t="shared" si="197"/>
        <v/>
      </c>
      <c r="DY81" s="1108" t="str">
        <f t="shared" si="198"/>
        <v/>
      </c>
      <c r="DZ81" s="1108" t="str">
        <f t="shared" si="223"/>
        <v/>
      </c>
      <c r="EA81" s="1108" t="str">
        <f t="shared" si="224"/>
        <v/>
      </c>
      <c r="EB81" s="1111" t="str">
        <f t="shared" si="171"/>
        <v/>
      </c>
      <c r="EC81" s="1112" t="str">
        <f t="shared" si="199"/>
        <v/>
      </c>
      <c r="ED81" s="1111" t="str">
        <f t="shared" si="172"/>
        <v/>
      </c>
      <c r="EE81" s="1111" t="str">
        <f t="shared" si="200"/>
        <v/>
      </c>
      <c r="EF81" s="1111" t="str">
        <f t="shared" si="201"/>
        <v/>
      </c>
      <c r="EG81" s="1111" t="str">
        <f t="shared" si="173"/>
        <v/>
      </c>
      <c r="EH81" s="1111" t="str">
        <f t="shared" si="202"/>
        <v/>
      </c>
      <c r="EI81" s="1111" t="str">
        <f t="shared" si="203"/>
        <v/>
      </c>
      <c r="EJ81" s="1111" t="str">
        <f t="shared" si="174"/>
        <v/>
      </c>
      <c r="EK81" s="1109">
        <f t="shared" si="204"/>
        <v>0</v>
      </c>
      <c r="EL81" s="1109">
        <f t="shared" si="205"/>
        <v>0</v>
      </c>
      <c r="EM81" s="1109">
        <f t="shared" si="175"/>
        <v>0</v>
      </c>
      <c r="EN81" s="1109" t="str">
        <f t="shared" si="176"/>
        <v/>
      </c>
      <c r="EO81" s="1108" t="str">
        <f t="shared" si="206"/>
        <v/>
      </c>
      <c r="EP81" s="1109">
        <f t="shared" si="207"/>
        <v>0</v>
      </c>
      <c r="EQ81" s="1109">
        <f t="shared" si="208"/>
        <v>0</v>
      </c>
      <c r="ER81" s="1109">
        <f t="shared" si="177"/>
        <v>0</v>
      </c>
      <c r="ES81" s="1109" t="str">
        <f t="shared" si="178"/>
        <v/>
      </c>
      <c r="ET81" s="1108" t="str">
        <f t="shared" si="209"/>
        <v/>
      </c>
      <c r="EU81" s="1108">
        <f t="shared" si="179"/>
        <v>0</v>
      </c>
      <c r="EV81" s="1111" t="e">
        <f t="shared" si="221"/>
        <v>#VALUE!</v>
      </c>
      <c r="EW81" s="1111" t="e">
        <f t="shared" si="222"/>
        <v>#VALUE!</v>
      </c>
      <c r="EX81" s="1199" t="str">
        <f t="shared" si="210"/>
        <v/>
      </c>
      <c r="EY81" s="1114" t="e">
        <f t="shared" si="211"/>
        <v>#DIV/0!</v>
      </c>
      <c r="EZ81" s="1219" t="e">
        <f t="shared" si="212"/>
        <v>#DIV/0!</v>
      </c>
      <c r="FA81" s="1220" t="e">
        <f t="shared" si="213"/>
        <v>#DIV/0!</v>
      </c>
      <c r="FB81" s="1115" t="str">
        <f t="shared" si="180"/>
        <v/>
      </c>
      <c r="FC81" s="1116" t="str">
        <f t="shared" si="181"/>
        <v/>
      </c>
      <c r="FD81" s="614">
        <f t="shared" si="182"/>
        <v>0</v>
      </c>
      <c r="FE81" s="615">
        <f t="shared" si="183"/>
        <v>0</v>
      </c>
      <c r="FF81" s="969" t="b">
        <f t="shared" si="128"/>
        <v>0</v>
      </c>
      <c r="FG81" s="969" t="b">
        <f t="shared" si="129"/>
        <v>0</v>
      </c>
      <c r="FH81" s="969" t="b">
        <f t="shared" si="130"/>
        <v>0</v>
      </c>
      <c r="FI81" s="1158" t="b">
        <f t="shared" si="131"/>
        <v>0</v>
      </c>
      <c r="FJ81" s="1161" t="str">
        <f t="shared" si="140"/>
        <v/>
      </c>
      <c r="FK81" s="1160"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54" t="str">
        <f t="shared" ca="1" si="153"/>
        <v/>
      </c>
    </row>
    <row r="82" spans="1:238" ht="12.6" hidden="1" customHeight="1" x14ac:dyDescent="0.2">
      <c r="BZ82" s="360"/>
      <c r="CA82" s="360"/>
      <c r="CB82" s="435" t="str">
        <f t="shared" si="159"/>
        <v/>
      </c>
      <c r="CC82" s="436" t="str">
        <f>IF(CG42="","",VLOOKUP(CG42,SectInfo!$B:$N,12,FALSE))</f>
        <v/>
      </c>
      <c r="CD82" s="1172" t="str">
        <f>IF(ISBLANK(CZ42),IF(CG42="","",VLOOKUP(CG42,SectInfo!$B:$N,13,FALSE)),CZ42)</f>
        <v/>
      </c>
      <c r="CE82" s="437" t="str">
        <f>IF(CG42="","",IF(VLOOKUP(CG42,SectInfo!$B:$N,5,FALSE)="","R",UPPER(VLOOKUP(CG42,SectInfo!$B:$N,5,FALSE))))</f>
        <v/>
      </c>
      <c r="CF82" s="1172"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72" t="str">
        <f>IF(ISBLANK(DA42),IF(CN42="","",VLOOKUP(CN42,SectInfo!$B:$N,13,FALSE)),DA42)</f>
        <v/>
      </c>
      <c r="CN82" s="437" t="str">
        <f>IF(CN42="","",IF(VLOOKUP(CN42,SectInfo!$B:$N,5,FALSE)="","R",UPPER(VLOOKUP(CN42,SectInfo!$B:$N,5,FALSE))))</f>
        <v/>
      </c>
      <c r="CO82" s="1172"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8" t="str">
        <f t="shared" si="162"/>
        <v/>
      </c>
      <c r="CY82" s="1109">
        <f t="shared" si="185"/>
        <v>0</v>
      </c>
      <c r="CZ82" s="1109">
        <f t="shared" si="163"/>
        <v>0</v>
      </c>
      <c r="DA82" s="1109" t="str">
        <f t="shared" si="164"/>
        <v/>
      </c>
      <c r="DB82" s="1125" t="str">
        <f t="shared" si="186"/>
        <v/>
      </c>
      <c r="DC82" s="1125" t="str">
        <f t="shared" si="216"/>
        <v/>
      </c>
      <c r="DD82" s="1110">
        <f t="shared" si="187"/>
        <v>0</v>
      </c>
      <c r="DE82" s="1108">
        <f t="shared" si="188"/>
        <v>0</v>
      </c>
      <c r="DF82" s="1109">
        <f t="shared" si="165"/>
        <v>0</v>
      </c>
      <c r="DG82" s="1109" t="str">
        <f t="shared" si="166"/>
        <v/>
      </c>
      <c r="DH82" s="1125" t="str">
        <f t="shared" si="189"/>
        <v/>
      </c>
      <c r="DI82" s="1125" t="str">
        <f t="shared" si="190"/>
        <v/>
      </c>
      <c r="DJ82" s="1110">
        <f t="shared" si="191"/>
        <v>0</v>
      </c>
      <c r="DK82" s="1108" t="str">
        <f t="shared" si="192"/>
        <v/>
      </c>
      <c r="DL82" s="1108" t="str">
        <f t="shared" si="193"/>
        <v/>
      </c>
      <c r="DM82" s="1108" t="str">
        <f t="shared" si="167"/>
        <v/>
      </c>
      <c r="DN82" s="1108" t="str">
        <f t="shared" si="168"/>
        <v/>
      </c>
      <c r="DO82" s="1125" t="str">
        <f t="shared" si="217"/>
        <v>ERR</v>
      </c>
      <c r="DP82" s="1125" t="str">
        <f t="shared" si="218"/>
        <v>ERR</v>
      </c>
      <c r="DQ82" s="1108" t="str">
        <f t="shared" si="194"/>
        <v/>
      </c>
      <c r="DR82" s="1108" t="str">
        <f t="shared" si="195"/>
        <v/>
      </c>
      <c r="DS82" s="1108" t="str">
        <f t="shared" si="196"/>
        <v/>
      </c>
      <c r="DT82" s="1108" t="str">
        <f t="shared" si="169"/>
        <v/>
      </c>
      <c r="DU82" s="1108" t="str">
        <f t="shared" si="170"/>
        <v/>
      </c>
      <c r="DV82" s="1125" t="str">
        <f t="shared" si="219"/>
        <v>ERR</v>
      </c>
      <c r="DW82" s="1125" t="str">
        <f t="shared" si="220"/>
        <v>ERR</v>
      </c>
      <c r="DX82" s="1108" t="str">
        <f t="shared" si="197"/>
        <v/>
      </c>
      <c r="DY82" s="1108" t="str">
        <f t="shared" si="198"/>
        <v/>
      </c>
      <c r="DZ82" s="1108" t="str">
        <f t="shared" si="223"/>
        <v/>
      </c>
      <c r="EA82" s="1108" t="str">
        <f t="shared" si="224"/>
        <v/>
      </c>
      <c r="EB82" s="1111" t="str">
        <f t="shared" si="171"/>
        <v/>
      </c>
      <c r="EC82" s="1112" t="str">
        <f t="shared" si="199"/>
        <v/>
      </c>
      <c r="ED82" s="1111" t="str">
        <f t="shared" si="172"/>
        <v/>
      </c>
      <c r="EE82" s="1111" t="str">
        <f t="shared" si="200"/>
        <v/>
      </c>
      <c r="EF82" s="1111" t="str">
        <f t="shared" si="201"/>
        <v/>
      </c>
      <c r="EG82" s="1111" t="str">
        <f t="shared" si="173"/>
        <v/>
      </c>
      <c r="EH82" s="1111" t="str">
        <f t="shared" si="202"/>
        <v/>
      </c>
      <c r="EI82" s="1111" t="str">
        <f t="shared" si="203"/>
        <v/>
      </c>
      <c r="EJ82" s="1111" t="str">
        <f t="shared" si="174"/>
        <v/>
      </c>
      <c r="EK82" s="1109">
        <f t="shared" si="204"/>
        <v>0</v>
      </c>
      <c r="EL82" s="1109">
        <f t="shared" si="205"/>
        <v>0</v>
      </c>
      <c r="EM82" s="1109">
        <f t="shared" si="175"/>
        <v>0</v>
      </c>
      <c r="EN82" s="1109" t="str">
        <f t="shared" si="176"/>
        <v/>
      </c>
      <c r="EO82" s="1108" t="str">
        <f t="shared" si="206"/>
        <v/>
      </c>
      <c r="EP82" s="1109">
        <f t="shared" si="207"/>
        <v>0</v>
      </c>
      <c r="EQ82" s="1109">
        <f t="shared" si="208"/>
        <v>0</v>
      </c>
      <c r="ER82" s="1109">
        <f t="shared" si="177"/>
        <v>0</v>
      </c>
      <c r="ES82" s="1109" t="str">
        <f t="shared" si="178"/>
        <v/>
      </c>
      <c r="ET82" s="1108" t="str">
        <f t="shared" si="209"/>
        <v/>
      </c>
      <c r="EU82" s="1108">
        <f t="shared" si="179"/>
        <v>0</v>
      </c>
      <c r="EV82" s="1111" t="e">
        <f t="shared" si="221"/>
        <v>#VALUE!</v>
      </c>
      <c r="EW82" s="1111" t="e">
        <f t="shared" si="222"/>
        <v>#VALUE!</v>
      </c>
      <c r="EX82" s="1199" t="str">
        <f t="shared" si="210"/>
        <v/>
      </c>
      <c r="EY82" s="1114" t="e">
        <f t="shared" si="211"/>
        <v>#DIV/0!</v>
      </c>
      <c r="EZ82" s="1219" t="e">
        <f t="shared" si="212"/>
        <v>#DIV/0!</v>
      </c>
      <c r="FA82" s="1220" t="e">
        <f t="shared" si="213"/>
        <v>#DIV/0!</v>
      </c>
      <c r="FB82" s="1115" t="str">
        <f t="shared" si="180"/>
        <v/>
      </c>
      <c r="FC82" s="1116" t="str">
        <f t="shared" si="181"/>
        <v/>
      </c>
      <c r="FD82" s="614">
        <f t="shared" si="182"/>
        <v>0</v>
      </c>
      <c r="FE82" s="615">
        <f t="shared" si="183"/>
        <v>0</v>
      </c>
      <c r="FF82" s="969" t="b">
        <f t="shared" si="128"/>
        <v>0</v>
      </c>
      <c r="FG82" s="969" t="b">
        <f t="shared" si="129"/>
        <v>0</v>
      </c>
      <c r="FH82" s="969" t="b">
        <f t="shared" si="130"/>
        <v>0</v>
      </c>
      <c r="FI82" s="1158" t="b">
        <f t="shared" si="131"/>
        <v>0</v>
      </c>
      <c r="FJ82" s="1161" t="str">
        <f t="shared" si="140"/>
        <v/>
      </c>
      <c r="FK82" s="1160"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54" t="str">
        <f t="shared" ca="1" si="153"/>
        <v/>
      </c>
    </row>
    <row r="83" spans="1:238" ht="12.6" hidden="1" customHeight="1" x14ac:dyDescent="0.2">
      <c r="BZ83" s="360"/>
      <c r="CA83" s="360"/>
      <c r="CB83" s="435" t="str">
        <f t="shared" si="159"/>
        <v/>
      </c>
      <c r="CC83" s="436" t="str">
        <f>IF(CG43="","",VLOOKUP(CG43,SectInfo!$B:$N,12,FALSE))</f>
        <v/>
      </c>
      <c r="CD83" s="1172" t="str">
        <f>IF(ISBLANK(CZ43),IF(CG43="","",VLOOKUP(CG43,SectInfo!$B:$N,13,FALSE)),CZ43)</f>
        <v/>
      </c>
      <c r="CE83" s="437" t="str">
        <f>IF(CG43="","",IF(VLOOKUP(CG43,SectInfo!$B:$N,5,FALSE)="","R",UPPER(VLOOKUP(CG43,SectInfo!$B:$N,5,FALSE))))</f>
        <v/>
      </c>
      <c r="CF83" s="1172"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72" t="str">
        <f>IF(ISBLANK(DA43),IF(CN43="","",VLOOKUP(CN43,SectInfo!$B:$N,13,FALSE)),DA43)</f>
        <v/>
      </c>
      <c r="CN83" s="437" t="str">
        <f>IF(CN43="","",IF(VLOOKUP(CN43,SectInfo!$B:$N,5,FALSE)="","R",UPPER(VLOOKUP(CN43,SectInfo!$B:$N,5,FALSE))))</f>
        <v/>
      </c>
      <c r="CO83" s="1172"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8" t="str">
        <f t="shared" si="162"/>
        <v/>
      </c>
      <c r="CY83" s="1109">
        <f t="shared" si="185"/>
        <v>0</v>
      </c>
      <c r="CZ83" s="1109">
        <f t="shared" si="163"/>
        <v>0</v>
      </c>
      <c r="DA83" s="1109" t="str">
        <f t="shared" si="164"/>
        <v/>
      </c>
      <c r="DB83" s="1125" t="str">
        <f t="shared" si="186"/>
        <v/>
      </c>
      <c r="DC83" s="1125" t="str">
        <f t="shared" si="216"/>
        <v/>
      </c>
      <c r="DD83" s="1110">
        <f t="shared" si="187"/>
        <v>0</v>
      </c>
      <c r="DE83" s="1108">
        <f t="shared" si="188"/>
        <v>0</v>
      </c>
      <c r="DF83" s="1109">
        <f t="shared" si="165"/>
        <v>0</v>
      </c>
      <c r="DG83" s="1109" t="str">
        <f t="shared" si="166"/>
        <v/>
      </c>
      <c r="DH83" s="1125" t="str">
        <f t="shared" si="189"/>
        <v/>
      </c>
      <c r="DI83" s="1125" t="str">
        <f t="shared" si="190"/>
        <v/>
      </c>
      <c r="DJ83" s="1110">
        <f t="shared" si="191"/>
        <v>0</v>
      </c>
      <c r="DK83" s="1108" t="str">
        <f t="shared" si="192"/>
        <v/>
      </c>
      <c r="DL83" s="1108" t="str">
        <f t="shared" si="193"/>
        <v/>
      </c>
      <c r="DM83" s="1108" t="str">
        <f t="shared" si="167"/>
        <v/>
      </c>
      <c r="DN83" s="1108" t="str">
        <f t="shared" si="168"/>
        <v/>
      </c>
      <c r="DO83" s="1125" t="str">
        <f t="shared" si="217"/>
        <v>ERR</v>
      </c>
      <c r="DP83" s="1125" t="str">
        <f t="shared" si="218"/>
        <v>ERR</v>
      </c>
      <c r="DQ83" s="1108" t="str">
        <f t="shared" si="194"/>
        <v/>
      </c>
      <c r="DR83" s="1108" t="str">
        <f t="shared" si="195"/>
        <v/>
      </c>
      <c r="DS83" s="1108" t="str">
        <f t="shared" si="196"/>
        <v/>
      </c>
      <c r="DT83" s="1108" t="str">
        <f t="shared" si="169"/>
        <v/>
      </c>
      <c r="DU83" s="1108" t="str">
        <f t="shared" si="170"/>
        <v/>
      </c>
      <c r="DV83" s="1125" t="str">
        <f t="shared" si="219"/>
        <v>ERR</v>
      </c>
      <c r="DW83" s="1125" t="str">
        <f t="shared" si="220"/>
        <v>ERR</v>
      </c>
      <c r="DX83" s="1108" t="str">
        <f t="shared" si="197"/>
        <v/>
      </c>
      <c r="DY83" s="1108" t="str">
        <f t="shared" si="198"/>
        <v/>
      </c>
      <c r="DZ83" s="1108" t="str">
        <f t="shared" si="223"/>
        <v/>
      </c>
      <c r="EA83" s="1108" t="str">
        <f t="shared" si="224"/>
        <v/>
      </c>
      <c r="EB83" s="1111" t="str">
        <f t="shared" si="171"/>
        <v/>
      </c>
      <c r="EC83" s="1112" t="str">
        <f t="shared" si="199"/>
        <v/>
      </c>
      <c r="ED83" s="1111" t="str">
        <f t="shared" si="172"/>
        <v/>
      </c>
      <c r="EE83" s="1111" t="str">
        <f t="shared" si="200"/>
        <v/>
      </c>
      <c r="EF83" s="1111" t="str">
        <f t="shared" si="201"/>
        <v/>
      </c>
      <c r="EG83" s="1111" t="str">
        <f t="shared" si="173"/>
        <v/>
      </c>
      <c r="EH83" s="1111" t="str">
        <f t="shared" si="202"/>
        <v/>
      </c>
      <c r="EI83" s="1111" t="str">
        <f t="shared" si="203"/>
        <v/>
      </c>
      <c r="EJ83" s="1111" t="str">
        <f t="shared" si="174"/>
        <v/>
      </c>
      <c r="EK83" s="1109">
        <f t="shared" si="204"/>
        <v>0</v>
      </c>
      <c r="EL83" s="1109">
        <f t="shared" si="205"/>
        <v>0</v>
      </c>
      <c r="EM83" s="1109">
        <f t="shared" si="175"/>
        <v>0</v>
      </c>
      <c r="EN83" s="1109" t="str">
        <f t="shared" si="176"/>
        <v/>
      </c>
      <c r="EO83" s="1108" t="str">
        <f t="shared" si="206"/>
        <v/>
      </c>
      <c r="EP83" s="1109">
        <f t="shared" si="207"/>
        <v>0</v>
      </c>
      <c r="EQ83" s="1109">
        <f t="shared" si="208"/>
        <v>0</v>
      </c>
      <c r="ER83" s="1109">
        <f t="shared" si="177"/>
        <v>0</v>
      </c>
      <c r="ES83" s="1109" t="str">
        <f t="shared" si="178"/>
        <v/>
      </c>
      <c r="ET83" s="1108" t="str">
        <f t="shared" si="209"/>
        <v/>
      </c>
      <c r="EU83" s="1108">
        <f t="shared" si="179"/>
        <v>0</v>
      </c>
      <c r="EV83" s="1111" t="e">
        <f t="shared" si="221"/>
        <v>#VALUE!</v>
      </c>
      <c r="EW83" s="1111" t="e">
        <f t="shared" si="222"/>
        <v>#VALUE!</v>
      </c>
      <c r="EX83" s="1199" t="str">
        <f t="shared" si="210"/>
        <v/>
      </c>
      <c r="EY83" s="1114" t="e">
        <f t="shared" si="211"/>
        <v>#DIV/0!</v>
      </c>
      <c r="EZ83" s="1219" t="e">
        <f t="shared" si="212"/>
        <v>#DIV/0!</v>
      </c>
      <c r="FA83" s="1220" t="e">
        <f t="shared" si="213"/>
        <v>#DIV/0!</v>
      </c>
      <c r="FB83" s="1115" t="str">
        <f t="shared" si="180"/>
        <v/>
      </c>
      <c r="FC83" s="1116" t="str">
        <f t="shared" si="181"/>
        <v/>
      </c>
      <c r="FD83" s="614">
        <f t="shared" si="182"/>
        <v>0</v>
      </c>
      <c r="FE83" s="615">
        <f t="shared" si="183"/>
        <v>0</v>
      </c>
      <c r="FF83" s="969" t="b">
        <f t="shared" si="128"/>
        <v>0</v>
      </c>
      <c r="FG83" s="969" t="b">
        <f t="shared" si="129"/>
        <v>0</v>
      </c>
      <c r="FH83" s="969" t="b">
        <f t="shared" si="130"/>
        <v>0</v>
      </c>
      <c r="FI83" s="1158" t="b">
        <f t="shared" si="131"/>
        <v>0</v>
      </c>
      <c r="FJ83" s="1161" t="str">
        <f t="shared" si="140"/>
        <v/>
      </c>
      <c r="FK83" s="1160"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54" t="str">
        <f t="shared" ca="1" si="153"/>
        <v/>
      </c>
    </row>
    <row r="84" spans="1:238" ht="12.6" hidden="1" customHeight="1" x14ac:dyDescent="0.2">
      <c r="BZ84" s="360"/>
      <c r="CA84" s="360"/>
      <c r="CB84" s="435" t="str">
        <f t="shared" si="159"/>
        <v/>
      </c>
      <c r="CC84" s="436" t="str">
        <f>IF(CG44="","",VLOOKUP(CG44,SectInfo!$B:$N,12,FALSE))</f>
        <v/>
      </c>
      <c r="CD84" s="1172" t="str">
        <f>IF(ISBLANK(CZ44),IF(CG44="","",VLOOKUP(CG44,SectInfo!$B:$N,13,FALSE)),CZ44)</f>
        <v/>
      </c>
      <c r="CE84" s="437" t="str">
        <f>IF(CG44="","",IF(VLOOKUP(CG44,SectInfo!$B:$N,5,FALSE)="","R",UPPER(VLOOKUP(CG44,SectInfo!$B:$N,5,FALSE))))</f>
        <v/>
      </c>
      <c r="CF84" s="1172"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72" t="str">
        <f>IF(ISBLANK(DA44),IF(CN44="","",VLOOKUP(CN44,SectInfo!$B:$N,13,FALSE)),DA44)</f>
        <v/>
      </c>
      <c r="CN84" s="437" t="str">
        <f>IF(CN44="","",IF(VLOOKUP(CN44,SectInfo!$B:$N,5,FALSE)="","R",UPPER(VLOOKUP(CN44,SectInfo!$B:$N,5,FALSE))))</f>
        <v/>
      </c>
      <c r="CO84" s="1172"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8" t="str">
        <f t="shared" si="162"/>
        <v/>
      </c>
      <c r="CY84" s="1109">
        <f t="shared" si="185"/>
        <v>0</v>
      </c>
      <c r="CZ84" s="1109">
        <f t="shared" si="163"/>
        <v>0</v>
      </c>
      <c r="DA84" s="1109" t="str">
        <f t="shared" si="164"/>
        <v/>
      </c>
      <c r="DB84" s="1125" t="str">
        <f t="shared" si="186"/>
        <v/>
      </c>
      <c r="DC84" s="1125" t="str">
        <f t="shared" si="216"/>
        <v/>
      </c>
      <c r="DD84" s="1110">
        <f t="shared" si="187"/>
        <v>0</v>
      </c>
      <c r="DE84" s="1108">
        <f t="shared" si="188"/>
        <v>0</v>
      </c>
      <c r="DF84" s="1109">
        <f t="shared" si="165"/>
        <v>0</v>
      </c>
      <c r="DG84" s="1109" t="str">
        <f t="shared" si="166"/>
        <v/>
      </c>
      <c r="DH84" s="1125" t="str">
        <f t="shared" si="189"/>
        <v/>
      </c>
      <c r="DI84" s="1125" t="str">
        <f t="shared" si="190"/>
        <v/>
      </c>
      <c r="DJ84" s="1110">
        <f t="shared" si="191"/>
        <v>0</v>
      </c>
      <c r="DK84" s="1108" t="str">
        <f t="shared" si="192"/>
        <v/>
      </c>
      <c r="DL84" s="1108" t="str">
        <f t="shared" si="193"/>
        <v/>
      </c>
      <c r="DM84" s="1108" t="str">
        <f t="shared" si="167"/>
        <v/>
      </c>
      <c r="DN84" s="1108" t="str">
        <f t="shared" si="168"/>
        <v/>
      </c>
      <c r="DO84" s="1125" t="str">
        <f t="shared" si="217"/>
        <v>ERR</v>
      </c>
      <c r="DP84" s="1125" t="str">
        <f t="shared" si="218"/>
        <v>ERR</v>
      </c>
      <c r="DQ84" s="1108" t="str">
        <f t="shared" si="194"/>
        <v/>
      </c>
      <c r="DR84" s="1108" t="str">
        <f t="shared" si="195"/>
        <v/>
      </c>
      <c r="DS84" s="1108" t="str">
        <f t="shared" si="196"/>
        <v/>
      </c>
      <c r="DT84" s="1108" t="str">
        <f t="shared" si="169"/>
        <v/>
      </c>
      <c r="DU84" s="1108" t="str">
        <f t="shared" si="170"/>
        <v/>
      </c>
      <c r="DV84" s="1125" t="str">
        <f t="shared" si="219"/>
        <v>ERR</v>
      </c>
      <c r="DW84" s="1125" t="str">
        <f t="shared" si="220"/>
        <v>ERR</v>
      </c>
      <c r="DX84" s="1108" t="str">
        <f t="shared" si="197"/>
        <v/>
      </c>
      <c r="DY84" s="1108" t="str">
        <f t="shared" si="198"/>
        <v/>
      </c>
      <c r="DZ84" s="1108" t="str">
        <f t="shared" si="223"/>
        <v/>
      </c>
      <c r="EA84" s="1108" t="str">
        <f t="shared" si="224"/>
        <v/>
      </c>
      <c r="EB84" s="1111" t="str">
        <f t="shared" si="171"/>
        <v/>
      </c>
      <c r="EC84" s="1112" t="str">
        <f t="shared" si="199"/>
        <v/>
      </c>
      <c r="ED84" s="1111" t="str">
        <f t="shared" si="172"/>
        <v/>
      </c>
      <c r="EE84" s="1111" t="str">
        <f t="shared" si="200"/>
        <v/>
      </c>
      <c r="EF84" s="1111" t="str">
        <f t="shared" si="201"/>
        <v/>
      </c>
      <c r="EG84" s="1111" t="str">
        <f t="shared" si="173"/>
        <v/>
      </c>
      <c r="EH84" s="1111" t="str">
        <f t="shared" si="202"/>
        <v/>
      </c>
      <c r="EI84" s="1111" t="str">
        <f t="shared" si="203"/>
        <v/>
      </c>
      <c r="EJ84" s="1111" t="str">
        <f t="shared" si="174"/>
        <v/>
      </c>
      <c r="EK84" s="1109">
        <f t="shared" si="204"/>
        <v>0</v>
      </c>
      <c r="EL84" s="1109">
        <f t="shared" si="205"/>
        <v>0</v>
      </c>
      <c r="EM84" s="1109">
        <f t="shared" si="175"/>
        <v>0</v>
      </c>
      <c r="EN84" s="1109" t="str">
        <f t="shared" si="176"/>
        <v/>
      </c>
      <c r="EO84" s="1108" t="str">
        <f t="shared" si="206"/>
        <v/>
      </c>
      <c r="EP84" s="1109">
        <f t="shared" si="207"/>
        <v>0</v>
      </c>
      <c r="EQ84" s="1109">
        <f t="shared" si="208"/>
        <v>0</v>
      </c>
      <c r="ER84" s="1109">
        <f t="shared" si="177"/>
        <v>0</v>
      </c>
      <c r="ES84" s="1109" t="str">
        <f t="shared" si="178"/>
        <v/>
      </c>
      <c r="ET84" s="1108" t="str">
        <f t="shared" si="209"/>
        <v/>
      </c>
      <c r="EU84" s="1108">
        <f t="shared" si="179"/>
        <v>0</v>
      </c>
      <c r="EV84" s="1111" t="e">
        <f t="shared" si="221"/>
        <v>#VALUE!</v>
      </c>
      <c r="EW84" s="1111" t="e">
        <f t="shared" si="222"/>
        <v>#VALUE!</v>
      </c>
      <c r="EX84" s="1199" t="str">
        <f t="shared" si="210"/>
        <v/>
      </c>
      <c r="EY84" s="1114" t="e">
        <f t="shared" si="211"/>
        <v>#DIV/0!</v>
      </c>
      <c r="EZ84" s="1219" t="e">
        <f t="shared" si="212"/>
        <v>#DIV/0!</v>
      </c>
      <c r="FA84" s="1220" t="e">
        <f t="shared" si="213"/>
        <v>#DIV/0!</v>
      </c>
      <c r="FB84" s="1115" t="str">
        <f t="shared" si="180"/>
        <v/>
      </c>
      <c r="FC84" s="1116" t="str">
        <f t="shared" si="181"/>
        <v/>
      </c>
      <c r="FD84" s="614">
        <f t="shared" si="182"/>
        <v>0</v>
      </c>
      <c r="FE84" s="615">
        <f t="shared" si="183"/>
        <v>0</v>
      </c>
      <c r="FF84" s="969" t="b">
        <f t="shared" si="128"/>
        <v>0</v>
      </c>
      <c r="FG84" s="969" t="b">
        <f t="shared" si="129"/>
        <v>0</v>
      </c>
      <c r="FH84" s="969" t="b">
        <f t="shared" si="130"/>
        <v>0</v>
      </c>
      <c r="FI84" s="1158" t="b">
        <f t="shared" si="131"/>
        <v>0</v>
      </c>
      <c r="FJ84" s="1161" t="str">
        <f t="shared" si="140"/>
        <v/>
      </c>
      <c r="FK84" s="1160"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54" t="str">
        <f t="shared" ca="1" si="153"/>
        <v/>
      </c>
    </row>
    <row r="85" spans="1:238" ht="12.6" hidden="1" customHeight="1" thickBot="1" x14ac:dyDescent="0.25">
      <c r="BZ85" s="360"/>
      <c r="CA85" s="360"/>
      <c r="CB85" s="784" t="str">
        <f t="shared" si="159"/>
        <v/>
      </c>
      <c r="CC85" s="785" t="str">
        <f>IF(CG45="","",VLOOKUP(CG45,SectInfo!$B:$N,12,FALSE))</f>
        <v/>
      </c>
      <c r="CD85" s="1173" t="str">
        <f>IF(ISBLANK(CZ45),IF(CG45="","",VLOOKUP(CG45,SectInfo!$B:$N,13,FALSE)),CZ45)</f>
        <v/>
      </c>
      <c r="CE85" s="786" t="str">
        <f>IF(CG45="","",IF(VLOOKUP(CG45,SectInfo!$B:$N,5,FALSE)="","R",UPPER(VLOOKUP(CG45,SectInfo!$B:$N,5,FALSE))))</f>
        <v/>
      </c>
      <c r="CF85" s="1173"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73" t="str">
        <f>IF(ISBLANK(DA45),IF(CN45="","",VLOOKUP(CN45,SectInfo!$B:$N,13,FALSE)),DA45)</f>
        <v/>
      </c>
      <c r="CN85" s="786" t="str">
        <f>IF(CN45="","",IF(VLOOKUP(CN45,SectInfo!$B:$N,5,FALSE)="","R",UPPER(VLOOKUP(CN45,SectInfo!$B:$N,5,FALSE))))</f>
        <v/>
      </c>
      <c r="CO85" s="1173"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7" t="str">
        <f t="shared" si="162"/>
        <v/>
      </c>
      <c r="CY85" s="1118">
        <f t="shared" si="185"/>
        <v>0</v>
      </c>
      <c r="CZ85" s="1118">
        <f t="shared" si="163"/>
        <v>0</v>
      </c>
      <c r="DA85" s="1118" t="str">
        <f t="shared" si="164"/>
        <v/>
      </c>
      <c r="DB85" s="1127" t="str">
        <f t="shared" si="186"/>
        <v/>
      </c>
      <c r="DC85" s="1127" t="str">
        <f t="shared" si="216"/>
        <v/>
      </c>
      <c r="DD85" s="1119">
        <f t="shared" si="187"/>
        <v>0</v>
      </c>
      <c r="DE85" s="1117">
        <f t="shared" si="188"/>
        <v>0</v>
      </c>
      <c r="DF85" s="1118">
        <f t="shared" si="165"/>
        <v>0</v>
      </c>
      <c r="DG85" s="1118" t="str">
        <f t="shared" si="166"/>
        <v/>
      </c>
      <c r="DH85" s="1127" t="str">
        <f t="shared" si="189"/>
        <v/>
      </c>
      <c r="DI85" s="1127" t="str">
        <f t="shared" si="190"/>
        <v/>
      </c>
      <c r="DJ85" s="1119">
        <f t="shared" si="191"/>
        <v>0</v>
      </c>
      <c r="DK85" s="1117" t="str">
        <f t="shared" si="192"/>
        <v/>
      </c>
      <c r="DL85" s="1117" t="str">
        <f t="shared" si="193"/>
        <v/>
      </c>
      <c r="DM85" s="1117" t="str">
        <f t="shared" si="167"/>
        <v/>
      </c>
      <c r="DN85" s="1117" t="str">
        <f t="shared" si="168"/>
        <v/>
      </c>
      <c r="DO85" s="1127" t="str">
        <f t="shared" si="217"/>
        <v>ERR</v>
      </c>
      <c r="DP85" s="1127" t="str">
        <f t="shared" si="218"/>
        <v>ERR</v>
      </c>
      <c r="DQ85" s="1117" t="str">
        <f t="shared" si="194"/>
        <v/>
      </c>
      <c r="DR85" s="1117" t="str">
        <f t="shared" si="195"/>
        <v/>
      </c>
      <c r="DS85" s="1117" t="str">
        <f t="shared" si="196"/>
        <v/>
      </c>
      <c r="DT85" s="1117" t="str">
        <f t="shared" si="169"/>
        <v/>
      </c>
      <c r="DU85" s="1117" t="str">
        <f t="shared" si="170"/>
        <v/>
      </c>
      <c r="DV85" s="1127" t="str">
        <f t="shared" si="219"/>
        <v>ERR</v>
      </c>
      <c r="DW85" s="1127" t="str">
        <f t="shared" si="220"/>
        <v>ERR</v>
      </c>
      <c r="DX85" s="1117" t="str">
        <f t="shared" si="197"/>
        <v/>
      </c>
      <c r="DY85" s="1117" t="str">
        <f t="shared" si="198"/>
        <v/>
      </c>
      <c r="DZ85" s="1117" t="str">
        <f t="shared" si="223"/>
        <v/>
      </c>
      <c r="EA85" s="1117" t="str">
        <f t="shared" si="224"/>
        <v/>
      </c>
      <c r="EB85" s="1120" t="str">
        <f t="shared" si="171"/>
        <v/>
      </c>
      <c r="EC85" s="1121" t="str">
        <f t="shared" si="199"/>
        <v/>
      </c>
      <c r="ED85" s="1120" t="str">
        <f t="shared" si="172"/>
        <v/>
      </c>
      <c r="EE85" s="1120" t="str">
        <f t="shared" si="200"/>
        <v/>
      </c>
      <c r="EF85" s="1120" t="str">
        <f t="shared" si="201"/>
        <v/>
      </c>
      <c r="EG85" s="1120" t="str">
        <f t="shared" si="173"/>
        <v/>
      </c>
      <c r="EH85" s="1120" t="str">
        <f t="shared" si="202"/>
        <v/>
      </c>
      <c r="EI85" s="1120" t="str">
        <f t="shared" si="203"/>
        <v/>
      </c>
      <c r="EJ85" s="1120" t="str">
        <f t="shared" si="174"/>
        <v/>
      </c>
      <c r="EK85" s="1118">
        <f t="shared" si="204"/>
        <v>0</v>
      </c>
      <c r="EL85" s="1118">
        <f t="shared" si="205"/>
        <v>0</v>
      </c>
      <c r="EM85" s="1118">
        <f t="shared" si="175"/>
        <v>0</v>
      </c>
      <c r="EN85" s="1118" t="str">
        <f t="shared" si="176"/>
        <v/>
      </c>
      <c r="EO85" s="1117" t="str">
        <f t="shared" si="206"/>
        <v/>
      </c>
      <c r="EP85" s="1118">
        <f t="shared" si="207"/>
        <v>0</v>
      </c>
      <c r="EQ85" s="1118">
        <f t="shared" si="208"/>
        <v>0</v>
      </c>
      <c r="ER85" s="1118">
        <f t="shared" si="177"/>
        <v>0</v>
      </c>
      <c r="ES85" s="1118" t="str">
        <f t="shared" si="178"/>
        <v/>
      </c>
      <c r="ET85" s="1117" t="str">
        <f t="shared" si="209"/>
        <v/>
      </c>
      <c r="EU85" s="1117">
        <f t="shared" si="179"/>
        <v>0</v>
      </c>
      <c r="EV85" s="1120" t="e">
        <f t="shared" si="221"/>
        <v>#VALUE!</v>
      </c>
      <c r="EW85" s="1120" t="e">
        <f t="shared" si="222"/>
        <v>#VALUE!</v>
      </c>
      <c r="EX85" s="1200" t="str">
        <f t="shared" si="210"/>
        <v/>
      </c>
      <c r="EY85" s="1122" t="e">
        <f t="shared" si="211"/>
        <v>#DIV/0!</v>
      </c>
      <c r="EZ85" s="1221" t="e">
        <f t="shared" si="212"/>
        <v>#DIV/0!</v>
      </c>
      <c r="FA85" s="1222" t="e">
        <f t="shared" si="213"/>
        <v>#DIV/0!</v>
      </c>
      <c r="FB85" s="1123" t="str">
        <f t="shared" si="180"/>
        <v/>
      </c>
      <c r="FC85" s="1124" t="str">
        <f t="shared" si="181"/>
        <v/>
      </c>
      <c r="FD85" s="616">
        <f t="shared" si="182"/>
        <v>0</v>
      </c>
      <c r="FE85" s="617">
        <f t="shared" si="183"/>
        <v>0</v>
      </c>
      <c r="FF85" s="969" t="b">
        <f t="shared" si="128"/>
        <v>0</v>
      </c>
      <c r="FG85" s="969" t="b">
        <f t="shared" si="129"/>
        <v>0</v>
      </c>
      <c r="FH85" s="969" t="b">
        <f t="shared" si="130"/>
        <v>0</v>
      </c>
      <c r="FI85" s="1158" t="b">
        <f t="shared" si="131"/>
        <v>0</v>
      </c>
      <c r="FJ85" s="1161" t="str">
        <f t="shared" si="140"/>
        <v/>
      </c>
      <c r="FK85" s="1160"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55" t="str">
        <f t="shared" ca="1" si="153"/>
        <v/>
      </c>
    </row>
    <row r="86" spans="1:238" ht="12.6" hidden="1" customHeight="1" x14ac:dyDescent="0.2">
      <c r="Z86" s="1464"/>
      <c r="AA86" s="1464"/>
      <c r="AB86" s="1464"/>
    </row>
    <row r="87" spans="1:238" ht="12.6" hidden="1" customHeight="1" x14ac:dyDescent="0.25">
      <c r="A87" s="1583" t="str">
        <f>IF(ISBLANK(CB87),"",CB87)</f>
        <v/>
      </c>
      <c r="B87" s="1584" t="str">
        <f>IF(ISBLANK(CC87),"",CC87)</f>
        <v/>
      </c>
      <c r="C87" s="1585" t="str">
        <f>IF(ISBLANK(CD87),"",CD87)</f>
        <v/>
      </c>
      <c r="D87" s="1586" t="str">
        <f>IF(CV127="","",TRUNC(CV127/12))</f>
        <v/>
      </c>
      <c r="E87" s="1587" t="str">
        <f>IF(CV127="","",CV127-(D87*12))</f>
        <v/>
      </c>
      <c r="F87" s="1588" t="str">
        <f>IF(ISBLANK(CY87),"",CY87)</f>
        <v/>
      </c>
      <c r="G87" s="1589" t="str">
        <f>IF(DD127=0,"",TRUNC(DD127/12))</f>
        <v/>
      </c>
      <c r="H87" s="1590" t="str">
        <f>IF(DD127=0,"",DD127-(G87*12))</f>
        <v/>
      </c>
      <c r="I87" s="1591" t="str">
        <f>IF(DD127=0,"",CE127)</f>
        <v/>
      </c>
      <c r="J87" s="1586" t="str">
        <f>IF(DJ127=0,"",TRUNC(DJ127/12))</f>
        <v/>
      </c>
      <c r="K87" s="1590" t="str">
        <f>IF(DJ127=0,"",DJ127-(J87*12))</f>
        <v/>
      </c>
      <c r="L87" s="1592" t="str">
        <f>IF(DJ127=0,"",CN127)</f>
        <v/>
      </c>
      <c r="M87" s="1593" t="str">
        <f>IF(CW127="","",CW127)</f>
        <v/>
      </c>
      <c r="N87" s="1594" t="str">
        <f>IF(CX127="","",CX127)</f>
        <v/>
      </c>
      <c r="O87" s="1589" t="str">
        <f>IF(DZ127="","",IF(AND(DZ127&gt;-12,DZ127&lt;0),-0.000001,TRUNC(DZ127/12)))</f>
        <v/>
      </c>
      <c r="P87" s="1590" t="str">
        <f>IF(DZ127="","",IF(AND(DZ127&lt;0,DZ127-(O87*12)=0),-0.00001,DZ127-(O87*12)))</f>
        <v/>
      </c>
      <c r="Q87" s="1586" t="str">
        <f>IF(EA127="","",IF(AND(EA127&gt;-12,EA127&lt;0),-0.000001,TRUNC(EA127/12)))</f>
        <v/>
      </c>
      <c r="R87" s="1587" t="str">
        <f>IF(EA127="","",IF(AND(EA127&lt;0,EA127-(Q87*12)=0),-0.00001,EA127-(Q87*12)))</f>
        <v/>
      </c>
      <c r="S87" s="1595" t="str">
        <f>IF(DR127="","",IF(DR127="ERR",TRUNC(DQ127/12),TRUNC(DR127/12)))</f>
        <v/>
      </c>
      <c r="T87" s="1590" t="str">
        <f>IF(DR127="","",IF(DR127="ERR",DQ127-(S87*12),DR127-(S87*12)))</f>
        <v/>
      </c>
      <c r="U87" s="1586" t="str">
        <f>IF(DY127="","",IF(DY127="ERR",TRUNC(DX127/12),TRUNC(DY127/12)))</f>
        <v/>
      </c>
      <c r="V87" s="1590" t="str">
        <f>IF(DY127="","",IF(DY127="ERR",DX127-(U87*12),DY127-(U87*12)))</f>
        <v/>
      </c>
      <c r="W87" s="1594">
        <f>IF(EC127="",0,EC127)</f>
        <v>0</v>
      </c>
      <c r="X87" s="1596" t="str">
        <f>IF(EN127="","",EN127)</f>
        <v/>
      </c>
      <c r="Y87" s="1597" t="str">
        <f>IF(ES127="","",ES127)</f>
        <v/>
      </c>
      <c r="Z87" s="1604" t="str">
        <f>CONCATENATE(IF(CW87="","",CONCATENATE("[",SUBSTITUTE(CW87," ",""),"] ")),IF(CV87="","",CONCATENATE("(",SUBSTITUTE(CV87," ",""),")")))</f>
        <v/>
      </c>
      <c r="AA87" s="1598" t="str">
        <f>IF(ISBLANK(CX87),"",CX87)</f>
        <v/>
      </c>
      <c r="AB87" s="1264" t="str">
        <f>IF(ISBLANK(DH87),"",DH87)</f>
        <v/>
      </c>
      <c r="AC87" s="1260" t="str">
        <f>IF(ISBLANK(DI87),"",DI87)</f>
        <v/>
      </c>
      <c r="AD87" s="1261" t="str">
        <f>IF(FV127="","",TRUNC(FV127/12))</f>
        <v/>
      </c>
      <c r="AE87" s="1262" t="str">
        <f>IF(FV127="","",FV127-(AD87*12))</f>
        <v/>
      </c>
      <c r="AF87" s="1260" t="str">
        <f>IF(FO127="","",FO127)</f>
        <v/>
      </c>
      <c r="AG87" s="1261" t="str">
        <f>IF(FX127="","",TRUNC(FX127/12))</f>
        <v/>
      </c>
      <c r="AH87" s="1262" t="str">
        <f>IF(FX127="","",FX127-(AG87*12))</f>
        <v/>
      </c>
      <c r="AI87" s="1261" t="str">
        <f>IF(FZ127="","",TRUNC(FZ127/12))</f>
        <v/>
      </c>
      <c r="AJ87" s="1262" t="str">
        <f>IF(FZ127="","",FZ127-(AI87*12))</f>
        <v/>
      </c>
      <c r="AK87" s="1599" t="str">
        <f>IF(ISBLANK(DO87),"",DO87)</f>
        <v/>
      </c>
      <c r="AL87" s="1600" t="str">
        <f>IF(ISBLANK(DP87),"",DP87)</f>
        <v/>
      </c>
      <c r="AM87" s="1601" t="str">
        <f>IF(ISBLANK(DQ87),"",DQ87)</f>
        <v/>
      </c>
      <c r="AN87" s="1260" t="str">
        <f>IF(ISBLANK(DR87),"",DR87)</f>
        <v/>
      </c>
      <c r="AO87" s="1409" t="str">
        <f>IF(ISBLANK(DS87),"",DS87)</f>
        <v/>
      </c>
      <c r="AP87" s="1327" t="str">
        <f>IF(OR(GD127="",GD127=0),"",GD127)</f>
        <v/>
      </c>
      <c r="AQ87" s="1602" t="str">
        <f>IF(OR(GE127="",GE127=0),"",GE127)</f>
        <v/>
      </c>
      <c r="AR87" s="1263" t="str">
        <f>IF(GF127="","",IF(ISTEXT(GF127),"P",TRUNC(GF127/12)))</f>
        <v/>
      </c>
      <c r="AS87" s="1262" t="str">
        <f>IF(GF127="","",IF(AR87="P",GF127,GF127-(AR87*12)))</f>
        <v/>
      </c>
      <c r="AT87" s="1603" t="str">
        <f>IF(ISBLANK(DX87),"",DX87)</f>
        <v/>
      </c>
      <c r="AU87" s="1410" t="str">
        <f>IF(ISBLANK(DY87),"",DY87)</f>
        <v/>
      </c>
      <c r="AV87" s="1328" t="str">
        <f>IF(GG127="","",IF(ISTEXT(GG127),"P",TRUNC(GG127/12)))</f>
        <v/>
      </c>
      <c r="AW87" s="1262" t="str">
        <f>IF(GG127="","",IF(AV87="P",GG127,GG127-(AV87*12)))</f>
        <v/>
      </c>
      <c r="AX87" s="1603" t="str">
        <f>IF(ISBLANK(EB87),"",EB87)</f>
        <v/>
      </c>
      <c r="AY87" s="1410" t="str">
        <f>IF(ISBLANK(EC87),"",EC87)</f>
        <v/>
      </c>
      <c r="AZ87" s="1328" t="str">
        <f>IF(GH127="","",IF(ISTEXT(GH127),"P",TRUNC(GH127/12)))</f>
        <v/>
      </c>
      <c r="BA87" s="1262" t="str">
        <f>IF(GH127="","",IF(AZ87="P",GH127,GH127-(AZ87*12)))</f>
        <v/>
      </c>
      <c r="BB87" s="1603" t="str">
        <f>IF(ISBLANK(EF87),"",EF87)</f>
        <v/>
      </c>
      <c r="BC87" s="1410" t="str">
        <f>IF(ISBLANK(EG87),"",EG87)</f>
        <v/>
      </c>
      <c r="BD87" s="1328" t="str">
        <f>IF(GI127="","",IF(ISTEXT(GI127),"P",TRUNC(GI127/12)))</f>
        <v/>
      </c>
      <c r="BE87" s="1262" t="str">
        <f>IF(GI127="","",IF(BD87="P",GI127,GI127-(BD87*12)))</f>
        <v/>
      </c>
      <c r="BF87" s="1603" t="str">
        <f>IF(ISBLANK(EJ87),"",EJ87)</f>
        <v/>
      </c>
      <c r="BG87" s="1410" t="str">
        <f>IF(ISBLANK(EK87),"",EK87)</f>
        <v/>
      </c>
      <c r="BH87" s="322">
        <v>12.5</v>
      </c>
      <c r="BJ87" s="1258" t="str">
        <f>IF(AND(OR(ISBLANK(A87),A87=""),Z87&lt;&gt;""),BJ86,IF(OR(ISBLANK(A87),A87=""),"",A87))</f>
        <v/>
      </c>
      <c r="BK87" s="1256" t="b">
        <f>IF($BK$1,IF(BJ87=BJ86,BK86,IF(AND(BJ87&lt;&gt;"",OR(B87=0,B87="")),TRUE,FALSE)),FALSE)</f>
        <v>0</v>
      </c>
      <c r="BL87" s="1251" t="b">
        <v>0</v>
      </c>
      <c r="BM87" s="1251">
        <f>IF(C87="",0,VALUE(IF(BN87="","",LEFT(C87,SEARCH(BN87,C87)-1))))</f>
        <v>0</v>
      </c>
      <c r="BN87" s="1251">
        <f>IF(C87="",0,IF(NOT(ISERROR(SEARCH("VG",C87))),"VG",IF(NOT(ISERROR(SEARCH("BG",C87))),"BG",IF(NOT(ISERROR(SEARCH("G",C87))),"G"))))</f>
        <v>0</v>
      </c>
      <c r="BO87" s="1251">
        <f>IF(C87="",0,VALUE(MID(C87,SEARCH(BN87,C87)+LEN(BN87),SEARCH("N",C87)-SEARCH(BN87,C87)-LEN(BN87))))</f>
        <v>0</v>
      </c>
      <c r="BP87" s="1251">
        <f>IF(ISERROR(SEARCH("F",C87)),IF(C87="",0,VALUE(MID(C87,SEARCH("N",C87)+1,SEARCH("K",C87)-SEARCH("N",C87)-1))),IF(C87="",0,VALUE(MID(C87,SEARCH("N",C87)+1,SEARCH("F",C87)-SEARCH("N",C87)-1))))</f>
        <v>0</v>
      </c>
      <c r="BQ87" s="1251">
        <f>IF(ISERROR(SEARCH("F",C87)),IF(C87="",0,IF(SEARCH("K",C87)=LEN(C87),0,VALUE(MID(C87,SEARCH("K",C87)+1,LEN(C87))))),IF(C87="",0,IF(SEARCH("F",C87)=LEN(C87),0,VALUE(MID(C87,SEARCH("F",C87)+1,LEN(C87))))))</f>
        <v>0</v>
      </c>
      <c r="BR87" s="1251" t="b">
        <f>IF(OR(ISERROR(BM87),ISERROR(BN87),ISERROR(BO87),ISERROR(BP87),ISERROR(BQ87)),FALSE,TRUE)</f>
        <v>1</v>
      </c>
      <c r="BS87" s="1252">
        <f>6+IF(LEFT(I87,1)="R",IF(ISNUMBER(G87),G87*12,0)+IF(ISNUMBER(H87),H87,0),0)</f>
        <v>6</v>
      </c>
      <c r="BT87" s="1252" t="str">
        <f>IF(IF(ISNUMBER(S87),S87*12,0)+IF(ISNUMBER(T87),T87,0)&gt;0,IF(AND(IF(ISNUMBER(S87),S87*12,0)+IF(ISNUMBER(T87),T87,0)&gt;=1.25,IF(ISNUMBER(S87),S87*12,0)+IF(ISNUMBER(T87),T87,0)&lt;=(BS87-1.25)+IF(I87="X",2,0)),"Yes","No"),"No")</f>
        <v>No</v>
      </c>
      <c r="BU87" s="1252">
        <f>6+IF(LEFT(L87,1)="R",IF(ISNUMBER(J87),J87*12,0)+IF(ISNUMBER(K87),K87,0),0)</f>
        <v>6</v>
      </c>
      <c r="BV87" s="1252" t="str">
        <f>IF(IF(ISNUMBER(U87),U87*12,0)+IF(ISNUMBER(V87),V87,0)&gt;0,IF(AND(IF(ISNUMBER(U87),U87*12,0)+IF(ISNUMBER(V87),V87,0)&gt;=1.25,IF(ISNUMBER(U87),U87*12,0)+IF(ISNUMBER(V87),V87,0)&lt;=(BU87-1.25)+IF(L87="X",2,0)),"Yes","No"),"No")</f>
        <v>No</v>
      </c>
      <c r="BW87" s="1253">
        <f>IF(AB87="",0,1)+IF(AC87="",0,1)+IF(AD87="",0,1)+IF(AE87="",0,1)+IF(AF87="",0,1)+IF(AG87="",0,1)+IF(AH87="",0,1)+IF(AI87="",0,1)+IF(AJ87="",0,1)+IF(AK87="",0,1)+IF(AL87="",0,1)+IF(AM87="",0,1)+IF(AN87="",0,1)+IF(AO87="",0,1)+IF(AP87="",0,1)+IF(AQ87="",0,1)+IF(AR87="",0,1)+IF(AS87="",0,1)+IF(AT87="",0,1)+IF(AU87="",0,1)+IF(AV87="",0,1)+IF(AW87="",0,1)+IF(AX87="",0,1)+IF(AY87="",0,1)+IF(AZ87="",0,1)+IF(BA87="",0,1)+IF(BB87="",0,1)+IF(BC87="",0,1)+IF(BD87="",0,1)+IF(BE87="",0,1)+IF(BF87="",0,1)+IF(BG87="",0,1)</f>
        <v>0</v>
      </c>
      <c r="BX87" s="1254" t="str">
        <f>IF(AND(AB87="",BW87&gt;0),BX86,IF(ISBLANK(AB87),"",AB87))</f>
        <v/>
      </c>
      <c r="BY87" s="1254" t="b">
        <f>IF(ISERROR(VLOOKUP(BX87,$BJ$14:$BL$45,3,FALSE)),FALSE,VLOOKUP(BX87,$BJ$14:$BL$45,3,FALSE))</f>
        <v>0</v>
      </c>
      <c r="BZ87" s="1255"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
      <c r="Z88" s="1465"/>
    </row>
    <row r="89" spans="1:238" ht="12.75" customHeight="1" x14ac:dyDescent="0.2">
      <c r="B89" s="649" t="s">
        <v>762</v>
      </c>
    </row>
    <row r="92" spans="1:238" ht="13.5" customHeight="1" x14ac:dyDescent="0.2"/>
  </sheetData>
  <sheetProtection selectLockedCells="1"/>
  <mergeCells count="393">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DL52:DL53"/>
    <mergeCell ref="DV12:DW12"/>
    <mergeCell ref="DP12:DP13"/>
    <mergeCell ref="DB52:DB53"/>
    <mergeCell ref="DT52:DU52"/>
    <mergeCell ref="DK52:DK53"/>
    <mergeCell ref="DC52:DC53"/>
    <mergeCell ref="DD52:DD53"/>
    <mergeCell ref="DE52:DE53"/>
    <mergeCell ref="DJ52:DJ53"/>
    <mergeCell ref="EM12:EM13"/>
    <mergeCell ref="EN50:EN53"/>
    <mergeCell ref="EF50:EF53"/>
    <mergeCell ref="EH50:EH53"/>
    <mergeCell ref="EK50:EK53"/>
    <mergeCell ref="EL50:EL53"/>
    <mergeCell ref="DM52:DN52"/>
    <mergeCell ref="DO52:DP52"/>
    <mergeCell ref="DQ52:DR52"/>
    <mergeCell ref="DS52:DS53"/>
    <mergeCell ref="EG50:EG53"/>
    <mergeCell ref="EC52:EC53"/>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s>
  <phoneticPr fontId="0" type="noConversion"/>
  <conditionalFormatting sqref="CD28:CD45">
    <cfRule type="expression" dxfId="2002" priority="291">
      <formula>AND(NOT($BK28),NOT($BR28))</formula>
    </cfRule>
  </conditionalFormatting>
  <conditionalFormatting sqref="DM54:DM85 DT54:DT85">
    <cfRule type="cellIs" dxfId="2001" priority="495" stopIfTrue="1" operator="notEqual">
      <formula>DN54</formula>
    </cfRule>
  </conditionalFormatting>
  <conditionalFormatting sqref="CX28:CX45">
    <cfRule type="cellIs" dxfId="2000" priority="508" operator="greaterThan">
      <formula>EY68</formula>
    </cfRule>
    <cfRule type="expression" dxfId="1999" priority="509">
      <formula>AND(ISBLANK(CX28),EY68&gt;0)</formula>
    </cfRule>
  </conditionalFormatting>
  <conditionalFormatting sqref="CY28:CY45">
    <cfRule type="cellIs" dxfId="1998" priority="510" operator="lessThan">
      <formula>EX68</formula>
    </cfRule>
    <cfRule type="expression" dxfId="1997" priority="511">
      <formula>AND(ISBLANK(CY28),EX68&lt;&gt;"")</formula>
    </cfRule>
  </conditionalFormatting>
  <conditionalFormatting sqref="CT28:CT45 CM28:CM45">
    <cfRule type="expression" dxfId="1996" priority="512">
      <formula>AND(NOT($BK28),AND(ISBLANK(CM28),AND(NOT(ISBLANK(CL28)),$CU28&lt;&gt;0)))</formula>
    </cfRule>
  </conditionalFormatting>
  <conditionalFormatting sqref="A28:B45">
    <cfRule type="expression" dxfId="1995" priority="513">
      <formula>AND(NOT($BK$1),$B28=0,OR($BJ$1="",$BJ$1="M"))</formula>
    </cfRule>
  </conditionalFormatting>
  <conditionalFormatting sqref="DB28:DB45">
    <cfRule type="expression" dxfId="1994" priority="514">
      <formula>OR(DB28&gt;CD68,DB28&lt;0)</formula>
    </cfRule>
  </conditionalFormatting>
  <conditionalFormatting sqref="FQ54:FR85">
    <cfRule type="cellIs" dxfId="1993" priority="588" stopIfTrue="1" operator="lessThan">
      <formula>0</formula>
    </cfRule>
  </conditionalFormatting>
  <conditionalFormatting sqref="DI14">
    <cfRule type="expression" dxfId="1992" priority="515">
      <formula>UPPER(#REF!)="X"</formula>
    </cfRule>
  </conditionalFormatting>
  <conditionalFormatting sqref="DJ14">
    <cfRule type="expression" dxfId="1991" priority="516">
      <formula>OR(UPPER(#REF!)="X",UPPER(#REF!="X"))</formula>
    </cfRule>
  </conditionalFormatting>
  <conditionalFormatting sqref="DK14">
    <cfRule type="expression" dxfId="1990" priority="545">
      <formula>OR(UPPER(#REF!)="X",UPPER(#REF!="X"))</formula>
    </cfRule>
  </conditionalFormatting>
  <conditionalFormatting sqref="Q2:T4 AU2:AX4">
    <cfRule type="cellIs" dxfId="1989" priority="592" stopIfTrue="1" operator="equal">
      <formula>""</formula>
    </cfRule>
  </conditionalFormatting>
  <conditionalFormatting sqref="M7">
    <cfRule type="expression" dxfId="1988" priority="593" stopIfTrue="1">
      <formula>OR(ISBLANK($M$7),$M$7="")</formula>
    </cfRule>
    <cfRule type="expression" dxfId="1987" priority="594" stopIfTrue="1">
      <formula>AND(LOWER($M$7)&lt;&gt;"std gray primer: one shop coat",LOWER($M$7)&lt;&gt;"gray",$M$7&lt;&gt;"")</formula>
    </cfRule>
  </conditionalFormatting>
  <conditionalFormatting sqref="DA24">
    <cfRule type="expression" dxfId="1986" priority="595" stopIfTrue="1">
      <formula>NOT(ISBLANK($DA$24))</formula>
    </cfRule>
  </conditionalFormatting>
  <conditionalFormatting sqref="C28:C45">
    <cfRule type="expression" dxfId="1985" priority="118">
      <formula>AND(NOT($BK28),NOT(BR28))</formula>
    </cfRule>
  </conditionalFormatting>
  <conditionalFormatting sqref="U28:U45">
    <cfRule type="expression" dxfId="1984" priority="138">
      <formula>AND(NOT($BK28),BV28="No")</formula>
    </cfRule>
  </conditionalFormatting>
  <conditionalFormatting sqref="V28:V45">
    <cfRule type="expression" dxfId="1983" priority="288">
      <formula>AND(NOT($BK28),BV28="No")</formula>
    </cfRule>
  </conditionalFormatting>
  <conditionalFormatting sqref="S28:S45">
    <cfRule type="expression" dxfId="1982" priority="114">
      <formula>AND(NOT($BK28),BT28="No")</formula>
    </cfRule>
  </conditionalFormatting>
  <conditionalFormatting sqref="T28:T45">
    <cfRule type="expression" dxfId="1981" priority="115">
      <formula>AND(NOT($BK28),BT28="No")</formula>
    </cfRule>
  </conditionalFormatting>
  <conditionalFormatting sqref="W28:W45">
    <cfRule type="expression" dxfId="1980" priority="31">
      <formula>$W28=0</formula>
    </cfRule>
  </conditionalFormatting>
  <conditionalFormatting sqref="CJ28:CJ45">
    <cfRule type="expression" dxfId="1979" priority="315">
      <formula>AND(NOT($BK28),OR($CC68="M",$CC68="C",$CC68="G"))</formula>
    </cfRule>
    <cfRule type="expression" dxfId="1978" priority="329">
      <formula>AND(NOT($BK28),AND(OR($CC68="B",$CC68="G"),CJ28="",CK28=""))</formula>
    </cfRule>
    <cfRule type="expression" dxfId="1977" priority="332">
      <formula>AND(NOT($BK28),EG68="ERR")</formula>
    </cfRule>
  </conditionalFormatting>
  <conditionalFormatting sqref="CK28:CK45">
    <cfRule type="expression" dxfId="1976" priority="490">
      <formula>AND(NOT($BK28),OR($CC68="M",$CC68="C",$CC68="G"))</formula>
    </cfRule>
    <cfRule type="expression" dxfId="1975" priority="499">
      <formula>AND(NOT($BK28),AND(OR($CC68="B",$CC68="G"),CJ28="",CK28=""))</formula>
    </cfRule>
    <cfRule type="expression" dxfId="1974" priority="500">
      <formula>AND(NOT($BK28),EG68="ERR")</formula>
    </cfRule>
  </conditionalFormatting>
  <conditionalFormatting sqref="CQ28:CQ45">
    <cfRule type="expression" dxfId="1973" priority="501">
      <formula>AND(NOT($BK28),OR($CL68="M",$CL68="C",$CL68="G"))</formula>
    </cfRule>
    <cfRule type="expression" dxfId="1972" priority="502">
      <formula>AND(NOT($BK28),AND(OR($CL68="B",$CL68="G"),CQ28="",CR28=""))</formula>
    </cfRule>
    <cfRule type="expression" dxfId="1971" priority="503">
      <formula>AND(NOT($BK28),EJ68="ERR")</formula>
    </cfRule>
  </conditionalFormatting>
  <conditionalFormatting sqref="CR28:CR45">
    <cfRule type="expression" dxfId="1970" priority="504">
      <formula>AND(NOT($BK28),OR($CL68="M",$CL68="C",$CL68="G"))</formula>
    </cfRule>
    <cfRule type="expression" dxfId="1969" priority="506">
      <formula>AND(NOT($BK28),AND(OR($CL68="B",$CL68="G"),CQ28="",CR28=""))</formula>
    </cfRule>
    <cfRule type="expression" dxfId="1968" priority="507">
      <formula>AND(NOT($BK28),EJ68="ERR")</formula>
    </cfRule>
  </conditionalFormatting>
  <conditionalFormatting sqref="DC28:DC45">
    <cfRule type="expression" dxfId="1967" priority="87">
      <formula>OR(DC28&gt;CM68,DC28&lt;0)</formula>
    </cfRule>
  </conditionalFormatting>
  <conditionalFormatting sqref="GA48:GB48">
    <cfRule type="expression" dxfId="1966" priority="123" stopIfTrue="1">
      <formula>GM48&gt;=0.125</formula>
    </cfRule>
  </conditionalFormatting>
  <conditionalFormatting sqref="DI15:DI45">
    <cfRule type="expression" dxfId="1965" priority="574">
      <formula>FM54="X"</formula>
    </cfRule>
  </conditionalFormatting>
  <conditionalFormatting sqref="DJ15:DJ45">
    <cfRule type="expression" dxfId="1964" priority="589">
      <formula>FM54="X"</formula>
    </cfRule>
  </conditionalFormatting>
  <conditionalFormatting sqref="DK15:DK45">
    <cfRule type="expression" dxfId="1963" priority="590">
      <formula>FM54="X"</formula>
    </cfRule>
  </conditionalFormatting>
  <conditionalFormatting sqref="DH14:DH45">
    <cfRule type="expression" dxfId="1962" priority="10">
      <formula>NOT($FQ14)</formula>
    </cfRule>
    <cfRule type="expression" dxfId="1961" priority="591">
      <formula>FJ54="G"</formula>
    </cfRule>
  </conditionalFormatting>
  <conditionalFormatting sqref="DT14:DU45">
    <cfRule type="expression" dxfId="1960" priority="972">
      <formula>GD54=0</formula>
    </cfRule>
  </conditionalFormatting>
  <conditionalFormatting sqref="AR14:AS45">
    <cfRule type="expression" dxfId="1959" priority="974">
      <formula>AND(NOT($BZ14),$FF54)</formula>
    </cfRule>
  </conditionalFormatting>
  <conditionalFormatting sqref="AV14:AW45">
    <cfRule type="expression" dxfId="1958" priority="975">
      <formula>AND(NOT($BZ14),$FG54)</formula>
    </cfRule>
  </conditionalFormatting>
  <conditionalFormatting sqref="AZ14:BA45">
    <cfRule type="expression" dxfId="1957" priority="976">
      <formula>AND(NOT($BZ14),$FH54)</formula>
    </cfRule>
  </conditionalFormatting>
  <conditionalFormatting sqref="BD14:BE45">
    <cfRule type="expression" dxfId="1956" priority="977">
      <formula>AND(NOT($BZ14),$FI54)</formula>
    </cfRule>
  </conditionalFormatting>
  <conditionalFormatting sqref="DW14:DW45">
    <cfRule type="expression" dxfId="1955" priority="981">
      <formula>FF54</formula>
    </cfRule>
  </conditionalFormatting>
  <conditionalFormatting sqref="EA14:EA45">
    <cfRule type="expression" dxfId="1954" priority="982">
      <formula>FG54</formula>
    </cfRule>
  </conditionalFormatting>
  <conditionalFormatting sqref="EE14:EE45">
    <cfRule type="expression" dxfId="1953" priority="983">
      <formula>FH54</formula>
    </cfRule>
  </conditionalFormatting>
  <conditionalFormatting sqref="EI14:EI45">
    <cfRule type="expression" dxfId="1952" priority="984">
      <formula>FI54</formula>
    </cfRule>
  </conditionalFormatting>
  <conditionalFormatting sqref="DJ14:DK45 AD14:AE45">
    <cfRule type="expression" dxfId="1951" priority="1000">
      <formula>AND(NOT($BZ14),FIND("A",$GK54))</formula>
    </cfRule>
  </conditionalFormatting>
  <conditionalFormatting sqref="DM14:DN45 AI14:AJ45">
    <cfRule type="expression" dxfId="1950" priority="1001">
      <formula>AND(NOT($BZ14),FIND("B",$GK54))</formula>
    </cfRule>
  </conditionalFormatting>
  <conditionalFormatting sqref="CG28:CG45">
    <cfRule type="expression" dxfId="1949" priority="1002">
      <formula>AND(NOT($BK28),ISERROR(CC68))</formula>
    </cfRule>
    <cfRule type="expression" dxfId="1948" priority="1003">
      <formula>AND(NOT($BK28),OR(ISERROR(CC68),CC68="", ER28&lt;&gt;""))</formula>
    </cfRule>
  </conditionalFormatting>
  <conditionalFormatting sqref="CN28:CN45">
    <cfRule type="expression" dxfId="1947" priority="1004">
      <formula>AND(NOT($BK28),ISERROR(CL68))</formula>
    </cfRule>
    <cfRule type="expression" dxfId="1946" priority="1006">
      <formula>AND(NOT($BK28),OR(CL68="", ES28&lt;&gt;""))</formula>
    </cfRule>
  </conditionalFormatting>
  <conditionalFormatting sqref="CW28:CW45">
    <cfRule type="expression" dxfId="1945" priority="1007">
      <formula>OR(EL28&lt;&gt;"",EM28&lt;&gt;"",EN28&lt;&gt;"",EO28&lt;&gt;"",EP28&lt;&gt;"",EQ28&lt;&gt;"")</formula>
    </cfRule>
  </conditionalFormatting>
  <conditionalFormatting sqref="DL14:DL45">
    <cfRule type="expression" dxfId="1944" priority="83">
      <formula>FIND("B",$GK54)</formula>
    </cfRule>
  </conditionalFormatting>
  <conditionalFormatting sqref="DI14:DI45">
    <cfRule type="expression" dxfId="1943" priority="1008">
      <formula>NOT($EY14)</formula>
    </cfRule>
  </conditionalFormatting>
  <conditionalFormatting sqref="AC14:AC45">
    <cfRule type="expression" dxfId="1942" priority="1015">
      <formula>AND(NOT($BZ14),NOT($EY14))</formula>
    </cfRule>
  </conditionalFormatting>
  <conditionalFormatting sqref="CH28:CH45">
    <cfRule type="expression" dxfId="1941" priority="1016">
      <formula>AND(NOT($BK28),OR($CC68="M",$CC68="C"))</formula>
    </cfRule>
    <cfRule type="expression" dxfId="1940" priority="1017">
      <formula>AND(NOT($BK28),AND(CH28="",CI28="",OR($CC68="B",$CC68="G")))</formula>
    </cfRule>
    <cfRule type="expression" dxfId="1939" priority="1126">
      <formula>AND(NOT($BK28),(CH28/2)/COS(RADIANS(CL28))+CD68-DC68&lt;$FB$4)</formula>
    </cfRule>
  </conditionalFormatting>
  <conditionalFormatting sqref="CI28:CI45">
    <cfRule type="expression" dxfId="1938" priority="1127">
      <formula>AND(NOT($BK28),OR($CC68="M",$CC68="C"))</formula>
    </cfRule>
    <cfRule type="expression" dxfId="1937" priority="1148">
      <formula>AND(NOT($BK28),AND(CH28="",CI28="",OR($CC68="B",$CC68="G")))</formula>
    </cfRule>
    <cfRule type="expression" dxfId="1936" priority="1149">
      <formula>AND(NOT($BK28),(CI28/2)/COS(RADIANS(CL28))+CD68-DC68&lt;$FB$4)</formula>
    </cfRule>
  </conditionalFormatting>
  <conditionalFormatting sqref="CO28:CO45">
    <cfRule type="expression" dxfId="1935" priority="1150">
      <formula>AND(NOT($BK28),OR($CL68="M",$CL68="C"))</formula>
    </cfRule>
    <cfRule type="expression" dxfId="1934" priority="1151">
      <formula>AND(NOT($BK28),AND(CO28="",CP28="",OR($CL68="B",$CL68="G")))</formula>
    </cfRule>
    <cfRule type="expression" dxfId="1933" priority="1152">
      <formula>AND(NOT($BK28),(CO28/2)/COS(RADIANS(CS28))+CM68-DI68&lt;$FB$4)</formula>
    </cfRule>
  </conditionalFormatting>
  <conditionalFormatting sqref="CP28:CP45">
    <cfRule type="expression" dxfId="1932" priority="1153">
      <formula>AND(NOT($BK28),OR($CL68="M",$CL68="C"))</formula>
    </cfRule>
    <cfRule type="expression" dxfId="1931" priority="1154">
      <formula>AND(NOT($BK28),AND(CO28="",CP28="",OR($CL68="B",$CL68="G")))</formula>
    </cfRule>
    <cfRule type="expression" dxfId="1930" priority="1155">
      <formula>AND(NOT($BK28),(CP28/2)/COS(RADIANS(CS28))+CM68-DI68&lt;$FB$4)</formula>
    </cfRule>
  </conditionalFormatting>
  <conditionalFormatting sqref="AM14:AM45">
    <cfRule type="expression" dxfId="1929" priority="78">
      <formula>AND(NOT($BZ14),AM14&lt;&gt;EZ14)</formula>
    </cfRule>
  </conditionalFormatting>
  <conditionalFormatting sqref="DQ14:DQ45">
    <cfRule type="expression" dxfId="1928" priority="77">
      <formula>DQ14&lt;&gt;EZ14</formula>
    </cfRule>
  </conditionalFormatting>
  <conditionalFormatting sqref="CV28:CW45">
    <cfRule type="expression" dxfId="1927" priority="76">
      <formula>AND(NOT($BK28),LEN($Z28)&gt;27)</formula>
    </cfRule>
  </conditionalFormatting>
  <conditionalFormatting sqref="FF14:FF45">
    <cfRule type="expression" dxfId="1926" priority="84">
      <formula>$FC14=0</formula>
    </cfRule>
  </conditionalFormatting>
  <conditionalFormatting sqref="AD14:AJ45">
    <cfRule type="expression" dxfId="1925" priority="75">
      <formula>AND(NOT($BZ14),NOT($FA14))</formula>
    </cfRule>
  </conditionalFormatting>
  <conditionalFormatting sqref="A87:B87">
    <cfRule type="expression" dxfId="1924" priority="22" stopIfTrue="1">
      <formula>AND(NOT($BK$1),$B87=0,OR($BJ$1="",$BJ$1="M"))</formula>
    </cfRule>
  </conditionalFormatting>
  <conditionalFormatting sqref="C87">
    <cfRule type="expression" dxfId="1923" priority="19" stopIfTrue="1">
      <formula>AND(NOT($BK87),NOT(BR87))</formula>
    </cfRule>
  </conditionalFormatting>
  <conditionalFormatting sqref="U87">
    <cfRule type="expression" dxfId="1922" priority="20" stopIfTrue="1">
      <formula>AND(NOT($BK87),BV87="No")</formula>
    </cfRule>
  </conditionalFormatting>
  <conditionalFormatting sqref="V87">
    <cfRule type="expression" dxfId="1921" priority="21" stopIfTrue="1">
      <formula>AND(NOT($BK87),BV87="No")</formula>
    </cfRule>
  </conditionalFormatting>
  <conditionalFormatting sqref="S87">
    <cfRule type="expression" dxfId="1920" priority="17" stopIfTrue="1">
      <formula>AND(NOT($BK87),BT87="No")</formula>
    </cfRule>
  </conditionalFormatting>
  <conditionalFormatting sqref="T87">
    <cfRule type="expression" dxfId="1919" priority="18" stopIfTrue="1">
      <formula>AND(NOT($BK87),BT87="No")</formula>
    </cfRule>
  </conditionalFormatting>
  <conditionalFormatting sqref="W87">
    <cfRule type="expression" dxfId="1918" priority="11">
      <formula>$W87=0</formula>
    </cfRule>
  </conditionalFormatting>
  <conditionalFormatting sqref="AR87:AS87">
    <cfRule type="expression" dxfId="1917" priority="23">
      <formula>AND(NOT($BZ87),$FF127)</formula>
    </cfRule>
  </conditionalFormatting>
  <conditionalFormatting sqref="AV87:AW87">
    <cfRule type="expression" dxfId="1916" priority="24">
      <formula>AND(NOT($BZ87),$FG127)</formula>
    </cfRule>
  </conditionalFormatting>
  <conditionalFormatting sqref="AZ87:BA87">
    <cfRule type="expression" dxfId="1915" priority="25">
      <formula>AND(NOT($BZ87),$FH127)</formula>
    </cfRule>
  </conditionalFormatting>
  <conditionalFormatting sqref="BD87:BE87">
    <cfRule type="expression" dxfId="1914" priority="26">
      <formula>AND(NOT($BZ87),$FI127)</formula>
    </cfRule>
  </conditionalFormatting>
  <conditionalFormatting sqref="AD87:AE87">
    <cfRule type="expression" dxfId="1913" priority="27">
      <formula>AND(NOT($BZ87),FIND("A",$GK127))</formula>
    </cfRule>
  </conditionalFormatting>
  <conditionalFormatting sqref="AI87:AJ87">
    <cfRule type="expression" dxfId="1912" priority="28">
      <formula>AND(NOT($BZ87),FIND("B",$GK127))</formula>
    </cfRule>
  </conditionalFormatting>
  <conditionalFormatting sqref="AC87">
    <cfRule type="expression" dxfId="1911" priority="29">
      <formula>AND(NOT($BZ87),NOT($EY87))</formula>
    </cfRule>
  </conditionalFormatting>
  <conditionalFormatting sqref="AM87">
    <cfRule type="expression" dxfId="1910" priority="16">
      <formula>AND(NOT($BZ87),AM87&lt;&gt;EZ87)</formula>
    </cfRule>
  </conditionalFormatting>
  <conditionalFormatting sqref="AD87:AJ87">
    <cfRule type="expression" dxfId="1909" priority="15">
      <formula>AND(NOT($BZ87),NOT($FA87))</formula>
    </cfRule>
  </conditionalFormatting>
  <conditionalFormatting sqref="A87:AA87">
    <cfRule type="expression" dxfId="1908" priority="12">
      <formula>$BI87</formula>
    </cfRule>
  </conditionalFormatting>
  <conditionalFormatting sqref="AB87:BG87">
    <cfRule type="expression" dxfId="1907" priority="14">
      <formula>$CA87</formula>
    </cfRule>
  </conditionalFormatting>
  <conditionalFormatting sqref="Z87">
    <cfRule type="expression" dxfId="1906" priority="13">
      <formula>AND(NOT($BK87),LEN($Z87)&gt;27)</formula>
    </cfRule>
  </conditionalFormatting>
  <conditionalFormatting sqref="AB14:BG45 DH14:EK45">
    <cfRule type="expression" dxfId="1905" priority="1203">
      <formula>$FP14</formula>
    </cfRule>
  </conditionalFormatting>
  <conditionalFormatting sqref="A28:Y45 CB28:DE45 AA28:AA45">
    <cfRule type="expression" dxfId="1904" priority="1210">
      <formula>$FN28</formula>
    </cfRule>
  </conditionalFormatting>
  <conditionalFormatting sqref="CB28:CB45">
    <cfRule type="expression" dxfId="1903" priority="9">
      <formula>NOT($FO28)</formula>
    </cfRule>
  </conditionalFormatting>
  <conditionalFormatting sqref="A28:A45">
    <cfRule type="expression" dxfId="1902" priority="8">
      <formula>NOT($FO28)</formula>
    </cfRule>
  </conditionalFormatting>
  <conditionalFormatting sqref="AB14:AB45">
    <cfRule type="expression" dxfId="1901" priority="7">
      <formula>NOT($FQ14)</formula>
    </cfRule>
  </conditionalFormatting>
  <conditionalFormatting sqref="Z28:Z45">
    <cfRule type="expression" dxfId="1900" priority="2">
      <formula>$BI28</formula>
    </cfRule>
  </conditionalFormatting>
  <conditionalFormatting sqref="Z28:Z45">
    <cfRule type="expression" dxfId="1899" priority="3">
      <formula>AND(NOT($BK28),LEN($Z28)&gt;27)</formula>
    </cfRule>
  </conditionalFormatting>
  <conditionalFormatting sqref="GA28:GB45">
    <cfRule type="expression" dxfId="1898" priority="1" stopIfTrue="1">
      <formula>GM28&gt;=0.125</formula>
    </cfRule>
  </conditionalFormatting>
  <dataValidations count="8">
    <dataValidation type="list" allowBlank="1" showInputMessage="1" sqref="M7:S7 DA24:DD2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formula1>0</formula1>
    </dataValidation>
    <dataValidation type="whole" operator="greaterThanOrEqual" allowBlank="1" showErrorMessage="1" errorTitle="Error" error="&quot;Number of Panels&quot; can only be whole numbers." sqref="DL14:DL45 AF87 AF14:AF45">
      <formula1>0</formula1>
    </dataValidation>
    <dataValidation type="custom" allowBlank="1" showErrorMessage="1" errorTitle="Error" error="Value must  be either a whole number OR the string &quot;P&quot;." sqref="DV14:DV45 BD14:BD45 ED14:ED45 EH14:EH45 AR14:AR45 AV14:AV45 AZ14:AZ45 DZ14:DZ45 BD87 AR87 AV87 AZ87">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formula1>0</formula1>
      <formula2>11.875</formula2>
    </dataValidation>
    <dataValidation type="decimal" operator="greaterThanOrEqual" allowBlank="1" showInputMessage="1" showErrorMessage="1" errorTitle="Dimensional Error" error="&quot;Inches&quot; must be a number." sqref="CH28:CK45 CO28:CR45">
      <formula1>0</formula1>
    </dataValidation>
    <dataValidation type="decimal" operator="notEqual" allowBlank="1" showInputMessage="1" showErrorMessage="1" errorTitle="Input Error" error="Enter + or - Numbers Only._x000a_Do NOT use &quot;&lt;&quot; or &quot;&gt;&quot;." sqref="X28:Y45 X87:Y87">
      <formula1>0</formula1>
    </dataValidation>
    <dataValidation type="whole" operator="greaterThanOrEqual" allowBlank="1" showInputMessage="1" showErrorMessage="1" sqref="B28:B45 B87">
      <formula1>0</formula1>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indexed="42"/>
  </sheetPr>
  <dimension ref="A1:AAD89"/>
  <sheetViews>
    <sheetView showGridLines="0" zoomScaleNormal="100" zoomScaleSheetLayoutView="75" workbookViewId="0">
      <selection activeCell="A14" sqref="A14"/>
    </sheetView>
  </sheetViews>
  <sheetFormatPr defaultColWidth="0" defaultRowHeight="12.75" x14ac:dyDescent="0.2"/>
  <cols>
    <col min="1" max="1" width="5.7109375" style="161" customWidth="1"/>
    <col min="2" max="2" width="4.28515625" style="161" customWidth="1"/>
    <col min="3" max="3" width="15.7109375" style="161" customWidth="1"/>
    <col min="4" max="4" width="3.7109375" style="161" customWidth="1"/>
    <col min="5" max="5" width="4.42578125" style="161" customWidth="1"/>
    <col min="6" max="6" width="4.7109375" style="161" customWidth="1"/>
    <col min="7" max="7" width="3" style="161" customWidth="1"/>
    <col min="8" max="8" width="4.42578125" style="161" customWidth="1"/>
    <col min="9" max="10" width="3" style="161" customWidth="1"/>
    <col min="11" max="11" width="4.42578125" style="161" customWidth="1"/>
    <col min="12" max="12" width="3" style="161" customWidth="1"/>
    <col min="13" max="14" width="4.28515625" style="161" customWidth="1"/>
    <col min="15" max="15" width="3.28515625" style="161" customWidth="1"/>
    <col min="16" max="16" width="5" style="161" customWidth="1"/>
    <col min="17" max="17" width="3.28515625" style="161" customWidth="1"/>
    <col min="18" max="18" width="5" style="161" customWidth="1"/>
    <col min="19" max="19" width="2.85546875" style="161" customWidth="1"/>
    <col min="20" max="20" width="4.42578125" style="161" customWidth="1"/>
    <col min="21" max="21" width="2.85546875" style="161" customWidth="1"/>
    <col min="22" max="22" width="4.42578125" style="161" customWidth="1"/>
    <col min="23" max="23" width="4.28515625" style="161" customWidth="1"/>
    <col min="24" max="25" width="4.7109375" style="161" customWidth="1"/>
    <col min="26" max="26" width="18.5703125" style="161" customWidth="1"/>
    <col min="27" max="27" width="4" style="161" customWidth="1"/>
    <col min="28" max="28" width="5.7109375" style="161" customWidth="1"/>
    <col min="29" max="29" width="3.28515625" style="161" customWidth="1"/>
    <col min="30" max="30" width="3" style="161" customWidth="1"/>
    <col min="31" max="31" width="4.42578125" style="161" customWidth="1"/>
    <col min="32" max="32" width="3.42578125" style="161" customWidth="1"/>
    <col min="33" max="33" width="3" style="161" customWidth="1"/>
    <col min="34" max="34" width="4.42578125" style="161" customWidth="1"/>
    <col min="35" max="35" width="3" style="161" customWidth="1"/>
    <col min="36" max="37" width="4.42578125" style="161" customWidth="1"/>
    <col min="38" max="38" width="5" style="161" customWidth="1"/>
    <col min="39" max="39" width="4.42578125" style="161" customWidth="1"/>
    <col min="40" max="40" width="5.28515625" style="161" customWidth="1"/>
    <col min="41" max="43" width="4.42578125" style="161" customWidth="1"/>
    <col min="44" max="44" width="3.7109375" style="161" customWidth="1"/>
    <col min="45" max="47" width="4.42578125" style="161" customWidth="1"/>
    <col min="48" max="48" width="3.7109375" style="161" customWidth="1"/>
    <col min="49" max="51" width="4.42578125" style="161" customWidth="1"/>
    <col min="52" max="52" width="3.7109375" style="161" customWidth="1"/>
    <col min="53" max="55" width="4.42578125" style="161" customWidth="1"/>
    <col min="56" max="56" width="3.7109375" style="161" customWidth="1"/>
    <col min="57" max="59" width="4.42578125" style="161" customWidth="1"/>
    <col min="60" max="60" width="4.7109375" style="318" customWidth="1"/>
    <col min="61" max="61" width="5.7109375" style="2" hidden="1" customWidth="1"/>
    <col min="62" max="62" width="6.7109375" style="161" hidden="1" customWidth="1"/>
    <col min="63" max="74" width="4.7109375" style="161" hidden="1" customWidth="1"/>
    <col min="75" max="78" width="6.7109375" style="161" hidden="1" customWidth="1"/>
    <col min="79" max="79" width="5.7109375" style="161" customWidth="1"/>
    <col min="80" max="81" width="6.7109375" style="161" hidden="1" customWidth="1"/>
    <col min="82" max="82" width="18.7109375" style="161" hidden="1" customWidth="1"/>
    <col min="83" max="84" width="6.7109375" style="161" hidden="1" customWidth="1"/>
    <col min="85" max="85" width="7.7109375" style="161" hidden="1" customWidth="1"/>
    <col min="86" max="90" width="6.7109375" style="161" hidden="1" customWidth="1"/>
    <col min="91" max="91" width="7.7109375" style="161" hidden="1" customWidth="1"/>
    <col min="92" max="92" width="6.7109375" style="161" hidden="1" customWidth="1"/>
    <col min="93" max="93" width="7.7109375" style="161" hidden="1" customWidth="1"/>
    <col min="94" max="97" width="6.7109375" style="161" hidden="1" customWidth="1"/>
    <col min="98" max="99" width="7.7109375" style="161" hidden="1" customWidth="1"/>
    <col min="100" max="101" width="12.7109375" style="161" hidden="1" customWidth="1"/>
    <col min="102" max="103" width="8.7109375" style="161" hidden="1" customWidth="1"/>
    <col min="104" max="109" width="7.7109375" style="161" hidden="1" customWidth="1"/>
    <col min="110" max="111" width="1.7109375" style="161" hidden="1" customWidth="1"/>
    <col min="112" max="113" width="6.7109375" style="161" hidden="1" customWidth="1"/>
    <col min="114" max="114" width="4.7109375" style="161" hidden="1" customWidth="1"/>
    <col min="115" max="115" width="6.7109375" style="161" hidden="1" customWidth="1"/>
    <col min="116" max="117" width="4.7109375" style="161" hidden="1" customWidth="1"/>
    <col min="118" max="125" width="6.7109375" style="161" hidden="1" customWidth="1"/>
    <col min="126" max="126" width="4.7109375" style="161" hidden="1" customWidth="1"/>
    <col min="127" max="129" width="6.7109375" style="161" hidden="1" customWidth="1"/>
    <col min="130" max="130" width="4.7109375" style="161" hidden="1" customWidth="1"/>
    <col min="131" max="133" width="6.7109375" style="161" hidden="1" customWidth="1"/>
    <col min="134" max="134" width="4.7109375" style="161" hidden="1" customWidth="1"/>
    <col min="135" max="137" width="6.7109375" style="161" hidden="1" customWidth="1"/>
    <col min="138" max="138" width="4.7109375" style="161" hidden="1" customWidth="1"/>
    <col min="139" max="141" width="6.7109375" style="161" hidden="1" customWidth="1"/>
    <col min="142" max="143" width="8.7109375" style="161" hidden="1" customWidth="1"/>
    <col min="144" max="144" width="10.7109375" style="172" hidden="1" customWidth="1"/>
    <col min="145" max="145" width="6.7109375" style="161" hidden="1" customWidth="1"/>
    <col min="146" max="147" width="7.7109375" style="161" hidden="1" customWidth="1"/>
    <col min="148" max="149" width="5.28515625" style="161" hidden="1" customWidth="1"/>
    <col min="150" max="151" width="5.7109375" style="161" hidden="1" customWidth="1"/>
    <col min="152" max="152" width="6.7109375" style="161" customWidth="1"/>
    <col min="153" max="177" width="8.7109375" style="161" hidden="1" customWidth="1"/>
    <col min="178" max="178" width="6.7109375" style="161" hidden="1" customWidth="1"/>
    <col min="179" max="181" width="8.7109375" style="161" hidden="1" customWidth="1"/>
    <col min="182" max="182" width="4.7109375" style="161" customWidth="1"/>
    <col min="183" max="183" width="5.28515625" style="161" customWidth="1"/>
    <col min="184" max="184" width="6.28515625" style="161" customWidth="1"/>
    <col min="185" max="187" width="8.7109375" style="161" customWidth="1"/>
    <col min="188" max="188" width="5.7109375" style="161" customWidth="1"/>
    <col min="189" max="189" width="5.28515625" style="161" customWidth="1"/>
    <col min="190" max="190" width="6.28515625" style="161" customWidth="1"/>
    <col min="191" max="191" width="5.28515625" style="161" hidden="1" customWidth="1"/>
    <col min="192" max="192" width="6.28515625" style="161" hidden="1" customWidth="1"/>
    <col min="193" max="195" width="8.7109375" style="161" hidden="1" customWidth="1"/>
    <col min="196" max="196" width="4.7109375" style="161" customWidth="1"/>
    <col min="197" max="198" width="8.7109375" style="161" hidden="1" customWidth="1"/>
    <col min="199" max="199" width="6.7109375" style="161" hidden="1" customWidth="1"/>
    <col min="200" max="206" width="8.7109375" style="161" hidden="1" customWidth="1"/>
    <col min="207" max="207" width="8.7109375" style="161" customWidth="1"/>
    <col min="208" max="208" width="8.7109375" style="161" hidden="1" customWidth="1"/>
    <col min="209" max="211" width="8.7109375" style="172" hidden="1" customWidth="1"/>
    <col min="212" max="212" width="8.7109375" style="162" hidden="1" customWidth="1"/>
    <col min="213" max="213" width="8.7109375" style="163" hidden="1" customWidth="1"/>
    <col min="214" max="232" width="8.7109375" style="172" hidden="1" customWidth="1"/>
    <col min="233" max="255" width="8.7109375" style="161" hidden="1" customWidth="1"/>
    <col min="256" max="260" width="6.7109375" style="161" hidden="1" customWidth="1"/>
    <col min="261" max="275" width="4.7109375" style="161" hidden="1" customWidth="1"/>
    <col min="276" max="701" width="4.7109375" style="161" customWidth="1"/>
    <col min="702" max="706" width="6.7109375" style="161" customWidth="1"/>
    <col min="707" max="16384" width="6.7109375" style="161" hidden="1"/>
  </cols>
  <sheetData>
    <row r="1" spans="1:276" s="289" customFormat="1" ht="14.45" customHeight="1" thickBot="1" x14ac:dyDescent="0.25">
      <c r="A1" s="454"/>
      <c r="B1" s="454"/>
      <c r="C1" s="454"/>
      <c r="D1" s="454"/>
      <c r="E1" s="454"/>
      <c r="F1" s="454"/>
      <c r="G1" s="454"/>
      <c r="H1" s="454"/>
      <c r="I1" s="454"/>
      <c r="J1" s="454"/>
      <c r="K1" s="454"/>
      <c r="L1" s="454"/>
      <c r="M1" s="454"/>
      <c r="N1" s="454"/>
      <c r="O1" s="454"/>
      <c r="P1" s="454"/>
      <c r="Q1" s="2227" t="str">
        <f>IF(BJ1="","",VLOOKUP(BJ1,'Job Info.'!X:AA,4,FALSE))</f>
        <v>Master</v>
      </c>
      <c r="R1" s="2227"/>
      <c r="S1" s="2227"/>
      <c r="T1" s="2227"/>
      <c r="U1" s="454"/>
      <c r="V1" s="445"/>
      <c r="W1" s="2433" t="s">
        <v>96</v>
      </c>
      <c r="X1" s="2433"/>
      <c r="Y1" s="2433"/>
      <c r="Z1" s="1415" t="s">
        <v>92</v>
      </c>
      <c r="AA1" s="444"/>
      <c r="AB1" s="454"/>
      <c r="AC1" s="454"/>
      <c r="AD1" s="454"/>
      <c r="AE1" s="454"/>
      <c r="AF1" s="454"/>
      <c r="AG1" s="454"/>
      <c r="AH1" s="454"/>
      <c r="AI1" s="454"/>
      <c r="AJ1" s="454"/>
      <c r="AK1" s="454"/>
      <c r="AL1" s="454"/>
      <c r="AM1" s="454"/>
      <c r="AN1" s="454"/>
      <c r="AO1" s="454"/>
      <c r="AP1" s="454"/>
      <c r="AQ1" s="444"/>
      <c r="AR1" s="454"/>
      <c r="AS1" s="454"/>
      <c r="AT1" s="454"/>
      <c r="AU1" s="2227" t="str">
        <f>Q1</f>
        <v>Master</v>
      </c>
      <c r="AV1" s="2227"/>
      <c r="AW1" s="2227"/>
      <c r="AX1" s="2227"/>
      <c r="AY1" s="454"/>
      <c r="AZ1" s="454"/>
      <c r="BA1" s="2433" t="s">
        <v>96</v>
      </c>
      <c r="BB1" s="2433"/>
      <c r="BC1" s="2433"/>
      <c r="BD1" s="2259" t="str">
        <f ca="1">'Job Info.'!D12</f>
        <v>775-428-0600</v>
      </c>
      <c r="BE1" s="2259"/>
      <c r="BF1" s="2259"/>
      <c r="BG1" s="556"/>
      <c r="BH1" s="581" t="s">
        <v>763</v>
      </c>
      <c r="BI1" s="449"/>
      <c r="BJ1" s="291" t="str">
        <f>'Job Info.'!Q30</f>
        <v>M</v>
      </c>
      <c r="BK1" s="291" t="b">
        <f>'Job Info.'!Q32</f>
        <v>0</v>
      </c>
      <c r="BL1" s="976"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8"/>
      <c r="EO1" s="1176"/>
      <c r="EP1" s="287"/>
      <c r="EQ1" s="1176"/>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45" t="s">
        <v>764</v>
      </c>
      <c r="GA1" s="288"/>
      <c r="GB1" s="288"/>
      <c r="GC1" s="288"/>
      <c r="GD1" s="288"/>
      <c r="GE1" s="288"/>
      <c r="GF1" s="288"/>
      <c r="GG1" s="288"/>
      <c r="GH1" s="288"/>
      <c r="GI1" s="288"/>
      <c r="GJ1" s="288"/>
      <c r="GL1" s="298"/>
      <c r="GM1" s="298"/>
      <c r="GN1" s="298"/>
      <c r="GO1" s="298"/>
      <c r="GY1" s="584" t="s">
        <v>759</v>
      </c>
      <c r="GZ1" s="1006" t="s">
        <v>1206</v>
      </c>
      <c r="HA1" s="289" t="b">
        <f>'Job Info.'!U4</f>
        <v>0</v>
      </c>
      <c r="HB1" s="1528"/>
      <c r="HC1" s="1528"/>
      <c r="HD1" s="1528"/>
      <c r="HE1" s="1528"/>
      <c r="HF1" s="1528"/>
      <c r="HG1" s="1528"/>
      <c r="HH1" s="1528"/>
      <c r="HI1" s="1528"/>
      <c r="HJ1" s="1529"/>
      <c r="HK1" s="1529"/>
      <c r="HL1" s="1529"/>
      <c r="HM1" s="1530"/>
      <c r="HN1" s="1531"/>
      <c r="HO1" s="1529"/>
      <c r="HP1" s="1529"/>
      <c r="HQ1" s="1529"/>
      <c r="HR1" s="1529"/>
      <c r="HS1" s="1529"/>
      <c r="HT1" s="1529"/>
      <c r="HU1" s="1529"/>
      <c r="HV1" s="1529"/>
      <c r="HW1" s="1529"/>
      <c r="HX1" s="1529"/>
      <c r="HY1" s="1529"/>
      <c r="HZ1" s="1529"/>
      <c r="IA1" s="1529"/>
      <c r="IB1" s="1529"/>
      <c r="IC1" s="1529"/>
      <c r="ID1" s="1529"/>
      <c r="IE1" s="1529"/>
      <c r="IF1" s="1529"/>
      <c r="IG1" s="1529"/>
      <c r="IH1" s="1528"/>
      <c r="II1" s="1528"/>
      <c r="IJ1" s="1528"/>
      <c r="IK1" s="1528"/>
      <c r="IL1" s="1532"/>
      <c r="IM1" s="1532"/>
      <c r="IN1" s="1532"/>
      <c r="IO1" s="1532"/>
      <c r="IP1" s="1532"/>
      <c r="IQ1" s="1532"/>
      <c r="IR1" s="1532"/>
      <c r="IS1" s="1532"/>
      <c r="IT1" s="1532"/>
      <c r="IU1" s="1532"/>
      <c r="IV1" s="1532"/>
      <c r="IW1" s="1532"/>
      <c r="IX1" s="1532"/>
      <c r="IY1" s="1532"/>
      <c r="IZ1" s="1532"/>
      <c r="JA1" s="1532"/>
      <c r="JB1" s="1532"/>
      <c r="JC1" s="1532"/>
      <c r="JD1" s="1532"/>
      <c r="JE1" s="1532"/>
      <c r="JF1" s="1532"/>
      <c r="JG1" s="1532"/>
      <c r="JH1" s="1532"/>
      <c r="JI1" s="1532"/>
      <c r="JJ1" s="1532"/>
      <c r="JK1" s="1532"/>
      <c r="JL1" s="1532"/>
      <c r="JM1" s="1532"/>
      <c r="JN1" s="1532"/>
      <c r="JO1" s="1532"/>
      <c r="JP1" s="579" t="s">
        <v>1191</v>
      </c>
    </row>
    <row r="2" spans="1:276" s="289" customFormat="1" ht="12.95" customHeight="1" thickTop="1" thickBot="1" x14ac:dyDescent="0.3">
      <c r="A2" s="454"/>
      <c r="B2" s="454"/>
      <c r="C2" s="454"/>
      <c r="D2" s="454"/>
      <c r="E2" s="454"/>
      <c r="F2" s="454"/>
      <c r="G2" s="454"/>
      <c r="H2" s="454"/>
      <c r="I2" s="454"/>
      <c r="J2" s="454"/>
      <c r="K2" s="454"/>
      <c r="L2" s="454"/>
      <c r="M2" s="454"/>
      <c r="N2" s="454"/>
      <c r="O2" s="454"/>
      <c r="P2" s="454"/>
      <c r="Q2" s="2228" t="str">
        <f>IF(BJ1="","",IF(VLOOKUP(BJ1,'Job Info.'!X:Z,2,FALSE),"Released for Fabrication",""))</f>
        <v/>
      </c>
      <c r="R2" s="2229"/>
      <c r="S2" s="2229"/>
      <c r="T2" s="2230"/>
      <c r="U2" s="454"/>
      <c r="V2" s="445"/>
      <c r="W2" s="2433" t="s">
        <v>97</v>
      </c>
      <c r="X2" s="2433"/>
      <c r="Y2" s="2433"/>
      <c r="Z2" s="1415"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228" t="str">
        <f>Q2</f>
        <v/>
      </c>
      <c r="AV2" s="2229"/>
      <c r="AW2" s="2229"/>
      <c r="AX2" s="2230"/>
      <c r="AY2" s="454"/>
      <c r="AZ2" s="454"/>
      <c r="BA2" s="2433" t="s">
        <v>97</v>
      </c>
      <c r="BB2" s="2433"/>
      <c r="BC2" s="2433"/>
      <c r="BD2" s="2259" t="str">
        <f ca="1">'Job Info.'!D13</f>
        <v>775-867-2140</v>
      </c>
      <c r="BE2" s="2259"/>
      <c r="BF2" s="2259"/>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8"/>
      <c r="EO2" s="1176"/>
      <c r="EP2" s="287"/>
      <c r="EQ2" s="1176"/>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45"/>
      <c r="FW2" s="1145"/>
      <c r="FX2" s="1145"/>
      <c r="FY2" s="1145"/>
      <c r="FZ2" s="584" t="s">
        <v>757</v>
      </c>
      <c r="GA2" s="288"/>
      <c r="GB2" s="288"/>
      <c r="GC2" s="288"/>
      <c r="GD2" s="288"/>
      <c r="GE2" s="288"/>
      <c r="GF2" s="288"/>
      <c r="GG2" s="288"/>
      <c r="GH2" s="288"/>
      <c r="GI2" s="288"/>
      <c r="GJ2" s="288"/>
      <c r="GL2" s="298"/>
      <c r="GM2" s="298"/>
      <c r="GN2" s="585" t="s">
        <v>758</v>
      </c>
      <c r="GO2" s="298"/>
      <c r="GP2" s="298"/>
      <c r="GZ2" s="298"/>
      <c r="HA2" s="1528"/>
      <c r="HB2" s="1528"/>
      <c r="HC2" s="1528"/>
      <c r="HD2" s="1528"/>
      <c r="HE2" s="1528"/>
      <c r="HF2" s="1528"/>
      <c r="HG2" s="1528"/>
      <c r="HH2" s="1528"/>
      <c r="HI2" s="1528"/>
      <c r="HJ2" s="1529"/>
      <c r="HK2" s="1529"/>
      <c r="HL2" s="1529"/>
      <c r="HM2" s="1530"/>
      <c r="HN2" s="1531"/>
      <c r="HO2" s="1529"/>
      <c r="HP2" s="1529"/>
      <c r="HQ2" s="1529"/>
      <c r="HR2" s="1529"/>
      <c r="HS2" s="1529"/>
      <c r="HT2" s="1529"/>
      <c r="HU2" s="1529"/>
      <c r="HV2" s="1529"/>
      <c r="HW2" s="1529"/>
      <c r="HX2" s="1529"/>
      <c r="HY2" s="1529"/>
      <c r="HZ2" s="1529"/>
      <c r="IA2" s="1529"/>
      <c r="IB2" s="1529"/>
      <c r="IC2" s="1529"/>
      <c r="ID2" s="1529"/>
      <c r="IE2" s="1529"/>
      <c r="IF2" s="1529"/>
      <c r="IG2" s="1529"/>
      <c r="IH2" s="1528"/>
      <c r="II2" s="1528"/>
      <c r="IJ2" s="1528"/>
      <c r="IK2" s="1528"/>
      <c r="IL2" s="1532"/>
      <c r="IM2" s="1532"/>
      <c r="IN2" s="1532"/>
      <c r="IO2" s="1532"/>
      <c r="IP2" s="1532"/>
      <c r="IQ2" s="1532"/>
      <c r="IR2" s="1532"/>
      <c r="IS2" s="1532"/>
      <c r="IT2" s="1532"/>
      <c r="IU2" s="1532"/>
      <c r="IV2" s="1532"/>
      <c r="IW2" s="1532"/>
      <c r="IX2" s="1532"/>
      <c r="IY2" s="1532"/>
      <c r="IZ2" s="1532"/>
      <c r="JA2" s="1532"/>
      <c r="JB2" s="1532"/>
      <c r="JC2" s="1532"/>
      <c r="JD2" s="1532"/>
      <c r="JE2" s="1532"/>
      <c r="JF2" s="1532"/>
      <c r="JG2" s="1532"/>
      <c r="JH2" s="1532"/>
      <c r="JI2" s="1532"/>
      <c r="JJ2" s="1532"/>
      <c r="JK2" s="1532"/>
      <c r="JL2" s="1532"/>
      <c r="JM2" s="1532"/>
      <c r="JN2" s="1532"/>
      <c r="JO2" s="1532"/>
    </row>
    <row r="3" spans="1:276" s="289" customFormat="1" ht="12.95" customHeight="1" thickBot="1" x14ac:dyDescent="0.3">
      <c r="A3" s="454"/>
      <c r="B3" s="454"/>
      <c r="C3" s="454"/>
      <c r="D3" s="454"/>
      <c r="E3" s="454"/>
      <c r="F3" s="454"/>
      <c r="G3" s="454"/>
      <c r="H3" s="454"/>
      <c r="I3" s="454"/>
      <c r="J3" s="454"/>
      <c r="K3" s="454"/>
      <c r="L3" s="454"/>
      <c r="M3" s="454"/>
      <c r="N3" s="454"/>
      <c r="O3" s="454"/>
      <c r="P3" s="454"/>
      <c r="Q3" s="2231"/>
      <c r="R3" s="2232"/>
      <c r="S3" s="2232"/>
      <c r="T3" s="2233"/>
      <c r="U3" s="454"/>
      <c r="V3" s="445"/>
      <c r="W3" s="2433" t="s">
        <v>99</v>
      </c>
      <c r="X3" s="2433"/>
      <c r="Y3" s="2433"/>
      <c r="Z3" s="1415"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231"/>
      <c r="AV3" s="2232"/>
      <c r="AW3" s="2232"/>
      <c r="AX3" s="2233"/>
      <c r="AY3" s="454"/>
      <c r="AZ3" s="454"/>
      <c r="BA3" s="2433" t="s">
        <v>99</v>
      </c>
      <c r="BB3" s="2433"/>
      <c r="BC3" s="2433"/>
      <c r="BD3" s="2259" t="str">
        <f ca="1">'Job Info.'!D14</f>
        <v>775-867-2169</v>
      </c>
      <c r="BE3" s="2259"/>
      <c r="BF3" s="2259"/>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8"/>
      <c r="EO3" s="1176"/>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375" t="s">
        <v>1153</v>
      </c>
      <c r="FH3" s="2376"/>
      <c r="FI3" s="2377"/>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28"/>
      <c r="HB3" s="1528"/>
      <c r="HC3" s="1533"/>
      <c r="HD3" s="1528"/>
      <c r="HE3" s="1528"/>
      <c r="HF3" s="1528"/>
      <c r="HG3" s="1528"/>
      <c r="HH3" s="1528"/>
      <c r="HI3" s="1528"/>
      <c r="HJ3" s="1529"/>
      <c r="HK3" s="1529"/>
      <c r="HL3" s="1529"/>
      <c r="HM3" s="1530"/>
      <c r="HN3" s="1531"/>
      <c r="HO3" s="1529"/>
      <c r="HP3" s="1529"/>
      <c r="HQ3" s="1529"/>
      <c r="HR3" s="1529"/>
      <c r="HS3" s="1529"/>
      <c r="HT3" s="1529"/>
      <c r="HU3" s="1529"/>
      <c r="HV3" s="1529"/>
      <c r="HW3" s="1529"/>
      <c r="HX3" s="1529"/>
      <c r="HY3" s="1529"/>
      <c r="HZ3" s="1529"/>
      <c r="IA3" s="1529"/>
      <c r="IB3" s="1529"/>
      <c r="IC3" s="1529"/>
      <c r="ID3" s="1529"/>
      <c r="IE3" s="1529"/>
      <c r="IF3" s="1529"/>
      <c r="IG3" s="1529"/>
      <c r="IH3" s="1528"/>
      <c r="II3" s="1528"/>
      <c r="IJ3" s="1528"/>
      <c r="IK3" s="1528"/>
      <c r="IL3" s="1532"/>
      <c r="IM3" s="1532"/>
      <c r="IN3" s="1532"/>
      <c r="IO3" s="1532"/>
      <c r="IP3" s="1532"/>
      <c r="IQ3" s="1532"/>
      <c r="IR3" s="1532"/>
      <c r="IS3" s="1532"/>
      <c r="IT3" s="1532"/>
      <c r="IU3" s="1532"/>
      <c r="IV3" s="1532"/>
      <c r="IW3" s="1532"/>
      <c r="IX3" s="1532"/>
      <c r="IY3" s="1532"/>
      <c r="IZ3" s="1532"/>
      <c r="JA3" s="1532"/>
      <c r="JB3" s="1532"/>
      <c r="JC3" s="1532"/>
      <c r="JD3" s="1532"/>
      <c r="JE3" s="1532"/>
      <c r="JF3" s="1532"/>
      <c r="JG3" s="1532"/>
      <c r="JH3" s="1532"/>
      <c r="JI3" s="1532"/>
      <c r="JJ3" s="1532"/>
      <c r="JK3" s="1532"/>
      <c r="JL3" s="1532"/>
      <c r="JM3" s="1532"/>
      <c r="JN3" s="1532"/>
      <c r="JO3" s="1532"/>
    </row>
    <row r="4" spans="1:276" s="289" customFormat="1" ht="12.95" customHeight="1" thickTop="1" thickBot="1" x14ac:dyDescent="0.25">
      <c r="A4" s="454"/>
      <c r="B4" s="454"/>
      <c r="C4" s="454"/>
      <c r="D4" s="454"/>
      <c r="E4" s="454"/>
      <c r="F4" s="454"/>
      <c r="G4" s="454"/>
      <c r="H4" s="454"/>
      <c r="I4" s="454"/>
      <c r="J4" s="454"/>
      <c r="K4" s="454"/>
      <c r="L4" s="454"/>
      <c r="M4" s="1398"/>
      <c r="N4" s="444"/>
      <c r="O4" s="444"/>
      <c r="P4" s="444"/>
      <c r="Q4" s="2234" t="str">
        <f>IF(BJ1="","",IF(VLOOKUP(BJ1,'Job Info.'!X:Z,2,FALSE),VLOOKUP(BJ1,'Job Info.'!X:Z,3,FALSE),""))</f>
        <v/>
      </c>
      <c r="R4" s="2235"/>
      <c r="S4" s="2235"/>
      <c r="T4" s="2236"/>
      <c r="U4" s="444"/>
      <c r="V4" s="445"/>
      <c r="W4" s="2433" t="s">
        <v>98</v>
      </c>
      <c r="X4" s="2433"/>
      <c r="Y4" s="2433"/>
      <c r="Z4" s="1415" t="str">
        <f ca="1">'Job Info.'!D15</f>
        <v>775-867-2060</v>
      </c>
      <c r="AA4" s="444"/>
      <c r="AB4" s="444"/>
      <c r="AC4" s="444"/>
      <c r="AD4" s="444"/>
      <c r="AE4" s="444"/>
      <c r="AF4" s="444"/>
      <c r="AG4" s="444"/>
      <c r="AH4" s="444"/>
      <c r="AI4" s="444"/>
      <c r="AJ4" s="444"/>
      <c r="AK4" s="444"/>
      <c r="AL4" s="444"/>
      <c r="AM4" s="444"/>
      <c r="AN4" s="444"/>
      <c r="AO4" s="444"/>
      <c r="AP4" s="444"/>
      <c r="AQ4" s="444"/>
      <c r="AR4" s="1398"/>
      <c r="AS4" s="1398"/>
      <c r="AT4" s="444"/>
      <c r="AU4" s="2234" t="str">
        <f>Q4</f>
        <v/>
      </c>
      <c r="AV4" s="2679"/>
      <c r="AW4" s="2679"/>
      <c r="AX4" s="2680"/>
      <c r="AY4" s="454"/>
      <c r="AZ4" s="454"/>
      <c r="BA4" s="2433" t="s">
        <v>98</v>
      </c>
      <c r="BB4" s="2433"/>
      <c r="BC4" s="2433"/>
      <c r="BD4" s="2259" t="str">
        <f ca="1">'Job Info.'!D15</f>
        <v>775-867-2060</v>
      </c>
      <c r="BE4" s="2259"/>
      <c r="BF4" s="2259"/>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373"/>
      <c r="DB4" s="2374"/>
      <c r="DC4" s="2374"/>
      <c r="DD4" s="2374"/>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8"/>
      <c r="EO4" s="1176"/>
      <c r="EP4" s="1176"/>
      <c r="EQ4" s="287"/>
      <c r="ER4" s="287"/>
      <c r="ES4" s="287"/>
      <c r="ET4" s="287"/>
      <c r="EU4" s="1176"/>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93">
        <v>0</v>
      </c>
      <c r="FH4" s="993">
        <v>7.125</v>
      </c>
      <c r="FI4" s="994">
        <v>17.125</v>
      </c>
      <c r="GA4" s="287"/>
      <c r="GB4" s="287"/>
      <c r="GC4" s="287"/>
      <c r="GD4" s="287"/>
      <c r="GE4" s="287"/>
      <c r="GF4" s="288"/>
      <c r="GG4" s="288"/>
      <c r="GH4" s="288"/>
      <c r="GI4" s="288"/>
      <c r="GJ4" s="288"/>
      <c r="GK4" s="295"/>
      <c r="GL4" s="298"/>
      <c r="GM4" s="298"/>
      <c r="GN4" s="298"/>
      <c r="GO4" s="298"/>
      <c r="GP4" s="298"/>
      <c r="GZ4" s="298"/>
      <c r="HA4" s="1528"/>
      <c r="HB4" s="1528"/>
      <c r="HC4" s="1533"/>
      <c r="HD4" s="1528"/>
      <c r="HE4" s="1528"/>
      <c r="HF4" s="1528"/>
      <c r="HG4" s="1528"/>
      <c r="HH4" s="1528"/>
      <c r="HI4" s="1528"/>
      <c r="HJ4" s="1529"/>
      <c r="HK4" s="1529"/>
      <c r="HL4" s="1529"/>
      <c r="HM4" s="1530"/>
      <c r="HN4" s="1531"/>
      <c r="HO4" s="1529"/>
      <c r="HP4" s="1529"/>
      <c r="HQ4" s="1529"/>
      <c r="HR4" s="1529"/>
      <c r="HS4" s="1529"/>
      <c r="HT4" s="1529"/>
      <c r="HU4" s="1529"/>
      <c r="HV4" s="1529"/>
      <c r="HW4" s="1529"/>
      <c r="HX4" s="1529"/>
      <c r="HY4" s="1529"/>
      <c r="HZ4" s="1529"/>
      <c r="IA4" s="1529"/>
      <c r="IB4" s="1529"/>
      <c r="IC4" s="1529"/>
      <c r="ID4" s="1529"/>
      <c r="IE4" s="1529"/>
      <c r="IF4" s="1529"/>
      <c r="IG4" s="1529"/>
      <c r="IH4" s="1528"/>
      <c r="II4" s="1528"/>
      <c r="IJ4" s="1528"/>
      <c r="IK4" s="1528"/>
      <c r="IL4" s="1532"/>
      <c r="IM4" s="1532"/>
      <c r="IN4" s="1532"/>
      <c r="IO4" s="1532"/>
      <c r="IP4" s="1532"/>
      <c r="IQ4" s="1532"/>
      <c r="IR4" s="1532"/>
      <c r="IS4" s="1532"/>
      <c r="IT4" s="1532"/>
      <c r="IU4" s="1532"/>
      <c r="IV4" s="1532"/>
      <c r="IW4" s="1532"/>
      <c r="IX4" s="1532"/>
      <c r="IY4" s="1532"/>
      <c r="IZ4" s="1532"/>
      <c r="JA4" s="1532"/>
      <c r="JB4" s="1532"/>
      <c r="JC4" s="1532"/>
      <c r="JD4" s="1532"/>
      <c r="JE4" s="1532"/>
      <c r="JF4" s="1532"/>
      <c r="JG4" s="1532"/>
      <c r="JH4" s="1532"/>
      <c r="JI4" s="1532"/>
      <c r="JJ4" s="1532"/>
      <c r="JK4" s="1532"/>
      <c r="JL4" s="1532"/>
      <c r="JM4" s="1532"/>
      <c r="JN4" s="1532"/>
      <c r="JO4" s="1532"/>
    </row>
    <row r="5" spans="1:276" s="289" customFormat="1" ht="12.95" customHeight="1" thickTop="1" thickBot="1" x14ac:dyDescent="0.25">
      <c r="A5" s="2426" t="str">
        <f ca="1">'Job Info.'!D11</f>
        <v>8200 Woolery Way | Fallon, NV 89406 | www.newmill.com</v>
      </c>
      <c r="B5" s="2427"/>
      <c r="C5" s="2427"/>
      <c r="D5" s="2427"/>
      <c r="E5" s="2427"/>
      <c r="F5" s="2427"/>
      <c r="G5" s="2427"/>
      <c r="H5" s="2427"/>
      <c r="I5" s="2427"/>
      <c r="J5" s="2427"/>
      <c r="K5" s="2427"/>
      <c r="L5" s="2427"/>
      <c r="M5" s="444"/>
      <c r="N5" s="444"/>
      <c r="O5" s="444"/>
      <c r="P5" s="444"/>
      <c r="Q5" s="444"/>
      <c r="R5" s="444"/>
      <c r="S5" s="444"/>
      <c r="T5" s="444"/>
      <c r="U5" s="444"/>
      <c r="V5" s="444"/>
      <c r="W5" s="444"/>
      <c r="X5" s="444"/>
      <c r="Y5" s="1399"/>
      <c r="Z5" s="1399"/>
      <c r="AA5" s="444"/>
      <c r="AB5" s="2450" t="str">
        <f ca="1">'Job Info.'!D11</f>
        <v>8200 Woolery Way | Fallon, NV 89406 | www.newmill.com</v>
      </c>
      <c r="AC5" s="2683"/>
      <c r="AD5" s="2683"/>
      <c r="AE5" s="2683"/>
      <c r="AF5" s="2683"/>
      <c r="AG5" s="2683"/>
      <c r="AH5" s="2683"/>
      <c r="AI5" s="2683"/>
      <c r="AJ5" s="2683"/>
      <c r="AK5" s="2683"/>
      <c r="AL5" s="2683"/>
      <c r="AM5" s="2683"/>
      <c r="AN5" s="2683"/>
      <c r="AO5" s="2683"/>
      <c r="AP5" s="2683"/>
      <c r="AQ5" s="2683"/>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8"/>
      <c r="EO5" s="1176"/>
      <c r="EP5" s="1176"/>
      <c r="EQ5" s="1176"/>
      <c r="ER5" s="1179"/>
      <c r="ES5" s="1179"/>
      <c r="ET5" s="1179"/>
      <c r="EU5" s="1179"/>
      <c r="EV5" s="377"/>
      <c r="EW5" s="1291" t="s">
        <v>1177</v>
      </c>
      <c r="EX5" s="1292">
        <f ca="1">OFFSET('Job Info.'!AI3,'Job Info.'!P34,1)</f>
        <v>1.1499999999999999</v>
      </c>
      <c r="EY5" s="360"/>
      <c r="EZ5" s="359"/>
      <c r="FA5" s="359"/>
      <c r="FB5" s="360"/>
      <c r="FC5" s="360"/>
      <c r="FD5" s="360"/>
      <c r="FE5" s="296"/>
      <c r="FG5" s="995">
        <v>4.5</v>
      </c>
      <c r="FH5" s="995">
        <v>5</v>
      </c>
      <c r="FI5" s="996">
        <v>6</v>
      </c>
      <c r="GA5" s="287"/>
      <c r="GB5" s="287"/>
      <c r="GC5" s="287"/>
      <c r="GD5" s="287"/>
      <c r="GE5" s="287"/>
      <c r="GF5" s="288"/>
      <c r="GG5" s="288"/>
      <c r="GH5" s="288"/>
      <c r="GI5" s="288"/>
      <c r="GJ5" s="288"/>
      <c r="GK5" s="295"/>
      <c r="GL5" s="298"/>
      <c r="GM5" s="298"/>
      <c r="GN5" s="298"/>
      <c r="GO5" s="298"/>
      <c r="GP5" s="298"/>
      <c r="GZ5" s="298"/>
      <c r="HA5" s="1534"/>
      <c r="HB5" s="1535"/>
      <c r="HC5" s="1535"/>
      <c r="HD5" s="1535"/>
      <c r="HE5" s="1535"/>
      <c r="HF5" s="1535"/>
      <c r="HG5" s="1535"/>
      <c r="HH5" s="1535"/>
      <c r="HI5" s="1535"/>
      <c r="HJ5" s="1535"/>
      <c r="HK5" s="1535"/>
      <c r="HL5" s="1535"/>
      <c r="HM5" s="1535"/>
      <c r="HN5" s="1535"/>
      <c r="HO5" s="1535"/>
      <c r="HP5" s="1535"/>
      <c r="HQ5" s="1535"/>
      <c r="HR5" s="1535"/>
      <c r="HS5" s="1535"/>
      <c r="HT5" s="1535"/>
      <c r="HU5" s="1535"/>
      <c r="HV5" s="1535"/>
      <c r="HW5" s="1535"/>
      <c r="HX5" s="1535"/>
      <c r="HY5" s="1529"/>
      <c r="HZ5" s="1529"/>
      <c r="IA5" s="1529"/>
      <c r="IB5" s="1529"/>
      <c r="IC5" s="1529"/>
      <c r="ID5" s="1529"/>
      <c r="IE5" s="1529"/>
      <c r="IF5" s="1529"/>
      <c r="IG5" s="1529"/>
      <c r="IH5" s="1532"/>
      <c r="II5" s="1532"/>
      <c r="IJ5" s="1532"/>
      <c r="IK5" s="1532"/>
      <c r="IL5" s="1532"/>
      <c r="IM5" s="1532"/>
      <c r="IN5" s="1532"/>
      <c r="IO5" s="1532"/>
      <c r="IP5" s="1532"/>
      <c r="IQ5" s="1532"/>
      <c r="IR5" s="1532"/>
      <c r="IS5" s="1532"/>
      <c r="IT5" s="1532"/>
      <c r="IU5" s="1532"/>
      <c r="IV5" s="1532"/>
      <c r="IW5" s="1532"/>
      <c r="IX5" s="1532"/>
      <c r="IY5" s="1532"/>
      <c r="IZ5" s="1532"/>
      <c r="JA5" s="1532"/>
      <c r="JB5" s="1532"/>
      <c r="JC5" s="1532"/>
      <c r="JD5" s="1532"/>
      <c r="JE5" s="1532"/>
      <c r="JF5" s="1532"/>
      <c r="JG5" s="1532"/>
      <c r="JH5" s="1532"/>
      <c r="JI5" s="1532"/>
      <c r="JJ5" s="1532"/>
      <c r="JK5" s="1532"/>
      <c r="JL5" s="1532"/>
      <c r="JM5" s="1532"/>
      <c r="JN5" s="1532"/>
      <c r="JO5" s="1532"/>
    </row>
    <row r="6" spans="1:276" s="289" customFormat="1" ht="12.95" customHeight="1" thickTop="1" thickBot="1" x14ac:dyDescent="0.25">
      <c r="A6" s="444"/>
      <c r="B6" s="444"/>
      <c r="C6" s="444"/>
      <c r="D6" s="444"/>
      <c r="E6" s="444"/>
      <c r="F6" s="444"/>
      <c r="G6" s="444"/>
      <c r="H6" s="444"/>
      <c r="I6" s="444"/>
      <c r="J6" s="444"/>
      <c r="K6" s="444"/>
      <c r="L6" s="444"/>
      <c r="M6" s="2431" t="str">
        <f>IF(NOT(ISERROR(FIND("galv",LOWER($M$7)))),"**USE STEEL TAGS**  **NO A490 BOLTS**","")</f>
        <v/>
      </c>
      <c r="N6" s="2432"/>
      <c r="O6" s="2432"/>
      <c r="P6" s="2432"/>
      <c r="Q6" s="2432"/>
      <c r="R6" s="2432"/>
      <c r="S6" s="2432"/>
      <c r="T6" s="2432"/>
      <c r="U6" s="1402"/>
      <c r="V6" s="2423" t="s">
        <v>20</v>
      </c>
      <c r="W6" s="2423"/>
      <c r="X6" s="2300">
        <f>IF(ISBLANK('Job Info.'!D8),"",'Job Info.'!D8)</f>
        <v>43406</v>
      </c>
      <c r="Y6" s="2300"/>
      <c r="Z6" s="1399"/>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424" t="s">
        <v>20</v>
      </c>
      <c r="BA6" s="2424"/>
      <c r="BB6" s="2300">
        <f>X6</f>
        <v>43406</v>
      </c>
      <c r="BC6" s="2300"/>
      <c r="BD6" s="2300"/>
      <c r="BE6" s="1400"/>
      <c r="BF6" s="444"/>
      <c r="BG6" s="444"/>
      <c r="BH6" s="321"/>
      <c r="BI6" s="1392"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662" t="s">
        <v>680</v>
      </c>
      <c r="DI6" s="2597"/>
      <c r="DJ6" s="2597"/>
      <c r="DK6" s="2597"/>
      <c r="DL6" s="2597"/>
      <c r="DM6" s="2597"/>
      <c r="DN6" s="2597"/>
      <c r="DO6" s="2597"/>
      <c r="DP6" s="2597"/>
      <c r="DQ6" s="2597"/>
      <c r="DR6" s="2597"/>
      <c r="DS6" s="2597"/>
      <c r="DT6" s="2597"/>
      <c r="DU6" s="2597"/>
      <c r="DV6" s="2597"/>
      <c r="DW6" s="2597"/>
      <c r="DX6" s="2597"/>
      <c r="DY6" s="2597"/>
      <c r="DZ6" s="2597"/>
      <c r="EA6" s="2597"/>
      <c r="EB6" s="2597"/>
      <c r="EC6" s="2597"/>
      <c r="ED6" s="2597"/>
      <c r="EE6" s="2597"/>
      <c r="EF6" s="2597"/>
      <c r="EG6" s="2597"/>
      <c r="EH6" s="2597"/>
      <c r="EI6" s="2597"/>
      <c r="EJ6" s="2597"/>
      <c r="EK6" s="2663"/>
      <c r="EL6" s="294"/>
      <c r="EM6" s="294"/>
      <c r="EN6" s="294"/>
      <c r="EO6" s="1179"/>
      <c r="EP6" s="1179"/>
      <c r="EQ6" s="1179"/>
      <c r="ER6" s="1179"/>
      <c r="ES6" s="1179"/>
      <c r="ET6" s="1180"/>
      <c r="EU6" s="1176"/>
      <c r="EV6" s="359"/>
      <c r="FQ6" s="582"/>
      <c r="GA6" s="287"/>
      <c r="GB6" s="287"/>
      <c r="GC6" s="287"/>
      <c r="GD6" s="287"/>
      <c r="GE6" s="287"/>
      <c r="GF6" s="288"/>
      <c r="GG6" s="288"/>
      <c r="GH6" s="288"/>
      <c r="GI6" s="288"/>
      <c r="GJ6" s="288"/>
      <c r="GK6" s="295"/>
      <c r="GL6" s="298"/>
      <c r="GM6" s="298"/>
      <c r="GN6" s="298"/>
      <c r="GO6" s="298"/>
      <c r="GP6" s="298"/>
      <c r="GZ6" s="298"/>
      <c r="HA6" s="1535"/>
      <c r="HB6" s="1535"/>
      <c r="HC6" s="1535"/>
      <c r="HD6" s="1535"/>
      <c r="HE6" s="1535"/>
      <c r="HF6" s="1535"/>
      <c r="HG6" s="1535"/>
      <c r="HH6" s="1535"/>
      <c r="HI6" s="1535"/>
      <c r="HJ6" s="1535"/>
      <c r="HK6" s="1535"/>
      <c r="HL6" s="1535"/>
      <c r="HM6" s="1535"/>
      <c r="HN6" s="1535"/>
      <c r="HO6" s="1535"/>
      <c r="HP6" s="1535"/>
      <c r="HQ6" s="1535"/>
      <c r="HR6" s="1535"/>
      <c r="HS6" s="1535"/>
      <c r="HT6" s="1535"/>
      <c r="HU6" s="1535"/>
      <c r="HV6" s="1535"/>
      <c r="HW6" s="1535"/>
      <c r="HX6" s="1535"/>
      <c r="HY6" s="1536"/>
      <c r="HZ6" s="1529"/>
      <c r="IA6" s="1529"/>
      <c r="IB6" s="1529"/>
      <c r="IC6" s="1529"/>
      <c r="ID6" s="1529"/>
      <c r="IE6" s="1529"/>
      <c r="IF6" s="1529"/>
      <c r="IG6" s="1529"/>
      <c r="IH6" s="1532"/>
      <c r="II6" s="1532"/>
      <c r="IJ6" s="1532"/>
      <c r="IK6" s="1532"/>
      <c r="IL6" s="1532"/>
      <c r="IM6" s="1532"/>
      <c r="IN6" s="1532"/>
      <c r="IO6" s="1532"/>
      <c r="IP6" s="1532"/>
      <c r="IQ6" s="1532"/>
      <c r="IR6" s="1532"/>
      <c r="IS6" s="1532"/>
      <c r="IT6" s="1532"/>
      <c r="IU6" s="1532"/>
      <c r="IV6" s="1532"/>
      <c r="IW6" s="1532"/>
      <c r="IX6" s="1532"/>
      <c r="IY6" s="1532"/>
      <c r="IZ6" s="1532"/>
      <c r="JA6" s="1532"/>
      <c r="JB6" s="1532"/>
      <c r="JC6" s="1532"/>
      <c r="JD6" s="1532"/>
      <c r="JE6" s="1532"/>
      <c r="JF6" s="1532"/>
      <c r="JG6" s="1532"/>
      <c r="JH6" s="1532"/>
      <c r="JI6" s="1532"/>
      <c r="JJ6" s="1532"/>
      <c r="JK6" s="1532"/>
      <c r="JL6" s="1532"/>
      <c r="JM6" s="1532"/>
      <c r="JN6" s="1532"/>
      <c r="JO6" s="1532"/>
    </row>
    <row r="7" spans="1:276" s="139" customFormat="1" ht="12.95" customHeight="1" thickTop="1" x14ac:dyDescent="0.2">
      <c r="A7" s="1401" t="s">
        <v>37</v>
      </c>
      <c r="B7" s="473"/>
      <c r="C7" s="473"/>
      <c r="D7" s="444"/>
      <c r="E7" s="444"/>
      <c r="F7" s="473"/>
      <c r="G7" s="473"/>
      <c r="H7" s="473"/>
      <c r="I7" s="473"/>
      <c r="J7" s="473"/>
      <c r="K7" s="2424" t="s">
        <v>26</v>
      </c>
      <c r="L7" s="2425"/>
      <c r="M7" s="2429" t="str">
        <f>IF(ISBLANK(DA4),"",DA4)</f>
        <v/>
      </c>
      <c r="N7" s="2430"/>
      <c r="O7" s="2430"/>
      <c r="P7" s="2430"/>
      <c r="Q7" s="2430"/>
      <c r="R7" s="2430"/>
      <c r="S7" s="2430"/>
      <c r="T7" s="1420"/>
      <c r="U7" s="1402"/>
      <c r="V7" s="2423" t="s">
        <v>21</v>
      </c>
      <c r="W7" s="2423"/>
      <c r="X7" s="1525" t="str">
        <f>CONCATENATE(BI7, " of ",IF(ISBLANK('Job Info.'!D9),"",'Job Info.'!D9))</f>
        <v xml:space="preserve"> of 42</v>
      </c>
      <c r="Y7" s="822"/>
      <c r="Z7" s="1399"/>
      <c r="AA7" s="444"/>
      <c r="AB7" s="1401"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423" t="s">
        <v>21</v>
      </c>
      <c r="BA7" s="2423"/>
      <c r="BB7" s="1419" t="str">
        <f>CONCATENATE(IF(ISBLANK(BI7),"",BI7+1), " of ",IF(ISBLANK('Job Info.'!D9),"",'Job Info.'!D9))</f>
        <v xml:space="preserve"> of 42</v>
      </c>
      <c r="BC7" s="822"/>
      <c r="BD7" s="822"/>
      <c r="BE7" s="444"/>
      <c r="BF7" s="444"/>
      <c r="BG7" s="444"/>
      <c r="BH7" s="322"/>
      <c r="BI7" s="1393"/>
      <c r="CA7" s="302"/>
      <c r="CB7" s="2477" t="s">
        <v>679</v>
      </c>
      <c r="CC7" s="2588"/>
      <c r="CD7" s="2588"/>
      <c r="CE7" s="2588"/>
      <c r="CF7" s="2588"/>
      <c r="CG7" s="2588"/>
      <c r="CH7" s="2588"/>
      <c r="CI7" s="2588"/>
      <c r="CJ7" s="2588"/>
      <c r="CK7" s="2588"/>
      <c r="CL7" s="2588"/>
      <c r="CM7" s="2588"/>
      <c r="CN7" s="2588"/>
      <c r="CO7" s="2588"/>
      <c r="CP7" s="2588"/>
      <c r="CQ7" s="2588"/>
      <c r="CR7" s="2588"/>
      <c r="CS7" s="2588"/>
      <c r="CT7" s="2588"/>
      <c r="CU7" s="2588"/>
      <c r="CV7" s="2588"/>
      <c r="CW7" s="2588"/>
      <c r="CX7" s="2588"/>
      <c r="CY7" s="2589"/>
      <c r="CZ7" s="292"/>
      <c r="DA7" s="292"/>
      <c r="DB7" s="292"/>
      <c r="DC7" s="292"/>
      <c r="DD7" s="292"/>
      <c r="DE7" s="292"/>
      <c r="DF7" s="292"/>
      <c r="DG7" s="292"/>
      <c r="DH7" s="2664"/>
      <c r="DI7" s="2600"/>
      <c r="DJ7" s="2600"/>
      <c r="DK7" s="2600"/>
      <c r="DL7" s="2600"/>
      <c r="DM7" s="2600"/>
      <c r="DN7" s="2600"/>
      <c r="DO7" s="2600"/>
      <c r="DP7" s="2600"/>
      <c r="DQ7" s="2600"/>
      <c r="DR7" s="2600"/>
      <c r="DS7" s="2600"/>
      <c r="DT7" s="2600"/>
      <c r="DU7" s="2600"/>
      <c r="DV7" s="2600"/>
      <c r="DW7" s="2600"/>
      <c r="DX7" s="2600"/>
      <c r="DY7" s="2600"/>
      <c r="DZ7" s="2600"/>
      <c r="EA7" s="2600"/>
      <c r="EB7" s="2600"/>
      <c r="EC7" s="2600"/>
      <c r="ED7" s="2600"/>
      <c r="EE7" s="2600"/>
      <c r="EF7" s="2600"/>
      <c r="EG7" s="2600"/>
      <c r="EH7" s="2600"/>
      <c r="EI7" s="2600"/>
      <c r="EJ7" s="2600"/>
      <c r="EK7" s="2665"/>
      <c r="EL7" s="292"/>
      <c r="EM7" s="292"/>
      <c r="EN7" s="294"/>
      <c r="EO7" s="1180"/>
      <c r="EP7" s="1179"/>
      <c r="EQ7" s="1179"/>
      <c r="ER7" s="1179"/>
      <c r="ES7" s="1180"/>
      <c r="ET7" s="1180"/>
      <c r="EU7" s="1180"/>
      <c r="EV7" s="360"/>
      <c r="GA7" s="288"/>
      <c r="GB7" s="288"/>
      <c r="GC7" s="288"/>
      <c r="GD7" s="288"/>
      <c r="GE7" s="288"/>
      <c r="GF7" s="288"/>
      <c r="GG7" s="288"/>
      <c r="GH7" s="288"/>
      <c r="GI7" s="288"/>
      <c r="GJ7" s="288"/>
      <c r="GK7" s="295"/>
      <c r="GL7" s="298"/>
      <c r="GM7" s="298"/>
      <c r="GN7" s="298"/>
      <c r="GO7" s="298"/>
      <c r="GP7" s="298"/>
      <c r="GZ7" s="298"/>
      <c r="HA7" s="1537"/>
      <c r="HB7" s="1537"/>
      <c r="HC7" s="1537"/>
      <c r="HD7" s="1537"/>
      <c r="HE7" s="1537"/>
      <c r="HF7" s="1537"/>
      <c r="HG7" s="1537"/>
      <c r="HH7" s="1537"/>
      <c r="HI7" s="1537"/>
      <c r="HJ7" s="1537"/>
      <c r="HK7" s="1537"/>
      <c r="HL7" s="1537"/>
      <c r="HM7" s="1537"/>
      <c r="HN7" s="1537"/>
      <c r="HO7" s="1537"/>
      <c r="HP7" s="1537"/>
      <c r="HQ7" s="1537"/>
      <c r="HR7" s="1537"/>
      <c r="HS7" s="1537"/>
      <c r="HT7" s="1537"/>
      <c r="HU7" s="1537"/>
      <c r="HV7" s="1537"/>
      <c r="HW7" s="1537"/>
      <c r="HX7" s="1537"/>
      <c r="HY7" s="1538"/>
      <c r="HZ7" s="1529"/>
      <c r="IA7" s="1529"/>
      <c r="IB7" s="1529"/>
      <c r="IC7" s="1529"/>
      <c r="ID7" s="1529"/>
      <c r="IE7" s="1529"/>
      <c r="IF7" s="1529"/>
      <c r="IG7" s="1529"/>
      <c r="IH7" s="1532"/>
      <c r="II7" s="1528"/>
      <c r="IJ7" s="1528"/>
      <c r="IK7" s="1528"/>
      <c r="IL7" s="1532"/>
      <c r="IM7" s="1532"/>
      <c r="IN7" s="1532"/>
      <c r="IO7" s="1532"/>
      <c r="IP7" s="1532"/>
      <c r="IQ7" s="1532"/>
      <c r="IR7" s="1532"/>
      <c r="IS7" s="1532"/>
      <c r="IT7" s="1532"/>
      <c r="IU7" s="1532"/>
      <c r="IV7" s="1532"/>
      <c r="IW7" s="1532"/>
      <c r="IX7" s="1532"/>
      <c r="IY7" s="1532"/>
      <c r="IZ7" s="1532"/>
      <c r="JA7" s="1532"/>
      <c r="JB7" s="1532"/>
      <c r="JC7" s="1532"/>
      <c r="JD7" s="1532"/>
      <c r="JE7" s="1532"/>
      <c r="JF7" s="1532"/>
      <c r="JG7" s="1532"/>
      <c r="JH7" s="1532"/>
      <c r="JI7" s="1532"/>
      <c r="JJ7" s="1532"/>
      <c r="JK7" s="1532"/>
      <c r="JL7" s="1532"/>
      <c r="JM7" s="1532"/>
      <c r="JN7" s="1532"/>
      <c r="JO7" s="1532"/>
    </row>
    <row r="8" spans="1:276" s="139" customFormat="1" ht="2.85" customHeight="1" thickBot="1" x14ac:dyDescent="0.25">
      <c r="A8" s="2684"/>
      <c r="B8" s="2684"/>
      <c r="C8" s="2684"/>
      <c r="D8" s="2684"/>
      <c r="E8" s="2684"/>
      <c r="F8" s="2684"/>
      <c r="G8" s="2684"/>
      <c r="H8" s="2684"/>
      <c r="I8" s="2684"/>
      <c r="J8" s="2684"/>
      <c r="K8" s="2684"/>
      <c r="L8" s="2684"/>
      <c r="M8" s="2684"/>
      <c r="N8" s="2684"/>
      <c r="O8" s="2684"/>
      <c r="P8" s="2684"/>
      <c r="Q8" s="2684"/>
      <c r="R8" s="2684"/>
      <c r="S8" s="2684"/>
      <c r="T8" s="2684"/>
      <c r="U8" s="2684"/>
      <c r="V8" s="2684"/>
      <c r="W8" s="2684"/>
      <c r="X8" s="2684"/>
      <c r="Y8" s="2684"/>
      <c r="Z8" s="2684"/>
      <c r="AA8" s="2684"/>
      <c r="AB8" s="2428"/>
      <c r="AC8" s="2428"/>
      <c r="AD8" s="2428"/>
      <c r="AE8" s="2428"/>
      <c r="AF8" s="2428"/>
      <c r="AG8" s="2428"/>
      <c r="AH8" s="2428"/>
      <c r="AI8" s="2428"/>
      <c r="AJ8" s="2428"/>
      <c r="AK8" s="2428"/>
      <c r="AL8" s="2428"/>
      <c r="AM8" s="2428"/>
      <c r="AN8" s="2428"/>
      <c r="AO8" s="2428"/>
      <c r="AP8" s="2428"/>
      <c r="AQ8" s="2428"/>
      <c r="AR8" s="2428"/>
      <c r="AS8" s="2428"/>
      <c r="AT8" s="2428"/>
      <c r="AU8" s="2428"/>
      <c r="AV8" s="2428"/>
      <c r="AW8" s="2428"/>
      <c r="AX8" s="2428"/>
      <c r="AY8" s="2428"/>
      <c r="AZ8" s="2428"/>
      <c r="BA8" s="2428"/>
      <c r="BB8" s="2428"/>
      <c r="BC8" s="2428"/>
      <c r="BD8" s="2428"/>
      <c r="BE8" s="2428"/>
      <c r="BF8" s="2428"/>
      <c r="BG8" s="2428"/>
      <c r="BH8" s="322"/>
      <c r="BI8" s="295"/>
      <c r="CA8" s="302"/>
      <c r="CB8" s="2590"/>
      <c r="CC8" s="2591"/>
      <c r="CD8" s="2591"/>
      <c r="CE8" s="2591"/>
      <c r="CF8" s="2591"/>
      <c r="CG8" s="2591"/>
      <c r="CH8" s="2591"/>
      <c r="CI8" s="2591"/>
      <c r="CJ8" s="2591"/>
      <c r="CK8" s="2591"/>
      <c r="CL8" s="2591"/>
      <c r="CM8" s="2591"/>
      <c r="CN8" s="2591"/>
      <c r="CO8" s="2591"/>
      <c r="CP8" s="2591"/>
      <c r="CQ8" s="2591"/>
      <c r="CR8" s="2591"/>
      <c r="CS8" s="2591"/>
      <c r="CT8" s="2591"/>
      <c r="CU8" s="2591"/>
      <c r="CV8" s="2591"/>
      <c r="CW8" s="2591"/>
      <c r="CX8" s="2591"/>
      <c r="CY8" s="2592"/>
      <c r="CZ8" s="173"/>
      <c r="DA8" s="173"/>
      <c r="DB8" s="173"/>
      <c r="DC8" s="173"/>
      <c r="DD8" s="173"/>
      <c r="DE8" s="173"/>
      <c r="DF8" s="173"/>
      <c r="DG8" s="173"/>
      <c r="DH8" s="2666"/>
      <c r="DI8" s="2667"/>
      <c r="DJ8" s="2667"/>
      <c r="DK8" s="2667"/>
      <c r="DL8" s="2667"/>
      <c r="DM8" s="2667"/>
      <c r="DN8" s="2667"/>
      <c r="DO8" s="2667"/>
      <c r="DP8" s="2667"/>
      <c r="DQ8" s="2667"/>
      <c r="DR8" s="2667"/>
      <c r="DS8" s="2667"/>
      <c r="DT8" s="2667"/>
      <c r="DU8" s="2667"/>
      <c r="DV8" s="2667"/>
      <c r="DW8" s="2667"/>
      <c r="DX8" s="2667"/>
      <c r="DY8" s="2667"/>
      <c r="DZ8" s="2667"/>
      <c r="EA8" s="2667"/>
      <c r="EB8" s="2667"/>
      <c r="EC8" s="2667"/>
      <c r="ED8" s="2667"/>
      <c r="EE8" s="2667"/>
      <c r="EF8" s="2667"/>
      <c r="EG8" s="2667"/>
      <c r="EH8" s="2667"/>
      <c r="EI8" s="2667"/>
      <c r="EJ8" s="2667"/>
      <c r="EK8" s="2668"/>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9"/>
      <c r="HB8" s="1539"/>
      <c r="HC8" s="1539"/>
      <c r="HD8" s="1540"/>
      <c r="HE8" s="1541"/>
      <c r="HF8" s="1539"/>
      <c r="HG8" s="1539"/>
      <c r="HH8" s="1539"/>
      <c r="HI8" s="1539"/>
      <c r="HJ8" s="1539"/>
      <c r="HK8" s="1539"/>
      <c r="HL8" s="1539"/>
      <c r="HM8" s="1539"/>
      <c r="HN8" s="1539"/>
      <c r="HO8" s="1539"/>
      <c r="HP8" s="1539"/>
      <c r="HQ8" s="1539"/>
      <c r="HR8" s="1539"/>
      <c r="HS8" s="1539"/>
      <c r="HT8" s="1539"/>
      <c r="HU8" s="1539"/>
      <c r="HV8" s="1539"/>
      <c r="HW8" s="1539"/>
      <c r="HX8" s="1539"/>
      <c r="HY8" s="1538"/>
      <c r="HZ8" s="1529"/>
      <c r="IA8" s="1529"/>
      <c r="IB8" s="1529"/>
      <c r="IC8" s="1529"/>
      <c r="ID8" s="1529"/>
      <c r="IE8" s="1529"/>
      <c r="IF8" s="1529"/>
      <c r="IG8" s="1529"/>
      <c r="IH8" s="1532"/>
      <c r="II8" s="1532"/>
      <c r="IJ8" s="1532"/>
      <c r="IK8" s="1532"/>
      <c r="IL8" s="1532"/>
      <c r="IM8" s="1532"/>
      <c r="IN8" s="1532"/>
      <c r="IO8" s="1532"/>
      <c r="IP8" s="1532"/>
      <c r="IQ8" s="1532"/>
      <c r="IR8" s="1532"/>
      <c r="IS8" s="1532"/>
      <c r="IT8" s="1532"/>
      <c r="IU8" s="1532"/>
      <c r="IV8" s="1532"/>
      <c r="IW8" s="1532"/>
      <c r="IX8" s="1532"/>
      <c r="IY8" s="1532"/>
      <c r="IZ8" s="1532"/>
      <c r="JA8" s="1532"/>
      <c r="JB8" s="1532"/>
      <c r="JC8" s="1532"/>
      <c r="JD8" s="1532"/>
      <c r="JE8" s="1532"/>
      <c r="JF8" s="1532"/>
      <c r="JG8" s="1532"/>
      <c r="JH8" s="1532"/>
      <c r="JI8" s="1532"/>
      <c r="JJ8" s="1532"/>
      <c r="JK8" s="1532"/>
      <c r="JL8" s="1532"/>
      <c r="JM8" s="1532"/>
      <c r="JN8" s="1532"/>
      <c r="JO8" s="1532"/>
    </row>
    <row r="9" spans="1:276" s="139" customFormat="1" ht="12.2" customHeight="1" thickTop="1" thickBot="1" x14ac:dyDescent="0.25">
      <c r="A9" s="2319" t="s">
        <v>1</v>
      </c>
      <c r="B9" s="2239"/>
      <c r="C9" s="2225" t="str">
        <f>IF(ISBLANK('Job Info.'!D3),"",'Job Info.'!D3)</f>
        <v>SUNPOINT CROSSING</v>
      </c>
      <c r="D9" s="2225"/>
      <c r="E9" s="2225"/>
      <c r="F9" s="2225"/>
      <c r="G9" s="2225"/>
      <c r="H9" s="2225"/>
      <c r="I9" s="2225"/>
      <c r="J9" s="2225"/>
      <c r="K9" s="2225"/>
      <c r="L9" s="2225"/>
      <c r="M9" s="2225"/>
      <c r="N9" s="2225"/>
      <c r="O9" s="2225"/>
      <c r="P9" s="2226"/>
      <c r="Q9" s="2319" t="s">
        <v>2</v>
      </c>
      <c r="R9" s="2239"/>
      <c r="S9" s="2239"/>
      <c r="T9" s="2225" t="str">
        <f>IF(ISBLANK('Job Info.'!D5),"",'Job Info.'!D5)</f>
        <v>9118-0062</v>
      </c>
      <c r="U9" s="2225"/>
      <c r="V9" s="2225"/>
      <c r="W9" s="2225"/>
      <c r="X9" s="2225"/>
      <c r="Y9" s="2225"/>
      <c r="Z9" s="2225"/>
      <c r="AA9" s="2226"/>
      <c r="AB9" s="2319" t="s">
        <v>1</v>
      </c>
      <c r="AC9" s="2685"/>
      <c r="AD9" s="2685"/>
      <c r="AE9" s="2225" t="str">
        <f>C9</f>
        <v>SUNPOINT CROSSING</v>
      </c>
      <c r="AF9" s="2225"/>
      <c r="AG9" s="2225"/>
      <c r="AH9" s="2225"/>
      <c r="AI9" s="2225"/>
      <c r="AJ9" s="2225"/>
      <c r="AK9" s="2225"/>
      <c r="AL9" s="2225"/>
      <c r="AM9" s="2225"/>
      <c r="AN9" s="2225"/>
      <c r="AO9" s="2225"/>
      <c r="AP9" s="2225"/>
      <c r="AQ9" s="2225"/>
      <c r="AR9" s="2225"/>
      <c r="AS9" s="2225"/>
      <c r="AT9" s="2226"/>
      <c r="AU9" s="2319" t="s">
        <v>2</v>
      </c>
      <c r="AV9" s="2239"/>
      <c r="AW9" s="2239"/>
      <c r="AX9" s="2225" t="str">
        <f>T9</f>
        <v>9118-0062</v>
      </c>
      <c r="AY9" s="2225"/>
      <c r="AZ9" s="2225"/>
      <c r="BA9" s="2225"/>
      <c r="BB9" s="2225"/>
      <c r="BC9" s="2225"/>
      <c r="BD9" s="2225"/>
      <c r="BE9" s="2225"/>
      <c r="BF9" s="2225"/>
      <c r="BG9" s="2226"/>
      <c r="BH9" s="322"/>
      <c r="BI9" s="295"/>
      <c r="CA9" s="302"/>
      <c r="CB9" s="2590"/>
      <c r="CC9" s="2591"/>
      <c r="CD9" s="2591"/>
      <c r="CE9" s="2591"/>
      <c r="CF9" s="2591"/>
      <c r="CG9" s="2594"/>
      <c r="CH9" s="2594"/>
      <c r="CI9" s="2594"/>
      <c r="CJ9" s="2594"/>
      <c r="CK9" s="2594"/>
      <c r="CL9" s="2594"/>
      <c r="CM9" s="2594"/>
      <c r="CN9" s="2594"/>
      <c r="CO9" s="2594"/>
      <c r="CP9" s="2594"/>
      <c r="CQ9" s="2594"/>
      <c r="CR9" s="2594"/>
      <c r="CS9" s="2594"/>
      <c r="CT9" s="2594"/>
      <c r="CU9" s="2591"/>
      <c r="CV9" s="2594"/>
      <c r="CW9" s="2594"/>
      <c r="CX9" s="2591"/>
      <c r="CY9" s="2592"/>
      <c r="CZ9" s="2633" t="s">
        <v>1103</v>
      </c>
      <c r="DA9" s="2634"/>
      <c r="DB9" s="173"/>
      <c r="DC9" s="173"/>
      <c r="DD9" s="173"/>
      <c r="DE9" s="173"/>
      <c r="DF9" s="173"/>
      <c r="DG9" s="173"/>
      <c r="DH9" s="2381" t="s">
        <v>653</v>
      </c>
      <c r="DI9" s="2596" t="s">
        <v>681</v>
      </c>
      <c r="DJ9" s="2597"/>
      <c r="DK9" s="2597"/>
      <c r="DL9" s="2597"/>
      <c r="DM9" s="2597"/>
      <c r="DN9" s="2598"/>
      <c r="DO9" s="2378" t="s">
        <v>640</v>
      </c>
      <c r="DP9" s="2602" t="s">
        <v>682</v>
      </c>
      <c r="DQ9" s="2565"/>
      <c r="DR9" s="2565"/>
      <c r="DS9" s="2565"/>
      <c r="DT9" s="2565"/>
      <c r="DU9" s="2565"/>
      <c r="DV9" s="2605" t="s">
        <v>650</v>
      </c>
      <c r="DW9" s="2565"/>
      <c r="DX9" s="2565"/>
      <c r="DY9" s="2565"/>
      <c r="DZ9" s="2565"/>
      <c r="EA9" s="2565"/>
      <c r="EB9" s="2565"/>
      <c r="EC9" s="2565"/>
      <c r="ED9" s="2565"/>
      <c r="EE9" s="2565"/>
      <c r="EF9" s="2565"/>
      <c r="EG9" s="2565"/>
      <c r="EH9" s="2565"/>
      <c r="EI9" s="2565"/>
      <c r="EJ9" s="2565"/>
      <c r="EK9" s="2566"/>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9"/>
      <c r="HB9" s="1539"/>
      <c r="HC9" s="1539"/>
      <c r="HD9" s="1540"/>
      <c r="HE9" s="1541"/>
      <c r="HF9" s="1539"/>
      <c r="HG9" s="1539"/>
      <c r="HH9" s="1539"/>
      <c r="HI9" s="1539"/>
      <c r="HJ9" s="1539"/>
      <c r="HK9" s="1539"/>
      <c r="HL9" s="1539"/>
      <c r="HM9" s="1539"/>
      <c r="HN9" s="1539"/>
      <c r="HO9" s="1539"/>
      <c r="HP9" s="1539"/>
      <c r="HQ9" s="1539"/>
      <c r="HR9" s="1539"/>
      <c r="HS9" s="1539"/>
      <c r="HT9" s="1539"/>
      <c r="HU9" s="1539"/>
      <c r="HV9" s="1539"/>
      <c r="HW9" s="1539"/>
      <c r="HX9" s="1539"/>
      <c r="HY9" s="1538"/>
      <c r="HZ9" s="1542"/>
      <c r="IA9" s="1542"/>
      <c r="IB9" s="1542"/>
      <c r="IC9" s="1542"/>
      <c r="ID9" s="1542"/>
      <c r="IE9" s="1542"/>
      <c r="IF9" s="1542"/>
      <c r="IG9" s="1542"/>
      <c r="IH9" s="1542"/>
      <c r="II9" s="1542"/>
      <c r="IJ9" s="1542"/>
      <c r="IK9" s="1542"/>
      <c r="IL9" s="1542"/>
      <c r="IM9" s="1542"/>
      <c r="IN9" s="1542"/>
      <c r="IO9" s="1542"/>
      <c r="IP9" s="1542"/>
      <c r="IQ9" s="1542"/>
      <c r="IR9" s="1542"/>
      <c r="IS9" s="1542"/>
      <c r="IT9" s="1542"/>
      <c r="IU9" s="1542"/>
      <c r="IV9" s="1542"/>
      <c r="IW9" s="1542"/>
      <c r="IX9" s="1542"/>
      <c r="IY9" s="1542"/>
      <c r="IZ9" s="1542"/>
      <c r="JA9" s="1542"/>
      <c r="JB9" s="1542"/>
      <c r="JC9" s="1542"/>
      <c r="JD9" s="1542"/>
      <c r="JE9" s="1532"/>
      <c r="JF9" s="1532"/>
      <c r="JG9" s="1532"/>
      <c r="JH9" s="1532"/>
      <c r="JI9" s="1532"/>
      <c r="JJ9" s="1532"/>
      <c r="JK9" s="1532"/>
      <c r="JL9" s="1532"/>
      <c r="JM9" s="1532"/>
      <c r="JN9" s="1532"/>
      <c r="JO9" s="1532"/>
    </row>
    <row r="10" spans="1:276" s="139" customFormat="1" ht="12.2" customHeight="1" thickTop="1" x14ac:dyDescent="0.2">
      <c r="A10" s="2319" t="s">
        <v>3</v>
      </c>
      <c r="B10" s="2239"/>
      <c r="C10" s="2225" t="str">
        <f>IF(ISBLANK('Job Info.'!D4),"",'Job Info.'!D4)</f>
        <v>LAS VEGAS, NV</v>
      </c>
      <c r="D10" s="2225"/>
      <c r="E10" s="2225"/>
      <c r="F10" s="2225"/>
      <c r="G10" s="2225"/>
      <c r="H10" s="2225"/>
      <c r="I10" s="2225"/>
      <c r="J10" s="2225"/>
      <c r="K10" s="2225"/>
      <c r="L10" s="2225"/>
      <c r="M10" s="2225"/>
      <c r="N10" s="2225"/>
      <c r="O10" s="2225"/>
      <c r="P10" s="2226"/>
      <c r="Q10" s="2319" t="s">
        <v>22</v>
      </c>
      <c r="R10" s="2239"/>
      <c r="S10" s="2239"/>
      <c r="T10" s="2225" t="str">
        <f>IF(ISBLANK('Job Info.'!D6),"",'Job Info.'!D6)</f>
        <v>CJA</v>
      </c>
      <c r="U10" s="2225"/>
      <c r="V10" s="2225"/>
      <c r="W10" s="2226"/>
      <c r="X10" s="2319" t="s">
        <v>23</v>
      </c>
      <c r="Y10" s="2239"/>
      <c r="Z10" s="2225" t="str">
        <f>IF(ISBLANK('Job Info.'!D7),"",'Job Info.'!D7)</f>
        <v>LS</v>
      </c>
      <c r="AA10" s="2226"/>
      <c r="AB10" s="2319" t="s">
        <v>3</v>
      </c>
      <c r="AC10" s="2685"/>
      <c r="AD10" s="2685"/>
      <c r="AE10" s="2225" t="str">
        <f>C10</f>
        <v>LAS VEGAS, NV</v>
      </c>
      <c r="AF10" s="2225"/>
      <c r="AG10" s="2225"/>
      <c r="AH10" s="2225"/>
      <c r="AI10" s="2225"/>
      <c r="AJ10" s="2225"/>
      <c r="AK10" s="2225"/>
      <c r="AL10" s="2225"/>
      <c r="AM10" s="2225"/>
      <c r="AN10" s="2225"/>
      <c r="AO10" s="2225"/>
      <c r="AP10" s="2225"/>
      <c r="AQ10" s="2225"/>
      <c r="AR10" s="2225"/>
      <c r="AS10" s="2225"/>
      <c r="AT10" s="2226"/>
      <c r="AU10" s="2319" t="s">
        <v>22</v>
      </c>
      <c r="AV10" s="2239"/>
      <c r="AW10" s="2239"/>
      <c r="AX10" s="2225" t="str">
        <f>T10</f>
        <v>CJA</v>
      </c>
      <c r="AY10" s="2225"/>
      <c r="AZ10" s="2225"/>
      <c r="BA10" s="2226"/>
      <c r="BB10" s="2319" t="s">
        <v>23</v>
      </c>
      <c r="BC10" s="2239"/>
      <c r="BD10" s="2239"/>
      <c r="BE10" s="2225" t="str">
        <f>Z10</f>
        <v>LS</v>
      </c>
      <c r="BF10" s="2225"/>
      <c r="BG10" s="2226"/>
      <c r="BH10" s="322"/>
      <c r="BI10" s="295"/>
      <c r="CA10" s="302"/>
      <c r="CB10" s="624"/>
      <c r="CC10" s="625"/>
      <c r="CD10" s="625"/>
      <c r="CE10" s="625"/>
      <c r="CF10" s="626"/>
      <c r="CG10" s="2682" t="s">
        <v>506</v>
      </c>
      <c r="CH10" s="2414"/>
      <c r="CI10" s="2414"/>
      <c r="CJ10" s="2414"/>
      <c r="CK10" s="2414"/>
      <c r="CL10" s="2414"/>
      <c r="CM10" s="2415"/>
      <c r="CN10" s="2413" t="s">
        <v>507</v>
      </c>
      <c r="CO10" s="2414"/>
      <c r="CP10" s="2414"/>
      <c r="CQ10" s="2414"/>
      <c r="CR10" s="2414"/>
      <c r="CS10" s="2414"/>
      <c r="CT10" s="2414"/>
      <c r="CU10" s="631"/>
      <c r="CV10" s="652"/>
      <c r="CW10" s="652"/>
      <c r="CX10" s="624"/>
      <c r="CY10" s="626"/>
      <c r="CZ10" s="2673"/>
      <c r="DA10" s="2674"/>
      <c r="DB10" s="173"/>
      <c r="DC10" s="173"/>
      <c r="DD10" s="173"/>
      <c r="DE10" s="173"/>
      <c r="DF10" s="173"/>
      <c r="DG10" s="173"/>
      <c r="DH10" s="2382"/>
      <c r="DI10" s="2599"/>
      <c r="DJ10" s="2600"/>
      <c r="DK10" s="2600"/>
      <c r="DL10" s="2600"/>
      <c r="DM10" s="2600"/>
      <c r="DN10" s="2601"/>
      <c r="DO10" s="2379"/>
      <c r="DP10" s="2568"/>
      <c r="DQ10" s="2568"/>
      <c r="DR10" s="2568"/>
      <c r="DS10" s="2568"/>
      <c r="DT10" s="2568"/>
      <c r="DU10" s="2568"/>
      <c r="DV10" s="2567"/>
      <c r="DW10" s="2568"/>
      <c r="DX10" s="2568"/>
      <c r="DY10" s="2568"/>
      <c r="DZ10" s="2568"/>
      <c r="EA10" s="2568"/>
      <c r="EB10" s="2568"/>
      <c r="EC10" s="2568"/>
      <c r="ED10" s="2568"/>
      <c r="EE10" s="2568"/>
      <c r="EF10" s="2568"/>
      <c r="EG10" s="2568"/>
      <c r="EH10" s="2568"/>
      <c r="EI10" s="2568"/>
      <c r="EJ10" s="2568"/>
      <c r="EK10" s="2569"/>
      <c r="EL10" s="288"/>
      <c r="EM10" s="288"/>
      <c r="EN10" s="288"/>
      <c r="EO10" s="288"/>
      <c r="EP10" s="288"/>
      <c r="EQ10" s="288"/>
      <c r="ER10" s="2471" t="s">
        <v>655</v>
      </c>
      <c r="ES10" s="2472"/>
      <c r="ET10" s="2608" t="s">
        <v>519</v>
      </c>
      <c r="EU10" s="2611" t="s">
        <v>520</v>
      </c>
      <c r="FW10" s="295"/>
      <c r="FX10" s="295"/>
      <c r="FY10" s="295"/>
      <c r="FZ10" s="295"/>
      <c r="GA10" s="2639" t="s">
        <v>1188</v>
      </c>
      <c r="GB10" s="2655"/>
      <c r="GC10" s="2655"/>
      <c r="GD10" s="2655"/>
      <c r="GE10" s="2655"/>
      <c r="GF10" s="2655"/>
      <c r="GG10" s="2640"/>
      <c r="GH10" s="2640"/>
      <c r="GI10" s="2640"/>
      <c r="GJ10" s="2640"/>
      <c r="GK10" s="295"/>
      <c r="GL10" s="298"/>
      <c r="GM10" s="298"/>
      <c r="GN10" s="298"/>
      <c r="GO10" s="298"/>
      <c r="GP10" s="298"/>
      <c r="GZ10" s="298"/>
      <c r="HA10" s="1539"/>
      <c r="HB10" s="1539"/>
      <c r="HC10" s="1539"/>
      <c r="HD10" s="1540"/>
      <c r="HE10" s="1541"/>
      <c r="HF10" s="1543"/>
      <c r="HG10" s="1544"/>
      <c r="HH10" s="1544"/>
      <c r="HI10" s="1544"/>
      <c r="HJ10" s="1544"/>
      <c r="HK10" s="1544"/>
      <c r="HL10" s="1544"/>
      <c r="HM10" s="1543"/>
      <c r="HN10" s="1544"/>
      <c r="HO10" s="1544"/>
      <c r="HP10" s="1544"/>
      <c r="HQ10" s="1544"/>
      <c r="HR10" s="1544"/>
      <c r="HS10" s="1544"/>
      <c r="HT10" s="1539"/>
      <c r="HU10" s="1539"/>
      <c r="HV10" s="1539"/>
      <c r="HW10" s="1539"/>
      <c r="HX10" s="1539"/>
      <c r="HY10" s="1538"/>
      <c r="HZ10" s="1529"/>
      <c r="IA10" s="1529"/>
      <c r="IB10" s="1529"/>
      <c r="IC10" s="1529"/>
      <c r="ID10" s="1529"/>
      <c r="IE10" s="1529"/>
      <c r="IF10" s="1529"/>
      <c r="IG10" s="1529"/>
      <c r="IH10" s="1532"/>
      <c r="II10" s="1532"/>
      <c r="IJ10" s="1532"/>
      <c r="IK10" s="1532"/>
      <c r="IL10" s="1532"/>
      <c r="IM10" s="1532"/>
      <c r="IN10" s="1532"/>
      <c r="IO10" s="1532"/>
      <c r="IP10" s="1532"/>
      <c r="IQ10" s="1532"/>
      <c r="IR10" s="1532"/>
      <c r="IS10" s="1532"/>
      <c r="IT10" s="1532"/>
      <c r="IU10" s="1532"/>
      <c r="IV10" s="1532"/>
      <c r="IW10" s="1532"/>
      <c r="IX10" s="1532"/>
      <c r="IY10" s="1532"/>
      <c r="IZ10" s="1532"/>
      <c r="JA10" s="1532"/>
      <c r="JB10" s="1532"/>
      <c r="JC10" s="1532"/>
      <c r="JD10" s="1532"/>
      <c r="JE10" s="1532"/>
      <c r="JF10" s="1532"/>
      <c r="JG10" s="1532"/>
      <c r="JH10" s="1532"/>
      <c r="JI10" s="1532"/>
      <c r="JJ10" s="1532"/>
      <c r="JK10" s="1532"/>
      <c r="JL10" s="1532"/>
      <c r="JM10" s="1532"/>
      <c r="JN10" s="1532"/>
      <c r="JO10" s="1532"/>
    </row>
    <row r="11" spans="1:276" ht="3.95" customHeight="1" thickBot="1" x14ac:dyDescent="0.25">
      <c r="A11" s="2486"/>
      <c r="B11" s="2486"/>
      <c r="C11" s="2486"/>
      <c r="D11" s="2486"/>
      <c r="E11" s="2486"/>
      <c r="F11" s="2486"/>
      <c r="G11" s="2486"/>
      <c r="H11" s="2486"/>
      <c r="I11" s="2486"/>
      <c r="J11" s="2486"/>
      <c r="K11" s="2486"/>
      <c r="L11" s="2486"/>
      <c r="M11" s="2486"/>
      <c r="N11" s="2486"/>
      <c r="O11" s="2486"/>
      <c r="P11" s="2486"/>
      <c r="Q11" s="2486"/>
      <c r="R11" s="2486"/>
      <c r="S11" s="2486"/>
      <c r="T11" s="2486"/>
      <c r="U11" s="2486"/>
      <c r="V11" s="2486"/>
      <c r="W11" s="2486"/>
      <c r="X11" s="2486"/>
      <c r="Y11" s="2486"/>
      <c r="Z11" s="2486"/>
      <c r="AA11" s="2486"/>
      <c r="AB11" s="1436"/>
      <c r="AC11" s="1436"/>
      <c r="AD11" s="1436"/>
      <c r="AE11" s="1436"/>
      <c r="AF11" s="1436"/>
      <c r="AG11" s="1436"/>
      <c r="AH11" s="1436"/>
      <c r="AI11" s="1436"/>
      <c r="AJ11" s="1436"/>
      <c r="AK11" s="1436"/>
      <c r="AL11" s="1436"/>
      <c r="AM11" s="1436"/>
      <c r="AN11" s="1436"/>
      <c r="AO11" s="1436"/>
      <c r="AP11" s="1436"/>
      <c r="AQ11" s="1436"/>
      <c r="AR11" s="1436"/>
      <c r="AS11" s="1436"/>
      <c r="AT11" s="1436"/>
      <c r="AU11" s="1436"/>
      <c r="AV11" s="1436"/>
      <c r="AW11" s="1436"/>
      <c r="AX11" s="1436"/>
      <c r="AY11" s="1436"/>
      <c r="AZ11" s="1436"/>
      <c r="BA11" s="1436"/>
      <c r="BB11" s="1436"/>
      <c r="BC11" s="1436"/>
      <c r="BD11" s="1436"/>
      <c r="BE11" s="1436"/>
      <c r="BF11" s="1436"/>
      <c r="BG11" s="1436"/>
      <c r="BH11" s="322"/>
      <c r="BJ11" s="139"/>
      <c r="BK11" s="139"/>
      <c r="BL11" s="139"/>
      <c r="BM11" s="139"/>
      <c r="BN11" s="139"/>
      <c r="BO11" s="139"/>
      <c r="CA11" s="138"/>
      <c r="CB11" s="637"/>
      <c r="CC11" s="654"/>
      <c r="CD11" s="654"/>
      <c r="CE11" s="655"/>
      <c r="CF11" s="656"/>
      <c r="CG11" s="2417"/>
      <c r="CH11" s="2417"/>
      <c r="CI11" s="2417"/>
      <c r="CJ11" s="2417"/>
      <c r="CK11" s="2417"/>
      <c r="CL11" s="2417"/>
      <c r="CM11" s="2418"/>
      <c r="CN11" s="2416"/>
      <c r="CO11" s="2417"/>
      <c r="CP11" s="2417"/>
      <c r="CQ11" s="2417"/>
      <c r="CR11" s="2417"/>
      <c r="CS11" s="2417"/>
      <c r="CT11" s="2417"/>
      <c r="CU11" s="657"/>
      <c r="CV11" s="653"/>
      <c r="CW11" s="653"/>
      <c r="CX11" s="637"/>
      <c r="CY11" s="638"/>
      <c r="CZ11" s="2673"/>
      <c r="DA11" s="2674"/>
      <c r="DB11" s="173"/>
      <c r="DC11" s="173"/>
      <c r="DD11" s="173"/>
      <c r="DE11" s="173"/>
      <c r="DF11" s="173"/>
      <c r="DG11" s="173"/>
      <c r="DH11" s="2382"/>
      <c r="DI11" s="2599"/>
      <c r="DJ11" s="2600"/>
      <c r="DK11" s="2600"/>
      <c r="DL11" s="2600"/>
      <c r="DM11" s="2600"/>
      <c r="DN11" s="2601"/>
      <c r="DO11" s="2379"/>
      <c r="DP11" s="2568"/>
      <c r="DQ11" s="2568"/>
      <c r="DR11" s="2568"/>
      <c r="DS11" s="2568"/>
      <c r="DT11" s="2568"/>
      <c r="DU11" s="2568"/>
      <c r="DV11" s="2567"/>
      <c r="DW11" s="2568"/>
      <c r="DX11" s="2568"/>
      <c r="DY11" s="2568"/>
      <c r="DZ11" s="2568"/>
      <c r="EA11" s="2568"/>
      <c r="EB11" s="2568"/>
      <c r="EC11" s="2568"/>
      <c r="ED11" s="2568"/>
      <c r="EE11" s="2568"/>
      <c r="EF11" s="2568"/>
      <c r="EG11" s="2568"/>
      <c r="EH11" s="2568"/>
      <c r="EI11" s="2568"/>
      <c r="EJ11" s="2568"/>
      <c r="EK11" s="2569"/>
      <c r="EL11" s="173"/>
      <c r="EM11" s="173"/>
      <c r="EN11" s="1186"/>
      <c r="EO11" s="173"/>
      <c r="EP11" s="173"/>
      <c r="EQ11" s="173"/>
      <c r="ER11" s="2473"/>
      <c r="ES11" s="2474"/>
      <c r="ET11" s="2609"/>
      <c r="EU11" s="2612"/>
      <c r="FW11" s="2"/>
      <c r="FX11" s="2"/>
      <c r="FY11" s="2"/>
      <c r="FZ11" s="2"/>
      <c r="GA11" s="2656"/>
      <c r="GB11" s="2656"/>
      <c r="GC11" s="2656"/>
      <c r="GD11" s="2656"/>
      <c r="GE11" s="2656"/>
      <c r="GF11" s="2656"/>
      <c r="GG11" s="2657"/>
      <c r="GH11" s="2657"/>
      <c r="GI11" s="2657"/>
      <c r="GJ11" s="2657"/>
      <c r="GK11" s="2"/>
      <c r="GL11" s="171"/>
      <c r="GM11" s="171"/>
      <c r="GN11" s="171"/>
      <c r="GO11" s="171"/>
      <c r="GP11" s="171"/>
      <c r="GZ11" s="171"/>
      <c r="HA11" s="1539"/>
      <c r="HB11" s="1539"/>
      <c r="HC11" s="1539"/>
      <c r="HD11" s="1540"/>
      <c r="HE11" s="1541"/>
      <c r="HF11" s="1544"/>
      <c r="HG11" s="1544"/>
      <c r="HH11" s="1544"/>
      <c r="HI11" s="1544"/>
      <c r="HJ11" s="1544"/>
      <c r="HK11" s="1544"/>
      <c r="HL11" s="1544"/>
      <c r="HM11" s="1544"/>
      <c r="HN11" s="1544"/>
      <c r="HO11" s="1544"/>
      <c r="HP11" s="1544"/>
      <c r="HQ11" s="1544"/>
      <c r="HR11" s="1544"/>
      <c r="HS11" s="1544"/>
      <c r="HT11" s="1539"/>
      <c r="HU11" s="1539"/>
      <c r="HV11" s="1539"/>
      <c r="HW11" s="1539"/>
      <c r="HX11" s="1539"/>
      <c r="HY11" s="1538"/>
      <c r="HZ11" s="1539"/>
      <c r="IA11" s="1539"/>
      <c r="IB11" s="1539"/>
      <c r="IC11" s="1539"/>
      <c r="ID11" s="1539"/>
      <c r="IE11" s="1539"/>
      <c r="IF11" s="1539"/>
      <c r="IG11" s="1539"/>
      <c r="IH11" s="1545"/>
      <c r="II11" s="1545"/>
      <c r="IJ11" s="1545"/>
      <c r="IK11" s="1545"/>
      <c r="IL11" s="1545"/>
      <c r="IM11" s="1545"/>
      <c r="IN11" s="1545"/>
      <c r="IO11" s="1545"/>
      <c r="IP11" s="1545"/>
      <c r="IQ11" s="1545"/>
      <c r="IR11" s="1545"/>
      <c r="IS11" s="1545"/>
      <c r="IT11" s="1545"/>
      <c r="IU11" s="1545"/>
      <c r="IV11" s="1545"/>
      <c r="IW11" s="1545"/>
      <c r="IX11" s="1545"/>
      <c r="IY11" s="1545"/>
      <c r="IZ11" s="1545"/>
      <c r="JA11" s="1545"/>
      <c r="JB11" s="1545"/>
      <c r="JC11" s="1545"/>
      <c r="JD11" s="1545"/>
      <c r="JE11" s="1545"/>
      <c r="JF11" s="1545"/>
      <c r="JG11" s="1545"/>
      <c r="JH11" s="1545"/>
      <c r="JI11" s="1545"/>
      <c r="JJ11" s="1545"/>
      <c r="JK11" s="1545"/>
      <c r="JL11" s="1545"/>
      <c r="JM11" s="1545"/>
      <c r="JN11" s="1545"/>
      <c r="JO11" s="1545"/>
    </row>
    <row r="12" spans="1:276" ht="12" customHeight="1" thickTop="1" thickBot="1" x14ac:dyDescent="0.25">
      <c r="A12" s="2434" t="s">
        <v>40</v>
      </c>
      <c r="B12" s="2435" t="s">
        <v>131</v>
      </c>
      <c r="C12" s="2435" t="s">
        <v>31</v>
      </c>
      <c r="D12" s="2435" t="s">
        <v>25</v>
      </c>
      <c r="E12" s="2439"/>
      <c r="F12" s="2445" t="s">
        <v>89</v>
      </c>
      <c r="G12" s="2344" t="s">
        <v>9</v>
      </c>
      <c r="H12" s="2443"/>
      <c r="I12" s="2443"/>
      <c r="J12" s="2443" t="s">
        <v>10</v>
      </c>
      <c r="K12" s="2443"/>
      <c r="L12" s="2342"/>
      <c r="M12" s="2437" t="s">
        <v>11</v>
      </c>
      <c r="N12" s="2438"/>
      <c r="O12" s="2440" t="s">
        <v>12</v>
      </c>
      <c r="P12" s="2441"/>
      <c r="Q12" s="2441" t="s">
        <v>13</v>
      </c>
      <c r="R12" s="2451"/>
      <c r="S12" s="2442" t="s">
        <v>14</v>
      </c>
      <c r="T12" s="2443"/>
      <c r="U12" s="2443"/>
      <c r="V12" s="2443"/>
      <c r="W12" s="2444"/>
      <c r="X12" s="2344" t="s">
        <v>112</v>
      </c>
      <c r="Y12" s="2342"/>
      <c r="Z12" s="1437" t="s">
        <v>15</v>
      </c>
      <c r="AA12" s="2686" t="s">
        <v>982</v>
      </c>
      <c r="AB12" s="2453" t="s">
        <v>40</v>
      </c>
      <c r="AC12" s="2336" t="s">
        <v>63</v>
      </c>
      <c r="AD12" s="2338" t="s">
        <v>32</v>
      </c>
      <c r="AE12" s="2339"/>
      <c r="AF12" s="2443" t="s">
        <v>34</v>
      </c>
      <c r="AG12" s="2443"/>
      <c r="AH12" s="2443"/>
      <c r="AI12" s="2338" t="s">
        <v>35</v>
      </c>
      <c r="AJ12" s="2339"/>
      <c r="AK12" s="2345" t="s">
        <v>64</v>
      </c>
      <c r="AL12" s="2347" t="s">
        <v>778</v>
      </c>
      <c r="AM12" s="2348"/>
      <c r="AN12" s="2348"/>
      <c r="AO12" s="2348"/>
      <c r="AP12" s="2348"/>
      <c r="AQ12" s="2349"/>
      <c r="AR12" s="2343" t="s">
        <v>83</v>
      </c>
      <c r="AS12" s="2343"/>
      <c r="AT12" s="2343"/>
      <c r="AU12" s="2343"/>
      <c r="AV12" s="2343"/>
      <c r="AW12" s="2343"/>
      <c r="AX12" s="2343"/>
      <c r="AY12" s="2343"/>
      <c r="AZ12" s="2343"/>
      <c r="BA12" s="2343"/>
      <c r="BB12" s="2343"/>
      <c r="BC12" s="2343"/>
      <c r="BD12" s="2343"/>
      <c r="BE12" s="2343"/>
      <c r="BF12" s="2343"/>
      <c r="BG12" s="2350"/>
      <c r="BH12" s="322"/>
      <c r="BJ12" s="139"/>
      <c r="BK12" s="139"/>
      <c r="BL12" s="139"/>
      <c r="BM12" s="139"/>
      <c r="BN12" s="139"/>
      <c r="BO12" s="139"/>
      <c r="BW12" s="2688" t="s">
        <v>671</v>
      </c>
      <c r="BX12" s="2689"/>
      <c r="BY12" s="2689"/>
      <c r="BZ12" s="2690"/>
      <c r="CA12" s="138"/>
      <c r="CB12" s="2505" t="s">
        <v>653</v>
      </c>
      <c r="CC12" s="2484" t="s">
        <v>131</v>
      </c>
      <c r="CD12" s="2618" t="s">
        <v>515</v>
      </c>
      <c r="CE12" s="2693" t="s">
        <v>516</v>
      </c>
      <c r="CF12" s="2694"/>
      <c r="CG12" s="2616" t="s">
        <v>579</v>
      </c>
      <c r="CH12" s="2618" t="s">
        <v>635</v>
      </c>
      <c r="CI12" s="2670"/>
      <c r="CJ12" s="2618" t="s">
        <v>636</v>
      </c>
      <c r="CK12" s="2670"/>
      <c r="CL12" s="2484" t="s">
        <v>525</v>
      </c>
      <c r="CM12" s="2626" t="s">
        <v>832</v>
      </c>
      <c r="CN12" s="2616" t="s">
        <v>579</v>
      </c>
      <c r="CO12" s="2618" t="s">
        <v>635</v>
      </c>
      <c r="CP12" s="2670"/>
      <c r="CQ12" s="2618" t="s">
        <v>636</v>
      </c>
      <c r="CR12" s="2670"/>
      <c r="CS12" s="2484" t="s">
        <v>525</v>
      </c>
      <c r="CT12" s="2626" t="s">
        <v>832</v>
      </c>
      <c r="CU12" s="2669" t="s">
        <v>848</v>
      </c>
      <c r="CV12" s="2677"/>
      <c r="CW12" s="2678"/>
      <c r="CX12" s="2623" t="s">
        <v>981</v>
      </c>
      <c r="CY12" s="2675" t="s">
        <v>518</v>
      </c>
      <c r="CZ12" s="2635" t="s">
        <v>677</v>
      </c>
      <c r="DA12" s="2637" t="s">
        <v>678</v>
      </c>
      <c r="DB12" s="2632" t="s">
        <v>847</v>
      </c>
      <c r="DC12" s="2632"/>
      <c r="DD12" s="2573" t="s">
        <v>1064</v>
      </c>
      <c r="DE12" s="2573"/>
      <c r="DF12" s="173"/>
      <c r="DG12" s="173"/>
      <c r="DH12" s="2382"/>
      <c r="DI12" s="2356" t="s">
        <v>1108</v>
      </c>
      <c r="DJ12" s="2358" t="s">
        <v>32</v>
      </c>
      <c r="DK12" s="2359"/>
      <c r="DL12" s="2362" t="s">
        <v>34</v>
      </c>
      <c r="DM12" s="2364" t="s">
        <v>526</v>
      </c>
      <c r="DN12" s="2365"/>
      <c r="DO12" s="2379"/>
      <c r="DP12" s="2334" t="s">
        <v>641</v>
      </c>
      <c r="DQ12" s="2365" t="s">
        <v>642</v>
      </c>
      <c r="DR12" s="2365" t="s">
        <v>643</v>
      </c>
      <c r="DS12" s="2365" t="s">
        <v>644</v>
      </c>
      <c r="DT12" s="2368" t="s">
        <v>645</v>
      </c>
      <c r="DU12" s="2369"/>
      <c r="DV12" s="2370" t="s">
        <v>638</v>
      </c>
      <c r="DW12" s="2371"/>
      <c r="DX12" s="2362" t="s">
        <v>649</v>
      </c>
      <c r="DY12" s="2372" t="s">
        <v>639</v>
      </c>
      <c r="DZ12" s="2370" t="s">
        <v>638</v>
      </c>
      <c r="EA12" s="2371"/>
      <c r="EB12" s="2362" t="s">
        <v>649</v>
      </c>
      <c r="EC12" s="2372" t="s">
        <v>639</v>
      </c>
      <c r="ED12" s="2370" t="s">
        <v>638</v>
      </c>
      <c r="EE12" s="2371"/>
      <c r="EF12" s="2362" t="s">
        <v>649</v>
      </c>
      <c r="EG12" s="2372" t="s">
        <v>639</v>
      </c>
      <c r="EH12" s="2370" t="s">
        <v>638</v>
      </c>
      <c r="EI12" s="2371"/>
      <c r="EJ12" s="2362" t="s">
        <v>649</v>
      </c>
      <c r="EK12" s="2332" t="s">
        <v>639</v>
      </c>
      <c r="EL12" s="2630" t="s">
        <v>628</v>
      </c>
      <c r="EM12" s="2631"/>
      <c r="EN12" s="2631"/>
      <c r="EO12" s="2628" t="s">
        <v>629</v>
      </c>
      <c r="EP12" s="2621" t="s">
        <v>827</v>
      </c>
      <c r="EQ12" s="2622"/>
      <c r="ER12" s="2475"/>
      <c r="ES12" s="2476"/>
      <c r="ET12" s="2609"/>
      <c r="EU12" s="2612"/>
      <c r="FW12" s="2"/>
      <c r="FX12" s="2"/>
      <c r="FY12" s="2"/>
      <c r="FZ12" s="2"/>
      <c r="GA12" s="2498" t="s">
        <v>749</v>
      </c>
      <c r="GB12" s="2499"/>
      <c r="GC12" s="2498" t="s">
        <v>597</v>
      </c>
      <c r="GD12" s="2499"/>
      <c r="GE12" s="2500" t="s">
        <v>752</v>
      </c>
      <c r="GF12" s="2502" t="s">
        <v>673</v>
      </c>
      <c r="GG12" s="2498" t="s">
        <v>1190</v>
      </c>
      <c r="GH12" s="2499"/>
      <c r="GI12" s="2498" t="s">
        <v>1189</v>
      </c>
      <c r="GJ12" s="2499"/>
      <c r="GK12" s="2491" t="s">
        <v>753</v>
      </c>
      <c r="GL12" s="2491" t="s">
        <v>754</v>
      </c>
      <c r="GM12" s="2491" t="s">
        <v>755</v>
      </c>
      <c r="GN12" s="171"/>
      <c r="GO12" s="171"/>
      <c r="GP12" s="171"/>
      <c r="GZ12" s="171"/>
      <c r="HA12" s="2574" t="s">
        <v>673</v>
      </c>
      <c r="HB12" s="2493" t="s">
        <v>1182</v>
      </c>
      <c r="HC12" s="2493" t="s">
        <v>1207</v>
      </c>
      <c r="HD12" s="2493" t="str">
        <f>IF($HA$1,"Bay Length","Overall Length")</f>
        <v>Overall Length</v>
      </c>
      <c r="HE12" s="2561"/>
      <c r="HF12" s="2493" t="str">
        <f>IF($HA$1,"L Sect #","TC Width")</f>
        <v>TC Width</v>
      </c>
      <c r="HG12" s="2495" t="str">
        <f>IF($HA$1,"L Min Sup Wid","TCXL Feet")</f>
        <v>TCXL Feet</v>
      </c>
      <c r="HH12" s="2495" t="str">
        <f>IF($HA$1,"L Max Sup Wid","TCXL Inch")</f>
        <v>TCXL Inch</v>
      </c>
      <c r="HI12" s="2495" t="str">
        <f>IF($HA$1,"L Min Flg Ga","TCXL Type")</f>
        <v>TCXL Type</v>
      </c>
      <c r="HJ12" s="2495" t="str">
        <f>IF($HA$1,"L Max Flg Ga","TCXR Feet")</f>
        <v>TCXR Feet</v>
      </c>
      <c r="HK12" s="2495" t="str">
        <f>IF($HA$1,"L Skew","TCXR Inch")</f>
        <v>TCXR Inch</v>
      </c>
      <c r="HL12" s="2495" t="str">
        <f>IF($HA$1,"L Brg Slp","TCXR Type")</f>
        <v>TCXR Type</v>
      </c>
      <c r="HM12" s="2493" t="str">
        <f>IF($HA$1,"R Sect #","BDL")</f>
        <v>BDL</v>
      </c>
      <c r="HN12" s="2495" t="str">
        <f>IF($HA$1,"R Min Sup Wid","BDR")</f>
        <v>BDR</v>
      </c>
      <c r="HO12" s="2495" t="str">
        <f>IF($HA$1,"R Max Sup Wid","BCXL Feet")</f>
        <v>BCXL Feet</v>
      </c>
      <c r="HP12" s="2495" t="str">
        <f>IF($HA$1,"R Min Flg Ga","BCXL Inch")</f>
        <v>BCXL Inch</v>
      </c>
      <c r="HQ12" s="2495" t="str">
        <f>IF($HA$1,"R Max Flg Ga","BCXR Feet")</f>
        <v>BCXR Feet</v>
      </c>
      <c r="HR12" s="2495" t="str">
        <f>IF($HA$1,"R Skew","BCXR Inch")</f>
        <v>BCXR Inch</v>
      </c>
      <c r="HS12" s="2495" t="str">
        <f>IF($HA$1,"R Brg Slp","HL Feet")</f>
        <v>HL Feet</v>
      </c>
      <c r="HT12" s="2495" t="str">
        <f>IF($HA$1,"TC Slope","HL Inch")</f>
        <v>HL Inch</v>
      </c>
      <c r="HU12" s="2495" t="str">
        <f>IF($HA$1,"Load Notes","HR Feet")</f>
        <v>HR Feet</v>
      </c>
      <c r="HV12" s="2495" t="str">
        <f>IF($HA$1,"Spcl Notes","HR Inch")</f>
        <v>HR Inch</v>
      </c>
      <c r="HW12" s="2495" t="str">
        <f>IF($HA$1,"# KB","Slot Ga")</f>
        <v>Slot Ga</v>
      </c>
      <c r="HX12" s="2495" t="str">
        <f>IF($HA$1,"TC Width","L Seat Slp")</f>
        <v>L Seat Slp</v>
      </c>
      <c r="HY12" s="2495" t="str">
        <f>IF($HA$1,"TCL Override","R Seat Slp")</f>
        <v>R Seat Slp</v>
      </c>
      <c r="HZ12" s="2495" t="str">
        <f>IF($HA$1,"TCR Override","Load Notes")</f>
        <v>Load Notes</v>
      </c>
      <c r="IA12" s="2495" t="str">
        <f>IF($HA$1,"L-BL Override","Spcl Notes")</f>
        <v>Spcl Notes</v>
      </c>
      <c r="IB12" s="2576" t="str">
        <f>IF($HA$1,"R-BL Override","# KB")</f>
        <v># KB</v>
      </c>
      <c r="IC12" s="2495" t="str">
        <f>IF($HA$1,"BDL Override","-")</f>
        <v>-</v>
      </c>
      <c r="ID12" s="2696" t="str">
        <f>IF($HA$1,"BDR Override","-")</f>
        <v>-</v>
      </c>
      <c r="IE12" s="2562" t="s">
        <v>673</v>
      </c>
      <c r="IF12" s="2465" t="s">
        <v>1209</v>
      </c>
      <c r="IG12" s="2465" t="s">
        <v>1210</v>
      </c>
      <c r="IH12" s="2465" t="s">
        <v>1211</v>
      </c>
      <c r="II12" s="2465" t="s">
        <v>1212</v>
      </c>
      <c r="IJ12" s="2465" t="s">
        <v>1214</v>
      </c>
      <c r="IK12" s="2465" t="s">
        <v>1213</v>
      </c>
      <c r="IL12" s="2465" t="str">
        <f>IF($HA$1,"Load (Kip)","Panel ""B"" Feet")</f>
        <v>Panel "B" Feet</v>
      </c>
      <c r="IM12" s="2465" t="str">
        <f>IF($HA$1,"OSHA N/F/B","Panel ""B"" Inch")</f>
        <v>Panel "B" Inch</v>
      </c>
      <c r="IN12" s="2465" t="str">
        <f>IF($HA$1,"Girder TC Ga","Load (Kip)")</f>
        <v>Load (Kip)</v>
      </c>
      <c r="IO12" s="2465" t="str">
        <f>IF($HA$1,"Jst Hole (x/16)","OSHA N/F/B")</f>
        <v>OSHA N/F/B</v>
      </c>
      <c r="IP12" s="2465" t="str">
        <f>IF($HA$1,"Joist Gage","Girder TC Gage")</f>
        <v>Girder TC Gage</v>
      </c>
      <c r="IQ12" s="2465" t="str">
        <f>IF($HA$1,"TC Hole L","Girder TC Hole (x/16)")</f>
        <v>Girder TC Hole (x/16)</v>
      </c>
      <c r="IR12" s="2465" t="str">
        <f>IF($HA$1,"TC Hole R","Joist Gage")</f>
        <v>Joist Gage</v>
      </c>
      <c r="IS12" s="2465" t="str">
        <f>IF($HA$1,"Add Jst#1 Feet","TCHoleL")</f>
        <v>TCHoleL</v>
      </c>
      <c r="IT12" s="2465" t="str">
        <f>IF($HA$1,"Add Jst#1 Inch","TC Hole R")</f>
        <v>TC Hole R</v>
      </c>
      <c r="IU12" s="2465" t="str">
        <f>IF($HA$1,"Add Jst#1 Load","Add Jst#1 Feet")</f>
        <v>Add Jst#1 Feet</v>
      </c>
      <c r="IV12" s="2465" t="str">
        <f>IF($HA$1,"Add Jst#1 Bolt N/F/B","Add Jst#1 inch")</f>
        <v>Add Jst#1 inch</v>
      </c>
      <c r="IW12" s="2465" t="str">
        <f>IF($HA$1,"Add Jst#2 Feet","Add Jst#1 Load")</f>
        <v>Add Jst#1 Load</v>
      </c>
      <c r="IX12" s="2465" t="str">
        <f>IF($HA$1,"Add Jst#2 Inch","Add Jst#1 Bolt N/F/B")</f>
        <v>Add Jst#1 Bolt N/F/B</v>
      </c>
      <c r="IY12" s="2465" t="str">
        <f>IF($HA$1,"Add Jst#2 Load","Add Jst#2 Feet")</f>
        <v>Add Jst#2 Feet</v>
      </c>
      <c r="IZ12" s="2465" t="str">
        <f>IF($HA$1,"Add Jst#2 Bolt N/F/B","Add Jst#2 inch")</f>
        <v>Add Jst#2 inch</v>
      </c>
      <c r="JA12" s="2465" t="str">
        <f>IF($HA$1,"Add Jst#3 Feet","Add Jst#2 Load")</f>
        <v>Add Jst#2 Load</v>
      </c>
      <c r="JB12" s="2465" t="str">
        <f>IF($HA$1,"Add Jst#3 Inch","Add Jst#2 Bolt N/F/B")</f>
        <v>Add Jst#2 Bolt N/F/B</v>
      </c>
      <c r="JC12" s="2465" t="str">
        <f>IF($HA$1,"Add Jst#3 Load","Add Jst#3 Feet")</f>
        <v>Add Jst#3 Feet</v>
      </c>
      <c r="JD12" s="2465" t="str">
        <f>IF($HA$1,"Add Jst#3 Bolt N/F/B","Add Jst#3 inch")</f>
        <v>Add Jst#3 inch</v>
      </c>
      <c r="JE12" s="2465" t="str">
        <f>IF($HA$1,"Add Jst#4 Feet","Add Jst#3 Load")</f>
        <v>Add Jst#3 Load</v>
      </c>
      <c r="JF12" s="2465" t="str">
        <f>IF($HA$1,"Add Jst#4 Inch","Add Jst#3 Bolt N/F/B")</f>
        <v>Add Jst#3 Bolt N/F/B</v>
      </c>
      <c r="JG12" s="2465" t="str">
        <f>IF($HA$1,"Add Jst#4 Load","Add Jst#4 Feet")</f>
        <v>Add Jst#4 Feet</v>
      </c>
      <c r="JH12" s="2465" t="str">
        <f>IF($HA$1,"Add Jst#4 Bolt N/F/B","Add Jst#4 inch")</f>
        <v>Add Jst#4 inch</v>
      </c>
      <c r="JI12" s="2465" t="str">
        <f>IF($HA$1,"-","Add Jst#4 Load")</f>
        <v>Add Jst#4 Load</v>
      </c>
      <c r="JJ12" s="2465" t="str">
        <f>IF($HA$1,"-","Add Jst#4 Bolt N/F/B")</f>
        <v>Add Jst#4 Bolt N/F/B</v>
      </c>
      <c r="JK12" s="2642" t="str">
        <f>IF($HA$1,"# Rows Req'd","# Rows Req'd")</f>
        <v># Rows Req'd</v>
      </c>
      <c r="JL12" s="2644" t="s">
        <v>1216</v>
      </c>
      <c r="JM12" s="1545"/>
      <c r="JN12" s="1545"/>
      <c r="JO12" s="1545"/>
    </row>
    <row r="13" spans="1:276" ht="21" customHeight="1" thickTop="1" thickBot="1" x14ac:dyDescent="0.25">
      <c r="A13" s="2434"/>
      <c r="B13" s="2435"/>
      <c r="C13" s="2435"/>
      <c r="D13" s="2435"/>
      <c r="E13" s="2439"/>
      <c r="F13" s="2445"/>
      <c r="G13" s="2352" t="s">
        <v>16</v>
      </c>
      <c r="H13" s="2436"/>
      <c r="I13" s="1423" t="s">
        <v>773</v>
      </c>
      <c r="J13" s="2436" t="s">
        <v>16</v>
      </c>
      <c r="K13" s="2436"/>
      <c r="L13" s="1371" t="s">
        <v>773</v>
      </c>
      <c r="M13" s="1427" t="s">
        <v>18</v>
      </c>
      <c r="N13" s="549" t="s">
        <v>19</v>
      </c>
      <c r="O13" s="2440"/>
      <c r="P13" s="2441"/>
      <c r="Q13" s="2441"/>
      <c r="R13" s="2451"/>
      <c r="S13" s="2355" t="s">
        <v>81</v>
      </c>
      <c r="T13" s="2436"/>
      <c r="U13" s="2436" t="s">
        <v>82</v>
      </c>
      <c r="V13" s="2436"/>
      <c r="W13" s="549" t="s">
        <v>27</v>
      </c>
      <c r="X13" s="1422" t="s">
        <v>113</v>
      </c>
      <c r="Y13" s="1371" t="s">
        <v>114</v>
      </c>
      <c r="Z13" s="1438" t="s">
        <v>58</v>
      </c>
      <c r="AA13" s="2687"/>
      <c r="AB13" s="2454"/>
      <c r="AC13" s="2337"/>
      <c r="AD13" s="2340"/>
      <c r="AE13" s="2341"/>
      <c r="AF13" s="1423" t="s">
        <v>33</v>
      </c>
      <c r="AG13" s="2436" t="s">
        <v>16</v>
      </c>
      <c r="AH13" s="2436"/>
      <c r="AI13" s="2340"/>
      <c r="AJ13" s="2341"/>
      <c r="AK13" s="2346"/>
      <c r="AL13" s="1439" t="s">
        <v>779</v>
      </c>
      <c r="AM13" s="1424" t="s">
        <v>776</v>
      </c>
      <c r="AN13" s="1424" t="s">
        <v>777</v>
      </c>
      <c r="AO13" s="1425" t="s">
        <v>61</v>
      </c>
      <c r="AP13" s="1426" t="s">
        <v>780</v>
      </c>
      <c r="AQ13" s="1440" t="s">
        <v>781</v>
      </c>
      <c r="AR13" s="2353" t="s">
        <v>59</v>
      </c>
      <c r="AS13" s="2352"/>
      <c r="AT13" s="1441" t="s">
        <v>64</v>
      </c>
      <c r="AU13" s="1442" t="s">
        <v>60</v>
      </c>
      <c r="AV13" s="2354" t="s">
        <v>59</v>
      </c>
      <c r="AW13" s="2355"/>
      <c r="AX13" s="1441" t="s">
        <v>64</v>
      </c>
      <c r="AY13" s="1442" t="s">
        <v>60</v>
      </c>
      <c r="AZ13" s="2354" t="s">
        <v>59</v>
      </c>
      <c r="BA13" s="2355"/>
      <c r="BB13" s="1441" t="s">
        <v>64</v>
      </c>
      <c r="BC13" s="1442" t="s">
        <v>60</v>
      </c>
      <c r="BD13" s="2354" t="s">
        <v>59</v>
      </c>
      <c r="BE13" s="2355"/>
      <c r="BF13" s="1441" t="s">
        <v>64</v>
      </c>
      <c r="BG13" s="1442"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506"/>
      <c r="CC13" s="2691"/>
      <c r="CD13" s="2692"/>
      <c r="CE13" s="2421"/>
      <c r="CF13" s="2422"/>
      <c r="CG13" s="2617"/>
      <c r="CH13" s="2671"/>
      <c r="CI13" s="2672"/>
      <c r="CJ13" s="2671"/>
      <c r="CK13" s="2672"/>
      <c r="CL13" s="2681"/>
      <c r="CM13" s="2627"/>
      <c r="CN13" s="2617"/>
      <c r="CO13" s="2671"/>
      <c r="CP13" s="2672"/>
      <c r="CQ13" s="2671"/>
      <c r="CR13" s="2672"/>
      <c r="CS13" s="2681"/>
      <c r="CT13" s="2627"/>
      <c r="CU13" s="2615"/>
      <c r="CV13" s="515" t="s">
        <v>455</v>
      </c>
      <c r="CW13" s="516" t="s">
        <v>592</v>
      </c>
      <c r="CX13" s="2624"/>
      <c r="CY13" s="2676"/>
      <c r="CZ13" s="2636"/>
      <c r="DA13" s="2638"/>
      <c r="DB13" s="1041" t="s">
        <v>646</v>
      </c>
      <c r="DC13" s="1042" t="s">
        <v>647</v>
      </c>
      <c r="DD13" s="594" t="s">
        <v>646</v>
      </c>
      <c r="DE13" s="595" t="s">
        <v>647</v>
      </c>
      <c r="DF13" s="173"/>
      <c r="DG13" s="173"/>
      <c r="DH13" s="2383"/>
      <c r="DI13" s="2357"/>
      <c r="DJ13" s="2360"/>
      <c r="DK13" s="2361"/>
      <c r="DL13" s="2363"/>
      <c r="DM13" s="2366"/>
      <c r="DN13" s="2367"/>
      <c r="DO13" s="2380"/>
      <c r="DP13" s="2335"/>
      <c r="DQ13" s="2367"/>
      <c r="DR13" s="2367"/>
      <c r="DS13" s="2367"/>
      <c r="DT13" s="634" t="s">
        <v>646</v>
      </c>
      <c r="DU13" s="635" t="s">
        <v>647</v>
      </c>
      <c r="DV13" s="669" t="s">
        <v>674</v>
      </c>
      <c r="DW13" s="670" t="s">
        <v>648</v>
      </c>
      <c r="DX13" s="2363"/>
      <c r="DY13" s="2364"/>
      <c r="DZ13" s="669" t="s">
        <v>674</v>
      </c>
      <c r="EA13" s="670" t="s">
        <v>648</v>
      </c>
      <c r="EB13" s="2363"/>
      <c r="EC13" s="2364"/>
      <c r="ED13" s="669" t="s">
        <v>674</v>
      </c>
      <c r="EE13" s="670" t="s">
        <v>648</v>
      </c>
      <c r="EF13" s="2363"/>
      <c r="EG13" s="2364"/>
      <c r="EH13" s="669" t="s">
        <v>674</v>
      </c>
      <c r="EI13" s="670" t="s">
        <v>648</v>
      </c>
      <c r="EJ13" s="2363"/>
      <c r="EK13" s="2333"/>
      <c r="EL13" s="636" t="s">
        <v>625</v>
      </c>
      <c r="EM13" s="517" t="s">
        <v>626</v>
      </c>
      <c r="EN13" s="518" t="s">
        <v>627</v>
      </c>
      <c r="EO13" s="2629"/>
      <c r="EP13" s="658" t="s">
        <v>646</v>
      </c>
      <c r="EQ13" s="659" t="s">
        <v>647</v>
      </c>
      <c r="ER13" s="520" t="s">
        <v>557</v>
      </c>
      <c r="ES13" s="521" t="s">
        <v>170</v>
      </c>
      <c r="ET13" s="2610"/>
      <c r="EU13" s="2613"/>
      <c r="EX13" s="442" t="s">
        <v>673</v>
      </c>
      <c r="EY13" s="1195" t="s">
        <v>1107</v>
      </c>
      <c r="EZ13" s="1198" t="s">
        <v>1109</v>
      </c>
      <c r="FA13" s="165" t="s">
        <v>1145</v>
      </c>
      <c r="FB13" s="1215" t="s">
        <v>177</v>
      </c>
      <c r="FC13" s="1215" t="s">
        <v>32</v>
      </c>
      <c r="FD13" s="1215" t="s">
        <v>34</v>
      </c>
      <c r="FE13" s="1215" t="s">
        <v>35</v>
      </c>
      <c r="FF13" s="1216" t="s">
        <v>1146</v>
      </c>
      <c r="FN13" s="1816" t="s">
        <v>1147</v>
      </c>
      <c r="FO13" s="1817" t="s">
        <v>1255</v>
      </c>
      <c r="FP13" s="1195" t="s">
        <v>1147</v>
      </c>
      <c r="FQ13" s="1817" t="s">
        <v>1256</v>
      </c>
      <c r="FW13" s="2"/>
      <c r="FX13" s="2"/>
      <c r="FZ13" s="2"/>
      <c r="GA13" s="664" t="s">
        <v>750</v>
      </c>
      <c r="GB13" s="665" t="s">
        <v>751</v>
      </c>
      <c r="GC13" s="664" t="s">
        <v>646</v>
      </c>
      <c r="GD13" s="665" t="s">
        <v>647</v>
      </c>
      <c r="GE13" s="2501"/>
      <c r="GF13" s="2501"/>
      <c r="GG13" s="664" t="s">
        <v>750</v>
      </c>
      <c r="GH13" s="665" t="s">
        <v>751</v>
      </c>
      <c r="GI13" s="664" t="s">
        <v>750</v>
      </c>
      <c r="GJ13" s="665" t="s">
        <v>751</v>
      </c>
      <c r="GK13" s="2492"/>
      <c r="GL13" s="2492"/>
      <c r="GM13" s="2492"/>
      <c r="GO13" s="171"/>
      <c r="GP13" s="171"/>
      <c r="GZ13" s="171"/>
      <c r="HA13" s="2659"/>
      <c r="HB13" s="2658"/>
      <c r="HC13" s="2658"/>
      <c r="HD13" s="2658"/>
      <c r="HE13" s="2658"/>
      <c r="HF13" s="2658"/>
      <c r="HG13" s="2658"/>
      <c r="HH13" s="2658"/>
      <c r="HI13" s="2658"/>
      <c r="HJ13" s="2658"/>
      <c r="HK13" s="2658"/>
      <c r="HL13" s="2658"/>
      <c r="HM13" s="2658"/>
      <c r="HN13" s="2658"/>
      <c r="HO13" s="2658"/>
      <c r="HP13" s="2658"/>
      <c r="HQ13" s="2658"/>
      <c r="HR13" s="2658"/>
      <c r="HS13" s="2658"/>
      <c r="HT13" s="2658"/>
      <c r="HU13" s="2658"/>
      <c r="HV13" s="2658"/>
      <c r="HW13" s="2658"/>
      <c r="HX13" s="2658"/>
      <c r="HY13" s="2658"/>
      <c r="HZ13" s="2658"/>
      <c r="IA13" s="2658"/>
      <c r="IB13" s="2695"/>
      <c r="IC13" s="2658"/>
      <c r="ID13" s="2697"/>
      <c r="IE13" s="2563"/>
      <c r="IF13" s="2466"/>
      <c r="IG13" s="2466"/>
      <c r="IH13" s="2466"/>
      <c r="II13" s="2466"/>
      <c r="IJ13" s="2466"/>
      <c r="IK13" s="2466"/>
      <c r="IL13" s="2466"/>
      <c r="IM13" s="2466"/>
      <c r="IN13" s="2466"/>
      <c r="IO13" s="2466"/>
      <c r="IP13" s="2466"/>
      <c r="IQ13" s="2466"/>
      <c r="IR13" s="2466"/>
      <c r="IS13" s="2466"/>
      <c r="IT13" s="2466"/>
      <c r="IU13" s="2466"/>
      <c r="IV13" s="2466"/>
      <c r="IW13" s="2466"/>
      <c r="IX13" s="2466"/>
      <c r="IY13" s="2466"/>
      <c r="IZ13" s="2466"/>
      <c r="JA13" s="2466"/>
      <c r="JB13" s="2466"/>
      <c r="JC13" s="2466"/>
      <c r="JD13" s="2466"/>
      <c r="JE13" s="2466"/>
      <c r="JF13" s="2466"/>
      <c r="JG13" s="2466"/>
      <c r="JH13" s="2466"/>
      <c r="JI13" s="2466"/>
      <c r="JJ13" s="2466"/>
      <c r="JK13" s="2643"/>
      <c r="JL13" s="2645"/>
      <c r="JM13" s="1545"/>
      <c r="JN13" s="1545"/>
      <c r="JO13" s="1545"/>
    </row>
    <row r="14" spans="1:276" ht="12.6" customHeight="1" thickTop="1" x14ac:dyDescent="0.25">
      <c r="A14" s="1942" t="str">
        <f t="shared" ref="A14:C45" si="0">IF(ISBLANK(CB14),"",CB14)</f>
        <v/>
      </c>
      <c r="B14" s="1943" t="str">
        <f t="shared" si="0"/>
        <v/>
      </c>
      <c r="C14" s="1944" t="str">
        <f t="shared" si="0"/>
        <v/>
      </c>
      <c r="D14" s="1945" t="str">
        <f t="shared" ref="D14:D45" si="1">IF(CV54="","",TRUNC(CV54/12))</f>
        <v/>
      </c>
      <c r="E14" s="1946" t="str">
        <f t="shared" ref="E14:E45" si="2">IF(CV54="","",CV54-(D14*12))</f>
        <v/>
      </c>
      <c r="F14" s="1947" t="str">
        <f t="shared" ref="F14:F45" si="3">IF(ISBLANK(CY14),"",CY14)</f>
        <v/>
      </c>
      <c r="G14" s="1948" t="str">
        <f t="shared" ref="G14:G45" si="4">IF(DD54=0,"",TRUNC(DD54/12))</f>
        <v/>
      </c>
      <c r="H14" s="1949" t="str">
        <f t="shared" ref="H14:H45" si="5">IF(DD54=0,"",DD54-(G14*12))</f>
        <v/>
      </c>
      <c r="I14" s="1950" t="str">
        <f t="shared" ref="I14:I45" si="6">IF(DD54=0,"",CE54)</f>
        <v/>
      </c>
      <c r="J14" s="1945" t="str">
        <f t="shared" ref="J14:J45" si="7">IF(DJ54=0,"",TRUNC(DJ54/12))</f>
        <v/>
      </c>
      <c r="K14" s="1949" t="str">
        <f t="shared" ref="K14:K45" si="8">IF(DJ54=0,"",DJ54-(J14*12))</f>
        <v/>
      </c>
      <c r="L14" s="1951" t="str">
        <f t="shared" ref="L14:L45" si="9">IF(DJ54=0,"",CN54)</f>
        <v/>
      </c>
      <c r="M14" s="1952" t="str">
        <f t="shared" ref="M14:N45" si="10">IF(CW54="","",CW54)</f>
        <v/>
      </c>
      <c r="N14" s="1953" t="str">
        <f t="shared" si="10"/>
        <v/>
      </c>
      <c r="O14" s="1948" t="str">
        <f t="shared" ref="O14:O45" si="11">IF(DZ54="","",IF(AND(DZ54&gt;-12,DZ54&lt;0),-0.000001,TRUNC(DZ54/12)))</f>
        <v/>
      </c>
      <c r="P14" s="1949" t="str">
        <f t="shared" ref="P14:P45" si="12">IF(DZ54="","",IF(AND(DZ54&lt;0,DZ54-(O14*12)=0),-0.00001,DZ54-(O14*12)))</f>
        <v/>
      </c>
      <c r="Q14" s="1945" t="str">
        <f t="shared" ref="Q14:Q45" si="13">IF(EA54="","",IF(AND(EA54&gt;-12,EA54&lt;0),-0.000001,TRUNC(EA54/12)))</f>
        <v/>
      </c>
      <c r="R14" s="1946" t="str">
        <f t="shared" ref="R14:R45" si="14">IF(EA54="","",IF(AND(EA54&lt;0,EA54-(Q14*12)=0),-0.00001,EA54-(Q14*12)))</f>
        <v/>
      </c>
      <c r="S14" s="1954" t="str">
        <f t="shared" ref="S14:S45" si="15">IF(DR54="","",IF(DR54="ERR",TRUNC(DQ54/12),TRUNC(DR54/12)))</f>
        <v/>
      </c>
      <c r="T14" s="1949" t="str">
        <f t="shared" ref="T14:T45" si="16">IF(DR54="","",IF(DR54="ERR",DQ54-(S14*12),DR54-(S14*12)))</f>
        <v/>
      </c>
      <c r="U14" s="1945" t="str">
        <f t="shared" ref="U14:U45" si="17">IF(DY54="","",IF(DY54="ERR",TRUNC(DX54/12),TRUNC(DY54/12)))</f>
        <v/>
      </c>
      <c r="V14" s="1949" t="str">
        <f t="shared" ref="V14:V45" si="18">IF(DY54="","",IF(DY54="ERR",DX54-(U14*12),DY54-(U14*12)))</f>
        <v/>
      </c>
      <c r="W14" s="1953">
        <f t="shared" ref="W14:W45" si="19">IF(EC54="",0,EC54)</f>
        <v>0</v>
      </c>
      <c r="X14" s="1955" t="str">
        <f t="shared" ref="X14:X45" si="20">IF(EN54="","",EN54)</f>
        <v/>
      </c>
      <c r="Y14" s="1956" t="str">
        <f t="shared" ref="Y14:Y45" si="21">IF(ES54="","",ES54)</f>
        <v/>
      </c>
      <c r="Z14" s="1941"/>
      <c r="AA14" s="1957" t="str">
        <f t="shared" ref="AA14:AA45" si="22">IF(ISBLANK(CX14),"",CX14)</f>
        <v/>
      </c>
      <c r="AB14" s="1893" t="str">
        <f t="shared" ref="AB14:AC45" si="23">IF(ISBLANK(DH14),"",DH14)</f>
        <v/>
      </c>
      <c r="AC14" s="1894" t="str">
        <f t="shared" si="23"/>
        <v/>
      </c>
      <c r="AD14" s="1895" t="str">
        <f t="shared" ref="AD14:AD45" si="24">IF(ISERROR(FV54),"",IF(FV54="","",TRUNC(FV54/12)))</f>
        <v/>
      </c>
      <c r="AE14" s="1896" t="str">
        <f t="shared" ref="AE14:AE45" si="25">IF(ISERROR(FV54),"",IF(FV54="","",FV54-(AD14*12)))</f>
        <v/>
      </c>
      <c r="AF14" s="1894" t="str">
        <f t="shared" ref="AF14:AF45" si="26">IF(ISERROR(FO54),"",IF(FO54="","",FO54))</f>
        <v/>
      </c>
      <c r="AG14" s="1895" t="str">
        <f t="shared" ref="AG14:AG45" si="27">IF(ISERROR(FX54),"",IF(FX54="","",TRUNC(FX54/12)))</f>
        <v/>
      </c>
      <c r="AH14" s="1896" t="str">
        <f t="shared" ref="AH14:AH45" si="28">IF(ISERROR(FX54),"",IF(FX54="","",FX54-(AG14*12)))</f>
        <v/>
      </c>
      <c r="AI14" s="1895" t="str">
        <f t="shared" ref="AI14:AI45" si="29">IF(ISERROR(FZ54),"",IF(FZ54="","",TRUNC(FZ54/12)))</f>
        <v/>
      </c>
      <c r="AJ14" s="1896" t="str">
        <f t="shared" ref="AJ14:AJ45" si="30">IF(ISERROR(FZ54),"",IF(FZ54="","",FZ54-(AI14*12)))</f>
        <v/>
      </c>
      <c r="AK14" s="1897" t="str">
        <f t="shared" ref="AK14:AO45" si="31">IF(ISBLANK(DO14),"",DO14)</f>
        <v/>
      </c>
      <c r="AL14" s="1898" t="str">
        <f t="shared" si="31"/>
        <v/>
      </c>
      <c r="AM14" s="1899" t="str">
        <f t="shared" si="31"/>
        <v/>
      </c>
      <c r="AN14" s="1894" t="str">
        <f t="shared" si="31"/>
        <v/>
      </c>
      <c r="AO14" s="1958" t="str">
        <f t="shared" si="31"/>
        <v/>
      </c>
      <c r="AP14" s="1901" t="str">
        <f t="shared" ref="AP14:AQ45" si="32">IF(OR(GD54="",GD54=0),"",GD54)</f>
        <v/>
      </c>
      <c r="AQ14" s="1902" t="str">
        <f t="shared" si="32"/>
        <v/>
      </c>
      <c r="AR14" s="1903" t="str">
        <f t="shared" ref="AR14:AR45" si="33">IF(GF54="","",IF(ISTEXT(GF54),"P",TRUNC(GF54/12)))</f>
        <v/>
      </c>
      <c r="AS14" s="1896" t="str">
        <f t="shared" ref="AS14:AS45" si="34">IF(GF54="","",IF(AR14="P",GF54,GF54-(AR14*12)))</f>
        <v/>
      </c>
      <c r="AT14" s="1904" t="str">
        <f t="shared" ref="AT14:AU45" si="35">IF(ISBLANK(DX14),"",DX14)</f>
        <v/>
      </c>
      <c r="AU14" s="1907" t="str">
        <f t="shared" si="35"/>
        <v/>
      </c>
      <c r="AV14" s="1959" t="str">
        <f t="shared" ref="AV14:AV45" si="36">IF(GG54="","",IF(ISTEXT(GG54),"P",TRUNC(GG54/12)))</f>
        <v/>
      </c>
      <c r="AW14" s="1896" t="str">
        <f t="shared" ref="AW14:AW45" si="37">IF(GG54="","",IF(AV14="P",GG54,GG54-(AV14*12)))</f>
        <v/>
      </c>
      <c r="AX14" s="1904" t="str">
        <f t="shared" ref="AX14:AY45" si="38">IF(ISBLANK(EB14),"",EB14)</f>
        <v/>
      </c>
      <c r="AY14" s="1907" t="str">
        <f t="shared" si="38"/>
        <v/>
      </c>
      <c r="AZ14" s="1959" t="str">
        <f t="shared" ref="AZ14:AZ45" si="39">IF(GH54="","",IF(ISTEXT(GH54),"P",TRUNC(GH54/12)))</f>
        <v/>
      </c>
      <c r="BA14" s="1896" t="str">
        <f t="shared" ref="BA14:BA45" si="40">IF(GH54="","",IF(AZ14="P",GH54,GH54-(AZ14*12)))</f>
        <v/>
      </c>
      <c r="BB14" s="1904" t="str">
        <f t="shared" ref="BB14:BC45" si="41">IF(ISBLANK(EF14),"",EF14)</f>
        <v/>
      </c>
      <c r="BC14" s="1907" t="str">
        <f t="shared" si="41"/>
        <v/>
      </c>
      <c r="BD14" s="1959" t="str">
        <f t="shared" ref="BD14:BD45" si="42">IF(GI54="","",IF(ISTEXT(GI54),"P",TRUNC(GI54/12)))</f>
        <v/>
      </c>
      <c r="BE14" s="1896" t="str">
        <f t="shared" ref="BE14:BE45" si="43">IF(GI54="","",IF(BD14="P",GI54,GI54-(BD14*12)))</f>
        <v/>
      </c>
      <c r="BF14" s="1904" t="str">
        <f t="shared" ref="BF14:BG45" si="44">IF(ISBLANK(EJ14),"",EJ14)</f>
        <v/>
      </c>
      <c r="BG14" s="1907" t="str">
        <f t="shared" si="44"/>
        <v/>
      </c>
      <c r="BH14" s="322"/>
      <c r="BJ14" s="1258" t="str">
        <f>IF(OR(ISBLANK(A14),A14=""),"",A14)</f>
        <v/>
      </c>
      <c r="BK14" s="1256" t="b">
        <f t="shared" ref="BK14:BK45" si="45">IF($BK$1,IF(BJ14=BJ13,BK13,IF(AND(BJ14&lt;&gt;"",OR(B14=0,B14="")),TRUE,FALSE)),FALSE)</f>
        <v>0</v>
      </c>
      <c r="BL14" s="1251" t="b">
        <v>0</v>
      </c>
      <c r="BM14" s="1251">
        <f t="shared" ref="BM14:BM45" si="46">IF(C14="",0,VALUE(IF(BN14="","",LEFT(C14,SEARCH(BN14,C14)-1))))</f>
        <v>0</v>
      </c>
      <c r="BN14" s="1251">
        <f t="shared" ref="BN14:BN45" si="47">IF(C14="",0,IF(NOT(ISERROR(SEARCH("VG",C14))),"VG",IF(NOT(ISERROR(SEARCH("BG",C14))),"BG",IF(NOT(ISERROR(SEARCH("G",C14))),"G"))))</f>
        <v>0</v>
      </c>
      <c r="BO14" s="1251">
        <f t="shared" ref="BO14:BO45" si="48">IF(C14="",0,VALUE(MID(C14,SEARCH(BN14,C14)+LEN(BN14),SEARCH("N",C14)-SEARCH(BN14,C14)-LEN(BN14))))</f>
        <v>0</v>
      </c>
      <c r="BP14" s="1251">
        <f t="shared" ref="BP14:BP45" si="49">IF(ISERROR(SEARCH("F",C14)),IF(C14="",0,VALUE(MID(C14,SEARCH("N",C14)+1,SEARCH("K",C14)-SEARCH("N",C14)-1))),IF(C14="",0,VALUE(MID(C14,SEARCH("N",C14)+1,SEARCH("F",C14)-SEARCH("N",C14)-1))))</f>
        <v>0</v>
      </c>
      <c r="BQ14" s="1251">
        <f t="shared" ref="BQ14:BQ45" si="50">IF(ISERROR(SEARCH("F",C14)),IF(C14="",0,IF(SEARCH("K",C14)=LEN(C14),0,VALUE(MID(C14,SEARCH("K",C14)+1,LEN(C14))))),IF(C14="",0,IF(SEARCH("F",C14)=LEN(C14),0,VALUE(MID(C14,SEARCH("F",C14)+1,LEN(C14))))))</f>
        <v>0</v>
      </c>
      <c r="BR14" s="1251" t="b">
        <f t="shared" ref="BR14:BR45" si="51">IF(OR(ISERROR(BM14),ISERROR(BN14),ISERROR(BO14),ISERROR(BP14),ISERROR(BQ14)),FALSE,TRUE)</f>
        <v>1</v>
      </c>
      <c r="BS14" s="1252">
        <f t="shared" ref="BS14:BS45" si="52">6+IF(LEFT(I14,1)="R",IF(ISNUMBER(G14),G14*12,0)+IF(ISNUMBER(H14),H14,0),0)</f>
        <v>6</v>
      </c>
      <c r="BT14" s="1252" t="str">
        <f t="shared" ref="BT14:BT45" si="53">IF(IF(ISNUMBER(S14),S14*12,0)+IF(ISNUMBER(T14),T14,0)&gt;0,IF(AND(IF(ISNUMBER(S14),S14*12,0)+IF(ISNUMBER(T14),T14,0)&gt;=1.25,IF(ISNUMBER(S14),S14*12,0)+IF(ISNUMBER(T14),T14,0)&lt;=(BS14-1.25)+IF(I14="X",2,0)),"Yes","No"),"No")</f>
        <v>No</v>
      </c>
      <c r="BU14" s="1252">
        <f t="shared" ref="BU14:BU45" si="54">6+IF(LEFT(L14,1)="R",IF(ISNUMBER(J14),J14*12,0)+IF(ISNUMBER(K14),K14,0),0)</f>
        <v>6</v>
      </c>
      <c r="BV14" s="1252" t="str">
        <f t="shared" ref="BV14:BV45" si="55">IF(IF(ISNUMBER(U14),U14*12,0)+IF(ISNUMBER(V14),V14,0)&gt;0,IF(AND(IF(ISNUMBER(U14),U14*12,0)+IF(ISNUMBER(V14),V14,0)&gt;=1.25,IF(ISNUMBER(U14),U14*12,0)+IF(ISNUMBER(V14),V14,0)&lt;=(BU14-1.25)+IF(L14="X",2,0)),"Yes","No"),"No")</f>
        <v>No</v>
      </c>
      <c r="BW14" s="1253">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54" t="str">
        <f t="shared" ref="BX14:BX45" si="57">IF(AND(AB14="",BW14&gt;0),BX13,IF(ISBLANK(AB14),"",AB14))</f>
        <v/>
      </c>
      <c r="BY14" s="1254" t="b">
        <f t="shared" ref="BY14:BY45" si="58">IF(ISERROR(VLOOKUP(BX14,$BJ$14:$BL$45,3,FALSE)),FALSE,VLOOKUP(BX14,$BJ$14:$BL$45,3,FALSE))</f>
        <v>0</v>
      </c>
      <c r="BZ14" s="1253" t="b">
        <f>IF($BK$1,IF(BX14="",FALSE,IF(ISERROR(VLOOKUP(BX14,$A$14:$B$45,2,FALSE)),FALSE,IF(VLOOKUP(BX14,$A$14:$B$45,2,FALSE)=0,TRUE,FALSE))))</f>
        <v>0</v>
      </c>
      <c r="CB14" s="842"/>
      <c r="CC14" s="893"/>
      <c r="CD14" s="880"/>
      <c r="CE14" s="881"/>
      <c r="CF14" s="882"/>
      <c r="CG14" s="896"/>
      <c r="CH14" s="897"/>
      <c r="CI14" s="898"/>
      <c r="CJ14" s="897"/>
      <c r="CK14" s="898"/>
      <c r="CL14" s="899"/>
      <c r="CM14" s="943"/>
      <c r="CN14" s="896"/>
      <c r="CO14" s="897"/>
      <c r="CP14" s="898"/>
      <c r="CQ14" s="897"/>
      <c r="CR14" s="898"/>
      <c r="CS14" s="899"/>
      <c r="CT14" s="943"/>
      <c r="CU14" s="900"/>
      <c r="CV14" s="886"/>
      <c r="CW14" s="887"/>
      <c r="CX14" s="913"/>
      <c r="CY14" s="914"/>
      <c r="CZ14" s="932"/>
      <c r="DA14" s="933"/>
      <c r="DB14" s="922"/>
      <c r="DC14" s="923"/>
      <c r="DD14" s="1149"/>
      <c r="DE14" s="1150"/>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9"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7" t="str">
        <f t="shared" ref="ER14:ER45" si="65">IF(CG14="","",IF($FB$4&gt;EV54,EV54,""))</f>
        <v/>
      </c>
      <c r="ES14" s="958"/>
      <c r="ET14" s="959" t="str">
        <f t="shared" ref="ET14:ET45" si="66">IF(CC54="","",IF(ABS(EM54)&lt;ABS($FA$2),$EZ$4,CEILING($EZ$4/COS(EL54)+0.375+IF(CC54="M",IF(EL54&gt;0,(DB54-DC54)/12,0),IF(EL54&gt;0,0,(DB54-CD54)/12))*ABS(EM54),0.125)))</f>
        <v/>
      </c>
      <c r="EU14" s="960" t="str">
        <f t="shared" ref="EU14:EU45" si="67">IF(CL54="","",IF(ABS(ER54)&lt;ABS($FA$2),$EZ$4,CEILING($EZ$4/COS(EQ54)+0.375+IF(CL54="M",IF(EQ54&lt;0,(DH54-DI54)/12,0),IF(EQ54&lt;0,0,(DH54-CM54)/12))*ABS(ER54),0.125)))</f>
        <v/>
      </c>
      <c r="EX14" s="1194" t="str">
        <f>CONCATENATE(BX14,AC14)</f>
        <v/>
      </c>
      <c r="EY14" s="1196" t="str">
        <f t="shared" ref="EY14:EY45" si="68">IF(OR(ISBLANK(AB14),AB14=""),"",VLOOKUP(LEFT(EX14,LEN(EX14)-1),$BJ$14:$BO$45,6,FALSE)=SUMIF($EX$14:$EX$45,EX14,$AF$14:$AF$45)+2)</f>
        <v/>
      </c>
      <c r="EZ14" s="1196" t="str">
        <f>IF(AB14="","",IF(VLOOKUP(BX14,$A$14:$F$45,6,FALSE)="",0,HLOOKUP(VLOOKUP(BX14,$A$14:$F$45,6,FALSE),$FG$4:$FI$5,2,TRUE)))</f>
        <v/>
      </c>
      <c r="FA14" s="1217" t="str">
        <f ca="1">IF(FB15="","",FB14=FF14)</f>
        <v/>
      </c>
      <c r="FB14" s="1218"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8">
        <f t="shared" ref="FC14:FC45" si="69">IF(ISNUMBER(AD14),AD14,0)*12+IF(ISNUMBER(AE14),AE14,0)</f>
        <v>0</v>
      </c>
      <c r="FD14" s="1218">
        <f t="shared" ref="FD14:FD45" si="70">IF(ISNUMBER(AF14),AF14,0)*(IF(ISNUMBER(AG14),AG14,0)*12+IF(ISNUMBER(AH14),AH14,0))</f>
        <v>0</v>
      </c>
      <c r="FE14" s="1218">
        <f t="shared" ref="FE14:FE45" si="71">IF(ISNUMBER(AI14),AI14,0)*12+IF(ISNUMBER(AJ14),AJ14,0)</f>
        <v>0</v>
      </c>
      <c r="FF14" s="1218">
        <f ca="1">SUM(FC14:FE14)+IF(FE14=0,FF15,0)</f>
        <v>0</v>
      </c>
      <c r="FN14" s="969" t="b">
        <v>1</v>
      </c>
      <c r="FO14" s="969" t="b">
        <f t="shared" ref="FO14:FO45" si="72">NOT(ISERROR(VLOOKUP(A14,$AB$14:$AB$45,1,FALSE)))</f>
        <v>1</v>
      </c>
      <c r="FP14" s="969" t="b">
        <v>0</v>
      </c>
      <c r="FQ14" s="969" t="b">
        <f>NOT(ISERROR(VLOOKUP(AB14,$A$14:$A$45,1,FALSE)))</f>
        <v>1</v>
      </c>
      <c r="FW14" s="2"/>
      <c r="FX14" s="2"/>
      <c r="FZ14" s="2"/>
      <c r="GA14" s="1935" t="str">
        <f t="shared" ref="GA14:GA45" si="73">IF(GF14="","",CE14)</f>
        <v/>
      </c>
      <c r="GB14" s="1936" t="str">
        <f t="shared" ref="GB14:GB45" si="74">IF(GF14="","",CF14)</f>
        <v/>
      </c>
      <c r="GC14" s="1937" t="str">
        <f t="shared" ref="GC14:GC45" si="75">IF(GF14="","",IF(CD54="",0,CD54))</f>
        <v/>
      </c>
      <c r="GD14" s="1938" t="str">
        <f t="shared" ref="GD14:GD45" si="76">IF(GF14="","",IF(CM54="",0,CM54))</f>
        <v/>
      </c>
      <c r="GE14" s="1939" t="str">
        <f t="shared" ref="GE14:GE45" si="77">IF(GF14="","",IF(ISBLANK(CU14),IF(X14=Y14,0,MAX(ABS(X14),ABS(Y14))*IF(X14&lt;0,-1,1)),CU14))</f>
        <v/>
      </c>
      <c r="GF14" s="1940" t="str">
        <f t="shared" ref="GF14:GF45" si="78">IF(A14=0,"",A14)</f>
        <v/>
      </c>
      <c r="GG14" s="1457"/>
      <c r="GH14" s="1458"/>
      <c r="GI14" s="1457"/>
      <c r="GJ14" s="1458"/>
      <c r="GK14" s="326">
        <f t="shared" ref="GK14:GK45" si="79">IF(D14="",0,D14*12+E14)</f>
        <v>0</v>
      </c>
      <c r="GL14" s="326" t="e">
        <f t="shared" ref="GL14:GL45" si="80">(GA14*12+GB14+GC14+GD14)/COS(ATAN(ABS(GE14/12)))</f>
        <v>#VALUE!</v>
      </c>
      <c r="GM14" s="327" t="e">
        <f>IF(ABS(GK14-GL14)&gt;='Job Info.'!$L$22,ABS(GK14-GL14),0)</f>
        <v>#VALUE!</v>
      </c>
      <c r="GO14" s="171"/>
      <c r="GP14" s="171"/>
      <c r="GZ14" s="171"/>
      <c r="HA14" s="1612"/>
      <c r="HB14" s="1613"/>
      <c r="HC14" s="1613"/>
      <c r="HD14" s="1614"/>
      <c r="HE14" s="1615"/>
      <c r="HF14" s="1613"/>
      <c r="HG14" s="1613"/>
      <c r="HH14" s="1613"/>
      <c r="HI14" s="1613"/>
      <c r="HJ14" s="1613"/>
      <c r="HK14" s="1613"/>
      <c r="HL14" s="1613"/>
      <c r="HM14" s="1613"/>
      <c r="HN14" s="1613"/>
      <c r="HO14" s="1613"/>
      <c r="HP14" s="1613"/>
      <c r="HQ14" s="1613"/>
      <c r="HR14" s="1613"/>
      <c r="HS14" s="1613"/>
      <c r="HT14" s="1613"/>
      <c r="HU14" s="1613"/>
      <c r="HV14" s="1613"/>
      <c r="HW14" s="1613"/>
      <c r="HX14" s="1613"/>
      <c r="HY14" s="1617"/>
      <c r="HZ14" s="1617"/>
      <c r="IA14" s="1617"/>
      <c r="IB14" s="1617"/>
      <c r="IC14" s="1617"/>
      <c r="ID14" s="1632"/>
      <c r="IE14" s="1627"/>
      <c r="IF14" s="1628"/>
      <c r="IG14" s="1629"/>
      <c r="IH14" s="1630"/>
      <c r="II14" s="1628"/>
      <c r="IJ14" s="1629"/>
      <c r="IK14" s="1630"/>
      <c r="IL14" s="1628"/>
      <c r="IM14" s="1628"/>
      <c r="IN14" s="1628"/>
      <c r="IO14" s="1628"/>
      <c r="IP14" s="1628"/>
      <c r="IQ14" s="1628"/>
      <c r="IR14" s="1628"/>
      <c r="IS14" s="1629"/>
      <c r="IT14" s="1630"/>
      <c r="IU14" s="1628"/>
      <c r="IV14" s="1628"/>
      <c r="IW14" s="1629"/>
      <c r="IX14" s="1630"/>
      <c r="IY14" s="1628"/>
      <c r="IZ14" s="1628"/>
      <c r="JA14" s="1629"/>
      <c r="JB14" s="1630"/>
      <c r="JC14" s="1628"/>
      <c r="JD14" s="1628"/>
      <c r="JE14" s="1629"/>
      <c r="JF14" s="1630"/>
      <c r="JG14" s="1628"/>
      <c r="JH14" s="1628"/>
      <c r="JI14" s="1628"/>
      <c r="JJ14" s="1631"/>
      <c r="JK14" s="1628"/>
      <c r="JL14" s="1520">
        <f>IF(JK14="",0,1)</f>
        <v>0</v>
      </c>
      <c r="JM14" s="1545"/>
      <c r="JN14" s="1545"/>
      <c r="JO14" s="1545"/>
    </row>
    <row r="15" spans="1:276" ht="12.6" customHeight="1" x14ac:dyDescent="0.25">
      <c r="A15" s="1861" t="str">
        <f t="shared" si="0"/>
        <v/>
      </c>
      <c r="B15" s="1862" t="str">
        <f t="shared" si="0"/>
        <v/>
      </c>
      <c r="C15" s="1863" t="str">
        <f t="shared" si="0"/>
        <v/>
      </c>
      <c r="D15" s="1864" t="str">
        <f t="shared" si="1"/>
        <v/>
      </c>
      <c r="E15" s="1865" t="str">
        <f t="shared" si="2"/>
        <v/>
      </c>
      <c r="F15" s="1866" t="str">
        <f t="shared" si="3"/>
        <v/>
      </c>
      <c r="G15" s="1867" t="str">
        <f t="shared" si="4"/>
        <v/>
      </c>
      <c r="H15" s="1868" t="str">
        <f t="shared" si="5"/>
        <v/>
      </c>
      <c r="I15" s="1869" t="str">
        <f t="shared" si="6"/>
        <v/>
      </c>
      <c r="J15" s="1864" t="str">
        <f t="shared" si="7"/>
        <v/>
      </c>
      <c r="K15" s="1868" t="str">
        <f t="shared" si="8"/>
        <v/>
      </c>
      <c r="L15" s="1870" t="str">
        <f t="shared" si="9"/>
        <v/>
      </c>
      <c r="M15" s="1871" t="str">
        <f t="shared" si="10"/>
        <v/>
      </c>
      <c r="N15" s="1872" t="str">
        <f t="shared" si="10"/>
        <v/>
      </c>
      <c r="O15" s="1867" t="str">
        <f t="shared" si="11"/>
        <v/>
      </c>
      <c r="P15" s="1868" t="str">
        <f t="shared" si="12"/>
        <v/>
      </c>
      <c r="Q15" s="1864" t="str">
        <f t="shared" si="13"/>
        <v/>
      </c>
      <c r="R15" s="1865" t="str">
        <f t="shared" si="14"/>
        <v/>
      </c>
      <c r="S15" s="1873" t="str">
        <f t="shared" si="15"/>
        <v/>
      </c>
      <c r="T15" s="1868" t="str">
        <f t="shared" si="16"/>
        <v/>
      </c>
      <c r="U15" s="1864" t="str">
        <f t="shared" si="17"/>
        <v/>
      </c>
      <c r="V15" s="1868" t="str">
        <f t="shared" si="18"/>
        <v/>
      </c>
      <c r="W15" s="1872">
        <f t="shared" si="19"/>
        <v>0</v>
      </c>
      <c r="X15" s="1874" t="str">
        <f t="shared" si="20"/>
        <v/>
      </c>
      <c r="Y15" s="1875" t="str">
        <f t="shared" si="21"/>
        <v/>
      </c>
      <c r="Z15" s="1941"/>
      <c r="AA15" s="1960" t="str">
        <f t="shared" si="22"/>
        <v/>
      </c>
      <c r="AB15" s="1471" t="str">
        <f t="shared" si="23"/>
        <v/>
      </c>
      <c r="AC15" s="1908" t="str">
        <f t="shared" si="23"/>
        <v/>
      </c>
      <c r="AD15" s="1909" t="str">
        <f t="shared" ca="1" si="24"/>
        <v/>
      </c>
      <c r="AE15" s="1910" t="str">
        <f t="shared" ca="1" si="25"/>
        <v/>
      </c>
      <c r="AF15" s="1908" t="str">
        <f t="shared" ca="1" si="26"/>
        <v/>
      </c>
      <c r="AG15" s="1909" t="str">
        <f t="shared" ca="1" si="27"/>
        <v/>
      </c>
      <c r="AH15" s="1910" t="str">
        <f t="shared" ca="1" si="28"/>
        <v/>
      </c>
      <c r="AI15" s="1909" t="str">
        <f t="shared" ca="1" si="29"/>
        <v/>
      </c>
      <c r="AJ15" s="1910" t="str">
        <f t="shared" ca="1" si="30"/>
        <v/>
      </c>
      <c r="AK15" s="1911" t="str">
        <f t="shared" si="31"/>
        <v/>
      </c>
      <c r="AL15" s="1912" t="str">
        <f t="shared" si="31"/>
        <v/>
      </c>
      <c r="AM15" s="1913" t="str">
        <f t="shared" si="31"/>
        <v/>
      </c>
      <c r="AN15" s="1908" t="str">
        <f t="shared" si="31"/>
        <v/>
      </c>
      <c r="AO15" s="1961" t="str">
        <f t="shared" si="31"/>
        <v/>
      </c>
      <c r="AP15" s="1915" t="str">
        <f t="shared" si="32"/>
        <v/>
      </c>
      <c r="AQ15" s="1916" t="str">
        <f t="shared" si="32"/>
        <v/>
      </c>
      <c r="AR15" s="1917" t="str">
        <f t="shared" si="33"/>
        <v/>
      </c>
      <c r="AS15" s="1910" t="str">
        <f t="shared" si="34"/>
        <v/>
      </c>
      <c r="AT15" s="1918" t="str">
        <f t="shared" si="35"/>
        <v/>
      </c>
      <c r="AU15" s="1919" t="str">
        <f t="shared" si="35"/>
        <v/>
      </c>
      <c r="AV15" s="1920" t="str">
        <f t="shared" si="36"/>
        <v/>
      </c>
      <c r="AW15" s="1910" t="str">
        <f t="shared" si="37"/>
        <v/>
      </c>
      <c r="AX15" s="1918" t="str">
        <f t="shared" si="38"/>
        <v/>
      </c>
      <c r="AY15" s="1919" t="str">
        <f t="shared" si="38"/>
        <v/>
      </c>
      <c r="AZ15" s="1920" t="str">
        <f t="shared" si="39"/>
        <v/>
      </c>
      <c r="BA15" s="1910" t="str">
        <f t="shared" si="40"/>
        <v/>
      </c>
      <c r="BB15" s="1918" t="str">
        <f t="shared" si="41"/>
        <v/>
      </c>
      <c r="BC15" s="1919" t="str">
        <f t="shared" si="41"/>
        <v/>
      </c>
      <c r="BD15" s="1920" t="str">
        <f t="shared" si="42"/>
        <v/>
      </c>
      <c r="BE15" s="1910" t="str">
        <f t="shared" si="43"/>
        <v/>
      </c>
      <c r="BF15" s="1918" t="str">
        <f t="shared" si="44"/>
        <v/>
      </c>
      <c r="BG15" s="1919" t="str">
        <f t="shared" si="44"/>
        <v/>
      </c>
      <c r="BH15" s="322"/>
      <c r="BJ15" s="1258" t="str">
        <f>IF(AND(OR(ISBLANK(A15),A15=""),Z15&lt;&gt;""),BJ14,IF(OR(ISBLANK(A15),A15=""),"",A15))</f>
        <v/>
      </c>
      <c r="BK15" s="1256" t="b">
        <f t="shared" si="45"/>
        <v>0</v>
      </c>
      <c r="BL15" s="1251" t="b">
        <v>0</v>
      </c>
      <c r="BM15" s="1251">
        <f t="shared" si="46"/>
        <v>0</v>
      </c>
      <c r="BN15" s="1251">
        <f t="shared" si="47"/>
        <v>0</v>
      </c>
      <c r="BO15" s="1251">
        <f t="shared" si="48"/>
        <v>0</v>
      </c>
      <c r="BP15" s="1251">
        <f t="shared" si="49"/>
        <v>0</v>
      </c>
      <c r="BQ15" s="1251">
        <f t="shared" si="50"/>
        <v>0</v>
      </c>
      <c r="BR15" s="1251" t="b">
        <f t="shared" si="51"/>
        <v>1</v>
      </c>
      <c r="BS15" s="1252">
        <f t="shared" si="52"/>
        <v>6</v>
      </c>
      <c r="BT15" s="1252" t="str">
        <f t="shared" si="53"/>
        <v>No</v>
      </c>
      <c r="BU15" s="1252">
        <f t="shared" si="54"/>
        <v>6</v>
      </c>
      <c r="BV15" s="1252" t="str">
        <f t="shared" si="55"/>
        <v>No</v>
      </c>
      <c r="BW15" s="1253">
        <f t="shared" ca="1" si="56"/>
        <v>0</v>
      </c>
      <c r="BX15" s="1254" t="str">
        <f t="shared" ca="1" si="57"/>
        <v/>
      </c>
      <c r="BY15" s="1254" t="b">
        <f t="shared" ca="1" si="58"/>
        <v>0</v>
      </c>
      <c r="BZ15" s="1253" t="b">
        <f t="shared" ref="BZ15:BZ45" si="81">IF($BK$1,IF(BX15="",FALSE,IF(ISERROR(VLOOKUP(BX15,$A$14:$B$45,2,FALSE)),FALSE,IF(VLOOKUP(BX15,$A$14:$B$45,2,FALSE)=0,TRUE,FALSE))))</f>
        <v>0</v>
      </c>
      <c r="CB15" s="842"/>
      <c r="CC15" s="894"/>
      <c r="CD15" s="883"/>
      <c r="CE15" s="884"/>
      <c r="CF15" s="885"/>
      <c r="CG15" s="901"/>
      <c r="CH15" s="902"/>
      <c r="CI15" s="903"/>
      <c r="CJ15" s="902"/>
      <c r="CK15" s="903"/>
      <c r="CL15" s="904"/>
      <c r="CM15" s="944"/>
      <c r="CN15" s="901"/>
      <c r="CO15" s="902"/>
      <c r="CP15" s="903"/>
      <c r="CQ15" s="902"/>
      <c r="CR15" s="903"/>
      <c r="CS15" s="904"/>
      <c r="CT15" s="944"/>
      <c r="CU15" s="906"/>
      <c r="CV15" s="886"/>
      <c r="CW15" s="887"/>
      <c r="CX15" s="915"/>
      <c r="CY15" s="916"/>
      <c r="CZ15" s="932"/>
      <c r="DA15" s="933"/>
      <c r="DB15" s="932"/>
      <c r="DC15" s="933"/>
      <c r="DD15" s="1149"/>
      <c r="DE15" s="1150"/>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30" t="str">
        <f t="shared" si="62"/>
        <v/>
      </c>
      <c r="EP15" s="726" t="str">
        <f t="shared" si="63"/>
        <v/>
      </c>
      <c r="EQ15" s="727" t="str">
        <f t="shared" si="64"/>
        <v/>
      </c>
      <c r="ER15" s="961" t="str">
        <f t="shared" si="65"/>
        <v/>
      </c>
      <c r="ES15" s="962" t="str">
        <f t="shared" ref="ES15:ES45" si="82">IF(CN15="","",IF($FB$4&gt;EW55,EW55,""))</f>
        <v/>
      </c>
      <c r="ET15" s="963" t="str">
        <f t="shared" si="66"/>
        <v/>
      </c>
      <c r="EU15" s="964" t="str">
        <f t="shared" si="67"/>
        <v/>
      </c>
      <c r="EX15" s="1194" t="str">
        <f t="shared" ref="EX15:EX45" ca="1" si="83">IF(AND(AC15="",BX15=BX14),EX14,CONCATENATE(BX15,AC15))</f>
        <v/>
      </c>
      <c r="EY15" s="1196" t="str">
        <f t="shared" si="68"/>
        <v/>
      </c>
      <c r="EZ15" s="1196" t="str">
        <f t="shared" ref="EZ15:EZ45" si="84">IF(AB15="","",IF(VLOOKUP(BX15,$A$14:$F$45,6,FALSE)="",0,HLOOKUP(VLOOKUP(BX15,$A$14:$F$45,6,FALSE),$FG$4:$FI$5,2,TRUE)))</f>
        <v/>
      </c>
      <c r="FA15" s="1217" t="str">
        <f ca="1">IF(FB15="","",IF(FC15=0,FA14,FB15=FF15))</f>
        <v/>
      </c>
      <c r="FB15" s="1218"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8">
        <f t="shared" ca="1" si="69"/>
        <v>0</v>
      </c>
      <c r="FD15" s="1218">
        <f t="shared" ca="1" si="70"/>
        <v>0</v>
      </c>
      <c r="FE15" s="1218">
        <f t="shared" ca="1" si="71"/>
        <v>0</v>
      </c>
      <c r="FF15" s="1218">
        <f t="shared" ref="FF15:FF45" ca="1" si="86">SUM(FC15:FE15)+IF(FE15=0,FF16,0)</f>
        <v>0</v>
      </c>
      <c r="FN15" s="969" t="b">
        <v>0</v>
      </c>
      <c r="FO15" s="969" t="b">
        <f t="shared" si="72"/>
        <v>1</v>
      </c>
      <c r="FP15" s="1815" t="b">
        <v>0</v>
      </c>
      <c r="FQ15" s="969" t="b">
        <f t="shared" ref="FQ15:FQ45" si="87">NOT(ISERROR(VLOOKUP(AB15,$A$14:$A$45,1,FALSE)))</f>
        <v>1</v>
      </c>
      <c r="FW15" s="2"/>
      <c r="FX15" s="2"/>
      <c r="FZ15" s="2"/>
      <c r="GA15" s="1935" t="str">
        <f t="shared" si="73"/>
        <v/>
      </c>
      <c r="GB15" s="1936" t="str">
        <f t="shared" si="74"/>
        <v/>
      </c>
      <c r="GC15" s="1937" t="str">
        <f t="shared" si="75"/>
        <v/>
      </c>
      <c r="GD15" s="1938" t="str">
        <f t="shared" si="76"/>
        <v/>
      </c>
      <c r="GE15" s="1939" t="str">
        <f t="shared" si="77"/>
        <v/>
      </c>
      <c r="GF15" s="1940" t="str">
        <f t="shared" si="78"/>
        <v/>
      </c>
      <c r="GG15" s="1457"/>
      <c r="GH15" s="1459"/>
      <c r="GI15" s="1457"/>
      <c r="GJ15" s="1459"/>
      <c r="GK15" s="326">
        <f t="shared" si="79"/>
        <v>0</v>
      </c>
      <c r="GL15" s="326" t="e">
        <f t="shared" si="80"/>
        <v>#VALUE!</v>
      </c>
      <c r="GM15" s="327" t="e">
        <f>IF(ABS(GK15-GL15)&gt;='Job Info.'!$L$22,ABS(GK15-GL15),0)</f>
        <v>#VALUE!</v>
      </c>
      <c r="GO15" s="171"/>
      <c r="GP15" s="171"/>
      <c r="GZ15" s="171"/>
      <c r="HA15" s="1612"/>
      <c r="HB15" s="1613"/>
      <c r="HC15" s="1613"/>
      <c r="HD15" s="1614"/>
      <c r="HE15" s="1615"/>
      <c r="HF15" s="1613"/>
      <c r="HG15" s="1613"/>
      <c r="HH15" s="1613"/>
      <c r="HI15" s="1613"/>
      <c r="HJ15" s="1613"/>
      <c r="HK15" s="1613"/>
      <c r="HL15" s="1613"/>
      <c r="HM15" s="1613"/>
      <c r="HN15" s="1613"/>
      <c r="HO15" s="1613"/>
      <c r="HP15" s="1613"/>
      <c r="HQ15" s="1613"/>
      <c r="HR15" s="1613"/>
      <c r="HS15" s="1613"/>
      <c r="HT15" s="1613"/>
      <c r="HU15" s="1613"/>
      <c r="HV15" s="1613"/>
      <c r="HW15" s="1613"/>
      <c r="HX15" s="1613"/>
      <c r="HY15" s="1617"/>
      <c r="HZ15" s="1617"/>
      <c r="IA15" s="1617"/>
      <c r="IB15" s="1617"/>
      <c r="IC15" s="1617"/>
      <c r="ID15" s="1632"/>
      <c r="IE15" s="1612"/>
      <c r="IF15" s="1613"/>
      <c r="IG15" s="1614"/>
      <c r="IH15" s="1615"/>
      <c r="II15" s="1613"/>
      <c r="IJ15" s="1614"/>
      <c r="IK15" s="1615"/>
      <c r="IL15" s="1613"/>
      <c r="IM15" s="1613"/>
      <c r="IN15" s="1613"/>
      <c r="IO15" s="1613"/>
      <c r="IP15" s="1613"/>
      <c r="IQ15" s="1613"/>
      <c r="IR15" s="1613"/>
      <c r="IS15" s="1614"/>
      <c r="IT15" s="1615"/>
      <c r="IU15" s="1613"/>
      <c r="IV15" s="1613"/>
      <c r="IW15" s="1614"/>
      <c r="IX15" s="1615"/>
      <c r="IY15" s="1613"/>
      <c r="IZ15" s="1613"/>
      <c r="JA15" s="1614"/>
      <c r="JB15" s="1615"/>
      <c r="JC15" s="1613"/>
      <c r="JD15" s="1613"/>
      <c r="JE15" s="1614"/>
      <c r="JF15" s="1615"/>
      <c r="JG15" s="1613"/>
      <c r="JH15" s="1613"/>
      <c r="JI15" s="1613"/>
      <c r="JJ15" s="1616"/>
      <c r="JK15" s="1613"/>
      <c r="JL15" s="1521">
        <f ca="1">IF(ISBLANK(JK15),IF(JL14=0,0,IF(VALUE(OFFSET(JK15,JL14*-1,0))&lt;JL14+1,0,JL14+1)),1)</f>
        <v>0</v>
      </c>
    </row>
    <row r="16" spans="1:276" ht="12.6" customHeight="1" x14ac:dyDescent="0.25">
      <c r="A16" s="1861" t="str">
        <f t="shared" si="0"/>
        <v/>
      </c>
      <c r="B16" s="1862" t="str">
        <f t="shared" si="0"/>
        <v/>
      </c>
      <c r="C16" s="1863" t="str">
        <f t="shared" si="0"/>
        <v/>
      </c>
      <c r="D16" s="1864" t="str">
        <f t="shared" si="1"/>
        <v/>
      </c>
      <c r="E16" s="1865" t="str">
        <f t="shared" si="2"/>
        <v/>
      </c>
      <c r="F16" s="1866" t="str">
        <f t="shared" si="3"/>
        <v/>
      </c>
      <c r="G16" s="1867" t="str">
        <f t="shared" si="4"/>
        <v/>
      </c>
      <c r="H16" s="1868" t="str">
        <f t="shared" si="5"/>
        <v/>
      </c>
      <c r="I16" s="1869" t="str">
        <f t="shared" si="6"/>
        <v/>
      </c>
      <c r="J16" s="1864" t="str">
        <f t="shared" si="7"/>
        <v/>
      </c>
      <c r="K16" s="1868" t="str">
        <f t="shared" si="8"/>
        <v/>
      </c>
      <c r="L16" s="1870" t="str">
        <f t="shared" si="9"/>
        <v/>
      </c>
      <c r="M16" s="1871" t="str">
        <f t="shared" si="10"/>
        <v/>
      </c>
      <c r="N16" s="1872" t="str">
        <f t="shared" si="10"/>
        <v/>
      </c>
      <c r="O16" s="1867" t="str">
        <f t="shared" si="11"/>
        <v/>
      </c>
      <c r="P16" s="1868" t="str">
        <f t="shared" si="12"/>
        <v/>
      </c>
      <c r="Q16" s="1864" t="str">
        <f t="shared" si="13"/>
        <v/>
      </c>
      <c r="R16" s="1865" t="str">
        <f t="shared" si="14"/>
        <v/>
      </c>
      <c r="S16" s="1873" t="str">
        <f t="shared" si="15"/>
        <v/>
      </c>
      <c r="T16" s="1868" t="str">
        <f t="shared" si="16"/>
        <v/>
      </c>
      <c r="U16" s="1864" t="str">
        <f t="shared" si="17"/>
        <v/>
      </c>
      <c r="V16" s="1868" t="str">
        <f t="shared" si="18"/>
        <v/>
      </c>
      <c r="W16" s="1872">
        <f t="shared" si="19"/>
        <v>0</v>
      </c>
      <c r="X16" s="1874" t="str">
        <f t="shared" si="20"/>
        <v/>
      </c>
      <c r="Y16" s="1875" t="str">
        <f t="shared" si="21"/>
        <v/>
      </c>
      <c r="Z16" s="1941"/>
      <c r="AA16" s="1960" t="str">
        <f t="shared" si="22"/>
        <v/>
      </c>
      <c r="AB16" s="1471" t="str">
        <f t="shared" si="23"/>
        <v/>
      </c>
      <c r="AC16" s="1908" t="str">
        <f t="shared" si="23"/>
        <v/>
      </c>
      <c r="AD16" s="1909" t="str">
        <f t="shared" ca="1" si="24"/>
        <v/>
      </c>
      <c r="AE16" s="1910" t="str">
        <f t="shared" ca="1" si="25"/>
        <v/>
      </c>
      <c r="AF16" s="1908" t="str">
        <f t="shared" ca="1" si="26"/>
        <v/>
      </c>
      <c r="AG16" s="1909" t="str">
        <f t="shared" ca="1" si="27"/>
        <v/>
      </c>
      <c r="AH16" s="1910" t="str">
        <f t="shared" ca="1" si="28"/>
        <v/>
      </c>
      <c r="AI16" s="1909" t="str">
        <f t="shared" ca="1" si="29"/>
        <v/>
      </c>
      <c r="AJ16" s="1910" t="str">
        <f t="shared" ca="1" si="30"/>
        <v/>
      </c>
      <c r="AK16" s="1911" t="str">
        <f t="shared" si="31"/>
        <v/>
      </c>
      <c r="AL16" s="1912" t="str">
        <f t="shared" si="31"/>
        <v/>
      </c>
      <c r="AM16" s="1913" t="str">
        <f t="shared" si="31"/>
        <v/>
      </c>
      <c r="AN16" s="1908" t="str">
        <f t="shared" si="31"/>
        <v/>
      </c>
      <c r="AO16" s="1961" t="str">
        <f t="shared" si="31"/>
        <v/>
      </c>
      <c r="AP16" s="1915" t="str">
        <f t="shared" si="32"/>
        <v/>
      </c>
      <c r="AQ16" s="1916" t="str">
        <f t="shared" si="32"/>
        <v/>
      </c>
      <c r="AR16" s="1917" t="str">
        <f t="shared" si="33"/>
        <v/>
      </c>
      <c r="AS16" s="1910" t="str">
        <f t="shared" si="34"/>
        <v/>
      </c>
      <c r="AT16" s="1918" t="str">
        <f t="shared" si="35"/>
        <v/>
      </c>
      <c r="AU16" s="1919" t="str">
        <f t="shared" si="35"/>
        <v/>
      </c>
      <c r="AV16" s="1920" t="str">
        <f t="shared" si="36"/>
        <v/>
      </c>
      <c r="AW16" s="1910" t="str">
        <f t="shared" si="37"/>
        <v/>
      </c>
      <c r="AX16" s="1918" t="str">
        <f t="shared" si="38"/>
        <v/>
      </c>
      <c r="AY16" s="1919" t="str">
        <f t="shared" si="38"/>
        <v/>
      </c>
      <c r="AZ16" s="1920" t="str">
        <f t="shared" si="39"/>
        <v/>
      </c>
      <c r="BA16" s="1910" t="str">
        <f t="shared" si="40"/>
        <v/>
      </c>
      <c r="BB16" s="1918" t="str">
        <f t="shared" si="41"/>
        <v/>
      </c>
      <c r="BC16" s="1919" t="str">
        <f t="shared" si="41"/>
        <v/>
      </c>
      <c r="BD16" s="1920" t="str">
        <f t="shared" si="42"/>
        <v/>
      </c>
      <c r="BE16" s="1910" t="str">
        <f t="shared" si="43"/>
        <v/>
      </c>
      <c r="BF16" s="1918" t="str">
        <f t="shared" si="44"/>
        <v/>
      </c>
      <c r="BG16" s="1919" t="str">
        <f t="shared" si="44"/>
        <v/>
      </c>
      <c r="BH16" s="322"/>
      <c r="BJ16" s="1258" t="str">
        <f t="shared" ref="BJ16:BJ45" si="88">IF(AND(OR(ISBLANK(A16),A16=""),Z16&lt;&gt;""),BJ15,IF(OR(ISBLANK(A16),A16=""),"",A16))</f>
        <v/>
      </c>
      <c r="BK16" s="1256" t="b">
        <f t="shared" si="45"/>
        <v>0</v>
      </c>
      <c r="BL16" s="1251" t="b">
        <v>0</v>
      </c>
      <c r="BM16" s="1251">
        <f t="shared" si="46"/>
        <v>0</v>
      </c>
      <c r="BN16" s="1251">
        <f t="shared" si="47"/>
        <v>0</v>
      </c>
      <c r="BO16" s="1251">
        <f t="shared" si="48"/>
        <v>0</v>
      </c>
      <c r="BP16" s="1251">
        <f t="shared" si="49"/>
        <v>0</v>
      </c>
      <c r="BQ16" s="1251">
        <f t="shared" si="50"/>
        <v>0</v>
      </c>
      <c r="BR16" s="1251" t="b">
        <f t="shared" si="51"/>
        <v>1</v>
      </c>
      <c r="BS16" s="1252">
        <f t="shared" si="52"/>
        <v>6</v>
      </c>
      <c r="BT16" s="1252" t="str">
        <f t="shared" si="53"/>
        <v>No</v>
      </c>
      <c r="BU16" s="1252">
        <f t="shared" si="54"/>
        <v>6</v>
      </c>
      <c r="BV16" s="1252" t="str">
        <f t="shared" si="55"/>
        <v>No</v>
      </c>
      <c r="BW16" s="1253">
        <f t="shared" ca="1" si="56"/>
        <v>0</v>
      </c>
      <c r="BX16" s="1254" t="str">
        <f t="shared" ca="1" si="57"/>
        <v/>
      </c>
      <c r="BY16" s="1254" t="b">
        <f t="shared" ca="1" si="58"/>
        <v>0</v>
      </c>
      <c r="BZ16" s="1253" t="b">
        <f t="shared" si="81"/>
        <v>0</v>
      </c>
      <c r="CB16" s="842"/>
      <c r="CC16" s="894"/>
      <c r="CD16" s="883"/>
      <c r="CE16" s="884"/>
      <c r="CF16" s="885"/>
      <c r="CG16" s="901"/>
      <c r="CH16" s="902"/>
      <c r="CI16" s="903"/>
      <c r="CJ16" s="902"/>
      <c r="CK16" s="903"/>
      <c r="CL16" s="904"/>
      <c r="CM16" s="944"/>
      <c r="CN16" s="901"/>
      <c r="CO16" s="902"/>
      <c r="CP16" s="903"/>
      <c r="CQ16" s="902"/>
      <c r="CR16" s="903"/>
      <c r="CS16" s="904"/>
      <c r="CT16" s="944"/>
      <c r="CU16" s="906"/>
      <c r="CV16" s="886"/>
      <c r="CW16" s="887"/>
      <c r="CX16" s="915"/>
      <c r="CY16" s="916"/>
      <c r="CZ16" s="932"/>
      <c r="DA16" s="933"/>
      <c r="DB16" s="932"/>
      <c r="DC16" s="933"/>
      <c r="DD16" s="1149"/>
      <c r="DE16" s="1150"/>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30" t="str">
        <f t="shared" si="62"/>
        <v/>
      </c>
      <c r="EP16" s="726" t="str">
        <f t="shared" si="63"/>
        <v/>
      </c>
      <c r="EQ16" s="727" t="str">
        <f t="shared" si="64"/>
        <v/>
      </c>
      <c r="ER16" s="961" t="str">
        <f t="shared" si="65"/>
        <v/>
      </c>
      <c r="ES16" s="962" t="str">
        <f t="shared" si="82"/>
        <v/>
      </c>
      <c r="ET16" s="963" t="str">
        <f t="shared" si="66"/>
        <v/>
      </c>
      <c r="EU16" s="964" t="str">
        <f t="shared" si="67"/>
        <v/>
      </c>
      <c r="EX16" s="1194" t="str">
        <f t="shared" ca="1" si="83"/>
        <v/>
      </c>
      <c r="EY16" s="1196" t="str">
        <f t="shared" si="68"/>
        <v/>
      </c>
      <c r="EZ16" s="1196" t="str">
        <f t="shared" si="84"/>
        <v/>
      </c>
      <c r="FA16" s="1217" t="str">
        <f t="shared" ref="FA16:FA45" ca="1" si="89">IF(FB16="","",IF(FC16=0,FA15,FB16=FF16))</f>
        <v/>
      </c>
      <c r="FB16" s="1218" t="str">
        <f t="shared" ca="1" si="85"/>
        <v/>
      </c>
      <c r="FC16" s="1218">
        <f t="shared" ca="1" si="69"/>
        <v>0</v>
      </c>
      <c r="FD16" s="1218">
        <f t="shared" ca="1" si="70"/>
        <v>0</v>
      </c>
      <c r="FE16" s="1218">
        <f t="shared" ca="1" si="71"/>
        <v>0</v>
      </c>
      <c r="FF16" s="1218">
        <f t="shared" ca="1" si="86"/>
        <v>0</v>
      </c>
      <c r="FN16" s="969" t="b">
        <v>0</v>
      </c>
      <c r="FO16" s="969" t="b">
        <f t="shared" si="72"/>
        <v>1</v>
      </c>
      <c r="FP16" s="1815" t="b">
        <v>0</v>
      </c>
      <c r="FQ16" s="969" t="b">
        <f t="shared" si="87"/>
        <v>1</v>
      </c>
      <c r="FW16" s="2"/>
      <c r="FX16" s="2"/>
      <c r="FZ16" s="2"/>
      <c r="GA16" s="1935" t="str">
        <f t="shared" si="73"/>
        <v/>
      </c>
      <c r="GB16" s="1936" t="str">
        <f t="shared" si="74"/>
        <v/>
      </c>
      <c r="GC16" s="1937" t="str">
        <f t="shared" si="75"/>
        <v/>
      </c>
      <c r="GD16" s="1938" t="str">
        <f t="shared" si="76"/>
        <v/>
      </c>
      <c r="GE16" s="1939" t="str">
        <f t="shared" si="77"/>
        <v/>
      </c>
      <c r="GF16" s="1940" t="str">
        <f t="shared" si="78"/>
        <v/>
      </c>
      <c r="GG16" s="1457"/>
      <c r="GH16" s="1459"/>
      <c r="GI16" s="1457"/>
      <c r="GJ16" s="1459"/>
      <c r="GK16" s="326">
        <f t="shared" si="79"/>
        <v>0</v>
      </c>
      <c r="GL16" s="326" t="e">
        <f t="shared" si="80"/>
        <v>#VALUE!</v>
      </c>
      <c r="GM16" s="327" t="e">
        <f>IF(ABS(GK16-GL16)&gt;='Job Info.'!$L$22,ABS(GK16-GL16),0)</f>
        <v>#VALUE!</v>
      </c>
      <c r="GN16" s="171"/>
      <c r="GO16" s="172"/>
      <c r="GP16" s="172"/>
      <c r="GZ16" s="172"/>
      <c r="HA16" s="1612"/>
      <c r="HB16" s="1613"/>
      <c r="HC16" s="1613"/>
      <c r="HD16" s="1614"/>
      <c r="HE16" s="1615"/>
      <c r="HF16" s="1613"/>
      <c r="HG16" s="1613"/>
      <c r="HH16" s="1613"/>
      <c r="HI16" s="1613"/>
      <c r="HJ16" s="1613"/>
      <c r="HK16" s="1613"/>
      <c r="HL16" s="1613"/>
      <c r="HM16" s="1613"/>
      <c r="HN16" s="1613"/>
      <c r="HO16" s="1613"/>
      <c r="HP16" s="1613"/>
      <c r="HQ16" s="1613"/>
      <c r="HR16" s="1613"/>
      <c r="HS16" s="1613"/>
      <c r="HT16" s="1613"/>
      <c r="HU16" s="1613"/>
      <c r="HV16" s="1613"/>
      <c r="HW16" s="1613"/>
      <c r="HX16" s="1613"/>
      <c r="HY16" s="1617"/>
      <c r="HZ16" s="1617"/>
      <c r="IA16" s="1617"/>
      <c r="IB16" s="1617"/>
      <c r="IC16" s="1617"/>
      <c r="ID16" s="1632"/>
      <c r="IE16" s="1612"/>
      <c r="IF16" s="1613"/>
      <c r="IG16" s="1614"/>
      <c r="IH16" s="1615"/>
      <c r="II16" s="1613"/>
      <c r="IJ16" s="1614"/>
      <c r="IK16" s="1615"/>
      <c r="IL16" s="1613"/>
      <c r="IM16" s="1613"/>
      <c r="IN16" s="1613"/>
      <c r="IO16" s="1613"/>
      <c r="IP16" s="1613"/>
      <c r="IQ16" s="1613"/>
      <c r="IR16" s="1613"/>
      <c r="IS16" s="1614"/>
      <c r="IT16" s="1615"/>
      <c r="IU16" s="1613"/>
      <c r="IV16" s="1613"/>
      <c r="IW16" s="1614"/>
      <c r="IX16" s="1615"/>
      <c r="IY16" s="1613"/>
      <c r="IZ16" s="1613"/>
      <c r="JA16" s="1614"/>
      <c r="JB16" s="1615"/>
      <c r="JC16" s="1613"/>
      <c r="JD16" s="1613"/>
      <c r="JE16" s="1614"/>
      <c r="JF16" s="1615"/>
      <c r="JG16" s="1613"/>
      <c r="JH16" s="1613"/>
      <c r="JI16" s="1613"/>
      <c r="JJ16" s="1616"/>
      <c r="JK16" s="1613"/>
      <c r="JL16" s="1521">
        <f t="shared" ref="JL16:JL45" ca="1" si="90">IF(ISBLANK(JK16),IF(JL15=0,0,IF(VALUE(OFFSET(JK16,JL15*-1,0))&lt;JL15+1,0,JL15+1)),1)</f>
        <v>0</v>
      </c>
    </row>
    <row r="17" spans="1:272" ht="12.6" customHeight="1" x14ac:dyDescent="0.25">
      <c r="A17" s="1861" t="str">
        <f t="shared" si="0"/>
        <v/>
      </c>
      <c r="B17" s="1862" t="str">
        <f t="shared" si="0"/>
        <v/>
      </c>
      <c r="C17" s="1863" t="str">
        <f t="shared" si="0"/>
        <v/>
      </c>
      <c r="D17" s="1864" t="str">
        <f t="shared" si="1"/>
        <v/>
      </c>
      <c r="E17" s="1865" t="str">
        <f t="shared" si="2"/>
        <v/>
      </c>
      <c r="F17" s="1866" t="str">
        <f t="shared" si="3"/>
        <v/>
      </c>
      <c r="G17" s="1867" t="str">
        <f t="shared" si="4"/>
        <v/>
      </c>
      <c r="H17" s="1868" t="str">
        <f t="shared" si="5"/>
        <v/>
      </c>
      <c r="I17" s="1869" t="str">
        <f t="shared" si="6"/>
        <v/>
      </c>
      <c r="J17" s="1864" t="str">
        <f t="shared" si="7"/>
        <v/>
      </c>
      <c r="K17" s="1868" t="str">
        <f t="shared" si="8"/>
        <v/>
      </c>
      <c r="L17" s="1870" t="str">
        <f t="shared" si="9"/>
        <v/>
      </c>
      <c r="M17" s="1871" t="str">
        <f t="shared" si="10"/>
        <v/>
      </c>
      <c r="N17" s="1872" t="str">
        <f t="shared" si="10"/>
        <v/>
      </c>
      <c r="O17" s="1867" t="str">
        <f t="shared" si="11"/>
        <v/>
      </c>
      <c r="P17" s="1868" t="str">
        <f t="shared" si="12"/>
        <v/>
      </c>
      <c r="Q17" s="1864" t="str">
        <f t="shared" si="13"/>
        <v/>
      </c>
      <c r="R17" s="1865" t="str">
        <f t="shared" si="14"/>
        <v/>
      </c>
      <c r="S17" s="1873" t="str">
        <f t="shared" si="15"/>
        <v/>
      </c>
      <c r="T17" s="1868" t="str">
        <f t="shared" si="16"/>
        <v/>
      </c>
      <c r="U17" s="1864" t="str">
        <f t="shared" si="17"/>
        <v/>
      </c>
      <c r="V17" s="1868" t="str">
        <f t="shared" si="18"/>
        <v/>
      </c>
      <c r="W17" s="1872">
        <f t="shared" si="19"/>
        <v>0</v>
      </c>
      <c r="X17" s="1874" t="str">
        <f t="shared" si="20"/>
        <v/>
      </c>
      <c r="Y17" s="1875" t="str">
        <f t="shared" si="21"/>
        <v/>
      </c>
      <c r="Z17" s="1941"/>
      <c r="AA17" s="1960" t="str">
        <f t="shared" si="22"/>
        <v/>
      </c>
      <c r="AB17" s="1471" t="str">
        <f t="shared" si="23"/>
        <v/>
      </c>
      <c r="AC17" s="1908" t="str">
        <f t="shared" si="23"/>
        <v/>
      </c>
      <c r="AD17" s="1909" t="str">
        <f t="shared" ca="1" si="24"/>
        <v/>
      </c>
      <c r="AE17" s="1910" t="str">
        <f t="shared" ca="1" si="25"/>
        <v/>
      </c>
      <c r="AF17" s="1908" t="str">
        <f t="shared" ca="1" si="26"/>
        <v/>
      </c>
      <c r="AG17" s="1909" t="str">
        <f t="shared" ca="1" si="27"/>
        <v/>
      </c>
      <c r="AH17" s="1910" t="str">
        <f t="shared" ca="1" si="28"/>
        <v/>
      </c>
      <c r="AI17" s="1909" t="str">
        <f t="shared" ca="1" si="29"/>
        <v/>
      </c>
      <c r="AJ17" s="1910" t="str">
        <f t="shared" ca="1" si="30"/>
        <v/>
      </c>
      <c r="AK17" s="1911" t="str">
        <f t="shared" si="31"/>
        <v/>
      </c>
      <c r="AL17" s="1912" t="str">
        <f t="shared" si="31"/>
        <v/>
      </c>
      <c r="AM17" s="1913" t="str">
        <f t="shared" si="31"/>
        <v/>
      </c>
      <c r="AN17" s="1908" t="str">
        <f t="shared" si="31"/>
        <v/>
      </c>
      <c r="AO17" s="1961" t="str">
        <f t="shared" si="31"/>
        <v/>
      </c>
      <c r="AP17" s="1915" t="str">
        <f t="shared" si="32"/>
        <v/>
      </c>
      <c r="AQ17" s="1916" t="str">
        <f t="shared" si="32"/>
        <v/>
      </c>
      <c r="AR17" s="1917" t="str">
        <f t="shared" si="33"/>
        <v/>
      </c>
      <c r="AS17" s="1910" t="str">
        <f t="shared" si="34"/>
        <v/>
      </c>
      <c r="AT17" s="1918" t="str">
        <f t="shared" si="35"/>
        <v/>
      </c>
      <c r="AU17" s="1919" t="str">
        <f t="shared" si="35"/>
        <v/>
      </c>
      <c r="AV17" s="1920" t="str">
        <f t="shared" si="36"/>
        <v/>
      </c>
      <c r="AW17" s="1910" t="str">
        <f t="shared" si="37"/>
        <v/>
      </c>
      <c r="AX17" s="1918" t="str">
        <f t="shared" si="38"/>
        <v/>
      </c>
      <c r="AY17" s="1919" t="str">
        <f t="shared" si="38"/>
        <v/>
      </c>
      <c r="AZ17" s="1920" t="str">
        <f t="shared" si="39"/>
        <v/>
      </c>
      <c r="BA17" s="1910" t="str">
        <f t="shared" si="40"/>
        <v/>
      </c>
      <c r="BB17" s="1918" t="str">
        <f t="shared" si="41"/>
        <v/>
      </c>
      <c r="BC17" s="1919" t="str">
        <f t="shared" si="41"/>
        <v/>
      </c>
      <c r="BD17" s="1920" t="str">
        <f t="shared" si="42"/>
        <v/>
      </c>
      <c r="BE17" s="1910" t="str">
        <f t="shared" si="43"/>
        <v/>
      </c>
      <c r="BF17" s="1918" t="str">
        <f t="shared" si="44"/>
        <v/>
      </c>
      <c r="BG17" s="1919" t="str">
        <f t="shared" si="44"/>
        <v/>
      </c>
      <c r="BH17" s="322"/>
      <c r="BJ17" s="1258" t="str">
        <f t="shared" si="88"/>
        <v/>
      </c>
      <c r="BK17" s="1256" t="b">
        <f t="shared" si="45"/>
        <v>0</v>
      </c>
      <c r="BL17" s="1251" t="b">
        <v>0</v>
      </c>
      <c r="BM17" s="1251">
        <f t="shared" si="46"/>
        <v>0</v>
      </c>
      <c r="BN17" s="1251">
        <f t="shared" si="47"/>
        <v>0</v>
      </c>
      <c r="BO17" s="1251">
        <f t="shared" si="48"/>
        <v>0</v>
      </c>
      <c r="BP17" s="1251">
        <f t="shared" si="49"/>
        <v>0</v>
      </c>
      <c r="BQ17" s="1251">
        <f t="shared" si="50"/>
        <v>0</v>
      </c>
      <c r="BR17" s="1251" t="b">
        <f t="shared" si="51"/>
        <v>1</v>
      </c>
      <c r="BS17" s="1252">
        <f t="shared" si="52"/>
        <v>6</v>
      </c>
      <c r="BT17" s="1252" t="str">
        <f t="shared" si="53"/>
        <v>No</v>
      </c>
      <c r="BU17" s="1252">
        <f t="shared" si="54"/>
        <v>6</v>
      </c>
      <c r="BV17" s="1252" t="str">
        <f t="shared" si="55"/>
        <v>No</v>
      </c>
      <c r="BW17" s="1253">
        <f t="shared" ca="1" si="56"/>
        <v>0</v>
      </c>
      <c r="BX17" s="1254" t="str">
        <f t="shared" ca="1" si="57"/>
        <v/>
      </c>
      <c r="BY17" s="1254" t="b">
        <f t="shared" ca="1" si="58"/>
        <v>0</v>
      </c>
      <c r="BZ17" s="1253" t="b">
        <f t="shared" si="81"/>
        <v>0</v>
      </c>
      <c r="CB17" s="842"/>
      <c r="CC17" s="894"/>
      <c r="CD17" s="883"/>
      <c r="CE17" s="884"/>
      <c r="CF17" s="885"/>
      <c r="CG17" s="901"/>
      <c r="CH17" s="902"/>
      <c r="CI17" s="903"/>
      <c r="CJ17" s="902"/>
      <c r="CK17" s="903"/>
      <c r="CL17" s="904"/>
      <c r="CM17" s="944"/>
      <c r="CN17" s="901"/>
      <c r="CO17" s="902"/>
      <c r="CP17" s="903"/>
      <c r="CQ17" s="902"/>
      <c r="CR17" s="903"/>
      <c r="CS17" s="904"/>
      <c r="CT17" s="944"/>
      <c r="CU17" s="906"/>
      <c r="CV17" s="886"/>
      <c r="CW17" s="887"/>
      <c r="CX17" s="915"/>
      <c r="CY17" s="916"/>
      <c r="CZ17" s="932"/>
      <c r="DA17" s="933"/>
      <c r="DB17" s="932"/>
      <c r="DC17" s="933"/>
      <c r="DD17" s="1149"/>
      <c r="DE17" s="1150"/>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30" t="str">
        <f t="shared" si="62"/>
        <v/>
      </c>
      <c r="EP17" s="726" t="str">
        <f t="shared" si="63"/>
        <v/>
      </c>
      <c r="EQ17" s="727" t="str">
        <f t="shared" si="64"/>
        <v/>
      </c>
      <c r="ER17" s="961" t="str">
        <f t="shared" si="65"/>
        <v/>
      </c>
      <c r="ES17" s="962" t="str">
        <f t="shared" si="82"/>
        <v/>
      </c>
      <c r="ET17" s="963" t="str">
        <f t="shared" si="66"/>
        <v/>
      </c>
      <c r="EU17" s="964" t="str">
        <f t="shared" si="67"/>
        <v/>
      </c>
      <c r="EX17" s="1194" t="str">
        <f t="shared" ca="1" si="83"/>
        <v/>
      </c>
      <c r="EY17" s="1196" t="str">
        <f t="shared" si="68"/>
        <v/>
      </c>
      <c r="EZ17" s="1196" t="str">
        <f t="shared" si="84"/>
        <v/>
      </c>
      <c r="FA17" s="1217" t="str">
        <f t="shared" ca="1" si="89"/>
        <v/>
      </c>
      <c r="FB17" s="1218" t="str">
        <f t="shared" ca="1" si="85"/>
        <v/>
      </c>
      <c r="FC17" s="1218">
        <f t="shared" ca="1" si="69"/>
        <v>0</v>
      </c>
      <c r="FD17" s="1218">
        <f t="shared" ca="1" si="70"/>
        <v>0</v>
      </c>
      <c r="FE17" s="1218">
        <f t="shared" ca="1" si="71"/>
        <v>0</v>
      </c>
      <c r="FF17" s="1218">
        <f t="shared" ca="1" si="86"/>
        <v>0</v>
      </c>
      <c r="FN17" s="969" t="b">
        <v>0</v>
      </c>
      <c r="FO17" s="969" t="b">
        <f t="shared" si="72"/>
        <v>1</v>
      </c>
      <c r="FP17" s="1815" t="b">
        <v>0</v>
      </c>
      <c r="FQ17" s="969" t="b">
        <f t="shared" si="87"/>
        <v>1</v>
      </c>
      <c r="FW17" s="2"/>
      <c r="FX17" s="2"/>
      <c r="FZ17" s="2"/>
      <c r="GA17" s="1935" t="str">
        <f t="shared" si="73"/>
        <v/>
      </c>
      <c r="GB17" s="1936" t="str">
        <f t="shared" si="74"/>
        <v/>
      </c>
      <c r="GC17" s="1937" t="str">
        <f t="shared" si="75"/>
        <v/>
      </c>
      <c r="GD17" s="1938" t="str">
        <f t="shared" si="76"/>
        <v/>
      </c>
      <c r="GE17" s="1939" t="str">
        <f t="shared" si="77"/>
        <v/>
      </c>
      <c r="GF17" s="1940" t="str">
        <f t="shared" si="78"/>
        <v/>
      </c>
      <c r="GG17" s="1457"/>
      <c r="GH17" s="1459"/>
      <c r="GI17" s="1457"/>
      <c r="GJ17" s="1459"/>
      <c r="GK17" s="326">
        <f t="shared" si="79"/>
        <v>0</v>
      </c>
      <c r="GL17" s="326" t="e">
        <f t="shared" si="80"/>
        <v>#VALUE!</v>
      </c>
      <c r="GM17" s="327" t="e">
        <f>IF(ABS(GK17-GL17)&gt;='Job Info.'!$L$22,ABS(GK17-GL17),0)</f>
        <v>#VALUE!</v>
      </c>
      <c r="HA17" s="1612"/>
      <c r="HB17" s="1613"/>
      <c r="HC17" s="1613"/>
      <c r="HD17" s="1614"/>
      <c r="HE17" s="1615"/>
      <c r="HF17" s="1613"/>
      <c r="HG17" s="1613"/>
      <c r="HH17" s="1613"/>
      <c r="HI17" s="1613"/>
      <c r="HJ17" s="1613"/>
      <c r="HK17" s="1613"/>
      <c r="HL17" s="1613"/>
      <c r="HM17" s="1613"/>
      <c r="HN17" s="1613"/>
      <c r="HO17" s="1613"/>
      <c r="HP17" s="1613"/>
      <c r="HQ17" s="1613"/>
      <c r="HR17" s="1613"/>
      <c r="HS17" s="1613"/>
      <c r="HT17" s="1613"/>
      <c r="HU17" s="1613"/>
      <c r="HV17" s="1613"/>
      <c r="HW17" s="1613"/>
      <c r="HX17" s="1613"/>
      <c r="HY17" s="1617"/>
      <c r="HZ17" s="1617"/>
      <c r="IA17" s="1617"/>
      <c r="IB17" s="1617"/>
      <c r="IC17" s="1617"/>
      <c r="ID17" s="1632"/>
      <c r="IE17" s="1612"/>
      <c r="IF17" s="1613"/>
      <c r="IG17" s="1614"/>
      <c r="IH17" s="1615"/>
      <c r="II17" s="1613"/>
      <c r="IJ17" s="1614"/>
      <c r="IK17" s="1615"/>
      <c r="IL17" s="1613"/>
      <c r="IM17" s="1613"/>
      <c r="IN17" s="1613"/>
      <c r="IO17" s="1613"/>
      <c r="IP17" s="1613"/>
      <c r="IQ17" s="1613"/>
      <c r="IR17" s="1613"/>
      <c r="IS17" s="1614"/>
      <c r="IT17" s="1615"/>
      <c r="IU17" s="1613"/>
      <c r="IV17" s="1613"/>
      <c r="IW17" s="1614"/>
      <c r="IX17" s="1615"/>
      <c r="IY17" s="1613"/>
      <c r="IZ17" s="1613"/>
      <c r="JA17" s="1614"/>
      <c r="JB17" s="1615"/>
      <c r="JC17" s="1613"/>
      <c r="JD17" s="1613"/>
      <c r="JE17" s="1614"/>
      <c r="JF17" s="1615"/>
      <c r="JG17" s="1613"/>
      <c r="JH17" s="1613"/>
      <c r="JI17" s="1613"/>
      <c r="JJ17" s="1616"/>
      <c r="JK17" s="1613"/>
      <c r="JL17" s="1521">
        <f t="shared" ca="1" si="90"/>
        <v>0</v>
      </c>
    </row>
    <row r="18" spans="1:272" ht="12.6" customHeight="1" x14ac:dyDescent="0.25">
      <c r="A18" s="1861" t="str">
        <f t="shared" si="0"/>
        <v/>
      </c>
      <c r="B18" s="1862" t="str">
        <f t="shared" si="0"/>
        <v/>
      </c>
      <c r="C18" s="1863" t="str">
        <f t="shared" si="0"/>
        <v/>
      </c>
      <c r="D18" s="1864" t="str">
        <f t="shared" si="1"/>
        <v/>
      </c>
      <c r="E18" s="1865" t="str">
        <f t="shared" si="2"/>
        <v/>
      </c>
      <c r="F18" s="1866" t="str">
        <f t="shared" si="3"/>
        <v/>
      </c>
      <c r="G18" s="1867" t="str">
        <f t="shared" si="4"/>
        <v/>
      </c>
      <c r="H18" s="1868" t="str">
        <f t="shared" si="5"/>
        <v/>
      </c>
      <c r="I18" s="1869" t="str">
        <f t="shared" si="6"/>
        <v/>
      </c>
      <c r="J18" s="1864" t="str">
        <f t="shared" si="7"/>
        <v/>
      </c>
      <c r="K18" s="1868" t="str">
        <f t="shared" si="8"/>
        <v/>
      </c>
      <c r="L18" s="1870" t="str">
        <f t="shared" si="9"/>
        <v/>
      </c>
      <c r="M18" s="1871" t="str">
        <f t="shared" si="10"/>
        <v/>
      </c>
      <c r="N18" s="1872" t="str">
        <f t="shared" si="10"/>
        <v/>
      </c>
      <c r="O18" s="1867" t="str">
        <f t="shared" si="11"/>
        <v/>
      </c>
      <c r="P18" s="1868" t="str">
        <f t="shared" si="12"/>
        <v/>
      </c>
      <c r="Q18" s="1864" t="str">
        <f t="shared" si="13"/>
        <v/>
      </c>
      <c r="R18" s="1865" t="str">
        <f t="shared" si="14"/>
        <v/>
      </c>
      <c r="S18" s="1873" t="str">
        <f t="shared" si="15"/>
        <v/>
      </c>
      <c r="T18" s="1868" t="str">
        <f t="shared" si="16"/>
        <v/>
      </c>
      <c r="U18" s="1864" t="str">
        <f t="shared" si="17"/>
        <v/>
      </c>
      <c r="V18" s="1868" t="str">
        <f t="shared" si="18"/>
        <v/>
      </c>
      <c r="W18" s="1872">
        <f t="shared" si="19"/>
        <v>0</v>
      </c>
      <c r="X18" s="1874" t="str">
        <f t="shared" si="20"/>
        <v/>
      </c>
      <c r="Y18" s="1875" t="str">
        <f t="shared" si="21"/>
        <v/>
      </c>
      <c r="Z18" s="1941"/>
      <c r="AA18" s="1960" t="str">
        <f t="shared" si="22"/>
        <v/>
      </c>
      <c r="AB18" s="1471" t="str">
        <f t="shared" si="23"/>
        <v/>
      </c>
      <c r="AC18" s="1908" t="str">
        <f t="shared" si="23"/>
        <v/>
      </c>
      <c r="AD18" s="1909" t="str">
        <f t="shared" ca="1" si="24"/>
        <v/>
      </c>
      <c r="AE18" s="1910" t="str">
        <f t="shared" ca="1" si="25"/>
        <v/>
      </c>
      <c r="AF18" s="1908" t="str">
        <f t="shared" ca="1" si="26"/>
        <v/>
      </c>
      <c r="AG18" s="1909" t="str">
        <f t="shared" ca="1" si="27"/>
        <v/>
      </c>
      <c r="AH18" s="1910" t="str">
        <f t="shared" ca="1" si="28"/>
        <v/>
      </c>
      <c r="AI18" s="1909" t="str">
        <f t="shared" ca="1" si="29"/>
        <v/>
      </c>
      <c r="AJ18" s="1910" t="str">
        <f t="shared" ca="1" si="30"/>
        <v/>
      </c>
      <c r="AK18" s="1911" t="str">
        <f t="shared" si="31"/>
        <v/>
      </c>
      <c r="AL18" s="1912" t="str">
        <f t="shared" si="31"/>
        <v/>
      </c>
      <c r="AM18" s="1913" t="str">
        <f t="shared" si="31"/>
        <v/>
      </c>
      <c r="AN18" s="1908" t="str">
        <f t="shared" si="31"/>
        <v/>
      </c>
      <c r="AO18" s="1961" t="str">
        <f t="shared" si="31"/>
        <v/>
      </c>
      <c r="AP18" s="1915" t="str">
        <f t="shared" si="32"/>
        <v/>
      </c>
      <c r="AQ18" s="1916" t="str">
        <f t="shared" si="32"/>
        <v/>
      </c>
      <c r="AR18" s="1917" t="str">
        <f t="shared" si="33"/>
        <v/>
      </c>
      <c r="AS18" s="1910" t="str">
        <f t="shared" si="34"/>
        <v/>
      </c>
      <c r="AT18" s="1918" t="str">
        <f t="shared" si="35"/>
        <v/>
      </c>
      <c r="AU18" s="1919" t="str">
        <f t="shared" si="35"/>
        <v/>
      </c>
      <c r="AV18" s="1920" t="str">
        <f t="shared" si="36"/>
        <v/>
      </c>
      <c r="AW18" s="1910" t="str">
        <f t="shared" si="37"/>
        <v/>
      </c>
      <c r="AX18" s="1918" t="str">
        <f t="shared" si="38"/>
        <v/>
      </c>
      <c r="AY18" s="1919" t="str">
        <f t="shared" si="38"/>
        <v/>
      </c>
      <c r="AZ18" s="1920" t="str">
        <f t="shared" si="39"/>
        <v/>
      </c>
      <c r="BA18" s="1910" t="str">
        <f t="shared" si="40"/>
        <v/>
      </c>
      <c r="BB18" s="1918" t="str">
        <f t="shared" si="41"/>
        <v/>
      </c>
      <c r="BC18" s="1919" t="str">
        <f t="shared" si="41"/>
        <v/>
      </c>
      <c r="BD18" s="1920" t="str">
        <f t="shared" si="42"/>
        <v/>
      </c>
      <c r="BE18" s="1910" t="str">
        <f t="shared" si="43"/>
        <v/>
      </c>
      <c r="BF18" s="1918" t="str">
        <f t="shared" si="44"/>
        <v/>
      </c>
      <c r="BG18" s="1919" t="str">
        <f t="shared" si="44"/>
        <v/>
      </c>
      <c r="BH18" s="322"/>
      <c r="BJ18" s="1258" t="str">
        <f t="shared" si="88"/>
        <v/>
      </c>
      <c r="BK18" s="1256" t="b">
        <f t="shared" si="45"/>
        <v>0</v>
      </c>
      <c r="BL18" s="1251" t="b">
        <v>0</v>
      </c>
      <c r="BM18" s="1251">
        <f t="shared" si="46"/>
        <v>0</v>
      </c>
      <c r="BN18" s="1251">
        <f t="shared" si="47"/>
        <v>0</v>
      </c>
      <c r="BO18" s="1251">
        <f t="shared" si="48"/>
        <v>0</v>
      </c>
      <c r="BP18" s="1251">
        <f t="shared" si="49"/>
        <v>0</v>
      </c>
      <c r="BQ18" s="1251">
        <f t="shared" si="50"/>
        <v>0</v>
      </c>
      <c r="BR18" s="1251" t="b">
        <f t="shared" si="51"/>
        <v>1</v>
      </c>
      <c r="BS18" s="1252">
        <f t="shared" si="52"/>
        <v>6</v>
      </c>
      <c r="BT18" s="1252" t="str">
        <f t="shared" si="53"/>
        <v>No</v>
      </c>
      <c r="BU18" s="1252">
        <f t="shared" si="54"/>
        <v>6</v>
      </c>
      <c r="BV18" s="1252" t="str">
        <f t="shared" si="55"/>
        <v>No</v>
      </c>
      <c r="BW18" s="1253">
        <f t="shared" ca="1" si="56"/>
        <v>0</v>
      </c>
      <c r="BX18" s="1254" t="str">
        <f t="shared" ca="1" si="57"/>
        <v/>
      </c>
      <c r="BY18" s="1254" t="b">
        <f t="shared" ca="1" si="58"/>
        <v>0</v>
      </c>
      <c r="BZ18" s="1253" t="b">
        <f t="shared" si="81"/>
        <v>0</v>
      </c>
      <c r="CB18" s="842"/>
      <c r="CC18" s="894"/>
      <c r="CD18" s="883"/>
      <c r="CE18" s="884"/>
      <c r="CF18" s="885"/>
      <c r="CG18" s="901"/>
      <c r="CH18" s="902"/>
      <c r="CI18" s="903"/>
      <c r="CJ18" s="902"/>
      <c r="CK18" s="903"/>
      <c r="CL18" s="904"/>
      <c r="CM18" s="944"/>
      <c r="CN18" s="901"/>
      <c r="CO18" s="902"/>
      <c r="CP18" s="903"/>
      <c r="CQ18" s="902"/>
      <c r="CR18" s="903"/>
      <c r="CS18" s="904"/>
      <c r="CT18" s="944"/>
      <c r="CU18" s="906"/>
      <c r="CV18" s="886"/>
      <c r="CW18" s="887"/>
      <c r="CX18" s="915"/>
      <c r="CY18" s="916"/>
      <c r="CZ18" s="932"/>
      <c r="DA18" s="933"/>
      <c r="DB18" s="932"/>
      <c r="DC18" s="933"/>
      <c r="DD18" s="1149"/>
      <c r="DE18" s="1150"/>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30" t="str">
        <f t="shared" si="62"/>
        <v/>
      </c>
      <c r="EP18" s="726" t="str">
        <f t="shared" si="63"/>
        <v/>
      </c>
      <c r="EQ18" s="727" t="str">
        <f t="shared" si="64"/>
        <v/>
      </c>
      <c r="ER18" s="961" t="str">
        <f t="shared" si="65"/>
        <v/>
      </c>
      <c r="ES18" s="962" t="str">
        <f t="shared" si="82"/>
        <v/>
      </c>
      <c r="ET18" s="963" t="str">
        <f t="shared" si="66"/>
        <v/>
      </c>
      <c r="EU18" s="964" t="str">
        <f t="shared" si="67"/>
        <v/>
      </c>
      <c r="EX18" s="1194" t="str">
        <f t="shared" ca="1" si="83"/>
        <v/>
      </c>
      <c r="EY18" s="1196" t="str">
        <f t="shared" si="68"/>
        <v/>
      </c>
      <c r="EZ18" s="1196" t="str">
        <f t="shared" si="84"/>
        <v/>
      </c>
      <c r="FA18" s="1217" t="str">
        <f t="shared" ca="1" si="89"/>
        <v/>
      </c>
      <c r="FB18" s="1218" t="str">
        <f t="shared" ca="1" si="85"/>
        <v/>
      </c>
      <c r="FC18" s="1218">
        <f t="shared" ca="1" si="69"/>
        <v>0</v>
      </c>
      <c r="FD18" s="1218">
        <f t="shared" ca="1" si="70"/>
        <v>0</v>
      </c>
      <c r="FE18" s="1218">
        <f t="shared" ca="1" si="71"/>
        <v>0</v>
      </c>
      <c r="FF18" s="1218">
        <f t="shared" ca="1" si="86"/>
        <v>0</v>
      </c>
      <c r="FN18" s="969" t="b">
        <v>0</v>
      </c>
      <c r="FO18" s="969" t="b">
        <f t="shared" si="72"/>
        <v>1</v>
      </c>
      <c r="FP18" s="1815" t="b">
        <v>0</v>
      </c>
      <c r="FQ18" s="969" t="b">
        <f t="shared" si="87"/>
        <v>1</v>
      </c>
      <c r="FW18" s="2"/>
      <c r="FX18" s="2"/>
      <c r="FZ18" s="2"/>
      <c r="GA18" s="1935" t="str">
        <f t="shared" si="73"/>
        <v/>
      </c>
      <c r="GB18" s="1936" t="str">
        <f t="shared" si="74"/>
        <v/>
      </c>
      <c r="GC18" s="1937" t="str">
        <f t="shared" si="75"/>
        <v/>
      </c>
      <c r="GD18" s="1938" t="str">
        <f t="shared" si="76"/>
        <v/>
      </c>
      <c r="GE18" s="1939" t="str">
        <f t="shared" si="77"/>
        <v/>
      </c>
      <c r="GF18" s="1940" t="str">
        <f t="shared" si="78"/>
        <v/>
      </c>
      <c r="GG18" s="1457"/>
      <c r="GH18" s="1459"/>
      <c r="GI18" s="1457"/>
      <c r="GJ18" s="1459"/>
      <c r="GK18" s="326">
        <f t="shared" si="79"/>
        <v>0</v>
      </c>
      <c r="GL18" s="326" t="e">
        <f t="shared" si="80"/>
        <v>#VALUE!</v>
      </c>
      <c r="GM18" s="327" t="e">
        <f>IF(ABS(GK18-GL18)&gt;='Job Info.'!$L$22,ABS(GK18-GL18),0)</f>
        <v>#VALUE!</v>
      </c>
      <c r="HA18" s="1612"/>
      <c r="HB18" s="1613"/>
      <c r="HC18" s="1613"/>
      <c r="HD18" s="1614"/>
      <c r="HE18" s="1615"/>
      <c r="HF18" s="1613"/>
      <c r="HG18" s="1613"/>
      <c r="HH18" s="1613"/>
      <c r="HI18" s="1613"/>
      <c r="HJ18" s="1613"/>
      <c r="HK18" s="1613"/>
      <c r="HL18" s="1613"/>
      <c r="HM18" s="1613"/>
      <c r="HN18" s="1613"/>
      <c r="HO18" s="1613"/>
      <c r="HP18" s="1613"/>
      <c r="HQ18" s="1613"/>
      <c r="HR18" s="1613"/>
      <c r="HS18" s="1613"/>
      <c r="HT18" s="1613"/>
      <c r="HU18" s="1613"/>
      <c r="HV18" s="1613"/>
      <c r="HW18" s="1613"/>
      <c r="HX18" s="1613"/>
      <c r="HY18" s="1617"/>
      <c r="HZ18" s="1617"/>
      <c r="IA18" s="1617"/>
      <c r="IB18" s="1617"/>
      <c r="IC18" s="1617"/>
      <c r="ID18" s="1632"/>
      <c r="IE18" s="1612"/>
      <c r="IF18" s="1613"/>
      <c r="IG18" s="1614"/>
      <c r="IH18" s="1615"/>
      <c r="II18" s="1613"/>
      <c r="IJ18" s="1614"/>
      <c r="IK18" s="1615"/>
      <c r="IL18" s="1613"/>
      <c r="IM18" s="1613"/>
      <c r="IN18" s="1613"/>
      <c r="IO18" s="1613"/>
      <c r="IP18" s="1613"/>
      <c r="IQ18" s="1613"/>
      <c r="IR18" s="1613"/>
      <c r="IS18" s="1614"/>
      <c r="IT18" s="1615"/>
      <c r="IU18" s="1613"/>
      <c r="IV18" s="1613"/>
      <c r="IW18" s="1614"/>
      <c r="IX18" s="1615"/>
      <c r="IY18" s="1613"/>
      <c r="IZ18" s="1613"/>
      <c r="JA18" s="1614"/>
      <c r="JB18" s="1615"/>
      <c r="JC18" s="1613"/>
      <c r="JD18" s="1613"/>
      <c r="JE18" s="1614"/>
      <c r="JF18" s="1615"/>
      <c r="JG18" s="1613"/>
      <c r="JH18" s="1613"/>
      <c r="JI18" s="1613"/>
      <c r="JJ18" s="1616"/>
      <c r="JK18" s="1613"/>
      <c r="JL18" s="1521">
        <f t="shared" ca="1" si="90"/>
        <v>0</v>
      </c>
    </row>
    <row r="19" spans="1:272" ht="12.6" customHeight="1" x14ac:dyDescent="0.25">
      <c r="A19" s="1861" t="str">
        <f t="shared" si="0"/>
        <v/>
      </c>
      <c r="B19" s="1862" t="str">
        <f t="shared" si="0"/>
        <v/>
      </c>
      <c r="C19" s="1863" t="str">
        <f t="shared" si="0"/>
        <v/>
      </c>
      <c r="D19" s="1864" t="str">
        <f t="shared" si="1"/>
        <v/>
      </c>
      <c r="E19" s="1865" t="str">
        <f t="shared" si="2"/>
        <v/>
      </c>
      <c r="F19" s="1866" t="str">
        <f t="shared" si="3"/>
        <v/>
      </c>
      <c r="G19" s="1867" t="str">
        <f t="shared" si="4"/>
        <v/>
      </c>
      <c r="H19" s="1868" t="str">
        <f t="shared" si="5"/>
        <v/>
      </c>
      <c r="I19" s="1869" t="str">
        <f t="shared" si="6"/>
        <v/>
      </c>
      <c r="J19" s="1864" t="str">
        <f t="shared" si="7"/>
        <v/>
      </c>
      <c r="K19" s="1868" t="str">
        <f t="shared" si="8"/>
        <v/>
      </c>
      <c r="L19" s="1870" t="str">
        <f t="shared" si="9"/>
        <v/>
      </c>
      <c r="M19" s="1871" t="str">
        <f t="shared" si="10"/>
        <v/>
      </c>
      <c r="N19" s="1872" t="str">
        <f t="shared" si="10"/>
        <v/>
      </c>
      <c r="O19" s="1867" t="str">
        <f t="shared" si="11"/>
        <v/>
      </c>
      <c r="P19" s="1868" t="str">
        <f t="shared" si="12"/>
        <v/>
      </c>
      <c r="Q19" s="1864" t="str">
        <f t="shared" si="13"/>
        <v/>
      </c>
      <c r="R19" s="1865" t="str">
        <f t="shared" si="14"/>
        <v/>
      </c>
      <c r="S19" s="1873" t="str">
        <f t="shared" si="15"/>
        <v/>
      </c>
      <c r="T19" s="1868" t="str">
        <f t="shared" si="16"/>
        <v/>
      </c>
      <c r="U19" s="1864" t="str">
        <f t="shared" si="17"/>
        <v/>
      </c>
      <c r="V19" s="1868" t="str">
        <f t="shared" si="18"/>
        <v/>
      </c>
      <c r="W19" s="1872">
        <f t="shared" si="19"/>
        <v>0</v>
      </c>
      <c r="X19" s="1874" t="str">
        <f t="shared" si="20"/>
        <v/>
      </c>
      <c r="Y19" s="1875" t="str">
        <f t="shared" si="21"/>
        <v/>
      </c>
      <c r="Z19" s="1941"/>
      <c r="AA19" s="1960" t="str">
        <f t="shared" si="22"/>
        <v/>
      </c>
      <c r="AB19" s="1471" t="str">
        <f t="shared" si="23"/>
        <v/>
      </c>
      <c r="AC19" s="1908" t="str">
        <f t="shared" si="23"/>
        <v/>
      </c>
      <c r="AD19" s="1909" t="str">
        <f t="shared" ca="1" si="24"/>
        <v/>
      </c>
      <c r="AE19" s="1910" t="str">
        <f t="shared" ca="1" si="25"/>
        <v/>
      </c>
      <c r="AF19" s="1908" t="str">
        <f t="shared" ca="1" si="26"/>
        <v/>
      </c>
      <c r="AG19" s="1909" t="str">
        <f t="shared" ca="1" si="27"/>
        <v/>
      </c>
      <c r="AH19" s="1910" t="str">
        <f t="shared" ca="1" si="28"/>
        <v/>
      </c>
      <c r="AI19" s="1909" t="str">
        <f t="shared" ca="1" si="29"/>
        <v/>
      </c>
      <c r="AJ19" s="1910" t="str">
        <f t="shared" ca="1" si="30"/>
        <v/>
      </c>
      <c r="AK19" s="1911" t="str">
        <f t="shared" si="31"/>
        <v/>
      </c>
      <c r="AL19" s="1912" t="str">
        <f t="shared" si="31"/>
        <v/>
      </c>
      <c r="AM19" s="1913" t="str">
        <f t="shared" si="31"/>
        <v/>
      </c>
      <c r="AN19" s="1908" t="str">
        <f t="shared" si="31"/>
        <v/>
      </c>
      <c r="AO19" s="1961" t="str">
        <f t="shared" si="31"/>
        <v/>
      </c>
      <c r="AP19" s="1915" t="str">
        <f t="shared" si="32"/>
        <v/>
      </c>
      <c r="AQ19" s="1916" t="str">
        <f t="shared" si="32"/>
        <v/>
      </c>
      <c r="AR19" s="1917" t="str">
        <f t="shared" si="33"/>
        <v/>
      </c>
      <c r="AS19" s="1910" t="str">
        <f t="shared" si="34"/>
        <v/>
      </c>
      <c r="AT19" s="1918" t="str">
        <f t="shared" si="35"/>
        <v/>
      </c>
      <c r="AU19" s="1919" t="str">
        <f t="shared" si="35"/>
        <v/>
      </c>
      <c r="AV19" s="1920" t="str">
        <f t="shared" si="36"/>
        <v/>
      </c>
      <c r="AW19" s="1910" t="str">
        <f t="shared" si="37"/>
        <v/>
      </c>
      <c r="AX19" s="1918" t="str">
        <f t="shared" si="38"/>
        <v/>
      </c>
      <c r="AY19" s="1919" t="str">
        <f t="shared" si="38"/>
        <v/>
      </c>
      <c r="AZ19" s="1920" t="str">
        <f t="shared" si="39"/>
        <v/>
      </c>
      <c r="BA19" s="1910" t="str">
        <f t="shared" si="40"/>
        <v/>
      </c>
      <c r="BB19" s="1918" t="str">
        <f t="shared" si="41"/>
        <v/>
      </c>
      <c r="BC19" s="1919" t="str">
        <f t="shared" si="41"/>
        <v/>
      </c>
      <c r="BD19" s="1920" t="str">
        <f t="shared" si="42"/>
        <v/>
      </c>
      <c r="BE19" s="1910" t="str">
        <f t="shared" si="43"/>
        <v/>
      </c>
      <c r="BF19" s="1918" t="str">
        <f t="shared" si="44"/>
        <v/>
      </c>
      <c r="BG19" s="1919" t="str">
        <f t="shared" si="44"/>
        <v/>
      </c>
      <c r="BH19" s="322"/>
      <c r="BJ19" s="1258" t="str">
        <f t="shared" si="88"/>
        <v/>
      </c>
      <c r="BK19" s="1256" t="b">
        <f t="shared" si="45"/>
        <v>0</v>
      </c>
      <c r="BL19" s="1251" t="b">
        <v>0</v>
      </c>
      <c r="BM19" s="1251">
        <f t="shared" si="46"/>
        <v>0</v>
      </c>
      <c r="BN19" s="1251">
        <f t="shared" si="47"/>
        <v>0</v>
      </c>
      <c r="BO19" s="1251">
        <f t="shared" si="48"/>
        <v>0</v>
      </c>
      <c r="BP19" s="1251">
        <f t="shared" si="49"/>
        <v>0</v>
      </c>
      <c r="BQ19" s="1251">
        <f t="shared" si="50"/>
        <v>0</v>
      </c>
      <c r="BR19" s="1251" t="b">
        <f t="shared" si="51"/>
        <v>1</v>
      </c>
      <c r="BS19" s="1252">
        <f t="shared" si="52"/>
        <v>6</v>
      </c>
      <c r="BT19" s="1252" t="str">
        <f t="shared" si="53"/>
        <v>No</v>
      </c>
      <c r="BU19" s="1252">
        <f t="shared" si="54"/>
        <v>6</v>
      </c>
      <c r="BV19" s="1252" t="str">
        <f t="shared" si="55"/>
        <v>No</v>
      </c>
      <c r="BW19" s="1253">
        <f t="shared" ca="1" si="56"/>
        <v>0</v>
      </c>
      <c r="BX19" s="1254" t="str">
        <f t="shared" ca="1" si="57"/>
        <v/>
      </c>
      <c r="BY19" s="1254" t="b">
        <f t="shared" ca="1" si="58"/>
        <v>0</v>
      </c>
      <c r="BZ19" s="1253" t="b">
        <f t="shared" si="81"/>
        <v>0</v>
      </c>
      <c r="CB19" s="842"/>
      <c r="CC19" s="894"/>
      <c r="CD19" s="883"/>
      <c r="CE19" s="884"/>
      <c r="CF19" s="885"/>
      <c r="CG19" s="901"/>
      <c r="CH19" s="902"/>
      <c r="CI19" s="903"/>
      <c r="CJ19" s="902"/>
      <c r="CK19" s="903"/>
      <c r="CL19" s="904"/>
      <c r="CM19" s="944"/>
      <c r="CN19" s="901"/>
      <c r="CO19" s="902"/>
      <c r="CP19" s="903"/>
      <c r="CQ19" s="902"/>
      <c r="CR19" s="903"/>
      <c r="CS19" s="904"/>
      <c r="CT19" s="944"/>
      <c r="CU19" s="906"/>
      <c r="CV19" s="886"/>
      <c r="CW19" s="887"/>
      <c r="CX19" s="915"/>
      <c r="CY19" s="916"/>
      <c r="CZ19" s="932"/>
      <c r="DA19" s="933"/>
      <c r="DB19" s="932"/>
      <c r="DC19" s="933"/>
      <c r="DD19" s="1149"/>
      <c r="DE19" s="1150"/>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30" t="str">
        <f t="shared" si="62"/>
        <v/>
      </c>
      <c r="EP19" s="726" t="str">
        <f t="shared" si="63"/>
        <v/>
      </c>
      <c r="EQ19" s="727" t="str">
        <f t="shared" si="64"/>
        <v/>
      </c>
      <c r="ER19" s="961" t="str">
        <f t="shared" si="65"/>
        <v/>
      </c>
      <c r="ES19" s="962" t="str">
        <f t="shared" si="82"/>
        <v/>
      </c>
      <c r="ET19" s="963" t="str">
        <f t="shared" si="66"/>
        <v/>
      </c>
      <c r="EU19" s="964" t="str">
        <f t="shared" si="67"/>
        <v/>
      </c>
      <c r="EX19" s="1194" t="str">
        <f t="shared" ca="1" si="83"/>
        <v/>
      </c>
      <c r="EY19" s="1196" t="str">
        <f t="shared" si="68"/>
        <v/>
      </c>
      <c r="EZ19" s="1196" t="str">
        <f t="shared" si="84"/>
        <v/>
      </c>
      <c r="FA19" s="1217" t="str">
        <f t="shared" ca="1" si="89"/>
        <v/>
      </c>
      <c r="FB19" s="1218" t="str">
        <f t="shared" ca="1" si="85"/>
        <v/>
      </c>
      <c r="FC19" s="1218">
        <f t="shared" ca="1" si="69"/>
        <v>0</v>
      </c>
      <c r="FD19" s="1218">
        <f t="shared" ca="1" si="70"/>
        <v>0</v>
      </c>
      <c r="FE19" s="1218">
        <f t="shared" ca="1" si="71"/>
        <v>0</v>
      </c>
      <c r="FF19" s="1218">
        <f t="shared" ca="1" si="86"/>
        <v>0</v>
      </c>
      <c r="FN19" s="969" t="b">
        <v>0</v>
      </c>
      <c r="FO19" s="969" t="b">
        <f t="shared" si="72"/>
        <v>1</v>
      </c>
      <c r="FP19" s="1815" t="b">
        <v>0</v>
      </c>
      <c r="FQ19" s="969" t="b">
        <f t="shared" si="87"/>
        <v>1</v>
      </c>
      <c r="FW19" s="2"/>
      <c r="FX19" s="2"/>
      <c r="FZ19" s="2"/>
      <c r="GA19" s="1935" t="str">
        <f t="shared" si="73"/>
        <v/>
      </c>
      <c r="GB19" s="1936" t="str">
        <f t="shared" si="74"/>
        <v/>
      </c>
      <c r="GC19" s="1937" t="str">
        <f t="shared" si="75"/>
        <v/>
      </c>
      <c r="GD19" s="1938" t="str">
        <f t="shared" si="76"/>
        <v/>
      </c>
      <c r="GE19" s="1939" t="str">
        <f t="shared" si="77"/>
        <v/>
      </c>
      <c r="GF19" s="1940" t="str">
        <f t="shared" si="78"/>
        <v/>
      </c>
      <c r="GG19" s="1457"/>
      <c r="GH19" s="1459"/>
      <c r="GI19" s="1457"/>
      <c r="GJ19" s="1459"/>
      <c r="GK19" s="326">
        <f t="shared" si="79"/>
        <v>0</v>
      </c>
      <c r="GL19" s="326" t="e">
        <f t="shared" si="80"/>
        <v>#VALUE!</v>
      </c>
      <c r="GM19" s="327" t="e">
        <f>IF(ABS(GK19-GL19)&gt;='Job Info.'!$L$22,ABS(GK19-GL19),0)</f>
        <v>#VALUE!</v>
      </c>
      <c r="GZ19" s="171"/>
      <c r="HA19" s="1612"/>
      <c r="HB19" s="1613"/>
      <c r="HC19" s="1613"/>
      <c r="HD19" s="1614"/>
      <c r="HE19" s="1615"/>
      <c r="HF19" s="1613"/>
      <c r="HG19" s="1613"/>
      <c r="HH19" s="1613"/>
      <c r="HI19" s="1613"/>
      <c r="HJ19" s="1613"/>
      <c r="HK19" s="1613"/>
      <c r="HL19" s="1613"/>
      <c r="HM19" s="1613"/>
      <c r="HN19" s="1613"/>
      <c r="HO19" s="1613"/>
      <c r="HP19" s="1613"/>
      <c r="HQ19" s="1613"/>
      <c r="HR19" s="1613"/>
      <c r="HS19" s="1613"/>
      <c r="HT19" s="1613"/>
      <c r="HU19" s="1613"/>
      <c r="HV19" s="1613"/>
      <c r="HW19" s="1613"/>
      <c r="HX19" s="1613"/>
      <c r="HY19" s="1617"/>
      <c r="HZ19" s="1617"/>
      <c r="IA19" s="1617"/>
      <c r="IB19" s="1617"/>
      <c r="IC19" s="1617"/>
      <c r="ID19" s="1632"/>
      <c r="IE19" s="1612"/>
      <c r="IF19" s="1613"/>
      <c r="IG19" s="1614"/>
      <c r="IH19" s="1615"/>
      <c r="II19" s="1613"/>
      <c r="IJ19" s="1614"/>
      <c r="IK19" s="1615"/>
      <c r="IL19" s="1613"/>
      <c r="IM19" s="1613"/>
      <c r="IN19" s="1613"/>
      <c r="IO19" s="1613"/>
      <c r="IP19" s="1613"/>
      <c r="IQ19" s="1613"/>
      <c r="IR19" s="1613"/>
      <c r="IS19" s="1614"/>
      <c r="IT19" s="1615"/>
      <c r="IU19" s="1613"/>
      <c r="IV19" s="1613"/>
      <c r="IW19" s="1614"/>
      <c r="IX19" s="1615"/>
      <c r="IY19" s="1613"/>
      <c r="IZ19" s="1613"/>
      <c r="JA19" s="1614"/>
      <c r="JB19" s="1615"/>
      <c r="JC19" s="1613"/>
      <c r="JD19" s="1613"/>
      <c r="JE19" s="1614"/>
      <c r="JF19" s="1615"/>
      <c r="JG19" s="1613"/>
      <c r="JH19" s="1613"/>
      <c r="JI19" s="1613"/>
      <c r="JJ19" s="1616"/>
      <c r="JK19" s="1613"/>
      <c r="JL19" s="1521">
        <f t="shared" ca="1" si="90"/>
        <v>0</v>
      </c>
    </row>
    <row r="20" spans="1:272" ht="12.6" customHeight="1" x14ac:dyDescent="0.25">
      <c r="A20" s="1861" t="str">
        <f t="shared" si="0"/>
        <v/>
      </c>
      <c r="B20" s="1862" t="str">
        <f t="shared" si="0"/>
        <v/>
      </c>
      <c r="C20" s="1863" t="str">
        <f t="shared" si="0"/>
        <v/>
      </c>
      <c r="D20" s="1864" t="str">
        <f t="shared" si="1"/>
        <v/>
      </c>
      <c r="E20" s="1865" t="str">
        <f t="shared" si="2"/>
        <v/>
      </c>
      <c r="F20" s="1866" t="str">
        <f t="shared" si="3"/>
        <v/>
      </c>
      <c r="G20" s="1867" t="str">
        <f t="shared" si="4"/>
        <v/>
      </c>
      <c r="H20" s="1868" t="str">
        <f t="shared" si="5"/>
        <v/>
      </c>
      <c r="I20" s="1869" t="str">
        <f t="shared" si="6"/>
        <v/>
      </c>
      <c r="J20" s="1864" t="str">
        <f t="shared" si="7"/>
        <v/>
      </c>
      <c r="K20" s="1868" t="str">
        <f t="shared" si="8"/>
        <v/>
      </c>
      <c r="L20" s="1870" t="str">
        <f t="shared" si="9"/>
        <v/>
      </c>
      <c r="M20" s="1871" t="str">
        <f t="shared" si="10"/>
        <v/>
      </c>
      <c r="N20" s="1872" t="str">
        <f t="shared" si="10"/>
        <v/>
      </c>
      <c r="O20" s="1867" t="str">
        <f t="shared" si="11"/>
        <v/>
      </c>
      <c r="P20" s="1868" t="str">
        <f t="shared" si="12"/>
        <v/>
      </c>
      <c r="Q20" s="1864" t="str">
        <f t="shared" si="13"/>
        <v/>
      </c>
      <c r="R20" s="1865" t="str">
        <f t="shared" si="14"/>
        <v/>
      </c>
      <c r="S20" s="1873" t="str">
        <f t="shared" si="15"/>
        <v/>
      </c>
      <c r="T20" s="1868" t="str">
        <f t="shared" si="16"/>
        <v/>
      </c>
      <c r="U20" s="1864" t="str">
        <f t="shared" si="17"/>
        <v/>
      </c>
      <c r="V20" s="1868" t="str">
        <f t="shared" si="18"/>
        <v/>
      </c>
      <c r="W20" s="1872">
        <f t="shared" si="19"/>
        <v>0</v>
      </c>
      <c r="X20" s="1874" t="str">
        <f t="shared" si="20"/>
        <v/>
      </c>
      <c r="Y20" s="1875" t="str">
        <f t="shared" si="21"/>
        <v/>
      </c>
      <c r="Z20" s="1941"/>
      <c r="AA20" s="1960" t="str">
        <f t="shared" si="22"/>
        <v/>
      </c>
      <c r="AB20" s="1471" t="str">
        <f t="shared" si="23"/>
        <v/>
      </c>
      <c r="AC20" s="1908" t="str">
        <f t="shared" si="23"/>
        <v/>
      </c>
      <c r="AD20" s="1909" t="str">
        <f t="shared" ca="1" si="24"/>
        <v/>
      </c>
      <c r="AE20" s="1910" t="str">
        <f t="shared" ca="1" si="25"/>
        <v/>
      </c>
      <c r="AF20" s="1908" t="str">
        <f t="shared" ca="1" si="26"/>
        <v/>
      </c>
      <c r="AG20" s="1909" t="str">
        <f t="shared" ca="1" si="27"/>
        <v/>
      </c>
      <c r="AH20" s="1910" t="str">
        <f t="shared" ca="1" si="28"/>
        <v/>
      </c>
      <c r="AI20" s="1909" t="str">
        <f t="shared" ca="1" si="29"/>
        <v/>
      </c>
      <c r="AJ20" s="1910" t="str">
        <f t="shared" ca="1" si="30"/>
        <v/>
      </c>
      <c r="AK20" s="1911" t="str">
        <f t="shared" si="31"/>
        <v/>
      </c>
      <c r="AL20" s="1912" t="str">
        <f t="shared" si="31"/>
        <v/>
      </c>
      <c r="AM20" s="1913" t="str">
        <f t="shared" si="31"/>
        <v/>
      </c>
      <c r="AN20" s="1908" t="str">
        <f t="shared" si="31"/>
        <v/>
      </c>
      <c r="AO20" s="1961" t="str">
        <f t="shared" si="31"/>
        <v/>
      </c>
      <c r="AP20" s="1915" t="str">
        <f t="shared" si="32"/>
        <v/>
      </c>
      <c r="AQ20" s="1916" t="str">
        <f t="shared" si="32"/>
        <v/>
      </c>
      <c r="AR20" s="1917" t="str">
        <f t="shared" si="33"/>
        <v/>
      </c>
      <c r="AS20" s="1910" t="str">
        <f t="shared" si="34"/>
        <v/>
      </c>
      <c r="AT20" s="1918" t="str">
        <f t="shared" si="35"/>
        <v/>
      </c>
      <c r="AU20" s="1919" t="str">
        <f t="shared" si="35"/>
        <v/>
      </c>
      <c r="AV20" s="1920" t="str">
        <f t="shared" si="36"/>
        <v/>
      </c>
      <c r="AW20" s="1910" t="str">
        <f t="shared" si="37"/>
        <v/>
      </c>
      <c r="AX20" s="1918" t="str">
        <f t="shared" si="38"/>
        <v/>
      </c>
      <c r="AY20" s="1919" t="str">
        <f t="shared" si="38"/>
        <v/>
      </c>
      <c r="AZ20" s="1920" t="str">
        <f t="shared" si="39"/>
        <v/>
      </c>
      <c r="BA20" s="1910" t="str">
        <f t="shared" si="40"/>
        <v/>
      </c>
      <c r="BB20" s="1918" t="str">
        <f t="shared" si="41"/>
        <v/>
      </c>
      <c r="BC20" s="1919" t="str">
        <f t="shared" si="41"/>
        <v/>
      </c>
      <c r="BD20" s="1920" t="str">
        <f t="shared" si="42"/>
        <v/>
      </c>
      <c r="BE20" s="1910" t="str">
        <f t="shared" si="43"/>
        <v/>
      </c>
      <c r="BF20" s="1918" t="str">
        <f t="shared" si="44"/>
        <v/>
      </c>
      <c r="BG20" s="1919" t="str">
        <f t="shared" si="44"/>
        <v/>
      </c>
      <c r="BH20" s="322"/>
      <c r="BJ20" s="1258" t="str">
        <f t="shared" si="88"/>
        <v/>
      </c>
      <c r="BK20" s="1256" t="b">
        <f t="shared" si="45"/>
        <v>0</v>
      </c>
      <c r="BL20" s="1251" t="b">
        <v>0</v>
      </c>
      <c r="BM20" s="1251">
        <f t="shared" si="46"/>
        <v>0</v>
      </c>
      <c r="BN20" s="1251">
        <f t="shared" si="47"/>
        <v>0</v>
      </c>
      <c r="BO20" s="1251">
        <f t="shared" si="48"/>
        <v>0</v>
      </c>
      <c r="BP20" s="1251">
        <f t="shared" si="49"/>
        <v>0</v>
      </c>
      <c r="BQ20" s="1251">
        <f t="shared" si="50"/>
        <v>0</v>
      </c>
      <c r="BR20" s="1251" t="b">
        <f t="shared" si="51"/>
        <v>1</v>
      </c>
      <c r="BS20" s="1252">
        <f t="shared" si="52"/>
        <v>6</v>
      </c>
      <c r="BT20" s="1252" t="str">
        <f t="shared" si="53"/>
        <v>No</v>
      </c>
      <c r="BU20" s="1252">
        <f t="shared" si="54"/>
        <v>6</v>
      </c>
      <c r="BV20" s="1252" t="str">
        <f t="shared" si="55"/>
        <v>No</v>
      </c>
      <c r="BW20" s="1253">
        <f t="shared" ca="1" si="56"/>
        <v>0</v>
      </c>
      <c r="BX20" s="1254" t="str">
        <f t="shared" ca="1" si="57"/>
        <v/>
      </c>
      <c r="BY20" s="1254" t="b">
        <f t="shared" ca="1" si="58"/>
        <v>0</v>
      </c>
      <c r="BZ20" s="1253" t="b">
        <f t="shared" si="81"/>
        <v>0</v>
      </c>
      <c r="CB20" s="842"/>
      <c r="CC20" s="894"/>
      <c r="CD20" s="883"/>
      <c r="CE20" s="884"/>
      <c r="CF20" s="885"/>
      <c r="CG20" s="901"/>
      <c r="CH20" s="902"/>
      <c r="CI20" s="903"/>
      <c r="CJ20" s="902"/>
      <c r="CK20" s="903"/>
      <c r="CL20" s="904"/>
      <c r="CM20" s="944"/>
      <c r="CN20" s="901"/>
      <c r="CO20" s="902"/>
      <c r="CP20" s="903"/>
      <c r="CQ20" s="902"/>
      <c r="CR20" s="903"/>
      <c r="CS20" s="904"/>
      <c r="CT20" s="944"/>
      <c r="CU20" s="906"/>
      <c r="CV20" s="886"/>
      <c r="CW20" s="887"/>
      <c r="CX20" s="915"/>
      <c r="CY20" s="916"/>
      <c r="CZ20" s="932"/>
      <c r="DA20" s="933"/>
      <c r="DB20" s="932"/>
      <c r="DC20" s="933"/>
      <c r="DD20" s="1149"/>
      <c r="DE20" s="1150"/>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30" t="str">
        <f t="shared" si="62"/>
        <v/>
      </c>
      <c r="EP20" s="726" t="str">
        <f t="shared" si="63"/>
        <v/>
      </c>
      <c r="EQ20" s="727" t="str">
        <f t="shared" si="64"/>
        <v/>
      </c>
      <c r="ER20" s="961" t="str">
        <f t="shared" si="65"/>
        <v/>
      </c>
      <c r="ES20" s="962" t="str">
        <f t="shared" si="82"/>
        <v/>
      </c>
      <c r="ET20" s="963" t="str">
        <f t="shared" si="66"/>
        <v/>
      </c>
      <c r="EU20" s="964" t="str">
        <f t="shared" si="67"/>
        <v/>
      </c>
      <c r="EX20" s="1194" t="str">
        <f t="shared" ca="1" si="83"/>
        <v/>
      </c>
      <c r="EY20" s="1196" t="str">
        <f t="shared" si="68"/>
        <v/>
      </c>
      <c r="EZ20" s="1196" t="str">
        <f t="shared" si="84"/>
        <v/>
      </c>
      <c r="FA20" s="1217" t="str">
        <f t="shared" ca="1" si="89"/>
        <v/>
      </c>
      <c r="FB20" s="1218" t="str">
        <f t="shared" ca="1" si="85"/>
        <v/>
      </c>
      <c r="FC20" s="1218">
        <f t="shared" ca="1" si="69"/>
        <v>0</v>
      </c>
      <c r="FD20" s="1218">
        <f t="shared" ca="1" si="70"/>
        <v>0</v>
      </c>
      <c r="FE20" s="1218">
        <f t="shared" ca="1" si="71"/>
        <v>0</v>
      </c>
      <c r="FF20" s="1218">
        <f t="shared" ca="1" si="86"/>
        <v>0</v>
      </c>
      <c r="FN20" s="969" t="b">
        <v>0</v>
      </c>
      <c r="FO20" s="969" t="b">
        <f t="shared" si="72"/>
        <v>1</v>
      </c>
      <c r="FP20" s="1815" t="b">
        <v>0</v>
      </c>
      <c r="FQ20" s="969" t="b">
        <f t="shared" si="87"/>
        <v>1</v>
      </c>
      <c r="FW20" s="2"/>
      <c r="FX20" s="2"/>
      <c r="FZ20" s="2"/>
      <c r="GA20" s="1935" t="str">
        <f t="shared" si="73"/>
        <v/>
      </c>
      <c r="GB20" s="1936" t="str">
        <f t="shared" si="74"/>
        <v/>
      </c>
      <c r="GC20" s="1937" t="str">
        <f t="shared" si="75"/>
        <v/>
      </c>
      <c r="GD20" s="1938" t="str">
        <f t="shared" si="76"/>
        <v/>
      </c>
      <c r="GE20" s="1939" t="str">
        <f t="shared" si="77"/>
        <v/>
      </c>
      <c r="GF20" s="1940" t="str">
        <f t="shared" si="78"/>
        <v/>
      </c>
      <c r="GG20" s="1457"/>
      <c r="GH20" s="1459"/>
      <c r="GI20" s="1457"/>
      <c r="GJ20" s="1459"/>
      <c r="GK20" s="326">
        <f t="shared" si="79"/>
        <v>0</v>
      </c>
      <c r="GL20" s="326" t="e">
        <f t="shared" si="80"/>
        <v>#VALUE!</v>
      </c>
      <c r="GM20" s="327" t="e">
        <f>IF(ABS(GK20-GL20)&gt;='Job Info.'!$L$22,ABS(GK20-GL20),0)</f>
        <v>#VALUE!</v>
      </c>
      <c r="GZ20" s="171"/>
      <c r="HA20" s="1612"/>
      <c r="HB20" s="1613"/>
      <c r="HC20" s="1613"/>
      <c r="HD20" s="1614"/>
      <c r="HE20" s="1615"/>
      <c r="HF20" s="1613"/>
      <c r="HG20" s="1613"/>
      <c r="HH20" s="1613"/>
      <c r="HI20" s="1613"/>
      <c r="HJ20" s="1613"/>
      <c r="HK20" s="1613"/>
      <c r="HL20" s="1613"/>
      <c r="HM20" s="1613"/>
      <c r="HN20" s="1613"/>
      <c r="HO20" s="1613"/>
      <c r="HP20" s="1613"/>
      <c r="HQ20" s="1613"/>
      <c r="HR20" s="1613"/>
      <c r="HS20" s="1613"/>
      <c r="HT20" s="1613"/>
      <c r="HU20" s="1613"/>
      <c r="HV20" s="1613"/>
      <c r="HW20" s="1613"/>
      <c r="HX20" s="1613"/>
      <c r="HY20" s="1617"/>
      <c r="HZ20" s="1617"/>
      <c r="IA20" s="1617"/>
      <c r="IB20" s="1617"/>
      <c r="IC20" s="1617"/>
      <c r="ID20" s="1632"/>
      <c r="IE20" s="1612"/>
      <c r="IF20" s="1613"/>
      <c r="IG20" s="1614"/>
      <c r="IH20" s="1615"/>
      <c r="II20" s="1613"/>
      <c r="IJ20" s="1614"/>
      <c r="IK20" s="1615"/>
      <c r="IL20" s="1613"/>
      <c r="IM20" s="1613"/>
      <c r="IN20" s="1613"/>
      <c r="IO20" s="1613"/>
      <c r="IP20" s="1613"/>
      <c r="IQ20" s="1613"/>
      <c r="IR20" s="1613"/>
      <c r="IS20" s="1614"/>
      <c r="IT20" s="1615"/>
      <c r="IU20" s="1613"/>
      <c r="IV20" s="1613"/>
      <c r="IW20" s="1614"/>
      <c r="IX20" s="1615"/>
      <c r="IY20" s="1613"/>
      <c r="IZ20" s="1613"/>
      <c r="JA20" s="1614"/>
      <c r="JB20" s="1615"/>
      <c r="JC20" s="1613"/>
      <c r="JD20" s="1613"/>
      <c r="JE20" s="1614"/>
      <c r="JF20" s="1615"/>
      <c r="JG20" s="1613"/>
      <c r="JH20" s="1613"/>
      <c r="JI20" s="1613"/>
      <c r="JJ20" s="1616"/>
      <c r="JK20" s="1613"/>
      <c r="JL20" s="1521">
        <f t="shared" ca="1" si="90"/>
        <v>0</v>
      </c>
    </row>
    <row r="21" spans="1:272" ht="12.6" customHeight="1" x14ac:dyDescent="0.25">
      <c r="A21" s="1861" t="str">
        <f t="shared" si="0"/>
        <v/>
      </c>
      <c r="B21" s="1862" t="str">
        <f t="shared" si="0"/>
        <v/>
      </c>
      <c r="C21" s="1863" t="str">
        <f t="shared" si="0"/>
        <v/>
      </c>
      <c r="D21" s="1864" t="str">
        <f t="shared" si="1"/>
        <v/>
      </c>
      <c r="E21" s="1865" t="str">
        <f t="shared" si="2"/>
        <v/>
      </c>
      <c r="F21" s="1866" t="str">
        <f t="shared" si="3"/>
        <v/>
      </c>
      <c r="G21" s="1867" t="str">
        <f t="shared" si="4"/>
        <v/>
      </c>
      <c r="H21" s="1868" t="str">
        <f t="shared" si="5"/>
        <v/>
      </c>
      <c r="I21" s="1869" t="str">
        <f t="shared" si="6"/>
        <v/>
      </c>
      <c r="J21" s="1864" t="str">
        <f t="shared" si="7"/>
        <v/>
      </c>
      <c r="K21" s="1868" t="str">
        <f t="shared" si="8"/>
        <v/>
      </c>
      <c r="L21" s="1870" t="str">
        <f t="shared" si="9"/>
        <v/>
      </c>
      <c r="M21" s="1871" t="str">
        <f t="shared" si="10"/>
        <v/>
      </c>
      <c r="N21" s="1872" t="str">
        <f t="shared" si="10"/>
        <v/>
      </c>
      <c r="O21" s="1867" t="str">
        <f t="shared" si="11"/>
        <v/>
      </c>
      <c r="P21" s="1868" t="str">
        <f t="shared" si="12"/>
        <v/>
      </c>
      <c r="Q21" s="1864" t="str">
        <f t="shared" si="13"/>
        <v/>
      </c>
      <c r="R21" s="1865" t="str">
        <f t="shared" si="14"/>
        <v/>
      </c>
      <c r="S21" s="1873" t="str">
        <f t="shared" si="15"/>
        <v/>
      </c>
      <c r="T21" s="1868" t="str">
        <f t="shared" si="16"/>
        <v/>
      </c>
      <c r="U21" s="1864" t="str">
        <f t="shared" si="17"/>
        <v/>
      </c>
      <c r="V21" s="1868" t="str">
        <f t="shared" si="18"/>
        <v/>
      </c>
      <c r="W21" s="1872">
        <f t="shared" si="19"/>
        <v>0</v>
      </c>
      <c r="X21" s="1874" t="str">
        <f t="shared" si="20"/>
        <v/>
      </c>
      <c r="Y21" s="1875" t="str">
        <f t="shared" si="21"/>
        <v/>
      </c>
      <c r="Z21" s="1941"/>
      <c r="AA21" s="1960" t="str">
        <f t="shared" si="22"/>
        <v/>
      </c>
      <c r="AB21" s="1471" t="str">
        <f t="shared" si="23"/>
        <v/>
      </c>
      <c r="AC21" s="1908" t="str">
        <f t="shared" si="23"/>
        <v/>
      </c>
      <c r="AD21" s="1909" t="str">
        <f t="shared" ca="1" si="24"/>
        <v/>
      </c>
      <c r="AE21" s="1910" t="str">
        <f t="shared" ca="1" si="25"/>
        <v/>
      </c>
      <c r="AF21" s="1908" t="str">
        <f t="shared" ca="1" si="26"/>
        <v/>
      </c>
      <c r="AG21" s="1909" t="str">
        <f t="shared" ca="1" si="27"/>
        <v/>
      </c>
      <c r="AH21" s="1910" t="str">
        <f t="shared" ca="1" si="28"/>
        <v/>
      </c>
      <c r="AI21" s="1909" t="str">
        <f t="shared" ca="1" si="29"/>
        <v/>
      </c>
      <c r="AJ21" s="1910" t="str">
        <f t="shared" ca="1" si="30"/>
        <v/>
      </c>
      <c r="AK21" s="1911" t="str">
        <f t="shared" si="31"/>
        <v/>
      </c>
      <c r="AL21" s="1912" t="str">
        <f t="shared" si="31"/>
        <v/>
      </c>
      <c r="AM21" s="1913" t="str">
        <f t="shared" si="31"/>
        <v/>
      </c>
      <c r="AN21" s="1908" t="str">
        <f t="shared" si="31"/>
        <v/>
      </c>
      <c r="AO21" s="1961" t="str">
        <f t="shared" si="31"/>
        <v/>
      </c>
      <c r="AP21" s="1915" t="str">
        <f t="shared" si="32"/>
        <v/>
      </c>
      <c r="AQ21" s="1916" t="str">
        <f t="shared" si="32"/>
        <v/>
      </c>
      <c r="AR21" s="1917" t="str">
        <f t="shared" si="33"/>
        <v/>
      </c>
      <c r="AS21" s="1910" t="str">
        <f t="shared" si="34"/>
        <v/>
      </c>
      <c r="AT21" s="1918" t="str">
        <f t="shared" si="35"/>
        <v/>
      </c>
      <c r="AU21" s="1919" t="str">
        <f t="shared" si="35"/>
        <v/>
      </c>
      <c r="AV21" s="1920" t="str">
        <f t="shared" si="36"/>
        <v/>
      </c>
      <c r="AW21" s="1910" t="str">
        <f t="shared" si="37"/>
        <v/>
      </c>
      <c r="AX21" s="1918" t="str">
        <f t="shared" si="38"/>
        <v/>
      </c>
      <c r="AY21" s="1919" t="str">
        <f t="shared" si="38"/>
        <v/>
      </c>
      <c r="AZ21" s="1920" t="str">
        <f t="shared" si="39"/>
        <v/>
      </c>
      <c r="BA21" s="1910" t="str">
        <f t="shared" si="40"/>
        <v/>
      </c>
      <c r="BB21" s="1918" t="str">
        <f t="shared" si="41"/>
        <v/>
      </c>
      <c r="BC21" s="1919" t="str">
        <f t="shared" si="41"/>
        <v/>
      </c>
      <c r="BD21" s="1920" t="str">
        <f t="shared" si="42"/>
        <v/>
      </c>
      <c r="BE21" s="1910" t="str">
        <f t="shared" si="43"/>
        <v/>
      </c>
      <c r="BF21" s="1918" t="str">
        <f t="shared" si="44"/>
        <v/>
      </c>
      <c r="BG21" s="1919" t="str">
        <f t="shared" si="44"/>
        <v/>
      </c>
      <c r="BH21" s="322"/>
      <c r="BJ21" s="1258" t="str">
        <f t="shared" si="88"/>
        <v/>
      </c>
      <c r="BK21" s="1256" t="b">
        <f t="shared" si="45"/>
        <v>0</v>
      </c>
      <c r="BL21" s="1251" t="b">
        <v>0</v>
      </c>
      <c r="BM21" s="1251">
        <f t="shared" si="46"/>
        <v>0</v>
      </c>
      <c r="BN21" s="1251">
        <f t="shared" si="47"/>
        <v>0</v>
      </c>
      <c r="BO21" s="1251">
        <f t="shared" si="48"/>
        <v>0</v>
      </c>
      <c r="BP21" s="1251">
        <f t="shared" si="49"/>
        <v>0</v>
      </c>
      <c r="BQ21" s="1251">
        <f t="shared" si="50"/>
        <v>0</v>
      </c>
      <c r="BR21" s="1251" t="b">
        <f t="shared" si="51"/>
        <v>1</v>
      </c>
      <c r="BS21" s="1252">
        <f t="shared" si="52"/>
        <v>6</v>
      </c>
      <c r="BT21" s="1252" t="str">
        <f t="shared" si="53"/>
        <v>No</v>
      </c>
      <c r="BU21" s="1252">
        <f t="shared" si="54"/>
        <v>6</v>
      </c>
      <c r="BV21" s="1252" t="str">
        <f t="shared" si="55"/>
        <v>No</v>
      </c>
      <c r="BW21" s="1253">
        <f t="shared" ca="1" si="56"/>
        <v>0</v>
      </c>
      <c r="BX21" s="1254" t="str">
        <f t="shared" ca="1" si="57"/>
        <v/>
      </c>
      <c r="BY21" s="1254" t="b">
        <f t="shared" ca="1" si="58"/>
        <v>0</v>
      </c>
      <c r="BZ21" s="1253" t="b">
        <f t="shared" si="81"/>
        <v>0</v>
      </c>
      <c r="CB21" s="842"/>
      <c r="CC21" s="894"/>
      <c r="CD21" s="883"/>
      <c r="CE21" s="884"/>
      <c r="CF21" s="885"/>
      <c r="CG21" s="901"/>
      <c r="CH21" s="902"/>
      <c r="CI21" s="903"/>
      <c r="CJ21" s="902"/>
      <c r="CK21" s="903"/>
      <c r="CL21" s="904"/>
      <c r="CM21" s="944"/>
      <c r="CN21" s="901"/>
      <c r="CO21" s="902"/>
      <c r="CP21" s="903"/>
      <c r="CQ21" s="902"/>
      <c r="CR21" s="903"/>
      <c r="CS21" s="904"/>
      <c r="CT21" s="944"/>
      <c r="CU21" s="906"/>
      <c r="CV21" s="886"/>
      <c r="CW21" s="887"/>
      <c r="CX21" s="915"/>
      <c r="CY21" s="916"/>
      <c r="CZ21" s="932"/>
      <c r="DA21" s="933"/>
      <c r="DB21" s="932"/>
      <c r="DC21" s="933"/>
      <c r="DD21" s="1149"/>
      <c r="DE21" s="1150"/>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30" t="str">
        <f t="shared" si="62"/>
        <v/>
      </c>
      <c r="EP21" s="726" t="str">
        <f t="shared" si="63"/>
        <v/>
      </c>
      <c r="EQ21" s="727" t="str">
        <f t="shared" si="64"/>
        <v/>
      </c>
      <c r="ER21" s="961" t="str">
        <f t="shared" si="65"/>
        <v/>
      </c>
      <c r="ES21" s="962" t="str">
        <f t="shared" si="82"/>
        <v/>
      </c>
      <c r="ET21" s="963" t="str">
        <f t="shared" si="66"/>
        <v/>
      </c>
      <c r="EU21" s="964" t="str">
        <f t="shared" si="67"/>
        <v/>
      </c>
      <c r="EX21" s="1194" t="str">
        <f t="shared" ca="1" si="83"/>
        <v/>
      </c>
      <c r="EY21" s="1196" t="str">
        <f t="shared" si="68"/>
        <v/>
      </c>
      <c r="EZ21" s="1196" t="str">
        <f t="shared" si="84"/>
        <v/>
      </c>
      <c r="FA21" s="1217" t="str">
        <f t="shared" ca="1" si="89"/>
        <v/>
      </c>
      <c r="FB21" s="1218" t="str">
        <f t="shared" ca="1" si="85"/>
        <v/>
      </c>
      <c r="FC21" s="1218">
        <f t="shared" ca="1" si="69"/>
        <v>0</v>
      </c>
      <c r="FD21" s="1218">
        <f t="shared" ca="1" si="70"/>
        <v>0</v>
      </c>
      <c r="FE21" s="1218">
        <f t="shared" ca="1" si="71"/>
        <v>0</v>
      </c>
      <c r="FF21" s="1218">
        <f t="shared" ca="1" si="86"/>
        <v>0</v>
      </c>
      <c r="FN21" s="969" t="b">
        <v>0</v>
      </c>
      <c r="FO21" s="969" t="b">
        <f t="shared" si="72"/>
        <v>1</v>
      </c>
      <c r="FP21" s="969" t="b">
        <v>0</v>
      </c>
      <c r="FQ21" s="969" t="b">
        <f t="shared" si="87"/>
        <v>1</v>
      </c>
      <c r="FW21" s="26"/>
      <c r="FX21" s="26"/>
      <c r="FZ21" s="26"/>
      <c r="GA21" s="1935" t="str">
        <f t="shared" si="73"/>
        <v/>
      </c>
      <c r="GB21" s="1936" t="str">
        <f t="shared" si="74"/>
        <v/>
      </c>
      <c r="GC21" s="1937" t="str">
        <f t="shared" si="75"/>
        <v/>
      </c>
      <c r="GD21" s="1938" t="str">
        <f t="shared" si="76"/>
        <v/>
      </c>
      <c r="GE21" s="1939" t="str">
        <f t="shared" si="77"/>
        <v/>
      </c>
      <c r="GF21" s="1940" t="str">
        <f t="shared" si="78"/>
        <v/>
      </c>
      <c r="GG21" s="1457"/>
      <c r="GH21" s="1459"/>
      <c r="GI21" s="1457"/>
      <c r="GJ21" s="1459"/>
      <c r="GK21" s="326">
        <f t="shared" si="79"/>
        <v>0</v>
      </c>
      <c r="GL21" s="326" t="e">
        <f t="shared" si="80"/>
        <v>#VALUE!</v>
      </c>
      <c r="GM21" s="327" t="e">
        <f>IF(ABS(GK21-GL21)&gt;='Job Info.'!$L$22,ABS(GK21-GL21),0)</f>
        <v>#VALUE!</v>
      </c>
      <c r="HA21" s="1612"/>
      <c r="HB21" s="1613"/>
      <c r="HC21" s="1613"/>
      <c r="HD21" s="1614"/>
      <c r="HE21" s="1615"/>
      <c r="HF21" s="1613"/>
      <c r="HG21" s="1613"/>
      <c r="HH21" s="1613"/>
      <c r="HI21" s="1613"/>
      <c r="HJ21" s="1613"/>
      <c r="HK21" s="1613"/>
      <c r="HL21" s="1613"/>
      <c r="HM21" s="1613"/>
      <c r="HN21" s="1613"/>
      <c r="HO21" s="1613"/>
      <c r="HP21" s="1613"/>
      <c r="HQ21" s="1613"/>
      <c r="HR21" s="1613"/>
      <c r="HS21" s="1613"/>
      <c r="HT21" s="1613"/>
      <c r="HU21" s="1613"/>
      <c r="HV21" s="1613"/>
      <c r="HW21" s="1613"/>
      <c r="HX21" s="1613"/>
      <c r="HY21" s="1617"/>
      <c r="HZ21" s="1617"/>
      <c r="IA21" s="1617"/>
      <c r="IB21" s="1617"/>
      <c r="IC21" s="1617"/>
      <c r="ID21" s="1632"/>
      <c r="IE21" s="1612"/>
      <c r="IF21" s="1613"/>
      <c r="IG21" s="1614"/>
      <c r="IH21" s="1615"/>
      <c r="II21" s="1613"/>
      <c r="IJ21" s="1614"/>
      <c r="IK21" s="1615"/>
      <c r="IL21" s="1613"/>
      <c r="IM21" s="1613"/>
      <c r="IN21" s="1613"/>
      <c r="IO21" s="1613"/>
      <c r="IP21" s="1613"/>
      <c r="IQ21" s="1613"/>
      <c r="IR21" s="1613"/>
      <c r="IS21" s="1614"/>
      <c r="IT21" s="1615"/>
      <c r="IU21" s="1613"/>
      <c r="IV21" s="1613"/>
      <c r="IW21" s="1614"/>
      <c r="IX21" s="1615"/>
      <c r="IY21" s="1613"/>
      <c r="IZ21" s="1613"/>
      <c r="JA21" s="1614"/>
      <c r="JB21" s="1615"/>
      <c r="JC21" s="1613"/>
      <c r="JD21" s="1613"/>
      <c r="JE21" s="1614"/>
      <c r="JF21" s="1615"/>
      <c r="JG21" s="1613"/>
      <c r="JH21" s="1613"/>
      <c r="JI21" s="1613"/>
      <c r="JJ21" s="1616"/>
      <c r="JK21" s="1613"/>
      <c r="JL21" s="1521">
        <f t="shared" ca="1" si="90"/>
        <v>0</v>
      </c>
    </row>
    <row r="22" spans="1:272" ht="12.6" customHeight="1" x14ac:dyDescent="0.25">
      <c r="A22" s="1861" t="str">
        <f t="shared" si="0"/>
        <v/>
      </c>
      <c r="B22" s="1862" t="str">
        <f t="shared" si="0"/>
        <v/>
      </c>
      <c r="C22" s="1863" t="str">
        <f t="shared" si="0"/>
        <v/>
      </c>
      <c r="D22" s="1864" t="str">
        <f t="shared" si="1"/>
        <v/>
      </c>
      <c r="E22" s="1865" t="str">
        <f t="shared" si="2"/>
        <v/>
      </c>
      <c r="F22" s="1866" t="str">
        <f t="shared" si="3"/>
        <v/>
      </c>
      <c r="G22" s="1867" t="str">
        <f t="shared" si="4"/>
        <v/>
      </c>
      <c r="H22" s="1868" t="str">
        <f t="shared" si="5"/>
        <v/>
      </c>
      <c r="I22" s="1869" t="str">
        <f t="shared" si="6"/>
        <v/>
      </c>
      <c r="J22" s="1864" t="str">
        <f t="shared" si="7"/>
        <v/>
      </c>
      <c r="K22" s="1868" t="str">
        <f t="shared" si="8"/>
        <v/>
      </c>
      <c r="L22" s="1870" t="str">
        <f t="shared" si="9"/>
        <v/>
      </c>
      <c r="M22" s="1871" t="str">
        <f t="shared" si="10"/>
        <v/>
      </c>
      <c r="N22" s="1872" t="str">
        <f t="shared" si="10"/>
        <v/>
      </c>
      <c r="O22" s="1867" t="str">
        <f t="shared" si="11"/>
        <v/>
      </c>
      <c r="P22" s="1868" t="str">
        <f t="shared" si="12"/>
        <v/>
      </c>
      <c r="Q22" s="1864" t="str">
        <f t="shared" si="13"/>
        <v/>
      </c>
      <c r="R22" s="1865" t="str">
        <f t="shared" si="14"/>
        <v/>
      </c>
      <c r="S22" s="1873" t="str">
        <f t="shared" si="15"/>
        <v/>
      </c>
      <c r="T22" s="1868" t="str">
        <f t="shared" si="16"/>
        <v/>
      </c>
      <c r="U22" s="1864" t="str">
        <f t="shared" si="17"/>
        <v/>
      </c>
      <c r="V22" s="1868" t="str">
        <f t="shared" si="18"/>
        <v/>
      </c>
      <c r="W22" s="1872">
        <f t="shared" si="19"/>
        <v>0</v>
      </c>
      <c r="X22" s="1874" t="str">
        <f t="shared" si="20"/>
        <v/>
      </c>
      <c r="Y22" s="1875" t="str">
        <f t="shared" si="21"/>
        <v/>
      </c>
      <c r="Z22" s="1941"/>
      <c r="AA22" s="1960" t="str">
        <f t="shared" si="22"/>
        <v/>
      </c>
      <c r="AB22" s="1471" t="str">
        <f t="shared" si="23"/>
        <v/>
      </c>
      <c r="AC22" s="1908" t="str">
        <f t="shared" si="23"/>
        <v/>
      </c>
      <c r="AD22" s="1909" t="str">
        <f t="shared" ca="1" si="24"/>
        <v/>
      </c>
      <c r="AE22" s="1910" t="str">
        <f t="shared" ca="1" si="25"/>
        <v/>
      </c>
      <c r="AF22" s="1908" t="str">
        <f t="shared" ca="1" si="26"/>
        <v/>
      </c>
      <c r="AG22" s="1909" t="str">
        <f t="shared" ca="1" si="27"/>
        <v/>
      </c>
      <c r="AH22" s="1910" t="str">
        <f t="shared" ca="1" si="28"/>
        <v/>
      </c>
      <c r="AI22" s="1909" t="str">
        <f t="shared" ca="1" si="29"/>
        <v/>
      </c>
      <c r="AJ22" s="1910" t="str">
        <f t="shared" ca="1" si="30"/>
        <v/>
      </c>
      <c r="AK22" s="1911" t="str">
        <f t="shared" si="31"/>
        <v/>
      </c>
      <c r="AL22" s="1912" t="str">
        <f t="shared" si="31"/>
        <v/>
      </c>
      <c r="AM22" s="1913" t="str">
        <f t="shared" si="31"/>
        <v/>
      </c>
      <c r="AN22" s="1908" t="str">
        <f t="shared" si="31"/>
        <v/>
      </c>
      <c r="AO22" s="1961" t="str">
        <f t="shared" si="31"/>
        <v/>
      </c>
      <c r="AP22" s="1915" t="str">
        <f t="shared" si="32"/>
        <v/>
      </c>
      <c r="AQ22" s="1916" t="str">
        <f t="shared" si="32"/>
        <v/>
      </c>
      <c r="AR22" s="1917" t="str">
        <f t="shared" si="33"/>
        <v/>
      </c>
      <c r="AS22" s="1910" t="str">
        <f t="shared" si="34"/>
        <v/>
      </c>
      <c r="AT22" s="1918" t="str">
        <f t="shared" si="35"/>
        <v/>
      </c>
      <c r="AU22" s="1919" t="str">
        <f t="shared" si="35"/>
        <v/>
      </c>
      <c r="AV22" s="1920" t="str">
        <f t="shared" si="36"/>
        <v/>
      </c>
      <c r="AW22" s="1910" t="str">
        <f t="shared" si="37"/>
        <v/>
      </c>
      <c r="AX22" s="1918" t="str">
        <f t="shared" si="38"/>
        <v/>
      </c>
      <c r="AY22" s="1919" t="str">
        <f t="shared" si="38"/>
        <v/>
      </c>
      <c r="AZ22" s="1920" t="str">
        <f t="shared" si="39"/>
        <v/>
      </c>
      <c r="BA22" s="1910" t="str">
        <f t="shared" si="40"/>
        <v/>
      </c>
      <c r="BB22" s="1918" t="str">
        <f t="shared" si="41"/>
        <v/>
      </c>
      <c r="BC22" s="1919" t="str">
        <f t="shared" si="41"/>
        <v/>
      </c>
      <c r="BD22" s="1920" t="str">
        <f t="shared" si="42"/>
        <v/>
      </c>
      <c r="BE22" s="1910" t="str">
        <f t="shared" si="43"/>
        <v/>
      </c>
      <c r="BF22" s="1918" t="str">
        <f t="shared" si="44"/>
        <v/>
      </c>
      <c r="BG22" s="1919" t="str">
        <f t="shared" si="44"/>
        <v/>
      </c>
      <c r="BH22" s="322"/>
      <c r="BJ22" s="1258" t="str">
        <f t="shared" si="88"/>
        <v/>
      </c>
      <c r="BK22" s="1256" t="b">
        <f t="shared" si="45"/>
        <v>0</v>
      </c>
      <c r="BL22" s="1251" t="b">
        <v>0</v>
      </c>
      <c r="BM22" s="1251">
        <f t="shared" si="46"/>
        <v>0</v>
      </c>
      <c r="BN22" s="1251">
        <f t="shared" si="47"/>
        <v>0</v>
      </c>
      <c r="BO22" s="1251">
        <f t="shared" si="48"/>
        <v>0</v>
      </c>
      <c r="BP22" s="1251">
        <f t="shared" si="49"/>
        <v>0</v>
      </c>
      <c r="BQ22" s="1251">
        <f t="shared" si="50"/>
        <v>0</v>
      </c>
      <c r="BR22" s="1251" t="b">
        <f t="shared" si="51"/>
        <v>1</v>
      </c>
      <c r="BS22" s="1252">
        <f t="shared" si="52"/>
        <v>6</v>
      </c>
      <c r="BT22" s="1252" t="str">
        <f t="shared" si="53"/>
        <v>No</v>
      </c>
      <c r="BU22" s="1252">
        <f t="shared" si="54"/>
        <v>6</v>
      </c>
      <c r="BV22" s="1252" t="str">
        <f t="shared" si="55"/>
        <v>No</v>
      </c>
      <c r="BW22" s="1253">
        <f t="shared" ca="1" si="56"/>
        <v>0</v>
      </c>
      <c r="BX22" s="1254" t="str">
        <f t="shared" ca="1" si="57"/>
        <v/>
      </c>
      <c r="BY22" s="1254" t="b">
        <f t="shared" ca="1" si="58"/>
        <v>0</v>
      </c>
      <c r="BZ22" s="1253" t="b">
        <f t="shared" si="81"/>
        <v>0</v>
      </c>
      <c r="CB22" s="842"/>
      <c r="CC22" s="894"/>
      <c r="CD22" s="883"/>
      <c r="CE22" s="884"/>
      <c r="CF22" s="885"/>
      <c r="CG22" s="901"/>
      <c r="CH22" s="902"/>
      <c r="CI22" s="903"/>
      <c r="CJ22" s="902"/>
      <c r="CK22" s="903"/>
      <c r="CL22" s="904"/>
      <c r="CM22" s="944"/>
      <c r="CN22" s="901"/>
      <c r="CO22" s="902"/>
      <c r="CP22" s="903"/>
      <c r="CQ22" s="902"/>
      <c r="CR22" s="903"/>
      <c r="CS22" s="904"/>
      <c r="CT22" s="944"/>
      <c r="CU22" s="906"/>
      <c r="CV22" s="886"/>
      <c r="CW22" s="887"/>
      <c r="CX22" s="915"/>
      <c r="CY22" s="916"/>
      <c r="CZ22" s="932"/>
      <c r="DA22" s="933"/>
      <c r="DB22" s="932"/>
      <c r="DC22" s="933"/>
      <c r="DD22" s="1149"/>
      <c r="DE22" s="1150"/>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30" t="str">
        <f t="shared" si="62"/>
        <v/>
      </c>
      <c r="EP22" s="726" t="str">
        <f t="shared" si="63"/>
        <v/>
      </c>
      <c r="EQ22" s="727" t="str">
        <f t="shared" si="64"/>
        <v/>
      </c>
      <c r="ER22" s="961" t="str">
        <f t="shared" si="65"/>
        <v/>
      </c>
      <c r="ES22" s="962" t="str">
        <f t="shared" si="82"/>
        <v/>
      </c>
      <c r="ET22" s="963" t="str">
        <f t="shared" si="66"/>
        <v/>
      </c>
      <c r="EU22" s="964" t="str">
        <f t="shared" si="67"/>
        <v/>
      </c>
      <c r="EX22" s="1194" t="str">
        <f t="shared" ca="1" si="83"/>
        <v/>
      </c>
      <c r="EY22" s="1196" t="str">
        <f t="shared" si="68"/>
        <v/>
      </c>
      <c r="EZ22" s="1196" t="str">
        <f t="shared" si="84"/>
        <v/>
      </c>
      <c r="FA22" s="1217" t="str">
        <f t="shared" ca="1" si="89"/>
        <v/>
      </c>
      <c r="FB22" s="1218" t="str">
        <f t="shared" ca="1" si="85"/>
        <v/>
      </c>
      <c r="FC22" s="1218">
        <f t="shared" ca="1" si="69"/>
        <v>0</v>
      </c>
      <c r="FD22" s="1218">
        <f t="shared" ca="1" si="70"/>
        <v>0</v>
      </c>
      <c r="FE22" s="1218">
        <f t="shared" ca="1" si="71"/>
        <v>0</v>
      </c>
      <c r="FF22" s="1218">
        <f t="shared" ca="1" si="86"/>
        <v>0</v>
      </c>
      <c r="FN22" s="969" t="b">
        <v>0</v>
      </c>
      <c r="FO22" s="969" t="b">
        <f t="shared" si="72"/>
        <v>1</v>
      </c>
      <c r="FP22" s="969" t="b">
        <v>0</v>
      </c>
      <c r="FQ22" s="969" t="b">
        <f t="shared" si="87"/>
        <v>1</v>
      </c>
      <c r="FW22" s="26"/>
      <c r="FX22" s="26"/>
      <c r="FZ22" s="26"/>
      <c r="GA22" s="1935" t="str">
        <f t="shared" si="73"/>
        <v/>
      </c>
      <c r="GB22" s="1936" t="str">
        <f t="shared" si="74"/>
        <v/>
      </c>
      <c r="GC22" s="1937" t="str">
        <f t="shared" si="75"/>
        <v/>
      </c>
      <c r="GD22" s="1938" t="str">
        <f t="shared" si="76"/>
        <v/>
      </c>
      <c r="GE22" s="1939" t="str">
        <f t="shared" si="77"/>
        <v/>
      </c>
      <c r="GF22" s="1940" t="str">
        <f t="shared" si="78"/>
        <v/>
      </c>
      <c r="GG22" s="1457"/>
      <c r="GH22" s="1459"/>
      <c r="GI22" s="1457"/>
      <c r="GJ22" s="1459"/>
      <c r="GK22" s="326">
        <f t="shared" si="79"/>
        <v>0</v>
      </c>
      <c r="GL22" s="326" t="e">
        <f t="shared" si="80"/>
        <v>#VALUE!</v>
      </c>
      <c r="GM22" s="327" t="e">
        <f>IF(ABS(GK22-GL22)&gt;='Job Info.'!$L$22,ABS(GK22-GL22),0)</f>
        <v>#VALUE!</v>
      </c>
      <c r="HA22" s="1612"/>
      <c r="HB22" s="1613"/>
      <c r="HC22" s="1613"/>
      <c r="HD22" s="1614"/>
      <c r="HE22" s="1615"/>
      <c r="HF22" s="1613"/>
      <c r="HG22" s="1613"/>
      <c r="HH22" s="1613"/>
      <c r="HI22" s="1613"/>
      <c r="HJ22" s="1613"/>
      <c r="HK22" s="1613"/>
      <c r="HL22" s="1613"/>
      <c r="HM22" s="1613"/>
      <c r="HN22" s="1613"/>
      <c r="HO22" s="1613"/>
      <c r="HP22" s="1613"/>
      <c r="HQ22" s="1613"/>
      <c r="HR22" s="1613"/>
      <c r="HS22" s="1613"/>
      <c r="HT22" s="1613"/>
      <c r="HU22" s="1613"/>
      <c r="HV22" s="1613"/>
      <c r="HW22" s="1613"/>
      <c r="HX22" s="1613"/>
      <c r="HY22" s="1617"/>
      <c r="HZ22" s="1617"/>
      <c r="IA22" s="1617"/>
      <c r="IB22" s="1617"/>
      <c r="IC22" s="1617"/>
      <c r="ID22" s="1632"/>
      <c r="IE22" s="1612"/>
      <c r="IF22" s="1613"/>
      <c r="IG22" s="1614"/>
      <c r="IH22" s="1615"/>
      <c r="II22" s="1613"/>
      <c r="IJ22" s="1614"/>
      <c r="IK22" s="1615"/>
      <c r="IL22" s="1613"/>
      <c r="IM22" s="1613"/>
      <c r="IN22" s="1613"/>
      <c r="IO22" s="1613"/>
      <c r="IP22" s="1613"/>
      <c r="IQ22" s="1613"/>
      <c r="IR22" s="1613"/>
      <c r="IS22" s="1614"/>
      <c r="IT22" s="1615"/>
      <c r="IU22" s="1613"/>
      <c r="IV22" s="1613"/>
      <c r="IW22" s="1614"/>
      <c r="IX22" s="1615"/>
      <c r="IY22" s="1613"/>
      <c r="IZ22" s="1613"/>
      <c r="JA22" s="1614"/>
      <c r="JB22" s="1615"/>
      <c r="JC22" s="1613"/>
      <c r="JD22" s="1613"/>
      <c r="JE22" s="1614"/>
      <c r="JF22" s="1615"/>
      <c r="JG22" s="1613"/>
      <c r="JH22" s="1613"/>
      <c r="JI22" s="1613"/>
      <c r="JJ22" s="1616"/>
      <c r="JK22" s="1613"/>
      <c r="JL22" s="1521">
        <f t="shared" ca="1" si="90"/>
        <v>0</v>
      </c>
    </row>
    <row r="23" spans="1:272" ht="12.6" customHeight="1" x14ac:dyDescent="0.25">
      <c r="A23" s="1861" t="str">
        <f t="shared" si="0"/>
        <v/>
      </c>
      <c r="B23" s="1862" t="str">
        <f>IF(ISBLANK(CC23),"",CC23)</f>
        <v/>
      </c>
      <c r="C23" s="1863" t="str">
        <f>IF(ISBLANK(CD23),"",CD23)</f>
        <v/>
      </c>
      <c r="D23" s="1864" t="str">
        <f t="shared" si="1"/>
        <v/>
      </c>
      <c r="E23" s="1865" t="str">
        <f t="shared" si="2"/>
        <v/>
      </c>
      <c r="F23" s="1866" t="str">
        <f t="shared" si="3"/>
        <v/>
      </c>
      <c r="G23" s="1867" t="str">
        <f t="shared" si="4"/>
        <v/>
      </c>
      <c r="H23" s="1868" t="str">
        <f t="shared" si="5"/>
        <v/>
      </c>
      <c r="I23" s="1869" t="str">
        <f t="shared" si="6"/>
        <v/>
      </c>
      <c r="J23" s="1864" t="str">
        <f t="shared" si="7"/>
        <v/>
      </c>
      <c r="K23" s="1868" t="str">
        <f t="shared" si="8"/>
        <v/>
      </c>
      <c r="L23" s="1870" t="str">
        <f t="shared" si="9"/>
        <v/>
      </c>
      <c r="M23" s="1871" t="str">
        <f t="shared" si="10"/>
        <v/>
      </c>
      <c r="N23" s="1872" t="str">
        <f t="shared" si="10"/>
        <v/>
      </c>
      <c r="O23" s="1867" t="str">
        <f t="shared" si="11"/>
        <v/>
      </c>
      <c r="P23" s="1868" t="str">
        <f t="shared" si="12"/>
        <v/>
      </c>
      <c r="Q23" s="1864" t="str">
        <f t="shared" si="13"/>
        <v/>
      </c>
      <c r="R23" s="1865" t="str">
        <f t="shared" si="14"/>
        <v/>
      </c>
      <c r="S23" s="1873" t="str">
        <f t="shared" si="15"/>
        <v/>
      </c>
      <c r="T23" s="1868" t="str">
        <f t="shared" si="16"/>
        <v/>
      </c>
      <c r="U23" s="1864" t="str">
        <f t="shared" si="17"/>
        <v/>
      </c>
      <c r="V23" s="1868" t="str">
        <f t="shared" si="18"/>
        <v/>
      </c>
      <c r="W23" s="1872">
        <f t="shared" si="19"/>
        <v>0</v>
      </c>
      <c r="X23" s="1874" t="str">
        <f t="shared" si="20"/>
        <v/>
      </c>
      <c r="Y23" s="1875" t="str">
        <f t="shared" si="21"/>
        <v/>
      </c>
      <c r="Z23" s="1941"/>
      <c r="AA23" s="1960" t="str">
        <f t="shared" si="22"/>
        <v/>
      </c>
      <c r="AB23" s="1471" t="str">
        <f t="shared" si="23"/>
        <v/>
      </c>
      <c r="AC23" s="1908" t="str">
        <f t="shared" si="23"/>
        <v/>
      </c>
      <c r="AD23" s="1909" t="str">
        <f t="shared" ca="1" si="24"/>
        <v/>
      </c>
      <c r="AE23" s="1910" t="str">
        <f t="shared" ca="1" si="25"/>
        <v/>
      </c>
      <c r="AF23" s="1908" t="str">
        <f t="shared" ca="1" si="26"/>
        <v/>
      </c>
      <c r="AG23" s="1909" t="str">
        <f t="shared" ca="1" si="27"/>
        <v/>
      </c>
      <c r="AH23" s="1910" t="str">
        <f t="shared" ca="1" si="28"/>
        <v/>
      </c>
      <c r="AI23" s="1909" t="str">
        <f t="shared" ca="1" si="29"/>
        <v/>
      </c>
      <c r="AJ23" s="1910" t="str">
        <f t="shared" ca="1" si="30"/>
        <v/>
      </c>
      <c r="AK23" s="1911" t="str">
        <f t="shared" si="31"/>
        <v/>
      </c>
      <c r="AL23" s="1912" t="str">
        <f t="shared" si="31"/>
        <v/>
      </c>
      <c r="AM23" s="1913" t="str">
        <f t="shared" si="31"/>
        <v/>
      </c>
      <c r="AN23" s="1908" t="str">
        <f t="shared" si="31"/>
        <v/>
      </c>
      <c r="AO23" s="1961" t="str">
        <f t="shared" si="31"/>
        <v/>
      </c>
      <c r="AP23" s="1915" t="str">
        <f t="shared" si="32"/>
        <v/>
      </c>
      <c r="AQ23" s="1916" t="str">
        <f t="shared" si="32"/>
        <v/>
      </c>
      <c r="AR23" s="1917" t="str">
        <f t="shared" si="33"/>
        <v/>
      </c>
      <c r="AS23" s="1910" t="str">
        <f t="shared" si="34"/>
        <v/>
      </c>
      <c r="AT23" s="1918" t="str">
        <f t="shared" si="35"/>
        <v/>
      </c>
      <c r="AU23" s="1919" t="str">
        <f t="shared" si="35"/>
        <v/>
      </c>
      <c r="AV23" s="1920" t="str">
        <f t="shared" si="36"/>
        <v/>
      </c>
      <c r="AW23" s="1910" t="str">
        <f t="shared" si="37"/>
        <v/>
      </c>
      <c r="AX23" s="1918" t="str">
        <f t="shared" si="38"/>
        <v/>
      </c>
      <c r="AY23" s="1919" t="str">
        <f t="shared" si="38"/>
        <v/>
      </c>
      <c r="AZ23" s="1920" t="str">
        <f t="shared" si="39"/>
        <v/>
      </c>
      <c r="BA23" s="1910" t="str">
        <f t="shared" si="40"/>
        <v/>
      </c>
      <c r="BB23" s="1918" t="str">
        <f t="shared" si="41"/>
        <v/>
      </c>
      <c r="BC23" s="1919" t="str">
        <f t="shared" si="41"/>
        <v/>
      </c>
      <c r="BD23" s="1920" t="str">
        <f t="shared" si="42"/>
        <v/>
      </c>
      <c r="BE23" s="1910" t="str">
        <f t="shared" si="43"/>
        <v/>
      </c>
      <c r="BF23" s="1918" t="str">
        <f t="shared" si="44"/>
        <v/>
      </c>
      <c r="BG23" s="1919" t="str">
        <f t="shared" si="44"/>
        <v/>
      </c>
      <c r="BH23" s="322"/>
      <c r="BJ23" s="1258" t="str">
        <f t="shared" si="88"/>
        <v/>
      </c>
      <c r="BK23" s="1256" t="b">
        <f t="shared" si="45"/>
        <v>0</v>
      </c>
      <c r="BL23" s="1251" t="b">
        <v>0</v>
      </c>
      <c r="BM23" s="1251">
        <f t="shared" si="46"/>
        <v>0</v>
      </c>
      <c r="BN23" s="1251">
        <f t="shared" si="47"/>
        <v>0</v>
      </c>
      <c r="BO23" s="1251">
        <f t="shared" si="48"/>
        <v>0</v>
      </c>
      <c r="BP23" s="1251">
        <f t="shared" si="49"/>
        <v>0</v>
      </c>
      <c r="BQ23" s="1251">
        <f t="shared" si="50"/>
        <v>0</v>
      </c>
      <c r="BR23" s="1251" t="b">
        <f t="shared" si="51"/>
        <v>1</v>
      </c>
      <c r="BS23" s="1252">
        <f t="shared" si="52"/>
        <v>6</v>
      </c>
      <c r="BT23" s="1252" t="str">
        <f t="shared" si="53"/>
        <v>No</v>
      </c>
      <c r="BU23" s="1252">
        <f t="shared" si="54"/>
        <v>6</v>
      </c>
      <c r="BV23" s="1252" t="str">
        <f t="shared" si="55"/>
        <v>No</v>
      </c>
      <c r="BW23" s="1253">
        <f t="shared" ca="1" si="56"/>
        <v>0</v>
      </c>
      <c r="BX23" s="1254" t="str">
        <f t="shared" ca="1" si="57"/>
        <v/>
      </c>
      <c r="BY23" s="1254" t="b">
        <f t="shared" ca="1" si="58"/>
        <v>0</v>
      </c>
      <c r="BZ23" s="1253" t="b">
        <f t="shared" si="81"/>
        <v>0</v>
      </c>
      <c r="CB23" s="842"/>
      <c r="CC23" s="894"/>
      <c r="CD23" s="883"/>
      <c r="CE23" s="884"/>
      <c r="CF23" s="885"/>
      <c r="CG23" s="901"/>
      <c r="CH23" s="902"/>
      <c r="CI23" s="903"/>
      <c r="CJ23" s="902"/>
      <c r="CK23" s="903"/>
      <c r="CL23" s="904"/>
      <c r="CM23" s="944"/>
      <c r="CN23" s="901"/>
      <c r="CO23" s="902"/>
      <c r="CP23" s="903"/>
      <c r="CQ23" s="902"/>
      <c r="CR23" s="903"/>
      <c r="CS23" s="904"/>
      <c r="CT23" s="944"/>
      <c r="CU23" s="906"/>
      <c r="CV23" s="886"/>
      <c r="CW23" s="887"/>
      <c r="CX23" s="915"/>
      <c r="CY23" s="916"/>
      <c r="CZ23" s="932"/>
      <c r="DA23" s="933"/>
      <c r="DB23" s="932"/>
      <c r="DC23" s="933"/>
      <c r="DD23" s="1149"/>
      <c r="DE23" s="1150"/>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30" t="str">
        <f t="shared" si="62"/>
        <v/>
      </c>
      <c r="EP23" s="726" t="str">
        <f t="shared" si="63"/>
        <v/>
      </c>
      <c r="EQ23" s="727" t="str">
        <f t="shared" si="64"/>
        <v/>
      </c>
      <c r="ER23" s="961" t="str">
        <f t="shared" si="65"/>
        <v/>
      </c>
      <c r="ES23" s="962" t="str">
        <f t="shared" si="82"/>
        <v/>
      </c>
      <c r="ET23" s="963" t="str">
        <f t="shared" si="66"/>
        <v/>
      </c>
      <c r="EU23" s="964" t="str">
        <f t="shared" si="67"/>
        <v/>
      </c>
      <c r="EX23" s="1194" t="str">
        <f t="shared" ca="1" si="83"/>
        <v/>
      </c>
      <c r="EY23" s="1196" t="str">
        <f t="shared" si="68"/>
        <v/>
      </c>
      <c r="EZ23" s="1196" t="str">
        <f t="shared" si="84"/>
        <v/>
      </c>
      <c r="FA23" s="1217" t="str">
        <f t="shared" ca="1" si="89"/>
        <v/>
      </c>
      <c r="FB23" s="1218" t="str">
        <f t="shared" ca="1" si="85"/>
        <v/>
      </c>
      <c r="FC23" s="1218">
        <f t="shared" ca="1" si="69"/>
        <v>0</v>
      </c>
      <c r="FD23" s="1218">
        <f t="shared" ca="1" si="70"/>
        <v>0</v>
      </c>
      <c r="FE23" s="1218">
        <f t="shared" ca="1" si="71"/>
        <v>0</v>
      </c>
      <c r="FF23" s="1218">
        <f t="shared" ca="1" si="86"/>
        <v>0</v>
      </c>
      <c r="FN23" s="969" t="b">
        <v>0</v>
      </c>
      <c r="FO23" s="969" t="b">
        <f t="shared" si="72"/>
        <v>1</v>
      </c>
      <c r="FP23" s="969" t="b">
        <v>0</v>
      </c>
      <c r="FQ23" s="969" t="b">
        <f t="shared" si="87"/>
        <v>1</v>
      </c>
      <c r="FW23" s="2"/>
      <c r="FX23" s="2"/>
      <c r="FZ23" s="2"/>
      <c r="GA23" s="1935" t="str">
        <f t="shared" si="73"/>
        <v/>
      </c>
      <c r="GB23" s="1936" t="str">
        <f t="shared" si="74"/>
        <v/>
      </c>
      <c r="GC23" s="1937" t="str">
        <f t="shared" si="75"/>
        <v/>
      </c>
      <c r="GD23" s="1938" t="str">
        <f t="shared" si="76"/>
        <v/>
      </c>
      <c r="GE23" s="1939" t="str">
        <f t="shared" si="77"/>
        <v/>
      </c>
      <c r="GF23" s="1940" t="str">
        <f t="shared" si="78"/>
        <v/>
      </c>
      <c r="GG23" s="1457"/>
      <c r="GH23" s="1459"/>
      <c r="GI23" s="1457"/>
      <c r="GJ23" s="1459"/>
      <c r="GK23" s="326">
        <f t="shared" si="79"/>
        <v>0</v>
      </c>
      <c r="GL23" s="326" t="e">
        <f t="shared" si="80"/>
        <v>#VALUE!</v>
      </c>
      <c r="GM23" s="327" t="e">
        <f>IF(ABS(GK23-GL23)&gt;='Job Info.'!$L$22,ABS(GK23-GL23),0)</f>
        <v>#VALUE!</v>
      </c>
      <c r="HA23" s="1612"/>
      <c r="HB23" s="1613"/>
      <c r="HC23" s="1613"/>
      <c r="HD23" s="1614"/>
      <c r="HE23" s="1615"/>
      <c r="HF23" s="1613"/>
      <c r="HG23" s="1613"/>
      <c r="HH23" s="1613"/>
      <c r="HI23" s="1613"/>
      <c r="HJ23" s="1613"/>
      <c r="HK23" s="1613"/>
      <c r="HL23" s="1613"/>
      <c r="HM23" s="1613"/>
      <c r="HN23" s="1613"/>
      <c r="HO23" s="1613"/>
      <c r="HP23" s="1613"/>
      <c r="HQ23" s="1613"/>
      <c r="HR23" s="1613"/>
      <c r="HS23" s="1613"/>
      <c r="HT23" s="1613"/>
      <c r="HU23" s="1613"/>
      <c r="HV23" s="1613"/>
      <c r="HW23" s="1613"/>
      <c r="HX23" s="1613"/>
      <c r="HY23" s="1617"/>
      <c r="HZ23" s="1617"/>
      <c r="IA23" s="1617"/>
      <c r="IB23" s="1617"/>
      <c r="IC23" s="1617"/>
      <c r="ID23" s="1632"/>
      <c r="IE23" s="1612"/>
      <c r="IF23" s="1613"/>
      <c r="IG23" s="1614"/>
      <c r="IH23" s="1615"/>
      <c r="II23" s="1613"/>
      <c r="IJ23" s="1614"/>
      <c r="IK23" s="1615"/>
      <c r="IL23" s="1613"/>
      <c r="IM23" s="1613"/>
      <c r="IN23" s="1613"/>
      <c r="IO23" s="1613"/>
      <c r="IP23" s="1613"/>
      <c r="IQ23" s="1613"/>
      <c r="IR23" s="1613"/>
      <c r="IS23" s="1614"/>
      <c r="IT23" s="1615"/>
      <c r="IU23" s="1613"/>
      <c r="IV23" s="1613"/>
      <c r="IW23" s="1614"/>
      <c r="IX23" s="1615"/>
      <c r="IY23" s="1613"/>
      <c r="IZ23" s="1613"/>
      <c r="JA23" s="1614"/>
      <c r="JB23" s="1615"/>
      <c r="JC23" s="1613"/>
      <c r="JD23" s="1613"/>
      <c r="JE23" s="1614"/>
      <c r="JF23" s="1615"/>
      <c r="JG23" s="1613"/>
      <c r="JH23" s="1613"/>
      <c r="JI23" s="1613"/>
      <c r="JJ23" s="1616"/>
      <c r="JK23" s="1613"/>
      <c r="JL23" s="1521">
        <f t="shared" ca="1" si="90"/>
        <v>0</v>
      </c>
    </row>
    <row r="24" spans="1:272" ht="12.6" customHeight="1" x14ac:dyDescent="0.25">
      <c r="A24" s="1861" t="str">
        <f t="shared" si="0"/>
        <v/>
      </c>
      <c r="B24" s="1862" t="str">
        <f t="shared" si="0"/>
        <v/>
      </c>
      <c r="C24" s="1863" t="str">
        <f t="shared" si="0"/>
        <v/>
      </c>
      <c r="D24" s="1864" t="str">
        <f t="shared" si="1"/>
        <v/>
      </c>
      <c r="E24" s="1865" t="str">
        <f t="shared" si="2"/>
        <v/>
      </c>
      <c r="F24" s="1866" t="str">
        <f t="shared" si="3"/>
        <v/>
      </c>
      <c r="G24" s="1867" t="str">
        <f t="shared" si="4"/>
        <v/>
      </c>
      <c r="H24" s="1868" t="str">
        <f t="shared" si="5"/>
        <v/>
      </c>
      <c r="I24" s="1869" t="str">
        <f t="shared" si="6"/>
        <v/>
      </c>
      <c r="J24" s="1864" t="str">
        <f t="shared" si="7"/>
        <v/>
      </c>
      <c r="K24" s="1868" t="str">
        <f t="shared" si="8"/>
        <v/>
      </c>
      <c r="L24" s="1870" t="str">
        <f t="shared" si="9"/>
        <v/>
      </c>
      <c r="M24" s="1871" t="str">
        <f t="shared" si="10"/>
        <v/>
      </c>
      <c r="N24" s="1872" t="str">
        <f t="shared" si="10"/>
        <v/>
      </c>
      <c r="O24" s="1867" t="str">
        <f t="shared" si="11"/>
        <v/>
      </c>
      <c r="P24" s="1868" t="str">
        <f t="shared" si="12"/>
        <v/>
      </c>
      <c r="Q24" s="1864" t="str">
        <f t="shared" si="13"/>
        <v/>
      </c>
      <c r="R24" s="1865" t="str">
        <f t="shared" si="14"/>
        <v/>
      </c>
      <c r="S24" s="1873" t="str">
        <f t="shared" si="15"/>
        <v/>
      </c>
      <c r="T24" s="1868" t="str">
        <f t="shared" si="16"/>
        <v/>
      </c>
      <c r="U24" s="1864" t="str">
        <f t="shared" si="17"/>
        <v/>
      </c>
      <c r="V24" s="1868" t="str">
        <f t="shared" si="18"/>
        <v/>
      </c>
      <c r="W24" s="1872">
        <f t="shared" si="19"/>
        <v>0</v>
      </c>
      <c r="X24" s="1874" t="str">
        <f t="shared" si="20"/>
        <v/>
      </c>
      <c r="Y24" s="1875" t="str">
        <f t="shared" si="21"/>
        <v/>
      </c>
      <c r="Z24" s="1941"/>
      <c r="AA24" s="1960" t="str">
        <f t="shared" si="22"/>
        <v/>
      </c>
      <c r="AB24" s="1471" t="str">
        <f t="shared" si="23"/>
        <v/>
      </c>
      <c r="AC24" s="1908" t="str">
        <f t="shared" si="23"/>
        <v/>
      </c>
      <c r="AD24" s="1909" t="str">
        <f t="shared" ca="1" si="24"/>
        <v/>
      </c>
      <c r="AE24" s="1910" t="str">
        <f t="shared" ca="1" si="25"/>
        <v/>
      </c>
      <c r="AF24" s="1908" t="str">
        <f t="shared" ca="1" si="26"/>
        <v/>
      </c>
      <c r="AG24" s="1909" t="str">
        <f t="shared" ca="1" si="27"/>
        <v/>
      </c>
      <c r="AH24" s="1910" t="str">
        <f t="shared" ca="1" si="28"/>
        <v/>
      </c>
      <c r="AI24" s="1909" t="str">
        <f t="shared" ca="1" si="29"/>
        <v/>
      </c>
      <c r="AJ24" s="1910" t="str">
        <f t="shared" ca="1" si="30"/>
        <v/>
      </c>
      <c r="AK24" s="1911" t="str">
        <f t="shared" si="31"/>
        <v/>
      </c>
      <c r="AL24" s="1912" t="str">
        <f t="shared" si="31"/>
        <v/>
      </c>
      <c r="AM24" s="1913" t="str">
        <f t="shared" si="31"/>
        <v/>
      </c>
      <c r="AN24" s="1908" t="str">
        <f t="shared" si="31"/>
        <v/>
      </c>
      <c r="AO24" s="1961" t="str">
        <f t="shared" si="31"/>
        <v/>
      </c>
      <c r="AP24" s="1915" t="str">
        <f t="shared" si="32"/>
        <v/>
      </c>
      <c r="AQ24" s="1916" t="str">
        <f t="shared" si="32"/>
        <v/>
      </c>
      <c r="AR24" s="1917" t="str">
        <f t="shared" si="33"/>
        <v/>
      </c>
      <c r="AS24" s="1910" t="str">
        <f t="shared" si="34"/>
        <v/>
      </c>
      <c r="AT24" s="1918" t="str">
        <f t="shared" si="35"/>
        <v/>
      </c>
      <c r="AU24" s="1919" t="str">
        <f t="shared" si="35"/>
        <v/>
      </c>
      <c r="AV24" s="1920" t="str">
        <f t="shared" si="36"/>
        <v/>
      </c>
      <c r="AW24" s="1910" t="str">
        <f t="shared" si="37"/>
        <v/>
      </c>
      <c r="AX24" s="1918" t="str">
        <f t="shared" si="38"/>
        <v/>
      </c>
      <c r="AY24" s="1919" t="str">
        <f t="shared" si="38"/>
        <v/>
      </c>
      <c r="AZ24" s="1920" t="str">
        <f t="shared" si="39"/>
        <v/>
      </c>
      <c r="BA24" s="1910" t="str">
        <f t="shared" si="40"/>
        <v/>
      </c>
      <c r="BB24" s="1918" t="str">
        <f t="shared" si="41"/>
        <v/>
      </c>
      <c r="BC24" s="1919" t="str">
        <f t="shared" si="41"/>
        <v/>
      </c>
      <c r="BD24" s="1920" t="str">
        <f t="shared" si="42"/>
        <v/>
      </c>
      <c r="BE24" s="1910" t="str">
        <f t="shared" si="43"/>
        <v/>
      </c>
      <c r="BF24" s="1918" t="str">
        <f t="shared" si="44"/>
        <v/>
      </c>
      <c r="BG24" s="1919" t="str">
        <f t="shared" si="44"/>
        <v/>
      </c>
      <c r="BH24" s="322"/>
      <c r="BJ24" s="1258" t="str">
        <f t="shared" si="88"/>
        <v/>
      </c>
      <c r="BK24" s="1256" t="b">
        <f t="shared" si="45"/>
        <v>0</v>
      </c>
      <c r="BL24" s="1251" t="b">
        <v>0</v>
      </c>
      <c r="BM24" s="1251">
        <f t="shared" si="46"/>
        <v>0</v>
      </c>
      <c r="BN24" s="1251">
        <f t="shared" si="47"/>
        <v>0</v>
      </c>
      <c r="BO24" s="1251">
        <f t="shared" si="48"/>
        <v>0</v>
      </c>
      <c r="BP24" s="1251">
        <f t="shared" si="49"/>
        <v>0</v>
      </c>
      <c r="BQ24" s="1251">
        <f t="shared" si="50"/>
        <v>0</v>
      </c>
      <c r="BR24" s="1251" t="b">
        <f t="shared" si="51"/>
        <v>1</v>
      </c>
      <c r="BS24" s="1252">
        <f t="shared" si="52"/>
        <v>6</v>
      </c>
      <c r="BT24" s="1252" t="str">
        <f t="shared" si="53"/>
        <v>No</v>
      </c>
      <c r="BU24" s="1252">
        <f t="shared" si="54"/>
        <v>6</v>
      </c>
      <c r="BV24" s="1252" t="str">
        <f t="shared" si="55"/>
        <v>No</v>
      </c>
      <c r="BW24" s="1253">
        <f t="shared" ca="1" si="56"/>
        <v>0</v>
      </c>
      <c r="BX24" s="1254" t="str">
        <f t="shared" ca="1" si="57"/>
        <v/>
      </c>
      <c r="BY24" s="1254" t="b">
        <f t="shared" ca="1" si="58"/>
        <v>0</v>
      </c>
      <c r="BZ24" s="1253" t="b">
        <f t="shared" si="81"/>
        <v>0</v>
      </c>
      <c r="CB24" s="842"/>
      <c r="CC24" s="894"/>
      <c r="CD24" s="883"/>
      <c r="CE24" s="884"/>
      <c r="CF24" s="885"/>
      <c r="CG24" s="901"/>
      <c r="CH24" s="902"/>
      <c r="CI24" s="903"/>
      <c r="CJ24" s="902"/>
      <c r="CK24" s="903"/>
      <c r="CL24" s="904"/>
      <c r="CM24" s="944"/>
      <c r="CN24" s="901"/>
      <c r="CO24" s="902"/>
      <c r="CP24" s="903"/>
      <c r="CQ24" s="902"/>
      <c r="CR24" s="903"/>
      <c r="CS24" s="904"/>
      <c r="CT24" s="944"/>
      <c r="CU24" s="906"/>
      <c r="CV24" s="886"/>
      <c r="CW24" s="887"/>
      <c r="CX24" s="915"/>
      <c r="CY24" s="916"/>
      <c r="CZ24" s="932"/>
      <c r="DA24" s="933"/>
      <c r="DB24" s="932"/>
      <c r="DC24" s="933"/>
      <c r="DD24" s="1149"/>
      <c r="DE24" s="1150"/>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30" t="str">
        <f t="shared" si="62"/>
        <v/>
      </c>
      <c r="EP24" s="726" t="str">
        <f t="shared" si="63"/>
        <v/>
      </c>
      <c r="EQ24" s="727" t="str">
        <f t="shared" si="64"/>
        <v/>
      </c>
      <c r="ER24" s="961" t="str">
        <f t="shared" si="65"/>
        <v/>
      </c>
      <c r="ES24" s="962" t="str">
        <f t="shared" si="82"/>
        <v/>
      </c>
      <c r="ET24" s="963" t="str">
        <f t="shared" si="66"/>
        <v/>
      </c>
      <c r="EU24" s="964" t="str">
        <f t="shared" si="67"/>
        <v/>
      </c>
      <c r="EX24" s="1194" t="str">
        <f t="shared" ca="1" si="83"/>
        <v/>
      </c>
      <c r="EY24" s="1196" t="str">
        <f t="shared" si="68"/>
        <v/>
      </c>
      <c r="EZ24" s="1196" t="str">
        <f t="shared" si="84"/>
        <v/>
      </c>
      <c r="FA24" s="1217" t="str">
        <f t="shared" ca="1" si="89"/>
        <v/>
      </c>
      <c r="FB24" s="1218" t="str">
        <f t="shared" ca="1" si="85"/>
        <v/>
      </c>
      <c r="FC24" s="1218">
        <f t="shared" ca="1" si="69"/>
        <v>0</v>
      </c>
      <c r="FD24" s="1218">
        <f t="shared" ca="1" si="70"/>
        <v>0</v>
      </c>
      <c r="FE24" s="1218">
        <f t="shared" ca="1" si="71"/>
        <v>0</v>
      </c>
      <c r="FF24" s="1218">
        <f t="shared" ca="1" si="86"/>
        <v>0</v>
      </c>
      <c r="FN24" s="969" t="b">
        <v>0</v>
      </c>
      <c r="FO24" s="969" t="b">
        <f t="shared" si="72"/>
        <v>1</v>
      </c>
      <c r="FP24" s="969" t="b">
        <v>0</v>
      </c>
      <c r="FQ24" s="969" t="b">
        <f t="shared" si="87"/>
        <v>1</v>
      </c>
      <c r="FW24" s="2"/>
      <c r="FX24" s="2"/>
      <c r="FZ24" s="2"/>
      <c r="GA24" s="1935" t="str">
        <f t="shared" si="73"/>
        <v/>
      </c>
      <c r="GB24" s="1936" t="str">
        <f t="shared" si="74"/>
        <v/>
      </c>
      <c r="GC24" s="1937" t="str">
        <f t="shared" si="75"/>
        <v/>
      </c>
      <c r="GD24" s="1938" t="str">
        <f t="shared" si="76"/>
        <v/>
      </c>
      <c r="GE24" s="1939" t="str">
        <f t="shared" si="77"/>
        <v/>
      </c>
      <c r="GF24" s="1940" t="str">
        <f t="shared" si="78"/>
        <v/>
      </c>
      <c r="GG24" s="1457"/>
      <c r="GH24" s="1459"/>
      <c r="GI24" s="1457"/>
      <c r="GJ24" s="1459"/>
      <c r="GK24" s="326">
        <f t="shared" si="79"/>
        <v>0</v>
      </c>
      <c r="GL24" s="326" t="e">
        <f t="shared" si="80"/>
        <v>#VALUE!</v>
      </c>
      <c r="GM24" s="327" t="e">
        <f>IF(ABS(GK24-GL24)&gt;='Job Info.'!$L$22,ABS(GK24-GL24),0)</f>
        <v>#VALUE!</v>
      </c>
      <c r="HA24" s="1612"/>
      <c r="HB24" s="1613"/>
      <c r="HC24" s="1613"/>
      <c r="HD24" s="1614"/>
      <c r="HE24" s="1615"/>
      <c r="HF24" s="1613"/>
      <c r="HG24" s="1613"/>
      <c r="HH24" s="1613"/>
      <c r="HI24" s="1613"/>
      <c r="HJ24" s="1613"/>
      <c r="HK24" s="1613"/>
      <c r="HL24" s="1613"/>
      <c r="HM24" s="1613"/>
      <c r="HN24" s="1613"/>
      <c r="HO24" s="1613"/>
      <c r="HP24" s="1613"/>
      <c r="HQ24" s="1613"/>
      <c r="HR24" s="1613"/>
      <c r="HS24" s="1613"/>
      <c r="HT24" s="1613"/>
      <c r="HU24" s="1613"/>
      <c r="HV24" s="1613"/>
      <c r="HW24" s="1613"/>
      <c r="HX24" s="1613"/>
      <c r="HY24" s="1617"/>
      <c r="HZ24" s="1617"/>
      <c r="IA24" s="1617"/>
      <c r="IB24" s="1617"/>
      <c r="IC24" s="1617"/>
      <c r="ID24" s="1632"/>
      <c r="IE24" s="1612"/>
      <c r="IF24" s="1613"/>
      <c r="IG24" s="1614"/>
      <c r="IH24" s="1615"/>
      <c r="II24" s="1613"/>
      <c r="IJ24" s="1614"/>
      <c r="IK24" s="1615"/>
      <c r="IL24" s="1613"/>
      <c r="IM24" s="1613"/>
      <c r="IN24" s="1613"/>
      <c r="IO24" s="1613"/>
      <c r="IP24" s="1613"/>
      <c r="IQ24" s="1613"/>
      <c r="IR24" s="1613"/>
      <c r="IS24" s="1614"/>
      <c r="IT24" s="1615"/>
      <c r="IU24" s="1613"/>
      <c r="IV24" s="1613"/>
      <c r="IW24" s="1614"/>
      <c r="IX24" s="1615"/>
      <c r="IY24" s="1613"/>
      <c r="IZ24" s="1613"/>
      <c r="JA24" s="1614"/>
      <c r="JB24" s="1615"/>
      <c r="JC24" s="1613"/>
      <c r="JD24" s="1613"/>
      <c r="JE24" s="1614"/>
      <c r="JF24" s="1615"/>
      <c r="JG24" s="1613"/>
      <c r="JH24" s="1613"/>
      <c r="JI24" s="1613"/>
      <c r="JJ24" s="1616"/>
      <c r="JK24" s="1613"/>
      <c r="JL24" s="1521">
        <f t="shared" ca="1" si="90"/>
        <v>0</v>
      </c>
    </row>
    <row r="25" spans="1:272" ht="12.6" customHeight="1" x14ac:dyDescent="0.25">
      <c r="A25" s="1861" t="str">
        <f t="shared" si="0"/>
        <v/>
      </c>
      <c r="B25" s="1862" t="str">
        <f t="shared" si="0"/>
        <v/>
      </c>
      <c r="C25" s="1863" t="str">
        <f t="shared" si="0"/>
        <v/>
      </c>
      <c r="D25" s="1864" t="str">
        <f t="shared" si="1"/>
        <v/>
      </c>
      <c r="E25" s="1865" t="str">
        <f t="shared" si="2"/>
        <v/>
      </c>
      <c r="F25" s="1866" t="str">
        <f t="shared" si="3"/>
        <v/>
      </c>
      <c r="G25" s="1867" t="str">
        <f t="shared" si="4"/>
        <v/>
      </c>
      <c r="H25" s="1868" t="str">
        <f t="shared" si="5"/>
        <v/>
      </c>
      <c r="I25" s="1869" t="str">
        <f t="shared" si="6"/>
        <v/>
      </c>
      <c r="J25" s="1864" t="str">
        <f t="shared" si="7"/>
        <v/>
      </c>
      <c r="K25" s="1868" t="str">
        <f t="shared" si="8"/>
        <v/>
      </c>
      <c r="L25" s="1870" t="str">
        <f t="shared" si="9"/>
        <v/>
      </c>
      <c r="M25" s="1871" t="str">
        <f t="shared" si="10"/>
        <v/>
      </c>
      <c r="N25" s="1872" t="str">
        <f t="shared" si="10"/>
        <v/>
      </c>
      <c r="O25" s="1867" t="str">
        <f t="shared" si="11"/>
        <v/>
      </c>
      <c r="P25" s="1868" t="str">
        <f t="shared" si="12"/>
        <v/>
      </c>
      <c r="Q25" s="1864" t="str">
        <f t="shared" si="13"/>
        <v/>
      </c>
      <c r="R25" s="1865" t="str">
        <f t="shared" si="14"/>
        <v/>
      </c>
      <c r="S25" s="1873" t="str">
        <f t="shared" si="15"/>
        <v/>
      </c>
      <c r="T25" s="1868" t="str">
        <f t="shared" si="16"/>
        <v/>
      </c>
      <c r="U25" s="1864" t="str">
        <f t="shared" si="17"/>
        <v/>
      </c>
      <c r="V25" s="1868" t="str">
        <f t="shared" si="18"/>
        <v/>
      </c>
      <c r="W25" s="1872">
        <f t="shared" si="19"/>
        <v>0</v>
      </c>
      <c r="X25" s="1874" t="str">
        <f t="shared" si="20"/>
        <v/>
      </c>
      <c r="Y25" s="1875" t="str">
        <f t="shared" si="21"/>
        <v/>
      </c>
      <c r="Z25" s="1941"/>
      <c r="AA25" s="1960" t="str">
        <f t="shared" si="22"/>
        <v/>
      </c>
      <c r="AB25" s="1471" t="str">
        <f t="shared" si="23"/>
        <v/>
      </c>
      <c r="AC25" s="1908" t="str">
        <f t="shared" si="23"/>
        <v/>
      </c>
      <c r="AD25" s="1909" t="str">
        <f t="shared" ca="1" si="24"/>
        <v/>
      </c>
      <c r="AE25" s="1910" t="str">
        <f t="shared" ca="1" si="25"/>
        <v/>
      </c>
      <c r="AF25" s="1908" t="str">
        <f t="shared" ca="1" si="26"/>
        <v/>
      </c>
      <c r="AG25" s="1909" t="str">
        <f t="shared" ca="1" si="27"/>
        <v/>
      </c>
      <c r="AH25" s="1910" t="str">
        <f t="shared" ca="1" si="28"/>
        <v/>
      </c>
      <c r="AI25" s="1909" t="str">
        <f t="shared" ca="1" si="29"/>
        <v/>
      </c>
      <c r="AJ25" s="1910" t="str">
        <f t="shared" ca="1" si="30"/>
        <v/>
      </c>
      <c r="AK25" s="1911" t="str">
        <f t="shared" si="31"/>
        <v/>
      </c>
      <c r="AL25" s="1912" t="str">
        <f t="shared" si="31"/>
        <v/>
      </c>
      <c r="AM25" s="1913" t="str">
        <f t="shared" si="31"/>
        <v/>
      </c>
      <c r="AN25" s="1908" t="str">
        <f t="shared" si="31"/>
        <v/>
      </c>
      <c r="AO25" s="1961" t="str">
        <f t="shared" si="31"/>
        <v/>
      </c>
      <c r="AP25" s="1915" t="str">
        <f t="shared" si="32"/>
        <v/>
      </c>
      <c r="AQ25" s="1916" t="str">
        <f t="shared" si="32"/>
        <v/>
      </c>
      <c r="AR25" s="1917" t="str">
        <f t="shared" si="33"/>
        <v/>
      </c>
      <c r="AS25" s="1910" t="str">
        <f t="shared" si="34"/>
        <v/>
      </c>
      <c r="AT25" s="1918" t="str">
        <f t="shared" si="35"/>
        <v/>
      </c>
      <c r="AU25" s="1919" t="str">
        <f t="shared" si="35"/>
        <v/>
      </c>
      <c r="AV25" s="1920" t="str">
        <f t="shared" si="36"/>
        <v/>
      </c>
      <c r="AW25" s="1910" t="str">
        <f t="shared" si="37"/>
        <v/>
      </c>
      <c r="AX25" s="1918" t="str">
        <f t="shared" si="38"/>
        <v/>
      </c>
      <c r="AY25" s="1919" t="str">
        <f t="shared" si="38"/>
        <v/>
      </c>
      <c r="AZ25" s="1920" t="str">
        <f t="shared" si="39"/>
        <v/>
      </c>
      <c r="BA25" s="1910" t="str">
        <f t="shared" si="40"/>
        <v/>
      </c>
      <c r="BB25" s="1918" t="str">
        <f t="shared" si="41"/>
        <v/>
      </c>
      <c r="BC25" s="1919" t="str">
        <f t="shared" si="41"/>
        <v/>
      </c>
      <c r="BD25" s="1920" t="str">
        <f t="shared" si="42"/>
        <v/>
      </c>
      <c r="BE25" s="1910" t="str">
        <f t="shared" si="43"/>
        <v/>
      </c>
      <c r="BF25" s="1918" t="str">
        <f t="shared" si="44"/>
        <v/>
      </c>
      <c r="BG25" s="1919" t="str">
        <f t="shared" si="44"/>
        <v/>
      </c>
      <c r="BH25" s="322"/>
      <c r="BJ25" s="1258" t="str">
        <f t="shared" si="88"/>
        <v/>
      </c>
      <c r="BK25" s="1256" t="b">
        <f t="shared" si="45"/>
        <v>0</v>
      </c>
      <c r="BL25" s="1251" t="b">
        <v>0</v>
      </c>
      <c r="BM25" s="1251">
        <f t="shared" si="46"/>
        <v>0</v>
      </c>
      <c r="BN25" s="1251">
        <f t="shared" si="47"/>
        <v>0</v>
      </c>
      <c r="BO25" s="1251">
        <f t="shared" si="48"/>
        <v>0</v>
      </c>
      <c r="BP25" s="1251">
        <f t="shared" si="49"/>
        <v>0</v>
      </c>
      <c r="BQ25" s="1251">
        <f t="shared" si="50"/>
        <v>0</v>
      </c>
      <c r="BR25" s="1251" t="b">
        <f t="shared" si="51"/>
        <v>1</v>
      </c>
      <c r="BS25" s="1252">
        <f t="shared" si="52"/>
        <v>6</v>
      </c>
      <c r="BT25" s="1252" t="str">
        <f t="shared" si="53"/>
        <v>No</v>
      </c>
      <c r="BU25" s="1252">
        <f t="shared" si="54"/>
        <v>6</v>
      </c>
      <c r="BV25" s="1252" t="str">
        <f t="shared" si="55"/>
        <v>No</v>
      </c>
      <c r="BW25" s="1253">
        <f t="shared" ca="1" si="56"/>
        <v>0</v>
      </c>
      <c r="BX25" s="1254" t="str">
        <f t="shared" ca="1" si="57"/>
        <v/>
      </c>
      <c r="BY25" s="1254" t="b">
        <f t="shared" ca="1" si="58"/>
        <v>0</v>
      </c>
      <c r="BZ25" s="1253" t="b">
        <f t="shared" si="81"/>
        <v>0</v>
      </c>
      <c r="CB25" s="842"/>
      <c r="CC25" s="894"/>
      <c r="CD25" s="883"/>
      <c r="CE25" s="884"/>
      <c r="CF25" s="885"/>
      <c r="CG25" s="901"/>
      <c r="CH25" s="902"/>
      <c r="CI25" s="903"/>
      <c r="CJ25" s="902"/>
      <c r="CK25" s="903"/>
      <c r="CL25" s="904"/>
      <c r="CM25" s="944"/>
      <c r="CN25" s="901"/>
      <c r="CO25" s="902"/>
      <c r="CP25" s="903"/>
      <c r="CQ25" s="902"/>
      <c r="CR25" s="903"/>
      <c r="CS25" s="904"/>
      <c r="CT25" s="944"/>
      <c r="CU25" s="906"/>
      <c r="CV25" s="886"/>
      <c r="CW25" s="887"/>
      <c r="CX25" s="915"/>
      <c r="CY25" s="916"/>
      <c r="CZ25" s="932"/>
      <c r="DA25" s="933"/>
      <c r="DB25" s="932"/>
      <c r="DC25" s="933"/>
      <c r="DD25" s="1149"/>
      <c r="DE25" s="1150"/>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30" t="str">
        <f t="shared" si="62"/>
        <v/>
      </c>
      <c r="EP25" s="726" t="str">
        <f t="shared" si="63"/>
        <v/>
      </c>
      <c r="EQ25" s="727" t="str">
        <f t="shared" si="64"/>
        <v/>
      </c>
      <c r="ER25" s="961" t="str">
        <f t="shared" si="65"/>
        <v/>
      </c>
      <c r="ES25" s="962" t="str">
        <f t="shared" si="82"/>
        <v/>
      </c>
      <c r="ET25" s="963" t="str">
        <f t="shared" si="66"/>
        <v/>
      </c>
      <c r="EU25" s="964" t="str">
        <f t="shared" si="67"/>
        <v/>
      </c>
      <c r="EX25" s="1194" t="str">
        <f t="shared" ca="1" si="83"/>
        <v/>
      </c>
      <c r="EY25" s="1196" t="str">
        <f t="shared" si="68"/>
        <v/>
      </c>
      <c r="EZ25" s="1196" t="str">
        <f t="shared" si="84"/>
        <v/>
      </c>
      <c r="FA25" s="1217" t="str">
        <f t="shared" ca="1" si="89"/>
        <v/>
      </c>
      <c r="FB25" s="1218" t="str">
        <f t="shared" ca="1" si="85"/>
        <v/>
      </c>
      <c r="FC25" s="1218">
        <f t="shared" ca="1" si="69"/>
        <v>0</v>
      </c>
      <c r="FD25" s="1218">
        <f t="shared" ca="1" si="70"/>
        <v>0</v>
      </c>
      <c r="FE25" s="1218">
        <f t="shared" ca="1" si="71"/>
        <v>0</v>
      </c>
      <c r="FF25" s="1218">
        <f t="shared" ca="1" si="86"/>
        <v>0</v>
      </c>
      <c r="FN25" s="969" t="b">
        <v>0</v>
      </c>
      <c r="FO25" s="969" t="b">
        <f t="shared" si="72"/>
        <v>1</v>
      </c>
      <c r="FP25" s="969" t="b">
        <v>0</v>
      </c>
      <c r="FQ25" s="969" t="b">
        <f t="shared" si="87"/>
        <v>1</v>
      </c>
      <c r="FW25" s="2"/>
      <c r="FX25" s="2"/>
      <c r="FZ25" s="2"/>
      <c r="GA25" s="1935" t="str">
        <f t="shared" si="73"/>
        <v/>
      </c>
      <c r="GB25" s="1936" t="str">
        <f t="shared" si="74"/>
        <v/>
      </c>
      <c r="GC25" s="1937" t="str">
        <f t="shared" si="75"/>
        <v/>
      </c>
      <c r="GD25" s="1938" t="str">
        <f t="shared" si="76"/>
        <v/>
      </c>
      <c r="GE25" s="1939" t="str">
        <f t="shared" si="77"/>
        <v/>
      </c>
      <c r="GF25" s="1940" t="str">
        <f t="shared" si="78"/>
        <v/>
      </c>
      <c r="GG25" s="1457"/>
      <c r="GH25" s="1459"/>
      <c r="GI25" s="1457"/>
      <c r="GJ25" s="1459"/>
      <c r="GK25" s="326">
        <f t="shared" si="79"/>
        <v>0</v>
      </c>
      <c r="GL25" s="326" t="e">
        <f t="shared" si="80"/>
        <v>#VALUE!</v>
      </c>
      <c r="GM25" s="327" t="e">
        <f>IF(ABS(GK25-GL25)&gt;='Job Info.'!$L$22,ABS(GK25-GL25),0)</f>
        <v>#VALUE!</v>
      </c>
      <c r="HA25" s="1612"/>
      <c r="HB25" s="1613"/>
      <c r="HC25" s="1613"/>
      <c r="HD25" s="1614"/>
      <c r="HE25" s="1615"/>
      <c r="HF25" s="1613"/>
      <c r="HG25" s="1613"/>
      <c r="HH25" s="1613"/>
      <c r="HI25" s="1613"/>
      <c r="HJ25" s="1613"/>
      <c r="HK25" s="1613"/>
      <c r="HL25" s="1613"/>
      <c r="HM25" s="1613"/>
      <c r="HN25" s="1613"/>
      <c r="HO25" s="1613"/>
      <c r="HP25" s="1613"/>
      <c r="HQ25" s="1613"/>
      <c r="HR25" s="1613"/>
      <c r="HS25" s="1613"/>
      <c r="HT25" s="1613"/>
      <c r="HU25" s="1613"/>
      <c r="HV25" s="1613"/>
      <c r="HW25" s="1613"/>
      <c r="HX25" s="1613"/>
      <c r="HY25" s="1617"/>
      <c r="HZ25" s="1617"/>
      <c r="IA25" s="1617"/>
      <c r="IB25" s="1617"/>
      <c r="IC25" s="1617"/>
      <c r="ID25" s="1632"/>
      <c r="IE25" s="1612"/>
      <c r="IF25" s="1613"/>
      <c r="IG25" s="1614"/>
      <c r="IH25" s="1615"/>
      <c r="II25" s="1613"/>
      <c r="IJ25" s="1614"/>
      <c r="IK25" s="1615"/>
      <c r="IL25" s="1613"/>
      <c r="IM25" s="1613"/>
      <c r="IN25" s="1613"/>
      <c r="IO25" s="1613"/>
      <c r="IP25" s="1613"/>
      <c r="IQ25" s="1613"/>
      <c r="IR25" s="1613"/>
      <c r="IS25" s="1614"/>
      <c r="IT25" s="1615"/>
      <c r="IU25" s="1613"/>
      <c r="IV25" s="1613"/>
      <c r="IW25" s="1614"/>
      <c r="IX25" s="1615"/>
      <c r="IY25" s="1613"/>
      <c r="IZ25" s="1613"/>
      <c r="JA25" s="1614"/>
      <c r="JB25" s="1615"/>
      <c r="JC25" s="1613"/>
      <c r="JD25" s="1613"/>
      <c r="JE25" s="1614"/>
      <c r="JF25" s="1615"/>
      <c r="JG25" s="1613"/>
      <c r="JH25" s="1613"/>
      <c r="JI25" s="1613"/>
      <c r="JJ25" s="1616"/>
      <c r="JK25" s="1613"/>
      <c r="JL25" s="1521">
        <f t="shared" ca="1" si="90"/>
        <v>0</v>
      </c>
    </row>
    <row r="26" spans="1:272" ht="12.6" customHeight="1" x14ac:dyDescent="0.25">
      <c r="A26" s="1861" t="str">
        <f t="shared" si="0"/>
        <v/>
      </c>
      <c r="B26" s="1862" t="str">
        <f t="shared" si="0"/>
        <v/>
      </c>
      <c r="C26" s="1863" t="str">
        <f t="shared" si="0"/>
        <v/>
      </c>
      <c r="D26" s="1864" t="str">
        <f t="shared" si="1"/>
        <v/>
      </c>
      <c r="E26" s="1865" t="str">
        <f t="shared" si="2"/>
        <v/>
      </c>
      <c r="F26" s="1866" t="str">
        <f t="shared" si="3"/>
        <v/>
      </c>
      <c r="G26" s="1867" t="str">
        <f t="shared" si="4"/>
        <v/>
      </c>
      <c r="H26" s="1868" t="str">
        <f t="shared" si="5"/>
        <v/>
      </c>
      <c r="I26" s="1869" t="str">
        <f t="shared" si="6"/>
        <v/>
      </c>
      <c r="J26" s="1864" t="str">
        <f t="shared" si="7"/>
        <v/>
      </c>
      <c r="K26" s="1868" t="str">
        <f t="shared" si="8"/>
        <v/>
      </c>
      <c r="L26" s="1870" t="str">
        <f t="shared" si="9"/>
        <v/>
      </c>
      <c r="M26" s="1871" t="str">
        <f t="shared" si="10"/>
        <v/>
      </c>
      <c r="N26" s="1872" t="str">
        <f t="shared" si="10"/>
        <v/>
      </c>
      <c r="O26" s="1867" t="str">
        <f t="shared" si="11"/>
        <v/>
      </c>
      <c r="P26" s="1868" t="str">
        <f t="shared" si="12"/>
        <v/>
      </c>
      <c r="Q26" s="1864" t="str">
        <f t="shared" si="13"/>
        <v/>
      </c>
      <c r="R26" s="1865" t="str">
        <f t="shared" si="14"/>
        <v/>
      </c>
      <c r="S26" s="1873" t="str">
        <f t="shared" si="15"/>
        <v/>
      </c>
      <c r="T26" s="1868" t="str">
        <f t="shared" si="16"/>
        <v/>
      </c>
      <c r="U26" s="1864" t="str">
        <f t="shared" si="17"/>
        <v/>
      </c>
      <c r="V26" s="1868" t="str">
        <f t="shared" si="18"/>
        <v/>
      </c>
      <c r="W26" s="1872">
        <f t="shared" si="19"/>
        <v>0</v>
      </c>
      <c r="X26" s="1874" t="str">
        <f t="shared" si="20"/>
        <v/>
      </c>
      <c r="Y26" s="1875" t="str">
        <f t="shared" si="21"/>
        <v/>
      </c>
      <c r="Z26" s="1941"/>
      <c r="AA26" s="1960" t="str">
        <f t="shared" si="22"/>
        <v/>
      </c>
      <c r="AB26" s="1471" t="str">
        <f t="shared" si="23"/>
        <v/>
      </c>
      <c r="AC26" s="1908" t="str">
        <f t="shared" si="23"/>
        <v/>
      </c>
      <c r="AD26" s="1909" t="str">
        <f t="shared" ca="1" si="24"/>
        <v/>
      </c>
      <c r="AE26" s="1910" t="str">
        <f t="shared" ca="1" si="25"/>
        <v/>
      </c>
      <c r="AF26" s="1908" t="str">
        <f t="shared" ca="1" si="26"/>
        <v/>
      </c>
      <c r="AG26" s="1909" t="str">
        <f t="shared" ca="1" si="27"/>
        <v/>
      </c>
      <c r="AH26" s="1910" t="str">
        <f t="shared" ca="1" si="28"/>
        <v/>
      </c>
      <c r="AI26" s="1909" t="str">
        <f t="shared" ca="1" si="29"/>
        <v/>
      </c>
      <c r="AJ26" s="1910" t="str">
        <f t="shared" ca="1" si="30"/>
        <v/>
      </c>
      <c r="AK26" s="1911" t="str">
        <f t="shared" si="31"/>
        <v/>
      </c>
      <c r="AL26" s="1912" t="str">
        <f t="shared" si="31"/>
        <v/>
      </c>
      <c r="AM26" s="1913" t="str">
        <f t="shared" si="31"/>
        <v/>
      </c>
      <c r="AN26" s="1908" t="str">
        <f t="shared" si="31"/>
        <v/>
      </c>
      <c r="AO26" s="1961" t="str">
        <f t="shared" si="31"/>
        <v/>
      </c>
      <c r="AP26" s="1915" t="str">
        <f t="shared" si="32"/>
        <v/>
      </c>
      <c r="AQ26" s="1916" t="str">
        <f t="shared" si="32"/>
        <v/>
      </c>
      <c r="AR26" s="1917" t="str">
        <f t="shared" si="33"/>
        <v/>
      </c>
      <c r="AS26" s="1910" t="str">
        <f t="shared" si="34"/>
        <v/>
      </c>
      <c r="AT26" s="1918" t="str">
        <f t="shared" si="35"/>
        <v/>
      </c>
      <c r="AU26" s="1919" t="str">
        <f t="shared" si="35"/>
        <v/>
      </c>
      <c r="AV26" s="1920" t="str">
        <f t="shared" si="36"/>
        <v/>
      </c>
      <c r="AW26" s="1910" t="str">
        <f t="shared" si="37"/>
        <v/>
      </c>
      <c r="AX26" s="1918" t="str">
        <f t="shared" si="38"/>
        <v/>
      </c>
      <c r="AY26" s="1919" t="str">
        <f t="shared" si="38"/>
        <v/>
      </c>
      <c r="AZ26" s="1920" t="str">
        <f t="shared" si="39"/>
        <v/>
      </c>
      <c r="BA26" s="1910" t="str">
        <f t="shared" si="40"/>
        <v/>
      </c>
      <c r="BB26" s="1918" t="str">
        <f t="shared" si="41"/>
        <v/>
      </c>
      <c r="BC26" s="1919" t="str">
        <f t="shared" si="41"/>
        <v/>
      </c>
      <c r="BD26" s="1920" t="str">
        <f t="shared" si="42"/>
        <v/>
      </c>
      <c r="BE26" s="1910" t="str">
        <f t="shared" si="43"/>
        <v/>
      </c>
      <c r="BF26" s="1918" t="str">
        <f t="shared" si="44"/>
        <v/>
      </c>
      <c r="BG26" s="1919" t="str">
        <f t="shared" si="44"/>
        <v/>
      </c>
      <c r="BH26" s="322"/>
      <c r="BJ26" s="1258" t="str">
        <f t="shared" si="88"/>
        <v/>
      </c>
      <c r="BK26" s="1256" t="b">
        <f t="shared" si="45"/>
        <v>0</v>
      </c>
      <c r="BL26" s="1251" t="b">
        <v>0</v>
      </c>
      <c r="BM26" s="1251">
        <f t="shared" si="46"/>
        <v>0</v>
      </c>
      <c r="BN26" s="1251">
        <f t="shared" si="47"/>
        <v>0</v>
      </c>
      <c r="BO26" s="1251">
        <f t="shared" si="48"/>
        <v>0</v>
      </c>
      <c r="BP26" s="1251">
        <f t="shared" si="49"/>
        <v>0</v>
      </c>
      <c r="BQ26" s="1251">
        <f t="shared" si="50"/>
        <v>0</v>
      </c>
      <c r="BR26" s="1251" t="b">
        <f t="shared" si="51"/>
        <v>1</v>
      </c>
      <c r="BS26" s="1252">
        <f t="shared" si="52"/>
        <v>6</v>
      </c>
      <c r="BT26" s="1252" t="str">
        <f t="shared" si="53"/>
        <v>No</v>
      </c>
      <c r="BU26" s="1252">
        <f t="shared" si="54"/>
        <v>6</v>
      </c>
      <c r="BV26" s="1252" t="str">
        <f t="shared" si="55"/>
        <v>No</v>
      </c>
      <c r="BW26" s="1253">
        <f t="shared" ca="1" si="56"/>
        <v>0</v>
      </c>
      <c r="BX26" s="1254" t="str">
        <f t="shared" ca="1" si="57"/>
        <v/>
      </c>
      <c r="BY26" s="1254" t="b">
        <f t="shared" ca="1" si="58"/>
        <v>0</v>
      </c>
      <c r="BZ26" s="1253" t="b">
        <f t="shared" si="81"/>
        <v>0</v>
      </c>
      <c r="CB26" s="842"/>
      <c r="CC26" s="894"/>
      <c r="CD26" s="883"/>
      <c r="CE26" s="884"/>
      <c r="CF26" s="885"/>
      <c r="CG26" s="901"/>
      <c r="CH26" s="902"/>
      <c r="CI26" s="903"/>
      <c r="CJ26" s="902"/>
      <c r="CK26" s="903"/>
      <c r="CL26" s="904"/>
      <c r="CM26" s="944"/>
      <c r="CN26" s="901"/>
      <c r="CO26" s="902"/>
      <c r="CP26" s="903"/>
      <c r="CQ26" s="902"/>
      <c r="CR26" s="903"/>
      <c r="CS26" s="904"/>
      <c r="CT26" s="944"/>
      <c r="CU26" s="906"/>
      <c r="CV26" s="886"/>
      <c r="CW26" s="887"/>
      <c r="CX26" s="915"/>
      <c r="CY26" s="916"/>
      <c r="CZ26" s="932"/>
      <c r="DA26" s="933"/>
      <c r="DB26" s="932"/>
      <c r="DC26" s="933"/>
      <c r="DD26" s="1149"/>
      <c r="DE26" s="1150"/>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30" t="str">
        <f t="shared" si="62"/>
        <v/>
      </c>
      <c r="EP26" s="726" t="str">
        <f t="shared" si="63"/>
        <v/>
      </c>
      <c r="EQ26" s="727" t="str">
        <f t="shared" si="64"/>
        <v/>
      </c>
      <c r="ER26" s="961" t="str">
        <f t="shared" si="65"/>
        <v/>
      </c>
      <c r="ES26" s="962" t="str">
        <f t="shared" si="82"/>
        <v/>
      </c>
      <c r="ET26" s="963" t="str">
        <f t="shared" si="66"/>
        <v/>
      </c>
      <c r="EU26" s="964" t="str">
        <f t="shared" si="67"/>
        <v/>
      </c>
      <c r="EX26" s="1194" t="str">
        <f t="shared" ca="1" si="83"/>
        <v/>
      </c>
      <c r="EY26" s="1196" t="str">
        <f t="shared" si="68"/>
        <v/>
      </c>
      <c r="EZ26" s="1196" t="str">
        <f t="shared" si="84"/>
        <v/>
      </c>
      <c r="FA26" s="1217" t="str">
        <f t="shared" ca="1" si="89"/>
        <v/>
      </c>
      <c r="FB26" s="1218" t="str">
        <f t="shared" ca="1" si="85"/>
        <v/>
      </c>
      <c r="FC26" s="1218">
        <f t="shared" ca="1" si="69"/>
        <v>0</v>
      </c>
      <c r="FD26" s="1218">
        <f t="shared" ca="1" si="70"/>
        <v>0</v>
      </c>
      <c r="FE26" s="1218">
        <f t="shared" ca="1" si="71"/>
        <v>0</v>
      </c>
      <c r="FF26" s="1218">
        <f t="shared" ca="1" si="86"/>
        <v>0</v>
      </c>
      <c r="FN26" s="969" t="b">
        <v>0</v>
      </c>
      <c r="FO26" s="969" t="b">
        <f t="shared" si="72"/>
        <v>1</v>
      </c>
      <c r="FP26" s="969" t="b">
        <v>0</v>
      </c>
      <c r="FQ26" s="969" t="b">
        <f t="shared" si="87"/>
        <v>1</v>
      </c>
      <c r="FW26" s="2"/>
      <c r="FX26" s="2"/>
      <c r="FZ26" s="2"/>
      <c r="GA26" s="1935" t="str">
        <f t="shared" si="73"/>
        <v/>
      </c>
      <c r="GB26" s="1936" t="str">
        <f t="shared" si="74"/>
        <v/>
      </c>
      <c r="GC26" s="1937" t="str">
        <f t="shared" si="75"/>
        <v/>
      </c>
      <c r="GD26" s="1938" t="str">
        <f t="shared" si="76"/>
        <v/>
      </c>
      <c r="GE26" s="1939" t="str">
        <f t="shared" si="77"/>
        <v/>
      </c>
      <c r="GF26" s="1940" t="str">
        <f t="shared" si="78"/>
        <v/>
      </c>
      <c r="GG26" s="1457"/>
      <c r="GH26" s="1459"/>
      <c r="GI26" s="1457"/>
      <c r="GJ26" s="1459"/>
      <c r="GK26" s="326">
        <f t="shared" si="79"/>
        <v>0</v>
      </c>
      <c r="GL26" s="326" t="e">
        <f t="shared" si="80"/>
        <v>#VALUE!</v>
      </c>
      <c r="GM26" s="327" t="e">
        <f>IF(ABS(GK26-GL26)&gt;='Job Info.'!$L$22,ABS(GK26-GL26),0)</f>
        <v>#VALUE!</v>
      </c>
      <c r="GZ26" s="183"/>
      <c r="HA26" s="1612"/>
      <c r="HB26" s="1613"/>
      <c r="HC26" s="1613"/>
      <c r="HD26" s="1614"/>
      <c r="HE26" s="1615"/>
      <c r="HF26" s="1613"/>
      <c r="HG26" s="1613"/>
      <c r="HH26" s="1613"/>
      <c r="HI26" s="1613"/>
      <c r="HJ26" s="1613"/>
      <c r="HK26" s="1613"/>
      <c r="HL26" s="1613"/>
      <c r="HM26" s="1613"/>
      <c r="HN26" s="1613"/>
      <c r="HO26" s="1613"/>
      <c r="HP26" s="1613"/>
      <c r="HQ26" s="1613"/>
      <c r="HR26" s="1613"/>
      <c r="HS26" s="1613"/>
      <c r="HT26" s="1613"/>
      <c r="HU26" s="1613"/>
      <c r="HV26" s="1613"/>
      <c r="HW26" s="1613"/>
      <c r="HX26" s="1613"/>
      <c r="HY26" s="1617"/>
      <c r="HZ26" s="1617"/>
      <c r="IA26" s="1617"/>
      <c r="IB26" s="1617"/>
      <c r="IC26" s="1617"/>
      <c r="ID26" s="1632"/>
      <c r="IE26" s="1612"/>
      <c r="IF26" s="1613"/>
      <c r="IG26" s="1614"/>
      <c r="IH26" s="1615"/>
      <c r="II26" s="1613"/>
      <c r="IJ26" s="1614"/>
      <c r="IK26" s="1615"/>
      <c r="IL26" s="1613"/>
      <c r="IM26" s="1613"/>
      <c r="IN26" s="1613"/>
      <c r="IO26" s="1613"/>
      <c r="IP26" s="1613"/>
      <c r="IQ26" s="1613"/>
      <c r="IR26" s="1613"/>
      <c r="IS26" s="1614"/>
      <c r="IT26" s="1615"/>
      <c r="IU26" s="1613"/>
      <c r="IV26" s="1613"/>
      <c r="IW26" s="1614"/>
      <c r="IX26" s="1615"/>
      <c r="IY26" s="1613"/>
      <c r="IZ26" s="1613"/>
      <c r="JA26" s="1614"/>
      <c r="JB26" s="1615"/>
      <c r="JC26" s="1613"/>
      <c r="JD26" s="1613"/>
      <c r="JE26" s="1614"/>
      <c r="JF26" s="1615"/>
      <c r="JG26" s="1613"/>
      <c r="JH26" s="1613"/>
      <c r="JI26" s="1613"/>
      <c r="JJ26" s="1616"/>
      <c r="JK26" s="1613"/>
      <c r="JL26" s="1521">
        <f t="shared" ca="1" si="90"/>
        <v>0</v>
      </c>
    </row>
    <row r="27" spans="1:272" ht="12.6" customHeight="1" x14ac:dyDescent="0.25">
      <c r="A27" s="1861" t="str">
        <f t="shared" si="0"/>
        <v/>
      </c>
      <c r="B27" s="1862" t="str">
        <f t="shared" si="0"/>
        <v/>
      </c>
      <c r="C27" s="1863" t="str">
        <f t="shared" si="0"/>
        <v/>
      </c>
      <c r="D27" s="1864" t="str">
        <f t="shared" si="1"/>
        <v/>
      </c>
      <c r="E27" s="1865" t="str">
        <f t="shared" si="2"/>
        <v/>
      </c>
      <c r="F27" s="1866" t="str">
        <f t="shared" si="3"/>
        <v/>
      </c>
      <c r="G27" s="1867" t="str">
        <f t="shared" si="4"/>
        <v/>
      </c>
      <c r="H27" s="1868" t="str">
        <f t="shared" si="5"/>
        <v/>
      </c>
      <c r="I27" s="1869" t="str">
        <f t="shared" si="6"/>
        <v/>
      </c>
      <c r="J27" s="1864" t="str">
        <f t="shared" si="7"/>
        <v/>
      </c>
      <c r="K27" s="1868" t="str">
        <f t="shared" si="8"/>
        <v/>
      </c>
      <c r="L27" s="1870" t="str">
        <f t="shared" si="9"/>
        <v/>
      </c>
      <c r="M27" s="1871" t="str">
        <f t="shared" si="10"/>
        <v/>
      </c>
      <c r="N27" s="1872" t="str">
        <f t="shared" si="10"/>
        <v/>
      </c>
      <c r="O27" s="1867" t="str">
        <f t="shared" si="11"/>
        <v/>
      </c>
      <c r="P27" s="1868" t="str">
        <f t="shared" si="12"/>
        <v/>
      </c>
      <c r="Q27" s="1864" t="str">
        <f t="shared" si="13"/>
        <v/>
      </c>
      <c r="R27" s="1865" t="str">
        <f t="shared" si="14"/>
        <v/>
      </c>
      <c r="S27" s="1873" t="str">
        <f t="shared" si="15"/>
        <v/>
      </c>
      <c r="T27" s="1868" t="str">
        <f t="shared" si="16"/>
        <v/>
      </c>
      <c r="U27" s="1864" t="str">
        <f t="shared" si="17"/>
        <v/>
      </c>
      <c r="V27" s="1868" t="str">
        <f t="shared" si="18"/>
        <v/>
      </c>
      <c r="W27" s="1872">
        <f t="shared" si="19"/>
        <v>0</v>
      </c>
      <c r="X27" s="1874" t="str">
        <f t="shared" si="20"/>
        <v/>
      </c>
      <c r="Y27" s="1875" t="str">
        <f t="shared" si="21"/>
        <v/>
      </c>
      <c r="Z27" s="1941"/>
      <c r="AA27" s="1960" t="str">
        <f t="shared" si="22"/>
        <v/>
      </c>
      <c r="AB27" s="1471" t="str">
        <f t="shared" si="23"/>
        <v/>
      </c>
      <c r="AC27" s="1908" t="str">
        <f t="shared" si="23"/>
        <v/>
      </c>
      <c r="AD27" s="1909" t="str">
        <f t="shared" ca="1" si="24"/>
        <v/>
      </c>
      <c r="AE27" s="1910" t="str">
        <f t="shared" ca="1" si="25"/>
        <v/>
      </c>
      <c r="AF27" s="1908" t="str">
        <f t="shared" ca="1" si="26"/>
        <v/>
      </c>
      <c r="AG27" s="1909" t="str">
        <f t="shared" ca="1" si="27"/>
        <v/>
      </c>
      <c r="AH27" s="1910" t="str">
        <f t="shared" ca="1" si="28"/>
        <v/>
      </c>
      <c r="AI27" s="1909" t="str">
        <f t="shared" ca="1" si="29"/>
        <v/>
      </c>
      <c r="AJ27" s="1910" t="str">
        <f t="shared" ca="1" si="30"/>
        <v/>
      </c>
      <c r="AK27" s="1911" t="str">
        <f t="shared" si="31"/>
        <v/>
      </c>
      <c r="AL27" s="1912" t="str">
        <f t="shared" si="31"/>
        <v/>
      </c>
      <c r="AM27" s="1913" t="str">
        <f t="shared" si="31"/>
        <v/>
      </c>
      <c r="AN27" s="1908" t="str">
        <f t="shared" si="31"/>
        <v/>
      </c>
      <c r="AO27" s="1961" t="str">
        <f t="shared" si="31"/>
        <v/>
      </c>
      <c r="AP27" s="1915" t="str">
        <f t="shared" si="32"/>
        <v/>
      </c>
      <c r="AQ27" s="1916" t="str">
        <f t="shared" si="32"/>
        <v/>
      </c>
      <c r="AR27" s="1917" t="str">
        <f t="shared" si="33"/>
        <v/>
      </c>
      <c r="AS27" s="1910" t="str">
        <f t="shared" si="34"/>
        <v/>
      </c>
      <c r="AT27" s="1918" t="str">
        <f t="shared" si="35"/>
        <v/>
      </c>
      <c r="AU27" s="1919" t="str">
        <f t="shared" si="35"/>
        <v/>
      </c>
      <c r="AV27" s="1920" t="str">
        <f t="shared" si="36"/>
        <v/>
      </c>
      <c r="AW27" s="1910" t="str">
        <f t="shared" si="37"/>
        <v/>
      </c>
      <c r="AX27" s="1918" t="str">
        <f t="shared" si="38"/>
        <v/>
      </c>
      <c r="AY27" s="1919" t="str">
        <f t="shared" si="38"/>
        <v/>
      </c>
      <c r="AZ27" s="1920" t="str">
        <f t="shared" si="39"/>
        <v/>
      </c>
      <c r="BA27" s="1910" t="str">
        <f t="shared" si="40"/>
        <v/>
      </c>
      <c r="BB27" s="1918" t="str">
        <f t="shared" si="41"/>
        <v/>
      </c>
      <c r="BC27" s="1919" t="str">
        <f t="shared" si="41"/>
        <v/>
      </c>
      <c r="BD27" s="1920" t="str">
        <f t="shared" si="42"/>
        <v/>
      </c>
      <c r="BE27" s="1910" t="str">
        <f t="shared" si="43"/>
        <v/>
      </c>
      <c r="BF27" s="1918" t="str">
        <f t="shared" si="44"/>
        <v/>
      </c>
      <c r="BG27" s="1919" t="str">
        <f t="shared" si="44"/>
        <v/>
      </c>
      <c r="BH27" s="322"/>
      <c r="BJ27" s="1258" t="str">
        <f t="shared" si="88"/>
        <v/>
      </c>
      <c r="BK27" s="1256" t="b">
        <f t="shared" si="45"/>
        <v>0</v>
      </c>
      <c r="BL27" s="1251" t="b">
        <v>0</v>
      </c>
      <c r="BM27" s="1251">
        <f t="shared" si="46"/>
        <v>0</v>
      </c>
      <c r="BN27" s="1251">
        <f t="shared" si="47"/>
        <v>0</v>
      </c>
      <c r="BO27" s="1251">
        <f t="shared" si="48"/>
        <v>0</v>
      </c>
      <c r="BP27" s="1251">
        <f t="shared" si="49"/>
        <v>0</v>
      </c>
      <c r="BQ27" s="1251">
        <f t="shared" si="50"/>
        <v>0</v>
      </c>
      <c r="BR27" s="1251" t="b">
        <f t="shared" si="51"/>
        <v>1</v>
      </c>
      <c r="BS27" s="1252">
        <f t="shared" si="52"/>
        <v>6</v>
      </c>
      <c r="BT27" s="1252" t="str">
        <f t="shared" si="53"/>
        <v>No</v>
      </c>
      <c r="BU27" s="1252">
        <f t="shared" si="54"/>
        <v>6</v>
      </c>
      <c r="BV27" s="1252" t="str">
        <f t="shared" si="55"/>
        <v>No</v>
      </c>
      <c r="BW27" s="1253">
        <f t="shared" ca="1" si="56"/>
        <v>0</v>
      </c>
      <c r="BX27" s="1254" t="str">
        <f t="shared" ca="1" si="57"/>
        <v/>
      </c>
      <c r="BY27" s="1254" t="b">
        <f t="shared" ca="1" si="58"/>
        <v>0</v>
      </c>
      <c r="BZ27" s="1253" t="b">
        <f t="shared" si="81"/>
        <v>0</v>
      </c>
      <c r="CB27" s="842"/>
      <c r="CC27" s="894"/>
      <c r="CD27" s="883"/>
      <c r="CE27" s="884"/>
      <c r="CF27" s="885"/>
      <c r="CG27" s="901"/>
      <c r="CH27" s="902"/>
      <c r="CI27" s="903"/>
      <c r="CJ27" s="902"/>
      <c r="CK27" s="903"/>
      <c r="CL27" s="904"/>
      <c r="CM27" s="944"/>
      <c r="CN27" s="901"/>
      <c r="CO27" s="902"/>
      <c r="CP27" s="903"/>
      <c r="CQ27" s="902"/>
      <c r="CR27" s="903"/>
      <c r="CS27" s="904"/>
      <c r="CT27" s="944"/>
      <c r="CU27" s="906"/>
      <c r="CV27" s="886"/>
      <c r="CW27" s="887"/>
      <c r="CX27" s="915"/>
      <c r="CY27" s="916"/>
      <c r="CZ27" s="932"/>
      <c r="DA27" s="933"/>
      <c r="DB27" s="932"/>
      <c r="DC27" s="933"/>
      <c r="DD27" s="1149"/>
      <c r="DE27" s="1150"/>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30" t="str">
        <f t="shared" si="62"/>
        <v/>
      </c>
      <c r="EP27" s="726" t="str">
        <f t="shared" si="63"/>
        <v/>
      </c>
      <c r="EQ27" s="727" t="str">
        <f t="shared" si="64"/>
        <v/>
      </c>
      <c r="ER27" s="961" t="str">
        <f t="shared" si="65"/>
        <v/>
      </c>
      <c r="ES27" s="962" t="str">
        <f t="shared" si="82"/>
        <v/>
      </c>
      <c r="ET27" s="963" t="str">
        <f t="shared" si="66"/>
        <v/>
      </c>
      <c r="EU27" s="964" t="str">
        <f t="shared" si="67"/>
        <v/>
      </c>
      <c r="EX27" s="1194" t="str">
        <f t="shared" ca="1" si="83"/>
        <v/>
      </c>
      <c r="EY27" s="1196" t="str">
        <f t="shared" si="68"/>
        <v/>
      </c>
      <c r="EZ27" s="1196" t="str">
        <f t="shared" si="84"/>
        <v/>
      </c>
      <c r="FA27" s="1217" t="str">
        <f t="shared" ca="1" si="89"/>
        <v/>
      </c>
      <c r="FB27" s="1218" t="str">
        <f t="shared" ca="1" si="85"/>
        <v/>
      </c>
      <c r="FC27" s="1218">
        <f t="shared" ca="1" si="69"/>
        <v>0</v>
      </c>
      <c r="FD27" s="1218">
        <f t="shared" ca="1" si="70"/>
        <v>0</v>
      </c>
      <c r="FE27" s="1218">
        <f t="shared" ca="1" si="71"/>
        <v>0</v>
      </c>
      <c r="FF27" s="1218">
        <f t="shared" ca="1" si="86"/>
        <v>0</v>
      </c>
      <c r="FN27" s="969" t="b">
        <v>0</v>
      </c>
      <c r="FO27" s="969" t="b">
        <f t="shared" si="72"/>
        <v>1</v>
      </c>
      <c r="FP27" s="969" t="b">
        <v>0</v>
      </c>
      <c r="FQ27" s="969" t="b">
        <f t="shared" si="87"/>
        <v>1</v>
      </c>
      <c r="FW27" s="2"/>
      <c r="FX27" s="2"/>
      <c r="FZ27" s="2"/>
      <c r="GA27" s="1935" t="str">
        <f t="shared" si="73"/>
        <v/>
      </c>
      <c r="GB27" s="1936" t="str">
        <f t="shared" si="74"/>
        <v/>
      </c>
      <c r="GC27" s="1937" t="str">
        <f t="shared" si="75"/>
        <v/>
      </c>
      <c r="GD27" s="1938" t="str">
        <f t="shared" si="76"/>
        <v/>
      </c>
      <c r="GE27" s="1939" t="str">
        <f t="shared" si="77"/>
        <v/>
      </c>
      <c r="GF27" s="1940" t="str">
        <f t="shared" si="78"/>
        <v/>
      </c>
      <c r="GG27" s="1457"/>
      <c r="GH27" s="1459"/>
      <c r="GI27" s="1457"/>
      <c r="GJ27" s="1459"/>
      <c r="GK27" s="326">
        <f t="shared" si="79"/>
        <v>0</v>
      </c>
      <c r="GL27" s="326" t="e">
        <f t="shared" si="80"/>
        <v>#VALUE!</v>
      </c>
      <c r="GM27" s="327" t="e">
        <f>IF(ABS(GK27-GL27)&gt;='Job Info.'!$L$22,ABS(GK27-GL27),0)</f>
        <v>#VALUE!</v>
      </c>
      <c r="GZ27" s="183"/>
      <c r="HA27" s="1612"/>
      <c r="HB27" s="1613"/>
      <c r="HC27" s="1613"/>
      <c r="HD27" s="1614"/>
      <c r="HE27" s="1615"/>
      <c r="HF27" s="1613"/>
      <c r="HG27" s="1613"/>
      <c r="HH27" s="1613"/>
      <c r="HI27" s="1613"/>
      <c r="HJ27" s="1613"/>
      <c r="HK27" s="1613"/>
      <c r="HL27" s="1613"/>
      <c r="HM27" s="1613"/>
      <c r="HN27" s="1613"/>
      <c r="HO27" s="1613"/>
      <c r="HP27" s="1613"/>
      <c r="HQ27" s="1613"/>
      <c r="HR27" s="1613"/>
      <c r="HS27" s="1613"/>
      <c r="HT27" s="1613"/>
      <c r="HU27" s="1613"/>
      <c r="HV27" s="1613"/>
      <c r="HW27" s="1613"/>
      <c r="HX27" s="1613"/>
      <c r="HY27" s="1617"/>
      <c r="HZ27" s="1617"/>
      <c r="IA27" s="1617"/>
      <c r="IB27" s="1617"/>
      <c r="IC27" s="1617"/>
      <c r="ID27" s="1632"/>
      <c r="IE27" s="1612"/>
      <c r="IF27" s="1613"/>
      <c r="IG27" s="1614"/>
      <c r="IH27" s="1615"/>
      <c r="II27" s="1613"/>
      <c r="IJ27" s="1614"/>
      <c r="IK27" s="1615"/>
      <c r="IL27" s="1613"/>
      <c r="IM27" s="1613"/>
      <c r="IN27" s="1613"/>
      <c r="IO27" s="1613"/>
      <c r="IP27" s="1613"/>
      <c r="IQ27" s="1613"/>
      <c r="IR27" s="1613"/>
      <c r="IS27" s="1614"/>
      <c r="IT27" s="1615"/>
      <c r="IU27" s="1613"/>
      <c r="IV27" s="1613"/>
      <c r="IW27" s="1614"/>
      <c r="IX27" s="1615"/>
      <c r="IY27" s="1613"/>
      <c r="IZ27" s="1613"/>
      <c r="JA27" s="1614"/>
      <c r="JB27" s="1615"/>
      <c r="JC27" s="1613"/>
      <c r="JD27" s="1613"/>
      <c r="JE27" s="1614"/>
      <c r="JF27" s="1615"/>
      <c r="JG27" s="1613"/>
      <c r="JH27" s="1613"/>
      <c r="JI27" s="1613"/>
      <c r="JJ27" s="1616"/>
      <c r="JK27" s="1613"/>
      <c r="JL27" s="1521">
        <f t="shared" ca="1" si="90"/>
        <v>0</v>
      </c>
    </row>
    <row r="28" spans="1:272" ht="12.6" customHeight="1" x14ac:dyDescent="0.3">
      <c r="A28" s="1861" t="str">
        <f t="shared" si="0"/>
        <v/>
      </c>
      <c r="B28" s="1862" t="str">
        <f t="shared" si="0"/>
        <v/>
      </c>
      <c r="C28" s="1863" t="str">
        <f t="shared" si="0"/>
        <v/>
      </c>
      <c r="D28" s="1864" t="str">
        <f t="shared" si="1"/>
        <v/>
      </c>
      <c r="E28" s="1865" t="str">
        <f t="shared" si="2"/>
        <v/>
      </c>
      <c r="F28" s="1866" t="str">
        <f t="shared" si="3"/>
        <v/>
      </c>
      <c r="G28" s="1867" t="str">
        <f t="shared" si="4"/>
        <v/>
      </c>
      <c r="H28" s="1868" t="str">
        <f t="shared" si="5"/>
        <v/>
      </c>
      <c r="I28" s="1869" t="str">
        <f t="shared" si="6"/>
        <v/>
      </c>
      <c r="J28" s="1864" t="str">
        <f t="shared" si="7"/>
        <v/>
      </c>
      <c r="K28" s="1868" t="str">
        <f t="shared" si="8"/>
        <v/>
      </c>
      <c r="L28" s="1870" t="str">
        <f t="shared" si="9"/>
        <v/>
      </c>
      <c r="M28" s="1871" t="str">
        <f t="shared" si="10"/>
        <v/>
      </c>
      <c r="N28" s="1872" t="str">
        <f t="shared" si="10"/>
        <v/>
      </c>
      <c r="O28" s="1867" t="str">
        <f t="shared" si="11"/>
        <v/>
      </c>
      <c r="P28" s="1868" t="str">
        <f t="shared" si="12"/>
        <v/>
      </c>
      <c r="Q28" s="1864" t="str">
        <f t="shared" si="13"/>
        <v/>
      </c>
      <c r="R28" s="1865" t="str">
        <f t="shared" si="14"/>
        <v/>
      </c>
      <c r="S28" s="1873" t="str">
        <f t="shared" si="15"/>
        <v/>
      </c>
      <c r="T28" s="1868" t="str">
        <f t="shared" si="16"/>
        <v/>
      </c>
      <c r="U28" s="1864" t="str">
        <f t="shared" si="17"/>
        <v/>
      </c>
      <c r="V28" s="1868" t="str">
        <f t="shared" si="18"/>
        <v/>
      </c>
      <c r="W28" s="1872">
        <f t="shared" si="19"/>
        <v>0</v>
      </c>
      <c r="X28" s="1874" t="str">
        <f t="shared" si="20"/>
        <v/>
      </c>
      <c r="Y28" s="1875" t="str">
        <f t="shared" si="21"/>
        <v/>
      </c>
      <c r="Z28" s="1941"/>
      <c r="AA28" s="1960" t="str">
        <f t="shared" si="22"/>
        <v/>
      </c>
      <c r="AB28" s="1471" t="str">
        <f t="shared" si="23"/>
        <v/>
      </c>
      <c r="AC28" s="1908" t="str">
        <f t="shared" si="23"/>
        <v/>
      </c>
      <c r="AD28" s="1909" t="str">
        <f t="shared" ca="1" si="24"/>
        <v/>
      </c>
      <c r="AE28" s="1910" t="str">
        <f t="shared" ca="1" si="25"/>
        <v/>
      </c>
      <c r="AF28" s="1908" t="str">
        <f t="shared" ca="1" si="26"/>
        <v/>
      </c>
      <c r="AG28" s="1909" t="str">
        <f t="shared" ca="1" si="27"/>
        <v/>
      </c>
      <c r="AH28" s="1910" t="str">
        <f t="shared" ca="1" si="28"/>
        <v/>
      </c>
      <c r="AI28" s="1909" t="str">
        <f t="shared" ca="1" si="29"/>
        <v/>
      </c>
      <c r="AJ28" s="1910" t="str">
        <f t="shared" ca="1" si="30"/>
        <v/>
      </c>
      <c r="AK28" s="1911" t="str">
        <f t="shared" si="31"/>
        <v/>
      </c>
      <c r="AL28" s="1912" t="str">
        <f t="shared" si="31"/>
        <v/>
      </c>
      <c r="AM28" s="1913" t="str">
        <f t="shared" si="31"/>
        <v/>
      </c>
      <c r="AN28" s="1908" t="str">
        <f t="shared" si="31"/>
        <v/>
      </c>
      <c r="AO28" s="1961" t="str">
        <f t="shared" si="31"/>
        <v/>
      </c>
      <c r="AP28" s="1915" t="str">
        <f t="shared" si="32"/>
        <v/>
      </c>
      <c r="AQ28" s="1916" t="str">
        <f t="shared" si="32"/>
        <v/>
      </c>
      <c r="AR28" s="1917" t="str">
        <f t="shared" si="33"/>
        <v/>
      </c>
      <c r="AS28" s="1910" t="str">
        <f t="shared" si="34"/>
        <v/>
      </c>
      <c r="AT28" s="1918" t="str">
        <f t="shared" si="35"/>
        <v/>
      </c>
      <c r="AU28" s="1919" t="str">
        <f t="shared" si="35"/>
        <v/>
      </c>
      <c r="AV28" s="1920" t="str">
        <f t="shared" si="36"/>
        <v/>
      </c>
      <c r="AW28" s="1910" t="str">
        <f t="shared" si="37"/>
        <v/>
      </c>
      <c r="AX28" s="1918" t="str">
        <f t="shared" si="38"/>
        <v/>
      </c>
      <c r="AY28" s="1919" t="str">
        <f t="shared" si="38"/>
        <v/>
      </c>
      <c r="AZ28" s="1920" t="str">
        <f t="shared" si="39"/>
        <v/>
      </c>
      <c r="BA28" s="1910" t="str">
        <f t="shared" si="40"/>
        <v/>
      </c>
      <c r="BB28" s="1918" t="str">
        <f t="shared" si="41"/>
        <v/>
      </c>
      <c r="BC28" s="1919" t="str">
        <f t="shared" si="41"/>
        <v/>
      </c>
      <c r="BD28" s="1920" t="str">
        <f t="shared" si="42"/>
        <v/>
      </c>
      <c r="BE28" s="1910" t="str">
        <f t="shared" si="43"/>
        <v/>
      </c>
      <c r="BF28" s="1918" t="str">
        <f t="shared" si="44"/>
        <v/>
      </c>
      <c r="BG28" s="1919" t="str">
        <f t="shared" si="44"/>
        <v/>
      </c>
      <c r="BH28" s="322"/>
      <c r="BJ28" s="1258" t="str">
        <f t="shared" si="88"/>
        <v/>
      </c>
      <c r="BK28" s="1256" t="b">
        <f t="shared" si="45"/>
        <v>0</v>
      </c>
      <c r="BL28" s="1251" t="b">
        <v>0</v>
      </c>
      <c r="BM28" s="1251">
        <f t="shared" si="46"/>
        <v>0</v>
      </c>
      <c r="BN28" s="1251">
        <f t="shared" si="47"/>
        <v>0</v>
      </c>
      <c r="BO28" s="1251">
        <f t="shared" si="48"/>
        <v>0</v>
      </c>
      <c r="BP28" s="1251">
        <f t="shared" si="49"/>
        <v>0</v>
      </c>
      <c r="BQ28" s="1251">
        <f t="shared" si="50"/>
        <v>0</v>
      </c>
      <c r="BR28" s="1251" t="b">
        <f t="shared" si="51"/>
        <v>1</v>
      </c>
      <c r="BS28" s="1252">
        <f t="shared" si="52"/>
        <v>6</v>
      </c>
      <c r="BT28" s="1252" t="str">
        <f t="shared" si="53"/>
        <v>No</v>
      </c>
      <c r="BU28" s="1252">
        <f t="shared" si="54"/>
        <v>6</v>
      </c>
      <c r="BV28" s="1252" t="str">
        <f t="shared" si="55"/>
        <v>No</v>
      </c>
      <c r="BW28" s="1253">
        <f t="shared" ca="1" si="56"/>
        <v>0</v>
      </c>
      <c r="BX28" s="1254" t="str">
        <f t="shared" ca="1" si="57"/>
        <v/>
      </c>
      <c r="BY28" s="1254" t="b">
        <f t="shared" ca="1" si="58"/>
        <v>0</v>
      </c>
      <c r="BZ28" s="1253" t="b">
        <f t="shared" si="81"/>
        <v>0</v>
      </c>
      <c r="CB28" s="842"/>
      <c r="CC28" s="894"/>
      <c r="CD28" s="883"/>
      <c r="CE28" s="884"/>
      <c r="CF28" s="885"/>
      <c r="CG28" s="901"/>
      <c r="CH28" s="902"/>
      <c r="CI28" s="903"/>
      <c r="CJ28" s="902"/>
      <c r="CK28" s="903"/>
      <c r="CL28" s="904"/>
      <c r="CM28" s="944"/>
      <c r="CN28" s="901"/>
      <c r="CO28" s="902"/>
      <c r="CP28" s="903"/>
      <c r="CQ28" s="902"/>
      <c r="CR28" s="903"/>
      <c r="CS28" s="904"/>
      <c r="CT28" s="944"/>
      <c r="CU28" s="906"/>
      <c r="CV28" s="886"/>
      <c r="CW28" s="887"/>
      <c r="CX28" s="915"/>
      <c r="CY28" s="916"/>
      <c r="CZ28" s="932"/>
      <c r="DA28" s="933"/>
      <c r="DB28" s="932"/>
      <c r="DC28" s="933"/>
      <c r="DD28" s="1149"/>
      <c r="DE28" s="1150"/>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30" t="str">
        <f t="shared" si="62"/>
        <v/>
      </c>
      <c r="EP28" s="726" t="str">
        <f t="shared" si="63"/>
        <v/>
      </c>
      <c r="EQ28" s="727" t="str">
        <f t="shared" si="64"/>
        <v/>
      </c>
      <c r="ER28" s="961" t="str">
        <f t="shared" si="65"/>
        <v/>
      </c>
      <c r="ES28" s="962" t="str">
        <f t="shared" si="82"/>
        <v/>
      </c>
      <c r="ET28" s="963" t="str">
        <f t="shared" si="66"/>
        <v/>
      </c>
      <c r="EU28" s="964" t="str">
        <f t="shared" si="67"/>
        <v/>
      </c>
      <c r="EX28" s="1194" t="str">
        <f t="shared" ca="1" si="83"/>
        <v/>
      </c>
      <c r="EY28" s="1196" t="str">
        <f t="shared" si="68"/>
        <v/>
      </c>
      <c r="EZ28" s="1196" t="str">
        <f t="shared" si="84"/>
        <v/>
      </c>
      <c r="FA28" s="1217" t="str">
        <f t="shared" ca="1" si="89"/>
        <v/>
      </c>
      <c r="FB28" s="1218" t="str">
        <f t="shared" ca="1" si="85"/>
        <v/>
      </c>
      <c r="FC28" s="1218">
        <f t="shared" ca="1" si="69"/>
        <v>0</v>
      </c>
      <c r="FD28" s="1218">
        <f t="shared" ca="1" si="70"/>
        <v>0</v>
      </c>
      <c r="FE28" s="1218">
        <f t="shared" ca="1" si="71"/>
        <v>0</v>
      </c>
      <c r="FF28" s="1218">
        <f t="shared" ca="1" si="86"/>
        <v>0</v>
      </c>
      <c r="FN28" s="969" t="b">
        <v>0</v>
      </c>
      <c r="FO28" s="969" t="b">
        <f t="shared" si="72"/>
        <v>1</v>
      </c>
      <c r="FP28" s="969" t="b">
        <v>0</v>
      </c>
      <c r="FQ28" s="969" t="b">
        <f t="shared" si="87"/>
        <v>1</v>
      </c>
      <c r="FW28" s="2"/>
      <c r="FX28" s="2"/>
      <c r="FZ28" s="2"/>
      <c r="GA28" s="1935" t="str">
        <f t="shared" si="73"/>
        <v/>
      </c>
      <c r="GB28" s="1936" t="str">
        <f t="shared" si="74"/>
        <v/>
      </c>
      <c r="GC28" s="1937" t="str">
        <f t="shared" si="75"/>
        <v/>
      </c>
      <c r="GD28" s="1938" t="str">
        <f t="shared" si="76"/>
        <v/>
      </c>
      <c r="GE28" s="1939" t="str">
        <f t="shared" si="77"/>
        <v/>
      </c>
      <c r="GF28" s="1940" t="str">
        <f t="shared" si="78"/>
        <v/>
      </c>
      <c r="GG28" s="1457"/>
      <c r="GH28" s="1459"/>
      <c r="GI28" s="1457"/>
      <c r="GJ28" s="1459"/>
      <c r="GK28" s="326">
        <f t="shared" si="79"/>
        <v>0</v>
      </c>
      <c r="GL28" s="326" t="e">
        <f t="shared" si="80"/>
        <v>#VALUE!</v>
      </c>
      <c r="GM28" s="327" t="e">
        <f>IF(ABS(GK28-GL28)&gt;='Job Info.'!$L$22,ABS(GK28-GL28),0)</f>
        <v>#VALUE!</v>
      </c>
      <c r="GZ28" s="179"/>
      <c r="HA28" s="1612"/>
      <c r="HB28" s="1613"/>
      <c r="HC28" s="1613"/>
      <c r="HD28" s="1614"/>
      <c r="HE28" s="1615"/>
      <c r="HF28" s="1613"/>
      <c r="HG28" s="1613"/>
      <c r="HH28" s="1613"/>
      <c r="HI28" s="1613"/>
      <c r="HJ28" s="1613"/>
      <c r="HK28" s="1613"/>
      <c r="HL28" s="1613"/>
      <c r="HM28" s="1613"/>
      <c r="HN28" s="1613"/>
      <c r="HO28" s="1613"/>
      <c r="HP28" s="1613"/>
      <c r="HQ28" s="1613"/>
      <c r="HR28" s="1613"/>
      <c r="HS28" s="1613"/>
      <c r="HT28" s="1613"/>
      <c r="HU28" s="1613"/>
      <c r="HV28" s="1613"/>
      <c r="HW28" s="1613"/>
      <c r="HX28" s="1613"/>
      <c r="HY28" s="1617"/>
      <c r="HZ28" s="1617"/>
      <c r="IA28" s="1617"/>
      <c r="IB28" s="1617"/>
      <c r="IC28" s="1617"/>
      <c r="ID28" s="1632"/>
      <c r="IE28" s="1612"/>
      <c r="IF28" s="1613"/>
      <c r="IG28" s="1614"/>
      <c r="IH28" s="1615"/>
      <c r="II28" s="1613"/>
      <c r="IJ28" s="1614"/>
      <c r="IK28" s="1615"/>
      <c r="IL28" s="1613"/>
      <c r="IM28" s="1613"/>
      <c r="IN28" s="1613"/>
      <c r="IO28" s="1613"/>
      <c r="IP28" s="1613"/>
      <c r="IQ28" s="1613"/>
      <c r="IR28" s="1613"/>
      <c r="IS28" s="1614"/>
      <c r="IT28" s="1615"/>
      <c r="IU28" s="1613"/>
      <c r="IV28" s="1613"/>
      <c r="IW28" s="1614"/>
      <c r="IX28" s="1615"/>
      <c r="IY28" s="1613"/>
      <c r="IZ28" s="1613"/>
      <c r="JA28" s="1614"/>
      <c r="JB28" s="1615"/>
      <c r="JC28" s="1613"/>
      <c r="JD28" s="1613"/>
      <c r="JE28" s="1614"/>
      <c r="JF28" s="1615"/>
      <c r="JG28" s="1613"/>
      <c r="JH28" s="1613"/>
      <c r="JI28" s="1613"/>
      <c r="JJ28" s="1616"/>
      <c r="JK28" s="1613"/>
      <c r="JL28" s="1521">
        <f t="shared" ca="1" si="90"/>
        <v>0</v>
      </c>
    </row>
    <row r="29" spans="1:272" ht="12.6" customHeight="1" x14ac:dyDescent="0.25">
      <c r="A29" s="1861" t="str">
        <f t="shared" si="0"/>
        <v/>
      </c>
      <c r="B29" s="1862" t="str">
        <f t="shared" si="0"/>
        <v/>
      </c>
      <c r="C29" s="1863" t="str">
        <f t="shared" si="0"/>
        <v/>
      </c>
      <c r="D29" s="1864" t="str">
        <f t="shared" si="1"/>
        <v/>
      </c>
      <c r="E29" s="1865" t="str">
        <f t="shared" si="2"/>
        <v/>
      </c>
      <c r="F29" s="1866" t="str">
        <f t="shared" si="3"/>
        <v/>
      </c>
      <c r="G29" s="1867" t="str">
        <f t="shared" si="4"/>
        <v/>
      </c>
      <c r="H29" s="1868" t="str">
        <f t="shared" si="5"/>
        <v/>
      </c>
      <c r="I29" s="1869" t="str">
        <f t="shared" si="6"/>
        <v/>
      </c>
      <c r="J29" s="1864" t="str">
        <f t="shared" si="7"/>
        <v/>
      </c>
      <c r="K29" s="1868" t="str">
        <f t="shared" si="8"/>
        <v/>
      </c>
      <c r="L29" s="1870" t="str">
        <f t="shared" si="9"/>
        <v/>
      </c>
      <c r="M29" s="1871" t="str">
        <f t="shared" si="10"/>
        <v/>
      </c>
      <c r="N29" s="1872" t="str">
        <f t="shared" si="10"/>
        <v/>
      </c>
      <c r="O29" s="1867" t="str">
        <f t="shared" si="11"/>
        <v/>
      </c>
      <c r="P29" s="1868" t="str">
        <f t="shared" si="12"/>
        <v/>
      </c>
      <c r="Q29" s="1864" t="str">
        <f t="shared" si="13"/>
        <v/>
      </c>
      <c r="R29" s="1865" t="str">
        <f t="shared" si="14"/>
        <v/>
      </c>
      <c r="S29" s="1873" t="str">
        <f t="shared" si="15"/>
        <v/>
      </c>
      <c r="T29" s="1868" t="str">
        <f t="shared" si="16"/>
        <v/>
      </c>
      <c r="U29" s="1864" t="str">
        <f t="shared" si="17"/>
        <v/>
      </c>
      <c r="V29" s="1868" t="str">
        <f t="shared" si="18"/>
        <v/>
      </c>
      <c r="W29" s="1872">
        <f t="shared" si="19"/>
        <v>0</v>
      </c>
      <c r="X29" s="1874" t="str">
        <f t="shared" si="20"/>
        <v/>
      </c>
      <c r="Y29" s="1875" t="str">
        <f t="shared" si="21"/>
        <v/>
      </c>
      <c r="Z29" s="1941"/>
      <c r="AA29" s="1960" t="str">
        <f t="shared" si="22"/>
        <v/>
      </c>
      <c r="AB29" s="1471" t="str">
        <f t="shared" si="23"/>
        <v/>
      </c>
      <c r="AC29" s="1908" t="str">
        <f t="shared" si="23"/>
        <v/>
      </c>
      <c r="AD29" s="1909" t="str">
        <f t="shared" ca="1" si="24"/>
        <v/>
      </c>
      <c r="AE29" s="1910" t="str">
        <f t="shared" ca="1" si="25"/>
        <v/>
      </c>
      <c r="AF29" s="1908" t="str">
        <f t="shared" ca="1" si="26"/>
        <v/>
      </c>
      <c r="AG29" s="1909" t="str">
        <f t="shared" ca="1" si="27"/>
        <v/>
      </c>
      <c r="AH29" s="1910" t="str">
        <f t="shared" ca="1" si="28"/>
        <v/>
      </c>
      <c r="AI29" s="1909" t="str">
        <f t="shared" ca="1" si="29"/>
        <v/>
      </c>
      <c r="AJ29" s="1910" t="str">
        <f t="shared" ca="1" si="30"/>
        <v/>
      </c>
      <c r="AK29" s="1911" t="str">
        <f t="shared" si="31"/>
        <v/>
      </c>
      <c r="AL29" s="1912" t="str">
        <f t="shared" si="31"/>
        <v/>
      </c>
      <c r="AM29" s="1913" t="str">
        <f t="shared" si="31"/>
        <v/>
      </c>
      <c r="AN29" s="1908" t="str">
        <f t="shared" si="31"/>
        <v/>
      </c>
      <c r="AO29" s="1961" t="str">
        <f t="shared" si="31"/>
        <v/>
      </c>
      <c r="AP29" s="1915" t="str">
        <f t="shared" si="32"/>
        <v/>
      </c>
      <c r="AQ29" s="1916" t="str">
        <f t="shared" si="32"/>
        <v/>
      </c>
      <c r="AR29" s="1917" t="str">
        <f t="shared" si="33"/>
        <v/>
      </c>
      <c r="AS29" s="1910" t="str">
        <f t="shared" si="34"/>
        <v/>
      </c>
      <c r="AT29" s="1918" t="str">
        <f t="shared" si="35"/>
        <v/>
      </c>
      <c r="AU29" s="1919" t="str">
        <f t="shared" si="35"/>
        <v/>
      </c>
      <c r="AV29" s="1920" t="str">
        <f t="shared" si="36"/>
        <v/>
      </c>
      <c r="AW29" s="1910" t="str">
        <f t="shared" si="37"/>
        <v/>
      </c>
      <c r="AX29" s="1918" t="str">
        <f t="shared" si="38"/>
        <v/>
      </c>
      <c r="AY29" s="1919" t="str">
        <f t="shared" si="38"/>
        <v/>
      </c>
      <c r="AZ29" s="1920" t="str">
        <f t="shared" si="39"/>
        <v/>
      </c>
      <c r="BA29" s="1910" t="str">
        <f t="shared" si="40"/>
        <v/>
      </c>
      <c r="BB29" s="1918" t="str">
        <f t="shared" si="41"/>
        <v/>
      </c>
      <c r="BC29" s="1919" t="str">
        <f t="shared" si="41"/>
        <v/>
      </c>
      <c r="BD29" s="1920" t="str">
        <f t="shared" si="42"/>
        <v/>
      </c>
      <c r="BE29" s="1910" t="str">
        <f t="shared" si="43"/>
        <v/>
      </c>
      <c r="BF29" s="1918" t="str">
        <f t="shared" si="44"/>
        <v/>
      </c>
      <c r="BG29" s="1919" t="str">
        <f t="shared" si="44"/>
        <v/>
      </c>
      <c r="BH29" s="322"/>
      <c r="BJ29" s="1258" t="str">
        <f t="shared" si="88"/>
        <v/>
      </c>
      <c r="BK29" s="1256" t="b">
        <f t="shared" si="45"/>
        <v>0</v>
      </c>
      <c r="BL29" s="1251" t="b">
        <v>0</v>
      </c>
      <c r="BM29" s="1251">
        <f t="shared" si="46"/>
        <v>0</v>
      </c>
      <c r="BN29" s="1251">
        <f t="shared" si="47"/>
        <v>0</v>
      </c>
      <c r="BO29" s="1251">
        <f t="shared" si="48"/>
        <v>0</v>
      </c>
      <c r="BP29" s="1251">
        <f t="shared" si="49"/>
        <v>0</v>
      </c>
      <c r="BQ29" s="1251">
        <f t="shared" si="50"/>
        <v>0</v>
      </c>
      <c r="BR29" s="1251" t="b">
        <f t="shared" si="51"/>
        <v>1</v>
      </c>
      <c r="BS29" s="1252">
        <f t="shared" si="52"/>
        <v>6</v>
      </c>
      <c r="BT29" s="1252" t="str">
        <f t="shared" si="53"/>
        <v>No</v>
      </c>
      <c r="BU29" s="1252">
        <f t="shared" si="54"/>
        <v>6</v>
      </c>
      <c r="BV29" s="1252" t="str">
        <f t="shared" si="55"/>
        <v>No</v>
      </c>
      <c r="BW29" s="1253">
        <f t="shared" ca="1" si="56"/>
        <v>0</v>
      </c>
      <c r="BX29" s="1254" t="str">
        <f t="shared" ca="1" si="57"/>
        <v/>
      </c>
      <c r="BY29" s="1254" t="b">
        <f t="shared" ca="1" si="58"/>
        <v>0</v>
      </c>
      <c r="BZ29" s="1253" t="b">
        <f t="shared" si="81"/>
        <v>0</v>
      </c>
      <c r="CB29" s="842"/>
      <c r="CC29" s="894"/>
      <c r="CD29" s="883"/>
      <c r="CE29" s="884"/>
      <c r="CF29" s="885"/>
      <c r="CG29" s="901"/>
      <c r="CH29" s="902"/>
      <c r="CI29" s="903"/>
      <c r="CJ29" s="902"/>
      <c r="CK29" s="903"/>
      <c r="CL29" s="904"/>
      <c r="CM29" s="944"/>
      <c r="CN29" s="901"/>
      <c r="CO29" s="902"/>
      <c r="CP29" s="903"/>
      <c r="CQ29" s="902"/>
      <c r="CR29" s="903"/>
      <c r="CS29" s="904"/>
      <c r="CT29" s="944"/>
      <c r="CU29" s="906"/>
      <c r="CV29" s="886"/>
      <c r="CW29" s="887"/>
      <c r="CX29" s="915"/>
      <c r="CY29" s="916"/>
      <c r="CZ29" s="932"/>
      <c r="DA29" s="933"/>
      <c r="DB29" s="932"/>
      <c r="DC29" s="933"/>
      <c r="DD29" s="1149"/>
      <c r="DE29" s="1150"/>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30" t="str">
        <f t="shared" si="62"/>
        <v/>
      </c>
      <c r="EP29" s="726" t="str">
        <f t="shared" si="63"/>
        <v/>
      </c>
      <c r="EQ29" s="727" t="str">
        <f t="shared" si="64"/>
        <v/>
      </c>
      <c r="ER29" s="961" t="str">
        <f t="shared" si="65"/>
        <v/>
      </c>
      <c r="ES29" s="962" t="str">
        <f t="shared" si="82"/>
        <v/>
      </c>
      <c r="ET29" s="963" t="str">
        <f t="shared" si="66"/>
        <v/>
      </c>
      <c r="EU29" s="964" t="str">
        <f t="shared" si="67"/>
        <v/>
      </c>
      <c r="EX29" s="1194" t="str">
        <f t="shared" ca="1" si="83"/>
        <v/>
      </c>
      <c r="EY29" s="1196" t="str">
        <f t="shared" si="68"/>
        <v/>
      </c>
      <c r="EZ29" s="1196" t="str">
        <f t="shared" si="84"/>
        <v/>
      </c>
      <c r="FA29" s="1217" t="str">
        <f t="shared" ca="1" si="89"/>
        <v/>
      </c>
      <c r="FB29" s="1218" t="str">
        <f t="shared" ca="1" si="85"/>
        <v/>
      </c>
      <c r="FC29" s="1218">
        <f t="shared" ca="1" si="69"/>
        <v>0</v>
      </c>
      <c r="FD29" s="1218">
        <f t="shared" ca="1" si="70"/>
        <v>0</v>
      </c>
      <c r="FE29" s="1218">
        <f t="shared" ca="1" si="71"/>
        <v>0</v>
      </c>
      <c r="FF29" s="1218">
        <f t="shared" ca="1" si="86"/>
        <v>0</v>
      </c>
      <c r="FN29" s="969" t="b">
        <v>0</v>
      </c>
      <c r="FO29" s="969" t="b">
        <f t="shared" si="72"/>
        <v>1</v>
      </c>
      <c r="FP29" s="969" t="b">
        <v>0</v>
      </c>
      <c r="FQ29" s="969" t="b">
        <f t="shared" si="87"/>
        <v>1</v>
      </c>
      <c r="FW29" s="2"/>
      <c r="FX29" s="2"/>
      <c r="FZ29" s="2"/>
      <c r="GA29" s="1935" t="str">
        <f t="shared" si="73"/>
        <v/>
      </c>
      <c r="GB29" s="1936" t="str">
        <f t="shared" si="74"/>
        <v/>
      </c>
      <c r="GC29" s="1937" t="str">
        <f t="shared" si="75"/>
        <v/>
      </c>
      <c r="GD29" s="1938" t="str">
        <f t="shared" si="76"/>
        <v/>
      </c>
      <c r="GE29" s="1939" t="str">
        <f t="shared" si="77"/>
        <v/>
      </c>
      <c r="GF29" s="1940" t="str">
        <f t="shared" si="78"/>
        <v/>
      </c>
      <c r="GG29" s="1457"/>
      <c r="GH29" s="1459"/>
      <c r="GI29" s="1457"/>
      <c r="GJ29" s="1459"/>
      <c r="GK29" s="326">
        <f t="shared" si="79"/>
        <v>0</v>
      </c>
      <c r="GL29" s="326" t="e">
        <f t="shared" si="80"/>
        <v>#VALUE!</v>
      </c>
      <c r="GM29" s="327" t="e">
        <f>IF(ABS(GK29-GL29)&gt;='Job Info.'!$L$22,ABS(GK29-GL29),0)</f>
        <v>#VALUE!</v>
      </c>
      <c r="HA29" s="1612"/>
      <c r="HB29" s="1613"/>
      <c r="HC29" s="1613"/>
      <c r="HD29" s="1614"/>
      <c r="HE29" s="1615"/>
      <c r="HF29" s="1613"/>
      <c r="HG29" s="1613"/>
      <c r="HH29" s="1613"/>
      <c r="HI29" s="1613"/>
      <c r="HJ29" s="1613"/>
      <c r="HK29" s="1613"/>
      <c r="HL29" s="1613"/>
      <c r="HM29" s="1613"/>
      <c r="HN29" s="1613"/>
      <c r="HO29" s="1613"/>
      <c r="HP29" s="1613"/>
      <c r="HQ29" s="1613"/>
      <c r="HR29" s="1613"/>
      <c r="HS29" s="1613"/>
      <c r="HT29" s="1613"/>
      <c r="HU29" s="1613"/>
      <c r="HV29" s="1613"/>
      <c r="HW29" s="1613"/>
      <c r="HX29" s="1613"/>
      <c r="HY29" s="1617"/>
      <c r="HZ29" s="1617"/>
      <c r="IA29" s="1617"/>
      <c r="IB29" s="1617"/>
      <c r="IC29" s="1617"/>
      <c r="ID29" s="1632"/>
      <c r="IE29" s="1612"/>
      <c r="IF29" s="1613"/>
      <c r="IG29" s="1614"/>
      <c r="IH29" s="1615"/>
      <c r="II29" s="1613"/>
      <c r="IJ29" s="1614"/>
      <c r="IK29" s="1615"/>
      <c r="IL29" s="1613"/>
      <c r="IM29" s="1613"/>
      <c r="IN29" s="1613"/>
      <c r="IO29" s="1613"/>
      <c r="IP29" s="1613"/>
      <c r="IQ29" s="1613"/>
      <c r="IR29" s="1613"/>
      <c r="IS29" s="1614"/>
      <c r="IT29" s="1615"/>
      <c r="IU29" s="1613"/>
      <c r="IV29" s="1613"/>
      <c r="IW29" s="1614"/>
      <c r="IX29" s="1615"/>
      <c r="IY29" s="1613"/>
      <c r="IZ29" s="1613"/>
      <c r="JA29" s="1614"/>
      <c r="JB29" s="1615"/>
      <c r="JC29" s="1613"/>
      <c r="JD29" s="1613"/>
      <c r="JE29" s="1614"/>
      <c r="JF29" s="1615"/>
      <c r="JG29" s="1613"/>
      <c r="JH29" s="1613"/>
      <c r="JI29" s="1613"/>
      <c r="JJ29" s="1616"/>
      <c r="JK29" s="1613"/>
      <c r="JL29" s="1521">
        <f t="shared" ca="1" si="90"/>
        <v>0</v>
      </c>
    </row>
    <row r="30" spans="1:272" s="183" customFormat="1" ht="12.6" customHeight="1" x14ac:dyDescent="0.25">
      <c r="A30" s="1861" t="str">
        <f t="shared" si="0"/>
        <v/>
      </c>
      <c r="B30" s="1862" t="str">
        <f t="shared" si="0"/>
        <v/>
      </c>
      <c r="C30" s="1863" t="str">
        <f t="shared" si="0"/>
        <v/>
      </c>
      <c r="D30" s="1864" t="str">
        <f t="shared" si="1"/>
        <v/>
      </c>
      <c r="E30" s="1865" t="str">
        <f t="shared" si="2"/>
        <v/>
      </c>
      <c r="F30" s="1866" t="str">
        <f t="shared" si="3"/>
        <v/>
      </c>
      <c r="G30" s="1867" t="str">
        <f t="shared" si="4"/>
        <v/>
      </c>
      <c r="H30" s="1868" t="str">
        <f t="shared" si="5"/>
        <v/>
      </c>
      <c r="I30" s="1869" t="str">
        <f t="shared" si="6"/>
        <v/>
      </c>
      <c r="J30" s="1864" t="str">
        <f t="shared" si="7"/>
        <v/>
      </c>
      <c r="K30" s="1868" t="str">
        <f t="shared" si="8"/>
        <v/>
      </c>
      <c r="L30" s="1870" t="str">
        <f t="shared" si="9"/>
        <v/>
      </c>
      <c r="M30" s="1871" t="str">
        <f t="shared" si="10"/>
        <v/>
      </c>
      <c r="N30" s="1872" t="str">
        <f t="shared" si="10"/>
        <v/>
      </c>
      <c r="O30" s="1867" t="str">
        <f t="shared" si="11"/>
        <v/>
      </c>
      <c r="P30" s="1868" t="str">
        <f t="shared" si="12"/>
        <v/>
      </c>
      <c r="Q30" s="1864" t="str">
        <f t="shared" si="13"/>
        <v/>
      </c>
      <c r="R30" s="1865" t="str">
        <f t="shared" si="14"/>
        <v/>
      </c>
      <c r="S30" s="1873" t="str">
        <f t="shared" si="15"/>
        <v/>
      </c>
      <c r="T30" s="1868" t="str">
        <f t="shared" si="16"/>
        <v/>
      </c>
      <c r="U30" s="1864" t="str">
        <f t="shared" si="17"/>
        <v/>
      </c>
      <c r="V30" s="1868" t="str">
        <f t="shared" si="18"/>
        <v/>
      </c>
      <c r="W30" s="1872">
        <f t="shared" si="19"/>
        <v>0</v>
      </c>
      <c r="X30" s="1874" t="str">
        <f t="shared" si="20"/>
        <v/>
      </c>
      <c r="Y30" s="1875" t="str">
        <f t="shared" si="21"/>
        <v/>
      </c>
      <c r="Z30" s="1941"/>
      <c r="AA30" s="1960" t="str">
        <f t="shared" si="22"/>
        <v/>
      </c>
      <c r="AB30" s="1471" t="str">
        <f t="shared" si="23"/>
        <v/>
      </c>
      <c r="AC30" s="1908" t="str">
        <f t="shared" si="23"/>
        <v/>
      </c>
      <c r="AD30" s="1909" t="str">
        <f t="shared" ca="1" si="24"/>
        <v/>
      </c>
      <c r="AE30" s="1910" t="str">
        <f t="shared" ca="1" si="25"/>
        <v/>
      </c>
      <c r="AF30" s="1908" t="str">
        <f t="shared" ca="1" si="26"/>
        <v/>
      </c>
      <c r="AG30" s="1909" t="str">
        <f t="shared" ca="1" si="27"/>
        <v/>
      </c>
      <c r="AH30" s="1910" t="str">
        <f t="shared" ca="1" si="28"/>
        <v/>
      </c>
      <c r="AI30" s="1909" t="str">
        <f t="shared" ca="1" si="29"/>
        <v/>
      </c>
      <c r="AJ30" s="1910" t="str">
        <f t="shared" ca="1" si="30"/>
        <v/>
      </c>
      <c r="AK30" s="1911" t="str">
        <f t="shared" si="31"/>
        <v/>
      </c>
      <c r="AL30" s="1912" t="str">
        <f t="shared" si="31"/>
        <v/>
      </c>
      <c r="AM30" s="1913" t="str">
        <f t="shared" si="31"/>
        <v/>
      </c>
      <c r="AN30" s="1908" t="str">
        <f t="shared" si="31"/>
        <v/>
      </c>
      <c r="AO30" s="1961" t="str">
        <f t="shared" si="31"/>
        <v/>
      </c>
      <c r="AP30" s="1915" t="str">
        <f t="shared" si="32"/>
        <v/>
      </c>
      <c r="AQ30" s="1916" t="str">
        <f t="shared" si="32"/>
        <v/>
      </c>
      <c r="AR30" s="1917" t="str">
        <f t="shared" si="33"/>
        <v/>
      </c>
      <c r="AS30" s="1910" t="str">
        <f t="shared" si="34"/>
        <v/>
      </c>
      <c r="AT30" s="1918" t="str">
        <f t="shared" si="35"/>
        <v/>
      </c>
      <c r="AU30" s="1919" t="str">
        <f t="shared" si="35"/>
        <v/>
      </c>
      <c r="AV30" s="1920" t="str">
        <f t="shared" si="36"/>
        <v/>
      </c>
      <c r="AW30" s="1910" t="str">
        <f t="shared" si="37"/>
        <v/>
      </c>
      <c r="AX30" s="1918" t="str">
        <f t="shared" si="38"/>
        <v/>
      </c>
      <c r="AY30" s="1919" t="str">
        <f t="shared" si="38"/>
        <v/>
      </c>
      <c r="AZ30" s="1920" t="str">
        <f t="shared" si="39"/>
        <v/>
      </c>
      <c r="BA30" s="1910" t="str">
        <f t="shared" si="40"/>
        <v/>
      </c>
      <c r="BB30" s="1918" t="str">
        <f t="shared" si="41"/>
        <v/>
      </c>
      <c r="BC30" s="1919" t="str">
        <f t="shared" si="41"/>
        <v/>
      </c>
      <c r="BD30" s="1920" t="str">
        <f t="shared" si="42"/>
        <v/>
      </c>
      <c r="BE30" s="1910" t="str">
        <f t="shared" si="43"/>
        <v/>
      </c>
      <c r="BF30" s="1918" t="str">
        <f t="shared" si="44"/>
        <v/>
      </c>
      <c r="BG30" s="1919" t="str">
        <f t="shared" si="44"/>
        <v/>
      </c>
      <c r="BH30" s="322"/>
      <c r="BJ30" s="1258" t="str">
        <f t="shared" si="88"/>
        <v/>
      </c>
      <c r="BK30" s="1256" t="b">
        <f t="shared" si="45"/>
        <v>0</v>
      </c>
      <c r="BL30" s="1251" t="b">
        <v>0</v>
      </c>
      <c r="BM30" s="1251">
        <f t="shared" si="46"/>
        <v>0</v>
      </c>
      <c r="BN30" s="1251">
        <f t="shared" si="47"/>
        <v>0</v>
      </c>
      <c r="BO30" s="1251">
        <f t="shared" si="48"/>
        <v>0</v>
      </c>
      <c r="BP30" s="1251">
        <f t="shared" si="49"/>
        <v>0</v>
      </c>
      <c r="BQ30" s="1251">
        <f t="shared" si="50"/>
        <v>0</v>
      </c>
      <c r="BR30" s="1251" t="b">
        <f t="shared" si="51"/>
        <v>1</v>
      </c>
      <c r="BS30" s="1252">
        <f t="shared" si="52"/>
        <v>6</v>
      </c>
      <c r="BT30" s="1252" t="str">
        <f t="shared" si="53"/>
        <v>No</v>
      </c>
      <c r="BU30" s="1252">
        <f t="shared" si="54"/>
        <v>6</v>
      </c>
      <c r="BV30" s="1252" t="str">
        <f t="shared" si="55"/>
        <v>No</v>
      </c>
      <c r="BW30" s="1253">
        <f t="shared" ca="1" si="56"/>
        <v>0</v>
      </c>
      <c r="BX30" s="1254" t="str">
        <f t="shared" ca="1" si="57"/>
        <v/>
      </c>
      <c r="BY30" s="1254" t="b">
        <f t="shared" ca="1" si="58"/>
        <v>0</v>
      </c>
      <c r="BZ30" s="1253" t="b">
        <f t="shared" si="81"/>
        <v>0</v>
      </c>
      <c r="CB30" s="842"/>
      <c r="CC30" s="894"/>
      <c r="CD30" s="883"/>
      <c r="CE30" s="884"/>
      <c r="CF30" s="885"/>
      <c r="CG30" s="901"/>
      <c r="CH30" s="902"/>
      <c r="CI30" s="903"/>
      <c r="CJ30" s="902"/>
      <c r="CK30" s="903"/>
      <c r="CL30" s="904"/>
      <c r="CM30" s="944"/>
      <c r="CN30" s="901"/>
      <c r="CO30" s="902"/>
      <c r="CP30" s="903"/>
      <c r="CQ30" s="902"/>
      <c r="CR30" s="903"/>
      <c r="CS30" s="904"/>
      <c r="CT30" s="944"/>
      <c r="CU30" s="906"/>
      <c r="CV30" s="886"/>
      <c r="CW30" s="887"/>
      <c r="CX30" s="915"/>
      <c r="CY30" s="916"/>
      <c r="CZ30" s="932"/>
      <c r="DA30" s="933"/>
      <c r="DB30" s="932"/>
      <c r="DC30" s="933"/>
      <c r="DD30" s="1149"/>
      <c r="DE30" s="1150"/>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30" t="str">
        <f t="shared" si="62"/>
        <v/>
      </c>
      <c r="EP30" s="726" t="str">
        <f t="shared" si="63"/>
        <v/>
      </c>
      <c r="EQ30" s="727" t="str">
        <f t="shared" si="64"/>
        <v/>
      </c>
      <c r="ER30" s="961" t="str">
        <f t="shared" si="65"/>
        <v/>
      </c>
      <c r="ES30" s="962" t="str">
        <f t="shared" si="82"/>
        <v/>
      </c>
      <c r="ET30" s="963" t="str">
        <f t="shared" si="66"/>
        <v/>
      </c>
      <c r="EU30" s="964" t="str">
        <f t="shared" si="67"/>
        <v/>
      </c>
      <c r="EX30" s="1194" t="str">
        <f t="shared" ca="1" si="83"/>
        <v/>
      </c>
      <c r="EY30" s="1196" t="str">
        <f t="shared" si="68"/>
        <v/>
      </c>
      <c r="EZ30" s="1196" t="str">
        <f t="shared" si="84"/>
        <v/>
      </c>
      <c r="FA30" s="1217" t="str">
        <f t="shared" ca="1" si="89"/>
        <v/>
      </c>
      <c r="FB30" s="1218" t="str">
        <f t="shared" ca="1" si="85"/>
        <v/>
      </c>
      <c r="FC30" s="1218">
        <f t="shared" ca="1" si="69"/>
        <v>0</v>
      </c>
      <c r="FD30" s="1218">
        <f t="shared" ca="1" si="70"/>
        <v>0</v>
      </c>
      <c r="FE30" s="1218">
        <f t="shared" ca="1" si="71"/>
        <v>0</v>
      </c>
      <c r="FF30" s="1218">
        <f t="shared" ca="1" si="86"/>
        <v>0</v>
      </c>
      <c r="FN30" s="969" t="b">
        <v>0</v>
      </c>
      <c r="FO30" s="970" t="b">
        <f t="shared" si="72"/>
        <v>1</v>
      </c>
      <c r="FP30" s="970" t="b">
        <v>0</v>
      </c>
      <c r="FQ30" s="970" t="b">
        <f t="shared" si="87"/>
        <v>1</v>
      </c>
      <c r="FW30" s="2"/>
      <c r="FX30" s="2"/>
      <c r="FZ30" s="2"/>
      <c r="GA30" s="1935" t="str">
        <f t="shared" si="73"/>
        <v/>
      </c>
      <c r="GB30" s="1936" t="str">
        <f t="shared" si="74"/>
        <v/>
      </c>
      <c r="GC30" s="1937" t="str">
        <f t="shared" si="75"/>
        <v/>
      </c>
      <c r="GD30" s="1938" t="str">
        <f t="shared" si="76"/>
        <v/>
      </c>
      <c r="GE30" s="1939" t="str">
        <f t="shared" si="77"/>
        <v/>
      </c>
      <c r="GF30" s="1940" t="str">
        <f t="shared" si="78"/>
        <v/>
      </c>
      <c r="GG30" s="1457"/>
      <c r="GH30" s="1459"/>
      <c r="GI30" s="1457"/>
      <c r="GJ30" s="1459"/>
      <c r="GK30" s="326">
        <f t="shared" si="79"/>
        <v>0</v>
      </c>
      <c r="GL30" s="326" t="e">
        <f t="shared" si="80"/>
        <v>#VALUE!</v>
      </c>
      <c r="GM30" s="327" t="e">
        <f>IF(ABS(GK30-GL30)&gt;='Job Info.'!$L$22,ABS(GK30-GL30),0)</f>
        <v>#VALUE!</v>
      </c>
      <c r="GZ30" s="161"/>
      <c r="HA30" s="1612"/>
      <c r="HB30" s="1613"/>
      <c r="HC30" s="1613"/>
      <c r="HD30" s="1614"/>
      <c r="HE30" s="1615"/>
      <c r="HF30" s="1613"/>
      <c r="HG30" s="1613"/>
      <c r="HH30" s="1613"/>
      <c r="HI30" s="1613"/>
      <c r="HJ30" s="1613"/>
      <c r="HK30" s="1613"/>
      <c r="HL30" s="1613"/>
      <c r="HM30" s="1613"/>
      <c r="HN30" s="1613"/>
      <c r="HO30" s="1613"/>
      <c r="HP30" s="1613"/>
      <c r="HQ30" s="1613"/>
      <c r="HR30" s="1613"/>
      <c r="HS30" s="1613"/>
      <c r="HT30" s="1613"/>
      <c r="HU30" s="1613"/>
      <c r="HV30" s="1613"/>
      <c r="HW30" s="1613"/>
      <c r="HX30" s="1613"/>
      <c r="HY30" s="1617"/>
      <c r="HZ30" s="1617"/>
      <c r="IA30" s="1617"/>
      <c r="IB30" s="1617"/>
      <c r="IC30" s="1617"/>
      <c r="ID30" s="1632"/>
      <c r="IE30" s="1612"/>
      <c r="IF30" s="1613"/>
      <c r="IG30" s="1614"/>
      <c r="IH30" s="1615"/>
      <c r="II30" s="1613"/>
      <c r="IJ30" s="1614"/>
      <c r="IK30" s="1615"/>
      <c r="IL30" s="1613"/>
      <c r="IM30" s="1613"/>
      <c r="IN30" s="1613"/>
      <c r="IO30" s="1613"/>
      <c r="IP30" s="1613"/>
      <c r="IQ30" s="1613"/>
      <c r="IR30" s="1613"/>
      <c r="IS30" s="1614"/>
      <c r="IT30" s="1615"/>
      <c r="IU30" s="1613"/>
      <c r="IV30" s="1613"/>
      <c r="IW30" s="1614"/>
      <c r="IX30" s="1615"/>
      <c r="IY30" s="1613"/>
      <c r="IZ30" s="1613"/>
      <c r="JA30" s="1614"/>
      <c r="JB30" s="1615"/>
      <c r="JC30" s="1613"/>
      <c r="JD30" s="1613"/>
      <c r="JE30" s="1614"/>
      <c r="JF30" s="1615"/>
      <c r="JG30" s="1613"/>
      <c r="JH30" s="1613"/>
      <c r="JI30" s="1613"/>
      <c r="JJ30" s="1619"/>
      <c r="JK30" s="1613"/>
      <c r="JL30" s="1521">
        <f t="shared" ca="1" si="90"/>
        <v>0</v>
      </c>
    </row>
    <row r="31" spans="1:272" s="183" customFormat="1" ht="12.6" customHeight="1" x14ac:dyDescent="0.25">
      <c r="A31" s="1861" t="str">
        <f t="shared" si="0"/>
        <v/>
      </c>
      <c r="B31" s="1862" t="str">
        <f t="shared" si="0"/>
        <v/>
      </c>
      <c r="C31" s="1863" t="str">
        <f t="shared" si="0"/>
        <v/>
      </c>
      <c r="D31" s="1864" t="str">
        <f t="shared" si="1"/>
        <v/>
      </c>
      <c r="E31" s="1865" t="str">
        <f t="shared" si="2"/>
        <v/>
      </c>
      <c r="F31" s="1866" t="str">
        <f t="shared" si="3"/>
        <v/>
      </c>
      <c r="G31" s="1867" t="str">
        <f t="shared" si="4"/>
        <v/>
      </c>
      <c r="H31" s="1868" t="str">
        <f t="shared" si="5"/>
        <v/>
      </c>
      <c r="I31" s="1869" t="str">
        <f t="shared" si="6"/>
        <v/>
      </c>
      <c r="J31" s="1864" t="str">
        <f t="shared" si="7"/>
        <v/>
      </c>
      <c r="K31" s="1868" t="str">
        <f t="shared" si="8"/>
        <v/>
      </c>
      <c r="L31" s="1870" t="str">
        <f t="shared" si="9"/>
        <v/>
      </c>
      <c r="M31" s="1871" t="str">
        <f t="shared" si="10"/>
        <v/>
      </c>
      <c r="N31" s="1872" t="str">
        <f t="shared" si="10"/>
        <v/>
      </c>
      <c r="O31" s="1867" t="str">
        <f t="shared" si="11"/>
        <v/>
      </c>
      <c r="P31" s="1868" t="str">
        <f t="shared" si="12"/>
        <v/>
      </c>
      <c r="Q31" s="1864" t="str">
        <f t="shared" si="13"/>
        <v/>
      </c>
      <c r="R31" s="1865" t="str">
        <f t="shared" si="14"/>
        <v/>
      </c>
      <c r="S31" s="1873" t="str">
        <f t="shared" si="15"/>
        <v/>
      </c>
      <c r="T31" s="1868" t="str">
        <f t="shared" si="16"/>
        <v/>
      </c>
      <c r="U31" s="1864" t="str">
        <f t="shared" si="17"/>
        <v/>
      </c>
      <c r="V31" s="1868" t="str">
        <f t="shared" si="18"/>
        <v/>
      </c>
      <c r="W31" s="1872">
        <f t="shared" si="19"/>
        <v>0</v>
      </c>
      <c r="X31" s="1874" t="str">
        <f t="shared" si="20"/>
        <v/>
      </c>
      <c r="Y31" s="1875" t="str">
        <f t="shared" si="21"/>
        <v/>
      </c>
      <c r="Z31" s="1941"/>
      <c r="AA31" s="1960" t="str">
        <f t="shared" si="22"/>
        <v/>
      </c>
      <c r="AB31" s="1471" t="str">
        <f t="shared" si="23"/>
        <v/>
      </c>
      <c r="AC31" s="1908" t="str">
        <f t="shared" si="23"/>
        <v/>
      </c>
      <c r="AD31" s="1909" t="str">
        <f t="shared" ca="1" si="24"/>
        <v/>
      </c>
      <c r="AE31" s="1910" t="str">
        <f t="shared" ca="1" si="25"/>
        <v/>
      </c>
      <c r="AF31" s="1908" t="str">
        <f t="shared" ca="1" si="26"/>
        <v/>
      </c>
      <c r="AG31" s="1909" t="str">
        <f t="shared" ca="1" si="27"/>
        <v/>
      </c>
      <c r="AH31" s="1910" t="str">
        <f t="shared" ca="1" si="28"/>
        <v/>
      </c>
      <c r="AI31" s="1909" t="str">
        <f t="shared" ca="1" si="29"/>
        <v/>
      </c>
      <c r="AJ31" s="1910" t="str">
        <f t="shared" ca="1" si="30"/>
        <v/>
      </c>
      <c r="AK31" s="1911" t="str">
        <f t="shared" si="31"/>
        <v/>
      </c>
      <c r="AL31" s="1912" t="str">
        <f t="shared" si="31"/>
        <v/>
      </c>
      <c r="AM31" s="1913" t="str">
        <f t="shared" si="31"/>
        <v/>
      </c>
      <c r="AN31" s="1908" t="str">
        <f t="shared" si="31"/>
        <v/>
      </c>
      <c r="AO31" s="1961" t="str">
        <f t="shared" si="31"/>
        <v/>
      </c>
      <c r="AP31" s="1915" t="str">
        <f t="shared" si="32"/>
        <v/>
      </c>
      <c r="AQ31" s="1916" t="str">
        <f t="shared" si="32"/>
        <v/>
      </c>
      <c r="AR31" s="1917" t="str">
        <f t="shared" si="33"/>
        <v/>
      </c>
      <c r="AS31" s="1910" t="str">
        <f t="shared" si="34"/>
        <v/>
      </c>
      <c r="AT31" s="1918" t="str">
        <f t="shared" si="35"/>
        <v/>
      </c>
      <c r="AU31" s="1919" t="str">
        <f t="shared" si="35"/>
        <v/>
      </c>
      <c r="AV31" s="1920" t="str">
        <f t="shared" si="36"/>
        <v/>
      </c>
      <c r="AW31" s="1910" t="str">
        <f t="shared" si="37"/>
        <v/>
      </c>
      <c r="AX31" s="1918" t="str">
        <f t="shared" si="38"/>
        <v/>
      </c>
      <c r="AY31" s="1919" t="str">
        <f t="shared" si="38"/>
        <v/>
      </c>
      <c r="AZ31" s="1920" t="str">
        <f t="shared" si="39"/>
        <v/>
      </c>
      <c r="BA31" s="1910" t="str">
        <f t="shared" si="40"/>
        <v/>
      </c>
      <c r="BB31" s="1918" t="str">
        <f t="shared" si="41"/>
        <v/>
      </c>
      <c r="BC31" s="1919" t="str">
        <f t="shared" si="41"/>
        <v/>
      </c>
      <c r="BD31" s="1920" t="str">
        <f t="shared" si="42"/>
        <v/>
      </c>
      <c r="BE31" s="1910" t="str">
        <f t="shared" si="43"/>
        <v/>
      </c>
      <c r="BF31" s="1918" t="str">
        <f t="shared" si="44"/>
        <v/>
      </c>
      <c r="BG31" s="1919" t="str">
        <f t="shared" si="44"/>
        <v/>
      </c>
      <c r="BH31" s="322"/>
      <c r="BJ31" s="1258" t="str">
        <f t="shared" si="88"/>
        <v/>
      </c>
      <c r="BK31" s="1256" t="b">
        <f t="shared" si="45"/>
        <v>0</v>
      </c>
      <c r="BL31" s="1251" t="b">
        <v>0</v>
      </c>
      <c r="BM31" s="1251">
        <f t="shared" si="46"/>
        <v>0</v>
      </c>
      <c r="BN31" s="1251">
        <f t="shared" si="47"/>
        <v>0</v>
      </c>
      <c r="BO31" s="1251">
        <f t="shared" si="48"/>
        <v>0</v>
      </c>
      <c r="BP31" s="1251">
        <f t="shared" si="49"/>
        <v>0</v>
      </c>
      <c r="BQ31" s="1251">
        <f t="shared" si="50"/>
        <v>0</v>
      </c>
      <c r="BR31" s="1251" t="b">
        <f t="shared" si="51"/>
        <v>1</v>
      </c>
      <c r="BS31" s="1252">
        <f t="shared" si="52"/>
        <v>6</v>
      </c>
      <c r="BT31" s="1252" t="str">
        <f t="shared" si="53"/>
        <v>No</v>
      </c>
      <c r="BU31" s="1252">
        <f t="shared" si="54"/>
        <v>6</v>
      </c>
      <c r="BV31" s="1252" t="str">
        <f t="shared" si="55"/>
        <v>No</v>
      </c>
      <c r="BW31" s="1253">
        <f t="shared" ca="1" si="56"/>
        <v>0</v>
      </c>
      <c r="BX31" s="1254" t="str">
        <f t="shared" ca="1" si="57"/>
        <v/>
      </c>
      <c r="BY31" s="1254" t="b">
        <f t="shared" ca="1" si="58"/>
        <v>0</v>
      </c>
      <c r="BZ31" s="1253" t="b">
        <f t="shared" si="81"/>
        <v>0</v>
      </c>
      <c r="CB31" s="842"/>
      <c r="CC31" s="894"/>
      <c r="CD31" s="883"/>
      <c r="CE31" s="884"/>
      <c r="CF31" s="885"/>
      <c r="CG31" s="901"/>
      <c r="CH31" s="902"/>
      <c r="CI31" s="903"/>
      <c r="CJ31" s="902"/>
      <c r="CK31" s="903"/>
      <c r="CL31" s="904"/>
      <c r="CM31" s="944"/>
      <c r="CN31" s="901"/>
      <c r="CO31" s="902"/>
      <c r="CP31" s="903"/>
      <c r="CQ31" s="902"/>
      <c r="CR31" s="903"/>
      <c r="CS31" s="904"/>
      <c r="CT31" s="944"/>
      <c r="CU31" s="906"/>
      <c r="CV31" s="886"/>
      <c r="CW31" s="887"/>
      <c r="CX31" s="915"/>
      <c r="CY31" s="916"/>
      <c r="CZ31" s="932"/>
      <c r="DA31" s="933"/>
      <c r="DB31" s="932"/>
      <c r="DC31" s="933"/>
      <c r="DD31" s="1149"/>
      <c r="DE31" s="1150"/>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30" t="str">
        <f t="shared" si="62"/>
        <v/>
      </c>
      <c r="EP31" s="726" t="str">
        <f t="shared" si="63"/>
        <v/>
      </c>
      <c r="EQ31" s="727" t="str">
        <f t="shared" si="64"/>
        <v/>
      </c>
      <c r="ER31" s="961" t="str">
        <f t="shared" si="65"/>
        <v/>
      </c>
      <c r="ES31" s="962" t="str">
        <f t="shared" si="82"/>
        <v/>
      </c>
      <c r="ET31" s="963" t="str">
        <f t="shared" si="66"/>
        <v/>
      </c>
      <c r="EU31" s="964" t="str">
        <f t="shared" si="67"/>
        <v/>
      </c>
      <c r="EX31" s="1194" t="str">
        <f t="shared" ca="1" si="83"/>
        <v/>
      </c>
      <c r="EY31" s="1196" t="str">
        <f t="shared" si="68"/>
        <v/>
      </c>
      <c r="EZ31" s="1196" t="str">
        <f t="shared" si="84"/>
        <v/>
      </c>
      <c r="FA31" s="1217" t="str">
        <f t="shared" ca="1" si="89"/>
        <v/>
      </c>
      <c r="FB31" s="1218" t="str">
        <f t="shared" ca="1" si="85"/>
        <v/>
      </c>
      <c r="FC31" s="1218">
        <f t="shared" ca="1" si="69"/>
        <v>0</v>
      </c>
      <c r="FD31" s="1218">
        <f t="shared" ca="1" si="70"/>
        <v>0</v>
      </c>
      <c r="FE31" s="1218">
        <f t="shared" ca="1" si="71"/>
        <v>0</v>
      </c>
      <c r="FF31" s="1218">
        <f t="shared" ca="1" si="86"/>
        <v>0</v>
      </c>
      <c r="FN31" s="969" t="b">
        <v>0</v>
      </c>
      <c r="FO31" s="970" t="b">
        <f t="shared" si="72"/>
        <v>1</v>
      </c>
      <c r="FP31" s="970" t="b">
        <v>0</v>
      </c>
      <c r="FQ31" s="970" t="b">
        <f t="shared" si="87"/>
        <v>1</v>
      </c>
      <c r="FW31" s="2"/>
      <c r="FX31" s="2"/>
      <c r="FZ31" s="2"/>
      <c r="GA31" s="1935" t="str">
        <f t="shared" si="73"/>
        <v/>
      </c>
      <c r="GB31" s="1936" t="str">
        <f t="shared" si="74"/>
        <v/>
      </c>
      <c r="GC31" s="1937" t="str">
        <f t="shared" si="75"/>
        <v/>
      </c>
      <c r="GD31" s="1938" t="str">
        <f t="shared" si="76"/>
        <v/>
      </c>
      <c r="GE31" s="1939" t="str">
        <f t="shared" si="77"/>
        <v/>
      </c>
      <c r="GF31" s="1940" t="str">
        <f t="shared" si="78"/>
        <v/>
      </c>
      <c r="GG31" s="1457"/>
      <c r="GH31" s="1459"/>
      <c r="GI31" s="1457"/>
      <c r="GJ31" s="1459"/>
      <c r="GK31" s="326">
        <f t="shared" si="79"/>
        <v>0</v>
      </c>
      <c r="GL31" s="326" t="e">
        <f t="shared" si="80"/>
        <v>#VALUE!</v>
      </c>
      <c r="GM31" s="327" t="e">
        <f>IF(ABS(GK31-GL31)&gt;='Job Info.'!$L$22,ABS(GK31-GL31),0)</f>
        <v>#VALUE!</v>
      </c>
      <c r="GZ31" s="161"/>
      <c r="HA31" s="1612"/>
      <c r="HB31" s="1613"/>
      <c r="HC31" s="1613"/>
      <c r="HD31" s="1614"/>
      <c r="HE31" s="1615"/>
      <c r="HF31" s="1613"/>
      <c r="HG31" s="1613"/>
      <c r="HH31" s="1613"/>
      <c r="HI31" s="1613"/>
      <c r="HJ31" s="1613"/>
      <c r="HK31" s="1613"/>
      <c r="HL31" s="1613"/>
      <c r="HM31" s="1613"/>
      <c r="HN31" s="1613"/>
      <c r="HO31" s="1613"/>
      <c r="HP31" s="1613"/>
      <c r="HQ31" s="1613"/>
      <c r="HR31" s="1613"/>
      <c r="HS31" s="1613"/>
      <c r="HT31" s="1613"/>
      <c r="HU31" s="1613"/>
      <c r="HV31" s="1613"/>
      <c r="HW31" s="1613"/>
      <c r="HX31" s="1613"/>
      <c r="HY31" s="1617"/>
      <c r="HZ31" s="1617"/>
      <c r="IA31" s="1617"/>
      <c r="IB31" s="1617"/>
      <c r="IC31" s="1617"/>
      <c r="ID31" s="1632"/>
      <c r="IE31" s="1612"/>
      <c r="IF31" s="1613"/>
      <c r="IG31" s="1614"/>
      <c r="IH31" s="1615"/>
      <c r="II31" s="1613"/>
      <c r="IJ31" s="1614"/>
      <c r="IK31" s="1615"/>
      <c r="IL31" s="1613"/>
      <c r="IM31" s="1613"/>
      <c r="IN31" s="1613"/>
      <c r="IO31" s="1613"/>
      <c r="IP31" s="1613"/>
      <c r="IQ31" s="1613"/>
      <c r="IR31" s="1613"/>
      <c r="IS31" s="1614"/>
      <c r="IT31" s="1615"/>
      <c r="IU31" s="1613"/>
      <c r="IV31" s="1613"/>
      <c r="IW31" s="1614"/>
      <c r="IX31" s="1615"/>
      <c r="IY31" s="1613"/>
      <c r="IZ31" s="1613"/>
      <c r="JA31" s="1614"/>
      <c r="JB31" s="1615"/>
      <c r="JC31" s="1613"/>
      <c r="JD31" s="1613"/>
      <c r="JE31" s="1614"/>
      <c r="JF31" s="1615"/>
      <c r="JG31" s="1613"/>
      <c r="JH31" s="1613"/>
      <c r="JI31" s="1613"/>
      <c r="JJ31" s="1619"/>
      <c r="JK31" s="1613"/>
      <c r="JL31" s="1521">
        <f t="shared" ca="1" si="90"/>
        <v>0</v>
      </c>
    </row>
    <row r="32" spans="1:272" ht="12.6" customHeight="1" x14ac:dyDescent="0.25">
      <c r="A32" s="1861" t="str">
        <f t="shared" si="0"/>
        <v/>
      </c>
      <c r="B32" s="1862" t="str">
        <f t="shared" si="0"/>
        <v/>
      </c>
      <c r="C32" s="1863" t="str">
        <f t="shared" si="0"/>
        <v/>
      </c>
      <c r="D32" s="1864" t="str">
        <f t="shared" si="1"/>
        <v/>
      </c>
      <c r="E32" s="1865" t="str">
        <f t="shared" si="2"/>
        <v/>
      </c>
      <c r="F32" s="1866" t="str">
        <f t="shared" si="3"/>
        <v/>
      </c>
      <c r="G32" s="1867" t="str">
        <f t="shared" si="4"/>
        <v/>
      </c>
      <c r="H32" s="1868" t="str">
        <f t="shared" si="5"/>
        <v/>
      </c>
      <c r="I32" s="1869" t="str">
        <f t="shared" si="6"/>
        <v/>
      </c>
      <c r="J32" s="1864" t="str">
        <f t="shared" si="7"/>
        <v/>
      </c>
      <c r="K32" s="1868" t="str">
        <f t="shared" si="8"/>
        <v/>
      </c>
      <c r="L32" s="1870" t="str">
        <f t="shared" si="9"/>
        <v/>
      </c>
      <c r="M32" s="1871" t="str">
        <f t="shared" si="10"/>
        <v/>
      </c>
      <c r="N32" s="1872" t="str">
        <f t="shared" si="10"/>
        <v/>
      </c>
      <c r="O32" s="1867" t="str">
        <f t="shared" si="11"/>
        <v/>
      </c>
      <c r="P32" s="1868" t="str">
        <f t="shared" si="12"/>
        <v/>
      </c>
      <c r="Q32" s="1864" t="str">
        <f t="shared" si="13"/>
        <v/>
      </c>
      <c r="R32" s="1865" t="str">
        <f t="shared" si="14"/>
        <v/>
      </c>
      <c r="S32" s="1873" t="str">
        <f t="shared" si="15"/>
        <v/>
      </c>
      <c r="T32" s="1868" t="str">
        <f t="shared" si="16"/>
        <v/>
      </c>
      <c r="U32" s="1864" t="str">
        <f t="shared" si="17"/>
        <v/>
      </c>
      <c r="V32" s="1868" t="str">
        <f t="shared" si="18"/>
        <v/>
      </c>
      <c r="W32" s="1872">
        <f t="shared" si="19"/>
        <v>0</v>
      </c>
      <c r="X32" s="1874" t="str">
        <f t="shared" si="20"/>
        <v/>
      </c>
      <c r="Y32" s="1875" t="str">
        <f t="shared" si="21"/>
        <v/>
      </c>
      <c r="Z32" s="1941"/>
      <c r="AA32" s="1960" t="str">
        <f t="shared" si="22"/>
        <v/>
      </c>
      <c r="AB32" s="1471" t="str">
        <f t="shared" si="23"/>
        <v/>
      </c>
      <c r="AC32" s="1908" t="str">
        <f t="shared" si="23"/>
        <v/>
      </c>
      <c r="AD32" s="1909" t="str">
        <f t="shared" ca="1" si="24"/>
        <v/>
      </c>
      <c r="AE32" s="1910" t="str">
        <f t="shared" ca="1" si="25"/>
        <v/>
      </c>
      <c r="AF32" s="1908" t="str">
        <f t="shared" ca="1" si="26"/>
        <v/>
      </c>
      <c r="AG32" s="1909" t="str">
        <f t="shared" ca="1" si="27"/>
        <v/>
      </c>
      <c r="AH32" s="1910" t="str">
        <f t="shared" ca="1" si="28"/>
        <v/>
      </c>
      <c r="AI32" s="1909" t="str">
        <f t="shared" ca="1" si="29"/>
        <v/>
      </c>
      <c r="AJ32" s="1910" t="str">
        <f t="shared" ca="1" si="30"/>
        <v/>
      </c>
      <c r="AK32" s="1911" t="str">
        <f t="shared" si="31"/>
        <v/>
      </c>
      <c r="AL32" s="1912" t="str">
        <f t="shared" si="31"/>
        <v/>
      </c>
      <c r="AM32" s="1913" t="str">
        <f t="shared" si="31"/>
        <v/>
      </c>
      <c r="AN32" s="1908" t="str">
        <f t="shared" si="31"/>
        <v/>
      </c>
      <c r="AO32" s="1961" t="str">
        <f t="shared" si="31"/>
        <v/>
      </c>
      <c r="AP32" s="1915" t="str">
        <f t="shared" si="32"/>
        <v/>
      </c>
      <c r="AQ32" s="1916" t="str">
        <f t="shared" si="32"/>
        <v/>
      </c>
      <c r="AR32" s="1917" t="str">
        <f t="shared" si="33"/>
        <v/>
      </c>
      <c r="AS32" s="1910" t="str">
        <f t="shared" si="34"/>
        <v/>
      </c>
      <c r="AT32" s="1918" t="str">
        <f t="shared" si="35"/>
        <v/>
      </c>
      <c r="AU32" s="1919" t="str">
        <f t="shared" si="35"/>
        <v/>
      </c>
      <c r="AV32" s="1920" t="str">
        <f t="shared" si="36"/>
        <v/>
      </c>
      <c r="AW32" s="1910" t="str">
        <f t="shared" si="37"/>
        <v/>
      </c>
      <c r="AX32" s="1918" t="str">
        <f t="shared" si="38"/>
        <v/>
      </c>
      <c r="AY32" s="1919" t="str">
        <f t="shared" si="38"/>
        <v/>
      </c>
      <c r="AZ32" s="1920" t="str">
        <f t="shared" si="39"/>
        <v/>
      </c>
      <c r="BA32" s="1910" t="str">
        <f t="shared" si="40"/>
        <v/>
      </c>
      <c r="BB32" s="1918" t="str">
        <f t="shared" si="41"/>
        <v/>
      </c>
      <c r="BC32" s="1919" t="str">
        <f t="shared" si="41"/>
        <v/>
      </c>
      <c r="BD32" s="1920" t="str">
        <f t="shared" si="42"/>
        <v/>
      </c>
      <c r="BE32" s="1910" t="str">
        <f t="shared" si="43"/>
        <v/>
      </c>
      <c r="BF32" s="1918" t="str">
        <f t="shared" si="44"/>
        <v/>
      </c>
      <c r="BG32" s="1919" t="str">
        <f t="shared" si="44"/>
        <v/>
      </c>
      <c r="BH32" s="322"/>
      <c r="BJ32" s="1258" t="str">
        <f t="shared" si="88"/>
        <v/>
      </c>
      <c r="BK32" s="1256" t="b">
        <f t="shared" si="45"/>
        <v>0</v>
      </c>
      <c r="BL32" s="1251" t="b">
        <v>0</v>
      </c>
      <c r="BM32" s="1251">
        <f t="shared" si="46"/>
        <v>0</v>
      </c>
      <c r="BN32" s="1251">
        <f t="shared" si="47"/>
        <v>0</v>
      </c>
      <c r="BO32" s="1251">
        <f t="shared" si="48"/>
        <v>0</v>
      </c>
      <c r="BP32" s="1251">
        <f t="shared" si="49"/>
        <v>0</v>
      </c>
      <c r="BQ32" s="1251">
        <f t="shared" si="50"/>
        <v>0</v>
      </c>
      <c r="BR32" s="1251" t="b">
        <f t="shared" si="51"/>
        <v>1</v>
      </c>
      <c r="BS32" s="1252">
        <f t="shared" si="52"/>
        <v>6</v>
      </c>
      <c r="BT32" s="1252" t="str">
        <f t="shared" si="53"/>
        <v>No</v>
      </c>
      <c r="BU32" s="1252">
        <f t="shared" si="54"/>
        <v>6</v>
      </c>
      <c r="BV32" s="1252" t="str">
        <f t="shared" si="55"/>
        <v>No</v>
      </c>
      <c r="BW32" s="1253">
        <f t="shared" ca="1" si="56"/>
        <v>0</v>
      </c>
      <c r="BX32" s="1254" t="str">
        <f t="shared" ca="1" si="57"/>
        <v/>
      </c>
      <c r="BY32" s="1254" t="b">
        <f t="shared" ca="1" si="58"/>
        <v>0</v>
      </c>
      <c r="BZ32" s="1253" t="b">
        <f t="shared" si="81"/>
        <v>0</v>
      </c>
      <c r="CB32" s="842"/>
      <c r="CC32" s="894"/>
      <c r="CD32" s="883"/>
      <c r="CE32" s="884"/>
      <c r="CF32" s="885"/>
      <c r="CG32" s="901"/>
      <c r="CH32" s="902"/>
      <c r="CI32" s="903"/>
      <c r="CJ32" s="902"/>
      <c r="CK32" s="903"/>
      <c r="CL32" s="904"/>
      <c r="CM32" s="944"/>
      <c r="CN32" s="901"/>
      <c r="CO32" s="902"/>
      <c r="CP32" s="903"/>
      <c r="CQ32" s="902"/>
      <c r="CR32" s="903"/>
      <c r="CS32" s="904"/>
      <c r="CT32" s="944"/>
      <c r="CU32" s="906"/>
      <c r="CV32" s="886"/>
      <c r="CW32" s="887"/>
      <c r="CX32" s="915"/>
      <c r="CY32" s="916"/>
      <c r="CZ32" s="932"/>
      <c r="DA32" s="933"/>
      <c r="DB32" s="932"/>
      <c r="DC32" s="933"/>
      <c r="DD32" s="1149"/>
      <c r="DE32" s="1150"/>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30" t="str">
        <f t="shared" si="62"/>
        <v/>
      </c>
      <c r="EP32" s="726" t="str">
        <f t="shared" si="63"/>
        <v/>
      </c>
      <c r="EQ32" s="727" t="str">
        <f t="shared" si="64"/>
        <v/>
      </c>
      <c r="ER32" s="961" t="str">
        <f t="shared" si="65"/>
        <v/>
      </c>
      <c r="ES32" s="962" t="str">
        <f t="shared" si="82"/>
        <v/>
      </c>
      <c r="ET32" s="963" t="str">
        <f t="shared" si="66"/>
        <v/>
      </c>
      <c r="EU32" s="964" t="str">
        <f t="shared" si="67"/>
        <v/>
      </c>
      <c r="EX32" s="1194" t="str">
        <f t="shared" ca="1" si="83"/>
        <v/>
      </c>
      <c r="EY32" s="1196" t="str">
        <f t="shared" si="68"/>
        <v/>
      </c>
      <c r="EZ32" s="1196" t="str">
        <f t="shared" si="84"/>
        <v/>
      </c>
      <c r="FA32" s="1217" t="str">
        <f t="shared" ca="1" si="89"/>
        <v/>
      </c>
      <c r="FB32" s="1218" t="str">
        <f t="shared" ca="1" si="85"/>
        <v/>
      </c>
      <c r="FC32" s="1218">
        <f t="shared" ca="1" si="69"/>
        <v>0</v>
      </c>
      <c r="FD32" s="1218">
        <f t="shared" ca="1" si="70"/>
        <v>0</v>
      </c>
      <c r="FE32" s="1218">
        <f t="shared" ca="1" si="71"/>
        <v>0</v>
      </c>
      <c r="FF32" s="1218">
        <f t="shared" ca="1" si="86"/>
        <v>0</v>
      </c>
      <c r="FN32" s="969" t="b">
        <v>0</v>
      </c>
      <c r="FO32" s="969" t="b">
        <f t="shared" si="72"/>
        <v>1</v>
      </c>
      <c r="FP32" s="969" t="b">
        <v>0</v>
      </c>
      <c r="FQ32" s="969" t="b">
        <f t="shared" si="87"/>
        <v>1</v>
      </c>
      <c r="FW32" s="2"/>
      <c r="FX32" s="2"/>
      <c r="FZ32" s="2"/>
      <c r="GA32" s="1935" t="str">
        <f t="shared" si="73"/>
        <v/>
      </c>
      <c r="GB32" s="1936" t="str">
        <f t="shared" si="74"/>
        <v/>
      </c>
      <c r="GC32" s="1937" t="str">
        <f t="shared" si="75"/>
        <v/>
      </c>
      <c r="GD32" s="1938" t="str">
        <f t="shared" si="76"/>
        <v/>
      </c>
      <c r="GE32" s="1939" t="str">
        <f t="shared" si="77"/>
        <v/>
      </c>
      <c r="GF32" s="1940" t="str">
        <f t="shared" si="78"/>
        <v/>
      </c>
      <c r="GG32" s="1457"/>
      <c r="GH32" s="1459"/>
      <c r="GI32" s="1457"/>
      <c r="GJ32" s="1459"/>
      <c r="GK32" s="326">
        <f t="shared" si="79"/>
        <v>0</v>
      </c>
      <c r="GL32" s="326" t="e">
        <f t="shared" si="80"/>
        <v>#VALUE!</v>
      </c>
      <c r="GM32" s="327" t="e">
        <f>IF(ABS(GK32-GL32)&gt;='Job Info.'!$L$22,ABS(GK32-GL32),0)</f>
        <v>#VALUE!</v>
      </c>
      <c r="HA32" s="1612"/>
      <c r="HB32" s="1613"/>
      <c r="HC32" s="1613"/>
      <c r="HD32" s="1614"/>
      <c r="HE32" s="1615"/>
      <c r="HF32" s="1613"/>
      <c r="HG32" s="1613"/>
      <c r="HH32" s="1613"/>
      <c r="HI32" s="1613"/>
      <c r="HJ32" s="1613"/>
      <c r="HK32" s="1613"/>
      <c r="HL32" s="1613"/>
      <c r="HM32" s="1613"/>
      <c r="HN32" s="1613"/>
      <c r="HO32" s="1613"/>
      <c r="HP32" s="1613"/>
      <c r="HQ32" s="1613"/>
      <c r="HR32" s="1613"/>
      <c r="HS32" s="1613"/>
      <c r="HT32" s="1613"/>
      <c r="HU32" s="1613"/>
      <c r="HV32" s="1613"/>
      <c r="HW32" s="1613"/>
      <c r="HX32" s="1613"/>
      <c r="HY32" s="1617"/>
      <c r="HZ32" s="1617"/>
      <c r="IA32" s="1617"/>
      <c r="IB32" s="1617"/>
      <c r="IC32" s="1617"/>
      <c r="ID32" s="1632"/>
      <c r="IE32" s="1612"/>
      <c r="IF32" s="1613"/>
      <c r="IG32" s="1614"/>
      <c r="IH32" s="1615"/>
      <c r="II32" s="1613"/>
      <c r="IJ32" s="1614"/>
      <c r="IK32" s="1615"/>
      <c r="IL32" s="1613"/>
      <c r="IM32" s="1613"/>
      <c r="IN32" s="1613"/>
      <c r="IO32" s="1613"/>
      <c r="IP32" s="1613"/>
      <c r="IQ32" s="1613"/>
      <c r="IR32" s="1613"/>
      <c r="IS32" s="1614"/>
      <c r="IT32" s="1615"/>
      <c r="IU32" s="1613"/>
      <c r="IV32" s="1613"/>
      <c r="IW32" s="1614"/>
      <c r="IX32" s="1615"/>
      <c r="IY32" s="1613"/>
      <c r="IZ32" s="1613"/>
      <c r="JA32" s="1614"/>
      <c r="JB32" s="1615"/>
      <c r="JC32" s="1613"/>
      <c r="JD32" s="1613"/>
      <c r="JE32" s="1614"/>
      <c r="JF32" s="1615"/>
      <c r="JG32" s="1613"/>
      <c r="JH32" s="1613"/>
      <c r="JI32" s="1613"/>
      <c r="JJ32" s="1616"/>
      <c r="JK32" s="1613"/>
      <c r="JL32" s="1521">
        <f t="shared" ca="1" si="90"/>
        <v>0</v>
      </c>
    </row>
    <row r="33" spans="1:272" ht="12.6" customHeight="1" x14ac:dyDescent="0.25">
      <c r="A33" s="1861" t="str">
        <f t="shared" si="0"/>
        <v/>
      </c>
      <c r="B33" s="1862" t="str">
        <f t="shared" si="0"/>
        <v/>
      </c>
      <c r="C33" s="1863" t="str">
        <f t="shared" si="0"/>
        <v/>
      </c>
      <c r="D33" s="1864" t="str">
        <f t="shared" si="1"/>
        <v/>
      </c>
      <c r="E33" s="1865" t="str">
        <f t="shared" si="2"/>
        <v/>
      </c>
      <c r="F33" s="1866" t="str">
        <f t="shared" si="3"/>
        <v/>
      </c>
      <c r="G33" s="1867" t="str">
        <f t="shared" si="4"/>
        <v/>
      </c>
      <c r="H33" s="1868" t="str">
        <f t="shared" si="5"/>
        <v/>
      </c>
      <c r="I33" s="1869" t="str">
        <f t="shared" si="6"/>
        <v/>
      </c>
      <c r="J33" s="1864" t="str">
        <f t="shared" si="7"/>
        <v/>
      </c>
      <c r="K33" s="1868" t="str">
        <f t="shared" si="8"/>
        <v/>
      </c>
      <c r="L33" s="1870" t="str">
        <f t="shared" si="9"/>
        <v/>
      </c>
      <c r="M33" s="1871" t="str">
        <f t="shared" si="10"/>
        <v/>
      </c>
      <c r="N33" s="1872" t="str">
        <f t="shared" si="10"/>
        <v/>
      </c>
      <c r="O33" s="1867" t="str">
        <f t="shared" si="11"/>
        <v/>
      </c>
      <c r="P33" s="1868" t="str">
        <f t="shared" si="12"/>
        <v/>
      </c>
      <c r="Q33" s="1864" t="str">
        <f t="shared" si="13"/>
        <v/>
      </c>
      <c r="R33" s="1865" t="str">
        <f t="shared" si="14"/>
        <v/>
      </c>
      <c r="S33" s="1873" t="str">
        <f t="shared" si="15"/>
        <v/>
      </c>
      <c r="T33" s="1868" t="str">
        <f t="shared" si="16"/>
        <v/>
      </c>
      <c r="U33" s="1864" t="str">
        <f t="shared" si="17"/>
        <v/>
      </c>
      <c r="V33" s="1868" t="str">
        <f t="shared" si="18"/>
        <v/>
      </c>
      <c r="W33" s="1872">
        <f t="shared" si="19"/>
        <v>0</v>
      </c>
      <c r="X33" s="1874" t="str">
        <f t="shared" si="20"/>
        <v/>
      </c>
      <c r="Y33" s="1875" t="str">
        <f t="shared" si="21"/>
        <v/>
      </c>
      <c r="Z33" s="1941"/>
      <c r="AA33" s="1960" t="str">
        <f t="shared" si="22"/>
        <v/>
      </c>
      <c r="AB33" s="1471" t="str">
        <f t="shared" si="23"/>
        <v/>
      </c>
      <c r="AC33" s="1908" t="str">
        <f t="shared" si="23"/>
        <v/>
      </c>
      <c r="AD33" s="1909" t="str">
        <f t="shared" ca="1" si="24"/>
        <v/>
      </c>
      <c r="AE33" s="1910" t="str">
        <f t="shared" ca="1" si="25"/>
        <v/>
      </c>
      <c r="AF33" s="1908" t="str">
        <f t="shared" ca="1" si="26"/>
        <v/>
      </c>
      <c r="AG33" s="1909" t="str">
        <f t="shared" ca="1" si="27"/>
        <v/>
      </c>
      <c r="AH33" s="1910" t="str">
        <f t="shared" ca="1" si="28"/>
        <v/>
      </c>
      <c r="AI33" s="1909" t="str">
        <f t="shared" ca="1" si="29"/>
        <v/>
      </c>
      <c r="AJ33" s="1910" t="str">
        <f t="shared" ca="1" si="30"/>
        <v/>
      </c>
      <c r="AK33" s="1911" t="str">
        <f t="shared" si="31"/>
        <v/>
      </c>
      <c r="AL33" s="1912" t="str">
        <f t="shared" si="31"/>
        <v/>
      </c>
      <c r="AM33" s="1913" t="str">
        <f t="shared" si="31"/>
        <v/>
      </c>
      <c r="AN33" s="1908" t="str">
        <f t="shared" si="31"/>
        <v/>
      </c>
      <c r="AO33" s="1961" t="str">
        <f t="shared" si="31"/>
        <v/>
      </c>
      <c r="AP33" s="1915" t="str">
        <f t="shared" si="32"/>
        <v/>
      </c>
      <c r="AQ33" s="1916" t="str">
        <f t="shared" si="32"/>
        <v/>
      </c>
      <c r="AR33" s="1917" t="str">
        <f t="shared" si="33"/>
        <v/>
      </c>
      <c r="AS33" s="1910" t="str">
        <f t="shared" si="34"/>
        <v/>
      </c>
      <c r="AT33" s="1918" t="str">
        <f t="shared" si="35"/>
        <v/>
      </c>
      <c r="AU33" s="1919" t="str">
        <f t="shared" si="35"/>
        <v/>
      </c>
      <c r="AV33" s="1920" t="str">
        <f t="shared" si="36"/>
        <v/>
      </c>
      <c r="AW33" s="1910" t="str">
        <f t="shared" si="37"/>
        <v/>
      </c>
      <c r="AX33" s="1918" t="str">
        <f t="shared" si="38"/>
        <v/>
      </c>
      <c r="AY33" s="1919" t="str">
        <f t="shared" si="38"/>
        <v/>
      </c>
      <c r="AZ33" s="1920" t="str">
        <f t="shared" si="39"/>
        <v/>
      </c>
      <c r="BA33" s="1910" t="str">
        <f t="shared" si="40"/>
        <v/>
      </c>
      <c r="BB33" s="1918" t="str">
        <f t="shared" si="41"/>
        <v/>
      </c>
      <c r="BC33" s="1919" t="str">
        <f t="shared" si="41"/>
        <v/>
      </c>
      <c r="BD33" s="1920" t="str">
        <f t="shared" si="42"/>
        <v/>
      </c>
      <c r="BE33" s="1910" t="str">
        <f t="shared" si="43"/>
        <v/>
      </c>
      <c r="BF33" s="1918" t="str">
        <f t="shared" si="44"/>
        <v/>
      </c>
      <c r="BG33" s="1919" t="str">
        <f t="shared" si="44"/>
        <v/>
      </c>
      <c r="BH33" s="322"/>
      <c r="BJ33" s="1258" t="str">
        <f t="shared" si="88"/>
        <v/>
      </c>
      <c r="BK33" s="1256" t="b">
        <f t="shared" si="45"/>
        <v>0</v>
      </c>
      <c r="BL33" s="1251" t="b">
        <v>0</v>
      </c>
      <c r="BM33" s="1251">
        <f t="shared" si="46"/>
        <v>0</v>
      </c>
      <c r="BN33" s="1251">
        <f t="shared" si="47"/>
        <v>0</v>
      </c>
      <c r="BO33" s="1251">
        <f t="shared" si="48"/>
        <v>0</v>
      </c>
      <c r="BP33" s="1251">
        <f t="shared" si="49"/>
        <v>0</v>
      </c>
      <c r="BQ33" s="1251">
        <f t="shared" si="50"/>
        <v>0</v>
      </c>
      <c r="BR33" s="1251" t="b">
        <f t="shared" si="51"/>
        <v>1</v>
      </c>
      <c r="BS33" s="1252">
        <f t="shared" si="52"/>
        <v>6</v>
      </c>
      <c r="BT33" s="1252" t="str">
        <f t="shared" si="53"/>
        <v>No</v>
      </c>
      <c r="BU33" s="1252">
        <f t="shared" si="54"/>
        <v>6</v>
      </c>
      <c r="BV33" s="1252" t="str">
        <f t="shared" si="55"/>
        <v>No</v>
      </c>
      <c r="BW33" s="1253">
        <f t="shared" ca="1" si="56"/>
        <v>0</v>
      </c>
      <c r="BX33" s="1254" t="str">
        <f t="shared" ca="1" si="57"/>
        <v/>
      </c>
      <c r="BY33" s="1254" t="b">
        <f t="shared" ca="1" si="58"/>
        <v>0</v>
      </c>
      <c r="BZ33" s="1253" t="b">
        <f t="shared" si="81"/>
        <v>0</v>
      </c>
      <c r="CB33" s="842"/>
      <c r="CC33" s="894"/>
      <c r="CD33" s="883"/>
      <c r="CE33" s="884"/>
      <c r="CF33" s="885"/>
      <c r="CG33" s="901"/>
      <c r="CH33" s="902"/>
      <c r="CI33" s="903"/>
      <c r="CJ33" s="902"/>
      <c r="CK33" s="903"/>
      <c r="CL33" s="904"/>
      <c r="CM33" s="944"/>
      <c r="CN33" s="901"/>
      <c r="CO33" s="902"/>
      <c r="CP33" s="903"/>
      <c r="CQ33" s="902"/>
      <c r="CR33" s="903"/>
      <c r="CS33" s="904"/>
      <c r="CT33" s="944"/>
      <c r="CU33" s="906"/>
      <c r="CV33" s="886"/>
      <c r="CW33" s="887"/>
      <c r="CX33" s="915"/>
      <c r="CY33" s="916"/>
      <c r="CZ33" s="932"/>
      <c r="DA33" s="933"/>
      <c r="DB33" s="932"/>
      <c r="DC33" s="933"/>
      <c r="DD33" s="1149"/>
      <c r="DE33" s="1150"/>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30" t="str">
        <f t="shared" si="62"/>
        <v/>
      </c>
      <c r="EP33" s="726" t="str">
        <f t="shared" si="63"/>
        <v/>
      </c>
      <c r="EQ33" s="727" t="str">
        <f t="shared" si="64"/>
        <v/>
      </c>
      <c r="ER33" s="961" t="str">
        <f t="shared" si="65"/>
        <v/>
      </c>
      <c r="ES33" s="962" t="str">
        <f t="shared" si="82"/>
        <v/>
      </c>
      <c r="ET33" s="963" t="str">
        <f t="shared" si="66"/>
        <v/>
      </c>
      <c r="EU33" s="964" t="str">
        <f t="shared" si="67"/>
        <v/>
      </c>
      <c r="EX33" s="1194" t="str">
        <f t="shared" ca="1" si="83"/>
        <v/>
      </c>
      <c r="EY33" s="1196" t="str">
        <f t="shared" si="68"/>
        <v/>
      </c>
      <c r="EZ33" s="1196" t="str">
        <f t="shared" si="84"/>
        <v/>
      </c>
      <c r="FA33" s="1217" t="str">
        <f t="shared" ca="1" si="89"/>
        <v/>
      </c>
      <c r="FB33" s="1218" t="str">
        <f t="shared" ca="1" si="85"/>
        <v/>
      </c>
      <c r="FC33" s="1218">
        <f t="shared" ca="1" si="69"/>
        <v>0</v>
      </c>
      <c r="FD33" s="1218">
        <f t="shared" ca="1" si="70"/>
        <v>0</v>
      </c>
      <c r="FE33" s="1218">
        <f t="shared" ca="1" si="71"/>
        <v>0</v>
      </c>
      <c r="FF33" s="1218">
        <f t="shared" ca="1" si="86"/>
        <v>0</v>
      </c>
      <c r="FN33" s="969" t="b">
        <v>0</v>
      </c>
      <c r="FO33" s="969" t="b">
        <f t="shared" si="72"/>
        <v>1</v>
      </c>
      <c r="FP33" s="969" t="b">
        <v>0</v>
      </c>
      <c r="FQ33" s="969" t="b">
        <f t="shared" si="87"/>
        <v>1</v>
      </c>
      <c r="FW33" s="2"/>
      <c r="FX33" s="2"/>
      <c r="FZ33" s="2"/>
      <c r="GA33" s="1935" t="str">
        <f t="shared" si="73"/>
        <v/>
      </c>
      <c r="GB33" s="1936" t="str">
        <f t="shared" si="74"/>
        <v/>
      </c>
      <c r="GC33" s="1937" t="str">
        <f t="shared" si="75"/>
        <v/>
      </c>
      <c r="GD33" s="1938" t="str">
        <f t="shared" si="76"/>
        <v/>
      </c>
      <c r="GE33" s="1939" t="str">
        <f t="shared" si="77"/>
        <v/>
      </c>
      <c r="GF33" s="1940" t="str">
        <f t="shared" si="78"/>
        <v/>
      </c>
      <c r="GG33" s="1457"/>
      <c r="GH33" s="1459"/>
      <c r="GI33" s="1457"/>
      <c r="GJ33" s="1459"/>
      <c r="GK33" s="326">
        <f t="shared" si="79"/>
        <v>0</v>
      </c>
      <c r="GL33" s="326" t="e">
        <f t="shared" si="80"/>
        <v>#VALUE!</v>
      </c>
      <c r="GM33" s="327" t="e">
        <f>IF(ABS(GK33-GL33)&gt;='Job Info.'!$L$22,ABS(GK33-GL33),0)</f>
        <v>#VALUE!</v>
      </c>
      <c r="HA33" s="1612"/>
      <c r="HB33" s="1613"/>
      <c r="HC33" s="1613"/>
      <c r="HD33" s="1614"/>
      <c r="HE33" s="1615"/>
      <c r="HF33" s="1613"/>
      <c r="HG33" s="1613"/>
      <c r="HH33" s="1613"/>
      <c r="HI33" s="1613"/>
      <c r="HJ33" s="1613"/>
      <c r="HK33" s="1613"/>
      <c r="HL33" s="1613"/>
      <c r="HM33" s="1613"/>
      <c r="HN33" s="1613"/>
      <c r="HO33" s="1613"/>
      <c r="HP33" s="1613"/>
      <c r="HQ33" s="1613"/>
      <c r="HR33" s="1613"/>
      <c r="HS33" s="1613"/>
      <c r="HT33" s="1613"/>
      <c r="HU33" s="1613"/>
      <c r="HV33" s="1613"/>
      <c r="HW33" s="1613"/>
      <c r="HX33" s="1613"/>
      <c r="HY33" s="1617"/>
      <c r="HZ33" s="1617"/>
      <c r="IA33" s="1617"/>
      <c r="IB33" s="1617"/>
      <c r="IC33" s="1617"/>
      <c r="ID33" s="1632"/>
      <c r="IE33" s="1612"/>
      <c r="IF33" s="1613"/>
      <c r="IG33" s="1614"/>
      <c r="IH33" s="1615"/>
      <c r="II33" s="1613"/>
      <c r="IJ33" s="1614"/>
      <c r="IK33" s="1615"/>
      <c r="IL33" s="1613"/>
      <c r="IM33" s="1613"/>
      <c r="IN33" s="1613"/>
      <c r="IO33" s="1613"/>
      <c r="IP33" s="1613"/>
      <c r="IQ33" s="1613"/>
      <c r="IR33" s="1613"/>
      <c r="IS33" s="1614"/>
      <c r="IT33" s="1615"/>
      <c r="IU33" s="1613"/>
      <c r="IV33" s="1613"/>
      <c r="IW33" s="1614"/>
      <c r="IX33" s="1615"/>
      <c r="IY33" s="1613"/>
      <c r="IZ33" s="1613"/>
      <c r="JA33" s="1614"/>
      <c r="JB33" s="1615"/>
      <c r="JC33" s="1613"/>
      <c r="JD33" s="1613"/>
      <c r="JE33" s="1614"/>
      <c r="JF33" s="1615"/>
      <c r="JG33" s="1613"/>
      <c r="JH33" s="1613"/>
      <c r="JI33" s="1613"/>
      <c r="JJ33" s="1616"/>
      <c r="JK33" s="1613"/>
      <c r="JL33" s="1521">
        <f t="shared" ca="1" si="90"/>
        <v>0</v>
      </c>
    </row>
    <row r="34" spans="1:272" ht="12.6" customHeight="1" x14ac:dyDescent="0.25">
      <c r="A34" s="1861" t="str">
        <f t="shared" si="0"/>
        <v/>
      </c>
      <c r="B34" s="1862" t="str">
        <f t="shared" si="0"/>
        <v/>
      </c>
      <c r="C34" s="1863" t="str">
        <f t="shared" si="0"/>
        <v/>
      </c>
      <c r="D34" s="1864" t="str">
        <f t="shared" si="1"/>
        <v/>
      </c>
      <c r="E34" s="1865" t="str">
        <f t="shared" si="2"/>
        <v/>
      </c>
      <c r="F34" s="1866" t="str">
        <f t="shared" si="3"/>
        <v/>
      </c>
      <c r="G34" s="1867" t="str">
        <f t="shared" si="4"/>
        <v/>
      </c>
      <c r="H34" s="1868" t="str">
        <f t="shared" si="5"/>
        <v/>
      </c>
      <c r="I34" s="1869" t="str">
        <f t="shared" si="6"/>
        <v/>
      </c>
      <c r="J34" s="1864" t="str">
        <f t="shared" si="7"/>
        <v/>
      </c>
      <c r="K34" s="1868" t="str">
        <f t="shared" si="8"/>
        <v/>
      </c>
      <c r="L34" s="1870" t="str">
        <f t="shared" si="9"/>
        <v/>
      </c>
      <c r="M34" s="1871" t="str">
        <f t="shared" si="10"/>
        <v/>
      </c>
      <c r="N34" s="1872" t="str">
        <f t="shared" si="10"/>
        <v/>
      </c>
      <c r="O34" s="1867" t="str">
        <f t="shared" si="11"/>
        <v/>
      </c>
      <c r="P34" s="1868" t="str">
        <f t="shared" si="12"/>
        <v/>
      </c>
      <c r="Q34" s="1864" t="str">
        <f t="shared" si="13"/>
        <v/>
      </c>
      <c r="R34" s="1865" t="str">
        <f t="shared" si="14"/>
        <v/>
      </c>
      <c r="S34" s="1873" t="str">
        <f t="shared" si="15"/>
        <v/>
      </c>
      <c r="T34" s="1868" t="str">
        <f t="shared" si="16"/>
        <v/>
      </c>
      <c r="U34" s="1864" t="str">
        <f t="shared" si="17"/>
        <v/>
      </c>
      <c r="V34" s="1868" t="str">
        <f t="shared" si="18"/>
        <v/>
      </c>
      <c r="W34" s="1872">
        <f t="shared" si="19"/>
        <v>0</v>
      </c>
      <c r="X34" s="1874" t="str">
        <f t="shared" si="20"/>
        <v/>
      </c>
      <c r="Y34" s="1875" t="str">
        <f t="shared" si="21"/>
        <v/>
      </c>
      <c r="Z34" s="1941"/>
      <c r="AA34" s="1960" t="str">
        <f t="shared" si="22"/>
        <v/>
      </c>
      <c r="AB34" s="1471" t="str">
        <f t="shared" si="23"/>
        <v/>
      </c>
      <c r="AC34" s="1908" t="str">
        <f t="shared" si="23"/>
        <v/>
      </c>
      <c r="AD34" s="1909" t="str">
        <f t="shared" ca="1" si="24"/>
        <v/>
      </c>
      <c r="AE34" s="1910" t="str">
        <f t="shared" ca="1" si="25"/>
        <v/>
      </c>
      <c r="AF34" s="1908" t="str">
        <f t="shared" ca="1" si="26"/>
        <v/>
      </c>
      <c r="AG34" s="1909" t="str">
        <f t="shared" ca="1" si="27"/>
        <v/>
      </c>
      <c r="AH34" s="1910" t="str">
        <f t="shared" ca="1" si="28"/>
        <v/>
      </c>
      <c r="AI34" s="1909" t="str">
        <f t="shared" ca="1" si="29"/>
        <v/>
      </c>
      <c r="AJ34" s="1910" t="str">
        <f t="shared" ca="1" si="30"/>
        <v/>
      </c>
      <c r="AK34" s="1911" t="str">
        <f t="shared" si="31"/>
        <v/>
      </c>
      <c r="AL34" s="1912" t="str">
        <f t="shared" si="31"/>
        <v/>
      </c>
      <c r="AM34" s="1913" t="str">
        <f t="shared" si="31"/>
        <v/>
      </c>
      <c r="AN34" s="1908" t="str">
        <f t="shared" si="31"/>
        <v/>
      </c>
      <c r="AO34" s="1961" t="str">
        <f t="shared" si="31"/>
        <v/>
      </c>
      <c r="AP34" s="1915" t="str">
        <f t="shared" si="32"/>
        <v/>
      </c>
      <c r="AQ34" s="1916" t="str">
        <f t="shared" si="32"/>
        <v/>
      </c>
      <c r="AR34" s="1917" t="str">
        <f t="shared" si="33"/>
        <v/>
      </c>
      <c r="AS34" s="1910" t="str">
        <f t="shared" si="34"/>
        <v/>
      </c>
      <c r="AT34" s="1918" t="str">
        <f t="shared" si="35"/>
        <v/>
      </c>
      <c r="AU34" s="1919" t="str">
        <f t="shared" si="35"/>
        <v/>
      </c>
      <c r="AV34" s="1920" t="str">
        <f t="shared" si="36"/>
        <v/>
      </c>
      <c r="AW34" s="1910" t="str">
        <f t="shared" si="37"/>
        <v/>
      </c>
      <c r="AX34" s="1918" t="str">
        <f t="shared" si="38"/>
        <v/>
      </c>
      <c r="AY34" s="1919" t="str">
        <f t="shared" si="38"/>
        <v/>
      </c>
      <c r="AZ34" s="1920" t="str">
        <f t="shared" si="39"/>
        <v/>
      </c>
      <c r="BA34" s="1910" t="str">
        <f t="shared" si="40"/>
        <v/>
      </c>
      <c r="BB34" s="1918" t="str">
        <f t="shared" si="41"/>
        <v/>
      </c>
      <c r="BC34" s="1919" t="str">
        <f t="shared" si="41"/>
        <v/>
      </c>
      <c r="BD34" s="1920" t="str">
        <f t="shared" si="42"/>
        <v/>
      </c>
      <c r="BE34" s="1910" t="str">
        <f t="shared" si="43"/>
        <v/>
      </c>
      <c r="BF34" s="1918" t="str">
        <f t="shared" si="44"/>
        <v/>
      </c>
      <c r="BG34" s="1919" t="str">
        <f t="shared" si="44"/>
        <v/>
      </c>
      <c r="BH34" s="322"/>
      <c r="BJ34" s="1258" t="str">
        <f t="shared" si="88"/>
        <v/>
      </c>
      <c r="BK34" s="1256" t="b">
        <f t="shared" si="45"/>
        <v>0</v>
      </c>
      <c r="BL34" s="1251" t="b">
        <v>0</v>
      </c>
      <c r="BM34" s="1251">
        <f t="shared" si="46"/>
        <v>0</v>
      </c>
      <c r="BN34" s="1251">
        <f t="shared" si="47"/>
        <v>0</v>
      </c>
      <c r="BO34" s="1251">
        <f t="shared" si="48"/>
        <v>0</v>
      </c>
      <c r="BP34" s="1251">
        <f t="shared" si="49"/>
        <v>0</v>
      </c>
      <c r="BQ34" s="1251">
        <f t="shared" si="50"/>
        <v>0</v>
      </c>
      <c r="BR34" s="1251" t="b">
        <f t="shared" si="51"/>
        <v>1</v>
      </c>
      <c r="BS34" s="1252">
        <f t="shared" si="52"/>
        <v>6</v>
      </c>
      <c r="BT34" s="1252" t="str">
        <f t="shared" si="53"/>
        <v>No</v>
      </c>
      <c r="BU34" s="1252">
        <f t="shared" si="54"/>
        <v>6</v>
      </c>
      <c r="BV34" s="1252" t="str">
        <f t="shared" si="55"/>
        <v>No</v>
      </c>
      <c r="BW34" s="1253">
        <f t="shared" ca="1" si="56"/>
        <v>0</v>
      </c>
      <c r="BX34" s="1254" t="str">
        <f t="shared" ca="1" si="57"/>
        <v/>
      </c>
      <c r="BY34" s="1254" t="b">
        <f t="shared" ca="1" si="58"/>
        <v>0</v>
      </c>
      <c r="BZ34" s="1253" t="b">
        <f t="shared" si="81"/>
        <v>0</v>
      </c>
      <c r="CB34" s="842"/>
      <c r="CC34" s="894"/>
      <c r="CD34" s="883"/>
      <c r="CE34" s="884"/>
      <c r="CF34" s="885"/>
      <c r="CG34" s="901"/>
      <c r="CH34" s="902"/>
      <c r="CI34" s="903"/>
      <c r="CJ34" s="902"/>
      <c r="CK34" s="903"/>
      <c r="CL34" s="904"/>
      <c r="CM34" s="944"/>
      <c r="CN34" s="901"/>
      <c r="CO34" s="902"/>
      <c r="CP34" s="903"/>
      <c r="CQ34" s="902"/>
      <c r="CR34" s="903"/>
      <c r="CS34" s="904"/>
      <c r="CT34" s="944"/>
      <c r="CU34" s="906"/>
      <c r="CV34" s="886"/>
      <c r="CW34" s="887"/>
      <c r="CX34" s="915"/>
      <c r="CY34" s="916"/>
      <c r="CZ34" s="932"/>
      <c r="DA34" s="933"/>
      <c r="DB34" s="932"/>
      <c r="DC34" s="933"/>
      <c r="DD34" s="1149"/>
      <c r="DE34" s="1150"/>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30" t="str">
        <f t="shared" si="62"/>
        <v/>
      </c>
      <c r="EP34" s="726" t="str">
        <f t="shared" si="63"/>
        <v/>
      </c>
      <c r="EQ34" s="727" t="str">
        <f t="shared" si="64"/>
        <v/>
      </c>
      <c r="ER34" s="961" t="str">
        <f t="shared" si="65"/>
        <v/>
      </c>
      <c r="ES34" s="962" t="str">
        <f t="shared" si="82"/>
        <v/>
      </c>
      <c r="ET34" s="963" t="str">
        <f t="shared" si="66"/>
        <v/>
      </c>
      <c r="EU34" s="964" t="str">
        <f t="shared" si="67"/>
        <v/>
      </c>
      <c r="EX34" s="1194" t="str">
        <f t="shared" ca="1" si="83"/>
        <v/>
      </c>
      <c r="EY34" s="1196" t="str">
        <f t="shared" si="68"/>
        <v/>
      </c>
      <c r="EZ34" s="1196" t="str">
        <f t="shared" si="84"/>
        <v/>
      </c>
      <c r="FA34" s="1217" t="str">
        <f t="shared" ca="1" si="89"/>
        <v/>
      </c>
      <c r="FB34" s="1218" t="str">
        <f t="shared" ca="1" si="85"/>
        <v/>
      </c>
      <c r="FC34" s="1218">
        <f t="shared" ca="1" si="69"/>
        <v>0</v>
      </c>
      <c r="FD34" s="1218">
        <f t="shared" ca="1" si="70"/>
        <v>0</v>
      </c>
      <c r="FE34" s="1218">
        <f t="shared" ca="1" si="71"/>
        <v>0</v>
      </c>
      <c r="FF34" s="1218">
        <f t="shared" ca="1" si="86"/>
        <v>0</v>
      </c>
      <c r="FN34" s="969" t="b">
        <v>0</v>
      </c>
      <c r="FO34" s="969" t="b">
        <f t="shared" si="72"/>
        <v>1</v>
      </c>
      <c r="FP34" s="969" t="b">
        <v>0</v>
      </c>
      <c r="FQ34" s="969" t="b">
        <f t="shared" si="87"/>
        <v>1</v>
      </c>
      <c r="FW34" s="2"/>
      <c r="FX34" s="2"/>
      <c r="FZ34" s="2"/>
      <c r="GA34" s="1935" t="str">
        <f t="shared" si="73"/>
        <v/>
      </c>
      <c r="GB34" s="1936" t="str">
        <f t="shared" si="74"/>
        <v/>
      </c>
      <c r="GC34" s="1937" t="str">
        <f t="shared" si="75"/>
        <v/>
      </c>
      <c r="GD34" s="1938" t="str">
        <f t="shared" si="76"/>
        <v/>
      </c>
      <c r="GE34" s="1939" t="str">
        <f t="shared" si="77"/>
        <v/>
      </c>
      <c r="GF34" s="1940" t="str">
        <f t="shared" si="78"/>
        <v/>
      </c>
      <c r="GG34" s="1457"/>
      <c r="GH34" s="1459"/>
      <c r="GI34" s="1457"/>
      <c r="GJ34" s="1459"/>
      <c r="GK34" s="326">
        <f t="shared" si="79"/>
        <v>0</v>
      </c>
      <c r="GL34" s="326" t="e">
        <f t="shared" si="80"/>
        <v>#VALUE!</v>
      </c>
      <c r="GM34" s="327" t="e">
        <f>IF(ABS(GK34-GL34)&gt;='Job Info.'!$L$22,ABS(GK34-GL34),0)</f>
        <v>#VALUE!</v>
      </c>
      <c r="HA34" s="1612"/>
      <c r="HB34" s="1613"/>
      <c r="HC34" s="1613"/>
      <c r="HD34" s="1614"/>
      <c r="HE34" s="1615"/>
      <c r="HF34" s="1613"/>
      <c r="HG34" s="1613"/>
      <c r="HH34" s="1613"/>
      <c r="HI34" s="1613"/>
      <c r="HJ34" s="1613"/>
      <c r="HK34" s="1613"/>
      <c r="HL34" s="1613"/>
      <c r="HM34" s="1613"/>
      <c r="HN34" s="1613"/>
      <c r="HO34" s="1613"/>
      <c r="HP34" s="1613"/>
      <c r="HQ34" s="1613"/>
      <c r="HR34" s="1613"/>
      <c r="HS34" s="1613"/>
      <c r="HT34" s="1613"/>
      <c r="HU34" s="1613"/>
      <c r="HV34" s="1613"/>
      <c r="HW34" s="1613"/>
      <c r="HX34" s="1613"/>
      <c r="HY34" s="1617"/>
      <c r="HZ34" s="1617"/>
      <c r="IA34" s="1617"/>
      <c r="IB34" s="1617"/>
      <c r="IC34" s="1617"/>
      <c r="ID34" s="1632"/>
      <c r="IE34" s="1612"/>
      <c r="IF34" s="1613"/>
      <c r="IG34" s="1614"/>
      <c r="IH34" s="1615"/>
      <c r="II34" s="1613"/>
      <c r="IJ34" s="1614"/>
      <c r="IK34" s="1615"/>
      <c r="IL34" s="1613"/>
      <c r="IM34" s="1613"/>
      <c r="IN34" s="1613"/>
      <c r="IO34" s="1613"/>
      <c r="IP34" s="1613"/>
      <c r="IQ34" s="1613"/>
      <c r="IR34" s="1613"/>
      <c r="IS34" s="1614"/>
      <c r="IT34" s="1615"/>
      <c r="IU34" s="1613"/>
      <c r="IV34" s="1613"/>
      <c r="IW34" s="1614"/>
      <c r="IX34" s="1615"/>
      <c r="IY34" s="1613"/>
      <c r="IZ34" s="1613"/>
      <c r="JA34" s="1614"/>
      <c r="JB34" s="1615"/>
      <c r="JC34" s="1613"/>
      <c r="JD34" s="1613"/>
      <c r="JE34" s="1614"/>
      <c r="JF34" s="1615"/>
      <c r="JG34" s="1613"/>
      <c r="JH34" s="1613"/>
      <c r="JI34" s="1613"/>
      <c r="JJ34" s="1616"/>
      <c r="JK34" s="1613"/>
      <c r="JL34" s="1521">
        <f t="shared" ca="1" si="90"/>
        <v>0</v>
      </c>
    </row>
    <row r="35" spans="1:272" ht="12.6" customHeight="1" x14ac:dyDescent="0.25">
      <c r="A35" s="1861" t="str">
        <f t="shared" si="0"/>
        <v/>
      </c>
      <c r="B35" s="1862" t="str">
        <f t="shared" si="0"/>
        <v/>
      </c>
      <c r="C35" s="1863" t="str">
        <f t="shared" si="0"/>
        <v/>
      </c>
      <c r="D35" s="1864" t="str">
        <f t="shared" si="1"/>
        <v/>
      </c>
      <c r="E35" s="1865" t="str">
        <f t="shared" si="2"/>
        <v/>
      </c>
      <c r="F35" s="1866" t="str">
        <f t="shared" si="3"/>
        <v/>
      </c>
      <c r="G35" s="1867" t="str">
        <f t="shared" si="4"/>
        <v/>
      </c>
      <c r="H35" s="1868" t="str">
        <f t="shared" si="5"/>
        <v/>
      </c>
      <c r="I35" s="1869" t="str">
        <f t="shared" si="6"/>
        <v/>
      </c>
      <c r="J35" s="1864" t="str">
        <f t="shared" si="7"/>
        <v/>
      </c>
      <c r="K35" s="1868" t="str">
        <f t="shared" si="8"/>
        <v/>
      </c>
      <c r="L35" s="1870" t="str">
        <f t="shared" si="9"/>
        <v/>
      </c>
      <c r="M35" s="1871" t="str">
        <f t="shared" si="10"/>
        <v/>
      </c>
      <c r="N35" s="1872" t="str">
        <f t="shared" si="10"/>
        <v/>
      </c>
      <c r="O35" s="1867" t="str">
        <f t="shared" si="11"/>
        <v/>
      </c>
      <c r="P35" s="1868" t="str">
        <f t="shared" si="12"/>
        <v/>
      </c>
      <c r="Q35" s="1864" t="str">
        <f t="shared" si="13"/>
        <v/>
      </c>
      <c r="R35" s="1865" t="str">
        <f t="shared" si="14"/>
        <v/>
      </c>
      <c r="S35" s="1873" t="str">
        <f t="shared" si="15"/>
        <v/>
      </c>
      <c r="T35" s="1868" t="str">
        <f t="shared" si="16"/>
        <v/>
      </c>
      <c r="U35" s="1864" t="str">
        <f t="shared" si="17"/>
        <v/>
      </c>
      <c r="V35" s="1868" t="str">
        <f t="shared" si="18"/>
        <v/>
      </c>
      <c r="W35" s="1872">
        <f t="shared" si="19"/>
        <v>0</v>
      </c>
      <c r="X35" s="1874" t="str">
        <f t="shared" si="20"/>
        <v/>
      </c>
      <c r="Y35" s="1875" t="str">
        <f t="shared" si="21"/>
        <v/>
      </c>
      <c r="Z35" s="1941"/>
      <c r="AA35" s="1960" t="str">
        <f t="shared" si="22"/>
        <v/>
      </c>
      <c r="AB35" s="1471" t="str">
        <f t="shared" si="23"/>
        <v/>
      </c>
      <c r="AC35" s="1908" t="str">
        <f t="shared" si="23"/>
        <v/>
      </c>
      <c r="AD35" s="1909" t="str">
        <f t="shared" ca="1" si="24"/>
        <v/>
      </c>
      <c r="AE35" s="1910" t="str">
        <f t="shared" ca="1" si="25"/>
        <v/>
      </c>
      <c r="AF35" s="1908" t="str">
        <f t="shared" ca="1" si="26"/>
        <v/>
      </c>
      <c r="AG35" s="1909" t="str">
        <f t="shared" ca="1" si="27"/>
        <v/>
      </c>
      <c r="AH35" s="1910" t="str">
        <f t="shared" ca="1" si="28"/>
        <v/>
      </c>
      <c r="AI35" s="1909" t="str">
        <f t="shared" ca="1" si="29"/>
        <v/>
      </c>
      <c r="AJ35" s="1910" t="str">
        <f t="shared" ca="1" si="30"/>
        <v/>
      </c>
      <c r="AK35" s="1911" t="str">
        <f t="shared" si="31"/>
        <v/>
      </c>
      <c r="AL35" s="1912" t="str">
        <f t="shared" si="31"/>
        <v/>
      </c>
      <c r="AM35" s="1913" t="str">
        <f t="shared" si="31"/>
        <v/>
      </c>
      <c r="AN35" s="1908" t="str">
        <f t="shared" si="31"/>
        <v/>
      </c>
      <c r="AO35" s="1961" t="str">
        <f t="shared" si="31"/>
        <v/>
      </c>
      <c r="AP35" s="1915" t="str">
        <f t="shared" si="32"/>
        <v/>
      </c>
      <c r="AQ35" s="1916" t="str">
        <f t="shared" si="32"/>
        <v/>
      </c>
      <c r="AR35" s="1917" t="str">
        <f t="shared" si="33"/>
        <v/>
      </c>
      <c r="AS35" s="1910" t="str">
        <f t="shared" si="34"/>
        <v/>
      </c>
      <c r="AT35" s="1918" t="str">
        <f t="shared" si="35"/>
        <v/>
      </c>
      <c r="AU35" s="1919" t="str">
        <f t="shared" si="35"/>
        <v/>
      </c>
      <c r="AV35" s="1920" t="str">
        <f t="shared" si="36"/>
        <v/>
      </c>
      <c r="AW35" s="1910" t="str">
        <f t="shared" si="37"/>
        <v/>
      </c>
      <c r="AX35" s="1918" t="str">
        <f t="shared" si="38"/>
        <v/>
      </c>
      <c r="AY35" s="1919" t="str">
        <f t="shared" si="38"/>
        <v/>
      </c>
      <c r="AZ35" s="1920" t="str">
        <f t="shared" si="39"/>
        <v/>
      </c>
      <c r="BA35" s="1910" t="str">
        <f t="shared" si="40"/>
        <v/>
      </c>
      <c r="BB35" s="1918" t="str">
        <f t="shared" si="41"/>
        <v/>
      </c>
      <c r="BC35" s="1919" t="str">
        <f t="shared" si="41"/>
        <v/>
      </c>
      <c r="BD35" s="1920" t="str">
        <f t="shared" si="42"/>
        <v/>
      </c>
      <c r="BE35" s="1910" t="str">
        <f t="shared" si="43"/>
        <v/>
      </c>
      <c r="BF35" s="1918" t="str">
        <f t="shared" si="44"/>
        <v/>
      </c>
      <c r="BG35" s="1919" t="str">
        <f t="shared" si="44"/>
        <v/>
      </c>
      <c r="BH35" s="322"/>
      <c r="BJ35" s="1258" t="str">
        <f t="shared" si="88"/>
        <v/>
      </c>
      <c r="BK35" s="1256" t="b">
        <f t="shared" si="45"/>
        <v>0</v>
      </c>
      <c r="BL35" s="1251" t="b">
        <v>0</v>
      </c>
      <c r="BM35" s="1251">
        <f t="shared" si="46"/>
        <v>0</v>
      </c>
      <c r="BN35" s="1251">
        <f t="shared" si="47"/>
        <v>0</v>
      </c>
      <c r="BO35" s="1251">
        <f t="shared" si="48"/>
        <v>0</v>
      </c>
      <c r="BP35" s="1251">
        <f t="shared" si="49"/>
        <v>0</v>
      </c>
      <c r="BQ35" s="1251">
        <f t="shared" si="50"/>
        <v>0</v>
      </c>
      <c r="BR35" s="1251" t="b">
        <f t="shared" si="51"/>
        <v>1</v>
      </c>
      <c r="BS35" s="1252">
        <f t="shared" si="52"/>
        <v>6</v>
      </c>
      <c r="BT35" s="1252" t="str">
        <f t="shared" si="53"/>
        <v>No</v>
      </c>
      <c r="BU35" s="1252">
        <f t="shared" si="54"/>
        <v>6</v>
      </c>
      <c r="BV35" s="1252" t="str">
        <f t="shared" si="55"/>
        <v>No</v>
      </c>
      <c r="BW35" s="1253">
        <f t="shared" ca="1" si="56"/>
        <v>0</v>
      </c>
      <c r="BX35" s="1254" t="str">
        <f t="shared" ca="1" si="57"/>
        <v/>
      </c>
      <c r="BY35" s="1254" t="b">
        <f t="shared" ca="1" si="58"/>
        <v>0</v>
      </c>
      <c r="BZ35" s="1253" t="b">
        <f t="shared" si="81"/>
        <v>0</v>
      </c>
      <c r="CB35" s="842"/>
      <c r="CC35" s="894"/>
      <c r="CD35" s="883"/>
      <c r="CE35" s="884"/>
      <c r="CF35" s="885"/>
      <c r="CG35" s="901"/>
      <c r="CH35" s="902"/>
      <c r="CI35" s="903"/>
      <c r="CJ35" s="902"/>
      <c r="CK35" s="903"/>
      <c r="CL35" s="904"/>
      <c r="CM35" s="944"/>
      <c r="CN35" s="901"/>
      <c r="CO35" s="902"/>
      <c r="CP35" s="903"/>
      <c r="CQ35" s="902"/>
      <c r="CR35" s="903"/>
      <c r="CS35" s="904"/>
      <c r="CT35" s="944"/>
      <c r="CU35" s="906"/>
      <c r="CV35" s="886"/>
      <c r="CW35" s="887"/>
      <c r="CX35" s="915"/>
      <c r="CY35" s="916"/>
      <c r="CZ35" s="932"/>
      <c r="DA35" s="933"/>
      <c r="DB35" s="932"/>
      <c r="DC35" s="933"/>
      <c r="DD35" s="1149"/>
      <c r="DE35" s="1150"/>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30" t="str">
        <f t="shared" si="62"/>
        <v/>
      </c>
      <c r="EP35" s="726" t="str">
        <f t="shared" si="63"/>
        <v/>
      </c>
      <c r="EQ35" s="727" t="str">
        <f t="shared" si="64"/>
        <v/>
      </c>
      <c r="ER35" s="961" t="str">
        <f t="shared" si="65"/>
        <v/>
      </c>
      <c r="ES35" s="962" t="str">
        <f t="shared" si="82"/>
        <v/>
      </c>
      <c r="ET35" s="963" t="str">
        <f t="shared" si="66"/>
        <v/>
      </c>
      <c r="EU35" s="964" t="str">
        <f t="shared" si="67"/>
        <v/>
      </c>
      <c r="EX35" s="1194" t="str">
        <f t="shared" ca="1" si="83"/>
        <v/>
      </c>
      <c r="EY35" s="1196" t="str">
        <f t="shared" si="68"/>
        <v/>
      </c>
      <c r="EZ35" s="1196" t="str">
        <f t="shared" si="84"/>
        <v/>
      </c>
      <c r="FA35" s="1217" t="str">
        <f t="shared" ca="1" si="89"/>
        <v/>
      </c>
      <c r="FB35" s="1218" t="str">
        <f t="shared" ca="1" si="85"/>
        <v/>
      </c>
      <c r="FC35" s="1218">
        <f t="shared" ca="1" si="69"/>
        <v>0</v>
      </c>
      <c r="FD35" s="1218">
        <f t="shared" ca="1" si="70"/>
        <v>0</v>
      </c>
      <c r="FE35" s="1218">
        <f t="shared" ca="1" si="71"/>
        <v>0</v>
      </c>
      <c r="FF35" s="1218">
        <f t="shared" ca="1" si="86"/>
        <v>0</v>
      </c>
      <c r="FN35" s="969" t="b">
        <v>0</v>
      </c>
      <c r="FO35" s="969" t="b">
        <f t="shared" si="72"/>
        <v>1</v>
      </c>
      <c r="FP35" s="969" t="b">
        <v>0</v>
      </c>
      <c r="FQ35" s="969" t="b">
        <f t="shared" si="87"/>
        <v>1</v>
      </c>
      <c r="FW35" s="2"/>
      <c r="FX35" s="2"/>
      <c r="FZ35" s="2"/>
      <c r="GA35" s="1935" t="str">
        <f t="shared" si="73"/>
        <v/>
      </c>
      <c r="GB35" s="1936" t="str">
        <f t="shared" si="74"/>
        <v/>
      </c>
      <c r="GC35" s="1937" t="str">
        <f t="shared" si="75"/>
        <v/>
      </c>
      <c r="GD35" s="1938" t="str">
        <f t="shared" si="76"/>
        <v/>
      </c>
      <c r="GE35" s="1939" t="str">
        <f t="shared" si="77"/>
        <v/>
      </c>
      <c r="GF35" s="1940" t="str">
        <f t="shared" si="78"/>
        <v/>
      </c>
      <c r="GG35" s="1457"/>
      <c r="GH35" s="1459"/>
      <c r="GI35" s="1457"/>
      <c r="GJ35" s="1459"/>
      <c r="GK35" s="326">
        <f t="shared" si="79"/>
        <v>0</v>
      </c>
      <c r="GL35" s="326" t="e">
        <f t="shared" si="80"/>
        <v>#VALUE!</v>
      </c>
      <c r="GM35" s="327" t="e">
        <f>IF(ABS(GK35-GL35)&gt;='Job Info.'!$L$22,ABS(GK35-GL35),0)</f>
        <v>#VALUE!</v>
      </c>
      <c r="HA35" s="1612"/>
      <c r="HB35" s="1613"/>
      <c r="HC35" s="1613"/>
      <c r="HD35" s="1614"/>
      <c r="HE35" s="1615"/>
      <c r="HF35" s="1613"/>
      <c r="HG35" s="1613"/>
      <c r="HH35" s="1613"/>
      <c r="HI35" s="1613"/>
      <c r="HJ35" s="1613"/>
      <c r="HK35" s="1613"/>
      <c r="HL35" s="1613"/>
      <c r="HM35" s="1613"/>
      <c r="HN35" s="1613"/>
      <c r="HO35" s="1613"/>
      <c r="HP35" s="1613"/>
      <c r="HQ35" s="1613"/>
      <c r="HR35" s="1613"/>
      <c r="HS35" s="1613"/>
      <c r="HT35" s="1613"/>
      <c r="HU35" s="1613"/>
      <c r="HV35" s="1613"/>
      <c r="HW35" s="1613"/>
      <c r="HX35" s="1613"/>
      <c r="HY35" s="1617"/>
      <c r="HZ35" s="1617"/>
      <c r="IA35" s="1617"/>
      <c r="IB35" s="1617"/>
      <c r="IC35" s="1617"/>
      <c r="ID35" s="1632"/>
      <c r="IE35" s="1612"/>
      <c r="IF35" s="1613"/>
      <c r="IG35" s="1614"/>
      <c r="IH35" s="1615"/>
      <c r="II35" s="1613"/>
      <c r="IJ35" s="1614"/>
      <c r="IK35" s="1615"/>
      <c r="IL35" s="1613"/>
      <c r="IM35" s="1613"/>
      <c r="IN35" s="1613"/>
      <c r="IO35" s="1613"/>
      <c r="IP35" s="1613"/>
      <c r="IQ35" s="1613"/>
      <c r="IR35" s="1613"/>
      <c r="IS35" s="1614"/>
      <c r="IT35" s="1615"/>
      <c r="IU35" s="1613"/>
      <c r="IV35" s="1613"/>
      <c r="IW35" s="1614"/>
      <c r="IX35" s="1615"/>
      <c r="IY35" s="1613"/>
      <c r="IZ35" s="1613"/>
      <c r="JA35" s="1614"/>
      <c r="JB35" s="1615"/>
      <c r="JC35" s="1613"/>
      <c r="JD35" s="1613"/>
      <c r="JE35" s="1614"/>
      <c r="JF35" s="1615"/>
      <c r="JG35" s="1613"/>
      <c r="JH35" s="1613"/>
      <c r="JI35" s="1613"/>
      <c r="JJ35" s="1616"/>
      <c r="JK35" s="1613"/>
      <c r="JL35" s="1521">
        <f t="shared" ca="1" si="90"/>
        <v>0</v>
      </c>
    </row>
    <row r="36" spans="1:272" ht="12.6" customHeight="1" x14ac:dyDescent="0.25">
      <c r="A36" s="1861" t="str">
        <f t="shared" si="0"/>
        <v/>
      </c>
      <c r="B36" s="1862" t="str">
        <f t="shared" si="0"/>
        <v/>
      </c>
      <c r="C36" s="1863" t="str">
        <f t="shared" si="0"/>
        <v/>
      </c>
      <c r="D36" s="1864" t="str">
        <f t="shared" si="1"/>
        <v/>
      </c>
      <c r="E36" s="1865" t="str">
        <f t="shared" si="2"/>
        <v/>
      </c>
      <c r="F36" s="1866" t="str">
        <f t="shared" si="3"/>
        <v/>
      </c>
      <c r="G36" s="1867" t="str">
        <f t="shared" si="4"/>
        <v/>
      </c>
      <c r="H36" s="1868" t="str">
        <f t="shared" si="5"/>
        <v/>
      </c>
      <c r="I36" s="1869" t="str">
        <f t="shared" si="6"/>
        <v/>
      </c>
      <c r="J36" s="1864" t="str">
        <f t="shared" si="7"/>
        <v/>
      </c>
      <c r="K36" s="1868" t="str">
        <f t="shared" si="8"/>
        <v/>
      </c>
      <c r="L36" s="1870" t="str">
        <f t="shared" si="9"/>
        <v/>
      </c>
      <c r="M36" s="1871" t="str">
        <f t="shared" si="10"/>
        <v/>
      </c>
      <c r="N36" s="1872" t="str">
        <f t="shared" si="10"/>
        <v/>
      </c>
      <c r="O36" s="1867" t="str">
        <f t="shared" si="11"/>
        <v/>
      </c>
      <c r="P36" s="1868" t="str">
        <f t="shared" si="12"/>
        <v/>
      </c>
      <c r="Q36" s="1864" t="str">
        <f t="shared" si="13"/>
        <v/>
      </c>
      <c r="R36" s="1865" t="str">
        <f t="shared" si="14"/>
        <v/>
      </c>
      <c r="S36" s="1873" t="str">
        <f t="shared" si="15"/>
        <v/>
      </c>
      <c r="T36" s="1868" t="str">
        <f t="shared" si="16"/>
        <v/>
      </c>
      <c r="U36" s="1864" t="str">
        <f t="shared" si="17"/>
        <v/>
      </c>
      <c r="V36" s="1868" t="str">
        <f t="shared" si="18"/>
        <v/>
      </c>
      <c r="W36" s="1872">
        <f t="shared" si="19"/>
        <v>0</v>
      </c>
      <c r="X36" s="1874" t="str">
        <f t="shared" si="20"/>
        <v/>
      </c>
      <c r="Y36" s="1875" t="str">
        <f t="shared" si="21"/>
        <v/>
      </c>
      <c r="Z36" s="1941"/>
      <c r="AA36" s="1960" t="str">
        <f t="shared" si="22"/>
        <v/>
      </c>
      <c r="AB36" s="1471" t="str">
        <f t="shared" si="23"/>
        <v/>
      </c>
      <c r="AC36" s="1908" t="str">
        <f t="shared" si="23"/>
        <v/>
      </c>
      <c r="AD36" s="1909" t="str">
        <f t="shared" ca="1" si="24"/>
        <v/>
      </c>
      <c r="AE36" s="1910" t="str">
        <f t="shared" ca="1" si="25"/>
        <v/>
      </c>
      <c r="AF36" s="1908" t="str">
        <f t="shared" ca="1" si="26"/>
        <v/>
      </c>
      <c r="AG36" s="1909" t="str">
        <f t="shared" ca="1" si="27"/>
        <v/>
      </c>
      <c r="AH36" s="1910" t="str">
        <f t="shared" ca="1" si="28"/>
        <v/>
      </c>
      <c r="AI36" s="1909" t="str">
        <f t="shared" ca="1" si="29"/>
        <v/>
      </c>
      <c r="AJ36" s="1910" t="str">
        <f t="shared" ca="1" si="30"/>
        <v/>
      </c>
      <c r="AK36" s="1911" t="str">
        <f t="shared" si="31"/>
        <v/>
      </c>
      <c r="AL36" s="1912" t="str">
        <f t="shared" si="31"/>
        <v/>
      </c>
      <c r="AM36" s="1913" t="str">
        <f t="shared" si="31"/>
        <v/>
      </c>
      <c r="AN36" s="1908" t="str">
        <f t="shared" si="31"/>
        <v/>
      </c>
      <c r="AO36" s="1961" t="str">
        <f t="shared" si="31"/>
        <v/>
      </c>
      <c r="AP36" s="1915" t="str">
        <f t="shared" si="32"/>
        <v/>
      </c>
      <c r="AQ36" s="1916" t="str">
        <f t="shared" si="32"/>
        <v/>
      </c>
      <c r="AR36" s="1917" t="str">
        <f t="shared" si="33"/>
        <v/>
      </c>
      <c r="AS36" s="1910" t="str">
        <f t="shared" si="34"/>
        <v/>
      </c>
      <c r="AT36" s="1918" t="str">
        <f t="shared" si="35"/>
        <v/>
      </c>
      <c r="AU36" s="1919" t="str">
        <f t="shared" si="35"/>
        <v/>
      </c>
      <c r="AV36" s="1920" t="str">
        <f t="shared" si="36"/>
        <v/>
      </c>
      <c r="AW36" s="1910" t="str">
        <f t="shared" si="37"/>
        <v/>
      </c>
      <c r="AX36" s="1918" t="str">
        <f t="shared" si="38"/>
        <v/>
      </c>
      <c r="AY36" s="1919" t="str">
        <f t="shared" si="38"/>
        <v/>
      </c>
      <c r="AZ36" s="1920" t="str">
        <f t="shared" si="39"/>
        <v/>
      </c>
      <c r="BA36" s="1910" t="str">
        <f t="shared" si="40"/>
        <v/>
      </c>
      <c r="BB36" s="1918" t="str">
        <f t="shared" si="41"/>
        <v/>
      </c>
      <c r="BC36" s="1919" t="str">
        <f t="shared" si="41"/>
        <v/>
      </c>
      <c r="BD36" s="1920" t="str">
        <f t="shared" si="42"/>
        <v/>
      </c>
      <c r="BE36" s="1910" t="str">
        <f t="shared" si="43"/>
        <v/>
      </c>
      <c r="BF36" s="1918" t="str">
        <f t="shared" si="44"/>
        <v/>
      </c>
      <c r="BG36" s="1919" t="str">
        <f t="shared" si="44"/>
        <v/>
      </c>
      <c r="BH36" s="322"/>
      <c r="BJ36" s="1258" t="str">
        <f t="shared" si="88"/>
        <v/>
      </c>
      <c r="BK36" s="1256" t="b">
        <f t="shared" si="45"/>
        <v>0</v>
      </c>
      <c r="BL36" s="1251" t="b">
        <v>0</v>
      </c>
      <c r="BM36" s="1251">
        <f t="shared" si="46"/>
        <v>0</v>
      </c>
      <c r="BN36" s="1251">
        <f t="shared" si="47"/>
        <v>0</v>
      </c>
      <c r="BO36" s="1251">
        <f t="shared" si="48"/>
        <v>0</v>
      </c>
      <c r="BP36" s="1251">
        <f t="shared" si="49"/>
        <v>0</v>
      </c>
      <c r="BQ36" s="1251">
        <f t="shared" si="50"/>
        <v>0</v>
      </c>
      <c r="BR36" s="1251" t="b">
        <f t="shared" si="51"/>
        <v>1</v>
      </c>
      <c r="BS36" s="1252">
        <f t="shared" si="52"/>
        <v>6</v>
      </c>
      <c r="BT36" s="1252" t="str">
        <f t="shared" si="53"/>
        <v>No</v>
      </c>
      <c r="BU36" s="1252">
        <f t="shared" si="54"/>
        <v>6</v>
      </c>
      <c r="BV36" s="1252" t="str">
        <f t="shared" si="55"/>
        <v>No</v>
      </c>
      <c r="BW36" s="1253">
        <f t="shared" ca="1" si="56"/>
        <v>0</v>
      </c>
      <c r="BX36" s="1254" t="str">
        <f t="shared" ca="1" si="57"/>
        <v/>
      </c>
      <c r="BY36" s="1254" t="b">
        <f t="shared" ca="1" si="58"/>
        <v>0</v>
      </c>
      <c r="BZ36" s="1253" t="b">
        <f t="shared" si="81"/>
        <v>0</v>
      </c>
      <c r="CB36" s="842"/>
      <c r="CC36" s="894"/>
      <c r="CD36" s="883"/>
      <c r="CE36" s="884"/>
      <c r="CF36" s="885"/>
      <c r="CG36" s="901"/>
      <c r="CH36" s="902"/>
      <c r="CI36" s="903"/>
      <c r="CJ36" s="902"/>
      <c r="CK36" s="903"/>
      <c r="CL36" s="904"/>
      <c r="CM36" s="944"/>
      <c r="CN36" s="901"/>
      <c r="CO36" s="902"/>
      <c r="CP36" s="903"/>
      <c r="CQ36" s="902"/>
      <c r="CR36" s="903"/>
      <c r="CS36" s="904"/>
      <c r="CT36" s="944"/>
      <c r="CU36" s="906"/>
      <c r="CV36" s="886"/>
      <c r="CW36" s="887"/>
      <c r="CX36" s="915"/>
      <c r="CY36" s="916"/>
      <c r="CZ36" s="932"/>
      <c r="DA36" s="933"/>
      <c r="DB36" s="932"/>
      <c r="DC36" s="933"/>
      <c r="DD36" s="1149"/>
      <c r="DE36" s="1150"/>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30" t="str">
        <f t="shared" si="62"/>
        <v/>
      </c>
      <c r="EP36" s="726" t="str">
        <f t="shared" si="63"/>
        <v/>
      </c>
      <c r="EQ36" s="727" t="str">
        <f t="shared" si="64"/>
        <v/>
      </c>
      <c r="ER36" s="961" t="str">
        <f t="shared" si="65"/>
        <v/>
      </c>
      <c r="ES36" s="962" t="str">
        <f t="shared" si="82"/>
        <v/>
      </c>
      <c r="ET36" s="963" t="str">
        <f t="shared" si="66"/>
        <v/>
      </c>
      <c r="EU36" s="964" t="str">
        <f t="shared" si="67"/>
        <v/>
      </c>
      <c r="EX36" s="1194" t="str">
        <f t="shared" ca="1" si="83"/>
        <v/>
      </c>
      <c r="EY36" s="1196" t="str">
        <f t="shared" si="68"/>
        <v/>
      </c>
      <c r="EZ36" s="1196" t="str">
        <f t="shared" si="84"/>
        <v/>
      </c>
      <c r="FA36" s="1217" t="str">
        <f t="shared" ca="1" si="89"/>
        <v/>
      </c>
      <c r="FB36" s="1218" t="str">
        <f t="shared" ca="1" si="85"/>
        <v/>
      </c>
      <c r="FC36" s="1218">
        <f t="shared" ca="1" si="69"/>
        <v>0</v>
      </c>
      <c r="FD36" s="1218">
        <f t="shared" ca="1" si="70"/>
        <v>0</v>
      </c>
      <c r="FE36" s="1218">
        <f t="shared" ca="1" si="71"/>
        <v>0</v>
      </c>
      <c r="FF36" s="1218">
        <f t="shared" ca="1" si="86"/>
        <v>0</v>
      </c>
      <c r="FN36" s="969" t="b">
        <v>0</v>
      </c>
      <c r="FO36" s="969" t="b">
        <f t="shared" si="72"/>
        <v>1</v>
      </c>
      <c r="FP36" s="1815" t="b">
        <v>0</v>
      </c>
      <c r="FQ36" s="969" t="b">
        <f t="shared" si="87"/>
        <v>1</v>
      </c>
      <c r="FW36" s="2"/>
      <c r="FX36" s="2"/>
      <c r="FZ36" s="2"/>
      <c r="GA36" s="1935" t="str">
        <f t="shared" si="73"/>
        <v/>
      </c>
      <c r="GB36" s="1936" t="str">
        <f t="shared" si="74"/>
        <v/>
      </c>
      <c r="GC36" s="1937" t="str">
        <f t="shared" si="75"/>
        <v/>
      </c>
      <c r="GD36" s="1938" t="str">
        <f t="shared" si="76"/>
        <v/>
      </c>
      <c r="GE36" s="1939" t="str">
        <f t="shared" si="77"/>
        <v/>
      </c>
      <c r="GF36" s="1940" t="str">
        <f t="shared" si="78"/>
        <v/>
      </c>
      <c r="GG36" s="1457"/>
      <c r="GH36" s="1459"/>
      <c r="GI36" s="1457"/>
      <c r="GJ36" s="1459"/>
      <c r="GK36" s="326">
        <f t="shared" si="79"/>
        <v>0</v>
      </c>
      <c r="GL36" s="326" t="e">
        <f t="shared" si="80"/>
        <v>#VALUE!</v>
      </c>
      <c r="GM36" s="327" t="e">
        <f>IF(ABS(GK36-GL36)&gt;='Job Info.'!$L$22,ABS(GK36-GL36),0)</f>
        <v>#VALUE!</v>
      </c>
      <c r="HA36" s="1612"/>
      <c r="HB36" s="1613"/>
      <c r="HC36" s="1613"/>
      <c r="HD36" s="1614"/>
      <c r="HE36" s="1615"/>
      <c r="HF36" s="1613"/>
      <c r="HG36" s="1613"/>
      <c r="HH36" s="1613"/>
      <c r="HI36" s="1613"/>
      <c r="HJ36" s="1613"/>
      <c r="HK36" s="1613"/>
      <c r="HL36" s="1613"/>
      <c r="HM36" s="1613"/>
      <c r="HN36" s="1613"/>
      <c r="HO36" s="1613"/>
      <c r="HP36" s="1613"/>
      <c r="HQ36" s="1613"/>
      <c r="HR36" s="1613"/>
      <c r="HS36" s="1613"/>
      <c r="HT36" s="1613"/>
      <c r="HU36" s="1613"/>
      <c r="HV36" s="1613"/>
      <c r="HW36" s="1613"/>
      <c r="HX36" s="1613"/>
      <c r="HY36" s="1617"/>
      <c r="HZ36" s="1617"/>
      <c r="IA36" s="1617"/>
      <c r="IB36" s="1617"/>
      <c r="IC36" s="1617"/>
      <c r="ID36" s="1632"/>
      <c r="IE36" s="1612"/>
      <c r="IF36" s="1613"/>
      <c r="IG36" s="1614"/>
      <c r="IH36" s="1615"/>
      <c r="II36" s="1613"/>
      <c r="IJ36" s="1614"/>
      <c r="IK36" s="1615"/>
      <c r="IL36" s="1613"/>
      <c r="IM36" s="1613"/>
      <c r="IN36" s="1613"/>
      <c r="IO36" s="1613"/>
      <c r="IP36" s="1613"/>
      <c r="IQ36" s="1613"/>
      <c r="IR36" s="1613"/>
      <c r="IS36" s="1614"/>
      <c r="IT36" s="1615"/>
      <c r="IU36" s="1613"/>
      <c r="IV36" s="1613"/>
      <c r="IW36" s="1614"/>
      <c r="IX36" s="1615"/>
      <c r="IY36" s="1613"/>
      <c r="IZ36" s="1613"/>
      <c r="JA36" s="1614"/>
      <c r="JB36" s="1615"/>
      <c r="JC36" s="1613"/>
      <c r="JD36" s="1613"/>
      <c r="JE36" s="1614"/>
      <c r="JF36" s="1615"/>
      <c r="JG36" s="1613"/>
      <c r="JH36" s="1613"/>
      <c r="JI36" s="1613"/>
      <c r="JJ36" s="1616"/>
      <c r="JK36" s="1613"/>
      <c r="JL36" s="1521">
        <f t="shared" ca="1" si="90"/>
        <v>0</v>
      </c>
    </row>
    <row r="37" spans="1:272" ht="12.6" customHeight="1" x14ac:dyDescent="0.25">
      <c r="A37" s="1861" t="str">
        <f t="shared" si="0"/>
        <v/>
      </c>
      <c r="B37" s="1862" t="str">
        <f t="shared" si="0"/>
        <v/>
      </c>
      <c r="C37" s="1863" t="str">
        <f t="shared" si="0"/>
        <v/>
      </c>
      <c r="D37" s="1864" t="str">
        <f t="shared" si="1"/>
        <v/>
      </c>
      <c r="E37" s="1865" t="str">
        <f t="shared" si="2"/>
        <v/>
      </c>
      <c r="F37" s="1866" t="str">
        <f t="shared" si="3"/>
        <v/>
      </c>
      <c r="G37" s="1867" t="str">
        <f t="shared" si="4"/>
        <v/>
      </c>
      <c r="H37" s="1868" t="str">
        <f t="shared" si="5"/>
        <v/>
      </c>
      <c r="I37" s="1869" t="str">
        <f t="shared" si="6"/>
        <v/>
      </c>
      <c r="J37" s="1864" t="str">
        <f t="shared" si="7"/>
        <v/>
      </c>
      <c r="K37" s="1868" t="str">
        <f t="shared" si="8"/>
        <v/>
      </c>
      <c r="L37" s="1870" t="str">
        <f t="shared" si="9"/>
        <v/>
      </c>
      <c r="M37" s="1871" t="str">
        <f t="shared" si="10"/>
        <v/>
      </c>
      <c r="N37" s="1872" t="str">
        <f t="shared" si="10"/>
        <v/>
      </c>
      <c r="O37" s="1867" t="str">
        <f t="shared" si="11"/>
        <v/>
      </c>
      <c r="P37" s="1868" t="str">
        <f t="shared" si="12"/>
        <v/>
      </c>
      <c r="Q37" s="1864" t="str">
        <f t="shared" si="13"/>
        <v/>
      </c>
      <c r="R37" s="1865" t="str">
        <f t="shared" si="14"/>
        <v/>
      </c>
      <c r="S37" s="1873" t="str">
        <f t="shared" si="15"/>
        <v/>
      </c>
      <c r="T37" s="1868" t="str">
        <f t="shared" si="16"/>
        <v/>
      </c>
      <c r="U37" s="1864" t="str">
        <f t="shared" si="17"/>
        <v/>
      </c>
      <c r="V37" s="1868" t="str">
        <f t="shared" si="18"/>
        <v/>
      </c>
      <c r="W37" s="1872">
        <f t="shared" si="19"/>
        <v>0</v>
      </c>
      <c r="X37" s="1874" t="str">
        <f t="shared" si="20"/>
        <v/>
      </c>
      <c r="Y37" s="1875" t="str">
        <f t="shared" si="21"/>
        <v/>
      </c>
      <c r="Z37" s="1941"/>
      <c r="AA37" s="1960" t="str">
        <f t="shared" si="22"/>
        <v/>
      </c>
      <c r="AB37" s="1471" t="str">
        <f t="shared" si="23"/>
        <v/>
      </c>
      <c r="AC37" s="1908" t="str">
        <f t="shared" si="23"/>
        <v/>
      </c>
      <c r="AD37" s="1909" t="str">
        <f t="shared" ca="1" si="24"/>
        <v/>
      </c>
      <c r="AE37" s="1910" t="str">
        <f t="shared" ca="1" si="25"/>
        <v/>
      </c>
      <c r="AF37" s="1908" t="str">
        <f t="shared" ca="1" si="26"/>
        <v/>
      </c>
      <c r="AG37" s="1909" t="str">
        <f t="shared" ca="1" si="27"/>
        <v/>
      </c>
      <c r="AH37" s="1910" t="str">
        <f t="shared" ca="1" si="28"/>
        <v/>
      </c>
      <c r="AI37" s="1909" t="str">
        <f t="shared" ca="1" si="29"/>
        <v/>
      </c>
      <c r="AJ37" s="1910" t="str">
        <f t="shared" ca="1" si="30"/>
        <v/>
      </c>
      <c r="AK37" s="1911" t="str">
        <f t="shared" si="31"/>
        <v/>
      </c>
      <c r="AL37" s="1912" t="str">
        <f t="shared" si="31"/>
        <v/>
      </c>
      <c r="AM37" s="1913" t="str">
        <f t="shared" si="31"/>
        <v/>
      </c>
      <c r="AN37" s="1908" t="str">
        <f t="shared" si="31"/>
        <v/>
      </c>
      <c r="AO37" s="1961" t="str">
        <f t="shared" si="31"/>
        <v/>
      </c>
      <c r="AP37" s="1915" t="str">
        <f t="shared" si="32"/>
        <v/>
      </c>
      <c r="AQ37" s="1916" t="str">
        <f t="shared" si="32"/>
        <v/>
      </c>
      <c r="AR37" s="1917" t="str">
        <f t="shared" si="33"/>
        <v/>
      </c>
      <c r="AS37" s="1910" t="str">
        <f t="shared" si="34"/>
        <v/>
      </c>
      <c r="AT37" s="1918" t="str">
        <f t="shared" si="35"/>
        <v/>
      </c>
      <c r="AU37" s="1919" t="str">
        <f t="shared" si="35"/>
        <v/>
      </c>
      <c r="AV37" s="1920" t="str">
        <f t="shared" si="36"/>
        <v/>
      </c>
      <c r="AW37" s="1910" t="str">
        <f t="shared" si="37"/>
        <v/>
      </c>
      <c r="AX37" s="1918" t="str">
        <f t="shared" si="38"/>
        <v/>
      </c>
      <c r="AY37" s="1919" t="str">
        <f t="shared" si="38"/>
        <v/>
      </c>
      <c r="AZ37" s="1920" t="str">
        <f t="shared" si="39"/>
        <v/>
      </c>
      <c r="BA37" s="1910" t="str">
        <f t="shared" si="40"/>
        <v/>
      </c>
      <c r="BB37" s="1918" t="str">
        <f t="shared" si="41"/>
        <v/>
      </c>
      <c r="BC37" s="1919" t="str">
        <f t="shared" si="41"/>
        <v/>
      </c>
      <c r="BD37" s="1920" t="str">
        <f t="shared" si="42"/>
        <v/>
      </c>
      <c r="BE37" s="1910" t="str">
        <f t="shared" si="43"/>
        <v/>
      </c>
      <c r="BF37" s="1918" t="str">
        <f t="shared" si="44"/>
        <v/>
      </c>
      <c r="BG37" s="1919" t="str">
        <f t="shared" si="44"/>
        <v/>
      </c>
      <c r="BH37" s="322"/>
      <c r="BJ37" s="1258" t="str">
        <f t="shared" si="88"/>
        <v/>
      </c>
      <c r="BK37" s="1256" t="b">
        <f t="shared" si="45"/>
        <v>0</v>
      </c>
      <c r="BL37" s="1251" t="b">
        <v>0</v>
      </c>
      <c r="BM37" s="1251">
        <f t="shared" si="46"/>
        <v>0</v>
      </c>
      <c r="BN37" s="1251">
        <f t="shared" si="47"/>
        <v>0</v>
      </c>
      <c r="BO37" s="1251">
        <f t="shared" si="48"/>
        <v>0</v>
      </c>
      <c r="BP37" s="1251">
        <f t="shared" si="49"/>
        <v>0</v>
      </c>
      <c r="BQ37" s="1251">
        <f t="shared" si="50"/>
        <v>0</v>
      </c>
      <c r="BR37" s="1251" t="b">
        <f t="shared" si="51"/>
        <v>1</v>
      </c>
      <c r="BS37" s="1252">
        <f t="shared" si="52"/>
        <v>6</v>
      </c>
      <c r="BT37" s="1252" t="str">
        <f t="shared" si="53"/>
        <v>No</v>
      </c>
      <c r="BU37" s="1252">
        <f t="shared" si="54"/>
        <v>6</v>
      </c>
      <c r="BV37" s="1252" t="str">
        <f t="shared" si="55"/>
        <v>No</v>
      </c>
      <c r="BW37" s="1253">
        <f t="shared" ca="1" si="56"/>
        <v>0</v>
      </c>
      <c r="BX37" s="1254" t="str">
        <f t="shared" ca="1" si="57"/>
        <v/>
      </c>
      <c r="BY37" s="1254" t="b">
        <f t="shared" ca="1" si="58"/>
        <v>0</v>
      </c>
      <c r="BZ37" s="1253" t="b">
        <f t="shared" si="81"/>
        <v>0</v>
      </c>
      <c r="CB37" s="842"/>
      <c r="CC37" s="894"/>
      <c r="CD37" s="883"/>
      <c r="CE37" s="884"/>
      <c r="CF37" s="885"/>
      <c r="CG37" s="901"/>
      <c r="CH37" s="902"/>
      <c r="CI37" s="903"/>
      <c r="CJ37" s="902"/>
      <c r="CK37" s="903"/>
      <c r="CL37" s="904"/>
      <c r="CM37" s="944"/>
      <c r="CN37" s="901"/>
      <c r="CO37" s="902"/>
      <c r="CP37" s="903"/>
      <c r="CQ37" s="902"/>
      <c r="CR37" s="903"/>
      <c r="CS37" s="904"/>
      <c r="CT37" s="944"/>
      <c r="CU37" s="906"/>
      <c r="CV37" s="886"/>
      <c r="CW37" s="887"/>
      <c r="CX37" s="915"/>
      <c r="CY37" s="916"/>
      <c r="CZ37" s="932"/>
      <c r="DA37" s="933"/>
      <c r="DB37" s="932"/>
      <c r="DC37" s="933"/>
      <c r="DD37" s="1149"/>
      <c r="DE37" s="1150"/>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30" t="str">
        <f t="shared" si="62"/>
        <v/>
      </c>
      <c r="EP37" s="726" t="str">
        <f t="shared" si="63"/>
        <v/>
      </c>
      <c r="EQ37" s="727" t="str">
        <f t="shared" si="64"/>
        <v/>
      </c>
      <c r="ER37" s="961" t="str">
        <f t="shared" si="65"/>
        <v/>
      </c>
      <c r="ES37" s="962" t="str">
        <f t="shared" si="82"/>
        <v/>
      </c>
      <c r="ET37" s="963" t="str">
        <f t="shared" si="66"/>
        <v/>
      </c>
      <c r="EU37" s="964" t="str">
        <f t="shared" si="67"/>
        <v/>
      </c>
      <c r="EX37" s="1194" t="str">
        <f t="shared" ca="1" si="83"/>
        <v/>
      </c>
      <c r="EY37" s="1196" t="str">
        <f t="shared" si="68"/>
        <v/>
      </c>
      <c r="EZ37" s="1196" t="str">
        <f t="shared" si="84"/>
        <v/>
      </c>
      <c r="FA37" s="1217" t="str">
        <f t="shared" ca="1" si="89"/>
        <v/>
      </c>
      <c r="FB37" s="1218" t="str">
        <f t="shared" ca="1" si="85"/>
        <v/>
      </c>
      <c r="FC37" s="1218">
        <f t="shared" ca="1" si="69"/>
        <v>0</v>
      </c>
      <c r="FD37" s="1218">
        <f t="shared" ca="1" si="70"/>
        <v>0</v>
      </c>
      <c r="FE37" s="1218">
        <f t="shared" ca="1" si="71"/>
        <v>0</v>
      </c>
      <c r="FF37" s="1218">
        <f t="shared" ca="1" si="86"/>
        <v>0</v>
      </c>
      <c r="FN37" s="969" t="b">
        <v>0</v>
      </c>
      <c r="FO37" s="969" t="b">
        <f t="shared" si="72"/>
        <v>1</v>
      </c>
      <c r="FP37" s="1815" t="b">
        <v>0</v>
      </c>
      <c r="FQ37" s="969" t="b">
        <f t="shared" si="87"/>
        <v>1</v>
      </c>
      <c r="FW37" s="2"/>
      <c r="FX37" s="2"/>
      <c r="FZ37" s="2"/>
      <c r="GA37" s="1935" t="str">
        <f t="shared" si="73"/>
        <v/>
      </c>
      <c r="GB37" s="1936" t="str">
        <f t="shared" si="74"/>
        <v/>
      </c>
      <c r="GC37" s="1937" t="str">
        <f t="shared" si="75"/>
        <v/>
      </c>
      <c r="GD37" s="1938" t="str">
        <f t="shared" si="76"/>
        <v/>
      </c>
      <c r="GE37" s="1939" t="str">
        <f t="shared" si="77"/>
        <v/>
      </c>
      <c r="GF37" s="1940" t="str">
        <f t="shared" si="78"/>
        <v/>
      </c>
      <c r="GG37" s="1457"/>
      <c r="GH37" s="1459"/>
      <c r="GI37" s="1457"/>
      <c r="GJ37" s="1459"/>
      <c r="GK37" s="326">
        <f t="shared" si="79"/>
        <v>0</v>
      </c>
      <c r="GL37" s="326" t="e">
        <f t="shared" si="80"/>
        <v>#VALUE!</v>
      </c>
      <c r="GM37" s="327" t="e">
        <f>IF(ABS(GK37-GL37)&gt;='Job Info.'!$L$22,ABS(GK37-GL37),0)</f>
        <v>#VALUE!</v>
      </c>
      <c r="HA37" s="1612"/>
      <c r="HB37" s="1613"/>
      <c r="HC37" s="1613"/>
      <c r="HD37" s="1614"/>
      <c r="HE37" s="1615"/>
      <c r="HF37" s="1613"/>
      <c r="HG37" s="1613"/>
      <c r="HH37" s="1613"/>
      <c r="HI37" s="1613"/>
      <c r="HJ37" s="1613"/>
      <c r="HK37" s="1613"/>
      <c r="HL37" s="1613"/>
      <c r="HM37" s="1613"/>
      <c r="HN37" s="1613"/>
      <c r="HO37" s="1613"/>
      <c r="HP37" s="1613"/>
      <c r="HQ37" s="1613"/>
      <c r="HR37" s="1613"/>
      <c r="HS37" s="1613"/>
      <c r="HT37" s="1613"/>
      <c r="HU37" s="1613"/>
      <c r="HV37" s="1613"/>
      <c r="HW37" s="1613"/>
      <c r="HX37" s="1613"/>
      <c r="HY37" s="1617"/>
      <c r="HZ37" s="1617"/>
      <c r="IA37" s="1617"/>
      <c r="IB37" s="1617"/>
      <c r="IC37" s="1617"/>
      <c r="ID37" s="1632"/>
      <c r="IE37" s="1612"/>
      <c r="IF37" s="1613"/>
      <c r="IG37" s="1614"/>
      <c r="IH37" s="1615"/>
      <c r="II37" s="1613"/>
      <c r="IJ37" s="1614"/>
      <c r="IK37" s="1615"/>
      <c r="IL37" s="1613"/>
      <c r="IM37" s="1613"/>
      <c r="IN37" s="1613"/>
      <c r="IO37" s="1613"/>
      <c r="IP37" s="1613"/>
      <c r="IQ37" s="1613"/>
      <c r="IR37" s="1613"/>
      <c r="IS37" s="1614"/>
      <c r="IT37" s="1615"/>
      <c r="IU37" s="1613"/>
      <c r="IV37" s="1613"/>
      <c r="IW37" s="1614"/>
      <c r="IX37" s="1615"/>
      <c r="IY37" s="1613"/>
      <c r="IZ37" s="1613"/>
      <c r="JA37" s="1614"/>
      <c r="JB37" s="1615"/>
      <c r="JC37" s="1613"/>
      <c r="JD37" s="1613"/>
      <c r="JE37" s="1614"/>
      <c r="JF37" s="1615"/>
      <c r="JG37" s="1613"/>
      <c r="JH37" s="1613"/>
      <c r="JI37" s="1613"/>
      <c r="JJ37" s="1616"/>
      <c r="JK37" s="1613"/>
      <c r="JL37" s="1521">
        <f t="shared" ca="1" si="90"/>
        <v>0</v>
      </c>
    </row>
    <row r="38" spans="1:272" ht="12.6" customHeight="1" x14ac:dyDescent="0.25">
      <c r="A38" s="1861" t="str">
        <f t="shared" si="0"/>
        <v/>
      </c>
      <c r="B38" s="1862" t="str">
        <f t="shared" si="0"/>
        <v/>
      </c>
      <c r="C38" s="1863" t="str">
        <f t="shared" si="0"/>
        <v/>
      </c>
      <c r="D38" s="1864" t="str">
        <f t="shared" si="1"/>
        <v/>
      </c>
      <c r="E38" s="1865" t="str">
        <f t="shared" si="2"/>
        <v/>
      </c>
      <c r="F38" s="1866" t="str">
        <f t="shared" si="3"/>
        <v/>
      </c>
      <c r="G38" s="1867" t="str">
        <f t="shared" si="4"/>
        <v/>
      </c>
      <c r="H38" s="1868" t="str">
        <f t="shared" si="5"/>
        <v/>
      </c>
      <c r="I38" s="1869" t="str">
        <f t="shared" si="6"/>
        <v/>
      </c>
      <c r="J38" s="1864" t="str">
        <f t="shared" si="7"/>
        <v/>
      </c>
      <c r="K38" s="1868" t="str">
        <f t="shared" si="8"/>
        <v/>
      </c>
      <c r="L38" s="1870" t="str">
        <f t="shared" si="9"/>
        <v/>
      </c>
      <c r="M38" s="1871" t="str">
        <f t="shared" si="10"/>
        <v/>
      </c>
      <c r="N38" s="1872" t="str">
        <f t="shared" si="10"/>
        <v/>
      </c>
      <c r="O38" s="1867" t="str">
        <f t="shared" si="11"/>
        <v/>
      </c>
      <c r="P38" s="1868" t="str">
        <f t="shared" si="12"/>
        <v/>
      </c>
      <c r="Q38" s="1864" t="str">
        <f t="shared" si="13"/>
        <v/>
      </c>
      <c r="R38" s="1865" t="str">
        <f t="shared" si="14"/>
        <v/>
      </c>
      <c r="S38" s="1873" t="str">
        <f t="shared" si="15"/>
        <v/>
      </c>
      <c r="T38" s="1868" t="str">
        <f t="shared" si="16"/>
        <v/>
      </c>
      <c r="U38" s="1864" t="str">
        <f t="shared" si="17"/>
        <v/>
      </c>
      <c r="V38" s="1868" t="str">
        <f t="shared" si="18"/>
        <v/>
      </c>
      <c r="W38" s="1872">
        <f t="shared" si="19"/>
        <v>0</v>
      </c>
      <c r="X38" s="1874" t="str">
        <f t="shared" si="20"/>
        <v/>
      </c>
      <c r="Y38" s="1875" t="str">
        <f t="shared" si="21"/>
        <v/>
      </c>
      <c r="Z38" s="1941"/>
      <c r="AA38" s="1960" t="str">
        <f t="shared" si="22"/>
        <v/>
      </c>
      <c r="AB38" s="1471" t="str">
        <f t="shared" si="23"/>
        <v/>
      </c>
      <c r="AC38" s="1908" t="str">
        <f t="shared" si="23"/>
        <v/>
      </c>
      <c r="AD38" s="1909" t="str">
        <f t="shared" ca="1" si="24"/>
        <v/>
      </c>
      <c r="AE38" s="1910" t="str">
        <f t="shared" ca="1" si="25"/>
        <v/>
      </c>
      <c r="AF38" s="1908" t="str">
        <f t="shared" ca="1" si="26"/>
        <v/>
      </c>
      <c r="AG38" s="1909" t="str">
        <f t="shared" ca="1" si="27"/>
        <v/>
      </c>
      <c r="AH38" s="1910" t="str">
        <f t="shared" ca="1" si="28"/>
        <v/>
      </c>
      <c r="AI38" s="1909" t="str">
        <f t="shared" ca="1" si="29"/>
        <v/>
      </c>
      <c r="AJ38" s="1910" t="str">
        <f t="shared" ca="1" si="30"/>
        <v/>
      </c>
      <c r="AK38" s="1911" t="str">
        <f t="shared" si="31"/>
        <v/>
      </c>
      <c r="AL38" s="1912" t="str">
        <f t="shared" si="31"/>
        <v/>
      </c>
      <c r="AM38" s="1913" t="str">
        <f t="shared" si="31"/>
        <v/>
      </c>
      <c r="AN38" s="1908" t="str">
        <f t="shared" si="31"/>
        <v/>
      </c>
      <c r="AO38" s="1961" t="str">
        <f t="shared" si="31"/>
        <v/>
      </c>
      <c r="AP38" s="1915" t="str">
        <f t="shared" si="32"/>
        <v/>
      </c>
      <c r="AQ38" s="1916" t="str">
        <f t="shared" si="32"/>
        <v/>
      </c>
      <c r="AR38" s="1917" t="str">
        <f t="shared" si="33"/>
        <v/>
      </c>
      <c r="AS38" s="1910" t="str">
        <f t="shared" si="34"/>
        <v/>
      </c>
      <c r="AT38" s="1918" t="str">
        <f t="shared" si="35"/>
        <v/>
      </c>
      <c r="AU38" s="1919" t="str">
        <f t="shared" si="35"/>
        <v/>
      </c>
      <c r="AV38" s="1920" t="str">
        <f t="shared" si="36"/>
        <v/>
      </c>
      <c r="AW38" s="1910" t="str">
        <f t="shared" si="37"/>
        <v/>
      </c>
      <c r="AX38" s="1918" t="str">
        <f t="shared" si="38"/>
        <v/>
      </c>
      <c r="AY38" s="1919" t="str">
        <f t="shared" si="38"/>
        <v/>
      </c>
      <c r="AZ38" s="1920" t="str">
        <f t="shared" si="39"/>
        <v/>
      </c>
      <c r="BA38" s="1910" t="str">
        <f t="shared" si="40"/>
        <v/>
      </c>
      <c r="BB38" s="1918" t="str">
        <f t="shared" si="41"/>
        <v/>
      </c>
      <c r="BC38" s="1919" t="str">
        <f t="shared" si="41"/>
        <v/>
      </c>
      <c r="BD38" s="1920" t="str">
        <f t="shared" si="42"/>
        <v/>
      </c>
      <c r="BE38" s="1910" t="str">
        <f t="shared" si="43"/>
        <v/>
      </c>
      <c r="BF38" s="1918" t="str">
        <f t="shared" si="44"/>
        <v/>
      </c>
      <c r="BG38" s="1919" t="str">
        <f t="shared" si="44"/>
        <v/>
      </c>
      <c r="BH38" s="322"/>
      <c r="BJ38" s="1258" t="str">
        <f t="shared" si="88"/>
        <v/>
      </c>
      <c r="BK38" s="1256" t="b">
        <f t="shared" si="45"/>
        <v>0</v>
      </c>
      <c r="BL38" s="1251" t="b">
        <v>0</v>
      </c>
      <c r="BM38" s="1251">
        <f t="shared" si="46"/>
        <v>0</v>
      </c>
      <c r="BN38" s="1251">
        <f t="shared" si="47"/>
        <v>0</v>
      </c>
      <c r="BO38" s="1251">
        <f t="shared" si="48"/>
        <v>0</v>
      </c>
      <c r="BP38" s="1251">
        <f t="shared" si="49"/>
        <v>0</v>
      </c>
      <c r="BQ38" s="1251">
        <f t="shared" si="50"/>
        <v>0</v>
      </c>
      <c r="BR38" s="1251" t="b">
        <f t="shared" si="51"/>
        <v>1</v>
      </c>
      <c r="BS38" s="1252">
        <f t="shared" si="52"/>
        <v>6</v>
      </c>
      <c r="BT38" s="1252" t="str">
        <f t="shared" si="53"/>
        <v>No</v>
      </c>
      <c r="BU38" s="1252">
        <f t="shared" si="54"/>
        <v>6</v>
      </c>
      <c r="BV38" s="1252" t="str">
        <f t="shared" si="55"/>
        <v>No</v>
      </c>
      <c r="BW38" s="1253">
        <f t="shared" ca="1" si="56"/>
        <v>0</v>
      </c>
      <c r="BX38" s="1254" t="str">
        <f t="shared" ca="1" si="57"/>
        <v/>
      </c>
      <c r="BY38" s="1254" t="b">
        <f t="shared" ca="1" si="58"/>
        <v>0</v>
      </c>
      <c r="BZ38" s="1253" t="b">
        <f t="shared" si="81"/>
        <v>0</v>
      </c>
      <c r="CB38" s="842"/>
      <c r="CC38" s="894"/>
      <c r="CD38" s="883"/>
      <c r="CE38" s="884"/>
      <c r="CF38" s="885"/>
      <c r="CG38" s="901"/>
      <c r="CH38" s="902"/>
      <c r="CI38" s="903"/>
      <c r="CJ38" s="902"/>
      <c r="CK38" s="903"/>
      <c r="CL38" s="904"/>
      <c r="CM38" s="944"/>
      <c r="CN38" s="901"/>
      <c r="CO38" s="902"/>
      <c r="CP38" s="903"/>
      <c r="CQ38" s="902"/>
      <c r="CR38" s="903"/>
      <c r="CS38" s="904"/>
      <c r="CT38" s="944"/>
      <c r="CU38" s="906"/>
      <c r="CV38" s="886"/>
      <c r="CW38" s="887"/>
      <c r="CX38" s="915"/>
      <c r="CY38" s="916"/>
      <c r="CZ38" s="932"/>
      <c r="DA38" s="933"/>
      <c r="DB38" s="932"/>
      <c r="DC38" s="933"/>
      <c r="DD38" s="1149"/>
      <c r="DE38" s="1150"/>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30" t="str">
        <f t="shared" si="62"/>
        <v/>
      </c>
      <c r="EP38" s="726" t="str">
        <f t="shared" si="63"/>
        <v/>
      </c>
      <c r="EQ38" s="727" t="str">
        <f t="shared" si="64"/>
        <v/>
      </c>
      <c r="ER38" s="961" t="str">
        <f t="shared" si="65"/>
        <v/>
      </c>
      <c r="ES38" s="962" t="str">
        <f t="shared" si="82"/>
        <v/>
      </c>
      <c r="ET38" s="963" t="str">
        <f t="shared" si="66"/>
        <v/>
      </c>
      <c r="EU38" s="964" t="str">
        <f t="shared" si="67"/>
        <v/>
      </c>
      <c r="EX38" s="1194" t="str">
        <f t="shared" ca="1" si="83"/>
        <v/>
      </c>
      <c r="EY38" s="1196" t="str">
        <f t="shared" si="68"/>
        <v/>
      </c>
      <c r="EZ38" s="1196" t="str">
        <f t="shared" si="84"/>
        <v/>
      </c>
      <c r="FA38" s="1217" t="str">
        <f t="shared" ca="1" si="89"/>
        <v/>
      </c>
      <c r="FB38" s="1218" t="str">
        <f t="shared" ca="1" si="85"/>
        <v/>
      </c>
      <c r="FC38" s="1218">
        <f t="shared" ca="1" si="69"/>
        <v>0</v>
      </c>
      <c r="FD38" s="1218">
        <f t="shared" ca="1" si="70"/>
        <v>0</v>
      </c>
      <c r="FE38" s="1218">
        <f t="shared" ca="1" si="71"/>
        <v>0</v>
      </c>
      <c r="FF38" s="1218">
        <f t="shared" ca="1" si="86"/>
        <v>0</v>
      </c>
      <c r="FN38" s="969" t="b">
        <v>0</v>
      </c>
      <c r="FO38" s="969" t="b">
        <f t="shared" si="72"/>
        <v>1</v>
      </c>
      <c r="FP38" s="1815" t="b">
        <v>0</v>
      </c>
      <c r="FQ38" s="969" t="b">
        <f t="shared" si="87"/>
        <v>1</v>
      </c>
      <c r="FW38" s="2"/>
      <c r="FX38" s="2"/>
      <c r="FZ38" s="2"/>
      <c r="GA38" s="1935" t="str">
        <f t="shared" si="73"/>
        <v/>
      </c>
      <c r="GB38" s="1936" t="str">
        <f t="shared" si="74"/>
        <v/>
      </c>
      <c r="GC38" s="1937" t="str">
        <f t="shared" si="75"/>
        <v/>
      </c>
      <c r="GD38" s="1938" t="str">
        <f t="shared" si="76"/>
        <v/>
      </c>
      <c r="GE38" s="1939" t="str">
        <f t="shared" si="77"/>
        <v/>
      </c>
      <c r="GF38" s="1940" t="str">
        <f t="shared" si="78"/>
        <v/>
      </c>
      <c r="GG38" s="1457"/>
      <c r="GH38" s="1459"/>
      <c r="GI38" s="1457"/>
      <c r="GJ38" s="1459"/>
      <c r="GK38" s="326">
        <f t="shared" si="79"/>
        <v>0</v>
      </c>
      <c r="GL38" s="326" t="e">
        <f t="shared" si="80"/>
        <v>#VALUE!</v>
      </c>
      <c r="GM38" s="327" t="e">
        <f>IF(ABS(GK38-GL38)&gt;='Job Info.'!$L$22,ABS(GK38-GL38),0)</f>
        <v>#VALUE!</v>
      </c>
      <c r="HA38" s="1612"/>
      <c r="HB38" s="1613"/>
      <c r="HC38" s="1613"/>
      <c r="HD38" s="1614"/>
      <c r="HE38" s="1615"/>
      <c r="HF38" s="1613"/>
      <c r="HG38" s="1613"/>
      <c r="HH38" s="1613"/>
      <c r="HI38" s="1613"/>
      <c r="HJ38" s="1613"/>
      <c r="HK38" s="1613"/>
      <c r="HL38" s="1613"/>
      <c r="HM38" s="1613"/>
      <c r="HN38" s="1613"/>
      <c r="HO38" s="1613"/>
      <c r="HP38" s="1613"/>
      <c r="HQ38" s="1613"/>
      <c r="HR38" s="1613"/>
      <c r="HS38" s="1613"/>
      <c r="HT38" s="1613"/>
      <c r="HU38" s="1613"/>
      <c r="HV38" s="1613"/>
      <c r="HW38" s="1613"/>
      <c r="HX38" s="1613"/>
      <c r="HY38" s="1617"/>
      <c r="HZ38" s="1617"/>
      <c r="IA38" s="1617"/>
      <c r="IB38" s="1617"/>
      <c r="IC38" s="1617"/>
      <c r="ID38" s="1632"/>
      <c r="IE38" s="1612"/>
      <c r="IF38" s="1613"/>
      <c r="IG38" s="1614"/>
      <c r="IH38" s="1615"/>
      <c r="II38" s="1613"/>
      <c r="IJ38" s="1614"/>
      <c r="IK38" s="1615"/>
      <c r="IL38" s="1613"/>
      <c r="IM38" s="1613"/>
      <c r="IN38" s="1613"/>
      <c r="IO38" s="1613"/>
      <c r="IP38" s="1613"/>
      <c r="IQ38" s="1613"/>
      <c r="IR38" s="1613"/>
      <c r="IS38" s="1614"/>
      <c r="IT38" s="1615"/>
      <c r="IU38" s="1613"/>
      <c r="IV38" s="1613"/>
      <c r="IW38" s="1614"/>
      <c r="IX38" s="1615"/>
      <c r="IY38" s="1613"/>
      <c r="IZ38" s="1613"/>
      <c r="JA38" s="1614"/>
      <c r="JB38" s="1615"/>
      <c r="JC38" s="1613"/>
      <c r="JD38" s="1613"/>
      <c r="JE38" s="1614"/>
      <c r="JF38" s="1615"/>
      <c r="JG38" s="1613"/>
      <c r="JH38" s="1613"/>
      <c r="JI38" s="1613"/>
      <c r="JJ38" s="1616"/>
      <c r="JK38" s="1613"/>
      <c r="JL38" s="1521">
        <f t="shared" ca="1" si="90"/>
        <v>0</v>
      </c>
    </row>
    <row r="39" spans="1:272" ht="12.6" customHeight="1" x14ac:dyDescent="0.25">
      <c r="A39" s="1861" t="str">
        <f t="shared" si="0"/>
        <v/>
      </c>
      <c r="B39" s="1862" t="str">
        <f t="shared" si="0"/>
        <v/>
      </c>
      <c r="C39" s="1863" t="str">
        <f t="shared" si="0"/>
        <v/>
      </c>
      <c r="D39" s="1864" t="str">
        <f t="shared" si="1"/>
        <v/>
      </c>
      <c r="E39" s="1865" t="str">
        <f t="shared" si="2"/>
        <v/>
      </c>
      <c r="F39" s="1866" t="str">
        <f t="shared" si="3"/>
        <v/>
      </c>
      <c r="G39" s="1867" t="str">
        <f t="shared" si="4"/>
        <v/>
      </c>
      <c r="H39" s="1868" t="str">
        <f t="shared" si="5"/>
        <v/>
      </c>
      <c r="I39" s="1869" t="str">
        <f t="shared" si="6"/>
        <v/>
      </c>
      <c r="J39" s="1864" t="str">
        <f t="shared" si="7"/>
        <v/>
      </c>
      <c r="K39" s="1868" t="str">
        <f t="shared" si="8"/>
        <v/>
      </c>
      <c r="L39" s="1870" t="str">
        <f t="shared" si="9"/>
        <v/>
      </c>
      <c r="M39" s="1871" t="str">
        <f t="shared" si="10"/>
        <v/>
      </c>
      <c r="N39" s="1872" t="str">
        <f t="shared" si="10"/>
        <v/>
      </c>
      <c r="O39" s="1867" t="str">
        <f t="shared" si="11"/>
        <v/>
      </c>
      <c r="P39" s="1868" t="str">
        <f t="shared" si="12"/>
        <v/>
      </c>
      <c r="Q39" s="1864" t="str">
        <f t="shared" si="13"/>
        <v/>
      </c>
      <c r="R39" s="1865" t="str">
        <f t="shared" si="14"/>
        <v/>
      </c>
      <c r="S39" s="1873" t="str">
        <f t="shared" si="15"/>
        <v/>
      </c>
      <c r="T39" s="1868" t="str">
        <f t="shared" si="16"/>
        <v/>
      </c>
      <c r="U39" s="1864" t="str">
        <f t="shared" si="17"/>
        <v/>
      </c>
      <c r="V39" s="1868" t="str">
        <f t="shared" si="18"/>
        <v/>
      </c>
      <c r="W39" s="1872">
        <f t="shared" si="19"/>
        <v>0</v>
      </c>
      <c r="X39" s="1874" t="str">
        <f t="shared" si="20"/>
        <v/>
      </c>
      <c r="Y39" s="1875" t="str">
        <f t="shared" si="21"/>
        <v/>
      </c>
      <c r="Z39" s="1941"/>
      <c r="AA39" s="1960" t="str">
        <f t="shared" si="22"/>
        <v/>
      </c>
      <c r="AB39" s="1471" t="str">
        <f t="shared" si="23"/>
        <v/>
      </c>
      <c r="AC39" s="1908" t="str">
        <f t="shared" si="23"/>
        <v/>
      </c>
      <c r="AD39" s="1909" t="str">
        <f t="shared" ca="1" si="24"/>
        <v/>
      </c>
      <c r="AE39" s="1910" t="str">
        <f t="shared" ca="1" si="25"/>
        <v/>
      </c>
      <c r="AF39" s="1908" t="str">
        <f t="shared" ca="1" si="26"/>
        <v/>
      </c>
      <c r="AG39" s="1909" t="str">
        <f t="shared" ca="1" si="27"/>
        <v/>
      </c>
      <c r="AH39" s="1910" t="str">
        <f t="shared" ca="1" si="28"/>
        <v/>
      </c>
      <c r="AI39" s="1909" t="str">
        <f t="shared" ca="1" si="29"/>
        <v/>
      </c>
      <c r="AJ39" s="1910" t="str">
        <f t="shared" ca="1" si="30"/>
        <v/>
      </c>
      <c r="AK39" s="1911" t="str">
        <f t="shared" si="31"/>
        <v/>
      </c>
      <c r="AL39" s="1912" t="str">
        <f t="shared" si="31"/>
        <v/>
      </c>
      <c r="AM39" s="1913" t="str">
        <f t="shared" si="31"/>
        <v/>
      </c>
      <c r="AN39" s="1908" t="str">
        <f t="shared" si="31"/>
        <v/>
      </c>
      <c r="AO39" s="1961" t="str">
        <f t="shared" si="31"/>
        <v/>
      </c>
      <c r="AP39" s="1915" t="str">
        <f t="shared" si="32"/>
        <v/>
      </c>
      <c r="AQ39" s="1916" t="str">
        <f t="shared" si="32"/>
        <v/>
      </c>
      <c r="AR39" s="1917" t="str">
        <f t="shared" si="33"/>
        <v/>
      </c>
      <c r="AS39" s="1910" t="str">
        <f t="shared" si="34"/>
        <v/>
      </c>
      <c r="AT39" s="1918" t="str">
        <f t="shared" si="35"/>
        <v/>
      </c>
      <c r="AU39" s="1919" t="str">
        <f t="shared" si="35"/>
        <v/>
      </c>
      <c r="AV39" s="1920" t="str">
        <f t="shared" si="36"/>
        <v/>
      </c>
      <c r="AW39" s="1910" t="str">
        <f t="shared" si="37"/>
        <v/>
      </c>
      <c r="AX39" s="1918" t="str">
        <f t="shared" si="38"/>
        <v/>
      </c>
      <c r="AY39" s="1919" t="str">
        <f t="shared" si="38"/>
        <v/>
      </c>
      <c r="AZ39" s="1920" t="str">
        <f t="shared" si="39"/>
        <v/>
      </c>
      <c r="BA39" s="1910" t="str">
        <f t="shared" si="40"/>
        <v/>
      </c>
      <c r="BB39" s="1918" t="str">
        <f t="shared" si="41"/>
        <v/>
      </c>
      <c r="BC39" s="1919" t="str">
        <f t="shared" si="41"/>
        <v/>
      </c>
      <c r="BD39" s="1920" t="str">
        <f t="shared" si="42"/>
        <v/>
      </c>
      <c r="BE39" s="1910" t="str">
        <f t="shared" si="43"/>
        <v/>
      </c>
      <c r="BF39" s="1918" t="str">
        <f t="shared" si="44"/>
        <v/>
      </c>
      <c r="BG39" s="1919" t="str">
        <f t="shared" si="44"/>
        <v/>
      </c>
      <c r="BH39" s="322"/>
      <c r="BJ39" s="1258" t="str">
        <f t="shared" si="88"/>
        <v/>
      </c>
      <c r="BK39" s="1256" t="b">
        <f t="shared" si="45"/>
        <v>0</v>
      </c>
      <c r="BL39" s="1251" t="b">
        <v>0</v>
      </c>
      <c r="BM39" s="1251">
        <f t="shared" si="46"/>
        <v>0</v>
      </c>
      <c r="BN39" s="1251">
        <f t="shared" si="47"/>
        <v>0</v>
      </c>
      <c r="BO39" s="1251">
        <f t="shared" si="48"/>
        <v>0</v>
      </c>
      <c r="BP39" s="1251">
        <f t="shared" si="49"/>
        <v>0</v>
      </c>
      <c r="BQ39" s="1251">
        <f t="shared" si="50"/>
        <v>0</v>
      </c>
      <c r="BR39" s="1251" t="b">
        <f t="shared" si="51"/>
        <v>1</v>
      </c>
      <c r="BS39" s="1252">
        <f t="shared" si="52"/>
        <v>6</v>
      </c>
      <c r="BT39" s="1252" t="str">
        <f t="shared" si="53"/>
        <v>No</v>
      </c>
      <c r="BU39" s="1252">
        <f t="shared" si="54"/>
        <v>6</v>
      </c>
      <c r="BV39" s="1252" t="str">
        <f t="shared" si="55"/>
        <v>No</v>
      </c>
      <c r="BW39" s="1253">
        <f t="shared" ca="1" si="56"/>
        <v>0</v>
      </c>
      <c r="BX39" s="1254" t="str">
        <f t="shared" ca="1" si="57"/>
        <v/>
      </c>
      <c r="BY39" s="1254" t="b">
        <f t="shared" ca="1" si="58"/>
        <v>0</v>
      </c>
      <c r="BZ39" s="1253" t="b">
        <f t="shared" si="81"/>
        <v>0</v>
      </c>
      <c r="CB39" s="842"/>
      <c r="CC39" s="894"/>
      <c r="CD39" s="883"/>
      <c r="CE39" s="884"/>
      <c r="CF39" s="885"/>
      <c r="CG39" s="901"/>
      <c r="CH39" s="902"/>
      <c r="CI39" s="903"/>
      <c r="CJ39" s="902"/>
      <c r="CK39" s="903"/>
      <c r="CL39" s="904"/>
      <c r="CM39" s="944"/>
      <c r="CN39" s="901"/>
      <c r="CO39" s="902"/>
      <c r="CP39" s="903"/>
      <c r="CQ39" s="902"/>
      <c r="CR39" s="903"/>
      <c r="CS39" s="904"/>
      <c r="CT39" s="944"/>
      <c r="CU39" s="906"/>
      <c r="CV39" s="886"/>
      <c r="CW39" s="887"/>
      <c r="CX39" s="915"/>
      <c r="CY39" s="916"/>
      <c r="CZ39" s="932"/>
      <c r="DA39" s="933"/>
      <c r="DB39" s="932"/>
      <c r="DC39" s="933"/>
      <c r="DD39" s="1149"/>
      <c r="DE39" s="1150"/>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30" t="str">
        <f t="shared" si="62"/>
        <v/>
      </c>
      <c r="EP39" s="726" t="str">
        <f t="shared" si="63"/>
        <v/>
      </c>
      <c r="EQ39" s="727" t="str">
        <f t="shared" si="64"/>
        <v/>
      </c>
      <c r="ER39" s="961" t="str">
        <f t="shared" si="65"/>
        <v/>
      </c>
      <c r="ES39" s="962" t="str">
        <f t="shared" si="82"/>
        <v/>
      </c>
      <c r="ET39" s="963" t="str">
        <f t="shared" si="66"/>
        <v/>
      </c>
      <c r="EU39" s="964" t="str">
        <f t="shared" si="67"/>
        <v/>
      </c>
      <c r="EX39" s="1194" t="str">
        <f t="shared" ca="1" si="83"/>
        <v/>
      </c>
      <c r="EY39" s="1196" t="str">
        <f t="shared" si="68"/>
        <v/>
      </c>
      <c r="EZ39" s="1196" t="str">
        <f t="shared" si="84"/>
        <v/>
      </c>
      <c r="FA39" s="1217" t="str">
        <f t="shared" ca="1" si="89"/>
        <v/>
      </c>
      <c r="FB39" s="1218" t="str">
        <f t="shared" ca="1" si="85"/>
        <v/>
      </c>
      <c r="FC39" s="1218">
        <f t="shared" ca="1" si="69"/>
        <v>0</v>
      </c>
      <c r="FD39" s="1218">
        <f t="shared" ca="1" si="70"/>
        <v>0</v>
      </c>
      <c r="FE39" s="1218">
        <f t="shared" ca="1" si="71"/>
        <v>0</v>
      </c>
      <c r="FF39" s="1218">
        <f t="shared" ca="1" si="86"/>
        <v>0</v>
      </c>
      <c r="FN39" s="969" t="b">
        <v>0</v>
      </c>
      <c r="FO39" s="969" t="b">
        <f t="shared" si="72"/>
        <v>1</v>
      </c>
      <c r="FP39" s="1815" t="b">
        <v>0</v>
      </c>
      <c r="FQ39" s="969" t="b">
        <f t="shared" si="87"/>
        <v>1</v>
      </c>
      <c r="FW39" s="2"/>
      <c r="FX39" s="2"/>
      <c r="FZ39" s="2"/>
      <c r="GA39" s="1935" t="str">
        <f t="shared" si="73"/>
        <v/>
      </c>
      <c r="GB39" s="1936" t="str">
        <f t="shared" si="74"/>
        <v/>
      </c>
      <c r="GC39" s="1937" t="str">
        <f t="shared" si="75"/>
        <v/>
      </c>
      <c r="GD39" s="1938" t="str">
        <f t="shared" si="76"/>
        <v/>
      </c>
      <c r="GE39" s="1939" t="str">
        <f t="shared" si="77"/>
        <v/>
      </c>
      <c r="GF39" s="1940" t="str">
        <f t="shared" si="78"/>
        <v/>
      </c>
      <c r="GG39" s="1457"/>
      <c r="GH39" s="1459"/>
      <c r="GI39" s="1457"/>
      <c r="GJ39" s="1459"/>
      <c r="GK39" s="326">
        <f t="shared" si="79"/>
        <v>0</v>
      </c>
      <c r="GL39" s="326" t="e">
        <f t="shared" si="80"/>
        <v>#VALUE!</v>
      </c>
      <c r="GM39" s="327" t="e">
        <f>IF(ABS(GK39-GL39)&gt;='Job Info.'!$L$22,ABS(GK39-GL39),0)</f>
        <v>#VALUE!</v>
      </c>
      <c r="HA39" s="1612"/>
      <c r="HB39" s="1613"/>
      <c r="HC39" s="1613"/>
      <c r="HD39" s="1614"/>
      <c r="HE39" s="1615"/>
      <c r="HF39" s="1613"/>
      <c r="HG39" s="1613"/>
      <c r="HH39" s="1613"/>
      <c r="HI39" s="1613"/>
      <c r="HJ39" s="1613"/>
      <c r="HK39" s="1613"/>
      <c r="HL39" s="1613"/>
      <c r="HM39" s="1613"/>
      <c r="HN39" s="1613"/>
      <c r="HO39" s="1613"/>
      <c r="HP39" s="1613"/>
      <c r="HQ39" s="1613"/>
      <c r="HR39" s="1613"/>
      <c r="HS39" s="1613"/>
      <c r="HT39" s="1613"/>
      <c r="HU39" s="1613"/>
      <c r="HV39" s="1613"/>
      <c r="HW39" s="1613"/>
      <c r="HX39" s="1613"/>
      <c r="HY39" s="1617"/>
      <c r="HZ39" s="1617"/>
      <c r="IA39" s="1617"/>
      <c r="IB39" s="1617"/>
      <c r="IC39" s="1617"/>
      <c r="ID39" s="1632"/>
      <c r="IE39" s="1612"/>
      <c r="IF39" s="1613"/>
      <c r="IG39" s="1614"/>
      <c r="IH39" s="1615"/>
      <c r="II39" s="1613"/>
      <c r="IJ39" s="1614"/>
      <c r="IK39" s="1615"/>
      <c r="IL39" s="1613"/>
      <c r="IM39" s="1613"/>
      <c r="IN39" s="1613"/>
      <c r="IO39" s="1613"/>
      <c r="IP39" s="1613"/>
      <c r="IQ39" s="1613"/>
      <c r="IR39" s="1613"/>
      <c r="IS39" s="1614"/>
      <c r="IT39" s="1615"/>
      <c r="IU39" s="1613"/>
      <c r="IV39" s="1613"/>
      <c r="IW39" s="1614"/>
      <c r="IX39" s="1615"/>
      <c r="IY39" s="1613"/>
      <c r="IZ39" s="1613"/>
      <c r="JA39" s="1614"/>
      <c r="JB39" s="1615"/>
      <c r="JC39" s="1613"/>
      <c r="JD39" s="1613"/>
      <c r="JE39" s="1614"/>
      <c r="JF39" s="1615"/>
      <c r="JG39" s="1613"/>
      <c r="JH39" s="1613"/>
      <c r="JI39" s="1613"/>
      <c r="JJ39" s="1616"/>
      <c r="JK39" s="1613"/>
      <c r="JL39" s="1521">
        <f t="shared" ca="1" si="90"/>
        <v>0</v>
      </c>
    </row>
    <row r="40" spans="1:272" ht="12.6" customHeight="1" x14ac:dyDescent="0.25">
      <c r="A40" s="1861" t="str">
        <f t="shared" si="0"/>
        <v/>
      </c>
      <c r="B40" s="1862" t="str">
        <f t="shared" si="0"/>
        <v/>
      </c>
      <c r="C40" s="1863" t="str">
        <f t="shared" si="0"/>
        <v/>
      </c>
      <c r="D40" s="1864" t="str">
        <f t="shared" si="1"/>
        <v/>
      </c>
      <c r="E40" s="1865" t="str">
        <f t="shared" si="2"/>
        <v/>
      </c>
      <c r="F40" s="1866" t="str">
        <f t="shared" si="3"/>
        <v/>
      </c>
      <c r="G40" s="1867" t="str">
        <f t="shared" si="4"/>
        <v/>
      </c>
      <c r="H40" s="1868" t="str">
        <f t="shared" si="5"/>
        <v/>
      </c>
      <c r="I40" s="1869" t="str">
        <f t="shared" si="6"/>
        <v/>
      </c>
      <c r="J40" s="1864" t="str">
        <f t="shared" si="7"/>
        <v/>
      </c>
      <c r="K40" s="1868" t="str">
        <f t="shared" si="8"/>
        <v/>
      </c>
      <c r="L40" s="1870" t="str">
        <f t="shared" si="9"/>
        <v/>
      </c>
      <c r="M40" s="1871" t="str">
        <f t="shared" si="10"/>
        <v/>
      </c>
      <c r="N40" s="1872" t="str">
        <f t="shared" si="10"/>
        <v/>
      </c>
      <c r="O40" s="1867" t="str">
        <f t="shared" si="11"/>
        <v/>
      </c>
      <c r="P40" s="1868" t="str">
        <f t="shared" si="12"/>
        <v/>
      </c>
      <c r="Q40" s="1864" t="str">
        <f t="shared" si="13"/>
        <v/>
      </c>
      <c r="R40" s="1865" t="str">
        <f t="shared" si="14"/>
        <v/>
      </c>
      <c r="S40" s="1873" t="str">
        <f t="shared" si="15"/>
        <v/>
      </c>
      <c r="T40" s="1868" t="str">
        <f t="shared" si="16"/>
        <v/>
      </c>
      <c r="U40" s="1864" t="str">
        <f t="shared" si="17"/>
        <v/>
      </c>
      <c r="V40" s="1868" t="str">
        <f t="shared" si="18"/>
        <v/>
      </c>
      <c r="W40" s="1872">
        <f t="shared" si="19"/>
        <v>0</v>
      </c>
      <c r="X40" s="1874" t="str">
        <f t="shared" si="20"/>
        <v/>
      </c>
      <c r="Y40" s="1875" t="str">
        <f t="shared" si="21"/>
        <v/>
      </c>
      <c r="Z40" s="1941"/>
      <c r="AA40" s="1960" t="str">
        <f t="shared" si="22"/>
        <v/>
      </c>
      <c r="AB40" s="1471" t="str">
        <f t="shared" si="23"/>
        <v/>
      </c>
      <c r="AC40" s="1908" t="str">
        <f t="shared" si="23"/>
        <v/>
      </c>
      <c r="AD40" s="1909" t="str">
        <f t="shared" ca="1" si="24"/>
        <v/>
      </c>
      <c r="AE40" s="1910" t="str">
        <f t="shared" ca="1" si="25"/>
        <v/>
      </c>
      <c r="AF40" s="1908" t="str">
        <f t="shared" ca="1" si="26"/>
        <v/>
      </c>
      <c r="AG40" s="1909" t="str">
        <f t="shared" ca="1" si="27"/>
        <v/>
      </c>
      <c r="AH40" s="1910" t="str">
        <f t="shared" ca="1" si="28"/>
        <v/>
      </c>
      <c r="AI40" s="1909" t="str">
        <f t="shared" ca="1" si="29"/>
        <v/>
      </c>
      <c r="AJ40" s="1910" t="str">
        <f t="shared" ca="1" si="30"/>
        <v/>
      </c>
      <c r="AK40" s="1911" t="str">
        <f t="shared" si="31"/>
        <v/>
      </c>
      <c r="AL40" s="1912" t="str">
        <f t="shared" si="31"/>
        <v/>
      </c>
      <c r="AM40" s="1913" t="str">
        <f t="shared" si="31"/>
        <v/>
      </c>
      <c r="AN40" s="1908" t="str">
        <f t="shared" si="31"/>
        <v/>
      </c>
      <c r="AO40" s="1961" t="str">
        <f t="shared" si="31"/>
        <v/>
      </c>
      <c r="AP40" s="1915" t="str">
        <f t="shared" si="32"/>
        <v/>
      </c>
      <c r="AQ40" s="1916" t="str">
        <f t="shared" si="32"/>
        <v/>
      </c>
      <c r="AR40" s="1917" t="str">
        <f t="shared" si="33"/>
        <v/>
      </c>
      <c r="AS40" s="1910" t="str">
        <f t="shared" si="34"/>
        <v/>
      </c>
      <c r="AT40" s="1918" t="str">
        <f t="shared" si="35"/>
        <v/>
      </c>
      <c r="AU40" s="1919" t="str">
        <f t="shared" si="35"/>
        <v/>
      </c>
      <c r="AV40" s="1920" t="str">
        <f t="shared" si="36"/>
        <v/>
      </c>
      <c r="AW40" s="1910" t="str">
        <f t="shared" si="37"/>
        <v/>
      </c>
      <c r="AX40" s="1918" t="str">
        <f t="shared" si="38"/>
        <v/>
      </c>
      <c r="AY40" s="1919" t="str">
        <f t="shared" si="38"/>
        <v/>
      </c>
      <c r="AZ40" s="1920" t="str">
        <f t="shared" si="39"/>
        <v/>
      </c>
      <c r="BA40" s="1910" t="str">
        <f t="shared" si="40"/>
        <v/>
      </c>
      <c r="BB40" s="1918" t="str">
        <f t="shared" si="41"/>
        <v/>
      </c>
      <c r="BC40" s="1919" t="str">
        <f t="shared" si="41"/>
        <v/>
      </c>
      <c r="BD40" s="1920" t="str">
        <f t="shared" si="42"/>
        <v/>
      </c>
      <c r="BE40" s="1910" t="str">
        <f t="shared" si="43"/>
        <v/>
      </c>
      <c r="BF40" s="1918" t="str">
        <f t="shared" si="44"/>
        <v/>
      </c>
      <c r="BG40" s="1919" t="str">
        <f t="shared" si="44"/>
        <v/>
      </c>
      <c r="BH40" s="322"/>
      <c r="BJ40" s="1258" t="str">
        <f t="shared" si="88"/>
        <v/>
      </c>
      <c r="BK40" s="1256" t="b">
        <f t="shared" si="45"/>
        <v>0</v>
      </c>
      <c r="BL40" s="1251" t="b">
        <v>0</v>
      </c>
      <c r="BM40" s="1251">
        <f t="shared" si="46"/>
        <v>0</v>
      </c>
      <c r="BN40" s="1251">
        <f t="shared" si="47"/>
        <v>0</v>
      </c>
      <c r="BO40" s="1251">
        <f t="shared" si="48"/>
        <v>0</v>
      </c>
      <c r="BP40" s="1251">
        <f t="shared" si="49"/>
        <v>0</v>
      </c>
      <c r="BQ40" s="1251">
        <f t="shared" si="50"/>
        <v>0</v>
      </c>
      <c r="BR40" s="1251" t="b">
        <f t="shared" si="51"/>
        <v>1</v>
      </c>
      <c r="BS40" s="1252">
        <f t="shared" si="52"/>
        <v>6</v>
      </c>
      <c r="BT40" s="1252" t="str">
        <f t="shared" si="53"/>
        <v>No</v>
      </c>
      <c r="BU40" s="1252">
        <f t="shared" si="54"/>
        <v>6</v>
      </c>
      <c r="BV40" s="1252" t="str">
        <f t="shared" si="55"/>
        <v>No</v>
      </c>
      <c r="BW40" s="1253">
        <f t="shared" ca="1" si="56"/>
        <v>0</v>
      </c>
      <c r="BX40" s="1254" t="str">
        <f t="shared" ca="1" si="57"/>
        <v/>
      </c>
      <c r="BY40" s="1254" t="b">
        <f t="shared" ca="1" si="58"/>
        <v>0</v>
      </c>
      <c r="BZ40" s="1253" t="b">
        <f t="shared" si="81"/>
        <v>0</v>
      </c>
      <c r="CB40" s="842"/>
      <c r="CC40" s="894"/>
      <c r="CD40" s="883"/>
      <c r="CE40" s="884"/>
      <c r="CF40" s="885"/>
      <c r="CG40" s="901"/>
      <c r="CH40" s="902"/>
      <c r="CI40" s="903"/>
      <c r="CJ40" s="902"/>
      <c r="CK40" s="903"/>
      <c r="CL40" s="904"/>
      <c r="CM40" s="944"/>
      <c r="CN40" s="901"/>
      <c r="CO40" s="902"/>
      <c r="CP40" s="903"/>
      <c r="CQ40" s="902"/>
      <c r="CR40" s="903"/>
      <c r="CS40" s="904"/>
      <c r="CT40" s="944"/>
      <c r="CU40" s="906"/>
      <c r="CV40" s="886"/>
      <c r="CW40" s="887"/>
      <c r="CX40" s="915"/>
      <c r="CY40" s="916"/>
      <c r="CZ40" s="932"/>
      <c r="DA40" s="933"/>
      <c r="DB40" s="932"/>
      <c r="DC40" s="933"/>
      <c r="DD40" s="1149"/>
      <c r="DE40" s="1150"/>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30" t="str">
        <f t="shared" si="62"/>
        <v/>
      </c>
      <c r="EP40" s="726" t="str">
        <f t="shared" si="63"/>
        <v/>
      </c>
      <c r="EQ40" s="727" t="str">
        <f t="shared" si="64"/>
        <v/>
      </c>
      <c r="ER40" s="961" t="str">
        <f t="shared" si="65"/>
        <v/>
      </c>
      <c r="ES40" s="962" t="str">
        <f t="shared" si="82"/>
        <v/>
      </c>
      <c r="ET40" s="963" t="str">
        <f t="shared" si="66"/>
        <v/>
      </c>
      <c r="EU40" s="964" t="str">
        <f t="shared" si="67"/>
        <v/>
      </c>
      <c r="EX40" s="1194" t="str">
        <f t="shared" ca="1" si="83"/>
        <v/>
      </c>
      <c r="EY40" s="1196" t="str">
        <f t="shared" si="68"/>
        <v/>
      </c>
      <c r="EZ40" s="1196" t="str">
        <f t="shared" si="84"/>
        <v/>
      </c>
      <c r="FA40" s="1217" t="str">
        <f t="shared" ca="1" si="89"/>
        <v/>
      </c>
      <c r="FB40" s="1218" t="str">
        <f t="shared" ca="1" si="85"/>
        <v/>
      </c>
      <c r="FC40" s="1218">
        <f t="shared" ca="1" si="69"/>
        <v>0</v>
      </c>
      <c r="FD40" s="1218">
        <f t="shared" ca="1" si="70"/>
        <v>0</v>
      </c>
      <c r="FE40" s="1218">
        <f t="shared" ca="1" si="71"/>
        <v>0</v>
      </c>
      <c r="FF40" s="1218">
        <f t="shared" ca="1" si="86"/>
        <v>0</v>
      </c>
      <c r="FN40" s="969" t="b">
        <v>0</v>
      </c>
      <c r="FO40" s="969" t="b">
        <f t="shared" si="72"/>
        <v>1</v>
      </c>
      <c r="FP40" s="1815" t="b">
        <v>0</v>
      </c>
      <c r="FQ40" s="969" t="b">
        <f t="shared" si="87"/>
        <v>1</v>
      </c>
      <c r="FW40" s="2"/>
      <c r="FX40" s="2"/>
      <c r="FZ40" s="2"/>
      <c r="GA40" s="1935" t="str">
        <f t="shared" si="73"/>
        <v/>
      </c>
      <c r="GB40" s="1936" t="str">
        <f t="shared" si="74"/>
        <v/>
      </c>
      <c r="GC40" s="1937" t="str">
        <f t="shared" si="75"/>
        <v/>
      </c>
      <c r="GD40" s="1938" t="str">
        <f t="shared" si="76"/>
        <v/>
      </c>
      <c r="GE40" s="1939" t="str">
        <f t="shared" si="77"/>
        <v/>
      </c>
      <c r="GF40" s="1940" t="str">
        <f t="shared" si="78"/>
        <v/>
      </c>
      <c r="GG40" s="1457"/>
      <c r="GH40" s="1459"/>
      <c r="GI40" s="1457"/>
      <c r="GJ40" s="1459"/>
      <c r="GK40" s="326">
        <f t="shared" si="79"/>
        <v>0</v>
      </c>
      <c r="GL40" s="326" t="e">
        <f t="shared" si="80"/>
        <v>#VALUE!</v>
      </c>
      <c r="GM40" s="327" t="e">
        <f>IF(ABS(GK40-GL40)&gt;='Job Info.'!$L$22,ABS(GK40-GL40),0)</f>
        <v>#VALUE!</v>
      </c>
      <c r="HA40" s="1612"/>
      <c r="HB40" s="1613"/>
      <c r="HC40" s="1613"/>
      <c r="HD40" s="1614"/>
      <c r="HE40" s="1615"/>
      <c r="HF40" s="1613"/>
      <c r="HG40" s="1613"/>
      <c r="HH40" s="1613"/>
      <c r="HI40" s="1613"/>
      <c r="HJ40" s="1613"/>
      <c r="HK40" s="1613"/>
      <c r="HL40" s="1613"/>
      <c r="HM40" s="1613"/>
      <c r="HN40" s="1613"/>
      <c r="HO40" s="1613"/>
      <c r="HP40" s="1613"/>
      <c r="HQ40" s="1613"/>
      <c r="HR40" s="1613"/>
      <c r="HS40" s="1613"/>
      <c r="HT40" s="1613"/>
      <c r="HU40" s="1613"/>
      <c r="HV40" s="1613"/>
      <c r="HW40" s="1613"/>
      <c r="HX40" s="1613"/>
      <c r="HY40" s="1617"/>
      <c r="HZ40" s="1617"/>
      <c r="IA40" s="1617"/>
      <c r="IB40" s="1617"/>
      <c r="IC40" s="1617"/>
      <c r="ID40" s="1632"/>
      <c r="IE40" s="1612"/>
      <c r="IF40" s="1613"/>
      <c r="IG40" s="1614"/>
      <c r="IH40" s="1615"/>
      <c r="II40" s="1613"/>
      <c r="IJ40" s="1614"/>
      <c r="IK40" s="1615"/>
      <c r="IL40" s="1613"/>
      <c r="IM40" s="1613"/>
      <c r="IN40" s="1613"/>
      <c r="IO40" s="1613"/>
      <c r="IP40" s="1613"/>
      <c r="IQ40" s="1613"/>
      <c r="IR40" s="1613"/>
      <c r="IS40" s="1614"/>
      <c r="IT40" s="1615"/>
      <c r="IU40" s="1613"/>
      <c r="IV40" s="1613"/>
      <c r="IW40" s="1614"/>
      <c r="IX40" s="1615"/>
      <c r="IY40" s="1613"/>
      <c r="IZ40" s="1613"/>
      <c r="JA40" s="1614"/>
      <c r="JB40" s="1615"/>
      <c r="JC40" s="1613"/>
      <c r="JD40" s="1613"/>
      <c r="JE40" s="1614"/>
      <c r="JF40" s="1615"/>
      <c r="JG40" s="1613"/>
      <c r="JH40" s="1613"/>
      <c r="JI40" s="1613"/>
      <c r="JJ40" s="1616"/>
      <c r="JK40" s="1613"/>
      <c r="JL40" s="1521">
        <f t="shared" ca="1" si="90"/>
        <v>0</v>
      </c>
    </row>
    <row r="41" spans="1:272" ht="12.6" customHeight="1" x14ac:dyDescent="0.25">
      <c r="A41" s="1861" t="str">
        <f t="shared" si="0"/>
        <v/>
      </c>
      <c r="B41" s="1862" t="str">
        <f t="shared" si="0"/>
        <v/>
      </c>
      <c r="C41" s="1863" t="str">
        <f t="shared" si="0"/>
        <v/>
      </c>
      <c r="D41" s="1864" t="str">
        <f t="shared" si="1"/>
        <v/>
      </c>
      <c r="E41" s="1865" t="str">
        <f t="shared" si="2"/>
        <v/>
      </c>
      <c r="F41" s="1866" t="str">
        <f t="shared" si="3"/>
        <v/>
      </c>
      <c r="G41" s="1867" t="str">
        <f t="shared" si="4"/>
        <v/>
      </c>
      <c r="H41" s="1868" t="str">
        <f t="shared" si="5"/>
        <v/>
      </c>
      <c r="I41" s="1869" t="str">
        <f t="shared" si="6"/>
        <v/>
      </c>
      <c r="J41" s="1864" t="str">
        <f t="shared" si="7"/>
        <v/>
      </c>
      <c r="K41" s="1868" t="str">
        <f t="shared" si="8"/>
        <v/>
      </c>
      <c r="L41" s="1870" t="str">
        <f t="shared" si="9"/>
        <v/>
      </c>
      <c r="M41" s="1871" t="str">
        <f t="shared" si="10"/>
        <v/>
      </c>
      <c r="N41" s="1872" t="str">
        <f t="shared" si="10"/>
        <v/>
      </c>
      <c r="O41" s="1867" t="str">
        <f t="shared" si="11"/>
        <v/>
      </c>
      <c r="P41" s="1868" t="str">
        <f t="shared" si="12"/>
        <v/>
      </c>
      <c r="Q41" s="1864" t="str">
        <f t="shared" si="13"/>
        <v/>
      </c>
      <c r="R41" s="1865" t="str">
        <f t="shared" si="14"/>
        <v/>
      </c>
      <c r="S41" s="1873" t="str">
        <f t="shared" si="15"/>
        <v/>
      </c>
      <c r="T41" s="1868" t="str">
        <f t="shared" si="16"/>
        <v/>
      </c>
      <c r="U41" s="1864" t="str">
        <f t="shared" si="17"/>
        <v/>
      </c>
      <c r="V41" s="1868" t="str">
        <f t="shared" si="18"/>
        <v/>
      </c>
      <c r="W41" s="1872">
        <f t="shared" si="19"/>
        <v>0</v>
      </c>
      <c r="X41" s="1874" t="str">
        <f t="shared" si="20"/>
        <v/>
      </c>
      <c r="Y41" s="1875" t="str">
        <f t="shared" si="21"/>
        <v/>
      </c>
      <c r="Z41" s="1941"/>
      <c r="AA41" s="1960" t="str">
        <f t="shared" si="22"/>
        <v/>
      </c>
      <c r="AB41" s="1471" t="str">
        <f t="shared" si="23"/>
        <v/>
      </c>
      <c r="AC41" s="1908" t="str">
        <f t="shared" si="23"/>
        <v/>
      </c>
      <c r="AD41" s="1909" t="str">
        <f t="shared" ca="1" si="24"/>
        <v/>
      </c>
      <c r="AE41" s="1910" t="str">
        <f t="shared" ca="1" si="25"/>
        <v/>
      </c>
      <c r="AF41" s="1908" t="str">
        <f t="shared" ca="1" si="26"/>
        <v/>
      </c>
      <c r="AG41" s="1909" t="str">
        <f t="shared" ca="1" si="27"/>
        <v/>
      </c>
      <c r="AH41" s="1910" t="str">
        <f t="shared" ca="1" si="28"/>
        <v/>
      </c>
      <c r="AI41" s="1909" t="str">
        <f t="shared" ca="1" si="29"/>
        <v/>
      </c>
      <c r="AJ41" s="1910" t="str">
        <f t="shared" ca="1" si="30"/>
        <v/>
      </c>
      <c r="AK41" s="1911" t="str">
        <f t="shared" si="31"/>
        <v/>
      </c>
      <c r="AL41" s="1912" t="str">
        <f t="shared" si="31"/>
        <v/>
      </c>
      <c r="AM41" s="1913" t="str">
        <f t="shared" si="31"/>
        <v/>
      </c>
      <c r="AN41" s="1908" t="str">
        <f t="shared" si="31"/>
        <v/>
      </c>
      <c r="AO41" s="1961" t="str">
        <f t="shared" si="31"/>
        <v/>
      </c>
      <c r="AP41" s="1915" t="str">
        <f t="shared" si="32"/>
        <v/>
      </c>
      <c r="AQ41" s="1916" t="str">
        <f t="shared" si="32"/>
        <v/>
      </c>
      <c r="AR41" s="1917" t="str">
        <f t="shared" si="33"/>
        <v/>
      </c>
      <c r="AS41" s="1910" t="str">
        <f t="shared" si="34"/>
        <v/>
      </c>
      <c r="AT41" s="1918" t="str">
        <f t="shared" si="35"/>
        <v/>
      </c>
      <c r="AU41" s="1919" t="str">
        <f t="shared" si="35"/>
        <v/>
      </c>
      <c r="AV41" s="1920" t="str">
        <f t="shared" si="36"/>
        <v/>
      </c>
      <c r="AW41" s="1910" t="str">
        <f t="shared" si="37"/>
        <v/>
      </c>
      <c r="AX41" s="1918" t="str">
        <f t="shared" si="38"/>
        <v/>
      </c>
      <c r="AY41" s="1919" t="str">
        <f t="shared" si="38"/>
        <v/>
      </c>
      <c r="AZ41" s="1920" t="str">
        <f t="shared" si="39"/>
        <v/>
      </c>
      <c r="BA41" s="1910" t="str">
        <f t="shared" si="40"/>
        <v/>
      </c>
      <c r="BB41" s="1918" t="str">
        <f t="shared" si="41"/>
        <v/>
      </c>
      <c r="BC41" s="1919" t="str">
        <f t="shared" si="41"/>
        <v/>
      </c>
      <c r="BD41" s="1920" t="str">
        <f t="shared" si="42"/>
        <v/>
      </c>
      <c r="BE41" s="1910" t="str">
        <f t="shared" si="43"/>
        <v/>
      </c>
      <c r="BF41" s="1918" t="str">
        <f t="shared" si="44"/>
        <v/>
      </c>
      <c r="BG41" s="1919" t="str">
        <f t="shared" si="44"/>
        <v/>
      </c>
      <c r="BH41" s="322"/>
      <c r="BJ41" s="1258" t="str">
        <f t="shared" si="88"/>
        <v/>
      </c>
      <c r="BK41" s="1256" t="b">
        <f t="shared" si="45"/>
        <v>0</v>
      </c>
      <c r="BL41" s="1251" t="b">
        <v>0</v>
      </c>
      <c r="BM41" s="1251">
        <f t="shared" si="46"/>
        <v>0</v>
      </c>
      <c r="BN41" s="1251">
        <f t="shared" si="47"/>
        <v>0</v>
      </c>
      <c r="BO41" s="1251">
        <f t="shared" si="48"/>
        <v>0</v>
      </c>
      <c r="BP41" s="1251">
        <f t="shared" si="49"/>
        <v>0</v>
      </c>
      <c r="BQ41" s="1251">
        <f t="shared" si="50"/>
        <v>0</v>
      </c>
      <c r="BR41" s="1251" t="b">
        <f t="shared" si="51"/>
        <v>1</v>
      </c>
      <c r="BS41" s="1252">
        <f t="shared" si="52"/>
        <v>6</v>
      </c>
      <c r="BT41" s="1252" t="str">
        <f t="shared" si="53"/>
        <v>No</v>
      </c>
      <c r="BU41" s="1252">
        <f t="shared" si="54"/>
        <v>6</v>
      </c>
      <c r="BV41" s="1252" t="str">
        <f t="shared" si="55"/>
        <v>No</v>
      </c>
      <c r="BW41" s="1253">
        <f t="shared" ca="1" si="56"/>
        <v>0</v>
      </c>
      <c r="BX41" s="1254" t="str">
        <f t="shared" ca="1" si="57"/>
        <v/>
      </c>
      <c r="BY41" s="1254" t="b">
        <f t="shared" ca="1" si="58"/>
        <v>0</v>
      </c>
      <c r="BZ41" s="1253" t="b">
        <f t="shared" si="81"/>
        <v>0</v>
      </c>
      <c r="CB41" s="842"/>
      <c r="CC41" s="894"/>
      <c r="CD41" s="883"/>
      <c r="CE41" s="884"/>
      <c r="CF41" s="885"/>
      <c r="CG41" s="901"/>
      <c r="CH41" s="902"/>
      <c r="CI41" s="903"/>
      <c r="CJ41" s="902"/>
      <c r="CK41" s="903"/>
      <c r="CL41" s="904"/>
      <c r="CM41" s="944"/>
      <c r="CN41" s="901"/>
      <c r="CO41" s="902"/>
      <c r="CP41" s="903"/>
      <c r="CQ41" s="902"/>
      <c r="CR41" s="903"/>
      <c r="CS41" s="904"/>
      <c r="CT41" s="944"/>
      <c r="CU41" s="906"/>
      <c r="CV41" s="886"/>
      <c r="CW41" s="887"/>
      <c r="CX41" s="915"/>
      <c r="CY41" s="916"/>
      <c r="CZ41" s="932"/>
      <c r="DA41" s="933"/>
      <c r="DB41" s="932"/>
      <c r="DC41" s="933"/>
      <c r="DD41" s="1149"/>
      <c r="DE41" s="1150"/>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30" t="str">
        <f t="shared" si="62"/>
        <v/>
      </c>
      <c r="EP41" s="726" t="str">
        <f t="shared" si="63"/>
        <v/>
      </c>
      <c r="EQ41" s="727" t="str">
        <f t="shared" si="64"/>
        <v/>
      </c>
      <c r="ER41" s="961" t="str">
        <f t="shared" si="65"/>
        <v/>
      </c>
      <c r="ES41" s="962" t="str">
        <f t="shared" si="82"/>
        <v/>
      </c>
      <c r="ET41" s="963" t="str">
        <f t="shared" si="66"/>
        <v/>
      </c>
      <c r="EU41" s="964" t="str">
        <f t="shared" si="67"/>
        <v/>
      </c>
      <c r="EX41" s="1194" t="str">
        <f t="shared" ca="1" si="83"/>
        <v/>
      </c>
      <c r="EY41" s="1196" t="str">
        <f t="shared" si="68"/>
        <v/>
      </c>
      <c r="EZ41" s="1196" t="str">
        <f t="shared" si="84"/>
        <v/>
      </c>
      <c r="FA41" s="1217" t="str">
        <f t="shared" ca="1" si="89"/>
        <v/>
      </c>
      <c r="FB41" s="1218" t="str">
        <f t="shared" ca="1" si="85"/>
        <v/>
      </c>
      <c r="FC41" s="1218">
        <f t="shared" ca="1" si="69"/>
        <v>0</v>
      </c>
      <c r="FD41" s="1218">
        <f t="shared" ca="1" si="70"/>
        <v>0</v>
      </c>
      <c r="FE41" s="1218">
        <f t="shared" ca="1" si="71"/>
        <v>0</v>
      </c>
      <c r="FF41" s="1218">
        <f t="shared" ca="1" si="86"/>
        <v>0</v>
      </c>
      <c r="FN41" s="969" t="b">
        <v>0</v>
      </c>
      <c r="FO41" s="969" t="b">
        <f t="shared" si="72"/>
        <v>1</v>
      </c>
      <c r="FP41" s="1815" t="b">
        <v>0</v>
      </c>
      <c r="FQ41" s="969" t="b">
        <f t="shared" si="87"/>
        <v>1</v>
      </c>
      <c r="FW41" s="2"/>
      <c r="FX41" s="2"/>
      <c r="FZ41" s="2"/>
      <c r="GA41" s="1935" t="str">
        <f t="shared" si="73"/>
        <v/>
      </c>
      <c r="GB41" s="1936" t="str">
        <f t="shared" si="74"/>
        <v/>
      </c>
      <c r="GC41" s="1937" t="str">
        <f t="shared" si="75"/>
        <v/>
      </c>
      <c r="GD41" s="1938" t="str">
        <f t="shared" si="76"/>
        <v/>
      </c>
      <c r="GE41" s="1939" t="str">
        <f t="shared" si="77"/>
        <v/>
      </c>
      <c r="GF41" s="1940" t="str">
        <f t="shared" si="78"/>
        <v/>
      </c>
      <c r="GG41" s="1457"/>
      <c r="GH41" s="1459"/>
      <c r="GI41" s="1457"/>
      <c r="GJ41" s="1459"/>
      <c r="GK41" s="326">
        <f t="shared" si="79"/>
        <v>0</v>
      </c>
      <c r="GL41" s="326" t="e">
        <f t="shared" si="80"/>
        <v>#VALUE!</v>
      </c>
      <c r="GM41" s="327" t="e">
        <f>IF(ABS(GK41-GL41)&gt;='Job Info.'!$L$22,ABS(GK41-GL41),0)</f>
        <v>#VALUE!</v>
      </c>
      <c r="HA41" s="1612"/>
      <c r="HB41" s="1613"/>
      <c r="HC41" s="1613"/>
      <c r="HD41" s="1614"/>
      <c r="HE41" s="1615"/>
      <c r="HF41" s="1613"/>
      <c r="HG41" s="1613"/>
      <c r="HH41" s="1613"/>
      <c r="HI41" s="1613"/>
      <c r="HJ41" s="1613"/>
      <c r="HK41" s="1613"/>
      <c r="HL41" s="1613"/>
      <c r="HM41" s="1613"/>
      <c r="HN41" s="1613"/>
      <c r="HO41" s="1613"/>
      <c r="HP41" s="1613"/>
      <c r="HQ41" s="1613"/>
      <c r="HR41" s="1613"/>
      <c r="HS41" s="1613"/>
      <c r="HT41" s="1613"/>
      <c r="HU41" s="1613"/>
      <c r="HV41" s="1613"/>
      <c r="HW41" s="1613"/>
      <c r="HX41" s="1613"/>
      <c r="HY41" s="1617"/>
      <c r="HZ41" s="1617"/>
      <c r="IA41" s="1617"/>
      <c r="IB41" s="1617"/>
      <c r="IC41" s="1617"/>
      <c r="ID41" s="1632"/>
      <c r="IE41" s="1612"/>
      <c r="IF41" s="1613"/>
      <c r="IG41" s="1614"/>
      <c r="IH41" s="1615"/>
      <c r="II41" s="1613"/>
      <c r="IJ41" s="1614"/>
      <c r="IK41" s="1615"/>
      <c r="IL41" s="1613"/>
      <c r="IM41" s="1613"/>
      <c r="IN41" s="1613"/>
      <c r="IO41" s="1613"/>
      <c r="IP41" s="1613"/>
      <c r="IQ41" s="1613"/>
      <c r="IR41" s="1613"/>
      <c r="IS41" s="1614"/>
      <c r="IT41" s="1615"/>
      <c r="IU41" s="1613"/>
      <c r="IV41" s="1613"/>
      <c r="IW41" s="1614"/>
      <c r="IX41" s="1615"/>
      <c r="IY41" s="1613"/>
      <c r="IZ41" s="1613"/>
      <c r="JA41" s="1614"/>
      <c r="JB41" s="1615"/>
      <c r="JC41" s="1613"/>
      <c r="JD41" s="1613"/>
      <c r="JE41" s="1614"/>
      <c r="JF41" s="1615"/>
      <c r="JG41" s="1613"/>
      <c r="JH41" s="1613"/>
      <c r="JI41" s="1613"/>
      <c r="JJ41" s="1616"/>
      <c r="JK41" s="1613"/>
      <c r="JL41" s="1521">
        <f t="shared" ca="1" si="90"/>
        <v>0</v>
      </c>
    </row>
    <row r="42" spans="1:272" ht="12.6" customHeight="1" x14ac:dyDescent="0.25">
      <c r="A42" s="1861" t="str">
        <f t="shared" si="0"/>
        <v/>
      </c>
      <c r="B42" s="1862" t="str">
        <f t="shared" si="0"/>
        <v/>
      </c>
      <c r="C42" s="1863" t="str">
        <f t="shared" si="0"/>
        <v/>
      </c>
      <c r="D42" s="1864" t="str">
        <f t="shared" si="1"/>
        <v/>
      </c>
      <c r="E42" s="1865" t="str">
        <f t="shared" si="2"/>
        <v/>
      </c>
      <c r="F42" s="1866" t="str">
        <f t="shared" si="3"/>
        <v/>
      </c>
      <c r="G42" s="1867" t="str">
        <f t="shared" si="4"/>
        <v/>
      </c>
      <c r="H42" s="1868" t="str">
        <f t="shared" si="5"/>
        <v/>
      </c>
      <c r="I42" s="1869" t="str">
        <f t="shared" si="6"/>
        <v/>
      </c>
      <c r="J42" s="1864" t="str">
        <f t="shared" si="7"/>
        <v/>
      </c>
      <c r="K42" s="1868" t="str">
        <f t="shared" si="8"/>
        <v/>
      </c>
      <c r="L42" s="1870" t="str">
        <f t="shared" si="9"/>
        <v/>
      </c>
      <c r="M42" s="1871" t="str">
        <f t="shared" si="10"/>
        <v/>
      </c>
      <c r="N42" s="1872" t="str">
        <f t="shared" si="10"/>
        <v/>
      </c>
      <c r="O42" s="1867" t="str">
        <f t="shared" si="11"/>
        <v/>
      </c>
      <c r="P42" s="1868" t="str">
        <f t="shared" si="12"/>
        <v/>
      </c>
      <c r="Q42" s="1864" t="str">
        <f t="shared" si="13"/>
        <v/>
      </c>
      <c r="R42" s="1865" t="str">
        <f t="shared" si="14"/>
        <v/>
      </c>
      <c r="S42" s="1873" t="str">
        <f t="shared" si="15"/>
        <v/>
      </c>
      <c r="T42" s="1868" t="str">
        <f t="shared" si="16"/>
        <v/>
      </c>
      <c r="U42" s="1864" t="str">
        <f t="shared" si="17"/>
        <v/>
      </c>
      <c r="V42" s="1868" t="str">
        <f t="shared" si="18"/>
        <v/>
      </c>
      <c r="W42" s="1872">
        <f t="shared" si="19"/>
        <v>0</v>
      </c>
      <c r="X42" s="1874" t="str">
        <f t="shared" si="20"/>
        <v/>
      </c>
      <c r="Y42" s="1875" t="str">
        <f t="shared" si="21"/>
        <v/>
      </c>
      <c r="Z42" s="1941"/>
      <c r="AA42" s="1960" t="str">
        <f t="shared" si="22"/>
        <v/>
      </c>
      <c r="AB42" s="1471" t="str">
        <f t="shared" si="23"/>
        <v/>
      </c>
      <c r="AC42" s="1908" t="str">
        <f t="shared" si="23"/>
        <v/>
      </c>
      <c r="AD42" s="1909" t="str">
        <f t="shared" ca="1" si="24"/>
        <v/>
      </c>
      <c r="AE42" s="1910" t="str">
        <f t="shared" ca="1" si="25"/>
        <v/>
      </c>
      <c r="AF42" s="1908" t="str">
        <f t="shared" ca="1" si="26"/>
        <v/>
      </c>
      <c r="AG42" s="1909" t="str">
        <f t="shared" ca="1" si="27"/>
        <v/>
      </c>
      <c r="AH42" s="1910" t="str">
        <f t="shared" ca="1" si="28"/>
        <v/>
      </c>
      <c r="AI42" s="1909" t="str">
        <f t="shared" ca="1" si="29"/>
        <v/>
      </c>
      <c r="AJ42" s="1910" t="str">
        <f t="shared" ca="1" si="30"/>
        <v/>
      </c>
      <c r="AK42" s="1911" t="str">
        <f t="shared" si="31"/>
        <v/>
      </c>
      <c r="AL42" s="1912" t="str">
        <f t="shared" si="31"/>
        <v/>
      </c>
      <c r="AM42" s="1913" t="str">
        <f t="shared" si="31"/>
        <v/>
      </c>
      <c r="AN42" s="1908" t="str">
        <f t="shared" si="31"/>
        <v/>
      </c>
      <c r="AO42" s="1961" t="str">
        <f t="shared" si="31"/>
        <v/>
      </c>
      <c r="AP42" s="1915" t="str">
        <f t="shared" si="32"/>
        <v/>
      </c>
      <c r="AQ42" s="1916" t="str">
        <f t="shared" si="32"/>
        <v/>
      </c>
      <c r="AR42" s="1917" t="str">
        <f t="shared" si="33"/>
        <v/>
      </c>
      <c r="AS42" s="1910" t="str">
        <f t="shared" si="34"/>
        <v/>
      </c>
      <c r="AT42" s="1918" t="str">
        <f t="shared" si="35"/>
        <v/>
      </c>
      <c r="AU42" s="1919" t="str">
        <f t="shared" si="35"/>
        <v/>
      </c>
      <c r="AV42" s="1920" t="str">
        <f t="shared" si="36"/>
        <v/>
      </c>
      <c r="AW42" s="1910" t="str">
        <f t="shared" si="37"/>
        <v/>
      </c>
      <c r="AX42" s="1918" t="str">
        <f t="shared" si="38"/>
        <v/>
      </c>
      <c r="AY42" s="1919" t="str">
        <f t="shared" si="38"/>
        <v/>
      </c>
      <c r="AZ42" s="1920" t="str">
        <f t="shared" si="39"/>
        <v/>
      </c>
      <c r="BA42" s="1910" t="str">
        <f t="shared" si="40"/>
        <v/>
      </c>
      <c r="BB42" s="1918" t="str">
        <f t="shared" si="41"/>
        <v/>
      </c>
      <c r="BC42" s="1919" t="str">
        <f t="shared" si="41"/>
        <v/>
      </c>
      <c r="BD42" s="1920" t="str">
        <f t="shared" si="42"/>
        <v/>
      </c>
      <c r="BE42" s="1910" t="str">
        <f t="shared" si="43"/>
        <v/>
      </c>
      <c r="BF42" s="1918" t="str">
        <f t="shared" si="44"/>
        <v/>
      </c>
      <c r="BG42" s="1919" t="str">
        <f t="shared" si="44"/>
        <v/>
      </c>
      <c r="BH42" s="322"/>
      <c r="BJ42" s="1258" t="str">
        <f t="shared" si="88"/>
        <v/>
      </c>
      <c r="BK42" s="1256" t="b">
        <f t="shared" si="45"/>
        <v>0</v>
      </c>
      <c r="BL42" s="1251" t="b">
        <v>0</v>
      </c>
      <c r="BM42" s="1251">
        <f t="shared" si="46"/>
        <v>0</v>
      </c>
      <c r="BN42" s="1251">
        <f t="shared" si="47"/>
        <v>0</v>
      </c>
      <c r="BO42" s="1251">
        <f t="shared" si="48"/>
        <v>0</v>
      </c>
      <c r="BP42" s="1251">
        <f t="shared" si="49"/>
        <v>0</v>
      </c>
      <c r="BQ42" s="1251">
        <f t="shared" si="50"/>
        <v>0</v>
      </c>
      <c r="BR42" s="1251" t="b">
        <f t="shared" si="51"/>
        <v>1</v>
      </c>
      <c r="BS42" s="1252">
        <f t="shared" si="52"/>
        <v>6</v>
      </c>
      <c r="BT42" s="1252" t="str">
        <f t="shared" si="53"/>
        <v>No</v>
      </c>
      <c r="BU42" s="1252">
        <f t="shared" si="54"/>
        <v>6</v>
      </c>
      <c r="BV42" s="1252" t="str">
        <f t="shared" si="55"/>
        <v>No</v>
      </c>
      <c r="BW42" s="1253">
        <f t="shared" ca="1" si="56"/>
        <v>0</v>
      </c>
      <c r="BX42" s="1254" t="str">
        <f t="shared" ca="1" si="57"/>
        <v/>
      </c>
      <c r="BY42" s="1254" t="b">
        <f t="shared" ca="1" si="58"/>
        <v>0</v>
      </c>
      <c r="BZ42" s="1253" t="b">
        <f t="shared" si="81"/>
        <v>0</v>
      </c>
      <c r="CB42" s="842"/>
      <c r="CC42" s="894"/>
      <c r="CD42" s="883"/>
      <c r="CE42" s="884"/>
      <c r="CF42" s="885"/>
      <c r="CG42" s="901"/>
      <c r="CH42" s="902"/>
      <c r="CI42" s="903"/>
      <c r="CJ42" s="902"/>
      <c r="CK42" s="903"/>
      <c r="CL42" s="904"/>
      <c r="CM42" s="944"/>
      <c r="CN42" s="901"/>
      <c r="CO42" s="902"/>
      <c r="CP42" s="903"/>
      <c r="CQ42" s="902"/>
      <c r="CR42" s="903"/>
      <c r="CS42" s="904"/>
      <c r="CT42" s="944"/>
      <c r="CU42" s="906"/>
      <c r="CV42" s="886"/>
      <c r="CW42" s="887"/>
      <c r="CX42" s="915"/>
      <c r="CY42" s="916"/>
      <c r="CZ42" s="932"/>
      <c r="DA42" s="933"/>
      <c r="DB42" s="932"/>
      <c r="DC42" s="933"/>
      <c r="DD42" s="1149"/>
      <c r="DE42" s="1150"/>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30" t="str">
        <f t="shared" si="62"/>
        <v/>
      </c>
      <c r="EP42" s="726" t="str">
        <f t="shared" si="63"/>
        <v/>
      </c>
      <c r="EQ42" s="727" t="str">
        <f t="shared" si="64"/>
        <v/>
      </c>
      <c r="ER42" s="961" t="str">
        <f t="shared" si="65"/>
        <v/>
      </c>
      <c r="ES42" s="962" t="str">
        <f t="shared" si="82"/>
        <v/>
      </c>
      <c r="ET42" s="963" t="str">
        <f t="shared" si="66"/>
        <v/>
      </c>
      <c r="EU42" s="964" t="str">
        <f t="shared" si="67"/>
        <v/>
      </c>
      <c r="EX42" s="1194" t="str">
        <f t="shared" ca="1" si="83"/>
        <v/>
      </c>
      <c r="EY42" s="1196" t="str">
        <f t="shared" si="68"/>
        <v/>
      </c>
      <c r="EZ42" s="1196" t="str">
        <f t="shared" si="84"/>
        <v/>
      </c>
      <c r="FA42" s="1217" t="str">
        <f t="shared" ca="1" si="89"/>
        <v/>
      </c>
      <c r="FB42" s="1218" t="str">
        <f t="shared" ca="1" si="85"/>
        <v/>
      </c>
      <c r="FC42" s="1218">
        <f t="shared" ca="1" si="69"/>
        <v>0</v>
      </c>
      <c r="FD42" s="1218">
        <f t="shared" ca="1" si="70"/>
        <v>0</v>
      </c>
      <c r="FE42" s="1218">
        <f t="shared" ca="1" si="71"/>
        <v>0</v>
      </c>
      <c r="FF42" s="1218">
        <f t="shared" ca="1" si="86"/>
        <v>0</v>
      </c>
      <c r="FN42" s="969" t="b">
        <v>0</v>
      </c>
      <c r="FO42" s="969" t="b">
        <f t="shared" si="72"/>
        <v>1</v>
      </c>
      <c r="FP42" s="1815" t="b">
        <v>0</v>
      </c>
      <c r="FQ42" s="969" t="b">
        <f t="shared" si="87"/>
        <v>1</v>
      </c>
      <c r="GA42" s="1935" t="str">
        <f t="shared" si="73"/>
        <v/>
      </c>
      <c r="GB42" s="1936" t="str">
        <f t="shared" si="74"/>
        <v/>
      </c>
      <c r="GC42" s="1937" t="str">
        <f t="shared" si="75"/>
        <v/>
      </c>
      <c r="GD42" s="1938" t="str">
        <f t="shared" si="76"/>
        <v/>
      </c>
      <c r="GE42" s="1939" t="str">
        <f t="shared" si="77"/>
        <v/>
      </c>
      <c r="GF42" s="1940" t="str">
        <f t="shared" si="78"/>
        <v/>
      </c>
      <c r="GG42" s="1457"/>
      <c r="GH42" s="1459"/>
      <c r="GI42" s="1457"/>
      <c r="GJ42" s="1459"/>
      <c r="GK42" s="326">
        <f t="shared" si="79"/>
        <v>0</v>
      </c>
      <c r="GL42" s="326" t="e">
        <f t="shared" si="80"/>
        <v>#VALUE!</v>
      </c>
      <c r="GM42" s="327" t="e">
        <f>IF(ABS(GK42-GL42)&gt;='Job Info.'!$L$22,ABS(GK42-GL42),0)</f>
        <v>#VALUE!</v>
      </c>
      <c r="HA42" s="1612"/>
      <c r="HB42" s="1613"/>
      <c r="HC42" s="1613"/>
      <c r="HD42" s="1614"/>
      <c r="HE42" s="1615"/>
      <c r="HF42" s="1613"/>
      <c r="HG42" s="1613"/>
      <c r="HH42" s="1613"/>
      <c r="HI42" s="1613"/>
      <c r="HJ42" s="1613"/>
      <c r="HK42" s="1613"/>
      <c r="HL42" s="1613"/>
      <c r="HM42" s="1613"/>
      <c r="HN42" s="1613"/>
      <c r="HO42" s="1613"/>
      <c r="HP42" s="1613"/>
      <c r="HQ42" s="1613"/>
      <c r="HR42" s="1613"/>
      <c r="HS42" s="1613"/>
      <c r="HT42" s="1613"/>
      <c r="HU42" s="1613"/>
      <c r="HV42" s="1613"/>
      <c r="HW42" s="1613"/>
      <c r="HX42" s="1613"/>
      <c r="HY42" s="1617"/>
      <c r="HZ42" s="1617"/>
      <c r="IA42" s="1617"/>
      <c r="IB42" s="1617"/>
      <c r="IC42" s="1617"/>
      <c r="ID42" s="1632"/>
      <c r="IE42" s="1612"/>
      <c r="IF42" s="1613"/>
      <c r="IG42" s="1614"/>
      <c r="IH42" s="1615"/>
      <c r="II42" s="1613"/>
      <c r="IJ42" s="1614"/>
      <c r="IK42" s="1615"/>
      <c r="IL42" s="1613"/>
      <c r="IM42" s="1613"/>
      <c r="IN42" s="1613"/>
      <c r="IO42" s="1613"/>
      <c r="IP42" s="1613"/>
      <c r="IQ42" s="1613"/>
      <c r="IR42" s="1613"/>
      <c r="IS42" s="1614"/>
      <c r="IT42" s="1615"/>
      <c r="IU42" s="1613"/>
      <c r="IV42" s="1613"/>
      <c r="IW42" s="1614"/>
      <c r="IX42" s="1615"/>
      <c r="IY42" s="1613"/>
      <c r="IZ42" s="1613"/>
      <c r="JA42" s="1614"/>
      <c r="JB42" s="1615"/>
      <c r="JC42" s="1613"/>
      <c r="JD42" s="1613"/>
      <c r="JE42" s="1614"/>
      <c r="JF42" s="1615"/>
      <c r="JG42" s="1613"/>
      <c r="JH42" s="1613"/>
      <c r="JI42" s="1613"/>
      <c r="JJ42" s="1616"/>
      <c r="JK42" s="1613"/>
      <c r="JL42" s="1521">
        <f t="shared" ca="1" si="90"/>
        <v>0</v>
      </c>
    </row>
    <row r="43" spans="1:272" ht="12.6" customHeight="1" x14ac:dyDescent="0.25">
      <c r="A43" s="1861" t="str">
        <f t="shared" si="0"/>
        <v/>
      </c>
      <c r="B43" s="1862" t="str">
        <f t="shared" si="0"/>
        <v/>
      </c>
      <c r="C43" s="1863" t="str">
        <f t="shared" si="0"/>
        <v/>
      </c>
      <c r="D43" s="1864" t="str">
        <f t="shared" si="1"/>
        <v/>
      </c>
      <c r="E43" s="1865" t="str">
        <f t="shared" si="2"/>
        <v/>
      </c>
      <c r="F43" s="1866" t="str">
        <f t="shared" si="3"/>
        <v/>
      </c>
      <c r="G43" s="1867" t="str">
        <f t="shared" si="4"/>
        <v/>
      </c>
      <c r="H43" s="1868" t="str">
        <f t="shared" si="5"/>
        <v/>
      </c>
      <c r="I43" s="1869" t="str">
        <f t="shared" si="6"/>
        <v/>
      </c>
      <c r="J43" s="1864" t="str">
        <f t="shared" si="7"/>
        <v/>
      </c>
      <c r="K43" s="1868" t="str">
        <f t="shared" si="8"/>
        <v/>
      </c>
      <c r="L43" s="1870" t="str">
        <f t="shared" si="9"/>
        <v/>
      </c>
      <c r="M43" s="1871" t="str">
        <f t="shared" si="10"/>
        <v/>
      </c>
      <c r="N43" s="1872" t="str">
        <f t="shared" si="10"/>
        <v/>
      </c>
      <c r="O43" s="1867" t="str">
        <f t="shared" si="11"/>
        <v/>
      </c>
      <c r="P43" s="1868" t="str">
        <f t="shared" si="12"/>
        <v/>
      </c>
      <c r="Q43" s="1864" t="str">
        <f t="shared" si="13"/>
        <v/>
      </c>
      <c r="R43" s="1865" t="str">
        <f t="shared" si="14"/>
        <v/>
      </c>
      <c r="S43" s="1873" t="str">
        <f t="shared" si="15"/>
        <v/>
      </c>
      <c r="T43" s="1868" t="str">
        <f t="shared" si="16"/>
        <v/>
      </c>
      <c r="U43" s="1864" t="str">
        <f t="shared" si="17"/>
        <v/>
      </c>
      <c r="V43" s="1868" t="str">
        <f t="shared" si="18"/>
        <v/>
      </c>
      <c r="W43" s="1872">
        <f t="shared" si="19"/>
        <v>0</v>
      </c>
      <c r="X43" s="1874" t="str">
        <f t="shared" si="20"/>
        <v/>
      </c>
      <c r="Y43" s="1875" t="str">
        <f t="shared" si="21"/>
        <v/>
      </c>
      <c r="Z43" s="1941"/>
      <c r="AA43" s="1960" t="str">
        <f t="shared" si="22"/>
        <v/>
      </c>
      <c r="AB43" s="1471" t="str">
        <f t="shared" si="23"/>
        <v/>
      </c>
      <c r="AC43" s="1908" t="str">
        <f t="shared" si="23"/>
        <v/>
      </c>
      <c r="AD43" s="1909" t="str">
        <f t="shared" ca="1" si="24"/>
        <v/>
      </c>
      <c r="AE43" s="1910" t="str">
        <f t="shared" ca="1" si="25"/>
        <v/>
      </c>
      <c r="AF43" s="1908" t="str">
        <f t="shared" ca="1" si="26"/>
        <v/>
      </c>
      <c r="AG43" s="1909" t="str">
        <f t="shared" ca="1" si="27"/>
        <v/>
      </c>
      <c r="AH43" s="1910" t="str">
        <f t="shared" ca="1" si="28"/>
        <v/>
      </c>
      <c r="AI43" s="1909" t="str">
        <f t="shared" ca="1" si="29"/>
        <v/>
      </c>
      <c r="AJ43" s="1910" t="str">
        <f t="shared" ca="1" si="30"/>
        <v/>
      </c>
      <c r="AK43" s="1911" t="str">
        <f t="shared" si="31"/>
        <v/>
      </c>
      <c r="AL43" s="1912" t="str">
        <f t="shared" si="31"/>
        <v/>
      </c>
      <c r="AM43" s="1913" t="str">
        <f t="shared" si="31"/>
        <v/>
      </c>
      <c r="AN43" s="1908" t="str">
        <f t="shared" si="31"/>
        <v/>
      </c>
      <c r="AO43" s="1961" t="str">
        <f t="shared" si="31"/>
        <v/>
      </c>
      <c r="AP43" s="1915" t="str">
        <f t="shared" si="32"/>
        <v/>
      </c>
      <c r="AQ43" s="1916" t="str">
        <f t="shared" si="32"/>
        <v/>
      </c>
      <c r="AR43" s="1917" t="str">
        <f t="shared" si="33"/>
        <v/>
      </c>
      <c r="AS43" s="1910" t="str">
        <f t="shared" si="34"/>
        <v/>
      </c>
      <c r="AT43" s="1918" t="str">
        <f t="shared" si="35"/>
        <v/>
      </c>
      <c r="AU43" s="1919" t="str">
        <f t="shared" si="35"/>
        <v/>
      </c>
      <c r="AV43" s="1920" t="str">
        <f t="shared" si="36"/>
        <v/>
      </c>
      <c r="AW43" s="1910" t="str">
        <f t="shared" si="37"/>
        <v/>
      </c>
      <c r="AX43" s="1918" t="str">
        <f t="shared" si="38"/>
        <v/>
      </c>
      <c r="AY43" s="1919" t="str">
        <f t="shared" si="38"/>
        <v/>
      </c>
      <c r="AZ43" s="1920" t="str">
        <f t="shared" si="39"/>
        <v/>
      </c>
      <c r="BA43" s="1910" t="str">
        <f t="shared" si="40"/>
        <v/>
      </c>
      <c r="BB43" s="1918" t="str">
        <f t="shared" si="41"/>
        <v/>
      </c>
      <c r="BC43" s="1919" t="str">
        <f t="shared" si="41"/>
        <v/>
      </c>
      <c r="BD43" s="1920" t="str">
        <f t="shared" si="42"/>
        <v/>
      </c>
      <c r="BE43" s="1910" t="str">
        <f t="shared" si="43"/>
        <v/>
      </c>
      <c r="BF43" s="1918" t="str">
        <f t="shared" si="44"/>
        <v/>
      </c>
      <c r="BG43" s="1919" t="str">
        <f t="shared" si="44"/>
        <v/>
      </c>
      <c r="BH43" s="322"/>
      <c r="BJ43" s="1258" t="str">
        <f t="shared" si="88"/>
        <v/>
      </c>
      <c r="BK43" s="1256" t="b">
        <f t="shared" si="45"/>
        <v>0</v>
      </c>
      <c r="BL43" s="1251" t="b">
        <v>0</v>
      </c>
      <c r="BM43" s="1251">
        <f t="shared" si="46"/>
        <v>0</v>
      </c>
      <c r="BN43" s="1251">
        <f t="shared" si="47"/>
        <v>0</v>
      </c>
      <c r="BO43" s="1251">
        <f t="shared" si="48"/>
        <v>0</v>
      </c>
      <c r="BP43" s="1251">
        <f t="shared" si="49"/>
        <v>0</v>
      </c>
      <c r="BQ43" s="1251">
        <f t="shared" si="50"/>
        <v>0</v>
      </c>
      <c r="BR43" s="1251" t="b">
        <f t="shared" si="51"/>
        <v>1</v>
      </c>
      <c r="BS43" s="1252">
        <f t="shared" si="52"/>
        <v>6</v>
      </c>
      <c r="BT43" s="1252" t="str">
        <f t="shared" si="53"/>
        <v>No</v>
      </c>
      <c r="BU43" s="1252">
        <f t="shared" si="54"/>
        <v>6</v>
      </c>
      <c r="BV43" s="1252" t="str">
        <f t="shared" si="55"/>
        <v>No</v>
      </c>
      <c r="BW43" s="1253">
        <f t="shared" ca="1" si="56"/>
        <v>0</v>
      </c>
      <c r="BX43" s="1254" t="str">
        <f t="shared" ca="1" si="57"/>
        <v/>
      </c>
      <c r="BY43" s="1254" t="b">
        <f t="shared" ca="1" si="58"/>
        <v>0</v>
      </c>
      <c r="BZ43" s="1253" t="b">
        <f t="shared" si="81"/>
        <v>0</v>
      </c>
      <c r="CB43" s="842"/>
      <c r="CC43" s="894"/>
      <c r="CD43" s="883"/>
      <c r="CE43" s="884"/>
      <c r="CF43" s="885"/>
      <c r="CG43" s="901"/>
      <c r="CH43" s="902"/>
      <c r="CI43" s="903"/>
      <c r="CJ43" s="902"/>
      <c r="CK43" s="903"/>
      <c r="CL43" s="904"/>
      <c r="CM43" s="944"/>
      <c r="CN43" s="901"/>
      <c r="CO43" s="902"/>
      <c r="CP43" s="903"/>
      <c r="CQ43" s="902"/>
      <c r="CR43" s="903"/>
      <c r="CS43" s="904"/>
      <c r="CT43" s="944"/>
      <c r="CU43" s="906"/>
      <c r="CV43" s="886"/>
      <c r="CW43" s="887"/>
      <c r="CX43" s="915"/>
      <c r="CY43" s="916"/>
      <c r="CZ43" s="932"/>
      <c r="DA43" s="933"/>
      <c r="DB43" s="932"/>
      <c r="DC43" s="933"/>
      <c r="DD43" s="1149"/>
      <c r="DE43" s="1150"/>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30" t="str">
        <f t="shared" si="62"/>
        <v/>
      </c>
      <c r="EP43" s="726" t="str">
        <f t="shared" si="63"/>
        <v/>
      </c>
      <c r="EQ43" s="727" t="str">
        <f t="shared" si="64"/>
        <v/>
      </c>
      <c r="ER43" s="961" t="str">
        <f t="shared" si="65"/>
        <v/>
      </c>
      <c r="ES43" s="962" t="str">
        <f t="shared" si="82"/>
        <v/>
      </c>
      <c r="ET43" s="963" t="str">
        <f t="shared" si="66"/>
        <v/>
      </c>
      <c r="EU43" s="964" t="str">
        <f t="shared" si="67"/>
        <v/>
      </c>
      <c r="EX43" s="1194" t="str">
        <f t="shared" ca="1" si="83"/>
        <v/>
      </c>
      <c r="EY43" s="1196" t="str">
        <f t="shared" si="68"/>
        <v/>
      </c>
      <c r="EZ43" s="1196" t="str">
        <f t="shared" si="84"/>
        <v/>
      </c>
      <c r="FA43" s="1217" t="str">
        <f t="shared" ca="1" si="89"/>
        <v/>
      </c>
      <c r="FB43" s="1218" t="str">
        <f t="shared" ca="1" si="85"/>
        <v/>
      </c>
      <c r="FC43" s="1218">
        <f t="shared" ca="1" si="69"/>
        <v>0</v>
      </c>
      <c r="FD43" s="1218">
        <f t="shared" ca="1" si="70"/>
        <v>0</v>
      </c>
      <c r="FE43" s="1218">
        <f t="shared" ca="1" si="71"/>
        <v>0</v>
      </c>
      <c r="FF43" s="1218">
        <f t="shared" ca="1" si="86"/>
        <v>0</v>
      </c>
      <c r="FN43" s="969" t="b">
        <v>0</v>
      </c>
      <c r="FO43" s="969" t="b">
        <f t="shared" si="72"/>
        <v>1</v>
      </c>
      <c r="FP43" s="1815" t="b">
        <v>0</v>
      </c>
      <c r="FQ43" s="969" t="b">
        <f t="shared" si="87"/>
        <v>1</v>
      </c>
      <c r="GA43" s="1935" t="str">
        <f t="shared" si="73"/>
        <v/>
      </c>
      <c r="GB43" s="1936" t="str">
        <f t="shared" si="74"/>
        <v/>
      </c>
      <c r="GC43" s="1937" t="str">
        <f t="shared" si="75"/>
        <v/>
      </c>
      <c r="GD43" s="1938" t="str">
        <f t="shared" si="76"/>
        <v/>
      </c>
      <c r="GE43" s="1939" t="str">
        <f t="shared" si="77"/>
        <v/>
      </c>
      <c r="GF43" s="1940" t="str">
        <f t="shared" si="78"/>
        <v/>
      </c>
      <c r="GG43" s="1457"/>
      <c r="GH43" s="1459"/>
      <c r="GI43" s="1457"/>
      <c r="GJ43" s="1459"/>
      <c r="GK43" s="326">
        <f t="shared" si="79"/>
        <v>0</v>
      </c>
      <c r="GL43" s="326" t="e">
        <f t="shared" si="80"/>
        <v>#VALUE!</v>
      </c>
      <c r="GM43" s="327" t="e">
        <f>IF(ABS(GK43-GL43)&gt;='Job Info.'!$L$22,ABS(GK43-GL43),0)</f>
        <v>#VALUE!</v>
      </c>
      <c r="HA43" s="1612"/>
      <c r="HB43" s="1613"/>
      <c r="HC43" s="1613"/>
      <c r="HD43" s="1614"/>
      <c r="HE43" s="1615"/>
      <c r="HF43" s="1613"/>
      <c r="HG43" s="1613"/>
      <c r="HH43" s="1613"/>
      <c r="HI43" s="1613"/>
      <c r="HJ43" s="1613"/>
      <c r="HK43" s="1613"/>
      <c r="HL43" s="1613"/>
      <c r="HM43" s="1613"/>
      <c r="HN43" s="1613"/>
      <c r="HO43" s="1613"/>
      <c r="HP43" s="1613"/>
      <c r="HQ43" s="1613"/>
      <c r="HR43" s="1613"/>
      <c r="HS43" s="1613"/>
      <c r="HT43" s="1613"/>
      <c r="HU43" s="1613"/>
      <c r="HV43" s="1613"/>
      <c r="HW43" s="1613"/>
      <c r="HX43" s="1613"/>
      <c r="HY43" s="1617"/>
      <c r="HZ43" s="1617"/>
      <c r="IA43" s="1617"/>
      <c r="IB43" s="1617"/>
      <c r="IC43" s="1617"/>
      <c r="ID43" s="1632"/>
      <c r="IE43" s="1612"/>
      <c r="IF43" s="1613"/>
      <c r="IG43" s="1614"/>
      <c r="IH43" s="1615"/>
      <c r="II43" s="1613"/>
      <c r="IJ43" s="1614"/>
      <c r="IK43" s="1615"/>
      <c r="IL43" s="1613"/>
      <c r="IM43" s="1613"/>
      <c r="IN43" s="1613"/>
      <c r="IO43" s="1613"/>
      <c r="IP43" s="1613"/>
      <c r="IQ43" s="1613"/>
      <c r="IR43" s="1613"/>
      <c r="IS43" s="1614"/>
      <c r="IT43" s="1615"/>
      <c r="IU43" s="1613"/>
      <c r="IV43" s="1613"/>
      <c r="IW43" s="1614"/>
      <c r="IX43" s="1615"/>
      <c r="IY43" s="1613"/>
      <c r="IZ43" s="1613"/>
      <c r="JA43" s="1614"/>
      <c r="JB43" s="1615"/>
      <c r="JC43" s="1613"/>
      <c r="JD43" s="1613"/>
      <c r="JE43" s="1614"/>
      <c r="JF43" s="1615"/>
      <c r="JG43" s="1613"/>
      <c r="JH43" s="1613"/>
      <c r="JI43" s="1613"/>
      <c r="JJ43" s="1616"/>
      <c r="JK43" s="1613"/>
      <c r="JL43" s="1521">
        <f t="shared" ca="1" si="90"/>
        <v>0</v>
      </c>
    </row>
    <row r="44" spans="1:272" ht="12.6" customHeight="1" x14ac:dyDescent="0.25">
      <c r="A44" s="1861" t="str">
        <f t="shared" si="0"/>
        <v/>
      </c>
      <c r="B44" s="1862" t="str">
        <f t="shared" si="0"/>
        <v/>
      </c>
      <c r="C44" s="1863" t="str">
        <f t="shared" si="0"/>
        <v/>
      </c>
      <c r="D44" s="1864" t="str">
        <f t="shared" si="1"/>
        <v/>
      </c>
      <c r="E44" s="1865" t="str">
        <f t="shared" si="2"/>
        <v/>
      </c>
      <c r="F44" s="1866" t="str">
        <f t="shared" si="3"/>
        <v/>
      </c>
      <c r="G44" s="1867" t="str">
        <f t="shared" si="4"/>
        <v/>
      </c>
      <c r="H44" s="1868" t="str">
        <f t="shared" si="5"/>
        <v/>
      </c>
      <c r="I44" s="1869" t="str">
        <f t="shared" si="6"/>
        <v/>
      </c>
      <c r="J44" s="1864" t="str">
        <f t="shared" si="7"/>
        <v/>
      </c>
      <c r="K44" s="1868" t="str">
        <f t="shared" si="8"/>
        <v/>
      </c>
      <c r="L44" s="1870" t="str">
        <f t="shared" si="9"/>
        <v/>
      </c>
      <c r="M44" s="1871" t="str">
        <f t="shared" si="10"/>
        <v/>
      </c>
      <c r="N44" s="1872" t="str">
        <f t="shared" si="10"/>
        <v/>
      </c>
      <c r="O44" s="1867" t="str">
        <f t="shared" si="11"/>
        <v/>
      </c>
      <c r="P44" s="1868" t="str">
        <f t="shared" si="12"/>
        <v/>
      </c>
      <c r="Q44" s="1864" t="str">
        <f t="shared" si="13"/>
        <v/>
      </c>
      <c r="R44" s="1865" t="str">
        <f t="shared" si="14"/>
        <v/>
      </c>
      <c r="S44" s="1873" t="str">
        <f t="shared" si="15"/>
        <v/>
      </c>
      <c r="T44" s="1868" t="str">
        <f t="shared" si="16"/>
        <v/>
      </c>
      <c r="U44" s="1864" t="str">
        <f t="shared" si="17"/>
        <v/>
      </c>
      <c r="V44" s="1868" t="str">
        <f t="shared" si="18"/>
        <v/>
      </c>
      <c r="W44" s="1872">
        <f t="shared" si="19"/>
        <v>0</v>
      </c>
      <c r="X44" s="1874" t="str">
        <f t="shared" si="20"/>
        <v/>
      </c>
      <c r="Y44" s="1875" t="str">
        <f t="shared" si="21"/>
        <v/>
      </c>
      <c r="Z44" s="1941"/>
      <c r="AA44" s="1960" t="str">
        <f t="shared" si="22"/>
        <v/>
      </c>
      <c r="AB44" s="1471" t="str">
        <f t="shared" si="23"/>
        <v/>
      </c>
      <c r="AC44" s="1908" t="str">
        <f t="shared" si="23"/>
        <v/>
      </c>
      <c r="AD44" s="1909" t="str">
        <f t="shared" ca="1" si="24"/>
        <v/>
      </c>
      <c r="AE44" s="1910" t="str">
        <f t="shared" ca="1" si="25"/>
        <v/>
      </c>
      <c r="AF44" s="1908" t="str">
        <f t="shared" ca="1" si="26"/>
        <v/>
      </c>
      <c r="AG44" s="1909" t="str">
        <f t="shared" ca="1" si="27"/>
        <v/>
      </c>
      <c r="AH44" s="1910" t="str">
        <f t="shared" ca="1" si="28"/>
        <v/>
      </c>
      <c r="AI44" s="1909" t="str">
        <f t="shared" ca="1" si="29"/>
        <v/>
      </c>
      <c r="AJ44" s="1910" t="str">
        <f t="shared" ca="1" si="30"/>
        <v/>
      </c>
      <c r="AK44" s="1911" t="str">
        <f t="shared" si="31"/>
        <v/>
      </c>
      <c r="AL44" s="1912" t="str">
        <f t="shared" si="31"/>
        <v/>
      </c>
      <c r="AM44" s="1913" t="str">
        <f t="shared" si="31"/>
        <v/>
      </c>
      <c r="AN44" s="1908" t="str">
        <f t="shared" si="31"/>
        <v/>
      </c>
      <c r="AO44" s="1961" t="str">
        <f t="shared" si="31"/>
        <v/>
      </c>
      <c r="AP44" s="1915" t="str">
        <f t="shared" si="32"/>
        <v/>
      </c>
      <c r="AQ44" s="1916" t="str">
        <f t="shared" si="32"/>
        <v/>
      </c>
      <c r="AR44" s="1917" t="str">
        <f t="shared" si="33"/>
        <v/>
      </c>
      <c r="AS44" s="1910" t="str">
        <f t="shared" si="34"/>
        <v/>
      </c>
      <c r="AT44" s="1918" t="str">
        <f t="shared" si="35"/>
        <v/>
      </c>
      <c r="AU44" s="1919" t="str">
        <f t="shared" si="35"/>
        <v/>
      </c>
      <c r="AV44" s="1920" t="str">
        <f t="shared" si="36"/>
        <v/>
      </c>
      <c r="AW44" s="1910" t="str">
        <f t="shared" si="37"/>
        <v/>
      </c>
      <c r="AX44" s="1918" t="str">
        <f t="shared" si="38"/>
        <v/>
      </c>
      <c r="AY44" s="1919" t="str">
        <f t="shared" si="38"/>
        <v/>
      </c>
      <c r="AZ44" s="1920" t="str">
        <f t="shared" si="39"/>
        <v/>
      </c>
      <c r="BA44" s="1910" t="str">
        <f t="shared" si="40"/>
        <v/>
      </c>
      <c r="BB44" s="1918" t="str">
        <f t="shared" si="41"/>
        <v/>
      </c>
      <c r="BC44" s="1919" t="str">
        <f t="shared" si="41"/>
        <v/>
      </c>
      <c r="BD44" s="1920" t="str">
        <f t="shared" si="42"/>
        <v/>
      </c>
      <c r="BE44" s="1910" t="str">
        <f t="shared" si="43"/>
        <v/>
      </c>
      <c r="BF44" s="1918" t="str">
        <f t="shared" si="44"/>
        <v/>
      </c>
      <c r="BG44" s="1919" t="str">
        <f t="shared" si="44"/>
        <v/>
      </c>
      <c r="BH44" s="322"/>
      <c r="BJ44" s="1258" t="str">
        <f t="shared" si="88"/>
        <v/>
      </c>
      <c r="BK44" s="1256" t="b">
        <f t="shared" si="45"/>
        <v>0</v>
      </c>
      <c r="BL44" s="1251" t="b">
        <v>0</v>
      </c>
      <c r="BM44" s="1251">
        <f t="shared" si="46"/>
        <v>0</v>
      </c>
      <c r="BN44" s="1251">
        <f t="shared" si="47"/>
        <v>0</v>
      </c>
      <c r="BO44" s="1251">
        <f t="shared" si="48"/>
        <v>0</v>
      </c>
      <c r="BP44" s="1251">
        <f t="shared" si="49"/>
        <v>0</v>
      </c>
      <c r="BQ44" s="1251">
        <f t="shared" si="50"/>
        <v>0</v>
      </c>
      <c r="BR44" s="1251" t="b">
        <f t="shared" si="51"/>
        <v>1</v>
      </c>
      <c r="BS44" s="1252">
        <f t="shared" si="52"/>
        <v>6</v>
      </c>
      <c r="BT44" s="1252" t="str">
        <f t="shared" si="53"/>
        <v>No</v>
      </c>
      <c r="BU44" s="1252">
        <f t="shared" si="54"/>
        <v>6</v>
      </c>
      <c r="BV44" s="1252" t="str">
        <f t="shared" si="55"/>
        <v>No</v>
      </c>
      <c r="BW44" s="1253">
        <f t="shared" ca="1" si="56"/>
        <v>0</v>
      </c>
      <c r="BX44" s="1254" t="str">
        <f t="shared" ca="1" si="57"/>
        <v/>
      </c>
      <c r="BY44" s="1254" t="b">
        <f t="shared" ca="1" si="58"/>
        <v>0</v>
      </c>
      <c r="BZ44" s="1253" t="b">
        <f t="shared" si="81"/>
        <v>0</v>
      </c>
      <c r="CB44" s="842"/>
      <c r="CC44" s="894"/>
      <c r="CD44" s="883"/>
      <c r="CE44" s="884"/>
      <c r="CF44" s="885"/>
      <c r="CG44" s="901"/>
      <c r="CH44" s="902"/>
      <c r="CI44" s="903"/>
      <c r="CJ44" s="902"/>
      <c r="CK44" s="903"/>
      <c r="CL44" s="904"/>
      <c r="CM44" s="944"/>
      <c r="CN44" s="901"/>
      <c r="CO44" s="902"/>
      <c r="CP44" s="903"/>
      <c r="CQ44" s="902"/>
      <c r="CR44" s="903"/>
      <c r="CS44" s="904"/>
      <c r="CT44" s="944"/>
      <c r="CU44" s="906"/>
      <c r="CV44" s="886"/>
      <c r="CW44" s="887"/>
      <c r="CX44" s="915"/>
      <c r="CY44" s="916"/>
      <c r="CZ44" s="932"/>
      <c r="DA44" s="933"/>
      <c r="DB44" s="932"/>
      <c r="DC44" s="933"/>
      <c r="DD44" s="1149"/>
      <c r="DE44" s="1150"/>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30" t="str">
        <f t="shared" si="62"/>
        <v/>
      </c>
      <c r="EP44" s="726" t="str">
        <f t="shared" si="63"/>
        <v/>
      </c>
      <c r="EQ44" s="727" t="str">
        <f t="shared" si="64"/>
        <v/>
      </c>
      <c r="ER44" s="961" t="str">
        <f t="shared" si="65"/>
        <v/>
      </c>
      <c r="ES44" s="962" t="str">
        <f t="shared" si="82"/>
        <v/>
      </c>
      <c r="ET44" s="963" t="str">
        <f t="shared" si="66"/>
        <v/>
      </c>
      <c r="EU44" s="964" t="str">
        <f t="shared" si="67"/>
        <v/>
      </c>
      <c r="EX44" s="1194" t="str">
        <f t="shared" ca="1" si="83"/>
        <v/>
      </c>
      <c r="EY44" s="1196" t="str">
        <f t="shared" si="68"/>
        <v/>
      </c>
      <c r="EZ44" s="1196" t="str">
        <f t="shared" si="84"/>
        <v/>
      </c>
      <c r="FA44" s="1217" t="str">
        <f t="shared" ca="1" si="89"/>
        <v/>
      </c>
      <c r="FB44" s="1218" t="str">
        <f t="shared" ca="1" si="85"/>
        <v/>
      </c>
      <c r="FC44" s="1218">
        <f t="shared" ca="1" si="69"/>
        <v>0</v>
      </c>
      <c r="FD44" s="1218">
        <f t="shared" ca="1" si="70"/>
        <v>0</v>
      </c>
      <c r="FE44" s="1218">
        <f t="shared" ca="1" si="71"/>
        <v>0</v>
      </c>
      <c r="FF44" s="1218">
        <f t="shared" ca="1" si="86"/>
        <v>0</v>
      </c>
      <c r="FN44" s="969" t="b">
        <v>0</v>
      </c>
      <c r="FO44" s="969" t="b">
        <f t="shared" si="72"/>
        <v>1</v>
      </c>
      <c r="FP44" s="1815" t="b">
        <v>0</v>
      </c>
      <c r="FQ44" s="969" t="b">
        <f t="shared" si="87"/>
        <v>1</v>
      </c>
      <c r="GA44" s="1935" t="str">
        <f t="shared" si="73"/>
        <v/>
      </c>
      <c r="GB44" s="1936" t="str">
        <f t="shared" si="74"/>
        <v/>
      </c>
      <c r="GC44" s="1937" t="str">
        <f t="shared" si="75"/>
        <v/>
      </c>
      <c r="GD44" s="1938" t="str">
        <f t="shared" si="76"/>
        <v/>
      </c>
      <c r="GE44" s="1939" t="str">
        <f t="shared" si="77"/>
        <v/>
      </c>
      <c r="GF44" s="1940" t="str">
        <f t="shared" si="78"/>
        <v/>
      </c>
      <c r="GG44" s="1457"/>
      <c r="GH44" s="1459"/>
      <c r="GI44" s="1457"/>
      <c r="GJ44" s="1459"/>
      <c r="GK44" s="326">
        <f t="shared" si="79"/>
        <v>0</v>
      </c>
      <c r="GL44" s="326" t="e">
        <f t="shared" si="80"/>
        <v>#VALUE!</v>
      </c>
      <c r="GM44" s="327" t="e">
        <f>IF(ABS(GK44-GL44)&gt;='Job Info.'!$L$22,ABS(GK44-GL44),0)</f>
        <v>#VALUE!</v>
      </c>
      <c r="GN44" s="171"/>
      <c r="GO44" s="172"/>
      <c r="GP44" s="174"/>
      <c r="HA44" s="1612"/>
      <c r="HB44" s="1613"/>
      <c r="HC44" s="1613"/>
      <c r="HD44" s="1614"/>
      <c r="HE44" s="1615"/>
      <c r="HF44" s="1613"/>
      <c r="HG44" s="1613"/>
      <c r="HH44" s="1613"/>
      <c r="HI44" s="1613"/>
      <c r="HJ44" s="1613"/>
      <c r="HK44" s="1613"/>
      <c r="HL44" s="1613"/>
      <c r="HM44" s="1613"/>
      <c r="HN44" s="1613"/>
      <c r="HO44" s="1613"/>
      <c r="HP44" s="1613"/>
      <c r="HQ44" s="1613"/>
      <c r="HR44" s="1613"/>
      <c r="HS44" s="1613"/>
      <c r="HT44" s="1613"/>
      <c r="HU44" s="1613"/>
      <c r="HV44" s="1613"/>
      <c r="HW44" s="1613"/>
      <c r="HX44" s="1613"/>
      <c r="HY44" s="1617"/>
      <c r="HZ44" s="1617"/>
      <c r="IA44" s="1617"/>
      <c r="IB44" s="1617"/>
      <c r="IC44" s="1617"/>
      <c r="ID44" s="1632"/>
      <c r="IE44" s="1612"/>
      <c r="IF44" s="1613"/>
      <c r="IG44" s="1614"/>
      <c r="IH44" s="1615"/>
      <c r="II44" s="1613"/>
      <c r="IJ44" s="1614"/>
      <c r="IK44" s="1615"/>
      <c r="IL44" s="1613"/>
      <c r="IM44" s="1613"/>
      <c r="IN44" s="1613"/>
      <c r="IO44" s="1613"/>
      <c r="IP44" s="1613"/>
      <c r="IQ44" s="1613"/>
      <c r="IR44" s="1613"/>
      <c r="IS44" s="1614"/>
      <c r="IT44" s="1615"/>
      <c r="IU44" s="1613"/>
      <c r="IV44" s="1613"/>
      <c r="IW44" s="1614"/>
      <c r="IX44" s="1615"/>
      <c r="IY44" s="1613"/>
      <c r="IZ44" s="1613"/>
      <c r="JA44" s="1614"/>
      <c r="JB44" s="1615"/>
      <c r="JC44" s="1613"/>
      <c r="JD44" s="1613"/>
      <c r="JE44" s="1614"/>
      <c r="JF44" s="1615"/>
      <c r="JG44" s="1613"/>
      <c r="JH44" s="1613"/>
      <c r="JI44" s="1613"/>
      <c r="JJ44" s="1616"/>
      <c r="JK44" s="1613"/>
      <c r="JL44" s="1521">
        <f t="shared" ca="1" si="90"/>
        <v>0</v>
      </c>
    </row>
    <row r="45" spans="1:272" ht="12.6" customHeight="1" thickBot="1" x14ac:dyDescent="0.35">
      <c r="A45" s="1877" t="str">
        <f t="shared" si="0"/>
        <v/>
      </c>
      <c r="B45" s="1878" t="str">
        <f t="shared" si="0"/>
        <v/>
      </c>
      <c r="C45" s="1879" t="str">
        <f t="shared" si="0"/>
        <v/>
      </c>
      <c r="D45" s="1880" t="str">
        <f t="shared" si="1"/>
        <v/>
      </c>
      <c r="E45" s="1881" t="str">
        <f t="shared" si="2"/>
        <v/>
      </c>
      <c r="F45" s="1882" t="str">
        <f t="shared" si="3"/>
        <v/>
      </c>
      <c r="G45" s="1883" t="str">
        <f t="shared" si="4"/>
        <v/>
      </c>
      <c r="H45" s="1884" t="str">
        <f t="shared" si="5"/>
        <v/>
      </c>
      <c r="I45" s="1885" t="str">
        <f t="shared" si="6"/>
        <v/>
      </c>
      <c r="J45" s="1880" t="str">
        <f t="shared" si="7"/>
        <v/>
      </c>
      <c r="K45" s="1884" t="str">
        <f t="shared" si="8"/>
        <v/>
      </c>
      <c r="L45" s="1886" t="str">
        <f t="shared" si="9"/>
        <v/>
      </c>
      <c r="M45" s="1887" t="str">
        <f t="shared" si="10"/>
        <v/>
      </c>
      <c r="N45" s="1888" t="str">
        <f t="shared" si="10"/>
        <v/>
      </c>
      <c r="O45" s="1883" t="str">
        <f t="shared" si="11"/>
        <v/>
      </c>
      <c r="P45" s="1884" t="str">
        <f t="shared" si="12"/>
        <v/>
      </c>
      <c r="Q45" s="1880" t="str">
        <f t="shared" si="13"/>
        <v/>
      </c>
      <c r="R45" s="1881" t="str">
        <f t="shared" si="14"/>
        <v/>
      </c>
      <c r="S45" s="1889" t="str">
        <f t="shared" si="15"/>
        <v/>
      </c>
      <c r="T45" s="1884" t="str">
        <f t="shared" si="16"/>
        <v/>
      </c>
      <c r="U45" s="1880" t="str">
        <f t="shared" si="17"/>
        <v/>
      </c>
      <c r="V45" s="1884" t="str">
        <f t="shared" si="18"/>
        <v/>
      </c>
      <c r="W45" s="1888">
        <f t="shared" si="19"/>
        <v>0</v>
      </c>
      <c r="X45" s="1890" t="str">
        <f t="shared" si="20"/>
        <v/>
      </c>
      <c r="Y45" s="1891" t="str">
        <f t="shared" si="21"/>
        <v/>
      </c>
      <c r="Z45" s="1941"/>
      <c r="AA45" s="1962" t="str">
        <f t="shared" si="22"/>
        <v/>
      </c>
      <c r="AB45" s="1472" t="str">
        <f t="shared" si="23"/>
        <v/>
      </c>
      <c r="AC45" s="1921" t="str">
        <f t="shared" si="23"/>
        <v/>
      </c>
      <c r="AD45" s="1922" t="str">
        <f t="shared" ca="1" si="24"/>
        <v/>
      </c>
      <c r="AE45" s="1923" t="str">
        <f t="shared" ca="1" si="25"/>
        <v/>
      </c>
      <c r="AF45" s="1921" t="str">
        <f t="shared" ca="1" si="26"/>
        <v/>
      </c>
      <c r="AG45" s="1922" t="str">
        <f t="shared" ca="1" si="27"/>
        <v/>
      </c>
      <c r="AH45" s="1923" t="str">
        <f t="shared" ca="1" si="28"/>
        <v/>
      </c>
      <c r="AI45" s="1922" t="str">
        <f t="shared" ca="1" si="29"/>
        <v/>
      </c>
      <c r="AJ45" s="1923" t="str">
        <f t="shared" ca="1" si="30"/>
        <v/>
      </c>
      <c r="AK45" s="1924" t="str">
        <f t="shared" si="31"/>
        <v/>
      </c>
      <c r="AL45" s="1925" t="str">
        <f t="shared" si="31"/>
        <v/>
      </c>
      <c r="AM45" s="1926" t="str">
        <f t="shared" si="31"/>
        <v/>
      </c>
      <c r="AN45" s="1921" t="str">
        <f t="shared" si="31"/>
        <v/>
      </c>
      <c r="AO45" s="1963" t="str">
        <f t="shared" si="31"/>
        <v/>
      </c>
      <c r="AP45" s="1928" t="str">
        <f t="shared" si="32"/>
        <v/>
      </c>
      <c r="AQ45" s="1929" t="str">
        <f t="shared" si="32"/>
        <v/>
      </c>
      <c r="AR45" s="1930" t="str">
        <f t="shared" si="33"/>
        <v/>
      </c>
      <c r="AS45" s="1923" t="str">
        <f t="shared" si="34"/>
        <v/>
      </c>
      <c r="AT45" s="1931" t="str">
        <f t="shared" si="35"/>
        <v/>
      </c>
      <c r="AU45" s="1932" t="str">
        <f t="shared" si="35"/>
        <v/>
      </c>
      <c r="AV45" s="1933" t="str">
        <f t="shared" si="36"/>
        <v/>
      </c>
      <c r="AW45" s="1923" t="str">
        <f t="shared" si="37"/>
        <v/>
      </c>
      <c r="AX45" s="1931" t="str">
        <f t="shared" si="38"/>
        <v/>
      </c>
      <c r="AY45" s="1932" t="str">
        <f t="shared" si="38"/>
        <v/>
      </c>
      <c r="AZ45" s="1933" t="str">
        <f t="shared" si="39"/>
        <v/>
      </c>
      <c r="BA45" s="1923" t="str">
        <f t="shared" si="40"/>
        <v/>
      </c>
      <c r="BB45" s="1931" t="str">
        <f t="shared" si="41"/>
        <v/>
      </c>
      <c r="BC45" s="1932" t="str">
        <f t="shared" si="41"/>
        <v/>
      </c>
      <c r="BD45" s="1933" t="str">
        <f t="shared" si="42"/>
        <v/>
      </c>
      <c r="BE45" s="1923" t="str">
        <f t="shared" si="43"/>
        <v/>
      </c>
      <c r="BF45" s="1931" t="str">
        <f t="shared" si="44"/>
        <v/>
      </c>
      <c r="BG45" s="1932" t="str">
        <f t="shared" si="44"/>
        <v/>
      </c>
      <c r="BH45" s="322"/>
      <c r="BJ45" s="1258" t="str">
        <f t="shared" si="88"/>
        <v/>
      </c>
      <c r="BK45" s="1256" t="b">
        <f t="shared" si="45"/>
        <v>0</v>
      </c>
      <c r="BL45" s="1251" t="b">
        <v>0</v>
      </c>
      <c r="BM45" s="1251">
        <f t="shared" si="46"/>
        <v>0</v>
      </c>
      <c r="BN45" s="1251">
        <f t="shared" si="47"/>
        <v>0</v>
      </c>
      <c r="BO45" s="1251">
        <f t="shared" si="48"/>
        <v>0</v>
      </c>
      <c r="BP45" s="1251">
        <f t="shared" si="49"/>
        <v>0</v>
      </c>
      <c r="BQ45" s="1251">
        <f t="shared" si="50"/>
        <v>0</v>
      </c>
      <c r="BR45" s="1251" t="b">
        <f t="shared" si="51"/>
        <v>1</v>
      </c>
      <c r="BS45" s="1252">
        <f t="shared" si="52"/>
        <v>6</v>
      </c>
      <c r="BT45" s="1252" t="str">
        <f t="shared" si="53"/>
        <v>No</v>
      </c>
      <c r="BU45" s="1252">
        <f t="shared" si="54"/>
        <v>6</v>
      </c>
      <c r="BV45" s="1252" t="str">
        <f t="shared" si="55"/>
        <v>No</v>
      </c>
      <c r="BW45" s="1253">
        <f t="shared" ca="1" si="56"/>
        <v>0</v>
      </c>
      <c r="BX45" s="1254" t="str">
        <f t="shared" ca="1" si="57"/>
        <v/>
      </c>
      <c r="BY45" s="1254" t="b">
        <f t="shared" ca="1" si="58"/>
        <v>0</v>
      </c>
      <c r="BZ45" s="1253" t="b">
        <f t="shared" si="81"/>
        <v>0</v>
      </c>
      <c r="CB45" s="854"/>
      <c r="CC45" s="895"/>
      <c r="CD45" s="888"/>
      <c r="CE45" s="889"/>
      <c r="CF45" s="890"/>
      <c r="CG45" s="907"/>
      <c r="CH45" s="908"/>
      <c r="CI45" s="909"/>
      <c r="CJ45" s="908"/>
      <c r="CK45" s="909"/>
      <c r="CL45" s="910"/>
      <c r="CM45" s="945"/>
      <c r="CN45" s="907"/>
      <c r="CO45" s="908"/>
      <c r="CP45" s="909"/>
      <c r="CQ45" s="908"/>
      <c r="CR45" s="909"/>
      <c r="CS45" s="910"/>
      <c r="CT45" s="945"/>
      <c r="CU45" s="912"/>
      <c r="CV45" s="891"/>
      <c r="CW45" s="892"/>
      <c r="CX45" s="917"/>
      <c r="CY45" s="918"/>
      <c r="CZ45" s="939"/>
      <c r="DA45" s="940"/>
      <c r="DB45" s="939"/>
      <c r="DC45" s="940"/>
      <c r="DD45" s="1151"/>
      <c r="DE45" s="1152"/>
      <c r="DF45" s="173"/>
      <c r="DG45" s="173"/>
      <c r="DH45" s="100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31" t="str">
        <f t="shared" si="62"/>
        <v/>
      </c>
      <c r="EP45" s="728" t="str">
        <f t="shared" si="63"/>
        <v/>
      </c>
      <c r="EQ45" s="729" t="str">
        <f t="shared" si="64"/>
        <v/>
      </c>
      <c r="ER45" s="965" t="str">
        <f t="shared" si="65"/>
        <v/>
      </c>
      <c r="ES45" s="966" t="str">
        <f t="shared" si="82"/>
        <v/>
      </c>
      <c r="ET45" s="967" t="str">
        <f t="shared" si="66"/>
        <v/>
      </c>
      <c r="EU45" s="968" t="str">
        <f t="shared" si="67"/>
        <v/>
      </c>
      <c r="EX45" s="1194" t="str">
        <f t="shared" ca="1" si="83"/>
        <v/>
      </c>
      <c r="EY45" s="1196" t="str">
        <f t="shared" si="68"/>
        <v/>
      </c>
      <c r="EZ45" s="1196" t="str">
        <f t="shared" si="84"/>
        <v/>
      </c>
      <c r="FA45" s="1217" t="str">
        <f t="shared" ca="1" si="89"/>
        <v/>
      </c>
      <c r="FB45" s="1218" t="str">
        <f t="shared" ca="1" si="85"/>
        <v/>
      </c>
      <c r="FC45" s="1218">
        <f t="shared" ca="1" si="69"/>
        <v>0</v>
      </c>
      <c r="FD45" s="1218">
        <f t="shared" ca="1" si="70"/>
        <v>0</v>
      </c>
      <c r="FE45" s="1218">
        <f t="shared" ca="1" si="71"/>
        <v>0</v>
      </c>
      <c r="FF45" s="1218">
        <f t="shared" ca="1" si="86"/>
        <v>0</v>
      </c>
      <c r="FN45" s="969" t="b">
        <v>0</v>
      </c>
      <c r="FO45" s="969" t="b">
        <f t="shared" si="72"/>
        <v>1</v>
      </c>
      <c r="FP45" s="1815" t="b">
        <v>0</v>
      </c>
      <c r="FQ45" s="969" t="b">
        <f t="shared" si="87"/>
        <v>1</v>
      </c>
      <c r="FW45" s="122"/>
      <c r="FX45" s="122"/>
      <c r="FZ45" s="124"/>
      <c r="GA45" s="1935" t="str">
        <f t="shared" si="73"/>
        <v/>
      </c>
      <c r="GB45" s="1936" t="str">
        <f t="shared" si="74"/>
        <v/>
      </c>
      <c r="GC45" s="1937" t="str">
        <f t="shared" si="75"/>
        <v/>
      </c>
      <c r="GD45" s="1938" t="str">
        <f t="shared" si="76"/>
        <v/>
      </c>
      <c r="GE45" s="1939" t="str">
        <f t="shared" si="77"/>
        <v/>
      </c>
      <c r="GF45" s="1940" t="str">
        <f t="shared" si="78"/>
        <v/>
      </c>
      <c r="GG45" s="1460"/>
      <c r="GH45" s="1461"/>
      <c r="GI45" s="1460"/>
      <c r="GJ45" s="1461"/>
      <c r="GK45" s="326">
        <f t="shared" si="79"/>
        <v>0</v>
      </c>
      <c r="GL45" s="326" t="e">
        <f t="shared" si="80"/>
        <v>#VALUE!</v>
      </c>
      <c r="GM45" s="327" t="e">
        <f>IF(ABS(GK45-GL45)&gt;='Job Info.'!$L$22,ABS(GK45-GL45),0)</f>
        <v>#VALUE!</v>
      </c>
      <c r="GN45" s="171"/>
      <c r="GO45" s="171"/>
      <c r="GP45" s="171"/>
      <c r="GZ45" s="179"/>
      <c r="HA45" s="1620"/>
      <c r="HB45" s="1621"/>
      <c r="HC45" s="1621"/>
      <c r="HD45" s="1622"/>
      <c r="HE45" s="1623"/>
      <c r="HF45" s="1621"/>
      <c r="HG45" s="1621"/>
      <c r="HH45" s="1621"/>
      <c r="HI45" s="1621"/>
      <c r="HJ45" s="1621"/>
      <c r="HK45" s="1621"/>
      <c r="HL45" s="1621"/>
      <c r="HM45" s="1621"/>
      <c r="HN45" s="1621"/>
      <c r="HO45" s="1621"/>
      <c r="HP45" s="1621"/>
      <c r="HQ45" s="1621"/>
      <c r="HR45" s="1621"/>
      <c r="HS45" s="1621"/>
      <c r="HT45" s="1621"/>
      <c r="HU45" s="1621"/>
      <c r="HV45" s="1621"/>
      <c r="HW45" s="1621"/>
      <c r="HX45" s="1621"/>
      <c r="HY45" s="1624"/>
      <c r="HZ45" s="1624"/>
      <c r="IA45" s="1624"/>
      <c r="IB45" s="1624"/>
      <c r="IC45" s="1624"/>
      <c r="ID45" s="1633"/>
      <c r="IE45" s="1620"/>
      <c r="IF45" s="1621"/>
      <c r="IG45" s="1622"/>
      <c r="IH45" s="1623"/>
      <c r="II45" s="1621"/>
      <c r="IJ45" s="1622"/>
      <c r="IK45" s="1623"/>
      <c r="IL45" s="1621"/>
      <c r="IM45" s="1621"/>
      <c r="IN45" s="1621"/>
      <c r="IO45" s="1621"/>
      <c r="IP45" s="1621"/>
      <c r="IQ45" s="1621"/>
      <c r="IR45" s="1621"/>
      <c r="IS45" s="1622"/>
      <c r="IT45" s="1623"/>
      <c r="IU45" s="1621"/>
      <c r="IV45" s="1621"/>
      <c r="IW45" s="1622"/>
      <c r="IX45" s="1623"/>
      <c r="IY45" s="1621"/>
      <c r="IZ45" s="1621"/>
      <c r="JA45" s="1622"/>
      <c r="JB45" s="1623"/>
      <c r="JC45" s="1621"/>
      <c r="JD45" s="1621"/>
      <c r="JE45" s="1622"/>
      <c r="JF45" s="1623"/>
      <c r="JG45" s="1621"/>
      <c r="JH45" s="1621"/>
      <c r="JI45" s="1621"/>
      <c r="JJ45" s="1626"/>
      <c r="JK45" s="1621"/>
      <c r="JL45" s="1522">
        <f t="shared" ca="1" si="90"/>
        <v>0</v>
      </c>
    </row>
    <row r="46" spans="1:272" ht="20.100000000000001" customHeight="1" thickTop="1"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66"/>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62"/>
      <c r="GC46" s="1462"/>
      <c r="GD46" s="1462"/>
      <c r="GE46" s="1462"/>
      <c r="GF46" s="1462"/>
      <c r="GG46" s="1462"/>
      <c r="GH46" s="1462"/>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2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62"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57"/>
      <c r="GH48" s="1459"/>
      <c r="GI48" s="1457"/>
      <c r="GJ48" s="1459"/>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25">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25">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385" t="s">
        <v>509</v>
      </c>
      <c r="EE50" s="2385" t="s">
        <v>562</v>
      </c>
      <c r="EF50" s="2385" t="s">
        <v>563</v>
      </c>
      <c r="EG50" s="2385" t="s">
        <v>564</v>
      </c>
      <c r="EH50" s="2385" t="s">
        <v>565</v>
      </c>
      <c r="EI50" s="2385" t="s">
        <v>566</v>
      </c>
      <c r="EJ50" s="2385" t="s">
        <v>567</v>
      </c>
      <c r="EK50" s="2385" t="s">
        <v>568</v>
      </c>
      <c r="EL50" s="2385" t="s">
        <v>510</v>
      </c>
      <c r="EM50" s="2385" t="s">
        <v>569</v>
      </c>
      <c r="EN50" s="2385" t="s">
        <v>623</v>
      </c>
      <c r="EO50" s="2385" t="s">
        <v>511</v>
      </c>
      <c r="EP50" s="2385" t="s">
        <v>570</v>
      </c>
      <c r="EQ50" s="2385" t="s">
        <v>512</v>
      </c>
      <c r="ER50" s="2385" t="s">
        <v>571</v>
      </c>
      <c r="ES50" s="2385" t="s">
        <v>624</v>
      </c>
      <c r="ET50" s="2385" t="s">
        <v>513</v>
      </c>
      <c r="EU50" s="2385" t="s">
        <v>514</v>
      </c>
      <c r="EV50" s="360"/>
      <c r="EW50" s="360"/>
      <c r="EX50" s="360"/>
      <c r="EY50" s="363"/>
      <c r="EZ50" s="363"/>
      <c r="FA50" s="363"/>
      <c r="FB50" s="360"/>
      <c r="FC50" s="360"/>
      <c r="FD50" s="360"/>
      <c r="FG50" s="139"/>
      <c r="FH50" s="139"/>
      <c r="FI50" s="139"/>
      <c r="FJ50" s="139"/>
      <c r="FK50" s="139"/>
      <c r="FL50" s="296"/>
      <c r="FM50" s="296"/>
      <c r="FN50" s="2553" t="s">
        <v>656</v>
      </c>
      <c r="FO50" s="2554"/>
      <c r="FP50" s="2554"/>
      <c r="FQ50" s="2554"/>
      <c r="FR50" s="2554"/>
      <c r="FS50" s="2555"/>
      <c r="FT50" s="2519" t="s">
        <v>657</v>
      </c>
      <c r="FU50" s="2520"/>
      <c r="FV50" s="2520"/>
      <c r="FW50" s="2520"/>
      <c r="FX50" s="2520"/>
      <c r="FY50" s="2520"/>
      <c r="FZ50" s="2521"/>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25">
      <c r="BZ51" s="360"/>
      <c r="CA51" s="360"/>
      <c r="CB51" s="360"/>
      <c r="CC51" s="2408" t="s">
        <v>654</v>
      </c>
      <c r="CD51" s="2409"/>
      <c r="CE51" s="2409"/>
      <c r="CF51" s="2409"/>
      <c r="CG51" s="2409"/>
      <c r="CH51" s="2409"/>
      <c r="CI51" s="2409"/>
      <c r="CJ51" s="2409"/>
      <c r="CK51" s="2410"/>
      <c r="CL51" s="2408" t="s">
        <v>507</v>
      </c>
      <c r="CM51" s="2409"/>
      <c r="CN51" s="2409"/>
      <c r="CO51" s="2409"/>
      <c r="CP51" s="2409"/>
      <c r="CQ51" s="2409"/>
      <c r="CR51" s="2409"/>
      <c r="CS51" s="2409"/>
      <c r="CT51" s="2410"/>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387"/>
      <c r="EE51" s="2386"/>
      <c r="EF51" s="2386"/>
      <c r="EG51" s="2395"/>
      <c r="EH51" s="2386"/>
      <c r="EI51" s="2386"/>
      <c r="EJ51" s="2386"/>
      <c r="EK51" s="2387"/>
      <c r="EL51" s="2387"/>
      <c r="EM51" s="2387"/>
      <c r="EN51" s="2386"/>
      <c r="EO51" s="2387"/>
      <c r="EP51" s="2387"/>
      <c r="EQ51" s="2387"/>
      <c r="ER51" s="2387"/>
      <c r="ES51" s="2387"/>
      <c r="ET51" s="2387"/>
      <c r="EU51" s="2387"/>
      <c r="EV51" s="360"/>
      <c r="EW51" s="360"/>
      <c r="EX51" s="2515" t="s">
        <v>658</v>
      </c>
      <c r="EY51" s="2606" t="s">
        <v>659</v>
      </c>
      <c r="EZ51" s="360"/>
      <c r="FA51" s="360"/>
      <c r="FB51" s="360"/>
      <c r="FC51" s="360"/>
      <c r="FD51" s="360"/>
      <c r="FF51" s="2603" t="s">
        <v>990</v>
      </c>
      <c r="FG51" s="2604"/>
      <c r="FH51" s="2604"/>
      <c r="FI51" s="2604"/>
      <c r="FL51" s="296"/>
      <c r="FM51" s="296"/>
      <c r="FN51" s="2556"/>
      <c r="FO51" s="2557"/>
      <c r="FP51" s="2557"/>
      <c r="FQ51" s="2557"/>
      <c r="FR51" s="2557"/>
      <c r="FS51" s="2558"/>
      <c r="FT51" s="2522"/>
      <c r="FU51" s="2523"/>
      <c r="FV51" s="2523"/>
      <c r="FW51" s="2523"/>
      <c r="FX51" s="2523"/>
      <c r="FY51" s="2523"/>
      <c r="FZ51" s="2524"/>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25">
      <c r="BZ52" s="360"/>
      <c r="CA52" s="360"/>
      <c r="CB52" s="2503" t="s">
        <v>653</v>
      </c>
      <c r="CC52" s="2401" t="s">
        <v>535</v>
      </c>
      <c r="CD52" s="2403" t="s">
        <v>536</v>
      </c>
      <c r="CE52" s="2403" t="s">
        <v>537</v>
      </c>
      <c r="CF52" s="2403" t="s">
        <v>538</v>
      </c>
      <c r="CG52" s="2403" t="s">
        <v>599</v>
      </c>
      <c r="CH52" s="2403" t="s">
        <v>539</v>
      </c>
      <c r="CI52" s="2403" t="s">
        <v>619</v>
      </c>
      <c r="CJ52" s="2403" t="s">
        <v>540</v>
      </c>
      <c r="CK52" s="2405" t="s">
        <v>541</v>
      </c>
      <c r="CL52" s="2401" t="s">
        <v>535</v>
      </c>
      <c r="CM52" s="2403" t="s">
        <v>536</v>
      </c>
      <c r="CN52" s="2403" t="s">
        <v>542</v>
      </c>
      <c r="CO52" s="2403" t="s">
        <v>538</v>
      </c>
      <c r="CP52" s="2403" t="s">
        <v>599</v>
      </c>
      <c r="CQ52" s="2403" t="s">
        <v>539</v>
      </c>
      <c r="CR52" s="2403" t="s">
        <v>619</v>
      </c>
      <c r="CS52" s="2403" t="s">
        <v>540</v>
      </c>
      <c r="CT52" s="2405" t="s">
        <v>541</v>
      </c>
      <c r="CU52" s="2510" t="s">
        <v>528</v>
      </c>
      <c r="CV52" s="2393" t="s">
        <v>543</v>
      </c>
      <c r="CW52" s="2393" t="s">
        <v>544</v>
      </c>
      <c r="CX52" s="2391" t="s">
        <v>545</v>
      </c>
      <c r="CY52" s="2397" t="s">
        <v>582</v>
      </c>
      <c r="CZ52" s="2513" t="s">
        <v>546</v>
      </c>
      <c r="DA52" s="2514"/>
      <c r="DB52" s="2397" t="s">
        <v>547</v>
      </c>
      <c r="DC52" s="2393" t="s">
        <v>550</v>
      </c>
      <c r="DD52" s="2393" t="s">
        <v>551</v>
      </c>
      <c r="DE52" s="2397" t="s">
        <v>583</v>
      </c>
      <c r="DF52" s="2513" t="s">
        <v>548</v>
      </c>
      <c r="DG52" s="2514"/>
      <c r="DH52" s="2393" t="s">
        <v>549</v>
      </c>
      <c r="DI52" s="2393" t="s">
        <v>552</v>
      </c>
      <c r="DJ52" s="2393" t="s">
        <v>553</v>
      </c>
      <c r="DK52" s="2393" t="s">
        <v>554</v>
      </c>
      <c r="DL52" s="2393" t="s">
        <v>584</v>
      </c>
      <c r="DM52" s="2388" t="s">
        <v>585</v>
      </c>
      <c r="DN52" s="2389"/>
      <c r="DO52" s="2388" t="s">
        <v>586</v>
      </c>
      <c r="DP52" s="2390"/>
      <c r="DQ52" s="2391" t="s">
        <v>587</v>
      </c>
      <c r="DR52" s="2392"/>
      <c r="DS52" s="2393" t="s">
        <v>608</v>
      </c>
      <c r="DT52" s="2388" t="s">
        <v>588</v>
      </c>
      <c r="DU52" s="2389"/>
      <c r="DV52" s="2388" t="s">
        <v>589</v>
      </c>
      <c r="DW52" s="2390"/>
      <c r="DX52" s="2391" t="s">
        <v>590</v>
      </c>
      <c r="DY52" s="2392"/>
      <c r="DZ52" s="2393" t="s">
        <v>12</v>
      </c>
      <c r="EA52" s="2393" t="s">
        <v>13</v>
      </c>
      <c r="EB52" s="2393" t="s">
        <v>622</v>
      </c>
      <c r="EC52" s="2393" t="s">
        <v>621</v>
      </c>
      <c r="ED52" s="2387"/>
      <c r="EE52" s="2386"/>
      <c r="EF52" s="2386"/>
      <c r="EG52" s="2395"/>
      <c r="EH52" s="2386"/>
      <c r="EI52" s="2386"/>
      <c r="EJ52" s="2386"/>
      <c r="EK52" s="2387"/>
      <c r="EL52" s="2387"/>
      <c r="EM52" s="2387"/>
      <c r="EN52" s="2386"/>
      <c r="EO52" s="2387"/>
      <c r="EP52" s="2387"/>
      <c r="EQ52" s="2387"/>
      <c r="ER52" s="2387"/>
      <c r="ES52" s="2387"/>
      <c r="ET52" s="2387"/>
      <c r="EU52" s="2387"/>
      <c r="EV52" s="2393" t="s">
        <v>630</v>
      </c>
      <c r="EW52" s="2393" t="s">
        <v>631</v>
      </c>
      <c r="EX52" s="2516"/>
      <c r="EY52" s="2606"/>
      <c r="EZ52" s="2488" t="s">
        <v>555</v>
      </c>
      <c r="FA52" s="2490" t="s">
        <v>556</v>
      </c>
      <c r="FB52" s="2517" t="s">
        <v>723</v>
      </c>
      <c r="FC52" s="2517" t="s">
        <v>724</v>
      </c>
      <c r="FD52" s="2543" t="s">
        <v>828</v>
      </c>
      <c r="FE52" s="2544"/>
      <c r="FF52" s="296" t="s">
        <v>991</v>
      </c>
      <c r="FK52" s="2529" t="s">
        <v>831</v>
      </c>
      <c r="FL52" s="2531" t="s">
        <v>660</v>
      </c>
      <c r="FM52" s="2533" t="s">
        <v>527</v>
      </c>
      <c r="FN52" s="2541" t="s">
        <v>529</v>
      </c>
      <c r="FO52" s="2646" t="s">
        <v>530</v>
      </c>
      <c r="FP52" s="2649" t="s">
        <v>531</v>
      </c>
      <c r="FQ52" s="2649" t="s">
        <v>532</v>
      </c>
      <c r="FR52" s="2653" t="s">
        <v>533</v>
      </c>
      <c r="FS52" s="2650" t="s">
        <v>534</v>
      </c>
      <c r="FT52" s="2527" t="s">
        <v>683</v>
      </c>
      <c r="FU52" s="2525" t="s">
        <v>521</v>
      </c>
      <c r="FV52" s="2525" t="s">
        <v>686</v>
      </c>
      <c r="FW52" s="2525" t="s">
        <v>685</v>
      </c>
      <c r="FX52" s="2525" t="s">
        <v>522</v>
      </c>
      <c r="FY52" s="2525" t="s">
        <v>684</v>
      </c>
      <c r="FZ52" s="2525" t="s">
        <v>687</v>
      </c>
      <c r="GA52" s="2525" t="s">
        <v>523</v>
      </c>
      <c r="GB52" s="2549" t="s">
        <v>524</v>
      </c>
      <c r="GC52" s="2547" t="s">
        <v>665</v>
      </c>
      <c r="GD52" s="249"/>
      <c r="GE52" s="164"/>
      <c r="GF52" s="164"/>
      <c r="GG52" s="168"/>
      <c r="GH52" s="168"/>
      <c r="GI52" s="169"/>
      <c r="GJ52" s="2545" t="s">
        <v>688</v>
      </c>
      <c r="GK52" s="2"/>
      <c r="GL52" s="171"/>
      <c r="GM52" s="171"/>
    </row>
    <row r="53" spans="1:222" ht="12.6" hidden="1" customHeight="1" thickTop="1" thickBot="1" x14ac:dyDescent="0.25">
      <c r="BZ53" s="360"/>
      <c r="CA53" s="360"/>
      <c r="CB53" s="2504"/>
      <c r="CC53" s="2402"/>
      <c r="CD53" s="2407"/>
      <c r="CE53" s="2407"/>
      <c r="CF53" s="2404"/>
      <c r="CG53" s="2404"/>
      <c r="CH53" s="2404"/>
      <c r="CI53" s="2404"/>
      <c r="CJ53" s="2404"/>
      <c r="CK53" s="2406"/>
      <c r="CL53" s="2402"/>
      <c r="CM53" s="2407"/>
      <c r="CN53" s="2407"/>
      <c r="CO53" s="2404"/>
      <c r="CP53" s="2404"/>
      <c r="CQ53" s="2404"/>
      <c r="CR53" s="2404"/>
      <c r="CS53" s="2404"/>
      <c r="CT53" s="2406"/>
      <c r="CU53" s="2511"/>
      <c r="CV53" s="2394"/>
      <c r="CW53" s="2509"/>
      <c r="CX53" s="2512"/>
      <c r="CY53" s="2387"/>
      <c r="CZ53" s="412" t="s">
        <v>593</v>
      </c>
      <c r="DA53" s="412" t="s">
        <v>594</v>
      </c>
      <c r="DB53" s="2387"/>
      <c r="DC53" s="2394"/>
      <c r="DD53" s="2394"/>
      <c r="DE53" s="2387"/>
      <c r="DF53" s="412" t="s">
        <v>593</v>
      </c>
      <c r="DG53" s="412" t="s">
        <v>594</v>
      </c>
      <c r="DH53" s="2394"/>
      <c r="DI53" s="2394"/>
      <c r="DJ53" s="2394"/>
      <c r="DK53" s="2394"/>
      <c r="DL53" s="2394"/>
      <c r="DM53" s="413" t="s">
        <v>558</v>
      </c>
      <c r="DN53" s="413" t="s">
        <v>559</v>
      </c>
      <c r="DO53" s="413" t="s">
        <v>558</v>
      </c>
      <c r="DP53" s="413" t="s">
        <v>559</v>
      </c>
      <c r="DQ53" s="413" t="s">
        <v>558</v>
      </c>
      <c r="DR53" s="413" t="s">
        <v>559</v>
      </c>
      <c r="DS53" s="2394"/>
      <c r="DT53" s="413" t="s">
        <v>558</v>
      </c>
      <c r="DU53" s="413" t="s">
        <v>559</v>
      </c>
      <c r="DV53" s="413" t="s">
        <v>558</v>
      </c>
      <c r="DW53" s="413" t="s">
        <v>559</v>
      </c>
      <c r="DX53" s="413" t="s">
        <v>558</v>
      </c>
      <c r="DY53" s="413" t="s">
        <v>559</v>
      </c>
      <c r="DZ53" s="2394"/>
      <c r="EA53" s="2394"/>
      <c r="EB53" s="2396"/>
      <c r="EC53" s="2396"/>
      <c r="ED53" s="2387"/>
      <c r="EE53" s="2386"/>
      <c r="EF53" s="2386"/>
      <c r="EG53" s="2395"/>
      <c r="EH53" s="2386"/>
      <c r="EI53" s="2386"/>
      <c r="EJ53" s="2386"/>
      <c r="EK53" s="2387"/>
      <c r="EL53" s="2387"/>
      <c r="EM53" s="2387"/>
      <c r="EN53" s="2386"/>
      <c r="EO53" s="2387"/>
      <c r="EP53" s="2387"/>
      <c r="EQ53" s="2387"/>
      <c r="ER53" s="2387"/>
      <c r="ES53" s="2387"/>
      <c r="ET53" s="2387"/>
      <c r="EU53" s="2387"/>
      <c r="EV53" s="2394"/>
      <c r="EW53" s="2394"/>
      <c r="EX53" s="2516"/>
      <c r="EY53" s="2607"/>
      <c r="EZ53" s="2489"/>
      <c r="FA53" s="2406"/>
      <c r="FB53" s="2518"/>
      <c r="FC53" s="2518"/>
      <c r="FD53" s="610" t="s">
        <v>646</v>
      </c>
      <c r="FE53" s="611" t="s">
        <v>647</v>
      </c>
      <c r="FF53" s="303" t="s">
        <v>992</v>
      </c>
      <c r="FG53" s="303" t="s">
        <v>993</v>
      </c>
      <c r="FH53" s="303" t="s">
        <v>994</v>
      </c>
      <c r="FI53" s="303" t="s">
        <v>995</v>
      </c>
      <c r="FK53" s="2530"/>
      <c r="FL53" s="2532"/>
      <c r="FM53" s="2534"/>
      <c r="FN53" s="2542"/>
      <c r="FO53" s="2647"/>
      <c r="FP53" s="2647"/>
      <c r="FQ53" s="2647"/>
      <c r="FR53" s="2647"/>
      <c r="FS53" s="2651"/>
      <c r="FT53" s="2652"/>
      <c r="FU53" s="2654"/>
      <c r="FV53" s="2654"/>
      <c r="FW53" s="2654"/>
      <c r="FX53" s="2654"/>
      <c r="FY53" s="2654"/>
      <c r="FZ53" s="2654"/>
      <c r="GA53" s="2661"/>
      <c r="GB53" s="2648"/>
      <c r="GC53" s="2660"/>
      <c r="GD53" s="250" t="s">
        <v>663</v>
      </c>
      <c r="GE53" s="177" t="s">
        <v>664</v>
      </c>
      <c r="GF53" s="166" t="s">
        <v>667</v>
      </c>
      <c r="GG53" s="166" t="s">
        <v>668</v>
      </c>
      <c r="GH53" s="166" t="s">
        <v>669</v>
      </c>
      <c r="GI53" s="167" t="s">
        <v>670</v>
      </c>
      <c r="GJ53" s="2546"/>
      <c r="GK53" s="972" t="s">
        <v>996</v>
      </c>
      <c r="GL53" s="171"/>
      <c r="GM53" s="171"/>
    </row>
    <row r="54" spans="1:222" ht="12.6" hidden="1" customHeight="1" thickTop="1" x14ac:dyDescent="0.2">
      <c r="BZ54" s="360"/>
      <c r="CA54" s="360"/>
      <c r="CB54" s="435" t="str">
        <f t="shared" ref="CB54:CB74" si="91">IF(CB14="","",CB14)</f>
        <v/>
      </c>
      <c r="CC54" s="436" t="str">
        <f>IF(CG14="","",VLOOKUP(CG14,SectInfo!$B:$N,12,FALSE))</f>
        <v/>
      </c>
      <c r="CD54" s="1172" t="str">
        <f>IF(ISBLANK(CZ14),IF(CG14="","",VLOOKUP(CG14,SectInfo!$B:$N,13,FALSE)),CZ14)</f>
        <v/>
      </c>
      <c r="CE54" s="437" t="str">
        <f>IF(CG14="","",IF(VLOOKUP(CG14,SectInfo!$B:$N,5,FALSE)="","R",UPPER(VLOOKUP(CG14,SectInfo!$B:$N,5,FALSE))))</f>
        <v/>
      </c>
      <c r="CF54" s="1172"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72" t="str">
        <f>IF(ISBLANK(DA14),IF(CN14="","",VLOOKUP(CN14,SectInfo!$B:$N,13,FALSE)),DA14)</f>
        <v/>
      </c>
      <c r="CN54" s="437" t="str">
        <f>IF(CN14="","",IF(VLOOKUP(CN14,SectInfo!$B:$N,5,FALSE)="","R",UPPER(VLOOKUP(CN14,SectInfo!$B:$N,5,FALSE))))</f>
        <v/>
      </c>
      <c r="CO54" s="1172"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9">
        <f t="shared" ref="CY54:CY74" si="96">RADIANS(ABS(CL14))</f>
        <v>0</v>
      </c>
      <c r="CZ54" s="1109">
        <f t="shared" ref="CZ54:CZ85" si="97">MIN(IF(CH14&gt;0,CH14/2,MAX(CI14/2,CJ54)),IF(CI14&gt;0,CI14/2,MAX(CH14/2,CJ54)),IF(CJ54&gt;0,CJ54,MAX(CI14/2,CH14/2)))/IF(OR(CC54="C",AND(CC54="M",$FG$1="N")),1,COS(CY54))</f>
        <v>0</v>
      </c>
      <c r="DA54" s="1109" t="str">
        <f t="shared" ref="DA54:DA85" si="98">IF(CD54="","",IF(CJ54&gt;=0,MAX(CH14/2,CI14/2,CJ54),CJ54)/IF(OR(CC54="C",AND(CC54="M",$FG$1="N")),1,COS(CY54)))</f>
        <v/>
      </c>
      <c r="DB54" s="1125" t="str">
        <f>IF(CD54="","",CD54+DA54+($EY$4*TAN(CY54)))</f>
        <v/>
      </c>
      <c r="DC54" s="1125" t="str">
        <f t="shared" ref="DC54:DC85" si="99">IF(CD54="","",IF(NOT(ISBLANK(DB14)),CD54-DB14,MAX(IF(AND(CZ54&gt;=$FB$4,DA54&lt;=$FA$4,OR($FA$1=1,$FA$1=4)),CD54,IF(OR($FA$1=3,$FA$1=4),DB54-$FA$4,DB54+MAX(($FA$4-$FB$4)-(DA54-CZ54)-$EY$4/2*TAN(CY54),0)-$FA$4))-EO54,0)))</f>
        <v/>
      </c>
      <c r="DD54" s="1110">
        <f>IF(CD54="",0,IF(DC54/COS(EU54)&lt;0.0625,0,CEILING(DC54/COS(EU54)-0.03125,0.125)))</f>
        <v>0</v>
      </c>
      <c r="DE54" s="1108">
        <f>RADIANS(ABS(CS14))</f>
        <v>0</v>
      </c>
      <c r="DF54" s="1109">
        <f t="shared" ref="DF54:DF85" si="100">MIN(IF(CO14&gt;0,CO14/2,MAX(CP14/2,CS54)),IF(CP14&gt;0,CP14/2,MAX(CO14/2,CS54)),IF(CS54&gt;0,CS54,MAX(CP14/2,CO14/2)))/IF(OR(CL54="C",AND(CL54="M",$FG$1="N")),1,COS(DE54))</f>
        <v>0</v>
      </c>
      <c r="DG54" s="1109" t="str">
        <f t="shared" ref="DG54:DG85" si="101">IF(CM54="","",IF(CS54&gt;=0,MAX(CO14/2,CP14/2,CS54),CS54)/IF(OR(CL54="C",AND(CL54="M",$FG$1="N")),1,COS(DE54)))</f>
        <v/>
      </c>
      <c r="DH54" s="1125" t="str">
        <f>IF(CM54="","",CM54+DG54+($EY$4*TAN(DE54)))</f>
        <v/>
      </c>
      <c r="DI54" s="1125" t="str">
        <f>IF(CM54="","",IF(NOT(ISBLANK(DC14)),CM54-DC14,MAX(IF(AND(DF54&gt;=$FB$4,DG54&lt;=$FA$4,OR($FA$1=1,$FA$1=4)),CM54,IF(OR($FA$1=3,$FA$1=4),DH54-$FA$4,DH54+MAX(($FA$4-$FB$4)-(DG54-DF54)-$EY$4/2*TAN(DE54),0)-$FA$4))-ET54,0)-DC14))</f>
        <v/>
      </c>
      <c r="DJ54" s="1110">
        <f>IF(CM54="",0,IF(DI54/COS(EU54)&lt;0.0625,0,CEILING(DI54/COS(EU54)-0.03125,0.125)))</f>
        <v>0</v>
      </c>
      <c r="DK54" s="1108" t="str">
        <f t="shared" ref="DK54:DK74" si="102">IF(CV54="","",CEILING(CV54-DD54-DJ54-0.0625,0.125))</f>
        <v/>
      </c>
      <c r="DL54" s="1108" t="str">
        <f t="shared" ref="DL54:DL74" si="103">IF(AND(EG54="",CH54=""),"",IF(EG54="ERR","ERR",IF(ISNUMBER(EG54),(EG54/2)*-1,CH54)))</f>
        <v/>
      </c>
      <c r="DM54" s="1108" t="str">
        <f t="shared" ref="DM54:DM85" si="104">IF(DL54="ERR","ERR",IF(DL54="","",IF(CR54*TAN(CY54)&lt;=($FE$4-($FD$4-0.0625)),CD54-(DL54-EO54)/IF(OR(CC54="C",AND(CC54="M",$FG$1="N")),1,COS(CY54))-IF(MID(CE54,1,1)="R",0,DC54),(ABS(DL54-EO54)/IF(OR(CC54="C",AND(CC54="M",$FG$1="N")),1,COS(CY54))+CD54)-((CR54/2)*TAN(CY54))-IF(MID(CE54,1,1)="R",0,DC54))))</f>
        <v/>
      </c>
      <c r="DN54" s="1108" t="str">
        <f t="shared" ref="DN54:DN85" si="105">IF(DL54="ERR","ERR",IF(DL54="","",IF(CI54*TAN(CY54)&lt;=($FE$4-($FD$4-0.0625)),CD54-(DL54-EO54)/IF(OR(CC54="C",AND(CC54="M",$FG$1="N")),1,COS(CY54))-IF(MID(CE54,1,1)="R",0,DC54),(ABS(DL54-EO54)/IF(OR(CC54="C",AND(CC54="M",$FG$1="N")),1,COS(CY54))+CD54)+((CI54/2)*TAN(CY54))-IF(MID(CE54,1,1)="R",0,DC54))))</f>
        <v/>
      </c>
      <c r="DO54" s="1125" t="str">
        <f t="shared" ref="DO54:DO85" si="106">IF(ISBLANK(DB14),IF(DM54&lt;0.5+($FD$4-0.0625)/2,"ERR",IF(DM54&lt;0.5+$FE$4/2,($FE$4/2+0.5),IF(DM54&lt;$FA$4+IF(MID(CE54,1,1)="R",DC54+DB14,0)-$FE$4/2-0.5,DM54,IF(DM54&lt;=$FA$4+IF(MID(CE54,1,1)="R",DC54,0)-($FD$4-0.0625)/2-0.5,$FA$4+IF(MID(CE54,1,1)="R",DC54,0)-($FE$4/2+0.5),"ERR")))),DM54)</f>
        <v>ERR</v>
      </c>
      <c r="DP54" s="1125" t="str">
        <f t="shared" ref="DP54:DP85" si="107">IF(ISBLANK(DB14),IF(DN54&lt;0.5+($FD$4-0.0625)/2,"ERR",IF(DN54&lt;0.5+$FE$4/2,($FE$4/2+0.5),IF(DN54&lt;$FA$4+IF(MID(CE54,1,1)="R",DC54+DB14,0)-$FE$4/2-0.5,DN54,IF(DN54&lt;=$FA$4+IF(MID(CE54,1,1)="R",DC54,0)-($FD$4-0.0625)/2-0.5,$FA$4+IF(MID(CE54,1,1)="R",DC54,0)-($FE$4/2+0.5),"ERR")))),DN54)</f>
        <v>ERR</v>
      </c>
      <c r="DQ54" s="1108" t="str">
        <f t="shared" ref="DQ54:DR85" si="108">IF(ISERROR(DM54),"ERR",IF(DM54="","",IF(DO54="ERR","ERR",CEILING(DO54-0.0625,0.125))))</f>
        <v/>
      </c>
      <c r="DR54" s="1108" t="str">
        <f t="shared" si="108"/>
        <v/>
      </c>
      <c r="DS54" s="1108" t="str">
        <f t="shared" ref="DS54:DS85" si="109">IF(AND(EJ54="",CQ54=""),"",IF(EJ54="ERR","ERR",IF(ISNUMBER(EJ54),(EJ54/2)*-1,CQ54)))</f>
        <v/>
      </c>
      <c r="DT54" s="1108" t="str">
        <f t="shared" ref="DT54:DT85" si="110">IF(DS54="ERR","ERR",IF(DS54="","",IF(CR54*TAN(DE54)&lt;=($FE$4-($FD$4-0.0625)),CM54-(DS54-ET54)/IF(OR(CL54="C",AND(CL54="M",$FG$1="N")),1,COS(DE54))-IF(MID(CN54,1,1)="R",0,DI54),(ABS(DS54-ET54)/IF(OR(CL54="C",AND(CL54="M",$FG$1="N")),1,COS(DE54))+CM54)-((CR54/2)*TAN(DE54))-IF(MID(CN54,1,1)="R",0,DI54))))</f>
        <v/>
      </c>
      <c r="DU54" s="1108" t="str">
        <f t="shared" ref="DU54:DU85" si="111">IF(DS54="ERR","ERR",IF(DS54="","",IF(CR54*TAN(DE54)&lt;=($FE$4-($FD$4-0.0625)),CM54-(DS54-ET54)/IF(OR(CL54="C",AND(CL54="M",$FG$1="N")),1,COS(DE54))-IF(MID(CN54,1,1)="R",0,DI54),(ABS(DS54-ET54)/IF(OR(CL54="C",AND(CL54="M",$FG$1="N")),1,COS(DE54))+CM54)+((CR54/2)*TAN(DE54))-IF(MID(CN54,1,1)="R",0,DI54))))</f>
        <v/>
      </c>
      <c r="DV54" s="1125" t="str">
        <f t="shared" ref="DV54:DV85" si="112">IF(ISBLANK(DC14),IF(DT54&lt;0.5+($FD$4-0.0625)/2,"ERR",IF(DT54&lt;0.5+$FE$4/2,($FE$4/2+0.5),IF(DT54&lt;$FA$4+IF(MID(CN54,1,1)="R",DI54+DC14,0)-$FE$4/2-0.5,DT54,IF(DT54&lt;=$FA$4+IF(MID(CN54,1,1)="R",DI54,0)-($FD$4-0.0625)/2-0.5,$FA$4+IF(MID(CN54,1,1)="R",DI54,0)-($FE$4/2+0.5),"ERR")))),DT54)</f>
        <v>ERR</v>
      </c>
      <c r="DW54" s="1125" t="str">
        <f t="shared" ref="DW54:DW85" si="113">IF(ISBLANK(DC14),IF(DU54&lt;0.5+($FD$4-0.0625)/2,"ERR",IF(DU54&lt;0.5+$FE$4/2,($FE$4/2+0.5),IF(DU54&lt;$FA$4+IF(MID(CN54,1,1)="R",DI54+DC14,0)-$FE$4/2-0.5,DU54,IF(DU54&lt;=$FA$4+IF(MID(CN54,1,1)="R",DI54,0)-($FD$4-0.0625)/2-0.5,$FA$4+IF(MID(CN54,1,1)="R",DI54,0)-($FE$4/2+0.5),"ERR")))),DU54)</f>
        <v>ERR</v>
      </c>
      <c r="DX54" s="1108" t="str">
        <f t="shared" ref="DX54:DX74" si="114">IF(ISERROR(DT54),"ERR",IF(DT54="","",IF(DV54="ERR","ERR",CEILING(DV54-0.0625,0.125))))</f>
        <v/>
      </c>
      <c r="DY54" s="1108" t="str">
        <f t="shared" ref="DY54:DY74" si="115">IF(ISERROR(DU54),"ERR",IF(DU54="","",IF(DW54="ERR","ERR",CEILING(DW54-0.0625,0.125))))</f>
        <v/>
      </c>
      <c r="DZ54" s="1108" t="str">
        <f t="shared" ref="DZ54:DZ84" si="116">IF(CG54="","",IF((CD54-CG54)/COS(CU54)-FB54&lt;=-0.0625,CEILING((CD54-CG54)/COS(CU54)-FB54+0.0625,-0.125),IF((CD54-CG54)/COS(CU54)-FB54&gt;=0.0625,CEILING((CD54-CG54)/COS(CU54)-FB54-0.0625,0.125),0)))</f>
        <v/>
      </c>
      <c r="EA54" s="1108" t="str">
        <f t="shared" ref="EA54:EA84" si="117">IF(CP54="","",IF((CM54-CP54)/COS(CU54)-FC54&lt;=-0.0625,CEILING((CM54-CP54)/COS(CU54)-FC54+0.0625,-0.125),IF((CM54-CP54)/COS(CU54)-FC54&gt;=0.0625,CEILING((CM54-CP54)/COS(CU54)-FC54-0.0625,0.125),0)))</f>
        <v/>
      </c>
      <c r="EB54" s="1111" t="str">
        <f t="shared" ref="EB54:EB85" si="118">IF(CD14="","",$FC$4)</f>
        <v/>
      </c>
      <c r="EC54" s="1112" t="str">
        <f t="shared" ref="EC54:EC74" si="119">IF(AND(DR54="",DY54=""),"",IF(OR(CI54=EB54,CR54=EB54),EB54,CI54))</f>
        <v/>
      </c>
      <c r="ED54" s="1111" t="str">
        <f t="shared" ref="ED54:ED85" si="120">IF(CU14="","",CEILING(($EZ$4/COS(CU54)+$FA$4/12*ABS(CU14)+0.5),0.125))</f>
        <v/>
      </c>
      <c r="EE54" s="1111" t="str">
        <f t="shared" ref="EE54:EE74" si="121">(IF(CC54="B",MIN(CJ14:CK14),""))</f>
        <v/>
      </c>
      <c r="EF54" s="1111" t="str">
        <f t="shared" ref="EF54:EF74" si="122">(IF(CC54="B",MAX(CJ14:CK14),""))</f>
        <v/>
      </c>
      <c r="EG54" s="1111" t="str">
        <f t="shared" ref="EG54:EG85" si="123">IF(EE54="","",IF((EF54-EE54)/2&lt;=($FE$4-($FD$4-0.0625)),(EE54+EF54)/2,"ERR"))</f>
        <v/>
      </c>
      <c r="EH54" s="1111" t="str">
        <f t="shared" ref="EH54:EH74" si="124">IF(CL54="B",MIN(CQ14:CR14),"")</f>
        <v/>
      </c>
      <c r="EI54" s="1111" t="str">
        <f t="shared" ref="EI54:EI74" si="125">IF(CL54="B",MAX(CQ14:CR14),"")</f>
        <v/>
      </c>
      <c r="EJ54" s="1111" t="str">
        <f t="shared" ref="EJ54:EJ85" si="126">IF(EH54="","",IF((EI54-EH54)/2&lt;=($FE$4-($FD$4-0.0625)),(EH54+EI54)/2,"ERR"))</f>
        <v/>
      </c>
      <c r="EK54" s="1109">
        <f t="shared" ref="EK54:EK74" si="127">IF(CK54="",0,ATAN(CK54/12))</f>
        <v>0</v>
      </c>
      <c r="EL54" s="1109">
        <f t="shared" ref="EL54:EL74" si="128">CU54-EK54</f>
        <v>0</v>
      </c>
      <c r="EM54" s="1109">
        <f t="shared" ref="EM54:EM74" si="129">TAN(EL54)*12</f>
        <v>0</v>
      </c>
      <c r="EN54" s="1109" t="str">
        <f t="shared" ref="EN54:EN85" si="130">IF(ABS(EM54)&lt;$FA$2,"",IF(EM54&gt;0,CEILING(EM54-0.0625,0.125),CEILING(EM54+0.0625,-0.125)))</f>
        <v/>
      </c>
      <c r="EO54" s="1108" t="str">
        <f t="shared" ref="EO54:EO74" si="131">IF(CF54="","",CF54*TAN(EK54))</f>
        <v/>
      </c>
      <c r="EP54" s="1109">
        <f t="shared" ref="EP54:EP74" si="132">IF(CT54="",0,ATAN(CT54/12))</f>
        <v>0</v>
      </c>
      <c r="EQ54" s="1109">
        <f t="shared" ref="EQ54:EQ74" si="133">CU54+EP54</f>
        <v>0</v>
      </c>
      <c r="ER54" s="1109">
        <f t="shared" ref="ER54:ER74" si="134">TAN(EQ54)*-12</f>
        <v>0</v>
      </c>
      <c r="ES54" s="1109" t="str">
        <f t="shared" ref="ES54:ES85" si="135">IF(ABS(ER54)&lt;$FA$2,"",IF(ER54&gt;0,CEILING(ER54-0.0625,0.125),CEILING(ER54+0.0625,-0.125)))</f>
        <v/>
      </c>
      <c r="ET54" s="1108" t="str">
        <f t="shared" ref="ET54:ET74" si="136">IF(CO54="","",CO54*TAN(EP54))</f>
        <v/>
      </c>
      <c r="EU54" s="1108">
        <f t="shared" ref="EU54:EU85" si="137">IF((CE14*12+CF14)/COS(CU54)-(CE14*12+CF14)&lt;$FE$2,0,CU54)</f>
        <v>0</v>
      </c>
      <c r="EV54" s="1111" t="e">
        <f t="shared" ref="EV54:EV84" si="138">MIN(IF(CH14&gt;0,CH14/2,MAX(CI14/2,CJ54)),IF(CI14&gt;0,CI14/2,MAX(CH14/2,CJ54)),IF(CJ54&gt;0,CJ54,MAX(CI14/2,CH14/2)))/COS(CY54)+CD54-DC54</f>
        <v>#VALUE!</v>
      </c>
      <c r="EW54" s="1111" t="e">
        <f t="shared" ref="EW54:EW84" si="139">MIN(IF(CO14&gt;0,CO14/2,MAX(CP14/2,CS54)),IF(CP14&gt;0,CP14/2,MAX(CO14/2,CS54)),IF(CS54&gt;0,CS54,MAX(CP14/2,CO14/2)))/COS(DE54)+CM54-DI54</f>
        <v>#VALUE!</v>
      </c>
      <c r="EX54" s="1113" t="str">
        <f>IF(CD14="","",IF(EZ54&lt;1.2,5+$EX$4,IF(EZ54&lt;1.79,6+$EX$4,IF(EZ54&lt;2.3,7+$EX$4,IF(EZ54&lt;3.76,8+$EX$4,IF(EZ54&lt;4.76,10+$EX$4,IF(EZ54&lt;8.45,12+$EX$4,"ERR")))))))</f>
        <v/>
      </c>
      <c r="EY54" s="1114" t="e">
        <f t="shared" ref="EY54:EY74" si="140">TRUNC(IF(FA54&lt;1.03,25.667,IF(FA54&lt;1.2,29.667,IF(FA54&lt;1.79,33.583,IF(FA54&lt;2.3,37.75,IF(FA54&lt;3.76,42,IF(FA54&lt;4.76,50.167,IF(FA54&lt;8.45,58.167,"ERR"))))))))</f>
        <v>#DIV/0!</v>
      </c>
      <c r="EZ54" s="1219" t="e">
        <f t="shared" ref="EZ54:EZ85" si="141">(0.03*BP14*((CE14+CF14/12)/BO14)*(BO14^2-IF(ISEVEN(BO14),0,1)))/BM14</f>
        <v>#DIV/0!</v>
      </c>
      <c r="FA54" s="1220" t="e">
        <f t="shared" ref="FA54:FA85" si="142">(0.026*BP14*((CE14+CF14/12)/BO14)*(BO14^2-IF(ISEVEN(BO14),0,1)))/BM14</f>
        <v>#DIV/0!</v>
      </c>
      <c r="FB54" s="1115" t="str">
        <f t="shared" ref="FB54:FB85" si="143">IF(CG54="","",IF(ABS(CU14*((BM14-IF(CU14&gt;0,$FF$4,0))/12))&gt;$CX$2,CU14*((BM14-IF(CU14&gt;0,$FF$4,0))/12),0))</f>
        <v/>
      </c>
      <c r="FC54" s="1116" t="str">
        <f t="shared" ref="FC54:FC85" si="144">IF(CP54="","",IF(ABS(CU14*((BM14-IF(CU14&lt;0,$FF$4,0))/12))&gt;$CX$2,CU14*((BM14-IF(CU14&lt;0,$FF$4,0))/12)*-1,0))</f>
        <v/>
      </c>
      <c r="FD54" s="1126">
        <f t="shared" ref="FD54:FD85" si="145">IF(CF54="",0,MAX(0,DB54-$FA$4))</f>
        <v>0</v>
      </c>
      <c r="FE54" s="1066">
        <f t="shared" ref="FE54:FE85" si="146">IF(CO54="",0,MAX(0,DH54-$FA$4))</f>
        <v>0</v>
      </c>
      <c r="FF54" s="969" t="b">
        <f t="shared" ref="FF54:FF85" si="147">IF(ISERROR(AR14),TRUE,IF(OR(AR14="",ISBLANK(AR14)),FALSE,IF(ISTEXT(AR14),IF(AND(AR14="P",LEFT(AS14,1)="#"),FALSE,TRUE),IF(ISTEXT(AS14),TRUE,FALSE))))</f>
        <v>0</v>
      </c>
      <c r="FG54" s="969" t="b">
        <f t="shared" ref="FG54:FG85" si="148">IF(ISERROR(AV14),TRUE,IF(OR(AV14="",ISBLANK(AV14)),FALSE,IF(ISTEXT(AV14),IF(AND(AV14="P",LEFT(AW14,1)="#"),FALSE,TRUE),IF(ISTEXT(AW14),TRUE,FALSE))))</f>
        <v>0</v>
      </c>
      <c r="FH54" s="969" t="b">
        <f t="shared" ref="FH54:FH85" si="149">IF(ISERROR(AZ14),TRUE,IF(OR(AZ14="",ISBLANK(AZ14)),FALSE,IF(ISTEXT(AZ14),IF(AND(AZ14="P",LEFT(BA14,1)="#"),FALSE,TRUE),IF(ISTEXT(BA14),TRUE,FALSE))))</f>
        <v>0</v>
      </c>
      <c r="FI54" s="969" t="b">
        <f t="shared" ref="FI54:FI85" si="150">IF(ISERROR(BD14),TRUE,IF(OR(BD14="",ISBLANK(BD14)),FALSE,IF(ISTEXT(BD14),IF(AND(BD14="P",LEFT(BE14,1)="#"),FALSE,TRUE),IF(ISTEXT(BE14),TRUE,FALSE))))</f>
        <v>0</v>
      </c>
      <c r="FJ54" s="1003"/>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31" t="str">
        <f>CONCATENATE(IF(AND(AD14&lt;&gt;"",AE14&lt;&gt;""),IF(AD14*12+AE14&lt;VLOOKUP(BX14,$BJ$14:$BM$45,4,FALSE)/$EX$5,"A",""),""),IF(AND(AI14&lt;&gt;"",AJ14&lt;&gt;""),IF(AI14*12+AJ14&lt;VLOOKUP(BX14,$BJ$14:$BM$45,4,FALSE)/$EX$5,"B",""),""))</f>
        <v/>
      </c>
      <c r="GL54" s="171"/>
      <c r="GM54" s="171"/>
    </row>
    <row r="55" spans="1:222" ht="12.6" hidden="1" customHeight="1" x14ac:dyDescent="0.2">
      <c r="BZ55" s="360"/>
      <c r="CA55" s="360"/>
      <c r="CB55" s="435" t="str">
        <f t="shared" si="91"/>
        <v/>
      </c>
      <c r="CC55" s="436" t="str">
        <f>IF(CG15="","",VLOOKUP(CG15,SectInfo!$B:$N,12,FALSE))</f>
        <v/>
      </c>
      <c r="CD55" s="1172" t="str">
        <f>IF(ISBLANK(CZ15),IF(CG15="","",VLOOKUP(CG15,SectInfo!$B:$N,13,FALSE)),CZ15)</f>
        <v/>
      </c>
      <c r="CE55" s="437" t="str">
        <f>IF(CG15="","",IF(VLOOKUP(CG15,SectInfo!$B:$N,5,FALSE)="","R",UPPER(VLOOKUP(CG15,SectInfo!$B:$N,5,FALSE))))</f>
        <v/>
      </c>
      <c r="CF55" s="1172"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72" t="str">
        <f>IF(ISBLANK(DA15),IF(CN15="","",VLOOKUP(CN15,SectInfo!$B:$N,13,FALSE)),DA15)</f>
        <v/>
      </c>
      <c r="CN55" s="437" t="str">
        <f>IF(CN15="","",IF(VLOOKUP(CN15,SectInfo!$B:$N,5,FALSE)="","R",UPPER(VLOOKUP(CN15,SectInfo!$B:$N,5,FALSE))))</f>
        <v/>
      </c>
      <c r="CO55" s="1172"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9">
        <f t="shared" si="96"/>
        <v>0</v>
      </c>
      <c r="CZ55" s="1109">
        <f t="shared" si="97"/>
        <v>0</v>
      </c>
      <c r="DA55" s="1109" t="str">
        <f t="shared" si="98"/>
        <v/>
      </c>
      <c r="DB55" s="1125" t="str">
        <f t="shared" ref="DB55:DB85" si="162">IF(CD55="","",CD55+DA55+($EY$4*TAN(CY55)))</f>
        <v/>
      </c>
      <c r="DC55" s="1125" t="str">
        <f t="shared" si="99"/>
        <v/>
      </c>
      <c r="DD55" s="1110">
        <f t="shared" ref="DD55:DD85" si="163">IF(CD55="",0,IF(DC55/COS(EU55)&lt;0.0625,0,CEILING(DC55/COS(EU55)-0.03125,0.125)))</f>
        <v>0</v>
      </c>
      <c r="DE55" s="1108">
        <f t="shared" ref="DE55:DE85" si="164">RADIANS(ABS(CS15))</f>
        <v>0</v>
      </c>
      <c r="DF55" s="1109">
        <f t="shared" si="100"/>
        <v>0</v>
      </c>
      <c r="DG55" s="1109" t="str">
        <f t="shared" si="101"/>
        <v/>
      </c>
      <c r="DH55" s="1125" t="str">
        <f t="shared" ref="DH55:DH85" si="165">IF(CM55="","",CM55+DG55+($EY$4*TAN(DE55)))</f>
        <v/>
      </c>
      <c r="DI55" s="1125" t="str">
        <f t="shared" ref="DI55:DI85" si="166">IF(CM55="","",IF(NOT(ISBLANK(DC15)),CM55-DC15,MAX(IF(AND(DF55&gt;=$FB$4,DG55&lt;=$FA$4,OR($FA$1=1,$FA$1=4)),CM55,IF(OR($FA$1=3,$FA$1=4),DH55-$FA$4,DH55+MAX(($FA$4-$FB$4)-(DG55-DF55)-$EY$4/2*TAN(DE55),0)-$FA$4))-ET55,0)-DC15))</f>
        <v/>
      </c>
      <c r="DJ55" s="1110">
        <f t="shared" ref="DJ55:DJ85" si="167">IF(CM55="",0,IF(DI55/COS(EU55)&lt;0.0625,0,CEILING(DI55/COS(EU55)-0.03125,0.125)))</f>
        <v>0</v>
      </c>
      <c r="DK55" s="1108" t="str">
        <f t="shared" si="102"/>
        <v/>
      </c>
      <c r="DL55" s="1108" t="str">
        <f t="shared" si="103"/>
        <v/>
      </c>
      <c r="DM55" s="1108" t="str">
        <f t="shared" si="104"/>
        <v/>
      </c>
      <c r="DN55" s="1108" t="str">
        <f t="shared" si="105"/>
        <v/>
      </c>
      <c r="DO55" s="1125" t="str">
        <f t="shared" si="106"/>
        <v>ERR</v>
      </c>
      <c r="DP55" s="1125" t="str">
        <f t="shared" si="107"/>
        <v>ERR</v>
      </c>
      <c r="DQ55" s="1108" t="str">
        <f t="shared" si="108"/>
        <v/>
      </c>
      <c r="DR55" s="1108" t="str">
        <f t="shared" si="108"/>
        <v/>
      </c>
      <c r="DS55" s="1108" t="str">
        <f t="shared" si="109"/>
        <v/>
      </c>
      <c r="DT55" s="1108" t="str">
        <f t="shared" si="110"/>
        <v/>
      </c>
      <c r="DU55" s="1108" t="str">
        <f t="shared" si="111"/>
        <v/>
      </c>
      <c r="DV55" s="1125" t="str">
        <f t="shared" si="112"/>
        <v>ERR</v>
      </c>
      <c r="DW55" s="1125" t="str">
        <f t="shared" si="113"/>
        <v>ERR</v>
      </c>
      <c r="DX55" s="1108" t="str">
        <f t="shared" si="114"/>
        <v/>
      </c>
      <c r="DY55" s="1108" t="str">
        <f t="shared" si="115"/>
        <v/>
      </c>
      <c r="DZ55" s="1108" t="str">
        <f t="shared" si="116"/>
        <v/>
      </c>
      <c r="EA55" s="1108" t="str">
        <f t="shared" si="117"/>
        <v/>
      </c>
      <c r="EB55" s="1111" t="str">
        <f t="shared" si="118"/>
        <v/>
      </c>
      <c r="EC55" s="1112" t="str">
        <f t="shared" si="119"/>
        <v/>
      </c>
      <c r="ED55" s="1111" t="str">
        <f t="shared" si="120"/>
        <v/>
      </c>
      <c r="EE55" s="1111" t="str">
        <f t="shared" si="121"/>
        <v/>
      </c>
      <c r="EF55" s="1111" t="str">
        <f t="shared" si="122"/>
        <v/>
      </c>
      <c r="EG55" s="1111" t="str">
        <f t="shared" si="123"/>
        <v/>
      </c>
      <c r="EH55" s="1111" t="str">
        <f t="shared" si="124"/>
        <v/>
      </c>
      <c r="EI55" s="1111" t="str">
        <f t="shared" si="125"/>
        <v/>
      </c>
      <c r="EJ55" s="1111" t="str">
        <f t="shared" si="126"/>
        <v/>
      </c>
      <c r="EK55" s="1109">
        <f t="shared" si="127"/>
        <v>0</v>
      </c>
      <c r="EL55" s="1109">
        <f t="shared" si="128"/>
        <v>0</v>
      </c>
      <c r="EM55" s="1109">
        <f t="shared" si="129"/>
        <v>0</v>
      </c>
      <c r="EN55" s="1109" t="str">
        <f t="shared" si="130"/>
        <v/>
      </c>
      <c r="EO55" s="1108" t="str">
        <f t="shared" si="131"/>
        <v/>
      </c>
      <c r="EP55" s="1109">
        <f t="shared" si="132"/>
        <v>0</v>
      </c>
      <c r="EQ55" s="1109">
        <f t="shared" si="133"/>
        <v>0</v>
      </c>
      <c r="ER55" s="1109">
        <f t="shared" si="134"/>
        <v>0</v>
      </c>
      <c r="ES55" s="1109" t="str">
        <f t="shared" si="135"/>
        <v/>
      </c>
      <c r="ET55" s="1108" t="str">
        <f t="shared" si="136"/>
        <v/>
      </c>
      <c r="EU55" s="1108">
        <f t="shared" si="137"/>
        <v>0</v>
      </c>
      <c r="EV55" s="1111" t="e">
        <f t="shared" si="138"/>
        <v>#VALUE!</v>
      </c>
      <c r="EW55" s="1111" t="e">
        <f t="shared" si="139"/>
        <v>#VALUE!</v>
      </c>
      <c r="EX55" s="1113" t="str">
        <f t="shared" ref="EX55:EX85" si="168">IF(CD15="","",IF(EZ55&lt;1.2,5+$EX$4,IF(EZ55&lt;1.79,6+$EX$4,IF(EZ55&lt;2.3,7+$EX$4,IF(EZ55&lt;3.76,8+$EX$4,IF(EZ55&lt;4.76,10+$EX$4,IF(EZ55&lt;8.45,12+$EX$4,"ERR")))))))</f>
        <v/>
      </c>
      <c r="EY55" s="1114" t="e">
        <f t="shared" si="140"/>
        <v>#DIV/0!</v>
      </c>
      <c r="EZ55" s="1219" t="e">
        <f t="shared" si="141"/>
        <v>#DIV/0!</v>
      </c>
      <c r="FA55" s="1220" t="e">
        <f t="shared" si="142"/>
        <v>#DIV/0!</v>
      </c>
      <c r="FB55" s="1115" t="str">
        <f t="shared" si="143"/>
        <v/>
      </c>
      <c r="FC55" s="1116" t="str">
        <f t="shared" si="144"/>
        <v/>
      </c>
      <c r="FD55" s="1126">
        <f t="shared" si="145"/>
        <v>0</v>
      </c>
      <c r="FE55" s="1066">
        <f t="shared" si="146"/>
        <v>0</v>
      </c>
      <c r="FF55" s="969" t="b">
        <f t="shared" si="147"/>
        <v>0</v>
      </c>
      <c r="FG55" s="969" t="b">
        <f t="shared" si="148"/>
        <v>0</v>
      </c>
      <c r="FH55" s="969" t="b">
        <f t="shared" si="149"/>
        <v>0</v>
      </c>
      <c r="FI55" s="969" t="b">
        <f t="shared" si="150"/>
        <v>0</v>
      </c>
      <c r="FJ55" s="1161" t="str">
        <f t="shared" ref="FJ55:FJ85" si="169">IF(AND(COUNTA(DH15:EK15)&gt;0,FK55=FK54,FK55&lt;&gt;""),"G","")</f>
        <v/>
      </c>
      <c r="FK55" s="1160"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31" t="str">
        <f t="shared" ref="GK55:GK85" ca="1" si="186">CONCATENATE(IF(AND(AD15&lt;&gt;"",AE15&lt;&gt;""),IF(AD15*12+AE15&lt;VLOOKUP(BX15,$BJ$14:$BM$45,4,FALSE)/$EX$5,"A",""),""),IF(AND(AI15&lt;&gt;"",AJ15&lt;&gt;""),IF(AI15*12+AJ15&lt;VLOOKUP(BX15,$BJ$14:$BM$45,4,FALSE)/$EX$5,"B",""),""))</f>
        <v/>
      </c>
      <c r="GL55" s="171"/>
      <c r="GM55" s="171"/>
    </row>
    <row r="56" spans="1:222" ht="12.6" hidden="1" customHeight="1" x14ac:dyDescent="0.2">
      <c r="BZ56" s="360"/>
      <c r="CA56" s="360"/>
      <c r="CB56" s="435" t="str">
        <f t="shared" si="91"/>
        <v/>
      </c>
      <c r="CC56" s="436" t="str">
        <f>IF(CG16="","",VLOOKUP(CG16,SectInfo!$B:$N,12,FALSE))</f>
        <v/>
      </c>
      <c r="CD56" s="1172" t="str">
        <f>IF(ISBLANK(CZ16),IF(CG16="","",VLOOKUP(CG16,SectInfo!$B:$N,13,FALSE)),CZ16)</f>
        <v/>
      </c>
      <c r="CE56" s="437" t="str">
        <f>IF(CG16="","",IF(VLOOKUP(CG16,SectInfo!$B:$N,5,FALSE)="","R",UPPER(VLOOKUP(CG16,SectInfo!$B:$N,5,FALSE))))</f>
        <v/>
      </c>
      <c r="CF56" s="1172"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72" t="str">
        <f>IF(ISBLANK(DA16),IF(CN16="","",VLOOKUP(CN16,SectInfo!$B:$N,13,FALSE)),DA16)</f>
        <v/>
      </c>
      <c r="CN56" s="437" t="str">
        <f>IF(CN16="","",IF(VLOOKUP(CN16,SectInfo!$B:$N,5,FALSE)="","R",UPPER(VLOOKUP(CN16,SectInfo!$B:$N,5,FALSE))))</f>
        <v/>
      </c>
      <c r="CO56" s="1172"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9">
        <f t="shared" si="96"/>
        <v>0</v>
      </c>
      <c r="CZ56" s="1109">
        <f t="shared" si="97"/>
        <v>0</v>
      </c>
      <c r="DA56" s="1109" t="str">
        <f t="shared" si="98"/>
        <v/>
      </c>
      <c r="DB56" s="1125" t="str">
        <f t="shared" si="162"/>
        <v/>
      </c>
      <c r="DC56" s="1125" t="str">
        <f t="shared" si="99"/>
        <v/>
      </c>
      <c r="DD56" s="1110">
        <f t="shared" si="163"/>
        <v>0</v>
      </c>
      <c r="DE56" s="1108">
        <f t="shared" si="164"/>
        <v>0</v>
      </c>
      <c r="DF56" s="1109">
        <f t="shared" si="100"/>
        <v>0</v>
      </c>
      <c r="DG56" s="1109" t="str">
        <f t="shared" si="101"/>
        <v/>
      </c>
      <c r="DH56" s="1125" t="str">
        <f t="shared" si="165"/>
        <v/>
      </c>
      <c r="DI56" s="1125" t="str">
        <f t="shared" si="166"/>
        <v/>
      </c>
      <c r="DJ56" s="1110">
        <f t="shared" si="167"/>
        <v>0</v>
      </c>
      <c r="DK56" s="1108" t="str">
        <f t="shared" si="102"/>
        <v/>
      </c>
      <c r="DL56" s="1108" t="str">
        <f t="shared" si="103"/>
        <v/>
      </c>
      <c r="DM56" s="1108" t="str">
        <f t="shared" si="104"/>
        <v/>
      </c>
      <c r="DN56" s="1108" t="str">
        <f t="shared" si="105"/>
        <v/>
      </c>
      <c r="DO56" s="1125" t="str">
        <f t="shared" si="106"/>
        <v>ERR</v>
      </c>
      <c r="DP56" s="1125" t="str">
        <f t="shared" si="107"/>
        <v>ERR</v>
      </c>
      <c r="DQ56" s="1108" t="str">
        <f t="shared" si="108"/>
        <v/>
      </c>
      <c r="DR56" s="1108" t="str">
        <f t="shared" si="108"/>
        <v/>
      </c>
      <c r="DS56" s="1108" t="str">
        <f t="shared" si="109"/>
        <v/>
      </c>
      <c r="DT56" s="1108" t="str">
        <f t="shared" si="110"/>
        <v/>
      </c>
      <c r="DU56" s="1108" t="str">
        <f t="shared" si="111"/>
        <v/>
      </c>
      <c r="DV56" s="1125" t="str">
        <f t="shared" si="112"/>
        <v>ERR</v>
      </c>
      <c r="DW56" s="1125" t="str">
        <f t="shared" si="113"/>
        <v>ERR</v>
      </c>
      <c r="DX56" s="1108" t="str">
        <f t="shared" si="114"/>
        <v/>
      </c>
      <c r="DY56" s="1108" t="str">
        <f t="shared" si="115"/>
        <v/>
      </c>
      <c r="DZ56" s="1108" t="str">
        <f t="shared" si="116"/>
        <v/>
      </c>
      <c r="EA56" s="1108" t="str">
        <f t="shared" si="117"/>
        <v/>
      </c>
      <c r="EB56" s="1111" t="str">
        <f t="shared" si="118"/>
        <v/>
      </c>
      <c r="EC56" s="1112" t="str">
        <f t="shared" si="119"/>
        <v/>
      </c>
      <c r="ED56" s="1111" t="str">
        <f t="shared" si="120"/>
        <v/>
      </c>
      <c r="EE56" s="1111" t="str">
        <f t="shared" si="121"/>
        <v/>
      </c>
      <c r="EF56" s="1111" t="str">
        <f t="shared" si="122"/>
        <v/>
      </c>
      <c r="EG56" s="1111" t="str">
        <f t="shared" si="123"/>
        <v/>
      </c>
      <c r="EH56" s="1111" t="str">
        <f t="shared" si="124"/>
        <v/>
      </c>
      <c r="EI56" s="1111" t="str">
        <f t="shared" si="125"/>
        <v/>
      </c>
      <c r="EJ56" s="1111" t="str">
        <f t="shared" si="126"/>
        <v/>
      </c>
      <c r="EK56" s="1109">
        <f t="shared" si="127"/>
        <v>0</v>
      </c>
      <c r="EL56" s="1109">
        <f t="shared" si="128"/>
        <v>0</v>
      </c>
      <c r="EM56" s="1109">
        <f t="shared" si="129"/>
        <v>0</v>
      </c>
      <c r="EN56" s="1109" t="str">
        <f t="shared" si="130"/>
        <v/>
      </c>
      <c r="EO56" s="1108" t="str">
        <f t="shared" si="131"/>
        <v/>
      </c>
      <c r="EP56" s="1109">
        <f t="shared" si="132"/>
        <v>0</v>
      </c>
      <c r="EQ56" s="1109">
        <f t="shared" si="133"/>
        <v>0</v>
      </c>
      <c r="ER56" s="1109">
        <f t="shared" si="134"/>
        <v>0</v>
      </c>
      <c r="ES56" s="1109" t="str">
        <f t="shared" si="135"/>
        <v/>
      </c>
      <c r="ET56" s="1108" t="str">
        <f t="shared" si="136"/>
        <v/>
      </c>
      <c r="EU56" s="1108">
        <f t="shared" si="137"/>
        <v>0</v>
      </c>
      <c r="EV56" s="1111" t="e">
        <f t="shared" si="138"/>
        <v>#VALUE!</v>
      </c>
      <c r="EW56" s="1111" t="e">
        <f t="shared" si="139"/>
        <v>#VALUE!</v>
      </c>
      <c r="EX56" s="1113" t="str">
        <f t="shared" si="168"/>
        <v/>
      </c>
      <c r="EY56" s="1114" t="e">
        <f t="shared" si="140"/>
        <v>#DIV/0!</v>
      </c>
      <c r="EZ56" s="1219" t="e">
        <f t="shared" si="141"/>
        <v>#DIV/0!</v>
      </c>
      <c r="FA56" s="1220" t="e">
        <f t="shared" si="142"/>
        <v>#DIV/0!</v>
      </c>
      <c r="FB56" s="1115" t="str">
        <f t="shared" si="143"/>
        <v/>
      </c>
      <c r="FC56" s="1116" t="str">
        <f t="shared" si="144"/>
        <v/>
      </c>
      <c r="FD56" s="1126">
        <f t="shared" si="145"/>
        <v>0</v>
      </c>
      <c r="FE56" s="1066">
        <f t="shared" si="146"/>
        <v>0</v>
      </c>
      <c r="FF56" s="969" t="b">
        <f t="shared" si="147"/>
        <v>0</v>
      </c>
      <c r="FG56" s="969" t="b">
        <f t="shared" si="148"/>
        <v>0</v>
      </c>
      <c r="FH56" s="969" t="b">
        <f t="shared" si="149"/>
        <v>0</v>
      </c>
      <c r="FI56" s="969" t="b">
        <f t="shared" si="150"/>
        <v>0</v>
      </c>
      <c r="FJ56" s="1161" t="str">
        <f t="shared" si="169"/>
        <v/>
      </c>
      <c r="FK56" s="1160"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31" t="str">
        <f t="shared" ca="1" si="186"/>
        <v/>
      </c>
      <c r="GL56" s="171"/>
      <c r="GM56" s="171"/>
    </row>
    <row r="57" spans="1:222" ht="12.6" hidden="1" customHeight="1" x14ac:dyDescent="0.2">
      <c r="BZ57" s="360"/>
      <c r="CA57" s="360"/>
      <c r="CB57" s="435" t="str">
        <f t="shared" si="91"/>
        <v/>
      </c>
      <c r="CC57" s="436" t="str">
        <f>IF(CG17="","",VLOOKUP(CG17,SectInfo!$B:$N,12,FALSE))</f>
        <v/>
      </c>
      <c r="CD57" s="1172" t="str">
        <f>IF(ISBLANK(CZ17),IF(CG17="","",VLOOKUP(CG17,SectInfo!$B:$N,13,FALSE)),CZ17)</f>
        <v/>
      </c>
      <c r="CE57" s="437" t="str">
        <f>IF(CG17="","",IF(VLOOKUP(CG17,SectInfo!$B:$N,5,FALSE)="","R",UPPER(VLOOKUP(CG17,SectInfo!$B:$N,5,FALSE))))</f>
        <v/>
      </c>
      <c r="CF57" s="1172"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72" t="str">
        <f>IF(ISBLANK(DA17),IF(CN17="","",VLOOKUP(CN17,SectInfo!$B:$N,13,FALSE)),DA17)</f>
        <v/>
      </c>
      <c r="CN57" s="437" t="str">
        <f>IF(CN17="","",IF(VLOOKUP(CN17,SectInfo!$B:$N,5,FALSE)="","R",UPPER(VLOOKUP(CN17,SectInfo!$B:$N,5,FALSE))))</f>
        <v/>
      </c>
      <c r="CO57" s="1172"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9">
        <f t="shared" si="96"/>
        <v>0</v>
      </c>
      <c r="CZ57" s="1109">
        <f t="shared" si="97"/>
        <v>0</v>
      </c>
      <c r="DA57" s="1109" t="str">
        <f t="shared" si="98"/>
        <v/>
      </c>
      <c r="DB57" s="1125" t="str">
        <f t="shared" si="162"/>
        <v/>
      </c>
      <c r="DC57" s="1125" t="str">
        <f t="shared" si="99"/>
        <v/>
      </c>
      <c r="DD57" s="1110">
        <f t="shared" si="163"/>
        <v>0</v>
      </c>
      <c r="DE57" s="1108">
        <f t="shared" si="164"/>
        <v>0</v>
      </c>
      <c r="DF57" s="1109">
        <f t="shared" si="100"/>
        <v>0</v>
      </c>
      <c r="DG57" s="1109" t="str">
        <f t="shared" si="101"/>
        <v/>
      </c>
      <c r="DH57" s="1125" t="str">
        <f t="shared" si="165"/>
        <v/>
      </c>
      <c r="DI57" s="1125" t="str">
        <f t="shared" si="166"/>
        <v/>
      </c>
      <c r="DJ57" s="1110">
        <f t="shared" si="167"/>
        <v>0</v>
      </c>
      <c r="DK57" s="1108" t="str">
        <f t="shared" si="102"/>
        <v/>
      </c>
      <c r="DL57" s="1108" t="str">
        <f t="shared" si="103"/>
        <v/>
      </c>
      <c r="DM57" s="1108" t="str">
        <f t="shared" si="104"/>
        <v/>
      </c>
      <c r="DN57" s="1108" t="str">
        <f t="shared" si="105"/>
        <v/>
      </c>
      <c r="DO57" s="1125" t="str">
        <f t="shared" si="106"/>
        <v>ERR</v>
      </c>
      <c r="DP57" s="1125" t="str">
        <f t="shared" si="107"/>
        <v>ERR</v>
      </c>
      <c r="DQ57" s="1108" t="str">
        <f t="shared" si="108"/>
        <v/>
      </c>
      <c r="DR57" s="1108" t="str">
        <f t="shared" si="108"/>
        <v/>
      </c>
      <c r="DS57" s="1108" t="str">
        <f t="shared" si="109"/>
        <v/>
      </c>
      <c r="DT57" s="1108" t="str">
        <f t="shared" si="110"/>
        <v/>
      </c>
      <c r="DU57" s="1108" t="str">
        <f t="shared" si="111"/>
        <v/>
      </c>
      <c r="DV57" s="1125" t="str">
        <f t="shared" si="112"/>
        <v>ERR</v>
      </c>
      <c r="DW57" s="1125" t="str">
        <f t="shared" si="113"/>
        <v>ERR</v>
      </c>
      <c r="DX57" s="1108" t="str">
        <f t="shared" si="114"/>
        <v/>
      </c>
      <c r="DY57" s="1108" t="str">
        <f t="shared" si="115"/>
        <v/>
      </c>
      <c r="DZ57" s="1108" t="str">
        <f t="shared" si="116"/>
        <v/>
      </c>
      <c r="EA57" s="1108" t="str">
        <f t="shared" si="117"/>
        <v/>
      </c>
      <c r="EB57" s="1111" t="str">
        <f t="shared" si="118"/>
        <v/>
      </c>
      <c r="EC57" s="1112" t="str">
        <f t="shared" si="119"/>
        <v/>
      </c>
      <c r="ED57" s="1111" t="str">
        <f t="shared" si="120"/>
        <v/>
      </c>
      <c r="EE57" s="1111" t="str">
        <f t="shared" si="121"/>
        <v/>
      </c>
      <c r="EF57" s="1111" t="str">
        <f t="shared" si="122"/>
        <v/>
      </c>
      <c r="EG57" s="1111" t="str">
        <f t="shared" si="123"/>
        <v/>
      </c>
      <c r="EH57" s="1111" t="str">
        <f t="shared" si="124"/>
        <v/>
      </c>
      <c r="EI57" s="1111" t="str">
        <f t="shared" si="125"/>
        <v/>
      </c>
      <c r="EJ57" s="1111" t="str">
        <f t="shared" si="126"/>
        <v/>
      </c>
      <c r="EK57" s="1109">
        <f t="shared" si="127"/>
        <v>0</v>
      </c>
      <c r="EL57" s="1109">
        <f t="shared" si="128"/>
        <v>0</v>
      </c>
      <c r="EM57" s="1109">
        <f t="shared" si="129"/>
        <v>0</v>
      </c>
      <c r="EN57" s="1109" t="str">
        <f t="shared" si="130"/>
        <v/>
      </c>
      <c r="EO57" s="1108" t="str">
        <f t="shared" si="131"/>
        <v/>
      </c>
      <c r="EP57" s="1109">
        <f t="shared" si="132"/>
        <v>0</v>
      </c>
      <c r="EQ57" s="1109">
        <f t="shared" si="133"/>
        <v>0</v>
      </c>
      <c r="ER57" s="1109">
        <f t="shared" si="134"/>
        <v>0</v>
      </c>
      <c r="ES57" s="1109" t="str">
        <f t="shared" si="135"/>
        <v/>
      </c>
      <c r="ET57" s="1108" t="str">
        <f t="shared" si="136"/>
        <v/>
      </c>
      <c r="EU57" s="1108">
        <f t="shared" si="137"/>
        <v>0</v>
      </c>
      <c r="EV57" s="1111" t="e">
        <f t="shared" si="138"/>
        <v>#VALUE!</v>
      </c>
      <c r="EW57" s="1111" t="e">
        <f t="shared" si="139"/>
        <v>#VALUE!</v>
      </c>
      <c r="EX57" s="1113" t="str">
        <f t="shared" si="168"/>
        <v/>
      </c>
      <c r="EY57" s="1114" t="e">
        <f t="shared" si="140"/>
        <v>#DIV/0!</v>
      </c>
      <c r="EZ57" s="1219" t="e">
        <f t="shared" si="141"/>
        <v>#DIV/0!</v>
      </c>
      <c r="FA57" s="1220" t="e">
        <f t="shared" si="142"/>
        <v>#DIV/0!</v>
      </c>
      <c r="FB57" s="1115" t="str">
        <f t="shared" si="143"/>
        <v/>
      </c>
      <c r="FC57" s="1116" t="str">
        <f t="shared" si="144"/>
        <v/>
      </c>
      <c r="FD57" s="1126">
        <f t="shared" si="145"/>
        <v>0</v>
      </c>
      <c r="FE57" s="1066">
        <f t="shared" si="146"/>
        <v>0</v>
      </c>
      <c r="FF57" s="969" t="b">
        <f t="shared" si="147"/>
        <v>0</v>
      </c>
      <c r="FG57" s="969" t="b">
        <f t="shared" si="148"/>
        <v>0</v>
      </c>
      <c r="FH57" s="969" t="b">
        <f t="shared" si="149"/>
        <v>0</v>
      </c>
      <c r="FI57" s="969" t="b">
        <f t="shared" si="150"/>
        <v>0</v>
      </c>
      <c r="FJ57" s="1161" t="str">
        <f t="shared" si="169"/>
        <v/>
      </c>
      <c r="FK57" s="1160"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31" t="str">
        <f t="shared" ca="1" si="186"/>
        <v/>
      </c>
      <c r="GL57" s="171"/>
      <c r="GM57" s="171"/>
    </row>
    <row r="58" spans="1:222" ht="12.6" hidden="1" customHeight="1" x14ac:dyDescent="0.2">
      <c r="BZ58" s="360"/>
      <c r="CA58" s="360"/>
      <c r="CB58" s="435" t="str">
        <f t="shared" si="91"/>
        <v/>
      </c>
      <c r="CC58" s="436" t="str">
        <f>IF(CG18="","",VLOOKUP(CG18,SectInfo!$B:$N,12,FALSE))</f>
        <v/>
      </c>
      <c r="CD58" s="1172" t="str">
        <f>IF(ISBLANK(CZ18),IF(CG18="","",VLOOKUP(CG18,SectInfo!$B:$N,13,FALSE)),CZ18)</f>
        <v/>
      </c>
      <c r="CE58" s="437" t="str">
        <f>IF(CG18="","",IF(VLOOKUP(CG18,SectInfo!$B:$N,5,FALSE)="","R",UPPER(VLOOKUP(CG18,SectInfo!$B:$N,5,FALSE))))</f>
        <v/>
      </c>
      <c r="CF58" s="1172"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72" t="str">
        <f>IF(ISBLANK(DA18),IF(CN18="","",VLOOKUP(CN18,SectInfo!$B:$N,13,FALSE)),DA18)</f>
        <v/>
      </c>
      <c r="CN58" s="437" t="str">
        <f>IF(CN18="","",IF(VLOOKUP(CN18,SectInfo!$B:$N,5,FALSE)="","R",UPPER(VLOOKUP(CN18,SectInfo!$B:$N,5,FALSE))))</f>
        <v/>
      </c>
      <c r="CO58" s="1172"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9">
        <f t="shared" si="96"/>
        <v>0</v>
      </c>
      <c r="CZ58" s="1109">
        <f t="shared" si="97"/>
        <v>0</v>
      </c>
      <c r="DA58" s="1109" t="str">
        <f t="shared" si="98"/>
        <v/>
      </c>
      <c r="DB58" s="1125" t="str">
        <f t="shared" si="162"/>
        <v/>
      </c>
      <c r="DC58" s="1125" t="str">
        <f t="shared" si="99"/>
        <v/>
      </c>
      <c r="DD58" s="1110">
        <f t="shared" si="163"/>
        <v>0</v>
      </c>
      <c r="DE58" s="1108">
        <f t="shared" si="164"/>
        <v>0</v>
      </c>
      <c r="DF58" s="1109">
        <f t="shared" si="100"/>
        <v>0</v>
      </c>
      <c r="DG58" s="1109" t="str">
        <f t="shared" si="101"/>
        <v/>
      </c>
      <c r="DH58" s="1125" t="str">
        <f t="shared" si="165"/>
        <v/>
      </c>
      <c r="DI58" s="1125" t="str">
        <f t="shared" si="166"/>
        <v/>
      </c>
      <c r="DJ58" s="1110">
        <f t="shared" si="167"/>
        <v>0</v>
      </c>
      <c r="DK58" s="1108" t="str">
        <f t="shared" si="102"/>
        <v/>
      </c>
      <c r="DL58" s="1108" t="str">
        <f t="shared" si="103"/>
        <v/>
      </c>
      <c r="DM58" s="1108" t="str">
        <f t="shared" si="104"/>
        <v/>
      </c>
      <c r="DN58" s="1108" t="str">
        <f t="shared" si="105"/>
        <v/>
      </c>
      <c r="DO58" s="1125" t="str">
        <f t="shared" si="106"/>
        <v>ERR</v>
      </c>
      <c r="DP58" s="1125" t="str">
        <f t="shared" si="107"/>
        <v>ERR</v>
      </c>
      <c r="DQ58" s="1108" t="str">
        <f t="shared" si="108"/>
        <v/>
      </c>
      <c r="DR58" s="1108" t="str">
        <f t="shared" si="108"/>
        <v/>
      </c>
      <c r="DS58" s="1108" t="str">
        <f t="shared" si="109"/>
        <v/>
      </c>
      <c r="DT58" s="1108" t="str">
        <f t="shared" si="110"/>
        <v/>
      </c>
      <c r="DU58" s="1108" t="str">
        <f t="shared" si="111"/>
        <v/>
      </c>
      <c r="DV58" s="1125" t="str">
        <f t="shared" si="112"/>
        <v>ERR</v>
      </c>
      <c r="DW58" s="1125" t="str">
        <f t="shared" si="113"/>
        <v>ERR</v>
      </c>
      <c r="DX58" s="1108" t="str">
        <f t="shared" si="114"/>
        <v/>
      </c>
      <c r="DY58" s="1108" t="str">
        <f t="shared" si="115"/>
        <v/>
      </c>
      <c r="DZ58" s="1108" t="str">
        <f t="shared" si="116"/>
        <v/>
      </c>
      <c r="EA58" s="1108" t="str">
        <f t="shared" si="117"/>
        <v/>
      </c>
      <c r="EB58" s="1111" t="str">
        <f t="shared" si="118"/>
        <v/>
      </c>
      <c r="EC58" s="1112" t="str">
        <f t="shared" si="119"/>
        <v/>
      </c>
      <c r="ED58" s="1111" t="str">
        <f t="shared" si="120"/>
        <v/>
      </c>
      <c r="EE58" s="1111" t="str">
        <f t="shared" si="121"/>
        <v/>
      </c>
      <c r="EF58" s="1111" t="str">
        <f t="shared" si="122"/>
        <v/>
      </c>
      <c r="EG58" s="1111" t="str">
        <f t="shared" si="123"/>
        <v/>
      </c>
      <c r="EH58" s="1111" t="str">
        <f t="shared" si="124"/>
        <v/>
      </c>
      <c r="EI58" s="1111" t="str">
        <f t="shared" si="125"/>
        <v/>
      </c>
      <c r="EJ58" s="1111" t="str">
        <f t="shared" si="126"/>
        <v/>
      </c>
      <c r="EK58" s="1109">
        <f t="shared" si="127"/>
        <v>0</v>
      </c>
      <c r="EL58" s="1109">
        <f t="shared" si="128"/>
        <v>0</v>
      </c>
      <c r="EM58" s="1109">
        <f t="shared" si="129"/>
        <v>0</v>
      </c>
      <c r="EN58" s="1109" t="str">
        <f t="shared" si="130"/>
        <v/>
      </c>
      <c r="EO58" s="1108" t="str">
        <f t="shared" si="131"/>
        <v/>
      </c>
      <c r="EP58" s="1109">
        <f t="shared" si="132"/>
        <v>0</v>
      </c>
      <c r="EQ58" s="1109">
        <f t="shared" si="133"/>
        <v>0</v>
      </c>
      <c r="ER58" s="1109">
        <f t="shared" si="134"/>
        <v>0</v>
      </c>
      <c r="ES58" s="1109" t="str">
        <f t="shared" si="135"/>
        <v/>
      </c>
      <c r="ET58" s="1108" t="str">
        <f t="shared" si="136"/>
        <v/>
      </c>
      <c r="EU58" s="1108">
        <f t="shared" si="137"/>
        <v>0</v>
      </c>
      <c r="EV58" s="1111" t="e">
        <f t="shared" si="138"/>
        <v>#VALUE!</v>
      </c>
      <c r="EW58" s="1111" t="e">
        <f t="shared" si="139"/>
        <v>#VALUE!</v>
      </c>
      <c r="EX58" s="1113" t="str">
        <f t="shared" si="168"/>
        <v/>
      </c>
      <c r="EY58" s="1114" t="e">
        <f t="shared" si="140"/>
        <v>#DIV/0!</v>
      </c>
      <c r="EZ58" s="1219" t="e">
        <f t="shared" si="141"/>
        <v>#DIV/0!</v>
      </c>
      <c r="FA58" s="1220" t="e">
        <f t="shared" si="142"/>
        <v>#DIV/0!</v>
      </c>
      <c r="FB58" s="1115" t="str">
        <f t="shared" si="143"/>
        <v/>
      </c>
      <c r="FC58" s="1116" t="str">
        <f t="shared" si="144"/>
        <v/>
      </c>
      <c r="FD58" s="1126">
        <f t="shared" si="145"/>
        <v>0</v>
      </c>
      <c r="FE58" s="1066">
        <f t="shared" si="146"/>
        <v>0</v>
      </c>
      <c r="FF58" s="969" t="b">
        <f t="shared" si="147"/>
        <v>0</v>
      </c>
      <c r="FG58" s="969" t="b">
        <f t="shared" si="148"/>
        <v>0</v>
      </c>
      <c r="FH58" s="969" t="b">
        <f t="shared" si="149"/>
        <v>0</v>
      </c>
      <c r="FI58" s="969" t="b">
        <f t="shared" si="150"/>
        <v>0</v>
      </c>
      <c r="FJ58" s="1161" t="str">
        <f t="shared" si="169"/>
        <v/>
      </c>
      <c r="FK58" s="1160"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31" t="str">
        <f t="shared" ca="1" si="186"/>
        <v/>
      </c>
    </row>
    <row r="59" spans="1:222" ht="12.6" hidden="1" customHeight="1" x14ac:dyDescent="0.2">
      <c r="BZ59" s="360"/>
      <c r="CA59" s="360"/>
      <c r="CB59" s="435" t="str">
        <f t="shared" si="91"/>
        <v/>
      </c>
      <c r="CC59" s="436" t="str">
        <f>IF(CG19="","",VLOOKUP(CG19,SectInfo!$B:$N,12,FALSE))</f>
        <v/>
      </c>
      <c r="CD59" s="1172" t="str">
        <f>IF(ISBLANK(CZ19),IF(CG19="","",VLOOKUP(CG19,SectInfo!$B:$N,13,FALSE)),CZ19)</f>
        <v/>
      </c>
      <c r="CE59" s="437" t="str">
        <f>IF(CG19="","",IF(VLOOKUP(CG19,SectInfo!$B:$N,5,FALSE)="","R",UPPER(VLOOKUP(CG19,SectInfo!$B:$N,5,FALSE))))</f>
        <v/>
      </c>
      <c r="CF59" s="1172"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72" t="str">
        <f>IF(ISBLANK(DA19),IF(CN19="","",VLOOKUP(CN19,SectInfo!$B:$N,13,FALSE)),DA19)</f>
        <v/>
      </c>
      <c r="CN59" s="437" t="str">
        <f>IF(CN19="","",IF(VLOOKUP(CN19,SectInfo!$B:$N,5,FALSE)="","R",UPPER(VLOOKUP(CN19,SectInfo!$B:$N,5,FALSE))))</f>
        <v/>
      </c>
      <c r="CO59" s="1172"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9">
        <f t="shared" si="96"/>
        <v>0</v>
      </c>
      <c r="CZ59" s="1109">
        <f t="shared" si="97"/>
        <v>0</v>
      </c>
      <c r="DA59" s="1109" t="str">
        <f t="shared" si="98"/>
        <v/>
      </c>
      <c r="DB59" s="1125" t="str">
        <f t="shared" si="162"/>
        <v/>
      </c>
      <c r="DC59" s="1125" t="str">
        <f t="shared" si="99"/>
        <v/>
      </c>
      <c r="DD59" s="1110">
        <f t="shared" si="163"/>
        <v>0</v>
      </c>
      <c r="DE59" s="1108">
        <f t="shared" si="164"/>
        <v>0</v>
      </c>
      <c r="DF59" s="1109">
        <f t="shared" si="100"/>
        <v>0</v>
      </c>
      <c r="DG59" s="1109" t="str">
        <f t="shared" si="101"/>
        <v/>
      </c>
      <c r="DH59" s="1125" t="str">
        <f t="shared" si="165"/>
        <v/>
      </c>
      <c r="DI59" s="1125" t="str">
        <f t="shared" si="166"/>
        <v/>
      </c>
      <c r="DJ59" s="1110">
        <f t="shared" si="167"/>
        <v>0</v>
      </c>
      <c r="DK59" s="1108" t="str">
        <f t="shared" si="102"/>
        <v/>
      </c>
      <c r="DL59" s="1108" t="str">
        <f t="shared" si="103"/>
        <v/>
      </c>
      <c r="DM59" s="1108" t="str">
        <f t="shared" si="104"/>
        <v/>
      </c>
      <c r="DN59" s="1108" t="str">
        <f t="shared" si="105"/>
        <v/>
      </c>
      <c r="DO59" s="1125" t="str">
        <f t="shared" si="106"/>
        <v>ERR</v>
      </c>
      <c r="DP59" s="1125" t="str">
        <f t="shared" si="107"/>
        <v>ERR</v>
      </c>
      <c r="DQ59" s="1108" t="str">
        <f t="shared" si="108"/>
        <v/>
      </c>
      <c r="DR59" s="1108" t="str">
        <f t="shared" si="108"/>
        <v/>
      </c>
      <c r="DS59" s="1108" t="str">
        <f t="shared" si="109"/>
        <v/>
      </c>
      <c r="DT59" s="1108" t="str">
        <f t="shared" si="110"/>
        <v/>
      </c>
      <c r="DU59" s="1108" t="str">
        <f t="shared" si="111"/>
        <v/>
      </c>
      <c r="DV59" s="1125" t="str">
        <f t="shared" si="112"/>
        <v>ERR</v>
      </c>
      <c r="DW59" s="1125" t="str">
        <f t="shared" si="113"/>
        <v>ERR</v>
      </c>
      <c r="DX59" s="1108" t="str">
        <f t="shared" si="114"/>
        <v/>
      </c>
      <c r="DY59" s="1108" t="str">
        <f t="shared" si="115"/>
        <v/>
      </c>
      <c r="DZ59" s="1108" t="str">
        <f t="shared" si="116"/>
        <v/>
      </c>
      <c r="EA59" s="1108" t="str">
        <f t="shared" si="117"/>
        <v/>
      </c>
      <c r="EB59" s="1111" t="str">
        <f t="shared" si="118"/>
        <v/>
      </c>
      <c r="EC59" s="1112" t="str">
        <f t="shared" si="119"/>
        <v/>
      </c>
      <c r="ED59" s="1111" t="str">
        <f t="shared" si="120"/>
        <v/>
      </c>
      <c r="EE59" s="1111" t="str">
        <f t="shared" si="121"/>
        <v/>
      </c>
      <c r="EF59" s="1111" t="str">
        <f t="shared" si="122"/>
        <v/>
      </c>
      <c r="EG59" s="1111" t="str">
        <f t="shared" si="123"/>
        <v/>
      </c>
      <c r="EH59" s="1111" t="str">
        <f t="shared" si="124"/>
        <v/>
      </c>
      <c r="EI59" s="1111" t="str">
        <f t="shared" si="125"/>
        <v/>
      </c>
      <c r="EJ59" s="1111" t="str">
        <f t="shared" si="126"/>
        <v/>
      </c>
      <c r="EK59" s="1109">
        <f t="shared" si="127"/>
        <v>0</v>
      </c>
      <c r="EL59" s="1109">
        <f t="shared" si="128"/>
        <v>0</v>
      </c>
      <c r="EM59" s="1109">
        <f t="shared" si="129"/>
        <v>0</v>
      </c>
      <c r="EN59" s="1109" t="str">
        <f t="shared" si="130"/>
        <v/>
      </c>
      <c r="EO59" s="1108" t="str">
        <f t="shared" si="131"/>
        <v/>
      </c>
      <c r="EP59" s="1109">
        <f t="shared" si="132"/>
        <v>0</v>
      </c>
      <c r="EQ59" s="1109">
        <f t="shared" si="133"/>
        <v>0</v>
      </c>
      <c r="ER59" s="1109">
        <f t="shared" si="134"/>
        <v>0</v>
      </c>
      <c r="ES59" s="1109" t="str">
        <f t="shared" si="135"/>
        <v/>
      </c>
      <c r="ET59" s="1108" t="str">
        <f t="shared" si="136"/>
        <v/>
      </c>
      <c r="EU59" s="1108">
        <f t="shared" si="137"/>
        <v>0</v>
      </c>
      <c r="EV59" s="1111" t="e">
        <f t="shared" si="138"/>
        <v>#VALUE!</v>
      </c>
      <c r="EW59" s="1111" t="e">
        <f t="shared" si="139"/>
        <v>#VALUE!</v>
      </c>
      <c r="EX59" s="1113" t="str">
        <f t="shared" si="168"/>
        <v/>
      </c>
      <c r="EY59" s="1114" t="e">
        <f t="shared" si="140"/>
        <v>#DIV/0!</v>
      </c>
      <c r="EZ59" s="1219" t="e">
        <f t="shared" si="141"/>
        <v>#DIV/0!</v>
      </c>
      <c r="FA59" s="1220" t="e">
        <f t="shared" si="142"/>
        <v>#DIV/0!</v>
      </c>
      <c r="FB59" s="1115" t="str">
        <f t="shared" si="143"/>
        <v/>
      </c>
      <c r="FC59" s="1116" t="str">
        <f t="shared" si="144"/>
        <v/>
      </c>
      <c r="FD59" s="1126">
        <f t="shared" si="145"/>
        <v>0</v>
      </c>
      <c r="FE59" s="1066">
        <f t="shared" si="146"/>
        <v>0</v>
      </c>
      <c r="FF59" s="969" t="b">
        <f t="shared" si="147"/>
        <v>0</v>
      </c>
      <c r="FG59" s="969" t="b">
        <f t="shared" si="148"/>
        <v>0</v>
      </c>
      <c r="FH59" s="969" t="b">
        <f t="shared" si="149"/>
        <v>0</v>
      </c>
      <c r="FI59" s="969" t="b">
        <f t="shared" si="150"/>
        <v>0</v>
      </c>
      <c r="FJ59" s="1161" t="str">
        <f t="shared" si="169"/>
        <v/>
      </c>
      <c r="FK59" s="1160"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31" t="str">
        <f t="shared" ca="1" si="186"/>
        <v/>
      </c>
    </row>
    <row r="60" spans="1:222" ht="12.6" hidden="1" customHeight="1" x14ac:dyDescent="0.2">
      <c r="A60" s="1128" t="s">
        <v>1225</v>
      </c>
      <c r="BZ60" s="360"/>
      <c r="CA60" s="360"/>
      <c r="CB60" s="435" t="str">
        <f t="shared" si="91"/>
        <v/>
      </c>
      <c r="CC60" s="436" t="str">
        <f>IF(CG20="","",VLOOKUP(CG20,SectInfo!$B:$N,12,FALSE))</f>
        <v/>
      </c>
      <c r="CD60" s="1172" t="str">
        <f>IF(ISBLANK(CZ20),IF(CG20="","",VLOOKUP(CG20,SectInfo!$B:$N,13,FALSE)),CZ20)</f>
        <v/>
      </c>
      <c r="CE60" s="437" t="str">
        <f>IF(CG20="","",IF(VLOOKUP(CG20,SectInfo!$B:$N,5,FALSE)="","R",UPPER(VLOOKUP(CG20,SectInfo!$B:$N,5,FALSE))))</f>
        <v/>
      </c>
      <c r="CF60" s="1172"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72" t="str">
        <f>IF(ISBLANK(DA20),IF(CN20="","",VLOOKUP(CN20,SectInfo!$B:$N,13,FALSE)),DA20)</f>
        <v/>
      </c>
      <c r="CN60" s="437" t="str">
        <f>IF(CN20="","",IF(VLOOKUP(CN20,SectInfo!$B:$N,5,FALSE)="","R",UPPER(VLOOKUP(CN20,SectInfo!$B:$N,5,FALSE))))</f>
        <v/>
      </c>
      <c r="CO60" s="1172"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9">
        <f t="shared" si="96"/>
        <v>0</v>
      </c>
      <c r="CZ60" s="1109">
        <f t="shared" si="97"/>
        <v>0</v>
      </c>
      <c r="DA60" s="1109" t="str">
        <f t="shared" si="98"/>
        <v/>
      </c>
      <c r="DB60" s="1125" t="str">
        <f t="shared" si="162"/>
        <v/>
      </c>
      <c r="DC60" s="1125" t="str">
        <f t="shared" si="99"/>
        <v/>
      </c>
      <c r="DD60" s="1110">
        <f t="shared" si="163"/>
        <v>0</v>
      </c>
      <c r="DE60" s="1108">
        <f t="shared" si="164"/>
        <v>0</v>
      </c>
      <c r="DF60" s="1109">
        <f t="shared" si="100"/>
        <v>0</v>
      </c>
      <c r="DG60" s="1109" t="str">
        <f t="shared" si="101"/>
        <v/>
      </c>
      <c r="DH60" s="1125" t="str">
        <f t="shared" si="165"/>
        <v/>
      </c>
      <c r="DI60" s="1125" t="str">
        <f t="shared" si="166"/>
        <v/>
      </c>
      <c r="DJ60" s="1110">
        <f t="shared" si="167"/>
        <v>0</v>
      </c>
      <c r="DK60" s="1108" t="str">
        <f t="shared" si="102"/>
        <v/>
      </c>
      <c r="DL60" s="1108" t="str">
        <f t="shared" si="103"/>
        <v/>
      </c>
      <c r="DM60" s="1108" t="str">
        <f t="shared" si="104"/>
        <v/>
      </c>
      <c r="DN60" s="1108" t="str">
        <f t="shared" si="105"/>
        <v/>
      </c>
      <c r="DO60" s="1125" t="str">
        <f t="shared" si="106"/>
        <v>ERR</v>
      </c>
      <c r="DP60" s="1125" t="str">
        <f t="shared" si="107"/>
        <v>ERR</v>
      </c>
      <c r="DQ60" s="1108" t="str">
        <f t="shared" si="108"/>
        <v/>
      </c>
      <c r="DR60" s="1108" t="str">
        <f t="shared" si="108"/>
        <v/>
      </c>
      <c r="DS60" s="1108" t="str">
        <f t="shared" si="109"/>
        <v/>
      </c>
      <c r="DT60" s="1108" t="str">
        <f t="shared" si="110"/>
        <v/>
      </c>
      <c r="DU60" s="1108" t="str">
        <f t="shared" si="111"/>
        <v/>
      </c>
      <c r="DV60" s="1125" t="str">
        <f t="shared" si="112"/>
        <v>ERR</v>
      </c>
      <c r="DW60" s="1125" t="str">
        <f t="shared" si="113"/>
        <v>ERR</v>
      </c>
      <c r="DX60" s="1108" t="str">
        <f t="shared" si="114"/>
        <v/>
      </c>
      <c r="DY60" s="1108" t="str">
        <f t="shared" si="115"/>
        <v/>
      </c>
      <c r="DZ60" s="1108" t="str">
        <f t="shared" si="116"/>
        <v/>
      </c>
      <c r="EA60" s="1108" t="str">
        <f t="shared" si="117"/>
        <v/>
      </c>
      <c r="EB60" s="1111" t="str">
        <f t="shared" si="118"/>
        <v/>
      </c>
      <c r="EC60" s="1112" t="str">
        <f t="shared" si="119"/>
        <v/>
      </c>
      <c r="ED60" s="1111" t="str">
        <f t="shared" si="120"/>
        <v/>
      </c>
      <c r="EE60" s="1111" t="str">
        <f t="shared" si="121"/>
        <v/>
      </c>
      <c r="EF60" s="1111" t="str">
        <f t="shared" si="122"/>
        <v/>
      </c>
      <c r="EG60" s="1111" t="str">
        <f t="shared" si="123"/>
        <v/>
      </c>
      <c r="EH60" s="1111" t="str">
        <f t="shared" si="124"/>
        <v/>
      </c>
      <c r="EI60" s="1111" t="str">
        <f t="shared" si="125"/>
        <v/>
      </c>
      <c r="EJ60" s="1111" t="str">
        <f t="shared" si="126"/>
        <v/>
      </c>
      <c r="EK60" s="1109">
        <f t="shared" si="127"/>
        <v>0</v>
      </c>
      <c r="EL60" s="1109">
        <f t="shared" si="128"/>
        <v>0</v>
      </c>
      <c r="EM60" s="1109">
        <f t="shared" si="129"/>
        <v>0</v>
      </c>
      <c r="EN60" s="1109" t="str">
        <f t="shared" si="130"/>
        <v/>
      </c>
      <c r="EO60" s="1108" t="str">
        <f t="shared" si="131"/>
        <v/>
      </c>
      <c r="EP60" s="1109">
        <f t="shared" si="132"/>
        <v>0</v>
      </c>
      <c r="EQ60" s="1109">
        <f t="shared" si="133"/>
        <v>0</v>
      </c>
      <c r="ER60" s="1109">
        <f t="shared" si="134"/>
        <v>0</v>
      </c>
      <c r="ES60" s="1109" t="str">
        <f t="shared" si="135"/>
        <v/>
      </c>
      <c r="ET60" s="1108" t="str">
        <f t="shared" si="136"/>
        <v/>
      </c>
      <c r="EU60" s="1108">
        <f t="shared" si="137"/>
        <v>0</v>
      </c>
      <c r="EV60" s="1111" t="e">
        <f t="shared" si="138"/>
        <v>#VALUE!</v>
      </c>
      <c r="EW60" s="1111" t="e">
        <f t="shared" si="139"/>
        <v>#VALUE!</v>
      </c>
      <c r="EX60" s="1113" t="str">
        <f t="shared" si="168"/>
        <v/>
      </c>
      <c r="EY60" s="1114" t="e">
        <f t="shared" si="140"/>
        <v>#DIV/0!</v>
      </c>
      <c r="EZ60" s="1219" t="e">
        <f t="shared" si="141"/>
        <v>#DIV/0!</v>
      </c>
      <c r="FA60" s="1220" t="e">
        <f t="shared" si="142"/>
        <v>#DIV/0!</v>
      </c>
      <c r="FB60" s="1115" t="str">
        <f t="shared" si="143"/>
        <v/>
      </c>
      <c r="FC60" s="1116" t="str">
        <f t="shared" si="144"/>
        <v/>
      </c>
      <c r="FD60" s="1126">
        <f t="shared" si="145"/>
        <v>0</v>
      </c>
      <c r="FE60" s="1066">
        <f t="shared" si="146"/>
        <v>0</v>
      </c>
      <c r="FF60" s="969" t="b">
        <f t="shared" si="147"/>
        <v>0</v>
      </c>
      <c r="FG60" s="969" t="b">
        <f t="shared" si="148"/>
        <v>0</v>
      </c>
      <c r="FH60" s="969" t="b">
        <f t="shared" si="149"/>
        <v>0</v>
      </c>
      <c r="FI60" s="969" t="b">
        <f t="shared" si="150"/>
        <v>0</v>
      </c>
      <c r="FJ60" s="1161" t="str">
        <f t="shared" si="169"/>
        <v/>
      </c>
      <c r="FK60" s="1160"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31" t="str">
        <f t="shared" ca="1" si="186"/>
        <v/>
      </c>
    </row>
    <row r="61" spans="1:222" ht="12.6" hidden="1" customHeight="1" x14ac:dyDescent="0.2">
      <c r="A61" s="1130"/>
      <c r="BZ61" s="360"/>
      <c r="CA61" s="434"/>
      <c r="CB61" s="435" t="str">
        <f t="shared" si="91"/>
        <v/>
      </c>
      <c r="CC61" s="436" t="str">
        <f>IF(CG21="","",VLOOKUP(CG21,SectInfo!$B:$N,12,FALSE))</f>
        <v/>
      </c>
      <c r="CD61" s="1172" t="str">
        <f>IF(ISBLANK(CZ21),IF(CG21="","",VLOOKUP(CG21,SectInfo!$B:$N,13,FALSE)),CZ21)</f>
        <v/>
      </c>
      <c r="CE61" s="437" t="str">
        <f>IF(CG21="","",IF(VLOOKUP(CG21,SectInfo!$B:$N,5,FALSE)="","R",UPPER(VLOOKUP(CG21,SectInfo!$B:$N,5,FALSE))))</f>
        <v/>
      </c>
      <c r="CF61" s="1172"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72" t="str">
        <f>IF(ISBLANK(DA21),IF(CN21="","",VLOOKUP(CN21,SectInfo!$B:$N,13,FALSE)),DA21)</f>
        <v/>
      </c>
      <c r="CN61" s="437" t="str">
        <f>IF(CN21="","",IF(VLOOKUP(CN21,SectInfo!$B:$N,5,FALSE)="","R",UPPER(VLOOKUP(CN21,SectInfo!$B:$N,5,FALSE))))</f>
        <v/>
      </c>
      <c r="CO61" s="1172"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9">
        <f t="shared" si="96"/>
        <v>0</v>
      </c>
      <c r="CZ61" s="1109">
        <f t="shared" si="97"/>
        <v>0</v>
      </c>
      <c r="DA61" s="1109" t="str">
        <f t="shared" si="98"/>
        <v/>
      </c>
      <c r="DB61" s="1125" t="str">
        <f t="shared" si="162"/>
        <v/>
      </c>
      <c r="DC61" s="1125" t="str">
        <f t="shared" si="99"/>
        <v/>
      </c>
      <c r="DD61" s="1110">
        <f t="shared" si="163"/>
        <v>0</v>
      </c>
      <c r="DE61" s="1108">
        <f t="shared" si="164"/>
        <v>0</v>
      </c>
      <c r="DF61" s="1109">
        <f t="shared" si="100"/>
        <v>0</v>
      </c>
      <c r="DG61" s="1109" t="str">
        <f t="shared" si="101"/>
        <v/>
      </c>
      <c r="DH61" s="1125" t="str">
        <f t="shared" si="165"/>
        <v/>
      </c>
      <c r="DI61" s="1125" t="str">
        <f t="shared" si="166"/>
        <v/>
      </c>
      <c r="DJ61" s="1110">
        <f t="shared" si="167"/>
        <v>0</v>
      </c>
      <c r="DK61" s="1108" t="str">
        <f t="shared" si="102"/>
        <v/>
      </c>
      <c r="DL61" s="1108" t="str">
        <f t="shared" si="103"/>
        <v/>
      </c>
      <c r="DM61" s="1108" t="str">
        <f t="shared" si="104"/>
        <v/>
      </c>
      <c r="DN61" s="1108" t="str">
        <f t="shared" si="105"/>
        <v/>
      </c>
      <c r="DO61" s="1125" t="str">
        <f t="shared" si="106"/>
        <v>ERR</v>
      </c>
      <c r="DP61" s="1125" t="str">
        <f t="shared" si="107"/>
        <v>ERR</v>
      </c>
      <c r="DQ61" s="1108" t="str">
        <f t="shared" si="108"/>
        <v/>
      </c>
      <c r="DR61" s="1108" t="str">
        <f t="shared" si="108"/>
        <v/>
      </c>
      <c r="DS61" s="1108" t="str">
        <f t="shared" si="109"/>
        <v/>
      </c>
      <c r="DT61" s="1108" t="str">
        <f t="shared" si="110"/>
        <v/>
      </c>
      <c r="DU61" s="1108" t="str">
        <f t="shared" si="111"/>
        <v/>
      </c>
      <c r="DV61" s="1125" t="str">
        <f t="shared" si="112"/>
        <v>ERR</v>
      </c>
      <c r="DW61" s="1125" t="str">
        <f t="shared" si="113"/>
        <v>ERR</v>
      </c>
      <c r="DX61" s="1108" t="str">
        <f t="shared" si="114"/>
        <v/>
      </c>
      <c r="DY61" s="1108" t="str">
        <f t="shared" si="115"/>
        <v/>
      </c>
      <c r="DZ61" s="1108" t="str">
        <f t="shared" si="116"/>
        <v/>
      </c>
      <c r="EA61" s="1108" t="str">
        <f t="shared" si="117"/>
        <v/>
      </c>
      <c r="EB61" s="1111" t="str">
        <f t="shared" si="118"/>
        <v/>
      </c>
      <c r="EC61" s="1112" t="str">
        <f t="shared" si="119"/>
        <v/>
      </c>
      <c r="ED61" s="1111" t="str">
        <f t="shared" si="120"/>
        <v/>
      </c>
      <c r="EE61" s="1111" t="str">
        <f t="shared" si="121"/>
        <v/>
      </c>
      <c r="EF61" s="1111" t="str">
        <f t="shared" si="122"/>
        <v/>
      </c>
      <c r="EG61" s="1111" t="str">
        <f t="shared" si="123"/>
        <v/>
      </c>
      <c r="EH61" s="1111" t="str">
        <f t="shared" si="124"/>
        <v/>
      </c>
      <c r="EI61" s="1111" t="str">
        <f t="shared" si="125"/>
        <v/>
      </c>
      <c r="EJ61" s="1111" t="str">
        <f t="shared" si="126"/>
        <v/>
      </c>
      <c r="EK61" s="1109">
        <f t="shared" si="127"/>
        <v>0</v>
      </c>
      <c r="EL61" s="1109">
        <f t="shared" si="128"/>
        <v>0</v>
      </c>
      <c r="EM61" s="1109">
        <f t="shared" si="129"/>
        <v>0</v>
      </c>
      <c r="EN61" s="1109" t="str">
        <f t="shared" si="130"/>
        <v/>
      </c>
      <c r="EO61" s="1108" t="str">
        <f t="shared" si="131"/>
        <v/>
      </c>
      <c r="EP61" s="1109">
        <f t="shared" si="132"/>
        <v>0</v>
      </c>
      <c r="EQ61" s="1109">
        <f t="shared" si="133"/>
        <v>0</v>
      </c>
      <c r="ER61" s="1109">
        <f t="shared" si="134"/>
        <v>0</v>
      </c>
      <c r="ES61" s="1109" t="str">
        <f t="shared" si="135"/>
        <v/>
      </c>
      <c r="ET61" s="1108" t="str">
        <f t="shared" si="136"/>
        <v/>
      </c>
      <c r="EU61" s="1108">
        <f t="shared" si="137"/>
        <v>0</v>
      </c>
      <c r="EV61" s="1111" t="e">
        <f t="shared" si="138"/>
        <v>#VALUE!</v>
      </c>
      <c r="EW61" s="1111" t="e">
        <f t="shared" si="139"/>
        <v>#VALUE!</v>
      </c>
      <c r="EX61" s="1113" t="str">
        <f t="shared" si="168"/>
        <v/>
      </c>
      <c r="EY61" s="1114" t="e">
        <f t="shared" si="140"/>
        <v>#DIV/0!</v>
      </c>
      <c r="EZ61" s="1219" t="e">
        <f t="shared" si="141"/>
        <v>#DIV/0!</v>
      </c>
      <c r="FA61" s="1220" t="e">
        <f t="shared" si="142"/>
        <v>#DIV/0!</v>
      </c>
      <c r="FB61" s="1115" t="str">
        <f t="shared" si="143"/>
        <v/>
      </c>
      <c r="FC61" s="1116" t="str">
        <f t="shared" si="144"/>
        <v/>
      </c>
      <c r="FD61" s="1126">
        <f t="shared" si="145"/>
        <v>0</v>
      </c>
      <c r="FE61" s="1066">
        <f t="shared" si="146"/>
        <v>0</v>
      </c>
      <c r="FF61" s="969" t="b">
        <f t="shared" si="147"/>
        <v>0</v>
      </c>
      <c r="FG61" s="969" t="b">
        <f t="shared" si="148"/>
        <v>0</v>
      </c>
      <c r="FH61" s="969" t="b">
        <f t="shared" si="149"/>
        <v>0</v>
      </c>
      <c r="FI61" s="969" t="b">
        <f t="shared" si="150"/>
        <v>0</v>
      </c>
      <c r="FJ61" s="1161" t="str">
        <f t="shared" si="169"/>
        <v/>
      </c>
      <c r="FK61" s="1160"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31" t="str">
        <f t="shared" ca="1" si="186"/>
        <v/>
      </c>
    </row>
    <row r="62" spans="1:222" ht="12.6" hidden="1" customHeight="1" x14ac:dyDescent="0.2">
      <c r="BZ62" s="360"/>
      <c r="CA62" s="434"/>
      <c r="CB62" s="435" t="str">
        <f t="shared" si="91"/>
        <v/>
      </c>
      <c r="CC62" s="436" t="str">
        <f>IF(CG22="","",VLOOKUP(CG22,SectInfo!$B:$N,12,FALSE))</f>
        <v/>
      </c>
      <c r="CD62" s="1172" t="str">
        <f>IF(ISBLANK(CZ22),IF(CG22="","",VLOOKUP(CG22,SectInfo!$B:$N,13,FALSE)),CZ22)</f>
        <v/>
      </c>
      <c r="CE62" s="437" t="str">
        <f>IF(CG22="","",IF(VLOOKUP(CG22,SectInfo!$B:$N,5,FALSE)="","R",UPPER(VLOOKUP(CG22,SectInfo!$B:$N,5,FALSE))))</f>
        <v/>
      </c>
      <c r="CF62" s="1172"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72" t="str">
        <f>IF(ISBLANK(DA22),IF(CN22="","",VLOOKUP(CN22,SectInfo!$B:$N,13,FALSE)),DA22)</f>
        <v/>
      </c>
      <c r="CN62" s="437" t="str">
        <f>IF(CN22="","",IF(VLOOKUP(CN22,SectInfo!$B:$N,5,FALSE)="","R",UPPER(VLOOKUP(CN22,SectInfo!$B:$N,5,FALSE))))</f>
        <v/>
      </c>
      <c r="CO62" s="1172"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9">
        <f t="shared" si="96"/>
        <v>0</v>
      </c>
      <c r="CZ62" s="1109">
        <f t="shared" si="97"/>
        <v>0</v>
      </c>
      <c r="DA62" s="1109" t="str">
        <f t="shared" si="98"/>
        <v/>
      </c>
      <c r="DB62" s="1125" t="str">
        <f t="shared" si="162"/>
        <v/>
      </c>
      <c r="DC62" s="1125" t="str">
        <f t="shared" si="99"/>
        <v/>
      </c>
      <c r="DD62" s="1110">
        <f t="shared" si="163"/>
        <v>0</v>
      </c>
      <c r="DE62" s="1108">
        <f t="shared" si="164"/>
        <v>0</v>
      </c>
      <c r="DF62" s="1109">
        <f t="shared" si="100"/>
        <v>0</v>
      </c>
      <c r="DG62" s="1109" t="str">
        <f t="shared" si="101"/>
        <v/>
      </c>
      <c r="DH62" s="1125" t="str">
        <f t="shared" si="165"/>
        <v/>
      </c>
      <c r="DI62" s="1125" t="str">
        <f t="shared" si="166"/>
        <v/>
      </c>
      <c r="DJ62" s="1110">
        <f t="shared" si="167"/>
        <v>0</v>
      </c>
      <c r="DK62" s="1108" t="str">
        <f t="shared" si="102"/>
        <v/>
      </c>
      <c r="DL62" s="1108" t="str">
        <f t="shared" si="103"/>
        <v/>
      </c>
      <c r="DM62" s="1108" t="str">
        <f t="shared" si="104"/>
        <v/>
      </c>
      <c r="DN62" s="1108" t="str">
        <f t="shared" si="105"/>
        <v/>
      </c>
      <c r="DO62" s="1125" t="str">
        <f t="shared" si="106"/>
        <v>ERR</v>
      </c>
      <c r="DP62" s="1125" t="str">
        <f t="shared" si="107"/>
        <v>ERR</v>
      </c>
      <c r="DQ62" s="1108" t="str">
        <f t="shared" si="108"/>
        <v/>
      </c>
      <c r="DR62" s="1108" t="str">
        <f t="shared" si="108"/>
        <v/>
      </c>
      <c r="DS62" s="1108" t="str">
        <f t="shared" si="109"/>
        <v/>
      </c>
      <c r="DT62" s="1108" t="str">
        <f t="shared" si="110"/>
        <v/>
      </c>
      <c r="DU62" s="1108" t="str">
        <f t="shared" si="111"/>
        <v/>
      </c>
      <c r="DV62" s="1125" t="str">
        <f t="shared" si="112"/>
        <v>ERR</v>
      </c>
      <c r="DW62" s="1125" t="str">
        <f t="shared" si="113"/>
        <v>ERR</v>
      </c>
      <c r="DX62" s="1108" t="str">
        <f t="shared" si="114"/>
        <v/>
      </c>
      <c r="DY62" s="1108" t="str">
        <f t="shared" si="115"/>
        <v/>
      </c>
      <c r="DZ62" s="1108" t="str">
        <f t="shared" si="116"/>
        <v/>
      </c>
      <c r="EA62" s="1108" t="str">
        <f t="shared" si="117"/>
        <v/>
      </c>
      <c r="EB62" s="1111" t="str">
        <f t="shared" si="118"/>
        <v/>
      </c>
      <c r="EC62" s="1112" t="str">
        <f t="shared" si="119"/>
        <v/>
      </c>
      <c r="ED62" s="1111" t="str">
        <f t="shared" si="120"/>
        <v/>
      </c>
      <c r="EE62" s="1111" t="str">
        <f t="shared" si="121"/>
        <v/>
      </c>
      <c r="EF62" s="1111" t="str">
        <f t="shared" si="122"/>
        <v/>
      </c>
      <c r="EG62" s="1111" t="str">
        <f t="shared" si="123"/>
        <v/>
      </c>
      <c r="EH62" s="1111" t="str">
        <f t="shared" si="124"/>
        <v/>
      </c>
      <c r="EI62" s="1111" t="str">
        <f t="shared" si="125"/>
        <v/>
      </c>
      <c r="EJ62" s="1111" t="str">
        <f t="shared" si="126"/>
        <v/>
      </c>
      <c r="EK62" s="1109">
        <f t="shared" si="127"/>
        <v>0</v>
      </c>
      <c r="EL62" s="1109">
        <f t="shared" si="128"/>
        <v>0</v>
      </c>
      <c r="EM62" s="1109">
        <f t="shared" si="129"/>
        <v>0</v>
      </c>
      <c r="EN62" s="1109" t="str">
        <f t="shared" si="130"/>
        <v/>
      </c>
      <c r="EO62" s="1108" t="str">
        <f t="shared" si="131"/>
        <v/>
      </c>
      <c r="EP62" s="1109">
        <f t="shared" si="132"/>
        <v>0</v>
      </c>
      <c r="EQ62" s="1109">
        <f t="shared" si="133"/>
        <v>0</v>
      </c>
      <c r="ER62" s="1109">
        <f t="shared" si="134"/>
        <v>0</v>
      </c>
      <c r="ES62" s="1109" t="str">
        <f t="shared" si="135"/>
        <v/>
      </c>
      <c r="ET62" s="1108" t="str">
        <f t="shared" si="136"/>
        <v/>
      </c>
      <c r="EU62" s="1108">
        <f t="shared" si="137"/>
        <v>0</v>
      </c>
      <c r="EV62" s="1111" t="e">
        <f t="shared" si="138"/>
        <v>#VALUE!</v>
      </c>
      <c r="EW62" s="1111" t="e">
        <f t="shared" si="139"/>
        <v>#VALUE!</v>
      </c>
      <c r="EX62" s="1113" t="str">
        <f t="shared" si="168"/>
        <v/>
      </c>
      <c r="EY62" s="1114" t="e">
        <f t="shared" si="140"/>
        <v>#DIV/0!</v>
      </c>
      <c r="EZ62" s="1219" t="e">
        <f t="shared" si="141"/>
        <v>#DIV/0!</v>
      </c>
      <c r="FA62" s="1220" t="e">
        <f t="shared" si="142"/>
        <v>#DIV/0!</v>
      </c>
      <c r="FB62" s="1115" t="str">
        <f t="shared" si="143"/>
        <v/>
      </c>
      <c r="FC62" s="1116" t="str">
        <f t="shared" si="144"/>
        <v/>
      </c>
      <c r="FD62" s="1126">
        <f t="shared" si="145"/>
        <v>0</v>
      </c>
      <c r="FE62" s="1066">
        <f t="shared" si="146"/>
        <v>0</v>
      </c>
      <c r="FF62" s="969" t="b">
        <f t="shared" si="147"/>
        <v>0</v>
      </c>
      <c r="FG62" s="969" t="b">
        <f t="shared" si="148"/>
        <v>0</v>
      </c>
      <c r="FH62" s="969" t="b">
        <f t="shared" si="149"/>
        <v>0</v>
      </c>
      <c r="FI62" s="969" t="b">
        <f t="shared" si="150"/>
        <v>0</v>
      </c>
      <c r="FJ62" s="1161" t="str">
        <f t="shared" si="169"/>
        <v/>
      </c>
      <c r="FK62" s="1160"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31" t="str">
        <f t="shared" ca="1" si="186"/>
        <v/>
      </c>
    </row>
    <row r="63" spans="1:222" ht="12.6" hidden="1" customHeight="1" x14ac:dyDescent="0.2">
      <c r="BZ63" s="360"/>
      <c r="CA63" s="434"/>
      <c r="CB63" s="435" t="str">
        <f t="shared" si="91"/>
        <v/>
      </c>
      <c r="CC63" s="436" t="str">
        <f>IF(CG23="","",VLOOKUP(CG23,SectInfo!$B:$N,12,FALSE))</f>
        <v/>
      </c>
      <c r="CD63" s="1172" t="str">
        <f>IF(ISBLANK(CZ23),IF(CG23="","",VLOOKUP(CG23,SectInfo!$B:$N,13,FALSE)),CZ23)</f>
        <v/>
      </c>
      <c r="CE63" s="437" t="str">
        <f>IF(CG23="","",IF(VLOOKUP(CG23,SectInfo!$B:$N,5,FALSE)="","R",UPPER(VLOOKUP(CG23,SectInfo!$B:$N,5,FALSE))))</f>
        <v/>
      </c>
      <c r="CF63" s="1172"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72" t="str">
        <f>IF(ISBLANK(DA23),IF(CN23="","",VLOOKUP(CN23,SectInfo!$B:$N,13,FALSE)),DA23)</f>
        <v/>
      </c>
      <c r="CN63" s="437" t="str">
        <f>IF(CN23="","",IF(VLOOKUP(CN23,SectInfo!$B:$N,5,FALSE)="","R",UPPER(VLOOKUP(CN23,SectInfo!$B:$N,5,FALSE))))</f>
        <v/>
      </c>
      <c r="CO63" s="1172"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9">
        <f t="shared" si="96"/>
        <v>0</v>
      </c>
      <c r="CZ63" s="1109">
        <f t="shared" si="97"/>
        <v>0</v>
      </c>
      <c r="DA63" s="1109" t="str">
        <f t="shared" si="98"/>
        <v/>
      </c>
      <c r="DB63" s="1125" t="str">
        <f t="shared" si="162"/>
        <v/>
      </c>
      <c r="DC63" s="1125" t="str">
        <f t="shared" si="99"/>
        <v/>
      </c>
      <c r="DD63" s="1110">
        <f t="shared" si="163"/>
        <v>0</v>
      </c>
      <c r="DE63" s="1108">
        <f t="shared" si="164"/>
        <v>0</v>
      </c>
      <c r="DF63" s="1109">
        <f t="shared" si="100"/>
        <v>0</v>
      </c>
      <c r="DG63" s="1109" t="str">
        <f t="shared" si="101"/>
        <v/>
      </c>
      <c r="DH63" s="1125" t="str">
        <f t="shared" si="165"/>
        <v/>
      </c>
      <c r="DI63" s="1125" t="str">
        <f t="shared" si="166"/>
        <v/>
      </c>
      <c r="DJ63" s="1110">
        <f t="shared" si="167"/>
        <v>0</v>
      </c>
      <c r="DK63" s="1108" t="str">
        <f t="shared" si="102"/>
        <v/>
      </c>
      <c r="DL63" s="1108" t="str">
        <f t="shared" si="103"/>
        <v/>
      </c>
      <c r="DM63" s="1108" t="str">
        <f t="shared" si="104"/>
        <v/>
      </c>
      <c r="DN63" s="1108" t="str">
        <f t="shared" si="105"/>
        <v/>
      </c>
      <c r="DO63" s="1125" t="str">
        <f t="shared" si="106"/>
        <v>ERR</v>
      </c>
      <c r="DP63" s="1125" t="str">
        <f t="shared" si="107"/>
        <v>ERR</v>
      </c>
      <c r="DQ63" s="1108" t="str">
        <f t="shared" si="108"/>
        <v/>
      </c>
      <c r="DR63" s="1108" t="str">
        <f t="shared" si="108"/>
        <v/>
      </c>
      <c r="DS63" s="1108" t="str">
        <f t="shared" si="109"/>
        <v/>
      </c>
      <c r="DT63" s="1108" t="str">
        <f t="shared" si="110"/>
        <v/>
      </c>
      <c r="DU63" s="1108" t="str">
        <f t="shared" si="111"/>
        <v/>
      </c>
      <c r="DV63" s="1125" t="str">
        <f t="shared" si="112"/>
        <v>ERR</v>
      </c>
      <c r="DW63" s="1125" t="str">
        <f t="shared" si="113"/>
        <v>ERR</v>
      </c>
      <c r="DX63" s="1108" t="str">
        <f t="shared" si="114"/>
        <v/>
      </c>
      <c r="DY63" s="1108" t="str">
        <f t="shared" si="115"/>
        <v/>
      </c>
      <c r="DZ63" s="1108" t="str">
        <f t="shared" si="116"/>
        <v/>
      </c>
      <c r="EA63" s="1108" t="str">
        <f t="shared" si="117"/>
        <v/>
      </c>
      <c r="EB63" s="1111" t="str">
        <f t="shared" si="118"/>
        <v/>
      </c>
      <c r="EC63" s="1112" t="str">
        <f t="shared" si="119"/>
        <v/>
      </c>
      <c r="ED63" s="1111" t="str">
        <f t="shared" si="120"/>
        <v/>
      </c>
      <c r="EE63" s="1111" t="str">
        <f t="shared" si="121"/>
        <v/>
      </c>
      <c r="EF63" s="1111" t="str">
        <f t="shared" si="122"/>
        <v/>
      </c>
      <c r="EG63" s="1111" t="str">
        <f t="shared" si="123"/>
        <v/>
      </c>
      <c r="EH63" s="1111" t="str">
        <f t="shared" si="124"/>
        <v/>
      </c>
      <c r="EI63" s="1111" t="str">
        <f t="shared" si="125"/>
        <v/>
      </c>
      <c r="EJ63" s="1111" t="str">
        <f t="shared" si="126"/>
        <v/>
      </c>
      <c r="EK63" s="1109">
        <f t="shared" si="127"/>
        <v>0</v>
      </c>
      <c r="EL63" s="1109">
        <f t="shared" si="128"/>
        <v>0</v>
      </c>
      <c r="EM63" s="1109">
        <f t="shared" si="129"/>
        <v>0</v>
      </c>
      <c r="EN63" s="1109" t="str">
        <f t="shared" si="130"/>
        <v/>
      </c>
      <c r="EO63" s="1108" t="str">
        <f t="shared" si="131"/>
        <v/>
      </c>
      <c r="EP63" s="1109">
        <f t="shared" si="132"/>
        <v>0</v>
      </c>
      <c r="EQ63" s="1109">
        <f t="shared" si="133"/>
        <v>0</v>
      </c>
      <c r="ER63" s="1109">
        <f t="shared" si="134"/>
        <v>0</v>
      </c>
      <c r="ES63" s="1109" t="str">
        <f t="shared" si="135"/>
        <v/>
      </c>
      <c r="ET63" s="1108" t="str">
        <f t="shared" si="136"/>
        <v/>
      </c>
      <c r="EU63" s="1108">
        <f t="shared" si="137"/>
        <v>0</v>
      </c>
      <c r="EV63" s="1111" t="e">
        <f t="shared" si="138"/>
        <v>#VALUE!</v>
      </c>
      <c r="EW63" s="1111" t="e">
        <f t="shared" si="139"/>
        <v>#VALUE!</v>
      </c>
      <c r="EX63" s="1113" t="str">
        <f t="shared" si="168"/>
        <v/>
      </c>
      <c r="EY63" s="1114" t="e">
        <f t="shared" si="140"/>
        <v>#DIV/0!</v>
      </c>
      <c r="EZ63" s="1219" t="e">
        <f t="shared" si="141"/>
        <v>#DIV/0!</v>
      </c>
      <c r="FA63" s="1220" t="e">
        <f t="shared" si="142"/>
        <v>#DIV/0!</v>
      </c>
      <c r="FB63" s="1115" t="str">
        <f t="shared" si="143"/>
        <v/>
      </c>
      <c r="FC63" s="1116" t="str">
        <f t="shared" si="144"/>
        <v/>
      </c>
      <c r="FD63" s="1126">
        <f t="shared" si="145"/>
        <v>0</v>
      </c>
      <c r="FE63" s="1066">
        <f t="shared" si="146"/>
        <v>0</v>
      </c>
      <c r="FF63" s="969" t="b">
        <f t="shared" si="147"/>
        <v>0</v>
      </c>
      <c r="FG63" s="969" t="b">
        <f t="shared" si="148"/>
        <v>0</v>
      </c>
      <c r="FH63" s="969" t="b">
        <f t="shared" si="149"/>
        <v>0</v>
      </c>
      <c r="FI63" s="969" t="b">
        <f t="shared" si="150"/>
        <v>0</v>
      </c>
      <c r="FJ63" s="1161" t="str">
        <f t="shared" si="169"/>
        <v/>
      </c>
      <c r="FK63" s="1160"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31" t="str">
        <f t="shared" ca="1" si="186"/>
        <v/>
      </c>
    </row>
    <row r="64" spans="1:222" ht="12.6" hidden="1" customHeight="1" x14ac:dyDescent="0.2">
      <c r="BZ64" s="360"/>
      <c r="CA64" s="434"/>
      <c r="CB64" s="435" t="str">
        <f t="shared" si="91"/>
        <v/>
      </c>
      <c r="CC64" s="436" t="str">
        <f>IF(CG24="","",VLOOKUP(CG24,SectInfo!$B:$N,12,FALSE))</f>
        <v/>
      </c>
      <c r="CD64" s="1172" t="str">
        <f>IF(ISBLANK(CZ24),IF(CG24="","",VLOOKUP(CG24,SectInfo!$B:$N,13,FALSE)),CZ24)</f>
        <v/>
      </c>
      <c r="CE64" s="437" t="str">
        <f>IF(CG24="","",IF(VLOOKUP(CG24,SectInfo!$B:$N,5,FALSE)="","R",UPPER(VLOOKUP(CG24,SectInfo!$B:$N,5,FALSE))))</f>
        <v/>
      </c>
      <c r="CF64" s="1172"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72" t="str">
        <f>IF(ISBLANK(DA24),IF(CN24="","",VLOOKUP(CN24,SectInfo!$B:$N,13,FALSE)),DA24)</f>
        <v/>
      </c>
      <c r="CN64" s="437" t="str">
        <f>IF(CN24="","",IF(VLOOKUP(CN24,SectInfo!$B:$N,5,FALSE)="","R",UPPER(VLOOKUP(CN24,SectInfo!$B:$N,5,FALSE))))</f>
        <v/>
      </c>
      <c r="CO64" s="1172"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9">
        <f t="shared" si="96"/>
        <v>0</v>
      </c>
      <c r="CZ64" s="1109">
        <f t="shared" si="97"/>
        <v>0</v>
      </c>
      <c r="DA64" s="1109" t="str">
        <f t="shared" si="98"/>
        <v/>
      </c>
      <c r="DB64" s="1125" t="str">
        <f t="shared" si="162"/>
        <v/>
      </c>
      <c r="DC64" s="1125" t="str">
        <f t="shared" si="99"/>
        <v/>
      </c>
      <c r="DD64" s="1110">
        <f t="shared" si="163"/>
        <v>0</v>
      </c>
      <c r="DE64" s="1108">
        <f t="shared" si="164"/>
        <v>0</v>
      </c>
      <c r="DF64" s="1109">
        <f t="shared" si="100"/>
        <v>0</v>
      </c>
      <c r="DG64" s="1109" t="str">
        <f t="shared" si="101"/>
        <v/>
      </c>
      <c r="DH64" s="1125" t="str">
        <f t="shared" si="165"/>
        <v/>
      </c>
      <c r="DI64" s="1125" t="str">
        <f t="shared" si="166"/>
        <v/>
      </c>
      <c r="DJ64" s="1110">
        <f t="shared" si="167"/>
        <v>0</v>
      </c>
      <c r="DK64" s="1108" t="str">
        <f t="shared" si="102"/>
        <v/>
      </c>
      <c r="DL64" s="1108" t="str">
        <f t="shared" si="103"/>
        <v/>
      </c>
      <c r="DM64" s="1108" t="str">
        <f t="shared" si="104"/>
        <v/>
      </c>
      <c r="DN64" s="1108" t="str">
        <f t="shared" si="105"/>
        <v/>
      </c>
      <c r="DO64" s="1125" t="str">
        <f t="shared" si="106"/>
        <v>ERR</v>
      </c>
      <c r="DP64" s="1125" t="str">
        <f t="shared" si="107"/>
        <v>ERR</v>
      </c>
      <c r="DQ64" s="1108" t="str">
        <f t="shared" si="108"/>
        <v/>
      </c>
      <c r="DR64" s="1108" t="str">
        <f t="shared" si="108"/>
        <v/>
      </c>
      <c r="DS64" s="1108" t="str">
        <f t="shared" si="109"/>
        <v/>
      </c>
      <c r="DT64" s="1108" t="str">
        <f t="shared" si="110"/>
        <v/>
      </c>
      <c r="DU64" s="1108" t="str">
        <f t="shared" si="111"/>
        <v/>
      </c>
      <c r="DV64" s="1125" t="str">
        <f t="shared" si="112"/>
        <v>ERR</v>
      </c>
      <c r="DW64" s="1125" t="str">
        <f t="shared" si="113"/>
        <v>ERR</v>
      </c>
      <c r="DX64" s="1108" t="str">
        <f t="shared" si="114"/>
        <v/>
      </c>
      <c r="DY64" s="1108" t="str">
        <f t="shared" si="115"/>
        <v/>
      </c>
      <c r="DZ64" s="1108" t="str">
        <f t="shared" si="116"/>
        <v/>
      </c>
      <c r="EA64" s="1108" t="str">
        <f t="shared" si="117"/>
        <v/>
      </c>
      <c r="EB64" s="1111" t="str">
        <f t="shared" si="118"/>
        <v/>
      </c>
      <c r="EC64" s="1112" t="str">
        <f t="shared" si="119"/>
        <v/>
      </c>
      <c r="ED64" s="1111" t="str">
        <f t="shared" si="120"/>
        <v/>
      </c>
      <c r="EE64" s="1111" t="str">
        <f t="shared" si="121"/>
        <v/>
      </c>
      <c r="EF64" s="1111" t="str">
        <f t="shared" si="122"/>
        <v/>
      </c>
      <c r="EG64" s="1111" t="str">
        <f t="shared" si="123"/>
        <v/>
      </c>
      <c r="EH64" s="1111" t="str">
        <f t="shared" si="124"/>
        <v/>
      </c>
      <c r="EI64" s="1111" t="str">
        <f t="shared" si="125"/>
        <v/>
      </c>
      <c r="EJ64" s="1111" t="str">
        <f t="shared" si="126"/>
        <v/>
      </c>
      <c r="EK64" s="1109">
        <f t="shared" si="127"/>
        <v>0</v>
      </c>
      <c r="EL64" s="1109">
        <f t="shared" si="128"/>
        <v>0</v>
      </c>
      <c r="EM64" s="1109">
        <f t="shared" si="129"/>
        <v>0</v>
      </c>
      <c r="EN64" s="1109" t="str">
        <f t="shared" si="130"/>
        <v/>
      </c>
      <c r="EO64" s="1108" t="str">
        <f t="shared" si="131"/>
        <v/>
      </c>
      <c r="EP64" s="1109">
        <f t="shared" si="132"/>
        <v>0</v>
      </c>
      <c r="EQ64" s="1109">
        <f t="shared" si="133"/>
        <v>0</v>
      </c>
      <c r="ER64" s="1109">
        <f t="shared" si="134"/>
        <v>0</v>
      </c>
      <c r="ES64" s="1109" t="str">
        <f t="shared" si="135"/>
        <v/>
      </c>
      <c r="ET64" s="1108" t="str">
        <f t="shared" si="136"/>
        <v/>
      </c>
      <c r="EU64" s="1108">
        <f t="shared" si="137"/>
        <v>0</v>
      </c>
      <c r="EV64" s="1111" t="e">
        <f t="shared" si="138"/>
        <v>#VALUE!</v>
      </c>
      <c r="EW64" s="1111" t="e">
        <f t="shared" si="139"/>
        <v>#VALUE!</v>
      </c>
      <c r="EX64" s="1113" t="str">
        <f t="shared" si="168"/>
        <v/>
      </c>
      <c r="EY64" s="1114" t="e">
        <f t="shared" si="140"/>
        <v>#DIV/0!</v>
      </c>
      <c r="EZ64" s="1219" t="e">
        <f t="shared" si="141"/>
        <v>#DIV/0!</v>
      </c>
      <c r="FA64" s="1220" t="e">
        <f t="shared" si="142"/>
        <v>#DIV/0!</v>
      </c>
      <c r="FB64" s="1115" t="str">
        <f t="shared" si="143"/>
        <v/>
      </c>
      <c r="FC64" s="1116" t="str">
        <f t="shared" si="144"/>
        <v/>
      </c>
      <c r="FD64" s="1126">
        <f t="shared" si="145"/>
        <v>0</v>
      </c>
      <c r="FE64" s="1066">
        <f t="shared" si="146"/>
        <v>0</v>
      </c>
      <c r="FF64" s="969" t="b">
        <f t="shared" si="147"/>
        <v>0</v>
      </c>
      <c r="FG64" s="969" t="b">
        <f t="shared" si="148"/>
        <v>0</v>
      </c>
      <c r="FH64" s="969" t="b">
        <f t="shared" si="149"/>
        <v>0</v>
      </c>
      <c r="FI64" s="969" t="b">
        <f t="shared" si="150"/>
        <v>0</v>
      </c>
      <c r="FJ64" s="1161" t="str">
        <f t="shared" si="169"/>
        <v/>
      </c>
      <c r="FK64" s="1160"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31" t="str">
        <f t="shared" ca="1" si="186"/>
        <v/>
      </c>
    </row>
    <row r="65" spans="78:193" ht="12.6" hidden="1" customHeight="1" x14ac:dyDescent="0.2">
      <c r="BZ65" s="360"/>
      <c r="CA65" s="434"/>
      <c r="CB65" s="435" t="str">
        <f t="shared" si="91"/>
        <v/>
      </c>
      <c r="CC65" s="436" t="str">
        <f>IF(CG25="","",VLOOKUP(CG25,SectInfo!$B:$N,12,FALSE))</f>
        <v/>
      </c>
      <c r="CD65" s="1172" t="str">
        <f>IF(ISBLANK(CZ25),IF(CG25="","",VLOOKUP(CG25,SectInfo!$B:$N,13,FALSE)),CZ25)</f>
        <v/>
      </c>
      <c r="CE65" s="437" t="str">
        <f>IF(CG25="","",IF(VLOOKUP(CG25,SectInfo!$B:$N,5,FALSE)="","R",UPPER(VLOOKUP(CG25,SectInfo!$B:$N,5,FALSE))))</f>
        <v/>
      </c>
      <c r="CF65" s="1172"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72" t="str">
        <f>IF(ISBLANK(DA25),IF(CN25="","",VLOOKUP(CN25,SectInfo!$B:$N,13,FALSE)),DA25)</f>
        <v/>
      </c>
      <c r="CN65" s="437" t="str">
        <f>IF(CN25="","",IF(VLOOKUP(CN25,SectInfo!$B:$N,5,FALSE)="","R",UPPER(VLOOKUP(CN25,SectInfo!$B:$N,5,FALSE))))</f>
        <v/>
      </c>
      <c r="CO65" s="1172"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9">
        <f t="shared" si="96"/>
        <v>0</v>
      </c>
      <c r="CZ65" s="1109">
        <f t="shared" si="97"/>
        <v>0</v>
      </c>
      <c r="DA65" s="1109" t="str">
        <f t="shared" si="98"/>
        <v/>
      </c>
      <c r="DB65" s="1125" t="str">
        <f t="shared" si="162"/>
        <v/>
      </c>
      <c r="DC65" s="1125" t="str">
        <f t="shared" si="99"/>
        <v/>
      </c>
      <c r="DD65" s="1110">
        <f t="shared" si="163"/>
        <v>0</v>
      </c>
      <c r="DE65" s="1108">
        <f t="shared" si="164"/>
        <v>0</v>
      </c>
      <c r="DF65" s="1109">
        <f t="shared" si="100"/>
        <v>0</v>
      </c>
      <c r="DG65" s="1109" t="str">
        <f t="shared" si="101"/>
        <v/>
      </c>
      <c r="DH65" s="1125" t="str">
        <f t="shared" si="165"/>
        <v/>
      </c>
      <c r="DI65" s="1125" t="str">
        <f t="shared" si="166"/>
        <v/>
      </c>
      <c r="DJ65" s="1110">
        <f t="shared" si="167"/>
        <v>0</v>
      </c>
      <c r="DK65" s="1108" t="str">
        <f t="shared" si="102"/>
        <v/>
      </c>
      <c r="DL65" s="1108" t="str">
        <f t="shared" si="103"/>
        <v/>
      </c>
      <c r="DM65" s="1108" t="str">
        <f t="shared" si="104"/>
        <v/>
      </c>
      <c r="DN65" s="1108" t="str">
        <f t="shared" si="105"/>
        <v/>
      </c>
      <c r="DO65" s="1125" t="str">
        <f t="shared" si="106"/>
        <v>ERR</v>
      </c>
      <c r="DP65" s="1125" t="str">
        <f t="shared" si="107"/>
        <v>ERR</v>
      </c>
      <c r="DQ65" s="1108" t="str">
        <f t="shared" si="108"/>
        <v/>
      </c>
      <c r="DR65" s="1108" t="str">
        <f t="shared" si="108"/>
        <v/>
      </c>
      <c r="DS65" s="1108" t="str">
        <f t="shared" si="109"/>
        <v/>
      </c>
      <c r="DT65" s="1108" t="str">
        <f t="shared" si="110"/>
        <v/>
      </c>
      <c r="DU65" s="1108" t="str">
        <f t="shared" si="111"/>
        <v/>
      </c>
      <c r="DV65" s="1125" t="str">
        <f t="shared" si="112"/>
        <v>ERR</v>
      </c>
      <c r="DW65" s="1125" t="str">
        <f t="shared" si="113"/>
        <v>ERR</v>
      </c>
      <c r="DX65" s="1108" t="str">
        <f t="shared" si="114"/>
        <v/>
      </c>
      <c r="DY65" s="1108" t="str">
        <f t="shared" si="115"/>
        <v/>
      </c>
      <c r="DZ65" s="1108" t="str">
        <f t="shared" si="116"/>
        <v/>
      </c>
      <c r="EA65" s="1108" t="str">
        <f t="shared" si="117"/>
        <v/>
      </c>
      <c r="EB65" s="1111" t="str">
        <f t="shared" si="118"/>
        <v/>
      </c>
      <c r="EC65" s="1112" t="str">
        <f t="shared" si="119"/>
        <v/>
      </c>
      <c r="ED65" s="1111" t="str">
        <f t="shared" si="120"/>
        <v/>
      </c>
      <c r="EE65" s="1111" t="str">
        <f t="shared" si="121"/>
        <v/>
      </c>
      <c r="EF65" s="1111" t="str">
        <f t="shared" si="122"/>
        <v/>
      </c>
      <c r="EG65" s="1111" t="str">
        <f t="shared" si="123"/>
        <v/>
      </c>
      <c r="EH65" s="1111" t="str">
        <f t="shared" si="124"/>
        <v/>
      </c>
      <c r="EI65" s="1111" t="str">
        <f t="shared" si="125"/>
        <v/>
      </c>
      <c r="EJ65" s="1111" t="str">
        <f t="shared" si="126"/>
        <v/>
      </c>
      <c r="EK65" s="1109">
        <f t="shared" si="127"/>
        <v>0</v>
      </c>
      <c r="EL65" s="1109">
        <f t="shared" si="128"/>
        <v>0</v>
      </c>
      <c r="EM65" s="1109">
        <f t="shared" si="129"/>
        <v>0</v>
      </c>
      <c r="EN65" s="1109" t="str">
        <f t="shared" si="130"/>
        <v/>
      </c>
      <c r="EO65" s="1108" t="str">
        <f t="shared" si="131"/>
        <v/>
      </c>
      <c r="EP65" s="1109">
        <f t="shared" si="132"/>
        <v>0</v>
      </c>
      <c r="EQ65" s="1109">
        <f t="shared" si="133"/>
        <v>0</v>
      </c>
      <c r="ER65" s="1109">
        <f t="shared" si="134"/>
        <v>0</v>
      </c>
      <c r="ES65" s="1109" t="str">
        <f t="shared" si="135"/>
        <v/>
      </c>
      <c r="ET65" s="1108" t="str">
        <f t="shared" si="136"/>
        <v/>
      </c>
      <c r="EU65" s="1108">
        <f t="shared" si="137"/>
        <v>0</v>
      </c>
      <c r="EV65" s="1111" t="e">
        <f t="shared" si="138"/>
        <v>#VALUE!</v>
      </c>
      <c r="EW65" s="1111" t="e">
        <f t="shared" si="139"/>
        <v>#VALUE!</v>
      </c>
      <c r="EX65" s="1113" t="str">
        <f t="shared" si="168"/>
        <v/>
      </c>
      <c r="EY65" s="1114" t="e">
        <f t="shared" si="140"/>
        <v>#DIV/0!</v>
      </c>
      <c r="EZ65" s="1219" t="e">
        <f t="shared" si="141"/>
        <v>#DIV/0!</v>
      </c>
      <c r="FA65" s="1220" t="e">
        <f t="shared" si="142"/>
        <v>#DIV/0!</v>
      </c>
      <c r="FB65" s="1115" t="str">
        <f t="shared" si="143"/>
        <v/>
      </c>
      <c r="FC65" s="1116" t="str">
        <f t="shared" si="144"/>
        <v/>
      </c>
      <c r="FD65" s="1126">
        <f t="shared" si="145"/>
        <v>0</v>
      </c>
      <c r="FE65" s="1066">
        <f t="shared" si="146"/>
        <v>0</v>
      </c>
      <c r="FF65" s="969" t="b">
        <f t="shared" si="147"/>
        <v>0</v>
      </c>
      <c r="FG65" s="969" t="b">
        <f t="shared" si="148"/>
        <v>0</v>
      </c>
      <c r="FH65" s="969" t="b">
        <f t="shared" si="149"/>
        <v>0</v>
      </c>
      <c r="FI65" s="969" t="b">
        <f t="shared" si="150"/>
        <v>0</v>
      </c>
      <c r="FJ65" s="1161" t="str">
        <f t="shared" si="169"/>
        <v/>
      </c>
      <c r="FK65" s="1160"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31" t="str">
        <f t="shared" ca="1" si="186"/>
        <v/>
      </c>
    </row>
    <row r="66" spans="78:193" ht="12.6" hidden="1" customHeight="1" x14ac:dyDescent="0.2">
      <c r="BZ66" s="360"/>
      <c r="CA66" s="434"/>
      <c r="CB66" s="435" t="str">
        <f t="shared" si="91"/>
        <v/>
      </c>
      <c r="CC66" s="436" t="str">
        <f>IF(CG26="","",VLOOKUP(CG26,SectInfo!$B:$N,12,FALSE))</f>
        <v/>
      </c>
      <c r="CD66" s="1172" t="str">
        <f>IF(ISBLANK(CZ26),IF(CG26="","",VLOOKUP(CG26,SectInfo!$B:$N,13,FALSE)),CZ26)</f>
        <v/>
      </c>
      <c r="CE66" s="437" t="str">
        <f>IF(CG26="","",IF(VLOOKUP(CG26,SectInfo!$B:$N,5,FALSE)="","R",UPPER(VLOOKUP(CG26,SectInfo!$B:$N,5,FALSE))))</f>
        <v/>
      </c>
      <c r="CF66" s="1172"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72" t="str">
        <f>IF(ISBLANK(DA26),IF(CN26="","",VLOOKUP(CN26,SectInfo!$B:$N,13,FALSE)),DA26)</f>
        <v/>
      </c>
      <c r="CN66" s="437" t="str">
        <f>IF(CN26="","",IF(VLOOKUP(CN26,SectInfo!$B:$N,5,FALSE)="","R",UPPER(VLOOKUP(CN26,SectInfo!$B:$N,5,FALSE))))</f>
        <v/>
      </c>
      <c r="CO66" s="1172"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9">
        <f t="shared" si="96"/>
        <v>0</v>
      </c>
      <c r="CZ66" s="1109">
        <f t="shared" si="97"/>
        <v>0</v>
      </c>
      <c r="DA66" s="1109" t="str">
        <f t="shared" si="98"/>
        <v/>
      </c>
      <c r="DB66" s="1125" t="str">
        <f t="shared" si="162"/>
        <v/>
      </c>
      <c r="DC66" s="1125" t="str">
        <f t="shared" si="99"/>
        <v/>
      </c>
      <c r="DD66" s="1110">
        <f t="shared" si="163"/>
        <v>0</v>
      </c>
      <c r="DE66" s="1108">
        <f t="shared" si="164"/>
        <v>0</v>
      </c>
      <c r="DF66" s="1109">
        <f t="shared" si="100"/>
        <v>0</v>
      </c>
      <c r="DG66" s="1109" t="str">
        <f t="shared" si="101"/>
        <v/>
      </c>
      <c r="DH66" s="1125" t="str">
        <f t="shared" si="165"/>
        <v/>
      </c>
      <c r="DI66" s="1125" t="str">
        <f t="shared" si="166"/>
        <v/>
      </c>
      <c r="DJ66" s="1110">
        <f t="shared" si="167"/>
        <v>0</v>
      </c>
      <c r="DK66" s="1108" t="str">
        <f t="shared" si="102"/>
        <v/>
      </c>
      <c r="DL66" s="1108" t="str">
        <f t="shared" si="103"/>
        <v/>
      </c>
      <c r="DM66" s="1108" t="str">
        <f t="shared" si="104"/>
        <v/>
      </c>
      <c r="DN66" s="1108" t="str">
        <f t="shared" si="105"/>
        <v/>
      </c>
      <c r="DO66" s="1125" t="str">
        <f t="shared" si="106"/>
        <v>ERR</v>
      </c>
      <c r="DP66" s="1125" t="str">
        <f t="shared" si="107"/>
        <v>ERR</v>
      </c>
      <c r="DQ66" s="1108" t="str">
        <f t="shared" si="108"/>
        <v/>
      </c>
      <c r="DR66" s="1108" t="str">
        <f t="shared" si="108"/>
        <v/>
      </c>
      <c r="DS66" s="1108" t="str">
        <f t="shared" si="109"/>
        <v/>
      </c>
      <c r="DT66" s="1108" t="str">
        <f t="shared" si="110"/>
        <v/>
      </c>
      <c r="DU66" s="1108" t="str">
        <f t="shared" si="111"/>
        <v/>
      </c>
      <c r="DV66" s="1125" t="str">
        <f t="shared" si="112"/>
        <v>ERR</v>
      </c>
      <c r="DW66" s="1125" t="str">
        <f t="shared" si="113"/>
        <v>ERR</v>
      </c>
      <c r="DX66" s="1108" t="str">
        <f t="shared" si="114"/>
        <v/>
      </c>
      <c r="DY66" s="1108" t="str">
        <f t="shared" si="115"/>
        <v/>
      </c>
      <c r="DZ66" s="1108" t="str">
        <f t="shared" si="116"/>
        <v/>
      </c>
      <c r="EA66" s="1108" t="str">
        <f t="shared" si="117"/>
        <v/>
      </c>
      <c r="EB66" s="1111" t="str">
        <f t="shared" si="118"/>
        <v/>
      </c>
      <c r="EC66" s="1112" t="str">
        <f t="shared" si="119"/>
        <v/>
      </c>
      <c r="ED66" s="1111" t="str">
        <f t="shared" si="120"/>
        <v/>
      </c>
      <c r="EE66" s="1111" t="str">
        <f t="shared" si="121"/>
        <v/>
      </c>
      <c r="EF66" s="1111" t="str">
        <f t="shared" si="122"/>
        <v/>
      </c>
      <c r="EG66" s="1111" t="str">
        <f t="shared" si="123"/>
        <v/>
      </c>
      <c r="EH66" s="1111" t="str">
        <f t="shared" si="124"/>
        <v/>
      </c>
      <c r="EI66" s="1111" t="str">
        <f t="shared" si="125"/>
        <v/>
      </c>
      <c r="EJ66" s="1111" t="str">
        <f t="shared" si="126"/>
        <v/>
      </c>
      <c r="EK66" s="1109">
        <f t="shared" si="127"/>
        <v>0</v>
      </c>
      <c r="EL66" s="1109">
        <f t="shared" si="128"/>
        <v>0</v>
      </c>
      <c r="EM66" s="1109">
        <f t="shared" si="129"/>
        <v>0</v>
      </c>
      <c r="EN66" s="1109" t="str">
        <f t="shared" si="130"/>
        <v/>
      </c>
      <c r="EO66" s="1108" t="str">
        <f t="shared" si="131"/>
        <v/>
      </c>
      <c r="EP66" s="1109">
        <f t="shared" si="132"/>
        <v>0</v>
      </c>
      <c r="EQ66" s="1109">
        <f t="shared" si="133"/>
        <v>0</v>
      </c>
      <c r="ER66" s="1109">
        <f t="shared" si="134"/>
        <v>0</v>
      </c>
      <c r="ES66" s="1109" t="str">
        <f t="shared" si="135"/>
        <v/>
      </c>
      <c r="ET66" s="1108" t="str">
        <f t="shared" si="136"/>
        <v/>
      </c>
      <c r="EU66" s="1108">
        <f t="shared" si="137"/>
        <v>0</v>
      </c>
      <c r="EV66" s="1111" t="e">
        <f t="shared" si="138"/>
        <v>#VALUE!</v>
      </c>
      <c r="EW66" s="1111" t="e">
        <f t="shared" si="139"/>
        <v>#VALUE!</v>
      </c>
      <c r="EX66" s="1113" t="str">
        <f t="shared" si="168"/>
        <v/>
      </c>
      <c r="EY66" s="1114" t="e">
        <f t="shared" si="140"/>
        <v>#DIV/0!</v>
      </c>
      <c r="EZ66" s="1219" t="e">
        <f t="shared" si="141"/>
        <v>#DIV/0!</v>
      </c>
      <c r="FA66" s="1220" t="e">
        <f t="shared" si="142"/>
        <v>#DIV/0!</v>
      </c>
      <c r="FB66" s="1115" t="str">
        <f t="shared" si="143"/>
        <v/>
      </c>
      <c r="FC66" s="1116" t="str">
        <f t="shared" si="144"/>
        <v/>
      </c>
      <c r="FD66" s="1126">
        <f t="shared" si="145"/>
        <v>0</v>
      </c>
      <c r="FE66" s="1066">
        <f t="shared" si="146"/>
        <v>0</v>
      </c>
      <c r="FF66" s="969" t="b">
        <f t="shared" si="147"/>
        <v>0</v>
      </c>
      <c r="FG66" s="969" t="b">
        <f t="shared" si="148"/>
        <v>0</v>
      </c>
      <c r="FH66" s="969" t="b">
        <f t="shared" si="149"/>
        <v>0</v>
      </c>
      <c r="FI66" s="969" t="b">
        <f t="shared" si="150"/>
        <v>0</v>
      </c>
      <c r="FJ66" s="1161" t="str">
        <f t="shared" si="169"/>
        <v/>
      </c>
      <c r="FK66" s="1160"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31" t="str">
        <f t="shared" ca="1" si="186"/>
        <v/>
      </c>
    </row>
    <row r="67" spans="78:193" ht="12.6" hidden="1" customHeight="1" x14ac:dyDescent="0.2">
      <c r="BZ67" s="360"/>
      <c r="CA67" s="360"/>
      <c r="CB67" s="435" t="str">
        <f t="shared" si="91"/>
        <v/>
      </c>
      <c r="CC67" s="436" t="str">
        <f>IF(CG27="","",VLOOKUP(CG27,SectInfo!$B:$N,12,FALSE))</f>
        <v/>
      </c>
      <c r="CD67" s="1172" t="str">
        <f>IF(ISBLANK(CZ27),IF(CG27="","",VLOOKUP(CG27,SectInfo!$B:$N,13,FALSE)),CZ27)</f>
        <v/>
      </c>
      <c r="CE67" s="437" t="str">
        <f>IF(CG27="","",IF(VLOOKUP(CG27,SectInfo!$B:$N,5,FALSE)="","R",UPPER(VLOOKUP(CG27,SectInfo!$B:$N,5,FALSE))))</f>
        <v/>
      </c>
      <c r="CF67" s="1172"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72" t="str">
        <f>IF(ISBLANK(DA27),IF(CN27="","",VLOOKUP(CN27,SectInfo!$B:$N,13,FALSE)),DA27)</f>
        <v/>
      </c>
      <c r="CN67" s="437" t="str">
        <f>IF(CN27="","",IF(VLOOKUP(CN27,SectInfo!$B:$N,5,FALSE)="","R",UPPER(VLOOKUP(CN27,SectInfo!$B:$N,5,FALSE))))</f>
        <v/>
      </c>
      <c r="CO67" s="1172"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9">
        <f t="shared" si="96"/>
        <v>0</v>
      </c>
      <c r="CZ67" s="1109">
        <f t="shared" si="97"/>
        <v>0</v>
      </c>
      <c r="DA67" s="1109" t="str">
        <f t="shared" si="98"/>
        <v/>
      </c>
      <c r="DB67" s="1125" t="str">
        <f t="shared" si="162"/>
        <v/>
      </c>
      <c r="DC67" s="1125" t="str">
        <f t="shared" si="99"/>
        <v/>
      </c>
      <c r="DD67" s="1110">
        <f t="shared" si="163"/>
        <v>0</v>
      </c>
      <c r="DE67" s="1108">
        <f t="shared" si="164"/>
        <v>0</v>
      </c>
      <c r="DF67" s="1109">
        <f t="shared" si="100"/>
        <v>0</v>
      </c>
      <c r="DG67" s="1109" t="str">
        <f t="shared" si="101"/>
        <v/>
      </c>
      <c r="DH67" s="1125" t="str">
        <f t="shared" si="165"/>
        <v/>
      </c>
      <c r="DI67" s="1125" t="str">
        <f t="shared" si="166"/>
        <v/>
      </c>
      <c r="DJ67" s="1110">
        <f t="shared" si="167"/>
        <v>0</v>
      </c>
      <c r="DK67" s="1108" t="str">
        <f t="shared" si="102"/>
        <v/>
      </c>
      <c r="DL67" s="1108" t="str">
        <f t="shared" si="103"/>
        <v/>
      </c>
      <c r="DM67" s="1108" t="str">
        <f t="shared" si="104"/>
        <v/>
      </c>
      <c r="DN67" s="1108" t="str">
        <f t="shared" si="105"/>
        <v/>
      </c>
      <c r="DO67" s="1125" t="str">
        <f t="shared" si="106"/>
        <v>ERR</v>
      </c>
      <c r="DP67" s="1125" t="str">
        <f t="shared" si="107"/>
        <v>ERR</v>
      </c>
      <c r="DQ67" s="1108" t="str">
        <f t="shared" si="108"/>
        <v/>
      </c>
      <c r="DR67" s="1108" t="str">
        <f t="shared" si="108"/>
        <v/>
      </c>
      <c r="DS67" s="1108" t="str">
        <f t="shared" si="109"/>
        <v/>
      </c>
      <c r="DT67" s="1108" t="str">
        <f t="shared" si="110"/>
        <v/>
      </c>
      <c r="DU67" s="1108" t="str">
        <f t="shared" si="111"/>
        <v/>
      </c>
      <c r="DV67" s="1125" t="str">
        <f t="shared" si="112"/>
        <v>ERR</v>
      </c>
      <c r="DW67" s="1125" t="str">
        <f t="shared" si="113"/>
        <v>ERR</v>
      </c>
      <c r="DX67" s="1108" t="str">
        <f t="shared" si="114"/>
        <v/>
      </c>
      <c r="DY67" s="1108" t="str">
        <f t="shared" si="115"/>
        <v/>
      </c>
      <c r="DZ67" s="1108" t="str">
        <f t="shared" si="116"/>
        <v/>
      </c>
      <c r="EA67" s="1108" t="str">
        <f t="shared" si="117"/>
        <v/>
      </c>
      <c r="EB67" s="1111" t="str">
        <f t="shared" si="118"/>
        <v/>
      </c>
      <c r="EC67" s="1112" t="str">
        <f t="shared" si="119"/>
        <v/>
      </c>
      <c r="ED67" s="1111" t="str">
        <f t="shared" si="120"/>
        <v/>
      </c>
      <c r="EE67" s="1111" t="str">
        <f t="shared" si="121"/>
        <v/>
      </c>
      <c r="EF67" s="1111" t="str">
        <f t="shared" si="122"/>
        <v/>
      </c>
      <c r="EG67" s="1111" t="str">
        <f t="shared" si="123"/>
        <v/>
      </c>
      <c r="EH67" s="1111" t="str">
        <f t="shared" si="124"/>
        <v/>
      </c>
      <c r="EI67" s="1111" t="str">
        <f t="shared" si="125"/>
        <v/>
      </c>
      <c r="EJ67" s="1111" t="str">
        <f t="shared" si="126"/>
        <v/>
      </c>
      <c r="EK67" s="1109">
        <f t="shared" si="127"/>
        <v>0</v>
      </c>
      <c r="EL67" s="1109">
        <f t="shared" si="128"/>
        <v>0</v>
      </c>
      <c r="EM67" s="1109">
        <f t="shared" si="129"/>
        <v>0</v>
      </c>
      <c r="EN67" s="1109" t="str">
        <f t="shared" si="130"/>
        <v/>
      </c>
      <c r="EO67" s="1108" t="str">
        <f t="shared" si="131"/>
        <v/>
      </c>
      <c r="EP67" s="1109">
        <f t="shared" si="132"/>
        <v>0</v>
      </c>
      <c r="EQ67" s="1109">
        <f t="shared" si="133"/>
        <v>0</v>
      </c>
      <c r="ER67" s="1109">
        <f t="shared" si="134"/>
        <v>0</v>
      </c>
      <c r="ES67" s="1109" t="str">
        <f t="shared" si="135"/>
        <v/>
      </c>
      <c r="ET67" s="1108" t="str">
        <f t="shared" si="136"/>
        <v/>
      </c>
      <c r="EU67" s="1108">
        <f t="shared" si="137"/>
        <v>0</v>
      </c>
      <c r="EV67" s="1111" t="e">
        <f t="shared" si="138"/>
        <v>#VALUE!</v>
      </c>
      <c r="EW67" s="1111" t="e">
        <f t="shared" si="139"/>
        <v>#VALUE!</v>
      </c>
      <c r="EX67" s="1113" t="str">
        <f t="shared" si="168"/>
        <v/>
      </c>
      <c r="EY67" s="1114" t="e">
        <f t="shared" si="140"/>
        <v>#DIV/0!</v>
      </c>
      <c r="EZ67" s="1219" t="e">
        <f t="shared" si="141"/>
        <v>#DIV/0!</v>
      </c>
      <c r="FA67" s="1220" t="e">
        <f t="shared" si="142"/>
        <v>#DIV/0!</v>
      </c>
      <c r="FB67" s="1115" t="str">
        <f t="shared" si="143"/>
        <v/>
      </c>
      <c r="FC67" s="1116" t="str">
        <f t="shared" si="144"/>
        <v/>
      </c>
      <c r="FD67" s="1126">
        <f t="shared" si="145"/>
        <v>0</v>
      </c>
      <c r="FE67" s="1066">
        <f t="shared" si="146"/>
        <v>0</v>
      </c>
      <c r="FF67" s="969" t="b">
        <f t="shared" si="147"/>
        <v>0</v>
      </c>
      <c r="FG67" s="969" t="b">
        <f t="shared" si="148"/>
        <v>0</v>
      </c>
      <c r="FH67" s="969" t="b">
        <f t="shared" si="149"/>
        <v>0</v>
      </c>
      <c r="FI67" s="969" t="b">
        <f t="shared" si="150"/>
        <v>0</v>
      </c>
      <c r="FJ67" s="1161" t="str">
        <f t="shared" si="169"/>
        <v/>
      </c>
      <c r="FK67" s="1160"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31" t="str">
        <f t="shared" ca="1" si="186"/>
        <v/>
      </c>
    </row>
    <row r="68" spans="78:193" ht="12.6" hidden="1" customHeight="1" x14ac:dyDescent="0.2">
      <c r="BZ68" s="360"/>
      <c r="CA68" s="360"/>
      <c r="CB68" s="435" t="str">
        <f t="shared" si="91"/>
        <v/>
      </c>
      <c r="CC68" s="436" t="str">
        <f>IF(CG28="","",VLOOKUP(CG28,SectInfo!$B:$N,12,FALSE))</f>
        <v/>
      </c>
      <c r="CD68" s="1172" t="str">
        <f>IF(ISBLANK(CZ28),IF(CG28="","",VLOOKUP(CG28,SectInfo!$B:$N,13,FALSE)),CZ28)</f>
        <v/>
      </c>
      <c r="CE68" s="437" t="str">
        <f>IF(CG28="","",IF(VLOOKUP(CG28,SectInfo!$B:$N,5,FALSE)="","R",UPPER(VLOOKUP(CG28,SectInfo!$B:$N,5,FALSE))))</f>
        <v/>
      </c>
      <c r="CF68" s="1172"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72" t="str">
        <f>IF(ISBLANK(DA28),IF(CN28="","",VLOOKUP(CN28,SectInfo!$B:$N,13,FALSE)),DA28)</f>
        <v/>
      </c>
      <c r="CN68" s="437" t="str">
        <f>IF(CN28="","",IF(VLOOKUP(CN28,SectInfo!$B:$N,5,FALSE)="","R",UPPER(VLOOKUP(CN28,SectInfo!$B:$N,5,FALSE))))</f>
        <v/>
      </c>
      <c r="CO68" s="1172"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9">
        <f t="shared" si="96"/>
        <v>0</v>
      </c>
      <c r="CZ68" s="1109">
        <f t="shared" si="97"/>
        <v>0</v>
      </c>
      <c r="DA68" s="1109" t="str">
        <f t="shared" si="98"/>
        <v/>
      </c>
      <c r="DB68" s="1125" t="str">
        <f t="shared" si="162"/>
        <v/>
      </c>
      <c r="DC68" s="1125" t="str">
        <f t="shared" si="99"/>
        <v/>
      </c>
      <c r="DD68" s="1110">
        <f t="shared" si="163"/>
        <v>0</v>
      </c>
      <c r="DE68" s="1108">
        <f t="shared" si="164"/>
        <v>0</v>
      </c>
      <c r="DF68" s="1109">
        <f t="shared" si="100"/>
        <v>0</v>
      </c>
      <c r="DG68" s="1109" t="str">
        <f t="shared" si="101"/>
        <v/>
      </c>
      <c r="DH68" s="1125" t="str">
        <f t="shared" si="165"/>
        <v/>
      </c>
      <c r="DI68" s="1125" t="str">
        <f t="shared" si="166"/>
        <v/>
      </c>
      <c r="DJ68" s="1110">
        <f t="shared" si="167"/>
        <v>0</v>
      </c>
      <c r="DK68" s="1108" t="str">
        <f t="shared" si="102"/>
        <v/>
      </c>
      <c r="DL68" s="1108" t="str">
        <f t="shared" si="103"/>
        <v/>
      </c>
      <c r="DM68" s="1108" t="str">
        <f t="shared" si="104"/>
        <v/>
      </c>
      <c r="DN68" s="1108" t="str">
        <f t="shared" si="105"/>
        <v/>
      </c>
      <c r="DO68" s="1125" t="str">
        <f t="shared" si="106"/>
        <v>ERR</v>
      </c>
      <c r="DP68" s="1125" t="str">
        <f t="shared" si="107"/>
        <v>ERR</v>
      </c>
      <c r="DQ68" s="1108" t="str">
        <f t="shared" si="108"/>
        <v/>
      </c>
      <c r="DR68" s="1108" t="str">
        <f t="shared" si="108"/>
        <v/>
      </c>
      <c r="DS68" s="1108" t="str">
        <f t="shared" si="109"/>
        <v/>
      </c>
      <c r="DT68" s="1108" t="str">
        <f t="shared" si="110"/>
        <v/>
      </c>
      <c r="DU68" s="1108" t="str">
        <f t="shared" si="111"/>
        <v/>
      </c>
      <c r="DV68" s="1125" t="str">
        <f t="shared" si="112"/>
        <v>ERR</v>
      </c>
      <c r="DW68" s="1125" t="str">
        <f t="shared" si="113"/>
        <v>ERR</v>
      </c>
      <c r="DX68" s="1108" t="str">
        <f t="shared" si="114"/>
        <v/>
      </c>
      <c r="DY68" s="1108" t="str">
        <f t="shared" si="115"/>
        <v/>
      </c>
      <c r="DZ68" s="1108" t="str">
        <f t="shared" si="116"/>
        <v/>
      </c>
      <c r="EA68" s="1108" t="str">
        <f t="shared" si="117"/>
        <v/>
      </c>
      <c r="EB68" s="1111" t="str">
        <f t="shared" si="118"/>
        <v/>
      </c>
      <c r="EC68" s="1112" t="str">
        <f t="shared" si="119"/>
        <v/>
      </c>
      <c r="ED68" s="1111" t="str">
        <f t="shared" si="120"/>
        <v/>
      </c>
      <c r="EE68" s="1111" t="str">
        <f t="shared" si="121"/>
        <v/>
      </c>
      <c r="EF68" s="1111" t="str">
        <f t="shared" si="122"/>
        <v/>
      </c>
      <c r="EG68" s="1111" t="str">
        <f t="shared" si="123"/>
        <v/>
      </c>
      <c r="EH68" s="1111" t="str">
        <f t="shared" si="124"/>
        <v/>
      </c>
      <c r="EI68" s="1111" t="str">
        <f t="shared" si="125"/>
        <v/>
      </c>
      <c r="EJ68" s="1111" t="str">
        <f t="shared" si="126"/>
        <v/>
      </c>
      <c r="EK68" s="1109">
        <f t="shared" si="127"/>
        <v>0</v>
      </c>
      <c r="EL68" s="1109">
        <f t="shared" si="128"/>
        <v>0</v>
      </c>
      <c r="EM68" s="1109">
        <f t="shared" si="129"/>
        <v>0</v>
      </c>
      <c r="EN68" s="1109" t="str">
        <f t="shared" si="130"/>
        <v/>
      </c>
      <c r="EO68" s="1108" t="str">
        <f t="shared" si="131"/>
        <v/>
      </c>
      <c r="EP68" s="1109">
        <f t="shared" si="132"/>
        <v>0</v>
      </c>
      <c r="EQ68" s="1109">
        <f t="shared" si="133"/>
        <v>0</v>
      </c>
      <c r="ER68" s="1109">
        <f t="shared" si="134"/>
        <v>0</v>
      </c>
      <c r="ES68" s="1109" t="str">
        <f t="shared" si="135"/>
        <v/>
      </c>
      <c r="ET68" s="1108" t="str">
        <f t="shared" si="136"/>
        <v/>
      </c>
      <c r="EU68" s="1108">
        <f t="shared" si="137"/>
        <v>0</v>
      </c>
      <c r="EV68" s="1111" t="e">
        <f t="shared" si="138"/>
        <v>#VALUE!</v>
      </c>
      <c r="EW68" s="1111" t="e">
        <f t="shared" si="139"/>
        <v>#VALUE!</v>
      </c>
      <c r="EX68" s="1113" t="str">
        <f t="shared" si="168"/>
        <v/>
      </c>
      <c r="EY68" s="1114" t="e">
        <f t="shared" si="140"/>
        <v>#DIV/0!</v>
      </c>
      <c r="EZ68" s="1219" t="e">
        <f t="shared" si="141"/>
        <v>#DIV/0!</v>
      </c>
      <c r="FA68" s="1220" t="e">
        <f t="shared" si="142"/>
        <v>#DIV/0!</v>
      </c>
      <c r="FB68" s="1115" t="str">
        <f t="shared" si="143"/>
        <v/>
      </c>
      <c r="FC68" s="1116" t="str">
        <f t="shared" si="144"/>
        <v/>
      </c>
      <c r="FD68" s="1126">
        <f t="shared" si="145"/>
        <v>0</v>
      </c>
      <c r="FE68" s="1066">
        <f t="shared" si="146"/>
        <v>0</v>
      </c>
      <c r="FF68" s="969" t="b">
        <f t="shared" si="147"/>
        <v>0</v>
      </c>
      <c r="FG68" s="969" t="b">
        <f t="shared" si="148"/>
        <v>0</v>
      </c>
      <c r="FH68" s="969" t="b">
        <f t="shared" si="149"/>
        <v>0</v>
      </c>
      <c r="FI68" s="969" t="b">
        <f t="shared" si="150"/>
        <v>0</v>
      </c>
      <c r="FJ68" s="1161" t="str">
        <f t="shared" si="169"/>
        <v/>
      </c>
      <c r="FK68" s="1160"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31" t="str">
        <f t="shared" ca="1" si="186"/>
        <v/>
      </c>
    </row>
    <row r="69" spans="78:193" ht="12.6" hidden="1" customHeight="1" x14ac:dyDescent="0.2">
      <c r="BZ69" s="360"/>
      <c r="CA69" s="360"/>
      <c r="CB69" s="435" t="str">
        <f t="shared" si="91"/>
        <v/>
      </c>
      <c r="CC69" s="436" t="str">
        <f>IF(CG29="","",VLOOKUP(CG29,SectInfo!$B:$N,12,FALSE))</f>
        <v/>
      </c>
      <c r="CD69" s="1172" t="str">
        <f>IF(ISBLANK(CZ29),IF(CG29="","",VLOOKUP(CG29,SectInfo!$B:$N,13,FALSE)),CZ29)</f>
        <v/>
      </c>
      <c r="CE69" s="437" t="str">
        <f>IF(CG29="","",IF(VLOOKUP(CG29,SectInfo!$B:$N,5,FALSE)="","R",UPPER(VLOOKUP(CG29,SectInfo!$B:$N,5,FALSE))))</f>
        <v/>
      </c>
      <c r="CF69" s="1172"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72" t="str">
        <f>IF(ISBLANK(DA29),IF(CN29="","",VLOOKUP(CN29,SectInfo!$B:$N,13,FALSE)),DA29)</f>
        <v/>
      </c>
      <c r="CN69" s="437" t="str">
        <f>IF(CN29="","",IF(VLOOKUP(CN29,SectInfo!$B:$N,5,FALSE)="","R",UPPER(VLOOKUP(CN29,SectInfo!$B:$N,5,FALSE))))</f>
        <v/>
      </c>
      <c r="CO69" s="1172"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9">
        <f t="shared" si="96"/>
        <v>0</v>
      </c>
      <c r="CZ69" s="1109">
        <f t="shared" si="97"/>
        <v>0</v>
      </c>
      <c r="DA69" s="1109" t="str">
        <f t="shared" si="98"/>
        <v/>
      </c>
      <c r="DB69" s="1125" t="str">
        <f t="shared" si="162"/>
        <v/>
      </c>
      <c r="DC69" s="1125" t="str">
        <f t="shared" si="99"/>
        <v/>
      </c>
      <c r="DD69" s="1110">
        <f t="shared" si="163"/>
        <v>0</v>
      </c>
      <c r="DE69" s="1108">
        <f t="shared" si="164"/>
        <v>0</v>
      </c>
      <c r="DF69" s="1109">
        <f t="shared" si="100"/>
        <v>0</v>
      </c>
      <c r="DG69" s="1109" t="str">
        <f t="shared" si="101"/>
        <v/>
      </c>
      <c r="DH69" s="1125" t="str">
        <f t="shared" si="165"/>
        <v/>
      </c>
      <c r="DI69" s="1125" t="str">
        <f t="shared" si="166"/>
        <v/>
      </c>
      <c r="DJ69" s="1110">
        <f t="shared" si="167"/>
        <v>0</v>
      </c>
      <c r="DK69" s="1108" t="str">
        <f t="shared" si="102"/>
        <v/>
      </c>
      <c r="DL69" s="1108" t="str">
        <f t="shared" si="103"/>
        <v/>
      </c>
      <c r="DM69" s="1108" t="str">
        <f t="shared" si="104"/>
        <v/>
      </c>
      <c r="DN69" s="1108" t="str">
        <f t="shared" si="105"/>
        <v/>
      </c>
      <c r="DO69" s="1125" t="str">
        <f t="shared" si="106"/>
        <v>ERR</v>
      </c>
      <c r="DP69" s="1125" t="str">
        <f t="shared" si="107"/>
        <v>ERR</v>
      </c>
      <c r="DQ69" s="1108" t="str">
        <f t="shared" si="108"/>
        <v/>
      </c>
      <c r="DR69" s="1108" t="str">
        <f t="shared" si="108"/>
        <v/>
      </c>
      <c r="DS69" s="1108" t="str">
        <f t="shared" si="109"/>
        <v/>
      </c>
      <c r="DT69" s="1108" t="str">
        <f t="shared" si="110"/>
        <v/>
      </c>
      <c r="DU69" s="1108" t="str">
        <f t="shared" si="111"/>
        <v/>
      </c>
      <c r="DV69" s="1125" t="str">
        <f t="shared" si="112"/>
        <v>ERR</v>
      </c>
      <c r="DW69" s="1125" t="str">
        <f t="shared" si="113"/>
        <v>ERR</v>
      </c>
      <c r="DX69" s="1108" t="str">
        <f t="shared" si="114"/>
        <v/>
      </c>
      <c r="DY69" s="1108" t="str">
        <f t="shared" si="115"/>
        <v/>
      </c>
      <c r="DZ69" s="1108" t="str">
        <f t="shared" si="116"/>
        <v/>
      </c>
      <c r="EA69" s="1108" t="str">
        <f t="shared" si="117"/>
        <v/>
      </c>
      <c r="EB69" s="1111" t="str">
        <f t="shared" si="118"/>
        <v/>
      </c>
      <c r="EC69" s="1112" t="str">
        <f t="shared" si="119"/>
        <v/>
      </c>
      <c r="ED69" s="1111" t="str">
        <f t="shared" si="120"/>
        <v/>
      </c>
      <c r="EE69" s="1111" t="str">
        <f t="shared" si="121"/>
        <v/>
      </c>
      <c r="EF69" s="1111" t="str">
        <f t="shared" si="122"/>
        <v/>
      </c>
      <c r="EG69" s="1111" t="str">
        <f t="shared" si="123"/>
        <v/>
      </c>
      <c r="EH69" s="1111" t="str">
        <f t="shared" si="124"/>
        <v/>
      </c>
      <c r="EI69" s="1111" t="str">
        <f t="shared" si="125"/>
        <v/>
      </c>
      <c r="EJ69" s="1111" t="str">
        <f t="shared" si="126"/>
        <v/>
      </c>
      <c r="EK69" s="1109">
        <f t="shared" si="127"/>
        <v>0</v>
      </c>
      <c r="EL69" s="1109">
        <f t="shared" si="128"/>
        <v>0</v>
      </c>
      <c r="EM69" s="1109">
        <f t="shared" si="129"/>
        <v>0</v>
      </c>
      <c r="EN69" s="1109" t="str">
        <f t="shared" si="130"/>
        <v/>
      </c>
      <c r="EO69" s="1108" t="str">
        <f t="shared" si="131"/>
        <v/>
      </c>
      <c r="EP69" s="1109">
        <f t="shared" si="132"/>
        <v>0</v>
      </c>
      <c r="EQ69" s="1109">
        <f t="shared" si="133"/>
        <v>0</v>
      </c>
      <c r="ER69" s="1109">
        <f t="shared" si="134"/>
        <v>0</v>
      </c>
      <c r="ES69" s="1109" t="str">
        <f t="shared" si="135"/>
        <v/>
      </c>
      <c r="ET69" s="1108" t="str">
        <f t="shared" si="136"/>
        <v/>
      </c>
      <c r="EU69" s="1108">
        <f t="shared" si="137"/>
        <v>0</v>
      </c>
      <c r="EV69" s="1111" t="e">
        <f t="shared" si="138"/>
        <v>#VALUE!</v>
      </c>
      <c r="EW69" s="1111" t="e">
        <f t="shared" si="139"/>
        <v>#VALUE!</v>
      </c>
      <c r="EX69" s="1113" t="str">
        <f t="shared" si="168"/>
        <v/>
      </c>
      <c r="EY69" s="1114" t="e">
        <f t="shared" si="140"/>
        <v>#DIV/0!</v>
      </c>
      <c r="EZ69" s="1219" t="e">
        <f t="shared" si="141"/>
        <v>#DIV/0!</v>
      </c>
      <c r="FA69" s="1220" t="e">
        <f t="shared" si="142"/>
        <v>#DIV/0!</v>
      </c>
      <c r="FB69" s="1115" t="str">
        <f t="shared" si="143"/>
        <v/>
      </c>
      <c r="FC69" s="1116" t="str">
        <f t="shared" si="144"/>
        <v/>
      </c>
      <c r="FD69" s="1126">
        <f t="shared" si="145"/>
        <v>0</v>
      </c>
      <c r="FE69" s="1066">
        <f t="shared" si="146"/>
        <v>0</v>
      </c>
      <c r="FF69" s="969" t="b">
        <f t="shared" si="147"/>
        <v>0</v>
      </c>
      <c r="FG69" s="969" t="b">
        <f t="shared" si="148"/>
        <v>0</v>
      </c>
      <c r="FH69" s="969" t="b">
        <f t="shared" si="149"/>
        <v>0</v>
      </c>
      <c r="FI69" s="969" t="b">
        <f t="shared" si="150"/>
        <v>0</v>
      </c>
      <c r="FJ69" s="1161" t="str">
        <f t="shared" si="169"/>
        <v/>
      </c>
      <c r="FK69" s="1160"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31" t="str">
        <f t="shared" ca="1" si="186"/>
        <v/>
      </c>
    </row>
    <row r="70" spans="78:193" ht="12.6" hidden="1" customHeight="1" x14ac:dyDescent="0.2">
      <c r="BZ70" s="360"/>
      <c r="CA70" s="360"/>
      <c r="CB70" s="435" t="str">
        <f t="shared" si="91"/>
        <v/>
      </c>
      <c r="CC70" s="436" t="str">
        <f>IF(CG30="","",VLOOKUP(CG30,SectInfo!$B:$N,12,FALSE))</f>
        <v/>
      </c>
      <c r="CD70" s="1172" t="str">
        <f>IF(ISBLANK(CZ30),IF(CG30="","",VLOOKUP(CG30,SectInfo!$B:$N,13,FALSE)),CZ30)</f>
        <v/>
      </c>
      <c r="CE70" s="437" t="str">
        <f>IF(CG30="","",IF(VLOOKUP(CG30,SectInfo!$B:$N,5,FALSE)="","R",UPPER(VLOOKUP(CG30,SectInfo!$B:$N,5,FALSE))))</f>
        <v/>
      </c>
      <c r="CF70" s="1172"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72" t="str">
        <f>IF(ISBLANK(DA30),IF(CN30="","",VLOOKUP(CN30,SectInfo!$B:$N,13,FALSE)),DA30)</f>
        <v/>
      </c>
      <c r="CN70" s="437" t="str">
        <f>IF(CN30="","",IF(VLOOKUP(CN30,SectInfo!$B:$N,5,FALSE)="","R",UPPER(VLOOKUP(CN30,SectInfo!$B:$N,5,FALSE))))</f>
        <v/>
      </c>
      <c r="CO70" s="1172"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9">
        <f t="shared" si="96"/>
        <v>0</v>
      </c>
      <c r="CZ70" s="1109">
        <f t="shared" si="97"/>
        <v>0</v>
      </c>
      <c r="DA70" s="1109" t="str">
        <f t="shared" si="98"/>
        <v/>
      </c>
      <c r="DB70" s="1125" t="str">
        <f t="shared" si="162"/>
        <v/>
      </c>
      <c r="DC70" s="1125" t="str">
        <f t="shared" si="99"/>
        <v/>
      </c>
      <c r="DD70" s="1110">
        <f t="shared" si="163"/>
        <v>0</v>
      </c>
      <c r="DE70" s="1108">
        <f t="shared" si="164"/>
        <v>0</v>
      </c>
      <c r="DF70" s="1109">
        <f t="shared" si="100"/>
        <v>0</v>
      </c>
      <c r="DG70" s="1109" t="str">
        <f t="shared" si="101"/>
        <v/>
      </c>
      <c r="DH70" s="1125" t="str">
        <f t="shared" si="165"/>
        <v/>
      </c>
      <c r="DI70" s="1125" t="str">
        <f t="shared" si="166"/>
        <v/>
      </c>
      <c r="DJ70" s="1110">
        <f t="shared" si="167"/>
        <v>0</v>
      </c>
      <c r="DK70" s="1108" t="str">
        <f t="shared" si="102"/>
        <v/>
      </c>
      <c r="DL70" s="1108" t="str">
        <f t="shared" si="103"/>
        <v/>
      </c>
      <c r="DM70" s="1108" t="str">
        <f t="shared" si="104"/>
        <v/>
      </c>
      <c r="DN70" s="1108" t="str">
        <f t="shared" si="105"/>
        <v/>
      </c>
      <c r="DO70" s="1125" t="str">
        <f t="shared" si="106"/>
        <v>ERR</v>
      </c>
      <c r="DP70" s="1125" t="str">
        <f t="shared" si="107"/>
        <v>ERR</v>
      </c>
      <c r="DQ70" s="1108" t="str">
        <f t="shared" si="108"/>
        <v/>
      </c>
      <c r="DR70" s="1108" t="str">
        <f t="shared" si="108"/>
        <v/>
      </c>
      <c r="DS70" s="1108" t="str">
        <f t="shared" si="109"/>
        <v/>
      </c>
      <c r="DT70" s="1108" t="str">
        <f t="shared" si="110"/>
        <v/>
      </c>
      <c r="DU70" s="1108" t="str">
        <f t="shared" si="111"/>
        <v/>
      </c>
      <c r="DV70" s="1125" t="str">
        <f t="shared" si="112"/>
        <v>ERR</v>
      </c>
      <c r="DW70" s="1125" t="str">
        <f t="shared" si="113"/>
        <v>ERR</v>
      </c>
      <c r="DX70" s="1108" t="str">
        <f t="shared" si="114"/>
        <v/>
      </c>
      <c r="DY70" s="1108" t="str">
        <f t="shared" si="115"/>
        <v/>
      </c>
      <c r="DZ70" s="1108" t="str">
        <f t="shared" si="116"/>
        <v/>
      </c>
      <c r="EA70" s="1108" t="str">
        <f t="shared" si="117"/>
        <v/>
      </c>
      <c r="EB70" s="1111" t="str">
        <f t="shared" si="118"/>
        <v/>
      </c>
      <c r="EC70" s="1112" t="str">
        <f t="shared" si="119"/>
        <v/>
      </c>
      <c r="ED70" s="1111" t="str">
        <f t="shared" si="120"/>
        <v/>
      </c>
      <c r="EE70" s="1111" t="str">
        <f t="shared" si="121"/>
        <v/>
      </c>
      <c r="EF70" s="1111" t="str">
        <f t="shared" si="122"/>
        <v/>
      </c>
      <c r="EG70" s="1111" t="str">
        <f t="shared" si="123"/>
        <v/>
      </c>
      <c r="EH70" s="1111" t="str">
        <f t="shared" si="124"/>
        <v/>
      </c>
      <c r="EI70" s="1111" t="str">
        <f t="shared" si="125"/>
        <v/>
      </c>
      <c r="EJ70" s="1111" t="str">
        <f t="shared" si="126"/>
        <v/>
      </c>
      <c r="EK70" s="1109">
        <f t="shared" si="127"/>
        <v>0</v>
      </c>
      <c r="EL70" s="1109">
        <f t="shared" si="128"/>
        <v>0</v>
      </c>
      <c r="EM70" s="1109">
        <f t="shared" si="129"/>
        <v>0</v>
      </c>
      <c r="EN70" s="1109" t="str">
        <f t="shared" si="130"/>
        <v/>
      </c>
      <c r="EO70" s="1108" t="str">
        <f t="shared" si="131"/>
        <v/>
      </c>
      <c r="EP70" s="1109">
        <f t="shared" si="132"/>
        <v>0</v>
      </c>
      <c r="EQ70" s="1109">
        <f t="shared" si="133"/>
        <v>0</v>
      </c>
      <c r="ER70" s="1109">
        <f t="shared" si="134"/>
        <v>0</v>
      </c>
      <c r="ES70" s="1109" t="str">
        <f t="shared" si="135"/>
        <v/>
      </c>
      <c r="ET70" s="1108" t="str">
        <f t="shared" si="136"/>
        <v/>
      </c>
      <c r="EU70" s="1108">
        <f t="shared" si="137"/>
        <v>0</v>
      </c>
      <c r="EV70" s="1111" t="e">
        <f t="shared" si="138"/>
        <v>#VALUE!</v>
      </c>
      <c r="EW70" s="1111" t="e">
        <f t="shared" si="139"/>
        <v>#VALUE!</v>
      </c>
      <c r="EX70" s="1113" t="str">
        <f t="shared" si="168"/>
        <v/>
      </c>
      <c r="EY70" s="1114" t="e">
        <f t="shared" si="140"/>
        <v>#DIV/0!</v>
      </c>
      <c r="EZ70" s="1219" t="e">
        <f t="shared" si="141"/>
        <v>#DIV/0!</v>
      </c>
      <c r="FA70" s="1220" t="e">
        <f t="shared" si="142"/>
        <v>#DIV/0!</v>
      </c>
      <c r="FB70" s="1115" t="str">
        <f t="shared" si="143"/>
        <v/>
      </c>
      <c r="FC70" s="1116" t="str">
        <f t="shared" si="144"/>
        <v/>
      </c>
      <c r="FD70" s="1126">
        <f t="shared" si="145"/>
        <v>0</v>
      </c>
      <c r="FE70" s="1066">
        <f t="shared" si="146"/>
        <v>0</v>
      </c>
      <c r="FF70" s="970" t="b">
        <f t="shared" si="147"/>
        <v>0</v>
      </c>
      <c r="FG70" s="970" t="b">
        <f t="shared" si="148"/>
        <v>0</v>
      </c>
      <c r="FH70" s="970" t="b">
        <f t="shared" si="149"/>
        <v>0</v>
      </c>
      <c r="FI70" s="970" t="b">
        <f t="shared" si="150"/>
        <v>0</v>
      </c>
      <c r="FJ70" s="1161" t="str">
        <f t="shared" si="169"/>
        <v/>
      </c>
      <c r="FK70" s="1160"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31" t="str">
        <f t="shared" ca="1" si="186"/>
        <v/>
      </c>
    </row>
    <row r="71" spans="78:193" ht="12.6" hidden="1" customHeight="1" x14ac:dyDescent="0.2">
      <c r="BZ71" s="360"/>
      <c r="CA71" s="360"/>
      <c r="CB71" s="435" t="str">
        <f t="shared" si="91"/>
        <v/>
      </c>
      <c r="CC71" s="436" t="str">
        <f>IF(CG31="","",VLOOKUP(CG31,SectInfo!$B:$N,12,FALSE))</f>
        <v/>
      </c>
      <c r="CD71" s="1172" t="str">
        <f>IF(ISBLANK(CZ31),IF(CG31="","",VLOOKUP(CG31,SectInfo!$B:$N,13,FALSE)),CZ31)</f>
        <v/>
      </c>
      <c r="CE71" s="437" t="str">
        <f>IF(CG31="","",IF(VLOOKUP(CG31,SectInfo!$B:$N,5,FALSE)="","R",UPPER(VLOOKUP(CG31,SectInfo!$B:$N,5,FALSE))))</f>
        <v/>
      </c>
      <c r="CF71" s="1172"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72" t="str">
        <f>IF(ISBLANK(DA31),IF(CN31="","",VLOOKUP(CN31,SectInfo!$B:$N,13,FALSE)),DA31)</f>
        <v/>
      </c>
      <c r="CN71" s="437" t="str">
        <f>IF(CN31="","",IF(VLOOKUP(CN31,SectInfo!$B:$N,5,FALSE)="","R",UPPER(VLOOKUP(CN31,SectInfo!$B:$N,5,FALSE))))</f>
        <v/>
      </c>
      <c r="CO71" s="1172"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9">
        <f t="shared" si="96"/>
        <v>0</v>
      </c>
      <c r="CZ71" s="1109">
        <f t="shared" si="97"/>
        <v>0</v>
      </c>
      <c r="DA71" s="1109" t="str">
        <f t="shared" si="98"/>
        <v/>
      </c>
      <c r="DB71" s="1125" t="str">
        <f t="shared" si="162"/>
        <v/>
      </c>
      <c r="DC71" s="1125" t="str">
        <f t="shared" si="99"/>
        <v/>
      </c>
      <c r="DD71" s="1110">
        <f t="shared" si="163"/>
        <v>0</v>
      </c>
      <c r="DE71" s="1108">
        <f t="shared" si="164"/>
        <v>0</v>
      </c>
      <c r="DF71" s="1109">
        <f t="shared" si="100"/>
        <v>0</v>
      </c>
      <c r="DG71" s="1109" t="str">
        <f t="shared" si="101"/>
        <v/>
      </c>
      <c r="DH71" s="1125" t="str">
        <f t="shared" si="165"/>
        <v/>
      </c>
      <c r="DI71" s="1125" t="str">
        <f t="shared" si="166"/>
        <v/>
      </c>
      <c r="DJ71" s="1110">
        <f t="shared" si="167"/>
        <v>0</v>
      </c>
      <c r="DK71" s="1108" t="str">
        <f t="shared" si="102"/>
        <v/>
      </c>
      <c r="DL71" s="1108" t="str">
        <f t="shared" si="103"/>
        <v/>
      </c>
      <c r="DM71" s="1108" t="str">
        <f t="shared" si="104"/>
        <v/>
      </c>
      <c r="DN71" s="1108" t="str">
        <f t="shared" si="105"/>
        <v/>
      </c>
      <c r="DO71" s="1125" t="str">
        <f t="shared" si="106"/>
        <v>ERR</v>
      </c>
      <c r="DP71" s="1125" t="str">
        <f t="shared" si="107"/>
        <v>ERR</v>
      </c>
      <c r="DQ71" s="1108" t="str">
        <f t="shared" si="108"/>
        <v/>
      </c>
      <c r="DR71" s="1108" t="str">
        <f t="shared" si="108"/>
        <v/>
      </c>
      <c r="DS71" s="1108" t="str">
        <f t="shared" si="109"/>
        <v/>
      </c>
      <c r="DT71" s="1108" t="str">
        <f t="shared" si="110"/>
        <v/>
      </c>
      <c r="DU71" s="1108" t="str">
        <f t="shared" si="111"/>
        <v/>
      </c>
      <c r="DV71" s="1125" t="str">
        <f t="shared" si="112"/>
        <v>ERR</v>
      </c>
      <c r="DW71" s="1125" t="str">
        <f t="shared" si="113"/>
        <v>ERR</v>
      </c>
      <c r="DX71" s="1108" t="str">
        <f t="shared" si="114"/>
        <v/>
      </c>
      <c r="DY71" s="1108" t="str">
        <f t="shared" si="115"/>
        <v/>
      </c>
      <c r="DZ71" s="1108" t="str">
        <f t="shared" si="116"/>
        <v/>
      </c>
      <c r="EA71" s="1108" t="str">
        <f t="shared" si="117"/>
        <v/>
      </c>
      <c r="EB71" s="1111" t="str">
        <f t="shared" si="118"/>
        <v/>
      </c>
      <c r="EC71" s="1112" t="str">
        <f t="shared" si="119"/>
        <v/>
      </c>
      <c r="ED71" s="1111" t="str">
        <f t="shared" si="120"/>
        <v/>
      </c>
      <c r="EE71" s="1111" t="str">
        <f t="shared" si="121"/>
        <v/>
      </c>
      <c r="EF71" s="1111" t="str">
        <f t="shared" si="122"/>
        <v/>
      </c>
      <c r="EG71" s="1111" t="str">
        <f t="shared" si="123"/>
        <v/>
      </c>
      <c r="EH71" s="1111" t="str">
        <f t="shared" si="124"/>
        <v/>
      </c>
      <c r="EI71" s="1111" t="str">
        <f t="shared" si="125"/>
        <v/>
      </c>
      <c r="EJ71" s="1111" t="str">
        <f t="shared" si="126"/>
        <v/>
      </c>
      <c r="EK71" s="1109">
        <f t="shared" si="127"/>
        <v>0</v>
      </c>
      <c r="EL71" s="1109">
        <f t="shared" si="128"/>
        <v>0</v>
      </c>
      <c r="EM71" s="1109">
        <f t="shared" si="129"/>
        <v>0</v>
      </c>
      <c r="EN71" s="1109" t="str">
        <f t="shared" si="130"/>
        <v/>
      </c>
      <c r="EO71" s="1108" t="str">
        <f t="shared" si="131"/>
        <v/>
      </c>
      <c r="EP71" s="1109">
        <f t="shared" si="132"/>
        <v>0</v>
      </c>
      <c r="EQ71" s="1109">
        <f t="shared" si="133"/>
        <v>0</v>
      </c>
      <c r="ER71" s="1109">
        <f t="shared" si="134"/>
        <v>0</v>
      </c>
      <c r="ES71" s="1109" t="str">
        <f t="shared" si="135"/>
        <v/>
      </c>
      <c r="ET71" s="1108" t="str">
        <f t="shared" si="136"/>
        <v/>
      </c>
      <c r="EU71" s="1108">
        <f t="shared" si="137"/>
        <v>0</v>
      </c>
      <c r="EV71" s="1111" t="e">
        <f t="shared" si="138"/>
        <v>#VALUE!</v>
      </c>
      <c r="EW71" s="1111" t="e">
        <f t="shared" si="139"/>
        <v>#VALUE!</v>
      </c>
      <c r="EX71" s="1113" t="str">
        <f t="shared" si="168"/>
        <v/>
      </c>
      <c r="EY71" s="1114" t="e">
        <f t="shared" si="140"/>
        <v>#DIV/0!</v>
      </c>
      <c r="EZ71" s="1219" t="e">
        <f t="shared" si="141"/>
        <v>#DIV/0!</v>
      </c>
      <c r="FA71" s="1220" t="e">
        <f t="shared" si="142"/>
        <v>#DIV/0!</v>
      </c>
      <c r="FB71" s="1115" t="str">
        <f t="shared" si="143"/>
        <v/>
      </c>
      <c r="FC71" s="1116" t="str">
        <f t="shared" si="144"/>
        <v/>
      </c>
      <c r="FD71" s="1126">
        <f t="shared" si="145"/>
        <v>0</v>
      </c>
      <c r="FE71" s="1066">
        <f t="shared" si="146"/>
        <v>0</v>
      </c>
      <c r="FF71" s="970" t="b">
        <f t="shared" si="147"/>
        <v>0</v>
      </c>
      <c r="FG71" s="970" t="b">
        <f t="shared" si="148"/>
        <v>0</v>
      </c>
      <c r="FH71" s="970" t="b">
        <f t="shared" si="149"/>
        <v>0</v>
      </c>
      <c r="FI71" s="970" t="b">
        <f t="shared" si="150"/>
        <v>0</v>
      </c>
      <c r="FJ71" s="1161" t="str">
        <f t="shared" si="169"/>
        <v/>
      </c>
      <c r="FK71" s="1160"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31" t="str">
        <f t="shared" ca="1" si="186"/>
        <v/>
      </c>
    </row>
    <row r="72" spans="78:193" ht="12.6" hidden="1" customHeight="1" x14ac:dyDescent="0.2">
      <c r="BZ72" s="360"/>
      <c r="CA72" s="360"/>
      <c r="CB72" s="435" t="str">
        <f t="shared" si="91"/>
        <v/>
      </c>
      <c r="CC72" s="436" t="str">
        <f>IF(CG32="","",VLOOKUP(CG32,SectInfo!$B:$N,12,FALSE))</f>
        <v/>
      </c>
      <c r="CD72" s="1172" t="str">
        <f>IF(ISBLANK(CZ32),IF(CG32="","",VLOOKUP(CG32,SectInfo!$B:$N,13,FALSE)),CZ32)</f>
        <v/>
      </c>
      <c r="CE72" s="437" t="str">
        <f>IF(CG32="","",IF(VLOOKUP(CG32,SectInfo!$B:$N,5,FALSE)="","R",UPPER(VLOOKUP(CG32,SectInfo!$B:$N,5,FALSE))))</f>
        <v/>
      </c>
      <c r="CF72" s="1172"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72" t="str">
        <f>IF(ISBLANK(DA32),IF(CN32="","",VLOOKUP(CN32,SectInfo!$B:$N,13,FALSE)),DA32)</f>
        <v/>
      </c>
      <c r="CN72" s="437" t="str">
        <f>IF(CN32="","",IF(VLOOKUP(CN32,SectInfo!$B:$N,5,FALSE)="","R",UPPER(VLOOKUP(CN32,SectInfo!$B:$N,5,FALSE))))</f>
        <v/>
      </c>
      <c r="CO72" s="1172"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9">
        <f t="shared" si="96"/>
        <v>0</v>
      </c>
      <c r="CZ72" s="1109">
        <f t="shared" si="97"/>
        <v>0</v>
      </c>
      <c r="DA72" s="1109" t="str">
        <f t="shared" si="98"/>
        <v/>
      </c>
      <c r="DB72" s="1125" t="str">
        <f t="shared" si="162"/>
        <v/>
      </c>
      <c r="DC72" s="1125" t="str">
        <f t="shared" si="99"/>
        <v/>
      </c>
      <c r="DD72" s="1110">
        <f t="shared" si="163"/>
        <v>0</v>
      </c>
      <c r="DE72" s="1108">
        <f t="shared" si="164"/>
        <v>0</v>
      </c>
      <c r="DF72" s="1109">
        <f t="shared" si="100"/>
        <v>0</v>
      </c>
      <c r="DG72" s="1109" t="str">
        <f t="shared" si="101"/>
        <v/>
      </c>
      <c r="DH72" s="1125" t="str">
        <f t="shared" si="165"/>
        <v/>
      </c>
      <c r="DI72" s="1125" t="str">
        <f t="shared" si="166"/>
        <v/>
      </c>
      <c r="DJ72" s="1110">
        <f t="shared" si="167"/>
        <v>0</v>
      </c>
      <c r="DK72" s="1108" t="str">
        <f t="shared" si="102"/>
        <v/>
      </c>
      <c r="DL72" s="1108" t="str">
        <f t="shared" si="103"/>
        <v/>
      </c>
      <c r="DM72" s="1108" t="str">
        <f t="shared" si="104"/>
        <v/>
      </c>
      <c r="DN72" s="1108" t="str">
        <f t="shared" si="105"/>
        <v/>
      </c>
      <c r="DO72" s="1125" t="str">
        <f t="shared" si="106"/>
        <v>ERR</v>
      </c>
      <c r="DP72" s="1125" t="str">
        <f t="shared" si="107"/>
        <v>ERR</v>
      </c>
      <c r="DQ72" s="1108" t="str">
        <f t="shared" si="108"/>
        <v/>
      </c>
      <c r="DR72" s="1108" t="str">
        <f t="shared" si="108"/>
        <v/>
      </c>
      <c r="DS72" s="1108" t="str">
        <f t="shared" si="109"/>
        <v/>
      </c>
      <c r="DT72" s="1108" t="str">
        <f t="shared" si="110"/>
        <v/>
      </c>
      <c r="DU72" s="1108" t="str">
        <f t="shared" si="111"/>
        <v/>
      </c>
      <c r="DV72" s="1125" t="str">
        <f t="shared" si="112"/>
        <v>ERR</v>
      </c>
      <c r="DW72" s="1125" t="str">
        <f t="shared" si="113"/>
        <v>ERR</v>
      </c>
      <c r="DX72" s="1108" t="str">
        <f t="shared" si="114"/>
        <v/>
      </c>
      <c r="DY72" s="1108" t="str">
        <f t="shared" si="115"/>
        <v/>
      </c>
      <c r="DZ72" s="1108" t="str">
        <f t="shared" si="116"/>
        <v/>
      </c>
      <c r="EA72" s="1108" t="str">
        <f t="shared" si="117"/>
        <v/>
      </c>
      <c r="EB72" s="1111" t="str">
        <f t="shared" si="118"/>
        <v/>
      </c>
      <c r="EC72" s="1112" t="str">
        <f t="shared" si="119"/>
        <v/>
      </c>
      <c r="ED72" s="1111" t="str">
        <f t="shared" si="120"/>
        <v/>
      </c>
      <c r="EE72" s="1111" t="str">
        <f t="shared" si="121"/>
        <v/>
      </c>
      <c r="EF72" s="1111" t="str">
        <f t="shared" si="122"/>
        <v/>
      </c>
      <c r="EG72" s="1111" t="str">
        <f t="shared" si="123"/>
        <v/>
      </c>
      <c r="EH72" s="1111" t="str">
        <f t="shared" si="124"/>
        <v/>
      </c>
      <c r="EI72" s="1111" t="str">
        <f t="shared" si="125"/>
        <v/>
      </c>
      <c r="EJ72" s="1111" t="str">
        <f t="shared" si="126"/>
        <v/>
      </c>
      <c r="EK72" s="1109">
        <f t="shared" si="127"/>
        <v>0</v>
      </c>
      <c r="EL72" s="1109">
        <f t="shared" si="128"/>
        <v>0</v>
      </c>
      <c r="EM72" s="1109">
        <f t="shared" si="129"/>
        <v>0</v>
      </c>
      <c r="EN72" s="1109" t="str">
        <f t="shared" si="130"/>
        <v/>
      </c>
      <c r="EO72" s="1108" t="str">
        <f t="shared" si="131"/>
        <v/>
      </c>
      <c r="EP72" s="1109">
        <f t="shared" si="132"/>
        <v>0</v>
      </c>
      <c r="EQ72" s="1109">
        <f t="shared" si="133"/>
        <v>0</v>
      </c>
      <c r="ER72" s="1109">
        <f t="shared" si="134"/>
        <v>0</v>
      </c>
      <c r="ES72" s="1109" t="str">
        <f t="shared" si="135"/>
        <v/>
      </c>
      <c r="ET72" s="1108" t="str">
        <f t="shared" si="136"/>
        <v/>
      </c>
      <c r="EU72" s="1108">
        <f t="shared" si="137"/>
        <v>0</v>
      </c>
      <c r="EV72" s="1111" t="e">
        <f t="shared" si="138"/>
        <v>#VALUE!</v>
      </c>
      <c r="EW72" s="1111" t="e">
        <f t="shared" si="139"/>
        <v>#VALUE!</v>
      </c>
      <c r="EX72" s="1113" t="str">
        <f t="shared" si="168"/>
        <v/>
      </c>
      <c r="EY72" s="1114" t="e">
        <f t="shared" si="140"/>
        <v>#DIV/0!</v>
      </c>
      <c r="EZ72" s="1219" t="e">
        <f t="shared" si="141"/>
        <v>#DIV/0!</v>
      </c>
      <c r="FA72" s="1220" t="e">
        <f t="shared" si="142"/>
        <v>#DIV/0!</v>
      </c>
      <c r="FB72" s="1115" t="str">
        <f t="shared" si="143"/>
        <v/>
      </c>
      <c r="FC72" s="1116" t="str">
        <f t="shared" si="144"/>
        <v/>
      </c>
      <c r="FD72" s="1126">
        <f t="shared" si="145"/>
        <v>0</v>
      </c>
      <c r="FE72" s="1066">
        <f t="shared" si="146"/>
        <v>0</v>
      </c>
      <c r="FF72" s="969" t="b">
        <f t="shared" si="147"/>
        <v>0</v>
      </c>
      <c r="FG72" s="969" t="b">
        <f t="shared" si="148"/>
        <v>0</v>
      </c>
      <c r="FH72" s="969" t="b">
        <f t="shared" si="149"/>
        <v>0</v>
      </c>
      <c r="FI72" s="969" t="b">
        <f t="shared" si="150"/>
        <v>0</v>
      </c>
      <c r="FJ72" s="1161" t="str">
        <f t="shared" si="169"/>
        <v/>
      </c>
      <c r="FK72" s="1160"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31" t="str">
        <f t="shared" ca="1" si="186"/>
        <v/>
      </c>
    </row>
    <row r="73" spans="78:193" ht="12.6" hidden="1" customHeight="1" x14ac:dyDescent="0.2">
      <c r="BZ73" s="360"/>
      <c r="CA73" s="360"/>
      <c r="CB73" s="435" t="str">
        <f t="shared" si="91"/>
        <v/>
      </c>
      <c r="CC73" s="436" t="str">
        <f>IF(CG33="","",VLOOKUP(CG33,SectInfo!$B:$N,12,FALSE))</f>
        <v/>
      </c>
      <c r="CD73" s="1172" t="str">
        <f>IF(ISBLANK(CZ33),IF(CG33="","",VLOOKUP(CG33,SectInfo!$B:$N,13,FALSE)),CZ33)</f>
        <v/>
      </c>
      <c r="CE73" s="437" t="str">
        <f>IF(CG33="","",IF(VLOOKUP(CG33,SectInfo!$B:$N,5,FALSE)="","R",UPPER(VLOOKUP(CG33,SectInfo!$B:$N,5,FALSE))))</f>
        <v/>
      </c>
      <c r="CF73" s="1172"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72" t="str">
        <f>IF(ISBLANK(DA33),IF(CN33="","",VLOOKUP(CN33,SectInfo!$B:$N,13,FALSE)),DA33)</f>
        <v/>
      </c>
      <c r="CN73" s="437" t="str">
        <f>IF(CN33="","",IF(VLOOKUP(CN33,SectInfo!$B:$N,5,FALSE)="","R",UPPER(VLOOKUP(CN33,SectInfo!$B:$N,5,FALSE))))</f>
        <v/>
      </c>
      <c r="CO73" s="1172"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9">
        <f t="shared" si="96"/>
        <v>0</v>
      </c>
      <c r="CZ73" s="1109">
        <f t="shared" si="97"/>
        <v>0</v>
      </c>
      <c r="DA73" s="1109" t="str">
        <f t="shared" si="98"/>
        <v/>
      </c>
      <c r="DB73" s="1125" t="str">
        <f t="shared" si="162"/>
        <v/>
      </c>
      <c r="DC73" s="1125" t="str">
        <f t="shared" si="99"/>
        <v/>
      </c>
      <c r="DD73" s="1110">
        <f t="shared" si="163"/>
        <v>0</v>
      </c>
      <c r="DE73" s="1108">
        <f t="shared" si="164"/>
        <v>0</v>
      </c>
      <c r="DF73" s="1109">
        <f t="shared" si="100"/>
        <v>0</v>
      </c>
      <c r="DG73" s="1109" t="str">
        <f t="shared" si="101"/>
        <v/>
      </c>
      <c r="DH73" s="1125" t="str">
        <f t="shared" si="165"/>
        <v/>
      </c>
      <c r="DI73" s="1125" t="str">
        <f t="shared" si="166"/>
        <v/>
      </c>
      <c r="DJ73" s="1110">
        <f t="shared" si="167"/>
        <v>0</v>
      </c>
      <c r="DK73" s="1108" t="str">
        <f t="shared" si="102"/>
        <v/>
      </c>
      <c r="DL73" s="1108" t="str">
        <f t="shared" si="103"/>
        <v/>
      </c>
      <c r="DM73" s="1108" t="str">
        <f t="shared" si="104"/>
        <v/>
      </c>
      <c r="DN73" s="1108" t="str">
        <f t="shared" si="105"/>
        <v/>
      </c>
      <c r="DO73" s="1125" t="str">
        <f t="shared" si="106"/>
        <v>ERR</v>
      </c>
      <c r="DP73" s="1125" t="str">
        <f t="shared" si="107"/>
        <v>ERR</v>
      </c>
      <c r="DQ73" s="1108" t="str">
        <f t="shared" si="108"/>
        <v/>
      </c>
      <c r="DR73" s="1108" t="str">
        <f t="shared" si="108"/>
        <v/>
      </c>
      <c r="DS73" s="1108" t="str">
        <f t="shared" si="109"/>
        <v/>
      </c>
      <c r="DT73" s="1108" t="str">
        <f t="shared" si="110"/>
        <v/>
      </c>
      <c r="DU73" s="1108" t="str">
        <f t="shared" si="111"/>
        <v/>
      </c>
      <c r="DV73" s="1125" t="str">
        <f t="shared" si="112"/>
        <v>ERR</v>
      </c>
      <c r="DW73" s="1125" t="str">
        <f t="shared" si="113"/>
        <v>ERR</v>
      </c>
      <c r="DX73" s="1108" t="str">
        <f t="shared" si="114"/>
        <v/>
      </c>
      <c r="DY73" s="1108" t="str">
        <f t="shared" si="115"/>
        <v/>
      </c>
      <c r="DZ73" s="1108" t="str">
        <f t="shared" si="116"/>
        <v/>
      </c>
      <c r="EA73" s="1108" t="str">
        <f t="shared" si="117"/>
        <v/>
      </c>
      <c r="EB73" s="1111" t="str">
        <f t="shared" si="118"/>
        <v/>
      </c>
      <c r="EC73" s="1112" t="str">
        <f t="shared" si="119"/>
        <v/>
      </c>
      <c r="ED73" s="1111" t="str">
        <f t="shared" si="120"/>
        <v/>
      </c>
      <c r="EE73" s="1111" t="str">
        <f t="shared" si="121"/>
        <v/>
      </c>
      <c r="EF73" s="1111" t="str">
        <f t="shared" si="122"/>
        <v/>
      </c>
      <c r="EG73" s="1111" t="str">
        <f t="shared" si="123"/>
        <v/>
      </c>
      <c r="EH73" s="1111" t="str">
        <f t="shared" si="124"/>
        <v/>
      </c>
      <c r="EI73" s="1111" t="str">
        <f t="shared" si="125"/>
        <v/>
      </c>
      <c r="EJ73" s="1111" t="str">
        <f t="shared" si="126"/>
        <v/>
      </c>
      <c r="EK73" s="1109">
        <f t="shared" si="127"/>
        <v>0</v>
      </c>
      <c r="EL73" s="1109">
        <f t="shared" si="128"/>
        <v>0</v>
      </c>
      <c r="EM73" s="1109">
        <f t="shared" si="129"/>
        <v>0</v>
      </c>
      <c r="EN73" s="1109" t="str">
        <f t="shared" si="130"/>
        <v/>
      </c>
      <c r="EO73" s="1108" t="str">
        <f t="shared" si="131"/>
        <v/>
      </c>
      <c r="EP73" s="1109">
        <f t="shared" si="132"/>
        <v>0</v>
      </c>
      <c r="EQ73" s="1109">
        <f t="shared" si="133"/>
        <v>0</v>
      </c>
      <c r="ER73" s="1109">
        <f t="shared" si="134"/>
        <v>0</v>
      </c>
      <c r="ES73" s="1109" t="str">
        <f t="shared" si="135"/>
        <v/>
      </c>
      <c r="ET73" s="1108" t="str">
        <f t="shared" si="136"/>
        <v/>
      </c>
      <c r="EU73" s="1108">
        <f t="shared" si="137"/>
        <v>0</v>
      </c>
      <c r="EV73" s="1111" t="e">
        <f t="shared" si="138"/>
        <v>#VALUE!</v>
      </c>
      <c r="EW73" s="1111" t="e">
        <f t="shared" si="139"/>
        <v>#VALUE!</v>
      </c>
      <c r="EX73" s="1113" t="str">
        <f t="shared" si="168"/>
        <v/>
      </c>
      <c r="EY73" s="1114" t="e">
        <f t="shared" si="140"/>
        <v>#DIV/0!</v>
      </c>
      <c r="EZ73" s="1219" t="e">
        <f t="shared" si="141"/>
        <v>#DIV/0!</v>
      </c>
      <c r="FA73" s="1220" t="e">
        <f t="shared" si="142"/>
        <v>#DIV/0!</v>
      </c>
      <c r="FB73" s="1115" t="str">
        <f t="shared" si="143"/>
        <v/>
      </c>
      <c r="FC73" s="1116" t="str">
        <f t="shared" si="144"/>
        <v/>
      </c>
      <c r="FD73" s="1126">
        <f t="shared" si="145"/>
        <v>0</v>
      </c>
      <c r="FE73" s="1066">
        <f t="shared" si="146"/>
        <v>0</v>
      </c>
      <c r="FF73" s="969" t="b">
        <f t="shared" si="147"/>
        <v>0</v>
      </c>
      <c r="FG73" s="969" t="b">
        <f t="shared" si="148"/>
        <v>0</v>
      </c>
      <c r="FH73" s="969" t="b">
        <f t="shared" si="149"/>
        <v>0</v>
      </c>
      <c r="FI73" s="969" t="b">
        <f t="shared" si="150"/>
        <v>0</v>
      </c>
      <c r="FJ73" s="1161" t="str">
        <f t="shared" si="169"/>
        <v/>
      </c>
      <c r="FK73" s="1160"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31" t="str">
        <f t="shared" ca="1" si="186"/>
        <v/>
      </c>
    </row>
    <row r="74" spans="78:193" ht="12.6" hidden="1" customHeight="1" x14ac:dyDescent="0.2">
      <c r="BZ74" s="360"/>
      <c r="CA74" s="360"/>
      <c r="CB74" s="435" t="str">
        <f t="shared" si="91"/>
        <v/>
      </c>
      <c r="CC74" s="436" t="str">
        <f>IF(CG34="","",VLOOKUP(CG34,SectInfo!$B:$N,12,FALSE))</f>
        <v/>
      </c>
      <c r="CD74" s="1172" t="str">
        <f>IF(ISBLANK(CZ34),IF(CG34="","",VLOOKUP(CG34,SectInfo!$B:$N,13,FALSE)),CZ34)</f>
        <v/>
      </c>
      <c r="CE74" s="437" t="str">
        <f>IF(CG34="","",IF(VLOOKUP(CG34,SectInfo!$B:$N,5,FALSE)="","R",UPPER(VLOOKUP(CG34,SectInfo!$B:$N,5,FALSE))))</f>
        <v/>
      </c>
      <c r="CF74" s="1172"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72" t="str">
        <f>IF(ISBLANK(DA34),IF(CN34="","",VLOOKUP(CN34,SectInfo!$B:$N,13,FALSE)),DA34)</f>
        <v/>
      </c>
      <c r="CN74" s="437" t="str">
        <f>IF(CN34="","",IF(VLOOKUP(CN34,SectInfo!$B:$N,5,FALSE)="","R",UPPER(VLOOKUP(CN34,SectInfo!$B:$N,5,FALSE))))</f>
        <v/>
      </c>
      <c r="CO74" s="1172"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9">
        <f t="shared" si="96"/>
        <v>0</v>
      </c>
      <c r="CZ74" s="1109">
        <f t="shared" si="97"/>
        <v>0</v>
      </c>
      <c r="DA74" s="1109" t="str">
        <f t="shared" si="98"/>
        <v/>
      </c>
      <c r="DB74" s="1125" t="str">
        <f t="shared" si="162"/>
        <v/>
      </c>
      <c r="DC74" s="1125" t="str">
        <f t="shared" si="99"/>
        <v/>
      </c>
      <c r="DD74" s="1110">
        <f t="shared" si="163"/>
        <v>0</v>
      </c>
      <c r="DE74" s="1108">
        <f t="shared" si="164"/>
        <v>0</v>
      </c>
      <c r="DF74" s="1109">
        <f t="shared" si="100"/>
        <v>0</v>
      </c>
      <c r="DG74" s="1109" t="str">
        <f t="shared" si="101"/>
        <v/>
      </c>
      <c r="DH74" s="1125" t="str">
        <f t="shared" si="165"/>
        <v/>
      </c>
      <c r="DI74" s="1125" t="str">
        <f t="shared" si="166"/>
        <v/>
      </c>
      <c r="DJ74" s="1110">
        <f t="shared" si="167"/>
        <v>0</v>
      </c>
      <c r="DK74" s="1108" t="str">
        <f t="shared" si="102"/>
        <v/>
      </c>
      <c r="DL74" s="1108" t="str">
        <f t="shared" si="103"/>
        <v/>
      </c>
      <c r="DM74" s="1108" t="str">
        <f t="shared" si="104"/>
        <v/>
      </c>
      <c r="DN74" s="1108" t="str">
        <f t="shared" si="105"/>
        <v/>
      </c>
      <c r="DO74" s="1125" t="str">
        <f t="shared" si="106"/>
        <v>ERR</v>
      </c>
      <c r="DP74" s="1125" t="str">
        <f t="shared" si="107"/>
        <v>ERR</v>
      </c>
      <c r="DQ74" s="1108" t="str">
        <f t="shared" si="108"/>
        <v/>
      </c>
      <c r="DR74" s="1108" t="str">
        <f t="shared" si="108"/>
        <v/>
      </c>
      <c r="DS74" s="1108" t="str">
        <f t="shared" si="109"/>
        <v/>
      </c>
      <c r="DT74" s="1108" t="str">
        <f t="shared" si="110"/>
        <v/>
      </c>
      <c r="DU74" s="1108" t="str">
        <f t="shared" si="111"/>
        <v/>
      </c>
      <c r="DV74" s="1125" t="str">
        <f t="shared" si="112"/>
        <v>ERR</v>
      </c>
      <c r="DW74" s="1125" t="str">
        <f t="shared" si="113"/>
        <v>ERR</v>
      </c>
      <c r="DX74" s="1108" t="str">
        <f t="shared" si="114"/>
        <v/>
      </c>
      <c r="DY74" s="1108" t="str">
        <f t="shared" si="115"/>
        <v/>
      </c>
      <c r="DZ74" s="1108" t="str">
        <f t="shared" si="116"/>
        <v/>
      </c>
      <c r="EA74" s="1108" t="str">
        <f t="shared" si="117"/>
        <v/>
      </c>
      <c r="EB74" s="1111" t="str">
        <f t="shared" si="118"/>
        <v/>
      </c>
      <c r="EC74" s="1112" t="str">
        <f t="shared" si="119"/>
        <v/>
      </c>
      <c r="ED74" s="1111" t="str">
        <f t="shared" si="120"/>
        <v/>
      </c>
      <c r="EE74" s="1111" t="str">
        <f t="shared" si="121"/>
        <v/>
      </c>
      <c r="EF74" s="1111" t="str">
        <f t="shared" si="122"/>
        <v/>
      </c>
      <c r="EG74" s="1111" t="str">
        <f t="shared" si="123"/>
        <v/>
      </c>
      <c r="EH74" s="1111" t="str">
        <f t="shared" si="124"/>
        <v/>
      </c>
      <c r="EI74" s="1111" t="str">
        <f t="shared" si="125"/>
        <v/>
      </c>
      <c r="EJ74" s="1111" t="str">
        <f t="shared" si="126"/>
        <v/>
      </c>
      <c r="EK74" s="1109">
        <f t="shared" si="127"/>
        <v>0</v>
      </c>
      <c r="EL74" s="1109">
        <f t="shared" si="128"/>
        <v>0</v>
      </c>
      <c r="EM74" s="1109">
        <f t="shared" si="129"/>
        <v>0</v>
      </c>
      <c r="EN74" s="1109" t="str">
        <f t="shared" si="130"/>
        <v/>
      </c>
      <c r="EO74" s="1108" t="str">
        <f t="shared" si="131"/>
        <v/>
      </c>
      <c r="EP74" s="1109">
        <f t="shared" si="132"/>
        <v>0</v>
      </c>
      <c r="EQ74" s="1109">
        <f t="shared" si="133"/>
        <v>0</v>
      </c>
      <c r="ER74" s="1109">
        <f t="shared" si="134"/>
        <v>0</v>
      </c>
      <c r="ES74" s="1109" t="str">
        <f t="shared" si="135"/>
        <v/>
      </c>
      <c r="ET74" s="1108" t="str">
        <f t="shared" si="136"/>
        <v/>
      </c>
      <c r="EU74" s="1108">
        <f t="shared" si="137"/>
        <v>0</v>
      </c>
      <c r="EV74" s="1111" t="e">
        <f t="shared" si="138"/>
        <v>#VALUE!</v>
      </c>
      <c r="EW74" s="1111" t="e">
        <f t="shared" si="139"/>
        <v>#VALUE!</v>
      </c>
      <c r="EX74" s="1113" t="str">
        <f t="shared" si="168"/>
        <v/>
      </c>
      <c r="EY74" s="1114" t="e">
        <f t="shared" si="140"/>
        <v>#DIV/0!</v>
      </c>
      <c r="EZ74" s="1219" t="e">
        <f t="shared" si="141"/>
        <v>#DIV/0!</v>
      </c>
      <c r="FA74" s="1220" t="e">
        <f t="shared" si="142"/>
        <v>#DIV/0!</v>
      </c>
      <c r="FB74" s="1115" t="str">
        <f t="shared" si="143"/>
        <v/>
      </c>
      <c r="FC74" s="1116" t="str">
        <f t="shared" si="144"/>
        <v/>
      </c>
      <c r="FD74" s="1126">
        <f t="shared" si="145"/>
        <v>0</v>
      </c>
      <c r="FE74" s="1066">
        <f t="shared" si="146"/>
        <v>0</v>
      </c>
      <c r="FF74" s="969" t="b">
        <f t="shared" si="147"/>
        <v>0</v>
      </c>
      <c r="FG74" s="969" t="b">
        <f t="shared" si="148"/>
        <v>0</v>
      </c>
      <c r="FH74" s="969" t="b">
        <f t="shared" si="149"/>
        <v>0</v>
      </c>
      <c r="FI74" s="969" t="b">
        <f t="shared" si="150"/>
        <v>0</v>
      </c>
      <c r="FJ74" s="1161" t="str">
        <f t="shared" si="169"/>
        <v/>
      </c>
      <c r="FK74" s="1160"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31" t="str">
        <f t="shared" ca="1" si="186"/>
        <v/>
      </c>
    </row>
    <row r="75" spans="78:193" ht="12.6" hidden="1" customHeight="1" x14ac:dyDescent="0.2">
      <c r="BZ75" s="360"/>
      <c r="CA75" s="360"/>
      <c r="CB75" s="435" t="str">
        <f t="shared" ref="CB75:CB85" si="187">IF(CB35="","",CB35)</f>
        <v/>
      </c>
      <c r="CC75" s="436" t="str">
        <f>IF(CG35="","",VLOOKUP(CG35,SectInfo!$B:$N,12,FALSE))</f>
        <v/>
      </c>
      <c r="CD75" s="1172" t="str">
        <f>IF(ISBLANK(CZ35),IF(CG35="","",VLOOKUP(CG35,SectInfo!$B:$N,13,FALSE)),CZ35)</f>
        <v/>
      </c>
      <c r="CE75" s="437" t="str">
        <f>IF(CG35="","",IF(VLOOKUP(CG35,SectInfo!$B:$N,5,FALSE)="","R",UPPER(VLOOKUP(CG35,SectInfo!$B:$N,5,FALSE))))</f>
        <v/>
      </c>
      <c r="CF75" s="1172"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72" t="str">
        <f>IF(ISBLANK(DA35),IF(CN35="","",VLOOKUP(CN35,SectInfo!$B:$N,13,FALSE)),DA35)</f>
        <v/>
      </c>
      <c r="CN75" s="437" t="str">
        <f>IF(CN35="","",IF(VLOOKUP(CN35,SectInfo!$B:$N,5,FALSE)="","R",UPPER(VLOOKUP(CN35,SectInfo!$B:$N,5,FALSE))))</f>
        <v/>
      </c>
      <c r="CO75" s="1172"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9">
        <f t="shared" ref="CY75:CY85" si="190">RADIANS(ABS(CL35))</f>
        <v>0</v>
      </c>
      <c r="CZ75" s="1109">
        <f t="shared" si="97"/>
        <v>0</v>
      </c>
      <c r="DA75" s="1109" t="str">
        <f t="shared" si="98"/>
        <v/>
      </c>
      <c r="DB75" s="1125" t="str">
        <f t="shared" si="162"/>
        <v/>
      </c>
      <c r="DC75" s="1125" t="str">
        <f t="shared" si="99"/>
        <v/>
      </c>
      <c r="DD75" s="1110">
        <f t="shared" si="163"/>
        <v>0</v>
      </c>
      <c r="DE75" s="1108">
        <f t="shared" si="164"/>
        <v>0</v>
      </c>
      <c r="DF75" s="1109">
        <f t="shared" si="100"/>
        <v>0</v>
      </c>
      <c r="DG75" s="1109" t="str">
        <f t="shared" si="101"/>
        <v/>
      </c>
      <c r="DH75" s="1125" t="str">
        <f t="shared" si="165"/>
        <v/>
      </c>
      <c r="DI75" s="1125" t="str">
        <f t="shared" si="166"/>
        <v/>
      </c>
      <c r="DJ75" s="1110">
        <f t="shared" si="167"/>
        <v>0</v>
      </c>
      <c r="DK75" s="1108" t="str">
        <f t="shared" ref="DK75:DK85" si="191">IF(CV75="","",CEILING(CV75-DD75-DJ75-0.0625,0.125))</f>
        <v/>
      </c>
      <c r="DL75" s="1108" t="str">
        <f t="shared" ref="DL75:DL85" si="192">IF(AND(EG75="",CH75=""),"",IF(EG75="ERR","ERR",IF(ISNUMBER(EG75),(EG75/2)*-1,CH75)))</f>
        <v/>
      </c>
      <c r="DM75" s="1108" t="str">
        <f t="shared" si="104"/>
        <v/>
      </c>
      <c r="DN75" s="1108" t="str">
        <f t="shared" si="105"/>
        <v/>
      </c>
      <c r="DO75" s="1125" t="str">
        <f t="shared" si="106"/>
        <v>ERR</v>
      </c>
      <c r="DP75" s="1125" t="str">
        <f t="shared" si="107"/>
        <v>ERR</v>
      </c>
      <c r="DQ75" s="1108" t="str">
        <f t="shared" si="108"/>
        <v/>
      </c>
      <c r="DR75" s="1108" t="str">
        <f t="shared" si="108"/>
        <v/>
      </c>
      <c r="DS75" s="1108" t="str">
        <f t="shared" si="109"/>
        <v/>
      </c>
      <c r="DT75" s="1108" t="str">
        <f t="shared" si="110"/>
        <v/>
      </c>
      <c r="DU75" s="1108" t="str">
        <f t="shared" si="111"/>
        <v/>
      </c>
      <c r="DV75" s="1125" t="str">
        <f t="shared" si="112"/>
        <v>ERR</v>
      </c>
      <c r="DW75" s="1125" t="str">
        <f t="shared" si="113"/>
        <v>ERR</v>
      </c>
      <c r="DX75" s="1108" t="str">
        <f t="shared" ref="DX75:DX85" si="193">IF(ISERROR(DT75),"ERR",IF(DT75="","",IF(DV75="ERR","ERR",CEILING(DV75-0.0625,0.125))))</f>
        <v/>
      </c>
      <c r="DY75" s="1108" t="str">
        <f t="shared" ref="DY75:DY85" si="194">IF(ISERROR(DU75),"ERR",IF(DU75="","",IF(DW75="ERR","ERR",CEILING(DW75-0.0625,0.125))))</f>
        <v/>
      </c>
      <c r="DZ75" s="1108" t="str">
        <f t="shared" si="116"/>
        <v/>
      </c>
      <c r="EA75" s="1108" t="str">
        <f t="shared" si="117"/>
        <v/>
      </c>
      <c r="EB75" s="1111" t="str">
        <f t="shared" si="118"/>
        <v/>
      </c>
      <c r="EC75" s="1112" t="str">
        <f t="shared" ref="EC75:EC85" si="195">IF(AND(DR75="",DY75=""),"",IF(OR(CI75=EB75,CR75=EB75),EB75,CI75))</f>
        <v/>
      </c>
      <c r="ED75" s="1111" t="str">
        <f t="shared" si="120"/>
        <v/>
      </c>
      <c r="EE75" s="1111" t="str">
        <f t="shared" ref="EE75:EE85" si="196">(IF(CC75="B",MIN(CJ35:CK35),""))</f>
        <v/>
      </c>
      <c r="EF75" s="1111" t="str">
        <f t="shared" ref="EF75:EF85" si="197">(IF(CC75="B",MAX(CJ35:CK35),""))</f>
        <v/>
      </c>
      <c r="EG75" s="1111" t="str">
        <f t="shared" si="123"/>
        <v/>
      </c>
      <c r="EH75" s="1111" t="str">
        <f t="shared" ref="EH75:EH85" si="198">IF(CL75="B",MIN(CQ35:CR35),"")</f>
        <v/>
      </c>
      <c r="EI75" s="1111" t="str">
        <f t="shared" ref="EI75:EI85" si="199">IF(CL75="B",MAX(CQ35:CR35),"")</f>
        <v/>
      </c>
      <c r="EJ75" s="1111" t="str">
        <f t="shared" si="126"/>
        <v/>
      </c>
      <c r="EK75" s="1109">
        <f t="shared" ref="EK75:EK85" si="200">IF(CK75="",0,ATAN(CK75/12))</f>
        <v>0</v>
      </c>
      <c r="EL75" s="1109">
        <f t="shared" ref="EL75:EL85" si="201">CU75-EK75</f>
        <v>0</v>
      </c>
      <c r="EM75" s="1109">
        <f t="shared" ref="EM75:EM85" si="202">TAN(EL75)*12</f>
        <v>0</v>
      </c>
      <c r="EN75" s="1109" t="str">
        <f t="shared" si="130"/>
        <v/>
      </c>
      <c r="EO75" s="1108" t="str">
        <f t="shared" ref="EO75:EO85" si="203">IF(CF75="","",CF75*TAN(EK75))</f>
        <v/>
      </c>
      <c r="EP75" s="1109">
        <f t="shared" ref="EP75:EP85" si="204">IF(CT75="",0,ATAN(CT75/12))</f>
        <v>0</v>
      </c>
      <c r="EQ75" s="1109">
        <f t="shared" ref="EQ75:EQ85" si="205">CU75+EP75</f>
        <v>0</v>
      </c>
      <c r="ER75" s="1109">
        <f t="shared" ref="ER75:ER85" si="206">TAN(EQ75)*-12</f>
        <v>0</v>
      </c>
      <c r="ES75" s="1109" t="str">
        <f t="shared" si="135"/>
        <v/>
      </c>
      <c r="ET75" s="1108" t="str">
        <f t="shared" ref="ET75:ET85" si="207">IF(CO75="","",CO75*TAN(EP75))</f>
        <v/>
      </c>
      <c r="EU75" s="1108">
        <f t="shared" si="137"/>
        <v>0</v>
      </c>
      <c r="EV75" s="1111" t="e">
        <f t="shared" si="138"/>
        <v>#VALUE!</v>
      </c>
      <c r="EW75" s="1111" t="e">
        <f t="shared" si="139"/>
        <v>#VALUE!</v>
      </c>
      <c r="EX75" s="1113" t="str">
        <f t="shared" si="168"/>
        <v/>
      </c>
      <c r="EY75" s="1114" t="e">
        <f t="shared" ref="EY75:EY85" si="208">TRUNC(IF(FA75&lt;1.03,25.667,IF(FA75&lt;1.2,29.667,IF(FA75&lt;1.79,33.583,IF(FA75&lt;2.3,37.75,IF(FA75&lt;3.76,42,IF(FA75&lt;4.76,50.167,IF(FA75&lt;8.45,58.167,"ERR"))))))))</f>
        <v>#DIV/0!</v>
      </c>
      <c r="EZ75" s="1219" t="e">
        <f t="shared" si="141"/>
        <v>#DIV/0!</v>
      </c>
      <c r="FA75" s="1220" t="e">
        <f t="shared" si="142"/>
        <v>#DIV/0!</v>
      </c>
      <c r="FB75" s="1115" t="str">
        <f t="shared" si="143"/>
        <v/>
      </c>
      <c r="FC75" s="1116" t="str">
        <f t="shared" si="144"/>
        <v/>
      </c>
      <c r="FD75" s="1126">
        <f t="shared" si="145"/>
        <v>0</v>
      </c>
      <c r="FE75" s="1066">
        <f t="shared" si="146"/>
        <v>0</v>
      </c>
      <c r="FF75" s="969" t="b">
        <f t="shared" si="147"/>
        <v>0</v>
      </c>
      <c r="FG75" s="969" t="b">
        <f t="shared" si="148"/>
        <v>0</v>
      </c>
      <c r="FH75" s="969" t="b">
        <f t="shared" si="149"/>
        <v>0</v>
      </c>
      <c r="FI75" s="969" t="b">
        <f t="shared" si="150"/>
        <v>0</v>
      </c>
      <c r="FJ75" s="1161" t="str">
        <f t="shared" si="169"/>
        <v/>
      </c>
      <c r="FK75" s="1160"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31" t="str">
        <f t="shared" ca="1" si="186"/>
        <v/>
      </c>
    </row>
    <row r="76" spans="78:193" ht="12.6" hidden="1" customHeight="1" x14ac:dyDescent="0.2">
      <c r="BZ76" s="360"/>
      <c r="CA76" s="360"/>
      <c r="CB76" s="435" t="str">
        <f t="shared" si="187"/>
        <v/>
      </c>
      <c r="CC76" s="436" t="str">
        <f>IF(CG36="","",VLOOKUP(CG36,SectInfo!$B:$N,12,FALSE))</f>
        <v/>
      </c>
      <c r="CD76" s="1172" t="str">
        <f>IF(ISBLANK(CZ36),IF(CG36="","",VLOOKUP(CG36,SectInfo!$B:$N,13,FALSE)),CZ36)</f>
        <v/>
      </c>
      <c r="CE76" s="437" t="str">
        <f>IF(CG36="","",IF(VLOOKUP(CG36,SectInfo!$B:$N,5,FALSE)="","R",UPPER(VLOOKUP(CG36,SectInfo!$B:$N,5,FALSE))))</f>
        <v/>
      </c>
      <c r="CF76" s="1172"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72" t="str">
        <f>IF(ISBLANK(DA36),IF(CN36="","",VLOOKUP(CN36,SectInfo!$B:$N,13,FALSE)),DA36)</f>
        <v/>
      </c>
      <c r="CN76" s="437" t="str">
        <f>IF(CN36="","",IF(VLOOKUP(CN36,SectInfo!$B:$N,5,FALSE)="","R",UPPER(VLOOKUP(CN36,SectInfo!$B:$N,5,FALSE))))</f>
        <v/>
      </c>
      <c r="CO76" s="1172"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9">
        <f t="shared" si="190"/>
        <v>0</v>
      </c>
      <c r="CZ76" s="1109">
        <f t="shared" si="97"/>
        <v>0</v>
      </c>
      <c r="DA76" s="1109" t="str">
        <f t="shared" si="98"/>
        <v/>
      </c>
      <c r="DB76" s="1125" t="str">
        <f t="shared" si="162"/>
        <v/>
      </c>
      <c r="DC76" s="1125" t="str">
        <f t="shared" si="99"/>
        <v/>
      </c>
      <c r="DD76" s="1110">
        <f t="shared" si="163"/>
        <v>0</v>
      </c>
      <c r="DE76" s="1108">
        <f t="shared" si="164"/>
        <v>0</v>
      </c>
      <c r="DF76" s="1109">
        <f t="shared" si="100"/>
        <v>0</v>
      </c>
      <c r="DG76" s="1109" t="str">
        <f t="shared" si="101"/>
        <v/>
      </c>
      <c r="DH76" s="1125" t="str">
        <f t="shared" si="165"/>
        <v/>
      </c>
      <c r="DI76" s="1125" t="str">
        <f t="shared" si="166"/>
        <v/>
      </c>
      <c r="DJ76" s="1110">
        <f t="shared" si="167"/>
        <v>0</v>
      </c>
      <c r="DK76" s="1108" t="str">
        <f t="shared" si="191"/>
        <v/>
      </c>
      <c r="DL76" s="1108" t="str">
        <f t="shared" si="192"/>
        <v/>
      </c>
      <c r="DM76" s="1108" t="str">
        <f t="shared" si="104"/>
        <v/>
      </c>
      <c r="DN76" s="1108" t="str">
        <f t="shared" si="105"/>
        <v/>
      </c>
      <c r="DO76" s="1125" t="str">
        <f t="shared" si="106"/>
        <v>ERR</v>
      </c>
      <c r="DP76" s="1125" t="str">
        <f t="shared" si="107"/>
        <v>ERR</v>
      </c>
      <c r="DQ76" s="1108" t="str">
        <f t="shared" si="108"/>
        <v/>
      </c>
      <c r="DR76" s="1108" t="str">
        <f t="shared" si="108"/>
        <v/>
      </c>
      <c r="DS76" s="1108" t="str">
        <f t="shared" si="109"/>
        <v/>
      </c>
      <c r="DT76" s="1108" t="str">
        <f t="shared" si="110"/>
        <v/>
      </c>
      <c r="DU76" s="1108" t="str">
        <f t="shared" si="111"/>
        <v/>
      </c>
      <c r="DV76" s="1125" t="str">
        <f t="shared" si="112"/>
        <v>ERR</v>
      </c>
      <c r="DW76" s="1125" t="str">
        <f t="shared" si="113"/>
        <v>ERR</v>
      </c>
      <c r="DX76" s="1108" t="str">
        <f t="shared" si="193"/>
        <v/>
      </c>
      <c r="DY76" s="1108" t="str">
        <f t="shared" si="194"/>
        <v/>
      </c>
      <c r="DZ76" s="1108" t="str">
        <f t="shared" si="116"/>
        <v/>
      </c>
      <c r="EA76" s="1108" t="str">
        <f t="shared" si="117"/>
        <v/>
      </c>
      <c r="EB76" s="1111" t="str">
        <f t="shared" si="118"/>
        <v/>
      </c>
      <c r="EC76" s="1112" t="str">
        <f t="shared" si="195"/>
        <v/>
      </c>
      <c r="ED76" s="1111" t="str">
        <f t="shared" si="120"/>
        <v/>
      </c>
      <c r="EE76" s="1111" t="str">
        <f t="shared" si="196"/>
        <v/>
      </c>
      <c r="EF76" s="1111" t="str">
        <f t="shared" si="197"/>
        <v/>
      </c>
      <c r="EG76" s="1111" t="str">
        <f t="shared" si="123"/>
        <v/>
      </c>
      <c r="EH76" s="1111" t="str">
        <f t="shared" si="198"/>
        <v/>
      </c>
      <c r="EI76" s="1111" t="str">
        <f t="shared" si="199"/>
        <v/>
      </c>
      <c r="EJ76" s="1111" t="str">
        <f t="shared" si="126"/>
        <v/>
      </c>
      <c r="EK76" s="1109">
        <f t="shared" si="200"/>
        <v>0</v>
      </c>
      <c r="EL76" s="1109">
        <f t="shared" si="201"/>
        <v>0</v>
      </c>
      <c r="EM76" s="1109">
        <f t="shared" si="202"/>
        <v>0</v>
      </c>
      <c r="EN76" s="1109" t="str">
        <f t="shared" si="130"/>
        <v/>
      </c>
      <c r="EO76" s="1108" t="str">
        <f t="shared" si="203"/>
        <v/>
      </c>
      <c r="EP76" s="1109">
        <f t="shared" si="204"/>
        <v>0</v>
      </c>
      <c r="EQ76" s="1109">
        <f t="shared" si="205"/>
        <v>0</v>
      </c>
      <c r="ER76" s="1109">
        <f t="shared" si="206"/>
        <v>0</v>
      </c>
      <c r="ES76" s="1109" t="str">
        <f t="shared" si="135"/>
        <v/>
      </c>
      <c r="ET76" s="1108" t="str">
        <f t="shared" si="207"/>
        <v/>
      </c>
      <c r="EU76" s="1108">
        <f t="shared" si="137"/>
        <v>0</v>
      </c>
      <c r="EV76" s="1111" t="e">
        <f t="shared" si="138"/>
        <v>#VALUE!</v>
      </c>
      <c r="EW76" s="1111" t="e">
        <f t="shared" si="139"/>
        <v>#VALUE!</v>
      </c>
      <c r="EX76" s="1113" t="str">
        <f t="shared" si="168"/>
        <v/>
      </c>
      <c r="EY76" s="1114" t="e">
        <f t="shared" si="208"/>
        <v>#DIV/0!</v>
      </c>
      <c r="EZ76" s="1219" t="e">
        <f t="shared" si="141"/>
        <v>#DIV/0!</v>
      </c>
      <c r="FA76" s="1220" t="e">
        <f t="shared" si="142"/>
        <v>#DIV/0!</v>
      </c>
      <c r="FB76" s="1115" t="str">
        <f t="shared" si="143"/>
        <v/>
      </c>
      <c r="FC76" s="1116" t="str">
        <f t="shared" si="144"/>
        <v/>
      </c>
      <c r="FD76" s="1126">
        <f t="shared" si="145"/>
        <v>0</v>
      </c>
      <c r="FE76" s="1066">
        <f t="shared" si="146"/>
        <v>0</v>
      </c>
      <c r="FF76" s="969" t="b">
        <f t="shared" si="147"/>
        <v>0</v>
      </c>
      <c r="FG76" s="969" t="b">
        <f t="shared" si="148"/>
        <v>0</v>
      </c>
      <c r="FH76" s="969" t="b">
        <f t="shared" si="149"/>
        <v>0</v>
      </c>
      <c r="FI76" s="969" t="b">
        <f t="shared" si="150"/>
        <v>0</v>
      </c>
      <c r="FJ76" s="1161" t="str">
        <f t="shared" si="169"/>
        <v/>
      </c>
      <c r="FK76" s="1160"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31" t="str">
        <f t="shared" ca="1" si="186"/>
        <v/>
      </c>
    </row>
    <row r="77" spans="78:193" ht="12.6" hidden="1" customHeight="1" x14ac:dyDescent="0.2">
      <c r="BZ77" s="360"/>
      <c r="CA77" s="360"/>
      <c r="CB77" s="435" t="str">
        <f t="shared" si="187"/>
        <v/>
      </c>
      <c r="CC77" s="436" t="str">
        <f>IF(CG37="","",VLOOKUP(CG37,SectInfo!$B:$N,12,FALSE))</f>
        <v/>
      </c>
      <c r="CD77" s="1172" t="str">
        <f>IF(ISBLANK(CZ37),IF(CG37="","",VLOOKUP(CG37,SectInfo!$B:$N,13,FALSE)),CZ37)</f>
        <v/>
      </c>
      <c r="CE77" s="437" t="str">
        <f>IF(CG37="","",IF(VLOOKUP(CG37,SectInfo!$B:$N,5,FALSE)="","R",UPPER(VLOOKUP(CG37,SectInfo!$B:$N,5,FALSE))))</f>
        <v/>
      </c>
      <c r="CF77" s="1172"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72" t="str">
        <f>IF(ISBLANK(DA37),IF(CN37="","",VLOOKUP(CN37,SectInfo!$B:$N,13,FALSE)),DA37)</f>
        <v/>
      </c>
      <c r="CN77" s="437" t="str">
        <f>IF(CN37="","",IF(VLOOKUP(CN37,SectInfo!$B:$N,5,FALSE)="","R",UPPER(VLOOKUP(CN37,SectInfo!$B:$N,5,FALSE))))</f>
        <v/>
      </c>
      <c r="CO77" s="1172"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9">
        <f t="shared" si="190"/>
        <v>0</v>
      </c>
      <c r="CZ77" s="1109">
        <f t="shared" si="97"/>
        <v>0</v>
      </c>
      <c r="DA77" s="1109" t="str">
        <f t="shared" si="98"/>
        <v/>
      </c>
      <c r="DB77" s="1125" t="str">
        <f t="shared" si="162"/>
        <v/>
      </c>
      <c r="DC77" s="1125" t="str">
        <f t="shared" si="99"/>
        <v/>
      </c>
      <c r="DD77" s="1110">
        <f t="shared" si="163"/>
        <v>0</v>
      </c>
      <c r="DE77" s="1108">
        <f t="shared" si="164"/>
        <v>0</v>
      </c>
      <c r="DF77" s="1109">
        <f t="shared" si="100"/>
        <v>0</v>
      </c>
      <c r="DG77" s="1109" t="str">
        <f t="shared" si="101"/>
        <v/>
      </c>
      <c r="DH77" s="1125" t="str">
        <f t="shared" si="165"/>
        <v/>
      </c>
      <c r="DI77" s="1125" t="str">
        <f t="shared" si="166"/>
        <v/>
      </c>
      <c r="DJ77" s="1110">
        <f t="shared" si="167"/>
        <v>0</v>
      </c>
      <c r="DK77" s="1108" t="str">
        <f t="shared" si="191"/>
        <v/>
      </c>
      <c r="DL77" s="1108" t="str">
        <f t="shared" si="192"/>
        <v/>
      </c>
      <c r="DM77" s="1108" t="str">
        <f t="shared" si="104"/>
        <v/>
      </c>
      <c r="DN77" s="1108" t="str">
        <f t="shared" si="105"/>
        <v/>
      </c>
      <c r="DO77" s="1125" t="str">
        <f t="shared" si="106"/>
        <v>ERR</v>
      </c>
      <c r="DP77" s="1125" t="str">
        <f t="shared" si="107"/>
        <v>ERR</v>
      </c>
      <c r="DQ77" s="1108" t="str">
        <f t="shared" si="108"/>
        <v/>
      </c>
      <c r="DR77" s="1108" t="str">
        <f t="shared" si="108"/>
        <v/>
      </c>
      <c r="DS77" s="1108" t="str">
        <f t="shared" si="109"/>
        <v/>
      </c>
      <c r="DT77" s="1108" t="str">
        <f t="shared" si="110"/>
        <v/>
      </c>
      <c r="DU77" s="1108" t="str">
        <f t="shared" si="111"/>
        <v/>
      </c>
      <c r="DV77" s="1125" t="str">
        <f t="shared" si="112"/>
        <v>ERR</v>
      </c>
      <c r="DW77" s="1125" t="str">
        <f t="shared" si="113"/>
        <v>ERR</v>
      </c>
      <c r="DX77" s="1108" t="str">
        <f t="shared" si="193"/>
        <v/>
      </c>
      <c r="DY77" s="1108" t="str">
        <f t="shared" si="194"/>
        <v/>
      </c>
      <c r="DZ77" s="1108" t="str">
        <f t="shared" si="116"/>
        <v/>
      </c>
      <c r="EA77" s="1108" t="str">
        <f t="shared" si="117"/>
        <v/>
      </c>
      <c r="EB77" s="1111" t="str">
        <f t="shared" si="118"/>
        <v/>
      </c>
      <c r="EC77" s="1112" t="str">
        <f t="shared" si="195"/>
        <v/>
      </c>
      <c r="ED77" s="1111" t="str">
        <f t="shared" si="120"/>
        <v/>
      </c>
      <c r="EE77" s="1111" t="str">
        <f t="shared" si="196"/>
        <v/>
      </c>
      <c r="EF77" s="1111" t="str">
        <f t="shared" si="197"/>
        <v/>
      </c>
      <c r="EG77" s="1111" t="str">
        <f t="shared" si="123"/>
        <v/>
      </c>
      <c r="EH77" s="1111" t="str">
        <f t="shared" si="198"/>
        <v/>
      </c>
      <c r="EI77" s="1111" t="str">
        <f t="shared" si="199"/>
        <v/>
      </c>
      <c r="EJ77" s="1111" t="str">
        <f t="shared" si="126"/>
        <v/>
      </c>
      <c r="EK77" s="1109">
        <f t="shared" si="200"/>
        <v>0</v>
      </c>
      <c r="EL77" s="1109">
        <f t="shared" si="201"/>
        <v>0</v>
      </c>
      <c r="EM77" s="1109">
        <f t="shared" si="202"/>
        <v>0</v>
      </c>
      <c r="EN77" s="1109" t="str">
        <f t="shared" si="130"/>
        <v/>
      </c>
      <c r="EO77" s="1108" t="str">
        <f t="shared" si="203"/>
        <v/>
      </c>
      <c r="EP77" s="1109">
        <f t="shared" si="204"/>
        <v>0</v>
      </c>
      <c r="EQ77" s="1109">
        <f t="shared" si="205"/>
        <v>0</v>
      </c>
      <c r="ER77" s="1109">
        <f t="shared" si="206"/>
        <v>0</v>
      </c>
      <c r="ES77" s="1109" t="str">
        <f t="shared" si="135"/>
        <v/>
      </c>
      <c r="ET77" s="1108" t="str">
        <f t="shared" si="207"/>
        <v/>
      </c>
      <c r="EU77" s="1108">
        <f t="shared" si="137"/>
        <v>0</v>
      </c>
      <c r="EV77" s="1111" t="e">
        <f t="shared" si="138"/>
        <v>#VALUE!</v>
      </c>
      <c r="EW77" s="1111" t="e">
        <f t="shared" si="139"/>
        <v>#VALUE!</v>
      </c>
      <c r="EX77" s="1113" t="str">
        <f t="shared" si="168"/>
        <v/>
      </c>
      <c r="EY77" s="1114" t="e">
        <f t="shared" si="208"/>
        <v>#DIV/0!</v>
      </c>
      <c r="EZ77" s="1219" t="e">
        <f t="shared" si="141"/>
        <v>#DIV/0!</v>
      </c>
      <c r="FA77" s="1220" t="e">
        <f t="shared" si="142"/>
        <v>#DIV/0!</v>
      </c>
      <c r="FB77" s="1115" t="str">
        <f t="shared" si="143"/>
        <v/>
      </c>
      <c r="FC77" s="1116" t="str">
        <f t="shared" si="144"/>
        <v/>
      </c>
      <c r="FD77" s="1126">
        <f t="shared" si="145"/>
        <v>0</v>
      </c>
      <c r="FE77" s="1066">
        <f t="shared" si="146"/>
        <v>0</v>
      </c>
      <c r="FF77" s="969" t="b">
        <f t="shared" si="147"/>
        <v>0</v>
      </c>
      <c r="FG77" s="969" t="b">
        <f t="shared" si="148"/>
        <v>0</v>
      </c>
      <c r="FH77" s="969" t="b">
        <f t="shared" si="149"/>
        <v>0</v>
      </c>
      <c r="FI77" s="969" t="b">
        <f t="shared" si="150"/>
        <v>0</v>
      </c>
      <c r="FJ77" s="1161" t="str">
        <f t="shared" si="169"/>
        <v/>
      </c>
      <c r="FK77" s="1160"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31" t="str">
        <f t="shared" ca="1" si="186"/>
        <v/>
      </c>
    </row>
    <row r="78" spans="78:193" ht="12.6" hidden="1" customHeight="1" x14ac:dyDescent="0.2">
      <c r="BZ78" s="360"/>
      <c r="CA78" s="360"/>
      <c r="CB78" s="435" t="str">
        <f t="shared" si="187"/>
        <v/>
      </c>
      <c r="CC78" s="436" t="str">
        <f>IF(CG38="","",VLOOKUP(CG38,SectInfo!$B:$N,12,FALSE))</f>
        <v/>
      </c>
      <c r="CD78" s="1172" t="str">
        <f>IF(ISBLANK(CZ38),IF(CG38="","",VLOOKUP(CG38,SectInfo!$B:$N,13,FALSE)),CZ38)</f>
        <v/>
      </c>
      <c r="CE78" s="437" t="str">
        <f>IF(CG38="","",IF(VLOOKUP(CG38,SectInfo!$B:$N,5,FALSE)="","R",UPPER(VLOOKUP(CG38,SectInfo!$B:$N,5,FALSE))))</f>
        <v/>
      </c>
      <c r="CF78" s="1172"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72" t="str">
        <f>IF(ISBLANK(DA38),IF(CN38="","",VLOOKUP(CN38,SectInfo!$B:$N,13,FALSE)),DA38)</f>
        <v/>
      </c>
      <c r="CN78" s="437" t="str">
        <f>IF(CN38="","",IF(VLOOKUP(CN38,SectInfo!$B:$N,5,FALSE)="","R",UPPER(VLOOKUP(CN38,SectInfo!$B:$N,5,FALSE))))</f>
        <v/>
      </c>
      <c r="CO78" s="1172"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9">
        <f t="shared" si="190"/>
        <v>0</v>
      </c>
      <c r="CZ78" s="1109">
        <f t="shared" si="97"/>
        <v>0</v>
      </c>
      <c r="DA78" s="1109" t="str">
        <f t="shared" si="98"/>
        <v/>
      </c>
      <c r="DB78" s="1125" t="str">
        <f t="shared" si="162"/>
        <v/>
      </c>
      <c r="DC78" s="1125" t="str">
        <f t="shared" si="99"/>
        <v/>
      </c>
      <c r="DD78" s="1110">
        <f t="shared" si="163"/>
        <v>0</v>
      </c>
      <c r="DE78" s="1108">
        <f t="shared" si="164"/>
        <v>0</v>
      </c>
      <c r="DF78" s="1109">
        <f t="shared" si="100"/>
        <v>0</v>
      </c>
      <c r="DG78" s="1109" t="str">
        <f t="shared" si="101"/>
        <v/>
      </c>
      <c r="DH78" s="1125" t="str">
        <f t="shared" si="165"/>
        <v/>
      </c>
      <c r="DI78" s="1125" t="str">
        <f t="shared" si="166"/>
        <v/>
      </c>
      <c r="DJ78" s="1110">
        <f t="shared" si="167"/>
        <v>0</v>
      </c>
      <c r="DK78" s="1108" t="str">
        <f t="shared" si="191"/>
        <v/>
      </c>
      <c r="DL78" s="1108" t="str">
        <f t="shared" si="192"/>
        <v/>
      </c>
      <c r="DM78" s="1108" t="str">
        <f t="shared" si="104"/>
        <v/>
      </c>
      <c r="DN78" s="1108" t="str">
        <f t="shared" si="105"/>
        <v/>
      </c>
      <c r="DO78" s="1125" t="str">
        <f t="shared" si="106"/>
        <v>ERR</v>
      </c>
      <c r="DP78" s="1125" t="str">
        <f t="shared" si="107"/>
        <v>ERR</v>
      </c>
      <c r="DQ78" s="1108" t="str">
        <f t="shared" si="108"/>
        <v/>
      </c>
      <c r="DR78" s="1108" t="str">
        <f t="shared" si="108"/>
        <v/>
      </c>
      <c r="DS78" s="1108" t="str">
        <f t="shared" si="109"/>
        <v/>
      </c>
      <c r="DT78" s="1108" t="str">
        <f t="shared" si="110"/>
        <v/>
      </c>
      <c r="DU78" s="1108" t="str">
        <f t="shared" si="111"/>
        <v/>
      </c>
      <c r="DV78" s="1125" t="str">
        <f t="shared" si="112"/>
        <v>ERR</v>
      </c>
      <c r="DW78" s="1125" t="str">
        <f t="shared" si="113"/>
        <v>ERR</v>
      </c>
      <c r="DX78" s="1108" t="str">
        <f t="shared" si="193"/>
        <v/>
      </c>
      <c r="DY78" s="1108" t="str">
        <f t="shared" si="194"/>
        <v/>
      </c>
      <c r="DZ78" s="1108" t="str">
        <f t="shared" si="116"/>
        <v/>
      </c>
      <c r="EA78" s="1108" t="str">
        <f t="shared" si="117"/>
        <v/>
      </c>
      <c r="EB78" s="1111" t="str">
        <f t="shared" si="118"/>
        <v/>
      </c>
      <c r="EC78" s="1112" t="str">
        <f t="shared" si="195"/>
        <v/>
      </c>
      <c r="ED78" s="1111" t="str">
        <f t="shared" si="120"/>
        <v/>
      </c>
      <c r="EE78" s="1111" t="str">
        <f t="shared" si="196"/>
        <v/>
      </c>
      <c r="EF78" s="1111" t="str">
        <f t="shared" si="197"/>
        <v/>
      </c>
      <c r="EG78" s="1111" t="str">
        <f t="shared" si="123"/>
        <v/>
      </c>
      <c r="EH78" s="1111" t="str">
        <f t="shared" si="198"/>
        <v/>
      </c>
      <c r="EI78" s="1111" t="str">
        <f t="shared" si="199"/>
        <v/>
      </c>
      <c r="EJ78" s="1111" t="str">
        <f t="shared" si="126"/>
        <v/>
      </c>
      <c r="EK78" s="1109">
        <f t="shared" si="200"/>
        <v>0</v>
      </c>
      <c r="EL78" s="1109">
        <f t="shared" si="201"/>
        <v>0</v>
      </c>
      <c r="EM78" s="1109">
        <f t="shared" si="202"/>
        <v>0</v>
      </c>
      <c r="EN78" s="1109" t="str">
        <f t="shared" si="130"/>
        <v/>
      </c>
      <c r="EO78" s="1108" t="str">
        <f t="shared" si="203"/>
        <v/>
      </c>
      <c r="EP78" s="1109">
        <f t="shared" si="204"/>
        <v>0</v>
      </c>
      <c r="EQ78" s="1109">
        <f t="shared" si="205"/>
        <v>0</v>
      </c>
      <c r="ER78" s="1109">
        <f t="shared" si="206"/>
        <v>0</v>
      </c>
      <c r="ES78" s="1109" t="str">
        <f t="shared" si="135"/>
        <v/>
      </c>
      <c r="ET78" s="1108" t="str">
        <f t="shared" si="207"/>
        <v/>
      </c>
      <c r="EU78" s="1108">
        <f t="shared" si="137"/>
        <v>0</v>
      </c>
      <c r="EV78" s="1111" t="e">
        <f t="shared" si="138"/>
        <v>#VALUE!</v>
      </c>
      <c r="EW78" s="1111" t="e">
        <f t="shared" si="139"/>
        <v>#VALUE!</v>
      </c>
      <c r="EX78" s="1113" t="str">
        <f t="shared" si="168"/>
        <v/>
      </c>
      <c r="EY78" s="1114" t="e">
        <f t="shared" si="208"/>
        <v>#DIV/0!</v>
      </c>
      <c r="EZ78" s="1219" t="e">
        <f t="shared" si="141"/>
        <v>#DIV/0!</v>
      </c>
      <c r="FA78" s="1220" t="e">
        <f t="shared" si="142"/>
        <v>#DIV/0!</v>
      </c>
      <c r="FB78" s="1115" t="str">
        <f t="shared" si="143"/>
        <v/>
      </c>
      <c r="FC78" s="1116" t="str">
        <f t="shared" si="144"/>
        <v/>
      </c>
      <c r="FD78" s="1126">
        <f t="shared" si="145"/>
        <v>0</v>
      </c>
      <c r="FE78" s="1066">
        <f t="shared" si="146"/>
        <v>0</v>
      </c>
      <c r="FF78" s="969" t="b">
        <f t="shared" si="147"/>
        <v>0</v>
      </c>
      <c r="FG78" s="969" t="b">
        <f t="shared" si="148"/>
        <v>0</v>
      </c>
      <c r="FH78" s="969" t="b">
        <f t="shared" si="149"/>
        <v>0</v>
      </c>
      <c r="FI78" s="969" t="b">
        <f t="shared" si="150"/>
        <v>0</v>
      </c>
      <c r="FJ78" s="1161" t="str">
        <f t="shared" si="169"/>
        <v/>
      </c>
      <c r="FK78" s="1160"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31" t="str">
        <f t="shared" ca="1" si="186"/>
        <v/>
      </c>
    </row>
    <row r="79" spans="78:193" ht="12.6" hidden="1" customHeight="1" x14ac:dyDescent="0.2">
      <c r="BZ79" s="360"/>
      <c r="CA79" s="360"/>
      <c r="CB79" s="435" t="str">
        <f t="shared" si="187"/>
        <v/>
      </c>
      <c r="CC79" s="436" t="str">
        <f>IF(CG39="","",VLOOKUP(CG39,SectInfo!$B:$N,12,FALSE))</f>
        <v/>
      </c>
      <c r="CD79" s="1172" t="str">
        <f>IF(ISBLANK(CZ39),IF(CG39="","",VLOOKUP(CG39,SectInfo!$B:$N,13,FALSE)),CZ39)</f>
        <v/>
      </c>
      <c r="CE79" s="437" t="str">
        <f>IF(CG39="","",IF(VLOOKUP(CG39,SectInfo!$B:$N,5,FALSE)="","R",UPPER(VLOOKUP(CG39,SectInfo!$B:$N,5,FALSE))))</f>
        <v/>
      </c>
      <c r="CF79" s="1172"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72" t="str">
        <f>IF(ISBLANK(DA39),IF(CN39="","",VLOOKUP(CN39,SectInfo!$B:$N,13,FALSE)),DA39)</f>
        <v/>
      </c>
      <c r="CN79" s="437" t="str">
        <f>IF(CN39="","",IF(VLOOKUP(CN39,SectInfo!$B:$N,5,FALSE)="","R",UPPER(VLOOKUP(CN39,SectInfo!$B:$N,5,FALSE))))</f>
        <v/>
      </c>
      <c r="CO79" s="1172"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9">
        <f t="shared" si="190"/>
        <v>0</v>
      </c>
      <c r="CZ79" s="1109">
        <f t="shared" si="97"/>
        <v>0</v>
      </c>
      <c r="DA79" s="1109" t="str">
        <f t="shared" si="98"/>
        <v/>
      </c>
      <c r="DB79" s="1125" t="str">
        <f t="shared" si="162"/>
        <v/>
      </c>
      <c r="DC79" s="1125" t="str">
        <f t="shared" si="99"/>
        <v/>
      </c>
      <c r="DD79" s="1110">
        <f t="shared" si="163"/>
        <v>0</v>
      </c>
      <c r="DE79" s="1108">
        <f t="shared" si="164"/>
        <v>0</v>
      </c>
      <c r="DF79" s="1109">
        <f t="shared" si="100"/>
        <v>0</v>
      </c>
      <c r="DG79" s="1109" t="str">
        <f t="shared" si="101"/>
        <v/>
      </c>
      <c r="DH79" s="1125" t="str">
        <f t="shared" si="165"/>
        <v/>
      </c>
      <c r="DI79" s="1125" t="str">
        <f t="shared" si="166"/>
        <v/>
      </c>
      <c r="DJ79" s="1110">
        <f t="shared" si="167"/>
        <v>0</v>
      </c>
      <c r="DK79" s="1108" t="str">
        <f t="shared" si="191"/>
        <v/>
      </c>
      <c r="DL79" s="1108" t="str">
        <f t="shared" si="192"/>
        <v/>
      </c>
      <c r="DM79" s="1108" t="str">
        <f t="shared" si="104"/>
        <v/>
      </c>
      <c r="DN79" s="1108" t="str">
        <f t="shared" si="105"/>
        <v/>
      </c>
      <c r="DO79" s="1125" t="str">
        <f t="shared" si="106"/>
        <v>ERR</v>
      </c>
      <c r="DP79" s="1125" t="str">
        <f t="shared" si="107"/>
        <v>ERR</v>
      </c>
      <c r="DQ79" s="1108" t="str">
        <f t="shared" si="108"/>
        <v/>
      </c>
      <c r="DR79" s="1108" t="str">
        <f t="shared" si="108"/>
        <v/>
      </c>
      <c r="DS79" s="1108" t="str">
        <f t="shared" si="109"/>
        <v/>
      </c>
      <c r="DT79" s="1108" t="str">
        <f t="shared" si="110"/>
        <v/>
      </c>
      <c r="DU79" s="1108" t="str">
        <f t="shared" si="111"/>
        <v/>
      </c>
      <c r="DV79" s="1125" t="str">
        <f t="shared" si="112"/>
        <v>ERR</v>
      </c>
      <c r="DW79" s="1125" t="str">
        <f t="shared" si="113"/>
        <v>ERR</v>
      </c>
      <c r="DX79" s="1108" t="str">
        <f t="shared" si="193"/>
        <v/>
      </c>
      <c r="DY79" s="1108" t="str">
        <f t="shared" si="194"/>
        <v/>
      </c>
      <c r="DZ79" s="1108" t="str">
        <f t="shared" si="116"/>
        <v/>
      </c>
      <c r="EA79" s="1108" t="str">
        <f t="shared" si="117"/>
        <v/>
      </c>
      <c r="EB79" s="1111" t="str">
        <f t="shared" si="118"/>
        <v/>
      </c>
      <c r="EC79" s="1112" t="str">
        <f t="shared" si="195"/>
        <v/>
      </c>
      <c r="ED79" s="1111" t="str">
        <f t="shared" si="120"/>
        <v/>
      </c>
      <c r="EE79" s="1111" t="str">
        <f t="shared" si="196"/>
        <v/>
      </c>
      <c r="EF79" s="1111" t="str">
        <f t="shared" si="197"/>
        <v/>
      </c>
      <c r="EG79" s="1111" t="str">
        <f t="shared" si="123"/>
        <v/>
      </c>
      <c r="EH79" s="1111" t="str">
        <f t="shared" si="198"/>
        <v/>
      </c>
      <c r="EI79" s="1111" t="str">
        <f t="shared" si="199"/>
        <v/>
      </c>
      <c r="EJ79" s="1111" t="str">
        <f t="shared" si="126"/>
        <v/>
      </c>
      <c r="EK79" s="1109">
        <f t="shared" si="200"/>
        <v>0</v>
      </c>
      <c r="EL79" s="1109">
        <f t="shared" si="201"/>
        <v>0</v>
      </c>
      <c r="EM79" s="1109">
        <f t="shared" si="202"/>
        <v>0</v>
      </c>
      <c r="EN79" s="1109" t="str">
        <f t="shared" si="130"/>
        <v/>
      </c>
      <c r="EO79" s="1108" t="str">
        <f t="shared" si="203"/>
        <v/>
      </c>
      <c r="EP79" s="1109">
        <f t="shared" si="204"/>
        <v>0</v>
      </c>
      <c r="EQ79" s="1109">
        <f t="shared" si="205"/>
        <v>0</v>
      </c>
      <c r="ER79" s="1109">
        <f t="shared" si="206"/>
        <v>0</v>
      </c>
      <c r="ES79" s="1109" t="str">
        <f t="shared" si="135"/>
        <v/>
      </c>
      <c r="ET79" s="1108" t="str">
        <f t="shared" si="207"/>
        <v/>
      </c>
      <c r="EU79" s="1108">
        <f t="shared" si="137"/>
        <v>0</v>
      </c>
      <c r="EV79" s="1111" t="e">
        <f t="shared" si="138"/>
        <v>#VALUE!</v>
      </c>
      <c r="EW79" s="1111" t="e">
        <f t="shared" si="139"/>
        <v>#VALUE!</v>
      </c>
      <c r="EX79" s="1113" t="str">
        <f t="shared" si="168"/>
        <v/>
      </c>
      <c r="EY79" s="1114" t="e">
        <f t="shared" si="208"/>
        <v>#DIV/0!</v>
      </c>
      <c r="EZ79" s="1219" t="e">
        <f t="shared" si="141"/>
        <v>#DIV/0!</v>
      </c>
      <c r="FA79" s="1220" t="e">
        <f t="shared" si="142"/>
        <v>#DIV/0!</v>
      </c>
      <c r="FB79" s="1115" t="str">
        <f t="shared" si="143"/>
        <v/>
      </c>
      <c r="FC79" s="1116" t="str">
        <f t="shared" si="144"/>
        <v/>
      </c>
      <c r="FD79" s="1126">
        <f t="shared" si="145"/>
        <v>0</v>
      </c>
      <c r="FE79" s="1066">
        <f t="shared" si="146"/>
        <v>0</v>
      </c>
      <c r="FF79" s="969" t="b">
        <f t="shared" si="147"/>
        <v>0</v>
      </c>
      <c r="FG79" s="969" t="b">
        <f t="shared" si="148"/>
        <v>0</v>
      </c>
      <c r="FH79" s="969" t="b">
        <f t="shared" si="149"/>
        <v>0</v>
      </c>
      <c r="FI79" s="969" t="b">
        <f t="shared" si="150"/>
        <v>0</v>
      </c>
      <c r="FJ79" s="1161" t="str">
        <f t="shared" si="169"/>
        <v/>
      </c>
      <c r="FK79" s="1160"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31" t="str">
        <f t="shared" ca="1" si="186"/>
        <v/>
      </c>
    </row>
    <row r="80" spans="78:193" ht="12.6" hidden="1" customHeight="1" x14ac:dyDescent="0.2">
      <c r="BZ80" s="360"/>
      <c r="CA80" s="360"/>
      <c r="CB80" s="435" t="str">
        <f t="shared" si="187"/>
        <v/>
      </c>
      <c r="CC80" s="436" t="str">
        <f>IF(CG40="","",VLOOKUP(CG40,SectInfo!$B:$N,12,FALSE))</f>
        <v/>
      </c>
      <c r="CD80" s="1172" t="str">
        <f>IF(ISBLANK(CZ40),IF(CG40="","",VLOOKUP(CG40,SectInfo!$B:$N,13,FALSE)),CZ40)</f>
        <v/>
      </c>
      <c r="CE80" s="437" t="str">
        <f>IF(CG40="","",IF(VLOOKUP(CG40,SectInfo!$B:$N,5,FALSE)="","R",UPPER(VLOOKUP(CG40,SectInfo!$B:$N,5,FALSE))))</f>
        <v/>
      </c>
      <c r="CF80" s="1172"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72" t="str">
        <f>IF(ISBLANK(DA40),IF(CN40="","",VLOOKUP(CN40,SectInfo!$B:$N,13,FALSE)),DA40)</f>
        <v/>
      </c>
      <c r="CN80" s="437" t="str">
        <f>IF(CN40="","",IF(VLOOKUP(CN40,SectInfo!$B:$N,5,FALSE)="","R",UPPER(VLOOKUP(CN40,SectInfo!$B:$N,5,FALSE))))</f>
        <v/>
      </c>
      <c r="CO80" s="1172"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9">
        <f t="shared" si="190"/>
        <v>0</v>
      </c>
      <c r="CZ80" s="1109">
        <f t="shared" si="97"/>
        <v>0</v>
      </c>
      <c r="DA80" s="1109" t="str">
        <f t="shared" si="98"/>
        <v/>
      </c>
      <c r="DB80" s="1125" t="str">
        <f t="shared" si="162"/>
        <v/>
      </c>
      <c r="DC80" s="1125" t="str">
        <f t="shared" si="99"/>
        <v/>
      </c>
      <c r="DD80" s="1110">
        <f t="shared" si="163"/>
        <v>0</v>
      </c>
      <c r="DE80" s="1108">
        <f t="shared" si="164"/>
        <v>0</v>
      </c>
      <c r="DF80" s="1109">
        <f t="shared" si="100"/>
        <v>0</v>
      </c>
      <c r="DG80" s="1109" t="str">
        <f t="shared" si="101"/>
        <v/>
      </c>
      <c r="DH80" s="1125" t="str">
        <f t="shared" si="165"/>
        <v/>
      </c>
      <c r="DI80" s="1125" t="str">
        <f t="shared" si="166"/>
        <v/>
      </c>
      <c r="DJ80" s="1110">
        <f t="shared" si="167"/>
        <v>0</v>
      </c>
      <c r="DK80" s="1108" t="str">
        <f t="shared" si="191"/>
        <v/>
      </c>
      <c r="DL80" s="1108" t="str">
        <f t="shared" si="192"/>
        <v/>
      </c>
      <c r="DM80" s="1108" t="str">
        <f t="shared" si="104"/>
        <v/>
      </c>
      <c r="DN80" s="1108" t="str">
        <f t="shared" si="105"/>
        <v/>
      </c>
      <c r="DO80" s="1125" t="str">
        <f t="shared" si="106"/>
        <v>ERR</v>
      </c>
      <c r="DP80" s="1125" t="str">
        <f t="shared" si="107"/>
        <v>ERR</v>
      </c>
      <c r="DQ80" s="1108" t="str">
        <f t="shared" si="108"/>
        <v/>
      </c>
      <c r="DR80" s="1108" t="str">
        <f t="shared" si="108"/>
        <v/>
      </c>
      <c r="DS80" s="1108" t="str">
        <f t="shared" si="109"/>
        <v/>
      </c>
      <c r="DT80" s="1108" t="str">
        <f t="shared" si="110"/>
        <v/>
      </c>
      <c r="DU80" s="1108" t="str">
        <f t="shared" si="111"/>
        <v/>
      </c>
      <c r="DV80" s="1125" t="str">
        <f t="shared" si="112"/>
        <v>ERR</v>
      </c>
      <c r="DW80" s="1125" t="str">
        <f t="shared" si="113"/>
        <v>ERR</v>
      </c>
      <c r="DX80" s="1108" t="str">
        <f t="shared" si="193"/>
        <v/>
      </c>
      <c r="DY80" s="1108" t="str">
        <f t="shared" si="194"/>
        <v/>
      </c>
      <c r="DZ80" s="1108" t="str">
        <f t="shared" si="116"/>
        <v/>
      </c>
      <c r="EA80" s="1108" t="str">
        <f t="shared" si="117"/>
        <v/>
      </c>
      <c r="EB80" s="1111" t="str">
        <f t="shared" si="118"/>
        <v/>
      </c>
      <c r="EC80" s="1112" t="str">
        <f t="shared" si="195"/>
        <v/>
      </c>
      <c r="ED80" s="1111" t="str">
        <f t="shared" si="120"/>
        <v/>
      </c>
      <c r="EE80" s="1111" t="str">
        <f t="shared" si="196"/>
        <v/>
      </c>
      <c r="EF80" s="1111" t="str">
        <f t="shared" si="197"/>
        <v/>
      </c>
      <c r="EG80" s="1111" t="str">
        <f t="shared" si="123"/>
        <v/>
      </c>
      <c r="EH80" s="1111" t="str">
        <f t="shared" si="198"/>
        <v/>
      </c>
      <c r="EI80" s="1111" t="str">
        <f t="shared" si="199"/>
        <v/>
      </c>
      <c r="EJ80" s="1111" t="str">
        <f t="shared" si="126"/>
        <v/>
      </c>
      <c r="EK80" s="1109">
        <f t="shared" si="200"/>
        <v>0</v>
      </c>
      <c r="EL80" s="1109">
        <f t="shared" si="201"/>
        <v>0</v>
      </c>
      <c r="EM80" s="1109">
        <f t="shared" si="202"/>
        <v>0</v>
      </c>
      <c r="EN80" s="1109" t="str">
        <f t="shared" si="130"/>
        <v/>
      </c>
      <c r="EO80" s="1108" t="str">
        <f t="shared" si="203"/>
        <v/>
      </c>
      <c r="EP80" s="1109">
        <f t="shared" si="204"/>
        <v>0</v>
      </c>
      <c r="EQ80" s="1109">
        <f t="shared" si="205"/>
        <v>0</v>
      </c>
      <c r="ER80" s="1109">
        <f t="shared" si="206"/>
        <v>0</v>
      </c>
      <c r="ES80" s="1109" t="str">
        <f t="shared" si="135"/>
        <v/>
      </c>
      <c r="ET80" s="1108" t="str">
        <f t="shared" si="207"/>
        <v/>
      </c>
      <c r="EU80" s="1108">
        <f t="shared" si="137"/>
        <v>0</v>
      </c>
      <c r="EV80" s="1111" t="e">
        <f t="shared" si="138"/>
        <v>#VALUE!</v>
      </c>
      <c r="EW80" s="1111" t="e">
        <f t="shared" si="139"/>
        <v>#VALUE!</v>
      </c>
      <c r="EX80" s="1113" t="str">
        <f t="shared" si="168"/>
        <v/>
      </c>
      <c r="EY80" s="1114" t="e">
        <f t="shared" si="208"/>
        <v>#DIV/0!</v>
      </c>
      <c r="EZ80" s="1219" t="e">
        <f t="shared" si="141"/>
        <v>#DIV/0!</v>
      </c>
      <c r="FA80" s="1220" t="e">
        <f t="shared" si="142"/>
        <v>#DIV/0!</v>
      </c>
      <c r="FB80" s="1115" t="str">
        <f t="shared" si="143"/>
        <v/>
      </c>
      <c r="FC80" s="1116" t="str">
        <f t="shared" si="144"/>
        <v/>
      </c>
      <c r="FD80" s="1126">
        <f t="shared" si="145"/>
        <v>0</v>
      </c>
      <c r="FE80" s="1066">
        <f t="shared" si="146"/>
        <v>0</v>
      </c>
      <c r="FF80" s="969" t="b">
        <f t="shared" si="147"/>
        <v>0</v>
      </c>
      <c r="FG80" s="969" t="b">
        <f t="shared" si="148"/>
        <v>0</v>
      </c>
      <c r="FH80" s="969" t="b">
        <f t="shared" si="149"/>
        <v>0</v>
      </c>
      <c r="FI80" s="969" t="b">
        <f t="shared" si="150"/>
        <v>0</v>
      </c>
      <c r="FJ80" s="1161" t="str">
        <f t="shared" si="169"/>
        <v/>
      </c>
      <c r="FK80" s="1160"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31" t="str">
        <f t="shared" ca="1" si="186"/>
        <v/>
      </c>
    </row>
    <row r="81" spans="1:193" ht="12.6" hidden="1" customHeight="1" x14ac:dyDescent="0.2">
      <c r="BZ81" s="360"/>
      <c r="CA81" s="360"/>
      <c r="CB81" s="435" t="str">
        <f t="shared" si="187"/>
        <v/>
      </c>
      <c r="CC81" s="436" t="str">
        <f>IF(CG41="","",VLOOKUP(CG41,SectInfo!$B:$N,12,FALSE))</f>
        <v/>
      </c>
      <c r="CD81" s="1172" t="str">
        <f>IF(ISBLANK(CZ41),IF(CG41="","",VLOOKUP(CG41,SectInfo!$B:$N,13,FALSE)),CZ41)</f>
        <v/>
      </c>
      <c r="CE81" s="437" t="str">
        <f>IF(CG41="","",IF(VLOOKUP(CG41,SectInfo!$B:$N,5,FALSE)="","R",UPPER(VLOOKUP(CG41,SectInfo!$B:$N,5,FALSE))))</f>
        <v/>
      </c>
      <c r="CF81" s="1172"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72" t="str">
        <f>IF(ISBLANK(DA41),IF(CN41="","",VLOOKUP(CN41,SectInfo!$B:$N,13,FALSE)),DA41)</f>
        <v/>
      </c>
      <c r="CN81" s="437" t="str">
        <f>IF(CN41="","",IF(VLOOKUP(CN41,SectInfo!$B:$N,5,FALSE)="","R",UPPER(VLOOKUP(CN41,SectInfo!$B:$N,5,FALSE))))</f>
        <v/>
      </c>
      <c r="CO81" s="1172"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9">
        <f t="shared" si="190"/>
        <v>0</v>
      </c>
      <c r="CZ81" s="1109">
        <f t="shared" si="97"/>
        <v>0</v>
      </c>
      <c r="DA81" s="1109" t="str">
        <f t="shared" si="98"/>
        <v/>
      </c>
      <c r="DB81" s="1125" t="str">
        <f t="shared" si="162"/>
        <v/>
      </c>
      <c r="DC81" s="1125" t="str">
        <f t="shared" si="99"/>
        <v/>
      </c>
      <c r="DD81" s="1110">
        <f t="shared" si="163"/>
        <v>0</v>
      </c>
      <c r="DE81" s="1108">
        <f t="shared" si="164"/>
        <v>0</v>
      </c>
      <c r="DF81" s="1109">
        <f t="shared" si="100"/>
        <v>0</v>
      </c>
      <c r="DG81" s="1109" t="str">
        <f t="shared" si="101"/>
        <v/>
      </c>
      <c r="DH81" s="1125" t="str">
        <f t="shared" si="165"/>
        <v/>
      </c>
      <c r="DI81" s="1125" t="str">
        <f t="shared" si="166"/>
        <v/>
      </c>
      <c r="DJ81" s="1110">
        <f t="shared" si="167"/>
        <v>0</v>
      </c>
      <c r="DK81" s="1108" t="str">
        <f t="shared" si="191"/>
        <v/>
      </c>
      <c r="DL81" s="1108" t="str">
        <f t="shared" si="192"/>
        <v/>
      </c>
      <c r="DM81" s="1108" t="str">
        <f t="shared" si="104"/>
        <v/>
      </c>
      <c r="DN81" s="1108" t="str">
        <f t="shared" si="105"/>
        <v/>
      </c>
      <c r="DO81" s="1125" t="str">
        <f t="shared" si="106"/>
        <v>ERR</v>
      </c>
      <c r="DP81" s="1125" t="str">
        <f t="shared" si="107"/>
        <v>ERR</v>
      </c>
      <c r="DQ81" s="1108" t="str">
        <f t="shared" si="108"/>
        <v/>
      </c>
      <c r="DR81" s="1108" t="str">
        <f t="shared" si="108"/>
        <v/>
      </c>
      <c r="DS81" s="1108" t="str">
        <f t="shared" si="109"/>
        <v/>
      </c>
      <c r="DT81" s="1108" t="str">
        <f t="shared" si="110"/>
        <v/>
      </c>
      <c r="DU81" s="1108" t="str">
        <f t="shared" si="111"/>
        <v/>
      </c>
      <c r="DV81" s="1125" t="str">
        <f t="shared" si="112"/>
        <v>ERR</v>
      </c>
      <c r="DW81" s="1125" t="str">
        <f t="shared" si="113"/>
        <v>ERR</v>
      </c>
      <c r="DX81" s="1108" t="str">
        <f t="shared" si="193"/>
        <v/>
      </c>
      <c r="DY81" s="1108" t="str">
        <f t="shared" si="194"/>
        <v/>
      </c>
      <c r="DZ81" s="1108" t="str">
        <f t="shared" si="116"/>
        <v/>
      </c>
      <c r="EA81" s="1108" t="str">
        <f t="shared" si="117"/>
        <v/>
      </c>
      <c r="EB81" s="1111" t="str">
        <f t="shared" si="118"/>
        <v/>
      </c>
      <c r="EC81" s="1112" t="str">
        <f t="shared" si="195"/>
        <v/>
      </c>
      <c r="ED81" s="1111" t="str">
        <f t="shared" si="120"/>
        <v/>
      </c>
      <c r="EE81" s="1111" t="str">
        <f t="shared" si="196"/>
        <v/>
      </c>
      <c r="EF81" s="1111" t="str">
        <f t="shared" si="197"/>
        <v/>
      </c>
      <c r="EG81" s="1111" t="str">
        <f t="shared" si="123"/>
        <v/>
      </c>
      <c r="EH81" s="1111" t="str">
        <f t="shared" si="198"/>
        <v/>
      </c>
      <c r="EI81" s="1111" t="str">
        <f t="shared" si="199"/>
        <v/>
      </c>
      <c r="EJ81" s="1111" t="str">
        <f t="shared" si="126"/>
        <v/>
      </c>
      <c r="EK81" s="1109">
        <f t="shared" si="200"/>
        <v>0</v>
      </c>
      <c r="EL81" s="1109">
        <f t="shared" si="201"/>
        <v>0</v>
      </c>
      <c r="EM81" s="1109">
        <f t="shared" si="202"/>
        <v>0</v>
      </c>
      <c r="EN81" s="1109" t="str">
        <f t="shared" si="130"/>
        <v/>
      </c>
      <c r="EO81" s="1108" t="str">
        <f t="shared" si="203"/>
        <v/>
      </c>
      <c r="EP81" s="1109">
        <f t="shared" si="204"/>
        <v>0</v>
      </c>
      <c r="EQ81" s="1109">
        <f t="shared" si="205"/>
        <v>0</v>
      </c>
      <c r="ER81" s="1109">
        <f t="shared" si="206"/>
        <v>0</v>
      </c>
      <c r="ES81" s="1109" t="str">
        <f t="shared" si="135"/>
        <v/>
      </c>
      <c r="ET81" s="1108" t="str">
        <f t="shared" si="207"/>
        <v/>
      </c>
      <c r="EU81" s="1108">
        <f t="shared" si="137"/>
        <v>0</v>
      </c>
      <c r="EV81" s="1111" t="e">
        <f t="shared" si="138"/>
        <v>#VALUE!</v>
      </c>
      <c r="EW81" s="1111" t="e">
        <f t="shared" si="139"/>
        <v>#VALUE!</v>
      </c>
      <c r="EX81" s="1113" t="str">
        <f t="shared" si="168"/>
        <v/>
      </c>
      <c r="EY81" s="1114" t="e">
        <f t="shared" si="208"/>
        <v>#DIV/0!</v>
      </c>
      <c r="EZ81" s="1219" t="e">
        <f t="shared" si="141"/>
        <v>#DIV/0!</v>
      </c>
      <c r="FA81" s="1220" t="e">
        <f t="shared" si="142"/>
        <v>#DIV/0!</v>
      </c>
      <c r="FB81" s="1115" t="str">
        <f t="shared" si="143"/>
        <v/>
      </c>
      <c r="FC81" s="1116" t="str">
        <f t="shared" si="144"/>
        <v/>
      </c>
      <c r="FD81" s="1126">
        <f t="shared" si="145"/>
        <v>0</v>
      </c>
      <c r="FE81" s="1066">
        <f t="shared" si="146"/>
        <v>0</v>
      </c>
      <c r="FF81" s="969" t="b">
        <f t="shared" si="147"/>
        <v>0</v>
      </c>
      <c r="FG81" s="969" t="b">
        <f t="shared" si="148"/>
        <v>0</v>
      </c>
      <c r="FH81" s="969" t="b">
        <f t="shared" si="149"/>
        <v>0</v>
      </c>
      <c r="FI81" s="969" t="b">
        <f t="shared" si="150"/>
        <v>0</v>
      </c>
      <c r="FJ81" s="1161" t="str">
        <f t="shared" si="169"/>
        <v/>
      </c>
      <c r="FK81" s="1160"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31" t="str">
        <f t="shared" ca="1" si="186"/>
        <v/>
      </c>
    </row>
    <row r="82" spans="1:193" ht="12.6" hidden="1" customHeight="1" x14ac:dyDescent="0.2">
      <c r="BZ82" s="360"/>
      <c r="CA82" s="360"/>
      <c r="CB82" s="435" t="str">
        <f t="shared" si="187"/>
        <v/>
      </c>
      <c r="CC82" s="436" t="str">
        <f>IF(CG42="","",VLOOKUP(CG42,SectInfo!$B:$N,12,FALSE))</f>
        <v/>
      </c>
      <c r="CD82" s="1172" t="str">
        <f>IF(ISBLANK(CZ42),IF(CG42="","",VLOOKUP(CG42,SectInfo!$B:$N,13,FALSE)),CZ42)</f>
        <v/>
      </c>
      <c r="CE82" s="437" t="str">
        <f>IF(CG42="","",IF(VLOOKUP(CG42,SectInfo!$B:$N,5,FALSE)="","R",UPPER(VLOOKUP(CG42,SectInfo!$B:$N,5,FALSE))))</f>
        <v/>
      </c>
      <c r="CF82" s="1172"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72" t="str">
        <f>IF(ISBLANK(DA42),IF(CN42="","",VLOOKUP(CN42,SectInfo!$B:$N,13,FALSE)),DA42)</f>
        <v/>
      </c>
      <c r="CN82" s="437" t="str">
        <f>IF(CN42="","",IF(VLOOKUP(CN42,SectInfo!$B:$N,5,FALSE)="","R",UPPER(VLOOKUP(CN42,SectInfo!$B:$N,5,FALSE))))</f>
        <v/>
      </c>
      <c r="CO82" s="1172"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9">
        <f t="shared" si="190"/>
        <v>0</v>
      </c>
      <c r="CZ82" s="1109">
        <f t="shared" si="97"/>
        <v>0</v>
      </c>
      <c r="DA82" s="1109" t="str">
        <f t="shared" si="98"/>
        <v/>
      </c>
      <c r="DB82" s="1125" t="str">
        <f t="shared" si="162"/>
        <v/>
      </c>
      <c r="DC82" s="1125" t="str">
        <f t="shared" si="99"/>
        <v/>
      </c>
      <c r="DD82" s="1110">
        <f t="shared" si="163"/>
        <v>0</v>
      </c>
      <c r="DE82" s="1108">
        <f t="shared" si="164"/>
        <v>0</v>
      </c>
      <c r="DF82" s="1109">
        <f t="shared" si="100"/>
        <v>0</v>
      </c>
      <c r="DG82" s="1109" t="str">
        <f t="shared" si="101"/>
        <v/>
      </c>
      <c r="DH82" s="1125" t="str">
        <f t="shared" si="165"/>
        <v/>
      </c>
      <c r="DI82" s="1125" t="str">
        <f t="shared" si="166"/>
        <v/>
      </c>
      <c r="DJ82" s="1110">
        <f t="shared" si="167"/>
        <v>0</v>
      </c>
      <c r="DK82" s="1108" t="str">
        <f t="shared" si="191"/>
        <v/>
      </c>
      <c r="DL82" s="1108" t="str">
        <f t="shared" si="192"/>
        <v/>
      </c>
      <c r="DM82" s="1108" t="str">
        <f t="shared" si="104"/>
        <v/>
      </c>
      <c r="DN82" s="1108" t="str">
        <f t="shared" si="105"/>
        <v/>
      </c>
      <c r="DO82" s="1125" t="str">
        <f t="shared" si="106"/>
        <v>ERR</v>
      </c>
      <c r="DP82" s="1125" t="str">
        <f t="shared" si="107"/>
        <v>ERR</v>
      </c>
      <c r="DQ82" s="1108" t="str">
        <f t="shared" si="108"/>
        <v/>
      </c>
      <c r="DR82" s="1108" t="str">
        <f t="shared" si="108"/>
        <v/>
      </c>
      <c r="DS82" s="1108" t="str">
        <f t="shared" si="109"/>
        <v/>
      </c>
      <c r="DT82" s="1108" t="str">
        <f t="shared" si="110"/>
        <v/>
      </c>
      <c r="DU82" s="1108" t="str">
        <f t="shared" si="111"/>
        <v/>
      </c>
      <c r="DV82" s="1125" t="str">
        <f t="shared" si="112"/>
        <v>ERR</v>
      </c>
      <c r="DW82" s="1125" t="str">
        <f t="shared" si="113"/>
        <v>ERR</v>
      </c>
      <c r="DX82" s="1108" t="str">
        <f t="shared" si="193"/>
        <v/>
      </c>
      <c r="DY82" s="1108" t="str">
        <f t="shared" si="194"/>
        <v/>
      </c>
      <c r="DZ82" s="1108" t="str">
        <f t="shared" si="116"/>
        <v/>
      </c>
      <c r="EA82" s="1108" t="str">
        <f t="shared" si="117"/>
        <v/>
      </c>
      <c r="EB82" s="1111" t="str">
        <f t="shared" si="118"/>
        <v/>
      </c>
      <c r="EC82" s="1112" t="str">
        <f t="shared" si="195"/>
        <v/>
      </c>
      <c r="ED82" s="1111" t="str">
        <f t="shared" si="120"/>
        <v/>
      </c>
      <c r="EE82" s="1111" t="str">
        <f t="shared" si="196"/>
        <v/>
      </c>
      <c r="EF82" s="1111" t="str">
        <f t="shared" si="197"/>
        <v/>
      </c>
      <c r="EG82" s="1111" t="str">
        <f t="shared" si="123"/>
        <v/>
      </c>
      <c r="EH82" s="1111" t="str">
        <f t="shared" si="198"/>
        <v/>
      </c>
      <c r="EI82" s="1111" t="str">
        <f t="shared" si="199"/>
        <v/>
      </c>
      <c r="EJ82" s="1111" t="str">
        <f t="shared" si="126"/>
        <v/>
      </c>
      <c r="EK82" s="1109">
        <f t="shared" si="200"/>
        <v>0</v>
      </c>
      <c r="EL82" s="1109">
        <f t="shared" si="201"/>
        <v>0</v>
      </c>
      <c r="EM82" s="1109">
        <f t="shared" si="202"/>
        <v>0</v>
      </c>
      <c r="EN82" s="1109" t="str">
        <f t="shared" si="130"/>
        <v/>
      </c>
      <c r="EO82" s="1108" t="str">
        <f t="shared" si="203"/>
        <v/>
      </c>
      <c r="EP82" s="1109">
        <f t="shared" si="204"/>
        <v>0</v>
      </c>
      <c r="EQ82" s="1109">
        <f t="shared" si="205"/>
        <v>0</v>
      </c>
      <c r="ER82" s="1109">
        <f t="shared" si="206"/>
        <v>0</v>
      </c>
      <c r="ES82" s="1109" t="str">
        <f t="shared" si="135"/>
        <v/>
      </c>
      <c r="ET82" s="1108" t="str">
        <f t="shared" si="207"/>
        <v/>
      </c>
      <c r="EU82" s="1108">
        <f t="shared" si="137"/>
        <v>0</v>
      </c>
      <c r="EV82" s="1111" t="e">
        <f t="shared" si="138"/>
        <v>#VALUE!</v>
      </c>
      <c r="EW82" s="1111" t="e">
        <f t="shared" si="139"/>
        <v>#VALUE!</v>
      </c>
      <c r="EX82" s="1113" t="str">
        <f t="shared" si="168"/>
        <v/>
      </c>
      <c r="EY82" s="1114" t="e">
        <f t="shared" si="208"/>
        <v>#DIV/0!</v>
      </c>
      <c r="EZ82" s="1219" t="e">
        <f t="shared" si="141"/>
        <v>#DIV/0!</v>
      </c>
      <c r="FA82" s="1220" t="e">
        <f t="shared" si="142"/>
        <v>#DIV/0!</v>
      </c>
      <c r="FB82" s="1115" t="str">
        <f t="shared" si="143"/>
        <v/>
      </c>
      <c r="FC82" s="1116" t="str">
        <f t="shared" si="144"/>
        <v/>
      </c>
      <c r="FD82" s="1126">
        <f t="shared" si="145"/>
        <v>0</v>
      </c>
      <c r="FE82" s="1066">
        <f t="shared" si="146"/>
        <v>0</v>
      </c>
      <c r="FF82" s="969" t="b">
        <f t="shared" si="147"/>
        <v>0</v>
      </c>
      <c r="FG82" s="969" t="b">
        <f t="shared" si="148"/>
        <v>0</v>
      </c>
      <c r="FH82" s="969" t="b">
        <f t="shared" si="149"/>
        <v>0</v>
      </c>
      <c r="FI82" s="969" t="b">
        <f t="shared" si="150"/>
        <v>0</v>
      </c>
      <c r="FJ82" s="1161" t="str">
        <f t="shared" si="169"/>
        <v/>
      </c>
      <c r="FK82" s="1160"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31" t="str">
        <f t="shared" ca="1" si="186"/>
        <v/>
      </c>
    </row>
    <row r="83" spans="1:193" ht="12.6" hidden="1" customHeight="1" x14ac:dyDescent="0.2">
      <c r="BZ83" s="360"/>
      <c r="CA83" s="360"/>
      <c r="CB83" s="435" t="str">
        <f t="shared" si="187"/>
        <v/>
      </c>
      <c r="CC83" s="436" t="str">
        <f>IF(CG43="","",VLOOKUP(CG43,SectInfo!$B:$N,12,FALSE))</f>
        <v/>
      </c>
      <c r="CD83" s="1172" t="str">
        <f>IF(ISBLANK(CZ43),IF(CG43="","",VLOOKUP(CG43,SectInfo!$B:$N,13,FALSE)),CZ43)</f>
        <v/>
      </c>
      <c r="CE83" s="437" t="str">
        <f>IF(CG43="","",IF(VLOOKUP(CG43,SectInfo!$B:$N,5,FALSE)="","R",UPPER(VLOOKUP(CG43,SectInfo!$B:$N,5,FALSE))))</f>
        <v/>
      </c>
      <c r="CF83" s="1172"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72" t="str">
        <f>IF(ISBLANK(DA43),IF(CN43="","",VLOOKUP(CN43,SectInfo!$B:$N,13,FALSE)),DA43)</f>
        <v/>
      </c>
      <c r="CN83" s="437" t="str">
        <f>IF(CN43="","",IF(VLOOKUP(CN43,SectInfo!$B:$N,5,FALSE)="","R",UPPER(VLOOKUP(CN43,SectInfo!$B:$N,5,FALSE))))</f>
        <v/>
      </c>
      <c r="CO83" s="1172"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9">
        <f t="shared" si="190"/>
        <v>0</v>
      </c>
      <c r="CZ83" s="1109">
        <f t="shared" si="97"/>
        <v>0</v>
      </c>
      <c r="DA83" s="1109" t="str">
        <f t="shared" si="98"/>
        <v/>
      </c>
      <c r="DB83" s="1125" t="str">
        <f t="shared" si="162"/>
        <v/>
      </c>
      <c r="DC83" s="1125" t="str">
        <f t="shared" si="99"/>
        <v/>
      </c>
      <c r="DD83" s="1110">
        <f t="shared" si="163"/>
        <v>0</v>
      </c>
      <c r="DE83" s="1108">
        <f t="shared" si="164"/>
        <v>0</v>
      </c>
      <c r="DF83" s="1109">
        <f t="shared" si="100"/>
        <v>0</v>
      </c>
      <c r="DG83" s="1109" t="str">
        <f t="shared" si="101"/>
        <v/>
      </c>
      <c r="DH83" s="1125" t="str">
        <f t="shared" si="165"/>
        <v/>
      </c>
      <c r="DI83" s="1125" t="str">
        <f t="shared" si="166"/>
        <v/>
      </c>
      <c r="DJ83" s="1110">
        <f t="shared" si="167"/>
        <v>0</v>
      </c>
      <c r="DK83" s="1108" t="str">
        <f t="shared" si="191"/>
        <v/>
      </c>
      <c r="DL83" s="1108" t="str">
        <f t="shared" si="192"/>
        <v/>
      </c>
      <c r="DM83" s="1108" t="str">
        <f t="shared" si="104"/>
        <v/>
      </c>
      <c r="DN83" s="1108" t="str">
        <f t="shared" si="105"/>
        <v/>
      </c>
      <c r="DO83" s="1125" t="str">
        <f t="shared" si="106"/>
        <v>ERR</v>
      </c>
      <c r="DP83" s="1125" t="str">
        <f t="shared" si="107"/>
        <v>ERR</v>
      </c>
      <c r="DQ83" s="1108" t="str">
        <f t="shared" si="108"/>
        <v/>
      </c>
      <c r="DR83" s="1108" t="str">
        <f t="shared" si="108"/>
        <v/>
      </c>
      <c r="DS83" s="1108" t="str">
        <f t="shared" si="109"/>
        <v/>
      </c>
      <c r="DT83" s="1108" t="str">
        <f t="shared" si="110"/>
        <v/>
      </c>
      <c r="DU83" s="1108" t="str">
        <f t="shared" si="111"/>
        <v/>
      </c>
      <c r="DV83" s="1125" t="str">
        <f t="shared" si="112"/>
        <v>ERR</v>
      </c>
      <c r="DW83" s="1125" t="str">
        <f t="shared" si="113"/>
        <v>ERR</v>
      </c>
      <c r="DX83" s="1108" t="str">
        <f t="shared" si="193"/>
        <v/>
      </c>
      <c r="DY83" s="1108" t="str">
        <f t="shared" si="194"/>
        <v/>
      </c>
      <c r="DZ83" s="1108" t="str">
        <f t="shared" si="116"/>
        <v/>
      </c>
      <c r="EA83" s="1108" t="str">
        <f t="shared" si="117"/>
        <v/>
      </c>
      <c r="EB83" s="1111" t="str">
        <f t="shared" si="118"/>
        <v/>
      </c>
      <c r="EC83" s="1112" t="str">
        <f t="shared" si="195"/>
        <v/>
      </c>
      <c r="ED83" s="1111" t="str">
        <f t="shared" si="120"/>
        <v/>
      </c>
      <c r="EE83" s="1111" t="str">
        <f t="shared" si="196"/>
        <v/>
      </c>
      <c r="EF83" s="1111" t="str">
        <f t="shared" si="197"/>
        <v/>
      </c>
      <c r="EG83" s="1111" t="str">
        <f t="shared" si="123"/>
        <v/>
      </c>
      <c r="EH83" s="1111" t="str">
        <f t="shared" si="198"/>
        <v/>
      </c>
      <c r="EI83" s="1111" t="str">
        <f t="shared" si="199"/>
        <v/>
      </c>
      <c r="EJ83" s="1111" t="str">
        <f t="shared" si="126"/>
        <v/>
      </c>
      <c r="EK83" s="1109">
        <f t="shared" si="200"/>
        <v>0</v>
      </c>
      <c r="EL83" s="1109">
        <f t="shared" si="201"/>
        <v>0</v>
      </c>
      <c r="EM83" s="1109">
        <f t="shared" si="202"/>
        <v>0</v>
      </c>
      <c r="EN83" s="1109" t="str">
        <f t="shared" si="130"/>
        <v/>
      </c>
      <c r="EO83" s="1108" t="str">
        <f t="shared" si="203"/>
        <v/>
      </c>
      <c r="EP83" s="1109">
        <f t="shared" si="204"/>
        <v>0</v>
      </c>
      <c r="EQ83" s="1109">
        <f t="shared" si="205"/>
        <v>0</v>
      </c>
      <c r="ER83" s="1109">
        <f t="shared" si="206"/>
        <v>0</v>
      </c>
      <c r="ES83" s="1109" t="str">
        <f t="shared" si="135"/>
        <v/>
      </c>
      <c r="ET83" s="1108" t="str">
        <f t="shared" si="207"/>
        <v/>
      </c>
      <c r="EU83" s="1108">
        <f t="shared" si="137"/>
        <v>0</v>
      </c>
      <c r="EV83" s="1111" t="e">
        <f t="shared" si="138"/>
        <v>#VALUE!</v>
      </c>
      <c r="EW83" s="1111" t="e">
        <f t="shared" si="139"/>
        <v>#VALUE!</v>
      </c>
      <c r="EX83" s="1113" t="str">
        <f t="shared" si="168"/>
        <v/>
      </c>
      <c r="EY83" s="1114" t="e">
        <f t="shared" si="208"/>
        <v>#DIV/0!</v>
      </c>
      <c r="EZ83" s="1219" t="e">
        <f t="shared" si="141"/>
        <v>#DIV/0!</v>
      </c>
      <c r="FA83" s="1220" t="e">
        <f t="shared" si="142"/>
        <v>#DIV/0!</v>
      </c>
      <c r="FB83" s="1115" t="str">
        <f t="shared" si="143"/>
        <v/>
      </c>
      <c r="FC83" s="1116" t="str">
        <f t="shared" si="144"/>
        <v/>
      </c>
      <c r="FD83" s="1126">
        <f t="shared" si="145"/>
        <v>0</v>
      </c>
      <c r="FE83" s="1066">
        <f t="shared" si="146"/>
        <v>0</v>
      </c>
      <c r="FF83" s="969" t="b">
        <f t="shared" si="147"/>
        <v>0</v>
      </c>
      <c r="FG83" s="969" t="b">
        <f t="shared" si="148"/>
        <v>0</v>
      </c>
      <c r="FH83" s="969" t="b">
        <f t="shared" si="149"/>
        <v>0</v>
      </c>
      <c r="FI83" s="969" t="b">
        <f t="shared" si="150"/>
        <v>0</v>
      </c>
      <c r="FJ83" s="1161" t="str">
        <f t="shared" si="169"/>
        <v/>
      </c>
      <c r="FK83" s="1160"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31" t="str">
        <f t="shared" ca="1" si="186"/>
        <v/>
      </c>
    </row>
    <row r="84" spans="1:193" ht="12.6" hidden="1" customHeight="1" x14ac:dyDescent="0.2">
      <c r="BZ84" s="360"/>
      <c r="CA84" s="360"/>
      <c r="CB84" s="435" t="str">
        <f t="shared" si="187"/>
        <v/>
      </c>
      <c r="CC84" s="436" t="str">
        <f>IF(CG44="","",VLOOKUP(CG44,SectInfo!$B:$N,12,FALSE))</f>
        <v/>
      </c>
      <c r="CD84" s="1172" t="str">
        <f>IF(ISBLANK(CZ44),IF(CG44="","",VLOOKUP(CG44,SectInfo!$B:$N,13,FALSE)),CZ44)</f>
        <v/>
      </c>
      <c r="CE84" s="437" t="str">
        <f>IF(CG44="","",IF(VLOOKUP(CG44,SectInfo!$B:$N,5,FALSE)="","R",UPPER(VLOOKUP(CG44,SectInfo!$B:$N,5,FALSE))))</f>
        <v/>
      </c>
      <c r="CF84" s="1172"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72" t="str">
        <f>IF(ISBLANK(DA44),IF(CN44="","",VLOOKUP(CN44,SectInfo!$B:$N,13,FALSE)),DA44)</f>
        <v/>
      </c>
      <c r="CN84" s="437" t="str">
        <f>IF(CN44="","",IF(VLOOKUP(CN44,SectInfo!$B:$N,5,FALSE)="","R",UPPER(VLOOKUP(CN44,SectInfo!$B:$N,5,FALSE))))</f>
        <v/>
      </c>
      <c r="CO84" s="1172"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9">
        <f t="shared" si="190"/>
        <v>0</v>
      </c>
      <c r="CZ84" s="1109">
        <f t="shared" si="97"/>
        <v>0</v>
      </c>
      <c r="DA84" s="1109" t="str">
        <f t="shared" si="98"/>
        <v/>
      </c>
      <c r="DB84" s="1125" t="str">
        <f t="shared" si="162"/>
        <v/>
      </c>
      <c r="DC84" s="1125" t="str">
        <f t="shared" si="99"/>
        <v/>
      </c>
      <c r="DD84" s="1110">
        <f t="shared" si="163"/>
        <v>0</v>
      </c>
      <c r="DE84" s="1108">
        <f t="shared" si="164"/>
        <v>0</v>
      </c>
      <c r="DF84" s="1109">
        <f t="shared" si="100"/>
        <v>0</v>
      </c>
      <c r="DG84" s="1109" t="str">
        <f t="shared" si="101"/>
        <v/>
      </c>
      <c r="DH84" s="1125" t="str">
        <f t="shared" si="165"/>
        <v/>
      </c>
      <c r="DI84" s="1125" t="str">
        <f t="shared" si="166"/>
        <v/>
      </c>
      <c r="DJ84" s="1110">
        <f t="shared" si="167"/>
        <v>0</v>
      </c>
      <c r="DK84" s="1108" t="str">
        <f t="shared" si="191"/>
        <v/>
      </c>
      <c r="DL84" s="1108" t="str">
        <f t="shared" si="192"/>
        <v/>
      </c>
      <c r="DM84" s="1108" t="str">
        <f t="shared" si="104"/>
        <v/>
      </c>
      <c r="DN84" s="1108" t="str">
        <f t="shared" si="105"/>
        <v/>
      </c>
      <c r="DO84" s="1125" t="str">
        <f t="shared" si="106"/>
        <v>ERR</v>
      </c>
      <c r="DP84" s="1125" t="str">
        <f t="shared" si="107"/>
        <v>ERR</v>
      </c>
      <c r="DQ84" s="1108" t="str">
        <f t="shared" si="108"/>
        <v/>
      </c>
      <c r="DR84" s="1108" t="str">
        <f t="shared" si="108"/>
        <v/>
      </c>
      <c r="DS84" s="1108" t="str">
        <f t="shared" si="109"/>
        <v/>
      </c>
      <c r="DT84" s="1108" t="str">
        <f t="shared" si="110"/>
        <v/>
      </c>
      <c r="DU84" s="1108" t="str">
        <f t="shared" si="111"/>
        <v/>
      </c>
      <c r="DV84" s="1125" t="str">
        <f t="shared" si="112"/>
        <v>ERR</v>
      </c>
      <c r="DW84" s="1125" t="str">
        <f t="shared" si="113"/>
        <v>ERR</v>
      </c>
      <c r="DX84" s="1108" t="str">
        <f t="shared" si="193"/>
        <v/>
      </c>
      <c r="DY84" s="1108" t="str">
        <f t="shared" si="194"/>
        <v/>
      </c>
      <c r="DZ84" s="1108" t="str">
        <f t="shared" si="116"/>
        <v/>
      </c>
      <c r="EA84" s="1108" t="str">
        <f t="shared" si="117"/>
        <v/>
      </c>
      <c r="EB84" s="1111" t="str">
        <f t="shared" si="118"/>
        <v/>
      </c>
      <c r="EC84" s="1112" t="str">
        <f t="shared" si="195"/>
        <v/>
      </c>
      <c r="ED84" s="1111" t="str">
        <f t="shared" si="120"/>
        <v/>
      </c>
      <c r="EE84" s="1111" t="str">
        <f t="shared" si="196"/>
        <v/>
      </c>
      <c r="EF84" s="1111" t="str">
        <f t="shared" si="197"/>
        <v/>
      </c>
      <c r="EG84" s="1111" t="str">
        <f t="shared" si="123"/>
        <v/>
      </c>
      <c r="EH84" s="1111" t="str">
        <f t="shared" si="198"/>
        <v/>
      </c>
      <c r="EI84" s="1111" t="str">
        <f t="shared" si="199"/>
        <v/>
      </c>
      <c r="EJ84" s="1111" t="str">
        <f t="shared" si="126"/>
        <v/>
      </c>
      <c r="EK84" s="1109">
        <f t="shared" si="200"/>
        <v>0</v>
      </c>
      <c r="EL84" s="1109">
        <f t="shared" si="201"/>
        <v>0</v>
      </c>
      <c r="EM84" s="1109">
        <f t="shared" si="202"/>
        <v>0</v>
      </c>
      <c r="EN84" s="1109" t="str">
        <f t="shared" si="130"/>
        <v/>
      </c>
      <c r="EO84" s="1108" t="str">
        <f t="shared" si="203"/>
        <v/>
      </c>
      <c r="EP84" s="1109">
        <f t="shared" si="204"/>
        <v>0</v>
      </c>
      <c r="EQ84" s="1109">
        <f t="shared" si="205"/>
        <v>0</v>
      </c>
      <c r="ER84" s="1109">
        <f t="shared" si="206"/>
        <v>0</v>
      </c>
      <c r="ES84" s="1109" t="str">
        <f t="shared" si="135"/>
        <v/>
      </c>
      <c r="ET84" s="1108" t="str">
        <f t="shared" si="207"/>
        <v/>
      </c>
      <c r="EU84" s="1108">
        <f t="shared" si="137"/>
        <v>0</v>
      </c>
      <c r="EV84" s="1111" t="e">
        <f t="shared" si="138"/>
        <v>#VALUE!</v>
      </c>
      <c r="EW84" s="1111" t="e">
        <f t="shared" si="139"/>
        <v>#VALUE!</v>
      </c>
      <c r="EX84" s="1113" t="str">
        <f t="shared" si="168"/>
        <v/>
      </c>
      <c r="EY84" s="1114" t="e">
        <f t="shared" si="208"/>
        <v>#DIV/0!</v>
      </c>
      <c r="EZ84" s="1219" t="e">
        <f t="shared" si="141"/>
        <v>#DIV/0!</v>
      </c>
      <c r="FA84" s="1220" t="e">
        <f t="shared" si="142"/>
        <v>#DIV/0!</v>
      </c>
      <c r="FB84" s="1115" t="str">
        <f t="shared" si="143"/>
        <v/>
      </c>
      <c r="FC84" s="1116" t="str">
        <f t="shared" si="144"/>
        <v/>
      </c>
      <c r="FD84" s="1126">
        <f t="shared" si="145"/>
        <v>0</v>
      </c>
      <c r="FE84" s="1066">
        <f t="shared" si="146"/>
        <v>0</v>
      </c>
      <c r="FF84" s="969" t="b">
        <f t="shared" si="147"/>
        <v>0</v>
      </c>
      <c r="FG84" s="969" t="b">
        <f t="shared" si="148"/>
        <v>0</v>
      </c>
      <c r="FH84" s="969" t="b">
        <f t="shared" si="149"/>
        <v>0</v>
      </c>
      <c r="FI84" s="969" t="b">
        <f t="shared" si="150"/>
        <v>0</v>
      </c>
      <c r="FJ84" s="1161" t="str">
        <f t="shared" si="169"/>
        <v/>
      </c>
      <c r="FK84" s="1160"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31" t="str">
        <f t="shared" ca="1" si="186"/>
        <v/>
      </c>
    </row>
    <row r="85" spans="1:193" ht="12.6" hidden="1" customHeight="1" thickBot="1" x14ac:dyDescent="0.25">
      <c r="BZ85" s="360"/>
      <c r="CA85" s="360"/>
      <c r="CB85" s="435" t="str">
        <f t="shared" si="187"/>
        <v/>
      </c>
      <c r="CC85" s="436" t="str">
        <f>IF(CG45="","",VLOOKUP(CG45,SectInfo!$B:$N,12,FALSE))</f>
        <v/>
      </c>
      <c r="CD85" s="1172" t="str">
        <f>IF(ISBLANK(CZ45),IF(CG45="","",VLOOKUP(CG45,SectInfo!$B:$N,13,FALSE)),CZ45)</f>
        <v/>
      </c>
      <c r="CE85" s="437" t="str">
        <f>IF(CG45="","",IF(VLOOKUP(CG45,SectInfo!$B:$N,5,FALSE)="","R",UPPER(VLOOKUP(CG45,SectInfo!$B:$N,5,FALSE))))</f>
        <v/>
      </c>
      <c r="CF85" s="1172"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72" t="str">
        <f>IF(ISBLANK(DA45),IF(CN45="","",VLOOKUP(CN45,SectInfo!$B:$N,13,FALSE)),DA45)</f>
        <v/>
      </c>
      <c r="CN85" s="437" t="str">
        <f>IF(CN45="","",IF(VLOOKUP(CN45,SectInfo!$B:$N,5,FALSE)="","R",UPPER(VLOOKUP(CN45,SectInfo!$B:$N,5,FALSE))))</f>
        <v/>
      </c>
      <c r="CO85" s="1172"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9">
        <f t="shared" si="190"/>
        <v>0</v>
      </c>
      <c r="CZ85" s="1109">
        <f t="shared" si="97"/>
        <v>0</v>
      </c>
      <c r="DA85" s="1109" t="str">
        <f t="shared" si="98"/>
        <v/>
      </c>
      <c r="DB85" s="1125" t="str">
        <f t="shared" si="162"/>
        <v/>
      </c>
      <c r="DC85" s="1125" t="str">
        <f t="shared" si="99"/>
        <v/>
      </c>
      <c r="DD85" s="1110">
        <f t="shared" si="163"/>
        <v>0</v>
      </c>
      <c r="DE85" s="1108">
        <f t="shared" si="164"/>
        <v>0</v>
      </c>
      <c r="DF85" s="1109">
        <f t="shared" si="100"/>
        <v>0</v>
      </c>
      <c r="DG85" s="1109" t="str">
        <f t="shared" si="101"/>
        <v/>
      </c>
      <c r="DH85" s="1125" t="str">
        <f t="shared" si="165"/>
        <v/>
      </c>
      <c r="DI85" s="1125" t="str">
        <f t="shared" si="166"/>
        <v/>
      </c>
      <c r="DJ85" s="1110">
        <f t="shared" si="167"/>
        <v>0</v>
      </c>
      <c r="DK85" s="1108" t="str">
        <f t="shared" si="191"/>
        <v/>
      </c>
      <c r="DL85" s="1108" t="str">
        <f t="shared" si="192"/>
        <v/>
      </c>
      <c r="DM85" s="1108" t="str">
        <f t="shared" si="104"/>
        <v/>
      </c>
      <c r="DN85" s="1108" t="str">
        <f t="shared" si="105"/>
        <v/>
      </c>
      <c r="DO85" s="1125" t="str">
        <f t="shared" si="106"/>
        <v>ERR</v>
      </c>
      <c r="DP85" s="1125" t="str">
        <f t="shared" si="107"/>
        <v>ERR</v>
      </c>
      <c r="DQ85" s="1108" t="str">
        <f t="shared" si="108"/>
        <v/>
      </c>
      <c r="DR85" s="1108" t="str">
        <f t="shared" si="108"/>
        <v/>
      </c>
      <c r="DS85" s="1108" t="str">
        <f t="shared" si="109"/>
        <v/>
      </c>
      <c r="DT85" s="1108" t="str">
        <f t="shared" si="110"/>
        <v/>
      </c>
      <c r="DU85" s="1108" t="str">
        <f t="shared" si="111"/>
        <v/>
      </c>
      <c r="DV85" s="1125" t="str">
        <f t="shared" si="112"/>
        <v>ERR</v>
      </c>
      <c r="DW85" s="1125" t="str">
        <f t="shared" si="113"/>
        <v>ERR</v>
      </c>
      <c r="DX85" s="1108" t="str">
        <f t="shared" si="193"/>
        <v/>
      </c>
      <c r="DY85" s="1108" t="str">
        <f t="shared" si="194"/>
        <v/>
      </c>
      <c r="DZ85" s="1108" t="str">
        <f>IF(CG85="","",IF((CD85-CG85)/COS(CU85)-FB85&lt;=-0.0625,CEILING((CD85-CG85)/COS(CU85)-FB85+0.0625,-0.125),IF((CD85-CG85)/COS(CU85)-FB85&gt;=0.0625,CEILING((CD85-CG85)/COS(CU85)-FB85-0.0625,0.125),0)))</f>
        <v/>
      </c>
      <c r="EA85" s="1108" t="str">
        <f>IF(CP85="","",IF((CM85-CP85)/COS(CU85)-FC85&lt;=-0.0625,CEILING((CM85-CP85)/COS(CU85)-FC85+0.0625,-0.125),IF((CM85-CP85)/COS(CU85)-FC85&gt;=0.0625,CEILING((CM85-CP85)/COS(CU85)-FC85-0.0625,0.125),0)))</f>
        <v/>
      </c>
      <c r="EB85" s="1111" t="str">
        <f t="shared" si="118"/>
        <v/>
      </c>
      <c r="EC85" s="1112" t="str">
        <f t="shared" si="195"/>
        <v/>
      </c>
      <c r="ED85" s="1111" t="str">
        <f t="shared" si="120"/>
        <v/>
      </c>
      <c r="EE85" s="1111" t="str">
        <f t="shared" si="196"/>
        <v/>
      </c>
      <c r="EF85" s="1111" t="str">
        <f t="shared" si="197"/>
        <v/>
      </c>
      <c r="EG85" s="1111" t="str">
        <f t="shared" si="123"/>
        <v/>
      </c>
      <c r="EH85" s="1111" t="str">
        <f t="shared" si="198"/>
        <v/>
      </c>
      <c r="EI85" s="1111" t="str">
        <f t="shared" si="199"/>
        <v/>
      </c>
      <c r="EJ85" s="1111" t="str">
        <f t="shared" si="126"/>
        <v/>
      </c>
      <c r="EK85" s="1109">
        <f t="shared" si="200"/>
        <v>0</v>
      </c>
      <c r="EL85" s="1109">
        <f t="shared" si="201"/>
        <v>0</v>
      </c>
      <c r="EM85" s="1109">
        <f t="shared" si="202"/>
        <v>0</v>
      </c>
      <c r="EN85" s="1109" t="str">
        <f t="shared" si="130"/>
        <v/>
      </c>
      <c r="EO85" s="1108" t="str">
        <f t="shared" si="203"/>
        <v/>
      </c>
      <c r="EP85" s="1109">
        <f t="shared" si="204"/>
        <v>0</v>
      </c>
      <c r="EQ85" s="1109">
        <f t="shared" si="205"/>
        <v>0</v>
      </c>
      <c r="ER85" s="1109">
        <f t="shared" si="206"/>
        <v>0</v>
      </c>
      <c r="ES85" s="1109" t="str">
        <f t="shared" si="135"/>
        <v/>
      </c>
      <c r="ET85" s="1108" t="str">
        <f t="shared" si="207"/>
        <v/>
      </c>
      <c r="EU85" s="1108">
        <f t="shared" si="137"/>
        <v>0</v>
      </c>
      <c r="EV85" s="1111" t="e">
        <f>MIN(IF(CH45&gt;0,CH45/2,MAX(CI45/2,CJ85)),IF(CI45&gt;0,CI45/2,MAX(CH45/2,CJ85)),IF(CJ85&gt;0,CJ85,MAX(CI45/2,CH45/2)))/COS(CY85)+CD85-DC85</f>
        <v>#VALUE!</v>
      </c>
      <c r="EW85" s="1111" t="e">
        <f>MIN(IF(CO45&gt;0,CO45/2,MAX(CP45/2,CS85)),IF(CP45&gt;0,CP45/2,MAX(CO45/2,CS85)),IF(CS85&gt;0,CS85,MAX(CP45/2,CO45/2)))/COS(DE85)+CM85-DI85</f>
        <v>#VALUE!</v>
      </c>
      <c r="EX85" s="1113" t="str">
        <f t="shared" si="168"/>
        <v/>
      </c>
      <c r="EY85" s="1114" t="e">
        <f t="shared" si="208"/>
        <v>#DIV/0!</v>
      </c>
      <c r="EZ85" s="1219" t="e">
        <f t="shared" si="141"/>
        <v>#DIV/0!</v>
      </c>
      <c r="FA85" s="1220" t="e">
        <f t="shared" si="142"/>
        <v>#DIV/0!</v>
      </c>
      <c r="FB85" s="1115" t="str">
        <f t="shared" si="143"/>
        <v/>
      </c>
      <c r="FC85" s="1116" t="str">
        <f t="shared" si="144"/>
        <v/>
      </c>
      <c r="FD85" s="1126">
        <f t="shared" si="145"/>
        <v>0</v>
      </c>
      <c r="FE85" s="1066">
        <f t="shared" si="146"/>
        <v>0</v>
      </c>
      <c r="FF85" s="969" t="b">
        <f t="shared" si="147"/>
        <v>0</v>
      </c>
      <c r="FG85" s="969" t="b">
        <f t="shared" si="148"/>
        <v>0</v>
      </c>
      <c r="FH85" s="969" t="b">
        <f t="shared" si="149"/>
        <v>0</v>
      </c>
      <c r="FI85" s="969" t="b">
        <f t="shared" si="150"/>
        <v>0</v>
      </c>
      <c r="FJ85" s="1161" t="str">
        <f t="shared" si="169"/>
        <v/>
      </c>
      <c r="FK85" s="1163"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31" t="str">
        <f t="shared" ca="1" si="186"/>
        <v/>
      </c>
    </row>
    <row r="86" spans="1:193" ht="15" hidden="1" customHeight="1" x14ac:dyDescent="0.2">
      <c r="Z86" s="1464"/>
      <c r="AA86" s="1204"/>
      <c r="AB86" s="1205"/>
    </row>
    <row r="87" spans="1:193" ht="15" hidden="1" customHeight="1" x14ac:dyDescent="0.25">
      <c r="A87" s="1583" t="str">
        <f>IF(ISBLANK(CB87),"",CB87)</f>
        <v/>
      </c>
      <c r="B87" s="1584" t="str">
        <f>IF(ISBLANK(CC87),"",CC87)</f>
        <v/>
      </c>
      <c r="C87" s="1585" t="str">
        <f>IF(ISBLANK(CD87),"",CD87)</f>
        <v/>
      </c>
      <c r="D87" s="1586" t="str">
        <f>IF(CV127="","",TRUNC(CV127/12))</f>
        <v/>
      </c>
      <c r="E87" s="1587" t="str">
        <f>IF(CV127="","",CV127-(D87*12))</f>
        <v/>
      </c>
      <c r="F87" s="1588" t="str">
        <f>IF(ISBLANK(CY87),"",CY87)</f>
        <v/>
      </c>
      <c r="G87" s="1589" t="str">
        <f>IF(DD127=0,"",TRUNC(DD127/12))</f>
        <v/>
      </c>
      <c r="H87" s="1590" t="str">
        <f>IF(DD127=0,"",DD127-(G87*12))</f>
        <v/>
      </c>
      <c r="I87" s="1591" t="str">
        <f>IF(DD127=0,"",CE127)</f>
        <v/>
      </c>
      <c r="J87" s="1586" t="str">
        <f>IF(DJ127=0,"",TRUNC(DJ127/12))</f>
        <v/>
      </c>
      <c r="K87" s="1590" t="str">
        <f>IF(DJ127=0,"",DJ127-(J87*12))</f>
        <v/>
      </c>
      <c r="L87" s="1592" t="str">
        <f>IF(DJ127=0,"",CN127)</f>
        <v/>
      </c>
      <c r="M87" s="1593" t="str">
        <f>IF(CW127="","",CW127)</f>
        <v/>
      </c>
      <c r="N87" s="1594" t="str">
        <f>IF(CX127="","",CX127)</f>
        <v/>
      </c>
      <c r="O87" s="1589" t="str">
        <f>IF(DZ127="","",IF(AND(DZ127&gt;-12,DZ127&lt;0),-0.000001,TRUNC(DZ127/12)))</f>
        <v/>
      </c>
      <c r="P87" s="1590" t="str">
        <f>IF(DZ127="","",IF(AND(DZ127&lt;0,DZ127-(O87*12)=0),-0.00001,DZ127-(O87*12)))</f>
        <v/>
      </c>
      <c r="Q87" s="1586" t="str">
        <f>IF(EA127="","",IF(AND(EA127&gt;-12,EA127&lt;0),-0.000001,TRUNC(EA127/12)))</f>
        <v/>
      </c>
      <c r="R87" s="1587" t="str">
        <f>IF(EA127="","",IF(AND(EA127&lt;0,EA127-(Q87*12)=0),-0.00001,EA127-(Q87*12)))</f>
        <v/>
      </c>
      <c r="S87" s="1595" t="str">
        <f>IF(DR127="","",IF(DR127="ERR",TRUNC(DQ127/12),TRUNC(DR127/12)))</f>
        <v/>
      </c>
      <c r="T87" s="1590" t="str">
        <f>IF(DR127="","",IF(DR127="ERR",DQ127-(S87*12),DR127-(S87*12)))</f>
        <v/>
      </c>
      <c r="U87" s="1586" t="str">
        <f>IF(DY127="","",IF(DY127="ERR",TRUNC(DX127/12),TRUNC(DY127/12)))</f>
        <v/>
      </c>
      <c r="V87" s="1590" t="str">
        <f>IF(DY127="","",IF(DY127="ERR",DX127-(U87*12),DY127-(U87*12)))</f>
        <v/>
      </c>
      <c r="W87" s="1594">
        <f>IF(EC127="",0,EC127)</f>
        <v>0</v>
      </c>
      <c r="X87" s="1596" t="str">
        <f>IF(EN127="","",EN127)</f>
        <v/>
      </c>
      <c r="Y87" s="1597" t="str">
        <f>IF(ES127="","",ES127)</f>
        <v/>
      </c>
      <c r="Z87" s="1604" t="str">
        <f>CONCATENATE(IF(CW87="","",CONCATENATE("[",SUBSTITUTE(CW87," ",""),"] ")),IF(CV87="","",CONCATENATE("(",SUBSTITUTE(CV87," ",""),")")))</f>
        <v/>
      </c>
      <c r="AA87" s="1605" t="str">
        <f>IF(ISBLANK(CX87),"",CX87)</f>
        <v/>
      </c>
      <c r="AB87" s="1264" t="str">
        <f>IF(ISBLANK(DH87),"",DH87)</f>
        <v/>
      </c>
      <c r="AC87" s="1260" t="str">
        <f>IF(ISBLANK(DI87),"",DI87)</f>
        <v/>
      </c>
      <c r="AD87" s="1261" t="str">
        <f>IF(FV127="","",TRUNC(FV127/12))</f>
        <v/>
      </c>
      <c r="AE87" s="1262" t="str">
        <f>IF(FV127="","",FV127-(AD87*12))</f>
        <v/>
      </c>
      <c r="AF87" s="1260" t="str">
        <f>IF(FO127="","",FO127)</f>
        <v/>
      </c>
      <c r="AG87" s="1261" t="str">
        <f>IF(FX127="","",TRUNC(FX127/12))</f>
        <v/>
      </c>
      <c r="AH87" s="1262" t="str">
        <f>IF(FX127="","",FX127-(AG87*12))</f>
        <v/>
      </c>
      <c r="AI87" s="1261" t="str">
        <f>IF(FZ127="","",TRUNC(FZ127/12))</f>
        <v/>
      </c>
      <c r="AJ87" s="1262" t="str">
        <f>IF(FZ127="","",FZ127-(AI87*12))</f>
        <v/>
      </c>
      <c r="AK87" s="1599" t="str">
        <f>IF(ISBLANK(DO87),"",DO87)</f>
        <v/>
      </c>
      <c r="AL87" s="1600" t="str">
        <f>IF(ISBLANK(DP87),"",DP87)</f>
        <v/>
      </c>
      <c r="AM87" s="1601" t="str">
        <f>IF(ISBLANK(DQ87),"",DQ87)</f>
        <v/>
      </c>
      <c r="AN87" s="1260" t="str">
        <f>IF(ISBLANK(DR87),"",DR87)</f>
        <v/>
      </c>
      <c r="AO87" s="1329" t="str">
        <f>IF(ISBLANK(DS87),"",DS87)</f>
        <v/>
      </c>
      <c r="AP87" s="1327" t="str">
        <f>IF(OR(GD127="",GD127=0),"",GD127)</f>
        <v/>
      </c>
      <c r="AQ87" s="1602" t="str">
        <f>IF(OR(GE127="",GE127=0),"",GE127)</f>
        <v/>
      </c>
      <c r="AR87" s="1263" t="str">
        <f>IF(GF127="","",IF(ISTEXT(GF127),"P",TRUNC(GF127/12)))</f>
        <v/>
      </c>
      <c r="AS87" s="1262" t="str">
        <f>IF(GF127="","",IF(AR87="P",GF127,GF127-(AR87*12)))</f>
        <v/>
      </c>
      <c r="AT87" s="1603" t="str">
        <f>IF(ISBLANK(DX87),"",DX87)</f>
        <v/>
      </c>
      <c r="AU87" s="1410" t="str">
        <f>IF(ISBLANK(DY87),"",DY87)</f>
        <v/>
      </c>
      <c r="AV87" s="1328" t="str">
        <f>IF(GG127="","",IF(ISTEXT(GG127),"P",TRUNC(GG127/12)))</f>
        <v/>
      </c>
      <c r="AW87" s="1262" t="str">
        <f>IF(GG127="","",IF(AV87="P",GG127,GG127-(AV87*12)))</f>
        <v/>
      </c>
      <c r="AX87" s="1603" t="str">
        <f>IF(ISBLANK(EB87),"",EB87)</f>
        <v/>
      </c>
      <c r="AY87" s="1410" t="str">
        <f>IF(ISBLANK(EC87),"",EC87)</f>
        <v/>
      </c>
      <c r="AZ87" s="1328" t="str">
        <f>IF(GH127="","",IF(ISTEXT(GH127),"P",TRUNC(GH127/12)))</f>
        <v/>
      </c>
      <c r="BA87" s="1262" t="str">
        <f>IF(GH127="","",IF(AZ87="P",GH127,GH127-(AZ87*12)))</f>
        <v/>
      </c>
      <c r="BB87" s="1603" t="str">
        <f>IF(ISBLANK(EF87),"",EF87)</f>
        <v/>
      </c>
      <c r="BC87" s="1410" t="str">
        <f>IF(ISBLANK(EG87),"",EG87)</f>
        <v/>
      </c>
      <c r="BD87" s="1328" t="str">
        <f>IF(GI127="","",IF(ISTEXT(GI127),"P",TRUNC(GI127/12)))</f>
        <v/>
      </c>
      <c r="BE87" s="1262" t="str">
        <f>IF(GI127="","",IF(BD87="P",GI127,GI127-(BD87*12)))</f>
        <v/>
      </c>
      <c r="BF87" s="1603" t="str">
        <f>IF(ISBLANK(EJ87),"",EJ87)</f>
        <v/>
      </c>
      <c r="BG87" s="1410" t="str">
        <f>IF(ISBLANK(EK87),"",EK87)</f>
        <v/>
      </c>
    </row>
    <row r="88" spans="1:193" ht="12.75" hidden="1" customHeight="1" x14ac:dyDescent="0.2">
      <c r="Z88" s="1465"/>
    </row>
    <row r="89" spans="1:193" ht="12.75" customHeight="1" x14ac:dyDescent="0.2">
      <c r="B89" s="649" t="s">
        <v>762</v>
      </c>
    </row>
  </sheetData>
  <sheetProtection selectLockedCells="1"/>
  <mergeCells count="315">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D12:ID13"/>
    <mergeCell ref="IE12:IE13"/>
    <mergeCell ref="IF12:IF13"/>
    <mergeCell ref="IG12:IG13"/>
    <mergeCell ref="IH12:IH13"/>
    <mergeCell ref="II12:II13"/>
    <mergeCell ref="IJ12:IJ13"/>
    <mergeCell ref="IK12:IK13"/>
    <mergeCell ref="IL12:IL13"/>
    <mergeCell ref="HU12:HU13"/>
    <mergeCell ref="HV12:HV13"/>
    <mergeCell ref="HW12:HW13"/>
    <mergeCell ref="HX12:HX13"/>
    <mergeCell ref="HY12:HY13"/>
    <mergeCell ref="HZ12:HZ13"/>
    <mergeCell ref="IA12:IA13"/>
    <mergeCell ref="IB12:IB13"/>
    <mergeCell ref="IC12:IC13"/>
    <mergeCell ref="HL12:HL13"/>
    <mergeCell ref="HM12:HM13"/>
    <mergeCell ref="HN12:HN13"/>
    <mergeCell ref="HO12:HO13"/>
    <mergeCell ref="HP12:HP13"/>
    <mergeCell ref="HQ12:HQ13"/>
    <mergeCell ref="HR12:HR13"/>
    <mergeCell ref="HS12:HS13"/>
    <mergeCell ref="HT12:HT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DM12:DN13"/>
    <mergeCell ref="CJ12:CK13"/>
    <mergeCell ref="DX12:DX13"/>
    <mergeCell ref="DI12:DI13"/>
    <mergeCell ref="DJ12:DK13"/>
    <mergeCell ref="DL12:DL13"/>
    <mergeCell ref="CX12:CX13"/>
    <mergeCell ref="CY12:CY13"/>
    <mergeCell ref="CQ12:CR13"/>
    <mergeCell ref="CT12:CT13"/>
    <mergeCell ref="DQ12:DQ13"/>
    <mergeCell ref="DR12:DR1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FB52:FB53"/>
    <mergeCell ref="GM12:GM13"/>
    <mergeCell ref="GK12:GK13"/>
    <mergeCell ref="FM52:FM53"/>
    <mergeCell ref="GA52:GA53"/>
    <mergeCell ref="FZ52:FZ53"/>
    <mergeCell ref="FW52:FW53"/>
    <mergeCell ref="FC52:FC53"/>
    <mergeCell ref="FQ52:FQ53"/>
    <mergeCell ref="FD52:FE52"/>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s>
  <phoneticPr fontId="0" type="noConversion"/>
  <conditionalFormatting sqref="GA48:GB48">
    <cfRule type="expression" dxfId="1897" priority="586" stopIfTrue="1">
      <formula>GM87&gt;=0.125</formula>
    </cfRule>
  </conditionalFormatting>
  <conditionalFormatting sqref="FQ54:FR85">
    <cfRule type="cellIs" dxfId="1896" priority="588" stopIfTrue="1" operator="lessThan">
      <formula>0</formula>
    </cfRule>
  </conditionalFormatting>
  <conditionalFormatting sqref="DI14">
    <cfRule type="expression" dxfId="1895" priority="157">
      <formula>UPPER(#REF!)="X"</formula>
    </cfRule>
  </conditionalFormatting>
  <conditionalFormatting sqref="DJ14">
    <cfRule type="expression" dxfId="1894" priority="590">
      <formula>OR(UPPER(#REF!)="X",UPPER(#REF!="X"))</formula>
    </cfRule>
  </conditionalFormatting>
  <conditionalFormatting sqref="DK14">
    <cfRule type="expression" dxfId="1893" priority="591">
      <formula>OR(UPPER(#REF!)="X",UPPER(#REF!="X"))</formula>
    </cfRule>
  </conditionalFormatting>
  <conditionalFormatting sqref="Q2:T4 AU2:AX4">
    <cfRule type="cellIs" dxfId="1892" priority="593" stopIfTrue="1" operator="equal">
      <formula>""</formula>
    </cfRule>
  </conditionalFormatting>
  <conditionalFormatting sqref="DM54:DM85">
    <cfRule type="cellIs" dxfId="1891" priority="516" stopIfTrue="1" operator="notEqual">
      <formula>DN54</formula>
    </cfRule>
  </conditionalFormatting>
  <conditionalFormatting sqref="DT54:DT85">
    <cfRule type="cellIs" dxfId="1890" priority="515" stopIfTrue="1" operator="notEqual">
      <formula>DU54</formula>
    </cfRule>
  </conditionalFormatting>
  <conditionalFormatting sqref="DA4">
    <cfRule type="expression" dxfId="1889" priority="335" stopIfTrue="1">
      <formula>NOT(ISBLANK($DA$4))</formula>
    </cfRule>
  </conditionalFormatting>
  <conditionalFormatting sqref="M7">
    <cfRule type="expression" dxfId="1888" priority="331" stopIfTrue="1">
      <formula>OR(ISBLANK($M$7),$M$7="")</formula>
    </cfRule>
    <cfRule type="expression" dxfId="1887" priority="332" stopIfTrue="1">
      <formula>AND(LOWER($M$7)&lt;&gt;"std gray primer: one shop coat",LOWER($M$7)&lt;&gt;"gray",$M$7&lt;&gt;"")</formula>
    </cfRule>
  </conditionalFormatting>
  <conditionalFormatting sqref="A14:B45 A87:B87">
    <cfRule type="expression" dxfId="1886" priority="116" stopIfTrue="1">
      <formula>AND(NOT($BK$1),$B14=0,OR($BJ$1="",$BJ$1="M"))</formula>
    </cfRule>
  </conditionalFormatting>
  <conditionalFormatting sqref="C14:C45">
    <cfRule type="expression" dxfId="1885" priority="143">
      <formula>AND(NOT($BK14),NOT(BR14))</formula>
    </cfRule>
  </conditionalFormatting>
  <conditionalFormatting sqref="U14:U45">
    <cfRule type="expression" dxfId="1884" priority="210">
      <formula>AND(NOT($BK14),BV14="No")</formula>
    </cfRule>
  </conditionalFormatting>
  <conditionalFormatting sqref="V14:V45">
    <cfRule type="expression" dxfId="1883" priority="211">
      <formula>AND(NOT($BK14),BV14="No")</formula>
    </cfRule>
  </conditionalFormatting>
  <conditionalFormatting sqref="S14:S45">
    <cfRule type="expression" dxfId="1882" priority="208">
      <formula>AND(NOT($BK14),BT14="No")</formula>
    </cfRule>
  </conditionalFormatting>
  <conditionalFormatting sqref="T14:T45">
    <cfRule type="expression" dxfId="1881" priority="209">
      <formula>AND(NOT($BK14),BT14="No")</formula>
    </cfRule>
  </conditionalFormatting>
  <conditionalFormatting sqref="W14:W45">
    <cfRule type="expression" dxfId="1880" priority="71">
      <formula>$W14=0</formula>
    </cfRule>
  </conditionalFormatting>
  <conditionalFormatting sqref="DI15:DI45">
    <cfRule type="expression" dxfId="1879" priority="592">
      <formula>FM54="X"</formula>
    </cfRule>
  </conditionalFormatting>
  <conditionalFormatting sqref="DJ15:DJ45">
    <cfRule type="expression" dxfId="1878" priority="991">
      <formula>FM54="X"</formula>
    </cfRule>
  </conditionalFormatting>
  <conditionalFormatting sqref="DK15:DK45">
    <cfRule type="expression" dxfId="1877" priority="992">
      <formula>FM54="X"</formula>
    </cfRule>
  </conditionalFormatting>
  <conditionalFormatting sqref="DT14:DU45">
    <cfRule type="expression" dxfId="1876" priority="993">
      <formula>GD54=0</formula>
    </cfRule>
  </conditionalFormatting>
  <conditionalFormatting sqref="DH14:DH45">
    <cfRule type="expression" dxfId="1875" priority="994">
      <formula>FJ54="G"</formula>
    </cfRule>
    <cfRule type="expression" dxfId="1874" priority="10">
      <formula>NOT($FQ14)</formula>
    </cfRule>
  </conditionalFormatting>
  <conditionalFormatting sqref="DM14:DN45">
    <cfRule type="expression" dxfId="1873" priority="996">
      <formula>FIND("B",$GK54)</formula>
    </cfRule>
  </conditionalFormatting>
  <conditionalFormatting sqref="DJ14:DK45">
    <cfRule type="expression" dxfId="1872" priority="1014">
      <formula>FIND("A",$GK54)</formula>
    </cfRule>
  </conditionalFormatting>
  <conditionalFormatting sqref="DL14:DL45">
    <cfRule type="expression" dxfId="1871" priority="154">
      <formula>FIND("B",$GK54)</formula>
    </cfRule>
  </conditionalFormatting>
  <conditionalFormatting sqref="DI14:DI45">
    <cfRule type="expression" dxfId="1870" priority="1016">
      <formula>NOT($EY14)</formula>
    </cfRule>
  </conditionalFormatting>
  <conditionalFormatting sqref="DQ14:DQ45">
    <cfRule type="expression" dxfId="1869" priority="115">
      <formula>DQ14&lt;&gt;EZ14</formula>
    </cfRule>
  </conditionalFormatting>
  <conditionalFormatting sqref="AR14:AS45">
    <cfRule type="expression" dxfId="1868" priority="125">
      <formula>AND(NOT($BZ14),$FF54)</formula>
    </cfRule>
  </conditionalFormatting>
  <conditionalFormatting sqref="AV14:AW45">
    <cfRule type="expression" dxfId="1867" priority="137">
      <formula>AND(NOT($BZ14),$FG54)</formula>
    </cfRule>
  </conditionalFormatting>
  <conditionalFormatting sqref="AZ14:BA45">
    <cfRule type="expression" dxfId="1866" priority="138">
      <formula>AND(NOT($BZ14),$FH54)</formula>
    </cfRule>
  </conditionalFormatting>
  <conditionalFormatting sqref="BD14:BE45">
    <cfRule type="expression" dxfId="1865" priority="139">
      <formula>AND(NOT($BZ14),$FI54)</formula>
    </cfRule>
  </conditionalFormatting>
  <conditionalFormatting sqref="AD14:AE45">
    <cfRule type="expression" dxfId="1864" priority="140">
      <formula>AND(NOT($BZ14),FIND("A",$GK54))</formula>
    </cfRule>
  </conditionalFormatting>
  <conditionalFormatting sqref="AI14:AJ45">
    <cfRule type="expression" dxfId="1863" priority="141">
      <formula>AND(NOT($BZ14),FIND("B",$GK54))</formula>
    </cfRule>
  </conditionalFormatting>
  <conditionalFormatting sqref="AC14:AC45">
    <cfRule type="expression" dxfId="1862" priority="142">
      <formula>AND(NOT($BZ14),NOT($EY14))</formula>
    </cfRule>
  </conditionalFormatting>
  <conditionalFormatting sqref="AM14:AM45">
    <cfRule type="expression" dxfId="1861" priority="122">
      <formula>AND(NOT($BZ14),AM14&lt;&gt;EZ14)</formula>
    </cfRule>
  </conditionalFormatting>
  <conditionalFormatting sqref="FF14:FF45">
    <cfRule type="expression" dxfId="1860" priority="123">
      <formula>$FC14=0</formula>
    </cfRule>
  </conditionalFormatting>
  <conditionalFormatting sqref="AD14:AJ45">
    <cfRule type="expression" dxfId="1859" priority="114">
      <formula>AND(NOT($BZ14),NOT($FA14))</formula>
    </cfRule>
  </conditionalFormatting>
  <conditionalFormatting sqref="CV14:CW45">
    <cfRule type="expression" dxfId="1858" priority="72">
      <formula>AND(NOT($BK14),LEN($Z14)&gt;27)</formula>
    </cfRule>
  </conditionalFormatting>
  <conditionalFormatting sqref="C87">
    <cfRule type="expression" dxfId="1857" priority="64" stopIfTrue="1">
      <formula>AND(NOT($BK87),NOT(BR87))</formula>
    </cfRule>
  </conditionalFormatting>
  <conditionalFormatting sqref="U87">
    <cfRule type="expression" dxfId="1856" priority="68" stopIfTrue="1">
      <formula>AND(NOT($BK87),BV87="No")</formula>
    </cfRule>
  </conditionalFormatting>
  <conditionalFormatting sqref="V87">
    <cfRule type="expression" dxfId="1855" priority="69" stopIfTrue="1">
      <formula>AND(NOT($BK87),BV87="No")</formula>
    </cfRule>
  </conditionalFormatting>
  <conditionalFormatting sqref="S87">
    <cfRule type="expression" dxfId="1854" priority="66" stopIfTrue="1">
      <formula>AND(NOT($BK87),BT87="No")</formula>
    </cfRule>
  </conditionalFormatting>
  <conditionalFormatting sqref="T87">
    <cfRule type="expression" dxfId="1853" priority="67" stopIfTrue="1">
      <formula>AND(NOT($BK87),BT87="No")</formula>
    </cfRule>
  </conditionalFormatting>
  <conditionalFormatting sqref="W87">
    <cfRule type="expression" dxfId="1852" priority="52">
      <formula>$W87=0</formula>
    </cfRule>
  </conditionalFormatting>
  <conditionalFormatting sqref="AR87:AS87">
    <cfRule type="expression" dxfId="1851" priority="57">
      <formula>AND(NOT($BZ87),$FF127)</formula>
    </cfRule>
  </conditionalFormatting>
  <conditionalFormatting sqref="AV87:AW87">
    <cfRule type="expression" dxfId="1850" priority="58">
      <formula>AND(NOT($BZ87),$FG127)</formula>
    </cfRule>
  </conditionalFormatting>
  <conditionalFormatting sqref="AZ87:BA87">
    <cfRule type="expression" dxfId="1849" priority="59">
      <formula>AND(NOT($BZ87),$FH127)</formula>
    </cfRule>
  </conditionalFormatting>
  <conditionalFormatting sqref="BD87:BE87">
    <cfRule type="expression" dxfId="1848" priority="60">
      <formula>AND(NOT($BZ87),$FI127)</formula>
    </cfRule>
  </conditionalFormatting>
  <conditionalFormatting sqref="AD87:AE87">
    <cfRule type="expression" dxfId="1847" priority="61">
      <formula>AND(NOT($BZ87),FIND("A",$GK127))</formula>
    </cfRule>
  </conditionalFormatting>
  <conditionalFormatting sqref="AI87:AJ87">
    <cfRule type="expression" dxfId="1846" priority="62">
      <formula>AND(NOT($BZ87),FIND("B",$GK127))</formula>
    </cfRule>
  </conditionalFormatting>
  <conditionalFormatting sqref="AC87">
    <cfRule type="expression" dxfId="1845" priority="63">
      <formula>AND(NOT($BZ87),NOT($EY87))</formula>
    </cfRule>
  </conditionalFormatting>
  <conditionalFormatting sqref="AM87">
    <cfRule type="expression" dxfId="1844" priority="56">
      <formula>AND(NOT($BZ87),AM87&lt;&gt;EZ87)</formula>
    </cfRule>
  </conditionalFormatting>
  <conditionalFormatting sqref="AD87:AJ87">
    <cfRule type="expression" dxfId="1843" priority="54">
      <formula>AND(NOT($BZ87),NOT($FA87))</formula>
    </cfRule>
  </conditionalFormatting>
  <conditionalFormatting sqref="AA87 A87:Y87">
    <cfRule type="expression" dxfId="1842" priority="65">
      <formula>$BI87</formula>
    </cfRule>
  </conditionalFormatting>
  <conditionalFormatting sqref="AB87:BG87">
    <cfRule type="expression" dxfId="1841" priority="51">
      <formula>$CA87</formula>
    </cfRule>
  </conditionalFormatting>
  <conditionalFormatting sqref="Z87">
    <cfRule type="expression" dxfId="1840" priority="50">
      <formula>$BI87</formula>
    </cfRule>
  </conditionalFormatting>
  <conditionalFormatting sqref="Z87">
    <cfRule type="expression" dxfId="1839" priority="53">
      <formula>AND(NOT($BK87),LEN($Z87)&gt;27)</formula>
    </cfRule>
  </conditionalFormatting>
  <conditionalFormatting sqref="CD14:CD45">
    <cfRule type="expression" dxfId="1838" priority="13">
      <formula>AND(NOT($BK14),NOT($BR14))</formula>
    </cfRule>
  </conditionalFormatting>
  <conditionalFormatting sqref="CX14:CX45">
    <cfRule type="cellIs" dxfId="1837" priority="26" operator="greaterThan">
      <formula>EY54</formula>
    </cfRule>
    <cfRule type="expression" dxfId="1836" priority="27">
      <formula>AND(ISBLANK(CX14),EY54&gt;0)</formula>
    </cfRule>
  </conditionalFormatting>
  <conditionalFormatting sqref="CY14:CY45">
    <cfRule type="cellIs" dxfId="1835" priority="28" operator="lessThan">
      <formula>EX54</formula>
    </cfRule>
    <cfRule type="expression" dxfId="1834" priority="29">
      <formula>AND(ISBLANK(CY14),EX54&lt;&gt;"")</formula>
    </cfRule>
  </conditionalFormatting>
  <conditionalFormatting sqref="CT14:CT45 CM14:CM45">
    <cfRule type="expression" dxfId="1833" priority="30">
      <formula>AND(NOT($BK14),AND(ISBLANK(CM14),AND(NOT(ISBLANK(CL14)),$CU14&lt;&gt;0)))</formula>
    </cfRule>
  </conditionalFormatting>
  <conditionalFormatting sqref="DB14:DB45">
    <cfRule type="expression" dxfId="1832" priority="31">
      <formula>OR(DB14&gt;CD54,DB14&lt;0)</formula>
    </cfRule>
  </conditionalFormatting>
  <conditionalFormatting sqref="CJ14:CJ45">
    <cfRule type="expression" dxfId="1831" priority="14">
      <formula>AND(NOT($BK14),OR($CC54="M",$CC54="C",$CC54="G"))</formula>
    </cfRule>
    <cfRule type="expression" dxfId="1830" priority="15">
      <formula>AND(NOT($BK14),AND(OR($CC54="B",$CC54="G"),CJ14="",CK14=""))</formula>
    </cfRule>
    <cfRule type="expression" dxfId="1829" priority="16">
      <formula>AND(NOT($BK14),EG54="ERR")</formula>
    </cfRule>
  </conditionalFormatting>
  <conditionalFormatting sqref="CK14:CK45">
    <cfRule type="expression" dxfId="1828" priority="17">
      <formula>AND(NOT($BK14),OR($CC54="M",$CC54="C",$CC54="G"))</formula>
    </cfRule>
    <cfRule type="expression" dxfId="1827" priority="18">
      <formula>AND(NOT($BK14),AND(OR($CC54="B",$CC54="G"),CJ14="",CK14=""))</formula>
    </cfRule>
    <cfRule type="expression" dxfId="1826" priority="19">
      <formula>AND(NOT($BK14),EG54="ERR")</formula>
    </cfRule>
  </conditionalFormatting>
  <conditionalFormatting sqref="CQ14:CQ45">
    <cfRule type="expression" dxfId="1825" priority="20">
      <formula>AND(NOT($BK14),OR($CL54="M",$CL54="C",$CL54="G"))</formula>
    </cfRule>
    <cfRule type="expression" dxfId="1824" priority="21">
      <formula>AND(NOT($BK14),AND(OR($CL54="B",$CL54="G"),CQ14="",CR14=""))</formula>
    </cfRule>
    <cfRule type="expression" dxfId="1823" priority="22">
      <formula>AND(NOT($BK14),EJ54="ERR")</formula>
    </cfRule>
  </conditionalFormatting>
  <conditionalFormatting sqref="CR14:CR45">
    <cfRule type="expression" dxfId="1822" priority="23">
      <formula>AND(NOT($BK14),OR($CL54="M",$CL54="C",$CL54="G"))</formula>
    </cfRule>
    <cfRule type="expression" dxfId="1821" priority="24">
      <formula>AND(NOT($BK14),AND(OR($CL54="B",$CL54="G"),CQ14="",CR14=""))</formula>
    </cfRule>
    <cfRule type="expression" dxfId="1820" priority="25">
      <formula>AND(NOT($BK14),EJ54="ERR")</formula>
    </cfRule>
  </conditionalFormatting>
  <conditionalFormatting sqref="DC14:DC45">
    <cfRule type="expression" dxfId="1819" priority="12">
      <formula>OR(DC14&gt;CM54,DC14&lt;0)</formula>
    </cfRule>
  </conditionalFormatting>
  <conditionalFormatting sqref="CG14:CG45">
    <cfRule type="expression" dxfId="1818" priority="32">
      <formula>AND(NOT($BK14),ISERROR(CC54))</formula>
    </cfRule>
    <cfRule type="expression" dxfId="1817" priority="33">
      <formula>AND(NOT($BK14),OR(ISERROR(CC54),CC54="", ER14&lt;&gt;""))</formula>
    </cfRule>
  </conditionalFormatting>
  <conditionalFormatting sqref="CN14:CN45">
    <cfRule type="expression" dxfId="1816" priority="34">
      <formula>AND(NOT($BK14),ISERROR(CL54))</formula>
    </cfRule>
    <cfRule type="expression" dxfId="1815" priority="35">
      <formula>AND(NOT($BK14),OR(CL54="", ES14&lt;&gt;""))</formula>
    </cfRule>
  </conditionalFormatting>
  <conditionalFormatting sqref="CW14:CW45">
    <cfRule type="expression" dxfId="1814" priority="36">
      <formula>OR(EL14&lt;&gt;"",EM14&lt;&gt;"",EN14&lt;&gt;"",EO14&lt;&gt;"",EP14&lt;&gt;"",EQ14&lt;&gt;"")</formula>
    </cfRule>
  </conditionalFormatting>
  <conditionalFormatting sqref="CH14:CH45">
    <cfRule type="expression" dxfId="1813" priority="37">
      <formula>AND(NOT($BK14),OR($CC54="M",$CC54="C"))</formula>
    </cfRule>
    <cfRule type="expression" dxfId="1812" priority="38">
      <formula>AND(NOT($BK14),AND(CH14="",CI14="",OR($CC54="B",$CC54="G")))</formula>
    </cfRule>
    <cfRule type="expression" dxfId="1811" priority="39">
      <formula>AND(NOT($BK14),(CH14/2)/COS(RADIANS(CL14))+CD54-DC54&lt;$FB$4)</formula>
    </cfRule>
  </conditionalFormatting>
  <conditionalFormatting sqref="CI14:CI45">
    <cfRule type="expression" dxfId="1810" priority="40">
      <formula>AND(NOT($BK14),OR($CC54="M",$CC54="C"))</formula>
    </cfRule>
    <cfRule type="expression" dxfId="1809" priority="41">
      <formula>AND(NOT($BK14),AND(CH14="",CI14="",OR($CC54="B",$CC54="G")))</formula>
    </cfRule>
    <cfRule type="expression" dxfId="1808" priority="42">
      <formula>AND(NOT($BK14),(CI14/2)/COS(RADIANS(CL14))+CD54-DC54&lt;$FB$4)</formula>
    </cfRule>
  </conditionalFormatting>
  <conditionalFormatting sqref="CO14:CO45">
    <cfRule type="expression" dxfId="1807" priority="43">
      <formula>AND(NOT($BK14),OR($CL54="M",$CL54="C"))</formula>
    </cfRule>
    <cfRule type="expression" dxfId="1806" priority="44">
      <formula>AND(NOT($BK14),AND(CO14="",CP14="",OR($CL54="B",$CL54="G")))</formula>
    </cfRule>
    <cfRule type="expression" dxfId="1805" priority="45">
      <formula>AND(NOT($BK14),(CO14/2)/COS(RADIANS(CS14))+CM54-DI54&lt;$FB$4)</formula>
    </cfRule>
  </conditionalFormatting>
  <conditionalFormatting sqref="CP14:CP45">
    <cfRule type="expression" dxfId="1804" priority="46">
      <formula>AND(NOT($BK14),OR($CL54="M",$CL54="C"))</formula>
    </cfRule>
    <cfRule type="expression" dxfId="1803" priority="47">
      <formula>AND(NOT($BK14),AND(CO14="",CP14="",OR($CL54="B",$CL54="G")))</formula>
    </cfRule>
    <cfRule type="expression" dxfId="1802" priority="48">
      <formula>AND(NOT($BK14),(CP14/2)/COS(RADIANS(CS14))+CM54-DI54&lt;$FB$4)</formula>
    </cfRule>
  </conditionalFormatting>
  <conditionalFormatting sqref="AB14:BG45 DH14:EK45">
    <cfRule type="expression" dxfId="1801" priority="1221">
      <formula>$FP14</formula>
    </cfRule>
  </conditionalFormatting>
  <conditionalFormatting sqref="A14:Y45 CB14:DE45 AA14:AA45">
    <cfRule type="expression" dxfId="1800" priority="1225">
      <formula>$FN14</formula>
    </cfRule>
  </conditionalFormatting>
  <conditionalFormatting sqref="AB14:AB45">
    <cfRule type="expression" dxfId="1799" priority="9">
      <formula>NOT($FQ14)</formula>
    </cfRule>
  </conditionalFormatting>
  <conditionalFormatting sqref="CB14:CB45">
    <cfRule type="expression" dxfId="1798" priority="8">
      <formula>NOT($FO14)</formula>
    </cfRule>
  </conditionalFormatting>
  <conditionalFormatting sqref="A14:A45">
    <cfRule type="expression" dxfId="1797" priority="7">
      <formula>NOT($FO14)</formula>
    </cfRule>
  </conditionalFormatting>
  <conditionalFormatting sqref="Z14:Z45">
    <cfRule type="expression" dxfId="1796" priority="2">
      <formula>$BI14</formula>
    </cfRule>
  </conditionalFormatting>
  <conditionalFormatting sqref="Z14:Z45">
    <cfRule type="expression" dxfId="1795" priority="3">
      <formula>AND(NOT($BK14),LEN($Z14)&gt;27)</formula>
    </cfRule>
  </conditionalFormatting>
  <conditionalFormatting sqref="GA14:GB45">
    <cfRule type="expression" dxfId="1794" priority="1" stopIfTrue="1">
      <formula>GM53&gt;=0.125</formula>
    </cfRule>
  </conditionalFormatting>
  <dataValidations count="9">
    <dataValidation type="list" allowBlank="1" showInputMessage="1" sqref="M7:S7 DA4:DD4">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formula1>0</formula1>
    </dataValidation>
    <dataValidation type="whole" operator="greaterThanOrEqual" allowBlank="1" showErrorMessage="1" errorTitle="Error" error="&quot;Number of Panels&quot; can only be whole numbers." sqref="DL14:DL45 AF14:AF45 AF87">
      <formula1>0</formula1>
    </dataValidation>
    <dataValidation type="custom" allowBlank="1" showErrorMessage="1" errorTitle="Error" error="Value must  be either a whole number OR the string &quot;P&quot;." sqref="DV14:DV45 DZ14:DZ45 ED14:ED45 EH14:EH45 BD14:BD45 AR14:AR45 AV14:AV45 AZ14:AZ45 BD87 AR87 AV87 AZ87">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formula1>0</formula1>
      <formula2>11.875</formula2>
    </dataValidation>
    <dataValidation type="decimal" operator="greaterThanOrEqual" allowBlank="1" showInputMessage="1" showErrorMessage="1" errorTitle="Dimensional Error" error="&quot;Inches&quot; must be a number." sqref="CH14:CK45 CO14:CR45">
      <formula1>0</formula1>
    </dataValidation>
    <dataValidation type="decimal" operator="notEqual" allowBlank="1" showInputMessage="1" showErrorMessage="1" errorTitle="Input Error" error="Enter + or - Numbers Only._x000a_Do NOT use &quot;&lt;&quot; or &quot;&gt;&quot;." sqref="X14:Y45 X87:Y87">
      <formula1>0</formula1>
    </dataValidation>
    <dataValidation type="decimal" operator="greaterThan" allowBlank="1" showInputMessage="1" showErrorMessage="1" errorTitle="Dimensional Error" error="Only positive numeric values permitted here." sqref="M14:N45 M87:N87">
      <formula1>0</formula1>
    </dataValidation>
    <dataValidation type="whole" operator="greaterThanOrEqual" allowBlank="1" showInputMessage="1" showErrorMessage="1" sqref="B14:B45 B87">
      <formula1>0</formula1>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indexed="43"/>
  </sheetPr>
  <dimension ref="A1:II71"/>
  <sheetViews>
    <sheetView showGridLines="0" zoomScaleNormal="100" zoomScaleSheetLayoutView="75" workbookViewId="0">
      <selection activeCell="A23" sqref="A23"/>
    </sheetView>
  </sheetViews>
  <sheetFormatPr defaultColWidth="5.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5.7109375" style="295" customWidth="1"/>
    <col min="29" max="29" width="5.7109375" style="295" hidden="1" customWidth="1"/>
    <col min="30" max="34" width="4.7109375" style="295" hidden="1" customWidth="1"/>
    <col min="35" max="35" width="7.85546875" style="475" hidden="1" customWidth="1"/>
    <col min="36" max="41" width="4.7109375" style="295" hidden="1" customWidth="1"/>
    <col min="42" max="42" width="8.7109375" style="295" hidden="1" customWidth="1"/>
    <col min="43" max="49" width="4.7109375" style="295" hidden="1" customWidth="1"/>
    <col min="50" max="52" width="5.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5.7109375" style="295" customWidth="1"/>
    <col min="180" max="181" width="5.7109375" style="295" hidden="1" customWidth="1"/>
    <col min="182" max="182" width="5.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5.7109375" style="295" customWidth="1"/>
    <col min="197" max="206" width="8.7109375" style="295" hidden="1" customWidth="1"/>
    <col min="207" max="207" width="8.7109375" style="295" customWidth="1"/>
    <col min="208" max="208" width="8.7109375" style="295" hidden="1" customWidth="1"/>
    <col min="209" max="210" width="6.7109375" style="295" hidden="1" customWidth="1"/>
    <col min="211" max="211" width="12.7109375" style="295" hidden="1" customWidth="1"/>
    <col min="212" max="212" width="6.7109375" style="297" hidden="1" customWidth="1"/>
    <col min="213" max="213" width="6.7109375" style="453" hidden="1" customWidth="1"/>
    <col min="214" max="240" width="6.7109375" style="295" hidden="1" customWidth="1"/>
    <col min="241" max="243" width="8.7109375" style="295" customWidth="1"/>
    <col min="244" max="16384" width="5.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27" t="str">
        <f>IF(AD1="","",VLOOKUP(AD1,'Job Info.'!X:AA,4,FALSE))</f>
        <v>Master</v>
      </c>
      <c r="Q1" s="2227"/>
      <c r="R1" s="2227"/>
      <c r="S1" s="2227"/>
      <c r="T1" s="444"/>
      <c r="U1" s="444"/>
      <c r="V1" s="445"/>
      <c r="W1" s="445"/>
      <c r="X1" s="1421" t="s">
        <v>96</v>
      </c>
      <c r="Y1" s="445"/>
      <c r="Z1" s="445"/>
      <c r="AA1" s="1414" t="str">
        <f ca="1">'Job Info.'!D12</f>
        <v>775-428-0600</v>
      </c>
      <c r="AB1" s="666" t="s">
        <v>763</v>
      </c>
      <c r="AD1" s="448" t="str">
        <f>'Job Info.'!Q30</f>
        <v>M</v>
      </c>
      <c r="AE1" s="449" t="b">
        <f>'Job Info.'!Q32</f>
        <v>0</v>
      </c>
      <c r="AF1" s="975"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42" t="s">
        <v>1148</v>
      </c>
      <c r="DH1" s="458" t="s">
        <v>172</v>
      </c>
      <c r="DI1" s="459" t="s">
        <v>499</v>
      </c>
      <c r="DJ1" s="460" t="s">
        <v>611</v>
      </c>
      <c r="DK1" s="459" t="s">
        <v>501</v>
      </c>
      <c r="DL1" s="459" t="s">
        <v>502</v>
      </c>
      <c r="DM1" s="459" t="s">
        <v>503</v>
      </c>
      <c r="DN1" s="461" t="s">
        <v>722</v>
      </c>
      <c r="DO1" s="296"/>
      <c r="DP1" s="447" t="s">
        <v>1156</v>
      </c>
      <c r="DQ1" s="1243">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84"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28" t="str">
        <f>IF(AD1="","",IF(VLOOKUP(AD1,'Job Info.'!X:Z,2,FALSE),"Released for Fabrication",""))</f>
        <v/>
      </c>
      <c r="Q2" s="2229"/>
      <c r="R2" s="2229"/>
      <c r="S2" s="2230"/>
      <c r="T2" s="444"/>
      <c r="U2" s="444"/>
      <c r="V2" s="445"/>
      <c r="W2" s="445"/>
      <c r="X2" s="1421" t="s">
        <v>97</v>
      </c>
      <c r="Y2" s="445"/>
      <c r="Z2" s="445"/>
      <c r="AA2" s="1414"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31"/>
      <c r="Q3" s="2232"/>
      <c r="R3" s="2232"/>
      <c r="S3" s="2233"/>
      <c r="T3" s="444"/>
      <c r="U3" s="444"/>
      <c r="V3" s="445"/>
      <c r="W3" s="445"/>
      <c r="X3" s="1421" t="s">
        <v>99</v>
      </c>
      <c r="Y3" s="445"/>
      <c r="Z3" s="445"/>
      <c r="AA3" s="1414"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34" t="str">
        <f>IF(AD1="","",IF(VLOOKUP(AD1,'Job Info.'!X:Z,2,FALSE),VLOOKUP(AD1,'Job Info.'!X:Z,3,FALSE),""))</f>
        <v/>
      </c>
      <c r="Q4" s="2235"/>
      <c r="R4" s="2235"/>
      <c r="S4" s="2236"/>
      <c r="T4" s="444"/>
      <c r="U4" s="444"/>
      <c r="V4" s="445"/>
      <c r="W4" s="445"/>
      <c r="X4" s="1421" t="s">
        <v>98</v>
      </c>
      <c r="Y4" s="445"/>
      <c r="Z4" s="445"/>
      <c r="AA4" s="1414"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450" t="str">
        <f ca="1">'Job Info.'!D11</f>
        <v>8200 Woolery Way | Fallon, NV 89406 | www.newmill.com</v>
      </c>
      <c r="B5" s="2790"/>
      <c r="C5" s="2790"/>
      <c r="D5" s="2790"/>
      <c r="E5" s="2790"/>
      <c r="F5" s="2790"/>
      <c r="G5" s="2790"/>
      <c r="H5" s="2790"/>
      <c r="I5" s="2790"/>
      <c r="J5" s="2790"/>
      <c r="K5" s="2790"/>
      <c r="L5" s="2790"/>
      <c r="M5" s="2790"/>
      <c r="N5" s="444"/>
      <c r="O5" s="444"/>
      <c r="P5" s="444"/>
      <c r="Q5" s="444"/>
      <c r="R5" s="444"/>
      <c r="S5" s="444"/>
      <c r="T5" s="444"/>
      <c r="U5" s="444"/>
      <c r="V5" s="444"/>
      <c r="W5" s="444"/>
      <c r="X5" s="444"/>
      <c r="Y5" s="444"/>
      <c r="Z5" s="444"/>
      <c r="AA5" s="444"/>
      <c r="AB5" s="982"/>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431" t="str">
        <f>IF(NOT(ISERROR(FIND("galv",LOWER($M$7)))),"**USE STEEL TAGS**  **NO A490 BOLTS**","")</f>
        <v/>
      </c>
      <c r="N6" s="2432"/>
      <c r="O6" s="2432"/>
      <c r="P6" s="2432"/>
      <c r="Q6" s="2432"/>
      <c r="R6" s="2432"/>
      <c r="S6" s="2432"/>
      <c r="T6" s="2432"/>
      <c r="U6" s="1402"/>
      <c r="V6" s="444"/>
      <c r="W6" s="444"/>
      <c r="X6" s="1417" t="s">
        <v>20</v>
      </c>
      <c r="Y6" s="2300">
        <f>IF(ISBLANK('Job Info.'!D8),"",'Job Info.'!D8)</f>
        <v>43406</v>
      </c>
      <c r="Z6" s="2300"/>
      <c r="AA6" s="471"/>
      <c r="AB6" s="983"/>
      <c r="AC6" s="1392"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5" customHeight="1" x14ac:dyDescent="0.25">
      <c r="A7" s="472" t="s">
        <v>0</v>
      </c>
      <c r="B7" s="473"/>
      <c r="C7" s="473"/>
      <c r="D7" s="473"/>
      <c r="E7" s="473"/>
      <c r="F7" s="473"/>
      <c r="G7" s="473"/>
      <c r="H7" s="473"/>
      <c r="I7" s="473"/>
      <c r="J7" s="473"/>
      <c r="K7" s="444"/>
      <c r="L7" s="1417" t="s">
        <v>26</v>
      </c>
      <c r="M7" s="2799" t="str">
        <f>IF(ISBLANK(CC18),"",CC18)</f>
        <v/>
      </c>
      <c r="N7" s="2430"/>
      <c r="O7" s="2430"/>
      <c r="P7" s="2430"/>
      <c r="Q7" s="2430"/>
      <c r="R7" s="2430"/>
      <c r="S7" s="2430"/>
      <c r="T7" s="1420"/>
      <c r="U7" s="1402"/>
      <c r="V7" s="444"/>
      <c r="W7" s="444"/>
      <c r="X7" s="1418" t="s">
        <v>21</v>
      </c>
      <c r="Y7" s="1525" t="str">
        <f>CONCATENATE(AC7, " of ",IF(ISBLANK('Job Info.'!D9),"",'Job Info.'!D9))</f>
        <v xml:space="preserve"> of 42</v>
      </c>
      <c r="Z7" s="822"/>
      <c r="AA7" s="444"/>
      <c r="AB7" s="984"/>
      <c r="AC7" s="1393"/>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84"/>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13" t="s">
        <v>1</v>
      </c>
      <c r="C9" s="2225" t="str">
        <f>IF(ISBLANK('Job Info.'!D3),"",'Job Info.'!D3)</f>
        <v>SUNPOINT CROSSING</v>
      </c>
      <c r="D9" s="2225"/>
      <c r="E9" s="2225"/>
      <c r="F9" s="2225"/>
      <c r="G9" s="2225"/>
      <c r="H9" s="2225"/>
      <c r="I9" s="2225"/>
      <c r="J9" s="2225"/>
      <c r="K9" s="2225"/>
      <c r="L9" s="2225"/>
      <c r="M9" s="2225"/>
      <c r="N9" s="2225"/>
      <c r="O9" s="2226"/>
      <c r="P9" s="477"/>
      <c r="Q9" s="478"/>
      <c r="R9" s="1413" t="s">
        <v>2</v>
      </c>
      <c r="S9" s="2225" t="str">
        <f>IF(ISBLANK('Job Info.'!D5),"",'Job Info.'!D5)</f>
        <v>9118-0062</v>
      </c>
      <c r="T9" s="2225"/>
      <c r="U9" s="2225"/>
      <c r="V9" s="2225"/>
      <c r="W9" s="2225"/>
      <c r="X9" s="2225"/>
      <c r="Y9" s="2225"/>
      <c r="Z9" s="2225"/>
      <c r="AA9" s="2226"/>
      <c r="AB9" s="984"/>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x14ac:dyDescent="0.2">
      <c r="A10" s="481"/>
      <c r="B10" s="546" t="s">
        <v>3</v>
      </c>
      <c r="C10" s="2225" t="str">
        <f>IF(ISBLANK('Job Info.'!D4),"",'Job Info.'!D4)</f>
        <v>LAS VEGAS, NV</v>
      </c>
      <c r="D10" s="2225"/>
      <c r="E10" s="2225"/>
      <c r="F10" s="2225"/>
      <c r="G10" s="2225"/>
      <c r="H10" s="2225"/>
      <c r="I10" s="2225"/>
      <c r="J10" s="2225"/>
      <c r="K10" s="2225"/>
      <c r="L10" s="2225"/>
      <c r="M10" s="2225"/>
      <c r="N10" s="2225"/>
      <c r="O10" s="2226"/>
      <c r="P10" s="482"/>
      <c r="Q10" s="483"/>
      <c r="R10" s="546" t="s">
        <v>22</v>
      </c>
      <c r="S10" s="2225" t="str">
        <f>IF(ISBLANK('Job Info.'!D6),"",'Job Info.'!D6)</f>
        <v>CJA</v>
      </c>
      <c r="T10" s="2225"/>
      <c r="U10" s="2225"/>
      <c r="V10" s="2225"/>
      <c r="W10" s="2226"/>
      <c r="X10" s="483"/>
      <c r="Y10" s="546" t="s">
        <v>23</v>
      </c>
      <c r="Z10" s="2225" t="str">
        <f>IF(ISBLANK('Job Info.'!D7),"",'Job Info.'!D7)</f>
        <v>LS</v>
      </c>
      <c r="AA10" s="2226"/>
      <c r="AB10" s="984"/>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74" t="str">
        <f>IF(ISBLANK(CC19),"",CC19)</f>
        <v/>
      </c>
      <c r="AB12" s="981" t="str">
        <f>AA12</f>
        <v/>
      </c>
      <c r="AP12" s="1294"/>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710"/>
      <c r="ES13" s="296"/>
      <c r="ET13" s="296"/>
      <c r="EU13" s="2710"/>
      <c r="EV13" s="2710"/>
      <c r="EW13" s="2710"/>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711"/>
      <c r="ES14" s="296"/>
      <c r="ET14" s="296"/>
      <c r="EU14" s="2711"/>
      <c r="EV14" s="2711"/>
      <c r="EW14" s="2711"/>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10"/>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7">
        <v>4.5</v>
      </c>
      <c r="BF16" s="1207">
        <v>5.5</v>
      </c>
      <c r="BG16" s="1208">
        <v>5</v>
      </c>
      <c r="BH16" s="1208">
        <v>5</v>
      </c>
      <c r="BI16" s="1208">
        <v>5</v>
      </c>
      <c r="BJ16" s="1208">
        <v>3</v>
      </c>
      <c r="BK16" s="1208">
        <v>5</v>
      </c>
      <c r="BL16" s="1208">
        <v>5</v>
      </c>
      <c r="BM16" s="1208">
        <v>5</v>
      </c>
      <c r="BN16" s="1208">
        <v>6</v>
      </c>
      <c r="BO16" s="1208">
        <v>5</v>
      </c>
      <c r="BP16" s="1208">
        <v>5</v>
      </c>
      <c r="BQ16" s="1208">
        <v>5</v>
      </c>
      <c r="BR16" s="1208">
        <v>3</v>
      </c>
      <c r="BS16" s="1208">
        <v>5</v>
      </c>
      <c r="BT16" s="1208">
        <v>5</v>
      </c>
      <c r="BU16" s="1208">
        <v>5</v>
      </c>
      <c r="BV16" s="1208">
        <v>6</v>
      </c>
      <c r="BW16" s="1209"/>
      <c r="BX16" s="1207">
        <v>24</v>
      </c>
      <c r="BY16" s="1207">
        <v>24</v>
      </c>
      <c r="BZ16" s="293"/>
      <c r="CA16" s="293"/>
      <c r="CB16" s="997"/>
      <c r="CC16" s="293"/>
      <c r="CD16" s="293"/>
      <c r="CE16" s="293"/>
      <c r="CF16" s="292"/>
      <c r="CG16" s="473"/>
      <c r="CH16" s="473"/>
      <c r="CI16" s="473"/>
      <c r="CJ16" s="473"/>
      <c r="CK16" s="473"/>
      <c r="CL16" s="473"/>
      <c r="CM16" s="473"/>
      <c r="CN16" s="473"/>
      <c r="CO16" s="292"/>
      <c r="CP16" s="292"/>
      <c r="CQ16" s="292"/>
      <c r="CR16" s="1211"/>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94"/>
      <c r="BA17" s="307"/>
      <c r="BB17" s="1206"/>
      <c r="BC17" s="1206"/>
      <c r="BD17" s="1206"/>
      <c r="BE17" s="1208">
        <v>6</v>
      </c>
      <c r="BF17" s="1208">
        <v>6</v>
      </c>
      <c r="BG17" s="1208">
        <v>7</v>
      </c>
      <c r="BH17" s="1208">
        <v>6</v>
      </c>
      <c r="BI17" s="1208">
        <v>6</v>
      </c>
      <c r="BJ17" s="1208">
        <v>6</v>
      </c>
      <c r="BK17" s="1208">
        <v>6</v>
      </c>
      <c r="BL17" s="1208">
        <v>6</v>
      </c>
      <c r="BM17" s="1208">
        <v>7</v>
      </c>
      <c r="BN17" s="1208">
        <v>6</v>
      </c>
      <c r="BO17" s="1208">
        <v>7</v>
      </c>
      <c r="BP17" s="1208">
        <v>6</v>
      </c>
      <c r="BQ17" s="1208">
        <v>6</v>
      </c>
      <c r="BR17" s="1208">
        <v>6</v>
      </c>
      <c r="BS17" s="1208">
        <v>6</v>
      </c>
      <c r="BT17" s="1208">
        <v>6</v>
      </c>
      <c r="BU17" s="1208">
        <v>7</v>
      </c>
      <c r="BV17" s="1208">
        <v>6</v>
      </c>
      <c r="BW17" s="1208"/>
      <c r="BX17" s="1208">
        <v>13</v>
      </c>
      <c r="BY17" s="1208">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698"/>
    </row>
    <row r="18" spans="1:243" ht="12.6" customHeight="1" thickTop="1" thickBot="1" x14ac:dyDescent="0.25">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811" t="s">
        <v>632</v>
      </c>
      <c r="BC18" s="2812"/>
      <c r="BD18" s="2812"/>
      <c r="BE18" s="2812"/>
      <c r="BF18" s="2812"/>
      <c r="BG18" s="2812"/>
      <c r="BH18" s="2812"/>
      <c r="BI18" s="2812"/>
      <c r="BJ18" s="2812"/>
      <c r="BK18" s="2812"/>
      <c r="BL18" s="2812"/>
      <c r="BM18" s="2812"/>
      <c r="BN18" s="2812"/>
      <c r="BO18" s="2812"/>
      <c r="BP18" s="2812"/>
      <c r="BQ18" s="2812"/>
      <c r="BR18" s="2812"/>
      <c r="BS18" s="2812"/>
      <c r="BT18" s="2812"/>
      <c r="BU18" s="2812"/>
      <c r="BV18" s="2813"/>
      <c r="BW18" s="2813"/>
      <c r="BX18" s="2813"/>
      <c r="BY18" s="2814"/>
      <c r="BZ18" s="473"/>
      <c r="CA18" s="473"/>
      <c r="CB18" s="470" t="s">
        <v>719</v>
      </c>
      <c r="CC18" s="2789"/>
      <c r="CD18" s="2430"/>
      <c r="CE18" s="2430"/>
      <c r="CF18" s="2430"/>
      <c r="CG18" s="473"/>
      <c r="CH18" s="292"/>
      <c r="CI18" s="292"/>
      <c r="CJ18" s="292"/>
      <c r="CK18" s="292"/>
      <c r="CL18" s="292"/>
      <c r="CM18" s="1146"/>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699"/>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815"/>
      <c r="BC19" s="2816"/>
      <c r="BD19" s="2816"/>
      <c r="BE19" s="2816"/>
      <c r="BF19" s="2816"/>
      <c r="BG19" s="2817"/>
      <c r="BH19" s="2817"/>
      <c r="BI19" s="2817"/>
      <c r="BJ19" s="2817"/>
      <c r="BK19" s="2817"/>
      <c r="BL19" s="2817"/>
      <c r="BM19" s="2817"/>
      <c r="BN19" s="2817"/>
      <c r="BO19" s="2817"/>
      <c r="BP19" s="2817"/>
      <c r="BQ19" s="2817"/>
      <c r="BR19" s="2817"/>
      <c r="BS19" s="2817"/>
      <c r="BT19" s="2817"/>
      <c r="BU19" s="2817"/>
      <c r="BV19" s="2818"/>
      <c r="BW19" s="2819"/>
      <c r="BX19" s="2818"/>
      <c r="BY19" s="2820"/>
      <c r="BZ19" s="2633" t="s">
        <v>1104</v>
      </c>
      <c r="CA19" s="2634"/>
      <c r="CB19" s="474" t="s">
        <v>698</v>
      </c>
      <c r="CC19" s="1390"/>
      <c r="CD19" s="293"/>
      <c r="CE19" s="293"/>
      <c r="CF19" s="292"/>
      <c r="CG19" s="473"/>
      <c r="CH19" s="473"/>
      <c r="CI19" s="473"/>
      <c r="CJ19" s="473"/>
      <c r="CK19" s="473"/>
      <c r="CL19" s="444"/>
      <c r="CM19" s="1191"/>
      <c r="CN19" s="2824" t="s">
        <v>720</v>
      </c>
      <c r="CO19" s="2825"/>
      <c r="CP19" s="2471" t="s">
        <v>655</v>
      </c>
      <c r="CQ19" s="2806"/>
      <c r="CR19" s="2608" t="s">
        <v>519</v>
      </c>
      <c r="CS19" s="2765"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755" t="s">
        <v>621</v>
      </c>
      <c r="EW19" s="2749" t="s">
        <v>509</v>
      </c>
      <c r="EX19" s="2753" t="s">
        <v>562</v>
      </c>
      <c r="EY19" s="2753" t="s">
        <v>563</v>
      </c>
      <c r="EZ19" s="2753" t="s">
        <v>564</v>
      </c>
      <c r="FA19" s="2753" t="s">
        <v>565</v>
      </c>
      <c r="FB19" s="2753" t="s">
        <v>566</v>
      </c>
      <c r="FC19" s="2753" t="s">
        <v>567</v>
      </c>
      <c r="FD19" s="2753" t="s">
        <v>568</v>
      </c>
      <c r="FE19" s="2753" t="s">
        <v>510</v>
      </c>
      <c r="FF19" s="2753" t="s">
        <v>569</v>
      </c>
      <c r="FG19" s="2753" t="s">
        <v>623</v>
      </c>
      <c r="FH19" s="2753" t="s">
        <v>511</v>
      </c>
      <c r="FI19" s="2753" t="s">
        <v>570</v>
      </c>
      <c r="FJ19" s="2753" t="s">
        <v>512</v>
      </c>
      <c r="FK19" s="2753" t="s">
        <v>571</v>
      </c>
      <c r="FL19" s="2753" t="s">
        <v>624</v>
      </c>
      <c r="FM19" s="2753" t="s">
        <v>513</v>
      </c>
      <c r="FN19" s="2753" t="s">
        <v>514</v>
      </c>
      <c r="FQ19" s="2777" t="s">
        <v>697</v>
      </c>
      <c r="FR19" s="2778"/>
      <c r="GA19" s="473"/>
      <c r="GB19" s="473"/>
      <c r="GC19" s="473"/>
      <c r="GD19" s="473"/>
      <c r="GE19" s="473"/>
      <c r="GF19" s="473"/>
      <c r="GG19" s="473"/>
      <c r="GH19" s="473"/>
      <c r="GI19" s="473"/>
      <c r="GJ19" s="473"/>
      <c r="HA19" s="2836" t="s">
        <v>661</v>
      </c>
      <c r="HB19" s="2837"/>
      <c r="HC19" s="2837"/>
      <c r="HD19" s="2837"/>
      <c r="HE19" s="2837"/>
      <c r="HF19" s="2837"/>
      <c r="HG19" s="2837"/>
      <c r="HH19" s="2837"/>
      <c r="HI19" s="2837"/>
      <c r="HJ19" s="2837"/>
      <c r="HK19" s="2837"/>
      <c r="HL19" s="2837"/>
      <c r="HM19" s="2837"/>
      <c r="HN19" s="2837"/>
      <c r="HO19" s="2837"/>
      <c r="HP19" s="2837"/>
      <c r="HQ19" s="2837"/>
      <c r="HR19" s="2837"/>
      <c r="HS19" s="2837"/>
      <c r="HT19" s="2837"/>
      <c r="HU19" s="2837"/>
      <c r="HV19" s="2838"/>
      <c r="HW19" s="2838"/>
      <c r="HX19" s="2838"/>
      <c r="HY19" s="2839"/>
      <c r="HZ19" s="2839"/>
      <c r="IA19" s="2839"/>
      <c r="IB19" s="2839"/>
      <c r="IC19" s="2839"/>
      <c r="ID19" s="2839"/>
      <c r="IE19" s="2839"/>
      <c r="IF19" s="2840"/>
    </row>
    <row r="20" spans="1:243" ht="12.6" customHeight="1" thickTop="1" thickBot="1" x14ac:dyDescent="0.25">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314" t="s">
        <v>487</v>
      </c>
      <c r="AV20" s="2777" t="s">
        <v>488</v>
      </c>
      <c r="AW20" s="2778"/>
      <c r="AX20" s="555"/>
      <c r="BA20" s="507"/>
      <c r="BB20" s="619"/>
      <c r="BC20" s="620"/>
      <c r="BD20" s="620"/>
      <c r="BE20" s="620"/>
      <c r="BF20" s="621"/>
      <c r="BG20" s="2758" t="s">
        <v>506</v>
      </c>
      <c r="BH20" s="2759"/>
      <c r="BI20" s="2759"/>
      <c r="BJ20" s="2759"/>
      <c r="BK20" s="2759"/>
      <c r="BL20" s="2760"/>
      <c r="BM20" s="2761"/>
      <c r="BN20" s="2762"/>
      <c r="BO20" s="2758" t="s">
        <v>507</v>
      </c>
      <c r="BP20" s="2760"/>
      <c r="BQ20" s="2760"/>
      <c r="BR20" s="2760"/>
      <c r="BS20" s="2760"/>
      <c r="BT20" s="2760"/>
      <c r="BU20" s="2761"/>
      <c r="BV20" s="2762"/>
      <c r="BW20" s="2786" t="s">
        <v>846</v>
      </c>
      <c r="BX20" s="2828"/>
      <c r="BY20" s="2829"/>
      <c r="BZ20" s="2567"/>
      <c r="CA20" s="2569"/>
      <c r="CB20" s="473"/>
      <c r="CC20" s="473"/>
      <c r="CD20" s="293"/>
      <c r="CE20" s="293"/>
      <c r="CF20" s="292"/>
      <c r="CG20" s="473"/>
      <c r="CH20" s="473"/>
      <c r="CI20" s="473"/>
      <c r="CJ20" s="473"/>
      <c r="CK20" s="473"/>
      <c r="CL20" s="1192"/>
      <c r="CM20" s="1193"/>
      <c r="CN20" s="2826"/>
      <c r="CO20" s="2827"/>
      <c r="CP20" s="2807"/>
      <c r="CQ20" s="2808"/>
      <c r="CR20" s="2763"/>
      <c r="CS20" s="2766"/>
      <c r="CU20" s="2731" t="s">
        <v>508</v>
      </c>
      <c r="CV20" s="2732"/>
      <c r="CW20" s="2732"/>
      <c r="CX20" s="2732"/>
      <c r="CY20" s="2732"/>
      <c r="CZ20" s="2732"/>
      <c r="DA20" s="2732"/>
      <c r="DB20" s="2732"/>
      <c r="DC20" s="2732"/>
      <c r="DD20" s="2733"/>
      <c r="DE20" s="2731" t="s">
        <v>507</v>
      </c>
      <c r="DF20" s="2732"/>
      <c r="DG20" s="2732"/>
      <c r="DH20" s="2732"/>
      <c r="DI20" s="2732"/>
      <c r="DJ20" s="2732"/>
      <c r="DK20" s="2732"/>
      <c r="DL20" s="2732"/>
      <c r="DM20" s="2732"/>
      <c r="DN20" s="2733"/>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756"/>
      <c r="EW20" s="2750"/>
      <c r="EX20" s="2754"/>
      <c r="EY20" s="2754"/>
      <c r="EZ20" s="2800"/>
      <c r="FA20" s="2754"/>
      <c r="FB20" s="2754"/>
      <c r="FC20" s="2754"/>
      <c r="FD20" s="2801"/>
      <c r="FE20" s="2801"/>
      <c r="FF20" s="2801"/>
      <c r="FG20" s="2801"/>
      <c r="FH20" s="2801"/>
      <c r="FI20" s="2801"/>
      <c r="FJ20" s="2801"/>
      <c r="FK20" s="2801"/>
      <c r="FL20" s="2801"/>
      <c r="FM20" s="2801"/>
      <c r="FN20" s="2801"/>
      <c r="FQ20" s="2779"/>
      <c r="FR20" s="2780"/>
      <c r="GA20" s="2706" t="s">
        <v>1188</v>
      </c>
      <c r="GB20" s="2706"/>
      <c r="GC20" s="2706"/>
      <c r="GD20" s="2706"/>
      <c r="GE20" s="2706"/>
      <c r="GF20" s="2706"/>
      <c r="GG20" s="2657"/>
      <c r="GH20" s="2657"/>
      <c r="GI20" s="2657"/>
      <c r="GJ20" s="2657"/>
      <c r="GZ20" s="2698"/>
      <c r="HA20" s="2841"/>
      <c r="HB20" s="2842"/>
      <c r="HC20" s="2842"/>
      <c r="HD20" s="2842"/>
      <c r="HE20" s="2842"/>
      <c r="HF20" s="2842"/>
      <c r="HG20" s="2842"/>
      <c r="HH20" s="2842"/>
      <c r="HI20" s="2842"/>
      <c r="HJ20" s="2842"/>
      <c r="HK20" s="2842"/>
      <c r="HL20" s="2842"/>
      <c r="HM20" s="2842"/>
      <c r="HN20" s="2842"/>
      <c r="HO20" s="2842"/>
      <c r="HP20" s="2842"/>
      <c r="HQ20" s="2842"/>
      <c r="HR20" s="2842"/>
      <c r="HS20" s="2842"/>
      <c r="HT20" s="2842"/>
      <c r="HU20" s="2842"/>
      <c r="HV20" s="2843"/>
      <c r="HW20" s="2843"/>
      <c r="HX20" s="2843"/>
      <c r="HY20" s="2844"/>
      <c r="HZ20" s="2844"/>
      <c r="IA20" s="2844"/>
      <c r="IB20" s="2844"/>
      <c r="IC20" s="2844"/>
      <c r="ID20" s="2844"/>
      <c r="IE20" s="2844"/>
      <c r="IF20" s="2845"/>
    </row>
    <row r="21" spans="1:243" s="510" customFormat="1" ht="12.6" customHeight="1" thickTop="1" thickBot="1" x14ac:dyDescent="0.25">
      <c r="A21" s="2795" t="s">
        <v>40</v>
      </c>
      <c r="B21" s="2791" t="s">
        <v>28</v>
      </c>
      <c r="C21" s="2791" t="s">
        <v>24</v>
      </c>
      <c r="D21" s="2791" t="s">
        <v>25</v>
      </c>
      <c r="E21" s="2792"/>
      <c r="F21" s="2344" t="s">
        <v>9</v>
      </c>
      <c r="G21" s="2443"/>
      <c r="H21" s="2443"/>
      <c r="I21" s="2443" t="s">
        <v>10</v>
      </c>
      <c r="J21" s="2443"/>
      <c r="K21" s="2342"/>
      <c r="L21" s="2442" t="s">
        <v>11</v>
      </c>
      <c r="M21" s="2444"/>
      <c r="N21" s="2344" t="s">
        <v>12</v>
      </c>
      <c r="O21" s="2443"/>
      <c r="P21" s="2443"/>
      <c r="Q21" s="2443" t="s">
        <v>13</v>
      </c>
      <c r="R21" s="2443"/>
      <c r="S21" s="2444"/>
      <c r="T21" s="2344" t="s">
        <v>14</v>
      </c>
      <c r="U21" s="2443"/>
      <c r="V21" s="2443"/>
      <c r="W21" s="2443"/>
      <c r="X21" s="2342"/>
      <c r="Y21" s="2437" t="s">
        <v>112</v>
      </c>
      <c r="Z21" s="2438"/>
      <c r="AA21" s="1373" t="s">
        <v>15</v>
      </c>
      <c r="AU21" s="2315"/>
      <c r="AV21" s="2779"/>
      <c r="AW21" s="2780"/>
      <c r="AX21" s="600"/>
      <c r="AZ21" s="2797" t="s">
        <v>1105</v>
      </c>
      <c r="BA21" s="490"/>
      <c r="BB21" s="2832" t="s">
        <v>576</v>
      </c>
      <c r="BC21" s="2783" t="s">
        <v>131</v>
      </c>
      <c r="BD21" s="2774" t="s">
        <v>577</v>
      </c>
      <c r="BE21" s="2693" t="s">
        <v>578</v>
      </c>
      <c r="BF21" s="2821"/>
      <c r="BG21" s="2616" t="s">
        <v>579</v>
      </c>
      <c r="BH21" s="2618" t="s">
        <v>845</v>
      </c>
      <c r="BI21" s="2619"/>
      <c r="BJ21" s="2772" t="s">
        <v>580</v>
      </c>
      <c r="BK21" s="2774" t="s">
        <v>1118</v>
      </c>
      <c r="BL21" s="2619"/>
      <c r="BM21" s="2484" t="s">
        <v>525</v>
      </c>
      <c r="BN21" s="2784" t="s">
        <v>835</v>
      </c>
      <c r="BO21" s="2616" t="s">
        <v>579</v>
      </c>
      <c r="BP21" s="2618" t="s">
        <v>845</v>
      </c>
      <c r="BQ21" s="2619"/>
      <c r="BR21" s="2772" t="s">
        <v>580</v>
      </c>
      <c r="BS21" s="2774" t="s">
        <v>1118</v>
      </c>
      <c r="BT21" s="2619"/>
      <c r="BU21" s="2484" t="s">
        <v>525</v>
      </c>
      <c r="BV21" s="2626" t="s">
        <v>835</v>
      </c>
      <c r="BW21" s="2787"/>
      <c r="BX21" s="2830"/>
      <c r="BY21" s="2831"/>
      <c r="BZ21" s="2635" t="s">
        <v>677</v>
      </c>
      <c r="CA21" s="2637" t="s">
        <v>678</v>
      </c>
      <c r="CB21" s="2632" t="s">
        <v>847</v>
      </c>
      <c r="CC21" s="2632"/>
      <c r="CD21" s="2632" t="s">
        <v>829</v>
      </c>
      <c r="CE21" s="2632"/>
      <c r="CF21" s="2573" t="s">
        <v>1064</v>
      </c>
      <c r="CG21" s="2573"/>
      <c r="CH21" s="2769" t="s">
        <v>628</v>
      </c>
      <c r="CI21" s="2770"/>
      <c r="CJ21" s="2770"/>
      <c r="CK21" s="2769" t="s">
        <v>629</v>
      </c>
      <c r="CL21" s="2621" t="s">
        <v>827</v>
      </c>
      <c r="CM21" s="2621"/>
      <c r="CN21" s="2826"/>
      <c r="CO21" s="2827"/>
      <c r="CP21" s="2809"/>
      <c r="CQ21" s="2810"/>
      <c r="CR21" s="2763"/>
      <c r="CS21" s="2766"/>
      <c r="CU21" s="2726" t="s">
        <v>535</v>
      </c>
      <c r="CV21" s="2712" t="s">
        <v>536</v>
      </c>
      <c r="CW21" s="2712" t="s">
        <v>537</v>
      </c>
      <c r="CX21" s="2712" t="s">
        <v>538</v>
      </c>
      <c r="CY21" s="2712" t="s">
        <v>599</v>
      </c>
      <c r="CZ21" s="2712" t="s">
        <v>618</v>
      </c>
      <c r="DA21" s="2712" t="s">
        <v>539</v>
      </c>
      <c r="DB21" s="2712" t="s">
        <v>619</v>
      </c>
      <c r="DC21" s="2712" t="s">
        <v>540</v>
      </c>
      <c r="DD21" s="2712" t="s">
        <v>541</v>
      </c>
      <c r="DE21" s="2726" t="s">
        <v>535</v>
      </c>
      <c r="DF21" s="2712" t="s">
        <v>536</v>
      </c>
      <c r="DG21" s="2712" t="s">
        <v>542</v>
      </c>
      <c r="DH21" s="2712" t="s">
        <v>538</v>
      </c>
      <c r="DI21" s="2712" t="s">
        <v>599</v>
      </c>
      <c r="DJ21" s="2712" t="s">
        <v>618</v>
      </c>
      <c r="DK21" s="2712" t="s">
        <v>539</v>
      </c>
      <c r="DL21" s="2712" t="s">
        <v>619</v>
      </c>
      <c r="DM21" s="2712" t="s">
        <v>540</v>
      </c>
      <c r="DN21" s="2729" t="s">
        <v>541</v>
      </c>
      <c r="DO21" s="2722" t="s">
        <v>528</v>
      </c>
      <c r="DP21" s="2741" t="s">
        <v>543</v>
      </c>
      <c r="DQ21" s="2716" t="s">
        <v>544</v>
      </c>
      <c r="DR21" s="2724" t="s">
        <v>545</v>
      </c>
      <c r="DS21" s="2737" t="s">
        <v>582</v>
      </c>
      <c r="DT21" s="2714" t="s">
        <v>546</v>
      </c>
      <c r="DU21" s="2715"/>
      <c r="DV21" s="2739" t="s">
        <v>1149</v>
      </c>
      <c r="DW21" s="2718" t="s">
        <v>1150</v>
      </c>
      <c r="DX21" s="2720" t="s">
        <v>551</v>
      </c>
      <c r="DY21" s="2737" t="s">
        <v>583</v>
      </c>
      <c r="DZ21" s="2714" t="s">
        <v>548</v>
      </c>
      <c r="EA21" s="2715"/>
      <c r="EB21" s="2718" t="s">
        <v>1151</v>
      </c>
      <c r="EC21" s="2718" t="s">
        <v>1152</v>
      </c>
      <c r="ED21" s="2720" t="s">
        <v>553</v>
      </c>
      <c r="EE21" s="2716" t="s">
        <v>584</v>
      </c>
      <c r="EF21" s="2743" t="s">
        <v>585</v>
      </c>
      <c r="EG21" s="2746"/>
      <c r="EH21" s="2743" t="s">
        <v>586</v>
      </c>
      <c r="EI21" s="2744"/>
      <c r="EJ21" s="2724" t="s">
        <v>587</v>
      </c>
      <c r="EK21" s="2725"/>
      <c r="EL21" s="2716" t="s">
        <v>608</v>
      </c>
      <c r="EM21" s="2743" t="s">
        <v>588</v>
      </c>
      <c r="EN21" s="2746"/>
      <c r="EO21" s="2743" t="s">
        <v>589</v>
      </c>
      <c r="EP21" s="2744"/>
      <c r="EQ21" s="2724" t="s">
        <v>590</v>
      </c>
      <c r="ER21" s="2725"/>
      <c r="ES21" s="2716" t="s">
        <v>12</v>
      </c>
      <c r="ET21" s="2716" t="s">
        <v>13</v>
      </c>
      <c r="EU21" s="2724" t="s">
        <v>622</v>
      </c>
      <c r="EV21" s="2756"/>
      <c r="EW21" s="2750"/>
      <c r="EX21" s="2754"/>
      <c r="EY21" s="2754"/>
      <c r="EZ21" s="2800"/>
      <c r="FA21" s="2754"/>
      <c r="FB21" s="2754"/>
      <c r="FC21" s="2754"/>
      <c r="FD21" s="2801"/>
      <c r="FE21" s="2801"/>
      <c r="FF21" s="2801"/>
      <c r="FG21" s="2801"/>
      <c r="FH21" s="2801"/>
      <c r="FI21" s="2801"/>
      <c r="FJ21" s="2801"/>
      <c r="FK21" s="2801"/>
      <c r="FL21" s="2801"/>
      <c r="FM21" s="2801"/>
      <c r="FN21" s="2801"/>
      <c r="FO21" s="2716" t="s">
        <v>630</v>
      </c>
      <c r="FP21" s="2716" t="s">
        <v>631</v>
      </c>
      <c r="FQ21" s="2833" t="s">
        <v>695</v>
      </c>
      <c r="FR21" s="2848" t="s">
        <v>696</v>
      </c>
      <c r="FS21" s="2741" t="s">
        <v>723</v>
      </c>
      <c r="FT21" s="2851" t="s">
        <v>724</v>
      </c>
      <c r="FU21" s="2543" t="s">
        <v>828</v>
      </c>
      <c r="FV21" s="2544"/>
      <c r="GA21" s="2498" t="s">
        <v>749</v>
      </c>
      <c r="GB21" s="2499"/>
      <c r="GC21" s="2498" t="s">
        <v>597</v>
      </c>
      <c r="GD21" s="2499"/>
      <c r="GE21" s="2500" t="s">
        <v>752</v>
      </c>
      <c r="GF21" s="2502" t="s">
        <v>40</v>
      </c>
      <c r="GG21" s="2704" t="s">
        <v>1190</v>
      </c>
      <c r="GH21" s="2705"/>
      <c r="GI21" s="2704" t="s">
        <v>1189</v>
      </c>
      <c r="GJ21" s="2705"/>
      <c r="GK21" s="2804" t="s">
        <v>753</v>
      </c>
      <c r="GL21" s="2491" t="s">
        <v>754</v>
      </c>
      <c r="GM21" s="2491" t="s">
        <v>755</v>
      </c>
      <c r="GN21" s="1452"/>
      <c r="GO21" s="1452"/>
      <c r="GP21" s="1452"/>
      <c r="GQ21" s="1452"/>
      <c r="GR21" s="1452"/>
      <c r="GS21" s="1452"/>
      <c r="GT21" s="1452"/>
      <c r="GU21" s="1452"/>
      <c r="GV21" s="1452"/>
      <c r="GW21" s="1452"/>
      <c r="GX21" s="1452"/>
      <c r="GY21" s="1452"/>
      <c r="GZ21" s="2699"/>
      <c r="HA21" s="2846" t="s">
        <v>576</v>
      </c>
      <c r="HB21" s="2702" t="s">
        <v>131</v>
      </c>
      <c r="HC21" s="2702" t="s">
        <v>577</v>
      </c>
      <c r="HD21" s="2802" t="str">
        <f>IF($HA$1,"Joist ""BayLength""","Overall Length")</f>
        <v>Overall Length</v>
      </c>
      <c r="HE21" s="2803"/>
      <c r="HF21" s="2700" t="str">
        <f>IF($HA$1,"Left Sect. #","TCXL Feet")</f>
        <v>TCXL Feet</v>
      </c>
      <c r="HG21" s="2700" t="str">
        <f>IF($HA$1,"L Min Sup Width","TCXL Inch")</f>
        <v>TCXL Inch</v>
      </c>
      <c r="HH21" s="2700" t="str">
        <f>IF($HA$1,"L Max Sup Width","TCXL Type")</f>
        <v>TCXL Type</v>
      </c>
      <c r="HI21" s="2700" t="str">
        <f>IF($HA$1,"Left Bolt ""X""","TCXR Feet")</f>
        <v>TCXR Feet</v>
      </c>
      <c r="HJ21" s="2700" t="str">
        <f>IF($HA$1,"L Min Flg Ga","TCXR Inch")</f>
        <v>TCXR Inch</v>
      </c>
      <c r="HK21" s="2700" t="str">
        <f>IF($HA$1,"L Max Flg Ga","TCXR Type")</f>
        <v>TCXR Type</v>
      </c>
      <c r="HL21" s="2700" t="str">
        <f>IF($HA$1,"Left Skew","BDL")</f>
        <v>BDL</v>
      </c>
      <c r="HM21" s="2700" t="str">
        <f>IF($HA$1,"Left Brg Slp","BDR")</f>
        <v>BDR</v>
      </c>
      <c r="HN21" s="2700" t="str">
        <f>IF($HA$1,"Right Sect. #","BCXL Feet")</f>
        <v>BCXL Feet</v>
      </c>
      <c r="HO21" s="2700" t="str">
        <f>IF($HA$1,"R Min Sup Width","BCXL Inch")</f>
        <v>BCXL Inch</v>
      </c>
      <c r="HP21" s="2700" t="str">
        <f>IF($HA$1,"R Max Sup Width","BCXL Type")</f>
        <v>BCXL Type</v>
      </c>
      <c r="HQ21" s="2700" t="str">
        <f>IF($HA$1,"Right Bolt ""X""","BCXR Feet")</f>
        <v>BCXR Feet</v>
      </c>
      <c r="HR21" s="2700" t="str">
        <f>IF($HA$1,"R Min Flg Ga","BCXR Inch")</f>
        <v>BCXR Inch</v>
      </c>
      <c r="HS21" s="2700" t="str">
        <f>IF($HA$1,"R Max Flg Ga","BCXR Type")</f>
        <v>BCXR Type</v>
      </c>
      <c r="HT21" s="2700" t="str">
        <f>IF($HA$1,"Right Skew","HL Feet")</f>
        <v>HL Feet</v>
      </c>
      <c r="HU21" s="2700" t="str">
        <f>IF($HA$1,"Right Brg Slp","HL Inch")</f>
        <v>HL Inch</v>
      </c>
      <c r="HV21" s="2700" t="str">
        <f>IF($HA$1,"TC Slope","HR Feet")</f>
        <v>HR Feet</v>
      </c>
      <c r="HW21" s="2700" t="str">
        <f>IF($HA$1,"Load Notes","HR Inch")</f>
        <v>HR Inch</v>
      </c>
      <c r="HX21" s="2700" t="str">
        <f>IF($HA$1,"Spcl Notes","Slot Ga")</f>
        <v>Slot Ga</v>
      </c>
      <c r="HY21" s="2700" t="str">
        <f>IF($HA$1,"TC L Override","L Seat Slp")</f>
        <v>L Seat Slp</v>
      </c>
      <c r="HZ21" s="2700" t="str">
        <f>IF($HA$1,"TCR Override","R Seat Slp")</f>
        <v>R Seat Slp</v>
      </c>
      <c r="IA21" s="2700" t="str">
        <f>IF($HA$1,"L-BL Override","Sp Notes")</f>
        <v>Sp Notes</v>
      </c>
      <c r="IB21" s="2700" t="str">
        <f>IF($HA$1,"R-BL Override","Ld Notes")</f>
        <v>Ld Notes</v>
      </c>
      <c r="IC21" s="2700" t="str">
        <f>IF($HA$1,"BCXL ""X""","-")</f>
        <v>-</v>
      </c>
      <c r="ID21" s="2700" t="str">
        <f>IF($HA$1,"BCXR ""X""","-")</f>
        <v>-</v>
      </c>
      <c r="IE21" s="2700" t="str">
        <f>IF($HA$1,"BDL Override","-")</f>
        <v>-</v>
      </c>
      <c r="IF21" s="2834" t="str">
        <f>IF($HA$1,"BDR Override","-")</f>
        <v>-</v>
      </c>
    </row>
    <row r="22" spans="1:243" s="510" customFormat="1" ht="12.6" customHeight="1" thickTop="1" thickBot="1" x14ac:dyDescent="0.25">
      <c r="A22" s="2796"/>
      <c r="B22" s="2793"/>
      <c r="C22" s="2793"/>
      <c r="D22" s="2793"/>
      <c r="E22" s="2794"/>
      <c r="F22" s="2352" t="s">
        <v>16</v>
      </c>
      <c r="G22" s="2436"/>
      <c r="H22" s="1423" t="s">
        <v>773</v>
      </c>
      <c r="I22" s="2436" t="s">
        <v>16</v>
      </c>
      <c r="J22" s="2436"/>
      <c r="K22" s="1371" t="s">
        <v>773</v>
      </c>
      <c r="L22" s="1427" t="s">
        <v>18</v>
      </c>
      <c r="M22" s="549" t="s">
        <v>19</v>
      </c>
      <c r="N22" s="2352" t="s">
        <v>16</v>
      </c>
      <c r="O22" s="2436"/>
      <c r="P22" s="1423" t="s">
        <v>773</v>
      </c>
      <c r="Q22" s="2436" t="s">
        <v>16</v>
      </c>
      <c r="R22" s="2436"/>
      <c r="S22" s="549" t="s">
        <v>773</v>
      </c>
      <c r="T22" s="2352" t="s">
        <v>81</v>
      </c>
      <c r="U22" s="2436"/>
      <c r="V22" s="2436" t="s">
        <v>82</v>
      </c>
      <c r="W22" s="2436"/>
      <c r="X22" s="1371" t="s">
        <v>27</v>
      </c>
      <c r="Y22" s="1427" t="s">
        <v>113</v>
      </c>
      <c r="Z22" s="549" t="s">
        <v>114</v>
      </c>
      <c r="AA22" s="1374" t="s">
        <v>58</v>
      </c>
      <c r="AB22" s="295"/>
      <c r="AC22" s="1225"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316"/>
      <c r="AV22" s="2781"/>
      <c r="AW22" s="2782"/>
      <c r="AX22" s="601" t="s">
        <v>673</v>
      </c>
      <c r="AY22" s="601" t="s">
        <v>134</v>
      </c>
      <c r="AZ22" s="2798"/>
      <c r="BA22" s="490"/>
      <c r="BB22" s="2506"/>
      <c r="BC22" s="2485"/>
      <c r="BD22" s="2508"/>
      <c r="BE22" s="2822"/>
      <c r="BF22" s="2823"/>
      <c r="BG22" s="2617"/>
      <c r="BH22" s="2775"/>
      <c r="BI22" s="2776"/>
      <c r="BJ22" s="2773"/>
      <c r="BK22" s="2775"/>
      <c r="BL22" s="2776"/>
      <c r="BM22" s="2485"/>
      <c r="BN22" s="2785"/>
      <c r="BO22" s="2617"/>
      <c r="BP22" s="2775"/>
      <c r="BQ22" s="2776"/>
      <c r="BR22" s="2773"/>
      <c r="BS22" s="2775"/>
      <c r="BT22" s="2776"/>
      <c r="BU22" s="2485"/>
      <c r="BV22" s="2768"/>
      <c r="BW22" s="2788"/>
      <c r="BX22" s="515" t="s">
        <v>455</v>
      </c>
      <c r="BY22" s="516" t="s">
        <v>592</v>
      </c>
      <c r="BZ22" s="2636"/>
      <c r="CA22" s="2638"/>
      <c r="CB22" s="594" t="s">
        <v>646</v>
      </c>
      <c r="CC22" s="595" t="s">
        <v>647</v>
      </c>
      <c r="CD22" s="594" t="s">
        <v>646</v>
      </c>
      <c r="CE22" s="595" t="s">
        <v>647</v>
      </c>
      <c r="CF22" s="594" t="s">
        <v>646</v>
      </c>
      <c r="CG22" s="595" t="s">
        <v>647</v>
      </c>
      <c r="CH22" s="596" t="s">
        <v>625</v>
      </c>
      <c r="CI22" s="517" t="s">
        <v>626</v>
      </c>
      <c r="CJ22" s="518" t="s">
        <v>627</v>
      </c>
      <c r="CK22" s="2771"/>
      <c r="CL22" s="597" t="s">
        <v>646</v>
      </c>
      <c r="CM22" s="598" t="s">
        <v>647</v>
      </c>
      <c r="CN22" s="593" t="s">
        <v>646</v>
      </c>
      <c r="CO22" s="519" t="s">
        <v>647</v>
      </c>
      <c r="CP22" s="520" t="s">
        <v>557</v>
      </c>
      <c r="CQ22" s="521" t="s">
        <v>170</v>
      </c>
      <c r="CR22" s="2764"/>
      <c r="CS22" s="2767"/>
      <c r="CU22" s="2727"/>
      <c r="CV22" s="2728"/>
      <c r="CW22" s="2728"/>
      <c r="CX22" s="2713"/>
      <c r="CY22" s="2713"/>
      <c r="CZ22" s="2713"/>
      <c r="DA22" s="2713"/>
      <c r="DB22" s="2713"/>
      <c r="DC22" s="2713"/>
      <c r="DD22" s="2713"/>
      <c r="DE22" s="2727"/>
      <c r="DF22" s="2728"/>
      <c r="DG22" s="2728"/>
      <c r="DH22" s="2713"/>
      <c r="DI22" s="2713"/>
      <c r="DJ22" s="2713"/>
      <c r="DK22" s="2713"/>
      <c r="DL22" s="2713"/>
      <c r="DM22" s="2713"/>
      <c r="DN22" s="2730"/>
      <c r="DO22" s="2723"/>
      <c r="DP22" s="2742"/>
      <c r="DQ22" s="2717"/>
      <c r="DR22" s="2736"/>
      <c r="DS22" s="2738"/>
      <c r="DT22" s="522" t="s">
        <v>593</v>
      </c>
      <c r="DU22" s="522" t="s">
        <v>594</v>
      </c>
      <c r="DV22" s="2740"/>
      <c r="DW22" s="2719"/>
      <c r="DX22" s="2721"/>
      <c r="DY22" s="2738"/>
      <c r="DZ22" s="522" t="s">
        <v>593</v>
      </c>
      <c r="EA22" s="522" t="s">
        <v>594</v>
      </c>
      <c r="EB22" s="2719"/>
      <c r="EC22" s="2719"/>
      <c r="ED22" s="2721"/>
      <c r="EE22" s="2745"/>
      <c r="EF22" s="523" t="s">
        <v>558</v>
      </c>
      <c r="EG22" s="524" t="s">
        <v>559</v>
      </c>
      <c r="EH22" s="523" t="s">
        <v>558</v>
      </c>
      <c r="EI22" s="524" t="s">
        <v>559</v>
      </c>
      <c r="EJ22" s="523" t="s">
        <v>558</v>
      </c>
      <c r="EK22" s="524" t="s">
        <v>559</v>
      </c>
      <c r="EL22" s="2745"/>
      <c r="EM22" s="523" t="s">
        <v>558</v>
      </c>
      <c r="EN22" s="524" t="s">
        <v>559</v>
      </c>
      <c r="EO22" s="523" t="s">
        <v>558</v>
      </c>
      <c r="EP22" s="524" t="s">
        <v>559</v>
      </c>
      <c r="EQ22" s="523" t="s">
        <v>558</v>
      </c>
      <c r="ER22" s="524" t="s">
        <v>559</v>
      </c>
      <c r="ES22" s="2751"/>
      <c r="ET22" s="2751"/>
      <c r="EU22" s="2752"/>
      <c r="EV22" s="2757"/>
      <c r="EW22" s="2750"/>
      <c r="EX22" s="2754"/>
      <c r="EY22" s="2754"/>
      <c r="EZ22" s="2800"/>
      <c r="FA22" s="2754"/>
      <c r="FB22" s="2754"/>
      <c r="FC22" s="2754"/>
      <c r="FD22" s="2801"/>
      <c r="FE22" s="2801"/>
      <c r="FF22" s="2801"/>
      <c r="FG22" s="2801"/>
      <c r="FH22" s="2801"/>
      <c r="FI22" s="2801"/>
      <c r="FJ22" s="2801"/>
      <c r="FK22" s="2801"/>
      <c r="FL22" s="2801"/>
      <c r="FM22" s="2801"/>
      <c r="FN22" s="2801"/>
      <c r="FO22" s="2751"/>
      <c r="FP22" s="2751"/>
      <c r="FQ22" s="2751"/>
      <c r="FR22" s="2849"/>
      <c r="FS22" s="2850"/>
      <c r="FT22" s="2849"/>
      <c r="FU22" s="610" t="s">
        <v>646</v>
      </c>
      <c r="FV22" s="611" t="s">
        <v>647</v>
      </c>
      <c r="GA22" s="1295" t="s">
        <v>1158</v>
      </c>
      <c r="GB22" s="1296" t="s">
        <v>751</v>
      </c>
      <c r="GC22" s="1297" t="s">
        <v>646</v>
      </c>
      <c r="GD22" s="1298" t="s">
        <v>647</v>
      </c>
      <c r="GE22" s="2501"/>
      <c r="GF22" s="2501"/>
      <c r="GG22" s="1299" t="s">
        <v>1158</v>
      </c>
      <c r="GH22" s="1300" t="s">
        <v>751</v>
      </c>
      <c r="GI22" s="1299" t="s">
        <v>1158</v>
      </c>
      <c r="GJ22" s="1300" t="s">
        <v>751</v>
      </c>
      <c r="GK22" s="2805"/>
      <c r="GL22" s="2492"/>
      <c r="GM22" s="2492"/>
      <c r="GN22" s="1452"/>
      <c r="GO22" s="1452"/>
      <c r="GP22" s="1452"/>
      <c r="GQ22" s="1452"/>
      <c r="GR22" s="1452"/>
      <c r="GS22" s="1452"/>
      <c r="GT22" s="1452"/>
      <c r="GU22" s="1452"/>
      <c r="GV22" s="1452"/>
      <c r="GW22" s="1452"/>
      <c r="GX22" s="1452"/>
      <c r="GY22" s="1452"/>
      <c r="GZ22" s="2699"/>
      <c r="HA22" s="2847"/>
      <c r="HB22" s="2703"/>
      <c r="HC22" s="2703"/>
      <c r="HD22" s="2703"/>
      <c r="HE22" s="2703"/>
      <c r="HF22" s="2701"/>
      <c r="HG22" s="2701"/>
      <c r="HH22" s="2701"/>
      <c r="HI22" s="2701"/>
      <c r="HJ22" s="2701"/>
      <c r="HK22" s="2701"/>
      <c r="HL22" s="2701"/>
      <c r="HM22" s="2701"/>
      <c r="HN22" s="2701"/>
      <c r="HO22" s="2701"/>
      <c r="HP22" s="2701"/>
      <c r="HQ22" s="2701"/>
      <c r="HR22" s="2701"/>
      <c r="HS22" s="2701"/>
      <c r="HT22" s="2701"/>
      <c r="HU22" s="2701"/>
      <c r="HV22" s="2701"/>
      <c r="HW22" s="2701"/>
      <c r="HX22" s="2701"/>
      <c r="HY22" s="2701"/>
      <c r="HZ22" s="2701"/>
      <c r="IA22" s="2701"/>
      <c r="IB22" s="2701"/>
      <c r="IC22" s="2701"/>
      <c r="ID22" s="2701"/>
      <c r="IE22" s="2701"/>
      <c r="IF22" s="2835"/>
    </row>
    <row r="23" spans="1:243" ht="12.6" customHeight="1" thickTop="1" x14ac:dyDescent="0.25">
      <c r="A23" s="1471" t="str">
        <f t="shared" ref="A23:A39" si="1">IF(BB23="","",UPPER(BB23))</f>
        <v/>
      </c>
      <c r="B23" s="1473" t="str">
        <f t="shared" ref="B23:B39" si="2">IF(BC23="","",BC23)</f>
        <v/>
      </c>
      <c r="C23" s="1473" t="str">
        <f t="shared" ref="C23:C39" si="3">IF(BD23="","",UPPER(BD23))</f>
        <v/>
      </c>
      <c r="D23" s="1909" t="str">
        <f t="shared" ref="D23:D39" si="4">IF(DP23="","",TRUNC(DP23/12))</f>
        <v/>
      </c>
      <c r="E23" s="1964" t="str">
        <f t="shared" ref="E23:E39" si="5">IF(DP23="","",DP23-(D23*12))</f>
        <v/>
      </c>
      <c r="F23" s="1917" t="str">
        <f t="shared" ref="F23:F39" si="6">IF(DX23=0,"",TRUNC(DX23/12))</f>
        <v/>
      </c>
      <c r="G23" s="1910" t="str">
        <f t="shared" ref="G23:G39" si="7">IF(DX23=0,"",DX23-(F23*12))</f>
        <v/>
      </c>
      <c r="H23" s="1965" t="str">
        <f t="shared" ref="H23:H39" si="8">IF(DX23=0,"",CW23)</f>
        <v/>
      </c>
      <c r="I23" s="1909" t="str">
        <f t="shared" ref="I23:I39" si="9">IF(ED23=0,"",TRUNC(ED23/12))</f>
        <v/>
      </c>
      <c r="J23" s="1910" t="str">
        <f t="shared" ref="J23:J39" si="10">IF(ED23=0,"",ED23-(I23*12))</f>
        <v/>
      </c>
      <c r="K23" s="1966" t="str">
        <f t="shared" ref="K23:K39" si="11">IF(ED23=0,"",DG23)</f>
        <v/>
      </c>
      <c r="L23" s="1915" t="str">
        <f t="shared" ref="L23:L39" si="12">DQ23</f>
        <v/>
      </c>
      <c r="M23" s="1961" t="str">
        <f t="shared" ref="M23:M39" si="13">DR23</f>
        <v/>
      </c>
      <c r="N23" s="1917" t="str">
        <f t="shared" ref="N23:N39" si="14">IF(ES23="","",IF(AND(ES23&lt;0,ES23&gt;-12),TRUNC(ES23/12)-0.0000001,TRUNC(ES23/12)))</f>
        <v/>
      </c>
      <c r="O23" s="1910" t="str">
        <f t="shared" ref="O23:O39" si="15">IF(ES23="","",IF(AND(ES23-(N23*12)=0,ES23&lt;0),-0.000001,ES23-(N23*12)))</f>
        <v/>
      </c>
      <c r="P23" s="1908" t="str">
        <f t="shared" ref="P23:P39" si="16">IF(ES23="","",CZ23)</f>
        <v/>
      </c>
      <c r="Q23" s="1909" t="str">
        <f t="shared" ref="Q23:Q39" si="17">IF(ET23="","",IF(AND(ET23&lt;0,ET23&gt;-12),TRUNC(ET23/12)-0.0000001,TRUNC(ET23/12)))</f>
        <v/>
      </c>
      <c r="R23" s="1910" t="str">
        <f t="shared" ref="R23:R39" si="18">IF(ET23="","",IF(AND(ET23-(Q23*12)=0,ET23&lt;0),-0.000001,ET23-(Q23*12)))</f>
        <v/>
      </c>
      <c r="S23" s="1919" t="str">
        <f t="shared" ref="S23:S39" si="19">IF(ET23="","",DJ23)</f>
        <v/>
      </c>
      <c r="T23" s="1917" t="str">
        <f t="shared" ref="T23:T39" si="20">IF(CH23="ERR","",IF(EK23="","",IF(EK23="ERR",TRUNC(EJ23/12),TRUNC(EK23/12))))</f>
        <v/>
      </c>
      <c r="U23" s="1910" t="str">
        <f t="shared" ref="U23:U39" si="21">IF(CH23="ERR","",IF(EK23="","",IF(EK23="ERR",EJ23-(T23*12),EK23-(T23*12))))</f>
        <v/>
      </c>
      <c r="V23" s="1909" t="str">
        <f t="shared" ref="V23:V39" si="22">IF(CI23="ERR","",IF(ER23="","",IF(ER23="ERR",TRUNC(EQ23/12),TRUNC(ER23/12))))</f>
        <v/>
      </c>
      <c r="W23" s="1910" t="str">
        <f t="shared" ref="W23:W39" si="23">IF(CI23="ERR","",IF(ER23="","",IF(ER23="ERR",EQ23-(V23*12),ER23-(V23*12))))</f>
        <v/>
      </c>
      <c r="X23" s="1914">
        <f t="shared" ref="X23:X39" si="24">IF(EV23="",0,EV23)</f>
        <v>0</v>
      </c>
      <c r="Y23" s="1967" t="str">
        <f t="shared" ref="Y23:Y39" si="25">FG23</f>
        <v/>
      </c>
      <c r="Z23" s="1968" t="str">
        <f t="shared" ref="Z23:Z39" si="26">FL23</f>
        <v/>
      </c>
      <c r="AA23" s="1981"/>
      <c r="AC23" s="1226"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202"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63" t="b">
        <f>IF(ISERROR(AJ23),FALSE,IF(OR(AJ23=0,ISERROR(AL23),ISERROR(AM23),ISERROR(AN23),ISERROR(AO23)),FALSE,IF(AL23&lt;&gt;"",IF(ISERROR(VLOOKUP(SUBSTITUTE(SUBSTITUTE(C23,"R",""),"A",""),TblJoistSize!$A:$A,1,FALSE)),FALSE,TRUE),TRUE)))</f>
        <v>0</v>
      </c>
      <c r="AQ23" s="1305" t="e">
        <f t="shared" ref="AQ23:AQ40" si="37">VLOOKUP(AK23,$DF$2:$DN$9,4,FALSE)+IF(LEFT(H23,1)="R",IF(ISNUMBER(F23),F23*12,0)+IF(ISNUMBER(G23),G23,0),0)</f>
        <v>#N/A</v>
      </c>
      <c r="AR23" s="1305" t="b">
        <f t="shared" ref="AR23:AR40" si="38">IF(IF(ISNUMBER(T23),T23*12,0)+IF(ISNUMBER(U23),U23,0)&gt;0,IF(AND((IF(ISNUMBER(T23),T23*12,0)+IF(ISNUMBER(U23),U23,0))&gt;=1,(IF(ISNUMBER(T23),T23*12,0)+IF(ISNUMBER(U23),U23,0))&lt;=(AQ23-1)+IF(H23="X",2,0)),TRUE,FALSE),FALSE)</f>
        <v>0</v>
      </c>
      <c r="AS23" s="1305" t="e">
        <f t="shared" ref="AS23:AS40" si="39">VLOOKUP(AK23,$DF$2:$DN$9,4,FALSE)+IF(LEFT(K23,1)="R",(IF(ISNUMBER(I23),I23*12,0)+IF(ISNUMBER(J23),J23,0)),0)</f>
        <v>#N/A</v>
      </c>
      <c r="AT23" s="1305" t="b">
        <f t="shared" ref="AT23:AT40" si="40">IF(IF(ISNUMBER(V23),V23*12,0)+IF(ISNUMBER(W23),W23,0)&gt;0,IF(AND((IF(ISNUMBER(V23),V23*12,0)+IF(ISNUMBER(W23),W23,0))&gt;=1,(IF(ISNUMBER(V23),V23*12,0)+IF(ISNUMBER(W23),W23,0))&lt;=(AS23-1)+IF(K23="X",2,0)),TRUE,FALSE),FALSE)</f>
        <v>0</v>
      </c>
      <c r="AU23" s="1203"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63" t="str">
        <f t="shared" ref="AV23:AV40" si="42">IF(NOT(ISERROR(SEARCH("KCSR",C23))),"KCSR",IF(NOT(ISERROR(SEARCH("KCSA",C23))),"KCSA",IF(NOT(ISERROR(SEARCH("KCS",C23))),"KCS",IF(NOT(ISERROR(SEARCH("KR",C23))),"KR",IF(NOT(ISERROR(SEARCH("KA",C23))),"KA",IF(NOT(ISERROR(SEARCH("K",C23))),"K",IF(NOT(ISERROR(SEARCH("CJ",C23))),"CJ","")))))))</f>
        <v/>
      </c>
      <c r="AW23" s="1063" t="str">
        <f>IF(NOT(ISERROR(SEARCH("HDR",C23))),"HDR",IF(NOT(ISERROR(SEARCH("JS",C23))),"JS",IF(NOT(ISERROR(SEARCH("SLH",C23))),"SLH",IF(NOT(ISERROR(SEARCH("DLH",C23))),"DLH",IF(NOT(ISERROR(SEARCH("LH",C23))),"LH","")))))</f>
        <v/>
      </c>
      <c r="AX23" s="1063" t="str">
        <f>IF(OR(ISBLANK(A23),A23=""),"",A23)</f>
        <v/>
      </c>
      <c r="AY23" s="554" t="b">
        <f t="shared" ref="AY23:AY40" si="43">IF($AE$1,IF(AX23=AX22,AY22,IF(AND(AX23&lt;&gt;"",OR(B23=0,B23="")),TRUE,FALSE)),FALSE)</f>
        <v>0</v>
      </c>
      <c r="AZ23" s="1090" t="str">
        <f>IF(AND(NOT(ISERROR(AJ23)),AJ23&gt;0),((IF(D23="",0,D23)*12+IF(E23="",0,E23))-(IF(F23="",0,F23)*12+IF(G23="",0,G23))-(IF(I23="",0,I23)*12+IF(J23="",0,J23)))&gt;AJ23*24,"")</f>
        <v/>
      </c>
      <c r="BA23" s="674"/>
      <c r="BB23" s="842"/>
      <c r="BC23" s="894"/>
      <c r="BD23" s="926"/>
      <c r="BE23" s="927"/>
      <c r="BF23" s="928"/>
      <c r="BG23" s="901"/>
      <c r="BH23" s="1244"/>
      <c r="BI23" s="1245"/>
      <c r="BJ23" s="929"/>
      <c r="BK23" s="902"/>
      <c r="BL23" s="903"/>
      <c r="BM23" s="904"/>
      <c r="BN23" s="905"/>
      <c r="BO23" s="901"/>
      <c r="BP23" s="902"/>
      <c r="BQ23" s="903"/>
      <c r="BR23" s="929"/>
      <c r="BS23" s="902"/>
      <c r="BT23" s="903"/>
      <c r="BU23" s="904"/>
      <c r="BV23" s="905"/>
      <c r="BW23" s="906"/>
      <c r="BX23" s="930"/>
      <c r="BY23" s="1246"/>
      <c r="BZ23" s="922"/>
      <c r="CA23" s="923"/>
      <c r="CB23" s="922"/>
      <c r="CC23" s="923"/>
      <c r="CD23" s="924" t="str">
        <f t="shared" ref="CD23:CD38" si="44">IF(CY23="","","X")</f>
        <v/>
      </c>
      <c r="CE23" s="925" t="str">
        <f t="shared" ref="CE23:CE38" si="45">IF(DI23="","","X")</f>
        <v/>
      </c>
      <c r="CF23" s="1147"/>
      <c r="CG23" s="1148"/>
      <c r="CH23" s="789" t="str">
        <f t="shared" ref="CH23:CH40" si="46">IF(EJ23=EK23,IF(EK23="ERR","ERR",""),CONCATENATE(IF(BM23&lt;0,"NS ","FS "),IF(EK23="ERR","Slot Only",CONCATENATE("Slot @ ",EJ23))))</f>
        <v/>
      </c>
      <c r="CI23" s="790" t="str">
        <f t="shared" ref="CI23:CI40" si="47">IF(EQ23=ER23,IF(ER23="ERR","ERR",""),CONCATENATE(IF(BU23&lt;0,"FS ","NS "),IF(ER23="ERR","Slot Only",CONCATENATE("Slot @ ",EQ23))))</f>
        <v/>
      </c>
      <c r="CJ23" s="791" t="str">
        <f>IF(EV23="","",IF(AND(DB23&lt;&gt;EV23,OR(NOT(ISBLANK(BJ23)),CU23="C")),CONCATENATE("LE slots @ ",DB23," Ga."),IF(AND(DL23&lt;&gt;EV23,OR(NOT(ISBLANK(BR23)),DE23="C")),CONCATENATE("RE slots @ ",DL23," Ga."),"")))</f>
        <v/>
      </c>
      <c r="CK23" s="1085" t="str">
        <f t="shared" ref="CK23:CK40" si="48">IF(AND(CP23&lt;&gt;"",BM23&lt;&gt;"",CQ23&lt;&gt;"",BU23&lt;&gt;""),"BE",IF(AND(CP23&lt;&gt;"",BM23&lt;&gt;""),"LE",IF(AND(CQ23&lt;&gt;"",BU23&lt;&gt;""),"RE","")))</f>
        <v/>
      </c>
      <c r="CL23" s="1079" t="str">
        <f>IF(ISBLANK(CB23),"",CEILING(DV23,0.125))</f>
        <v/>
      </c>
      <c r="CM23" s="1080" t="str">
        <f>IF(ISBLANK(CC23),"",CEILING(EB23,0.125))</f>
        <v/>
      </c>
      <c r="CN23" s="756" t="str">
        <f t="shared" ref="CN23:CN40" si="49">IF(AND(BW23&lt;&gt;0,BM23&lt;&gt;0),BW23*COS(RADIANS(90-BM23))/(1/COS(RADIANS(90-BM23)))*-1,"")</f>
        <v/>
      </c>
      <c r="CO23" s="757" t="str">
        <f t="shared" ref="CO23:CO40" si="50">IF(AND(BW23&lt;&gt;0,BU23&lt;&gt;0),BW23*COS(RADIANS(90-BU23))/(1/COS(RADIANS(90-BU23))),"")</f>
        <v/>
      </c>
      <c r="CP23" s="760" t="str">
        <f t="shared" ref="CP23:CP40" si="51">IF(BG23="","",IF(AU23="JS","",IF(VLOOKUP(AU23,$DF$2:$DN$9,5,FALSE)&gt;FO23,IF(FO23&gt;=0.0625,CEILING(FO23-0.0625,0.125),FO23),"")))</f>
        <v/>
      </c>
      <c r="CQ23" s="761" t="str">
        <f t="shared" ref="CQ23:CQ40" si="52">IF(BO23="","",IF(AU23="JS","",IF(VLOOKUP(AU23,$DF$2:$DN$9,5,FALSE)&gt;FP23,IF(FP23&gt;=0.0625,CEILING(FP23-0.0625,0.125),FP23),"")))</f>
        <v/>
      </c>
      <c r="CR23" s="951" t="str">
        <f t="shared" ref="CR23:CR40" si="53">IF(AU23="","",IF(ABS(FF23)&lt;ABS($CX$2),VLOOKUP(AU23,$DF$2:$DN$9,3,FALSE),CEILING(VLOOKUP(AU23,$DF$2:$DN$9,3,FALSE)/COS(FE23)+0.375+IF(CU23="M",IF(FE23&gt;0,(DV23-DW23)/12,0),IF(FE23&gt;0,0,(DV23-CV23)/12))*ABS(FF23),0.125)))</f>
        <v/>
      </c>
      <c r="CS23" s="952" t="str">
        <f t="shared" ref="CS23:CS40" si="54">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6" t="str">
        <f>IF(BG23="","",IF(ISBLANK(CF23),VLOOKUP(BG23,SectInfo!$B:$N,6,FALSE),CF23))</f>
        <v/>
      </c>
      <c r="CY23" s="136" t="str">
        <f>IF(BG23="","",IF(VLOOKUP(BG23,SectInfo!$B:$N,10,FALSE)="","",(VLOOKUP(BG23,SectInfo!$B:$N,10,FALSE)*-1)))</f>
        <v/>
      </c>
      <c r="CZ23" s="1443" t="str">
        <f>IF(BG23="","",IF(VLOOKUP(BG23,SectInfo!$B:$N,11,FALSE)="","2",(VLOOKUP(BG23,SectInfo!$B:$N,11,FALSE))))</f>
        <v/>
      </c>
      <c r="DA23" s="136" t="str">
        <f>IF(BG23="","",IF(VLOOKUP(BG23,SectInfo!$B:$N,7,FALSE)="","",(VLOOKUP(BG23,SectInfo!$B:$N,7,FALSE)*-1)))</f>
        <v/>
      </c>
      <c r="DB23" s="1046" t="str">
        <f>IF(BG23="","",IF(VLOOKUP(BG23,SectInfo!$B:$N,8,FALSE)="",VLOOKUP(AU23,$DF$2:$DN$9,6,FALSE),(VLOOKUP(BG23,SectInfo!$B:$N,8,FALSE))))</f>
        <v/>
      </c>
      <c r="DC23" s="1046" t="str">
        <f>IF(BG23="","",VLOOKUP(BG23,SectInfo!$B:$N,9,FALSE))</f>
        <v/>
      </c>
      <c r="DD23" s="1047">
        <f>BN23*-1</f>
        <v>0</v>
      </c>
      <c r="DE23" s="1048" t="str">
        <f>IF(BO23="","",VLOOKUP(BO23,SectInfo!$B:$N,12,FALSE))</f>
        <v/>
      </c>
      <c r="DF23" s="1046" t="str">
        <f>IF(BO23="","",IF(ISBLANK(CA23),VLOOKUP(BO23,SectInfo!$B:$N,13,FALSE),CA23))</f>
        <v/>
      </c>
      <c r="DG23" s="1046" t="str">
        <f>IF(BO23="","",IF(VLOOKUP(BO23,SectInfo!$B:$N,5,FALSE)="","R",UPPER(VLOOKUP(BO23,SectInfo!$B:$N,5,FALSE))))</f>
        <v/>
      </c>
      <c r="DH23" s="1046" t="str">
        <f>IF(BO23="","",IF(ISBLANK(CG23),VLOOKUP(BO23,SectInfo!$B:$N,6,FALSE),CG23))</f>
        <v/>
      </c>
      <c r="DI23" s="1276" t="str">
        <f>IF(BO23="","",IF(VLOOKUP(BO23,SectInfo!$B:$N,10,FALSE)="","",(VLOOKUP(BO23,SectInfo!$B:$N,10,FALSE)*-1)))</f>
        <v/>
      </c>
      <c r="DJ23" s="1443" t="str">
        <f>IF(BO23="","",IF(VLOOKUP(BO23,SectInfo!$B:$N,11,FALSE)="","2",(VLOOKUP(BO23,SectInfo!$B:$N,11,FALSE))))</f>
        <v/>
      </c>
      <c r="DK23" s="1046" t="str">
        <f>IF(BO23="","",IF(VLOOKUP(BO23,SectInfo!$B:$N,7,FALSE)="","",(VLOOKUP(BO23,SectInfo!$B:$N,7,FALSE)*-1)))</f>
        <v/>
      </c>
      <c r="DL23" s="1046" t="str">
        <f>IF(BO23="","",IF(VLOOKUP(BO23,SectInfo!$B:$N,8,FALSE)="",VLOOKUP(AU23,$DF$2:$DN$9,6,FALSE),(VLOOKUP(BO23,SectInfo!$B:$N,8,FALSE))))</f>
        <v/>
      </c>
      <c r="DM23" s="1046" t="str">
        <f>IF(BO23="","",VLOOKUP(BO23,SectInfo!$B:$N,9,FALSE))</f>
        <v/>
      </c>
      <c r="DN23" s="1047">
        <f>BV23*-1</f>
        <v>0</v>
      </c>
      <c r="DO23" s="1049">
        <f t="shared" ref="DO23:DO40" si="55">IF(BW23="",0,ATAN(BW23/12))</f>
        <v>0</v>
      </c>
      <c r="DP23" s="1050" t="str">
        <f t="shared" ref="DP23:DP40" si="56">IF(OR(CV23="",BE23="",DF23=""),"",CEILING(IF(AND(BE23="",BF23=""),"",((BE23*12+BF23)+CV23+DF23)/COS(FN23))-0.0625,0.125))</f>
        <v/>
      </c>
      <c r="DQ23" s="1050" t="str">
        <f t="shared" ref="DQ23:DQ40" si="57">IF(AU23="","",IF(ABS(FF23)&lt;ABS($CX$2),CX23,IF(FF23=0,CX23,CEILING((CX23+((DW23-CV23)/12)*FF23)-0.0625,0.125))))</f>
        <v/>
      </c>
      <c r="DR23" s="1050" t="str">
        <f t="shared" ref="DR23:DR40" si="58">IF(AU23="","",IF(ABS(FK23)&lt;ABS($CX$2),DH23,IF(FK23=0,DH23,CEILING((DH23+((EC23-DF23)/12)*FK23)-0.0625,0.125))))</f>
        <v/>
      </c>
      <c r="DS23" s="1051">
        <f t="shared" ref="DS23:DS40" si="59">IF(BM23="",0,RADIANS(ABS(BM23)))</f>
        <v>0</v>
      </c>
      <c r="DT23" s="1052">
        <f>MIN(IF(BH23&gt;0,BH23/2,MAX(BI23/2,DC23)),IF(BI23&gt;0,BI23/2,MAX(BH23/2,DC23)),IF(DC23&gt;0,DC23,MAX(BI23/2,BH23/2)))/IF(OR(CU23="C",AND(CU23="M",$DD$1="N")),1,COS(DS23))</f>
        <v>0</v>
      </c>
      <c r="DU23" s="1052" t="str">
        <f>IF(CV23="","",IF(DC23&gt;=0,MAX(BH23/2,BI23/2,DC23),DC23)/IF(OR(CU23="C",AND(CU23="M",$DD$1="N")),1,COS(DS23)))</f>
        <v/>
      </c>
      <c r="DV23" s="1050" t="str">
        <f t="shared" ref="DV23:DV40" si="60">IF(CV23="","",(CV23+DU23+(VLOOKUP(IF(AU23="HDR","K",AU23),$DF$2:$DN$9,2,FALSE))*TAN(DS23))/COS(FD23)-FH23)</f>
        <v/>
      </c>
      <c r="DW23" s="1050" t="str">
        <f t="shared" ref="DW23:DW40" si="61">IF(CV23="","",MAX(0,IF(NOT(ISBLANK(CB23)),CV23-CB23,DV23-VLOOKUP(IF(AU23="HDR","K",AU23),$DF$2:$DN$9,4,FALSE))))</f>
        <v/>
      </c>
      <c r="DX23" s="1268">
        <f>IF(CV23="",0,IF(DW23/COS(FN23-FD23)&lt;0.0625,0,CEILING(DW23/COS(FN23-FD23)-0.03125,0.125)))</f>
        <v>0</v>
      </c>
      <c r="DY23" s="1050">
        <f>RADIANS(ABS(BU23))</f>
        <v>0</v>
      </c>
      <c r="DZ23" s="1052">
        <f>MIN(IF(BP23&gt;0,BP23/2,MAX(BQ23/2,DM23)),IF(BQ23&gt;0,BQ23/2,MAX(BP23/2,DM23)),IF(DM23&gt;0,DM23,MAX(BQ23/2,BP23/2)))/IF(OR(DE23="C",AND(DE23="M",$DD$1="N")),1,COS(DY23))</f>
        <v>0</v>
      </c>
      <c r="EA23" s="1052" t="str">
        <f>IF(DF23="","",IF(DM23&gt;=0,MAX(BP23/2,BQ23/2,DM23),DM23)/IF(OR(DE23="C",AND(DE23="M",$DD$1="N")),1,COS(DY23)))</f>
        <v/>
      </c>
      <c r="EB23" s="1050" t="str">
        <f t="shared" ref="EB23:EB40" si="62">IF(DF23="","",(DF23+EA23+(VLOOKUP(IF(AU23="HDR","K",AU23),$DF$2:$DN$9,2,FALSE))*TAN(DY23))/COS(FI23)-FM23)</f>
        <v/>
      </c>
      <c r="EC23" s="1050" t="str">
        <f t="shared" ref="EC23:EC40" si="63">IF(DF23="","",MAX(0,IF(NOT(ISBLANK(CC23)),DF23-CC23,EB23-VLOOKUP(IF(AU23="HDR","K",AU23),$DF$2:$DN$9,4,FALSE))))</f>
        <v/>
      </c>
      <c r="ED23" s="1268">
        <f>IF(DF23="",0,IF(EC23/COS(FN23+FI23)&lt;0.0625,0,CEILING(EC23/COS(FN23+FI23)-0.03125,0.125)))</f>
        <v>0</v>
      </c>
      <c r="EE23" s="1449" t="str">
        <f>IF(AND(EZ23="",DA23=""),"",IF(EZ23="ERR","ERR",IF(CU23="C",DA23,IF(BJ23="","",IF(DA23="",(EZ23/2)*-1,DA23)))))</f>
        <v/>
      </c>
      <c r="EF23" s="1050" t="str">
        <f t="shared" ref="EF23:EF40" si="64">IF(EE23="ERR","ERR",IF(EE23="","",IF(DB23*TAN(DS23)&lt;=(VLOOKUP(AU23,$DF$2:$DN$9,8,FALSE)-(VLOOKUP(AU23,$DF$2:$DN$9,7,FALSE)-0.0625)),CV23-(EE23-FH23)/IF(OR(CU23="C",AND(CU23="M",$DD$1="N")),1,COS(DS23))-IF(MID(CW23,1,1)="R",0,DW23),(ABS(EE23-FH23)/IF(OR(CU23="C",AND(CU23="M",$DD$1="N")),1,COS(DS23))+CV23)-((DB23/2)*TAN(DS23))-IF(MID(CW23,1,1)="R",0,DW23))))</f>
        <v/>
      </c>
      <c r="EG23" s="1050" t="str">
        <f t="shared" ref="EG23:EG40" si="65">IF(EE23="ERR","ERR",IF(EE23="","",IF(DB23*TAN(DS23)&lt;=(VLOOKUP(AU23,$DF$2:$DN$9,8,FALSE)-(VLOOKUP(AU23,$DF$2:$DN$9,7,FALSE)-0.0625)),CV23-(EE23-FH23)/IF(OR(CU23="C",AND(CU23="M",$DD$1="N")),1,COS(DS23))-IF(MID(CW23,1,1)="R",0,DW23),(ABS(EE23-FH23)/IF(OR(CU23="C",AND(CU23="M",$DD$1="N")),1,COS(DS23))+CV23)+((DB23/2)*TAN(DS23))-IF(MID(CW23,1,1)="R",0,DW23))))</f>
        <v/>
      </c>
      <c r="EH23" s="1050" t="e">
        <f t="shared" ref="EH23:EH40" si="66">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50" t="e">
        <f t="shared" ref="EI23:EI40" si="67">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50" t="str">
        <f t="shared" ref="EJ23:EK40" si="68">IF(ISERROR(EF23),"ERR",IF(EF23="","",IF(EH23="ERR","ERR",CEILING(EH23-0.0625,0.125))))</f>
        <v/>
      </c>
      <c r="EK23" s="1050" t="str">
        <f t="shared" si="68"/>
        <v/>
      </c>
      <c r="EL23" s="1449" t="str">
        <f>IF(AND(FC23="",DK23=""),"",IF(FC23="ERR","ERR",IF(DE23="C",DK23,IF(BR23="","",IF(DK23="",(FC23/2)*-1,DK23)))))</f>
        <v/>
      </c>
      <c r="EM23" s="1050" t="str">
        <f t="shared" ref="EM23:EM40" si="69">IF(EL23="ERR","ERR",IF(EL23="","",IF(DL23*TAN(DY23)&lt;=(VLOOKUP(AU23,$DF$2:$DN$9,8,FALSE)-(VLOOKUP(AU23,$DF$2:$DN$9,7,FALSE)-0.0625)),DF23-(EL23-FM23)/IF(OR(DE23="C",AND(DE23="M",$DD$1="N")),1,COS(DY23))-IF(MID(DG23,1,1)="R",0,EC23),(ABS(EL23-FM23)/IF(OR(DE23="C",AND(DE23="M",$DD$1="N")),1,COS(DY23))+DF23)-((DL23/2)*TAN(DY23))-IF(MID(DG23,1,1)="R",0,EC23))))</f>
        <v/>
      </c>
      <c r="EN23" s="1050" t="str">
        <f t="shared" ref="EN23:EN40" si="70">IF(EL23="ERR","ERR",IF(EL23="","",IF(DL23*TAN(DY23)&lt;=(VLOOKUP(AU23,$DF$2:$DN$9,8,FALSE)-(VLOOKUP(AU23,$DF$2:$DN$9,7,FALSE)-0.0625)),DF23-(EL23-FM23)/IF(OR(DE23="C",AND(DE23="M",$DD$1="N")),1,COS(DY23))-IF(MID(DG23,1,1)="R",0,EC23),(ABS(EL23-FM23)/IF(OR(DE23="C",AND(DE23="M",$DD$1="N")),1,COS(DY23))+DF23)+((DL23/2)*TAN(DY23))-IF(MID(DG23,1,1)="R",0,EC23))))</f>
        <v/>
      </c>
      <c r="EO23" s="1050" t="e">
        <f t="shared" ref="EO23:EO40" si="71">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50" t="e">
        <f t="shared" ref="EP23:EP40" si="72">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50" t="str">
        <f t="shared" ref="EQ23:ER40" si="73">IF(ISERROR(EM23),"ERR",IF(EM23="","",IF(EO23="ERR","ERR",CEILING(EO23-0.0625,0.125))))</f>
        <v/>
      </c>
      <c r="ER23" s="1050" t="str">
        <f t="shared" si="73"/>
        <v/>
      </c>
      <c r="ES23" s="1053" t="str">
        <f t="shared" ref="ES23:ES40" si="74">IF(OR(CY23="",AU23="JS",AU23="HDR",CD23=""),"",IF((CV23-CY23)/COS(DO23)-FS23&lt;=-0.0625,CEILING((CV23-CY23)/COS(DO23)-FS23+0.0625,-0.125),IF((CV23-CY23)/COS(DO23)-FS23&gt;=0.0625,CEILING((CV23-CY23)/COS(DO23)-FS23-0.0625,0.125),0)))</f>
        <v/>
      </c>
      <c r="ET23" s="1053" t="str">
        <f t="shared" ref="ET23:ET40" si="75">IF(OR(DI23="",AU23="JS",AU23="HDR",CE23=""),"",IF((DF23-DI23)/COS(DO23)-FT23&lt;=-0.0625,CEILING((DF23-DI23)/COS(DO23)-FT23+0.0625,-0.125),IF((DF23-DI23)/COS(DO23)-FT23&gt;=0.0625,CEILING((DF23-DI23)/COS(DO23)-FT23-0.0625,0.125),0)))</f>
        <v/>
      </c>
      <c r="EU23" s="1054" t="str">
        <f t="shared" ref="EU23:EU40" si="76">IF(AU23="","",VLOOKUP(AU23,$DF$2:$DN$9,6,FALSE))</f>
        <v/>
      </c>
      <c r="EV23" s="1055" t="str">
        <f>IF(AND(EK23="",ER23=""),"",IF(EK23="",DL23,IF(EQ23="",DB23,IF(DB23&lt;&gt;DL23,EU23,DB23))))</f>
        <v/>
      </c>
      <c r="EW23" s="1054"/>
      <c r="EX23" s="1054" t="str">
        <f>IF(AND(CU23="G", ISBLANK(BK23), ISBLANK(BL23)),VLOOKUP(MIN(BH23:BI23),TblJoistSize!$M$3:$N$10,2),IF(OR(CU23="B",CU23="G"),MIN(BK23:BL23),""))</f>
        <v/>
      </c>
      <c r="EY23" s="1054" t="str">
        <f>IF(AND(CU23="G", ISBLANK(BK23), ISBLANK(BL23)),VLOOKUP(MAX(BH23:BI23),TblJoistSize!$M$3:$N$10,2),IF(OR(CU23="B",CU23="G"),MAX(BK23:BL23),""))</f>
        <v/>
      </c>
      <c r="EZ23" s="1054" t="str">
        <f t="shared" ref="EZ23:EZ40" si="77">IF(BJ23="X",IF(OR(CU23="M",CU23="C"),"",IF((EY23-EX23)/2&lt;=(VLOOKUP(AU23,$DF$2:$DN$9,8,FALSE)-(VLOOKUP(AU23,$DF$2:$DN$9,7,FALSE)-0.0625)),(EX23+EY23)/2,"ERR")),"")</f>
        <v/>
      </c>
      <c r="FA23" s="1054" t="str">
        <f>IF(AND(DE23="G", ISBLANK(BS23), ISBLANK(BT23)),VLOOKUP(MIN(BP23:BQ23),TblJoistSize!$M$3:$N$10,2),IF(OR(DE23="B", DE23="G"),MIN(BS23:BT23),""))</f>
        <v/>
      </c>
      <c r="FB23" s="1054" t="str">
        <f>IF(AND(DE23="G", ISBLANK(BS23), ISBLANK(BT23)),VLOOKUP(MAX(BP23:BQ23),TblJoistSize!$M$3:$N$10,2),IF(OR(DE23="B", DE23="G"),MAX(BS23:BT23),""))</f>
        <v/>
      </c>
      <c r="FC23" s="1054" t="str">
        <f t="shared" ref="FC23:FC40" si="78">IF(BR23="X",IF(OR(DE23="M",DE23="C"),"",IF((FB23-FA23)/2&lt;=(VLOOKUP(AU23,$DF$2:$DN$9,8,FALSE)-(VLOOKUP(AU23,$DF$2:$DN$9,7,FALSE)-0.0625)),(FA23+FB23)/2,"ERR")),"")</f>
        <v/>
      </c>
      <c r="FD23" s="1050">
        <f t="shared" ref="FD23:FD40" si="79">IF(DD23="",0,ATAN(DD23/12))</f>
        <v>0</v>
      </c>
      <c r="FE23" s="1050">
        <f t="shared" ref="FE23:FE40" si="80">DO23-FD23</f>
        <v>0</v>
      </c>
      <c r="FF23" s="1051">
        <f t="shared" ref="FF23:FF40" si="81">TAN(FE23)*12</f>
        <v>0</v>
      </c>
      <c r="FG23" s="1051" t="str">
        <f t="shared" ref="FG23:FG40" si="82">IF(FF23=0,"",IF(ABS(FF23)&lt;$CX$2,IF(AND(ABS(MIN(DV23,FQ23)/12*FF23)&gt;$DD$2,FF23&gt;0),IF(FF23&gt;0,CEILING(FF23-0.0625,0.125),CEILING(FF23+0.0625,-0.125)),""),IF(FF23&gt;0,CEILING(FF23-0.0625,0.125),CEILING(FF23+0.0625,-0.125))))</f>
        <v/>
      </c>
      <c r="FH23" s="1050" t="str">
        <f t="shared" ref="FH23:FH40" si="83">IF(CX23="","",CX23*TAN(FD23))</f>
        <v/>
      </c>
      <c r="FI23" s="1050">
        <f t="shared" ref="FI23:FI40" si="84">IF(DN23="",0,ATAN(DN23/12))</f>
        <v>0</v>
      </c>
      <c r="FJ23" s="1050">
        <f t="shared" ref="FJ23:FJ40" si="85">DO23+FI23</f>
        <v>0</v>
      </c>
      <c r="FK23" s="1051">
        <f t="shared" ref="FK23:FK40" si="86">TAN(FJ23)*-12</f>
        <v>0</v>
      </c>
      <c r="FL23" s="1051" t="str">
        <f t="shared" ref="FL23:FL40" si="87">IF(FK23=0,"",IF(ABS(FK23)&lt;$CX$2,IF(AND(ABS(MIN(EB23,FR23)/12*FK23)&gt;$DD$2,FK23&gt;0),IF(FK23&gt;0,CEILING(FK23-0.0625,0.125),CEILING(FK23+0.0625,-0.125)),""),IF(FK23&gt;0,CEILING(FK23-0.0625,0.125),CEILING(FK23+0.0625,-0.125))))</f>
        <v/>
      </c>
      <c r="FM23" s="1050" t="str">
        <f t="shared" ref="FM23:FM40" si="88">IF(DH23="","",DH23*TAN(FI23))</f>
        <v/>
      </c>
      <c r="FN23" s="1050" t="e">
        <f>IF(((BE23*12+BF23)+CV23+DF23)/COS(DO23)-((BE23*12+BF23)+CV23+DF23)&lt;$DB$2,0,DO23)</f>
        <v>#VALUE!</v>
      </c>
      <c r="FO23" s="1056" t="e">
        <f t="shared" ref="FO23:FO40" si="89">MIN(IF(BH23&gt;0,BH23/2,MAX(BI23/2,DC23)),IF(BI23&gt;0,BI23/2,MAX(BH23/2,DC23)),IF(DC23&gt;0,DC23,MAX(BI23/2,BH23/2)))/COS(DS23)+CV23-DW23</f>
        <v>#VALUE!</v>
      </c>
      <c r="FP23" s="1056" t="e">
        <f t="shared" ref="FP23:FP40" si="90">MIN(IF(BP23&gt;0,BP23/2,MAX(BQ23/2,DM23)),IF(BQ23&gt;0,BQ23/2,MAX(BP23/2,DM23)),IF(DM23&gt;0,DM23,MAX(BQ23/2,BP23/2)))/COS(DY23)+DF23-EC23</f>
        <v>#VALUE!</v>
      </c>
      <c r="FQ23" s="1057" t="e">
        <f t="shared" ref="FQ23:FQ40" si="91">IF(OR(CU23="M", CU23="B",CU23="G"),MAX(BH23,BI23),DC23+CV23)</f>
        <v>#VALUE!</v>
      </c>
      <c r="FR23" s="1058" t="e">
        <f t="shared" ref="FR23:FR40" si="92">IF(OR(DE23="M", DE23="B",DE23="G"),MAX(BP23,BQ23),DM23+DF23)</f>
        <v>#VALUE!</v>
      </c>
      <c r="FS23" s="1059" t="str">
        <f t="shared" ref="FS23:FS40" si="93">IF(CY23="","",IF(ABS(BW23*((AJ23-IF(BW23&gt;0,VLOOKUP(AU23,$DF$2:$DN$9,9,FALSE),0))/12))&gt;$CZ$2,BW23*((AJ23-IF(BW23&gt;0,VLOOKUP(AU23,$DF$2:$DN$9,9,FALSE),0))/12),0))</f>
        <v/>
      </c>
      <c r="FT23" s="1060" t="str">
        <f t="shared" ref="FT23:FT40" si="94">IF(DI23="","",IF(ABS(BW23*((AJ23-IF(BW23&lt;0,VLOOKUP(AU23,$DF$2:$DN$9,9,FALSE),0))/12))&gt;$CZ$2,BW23*((AJ23-IF(BW23&lt;0,VLOOKUP(AU23,$DF$2:$DN$9,9,FALSE),0))/12)*-1,0))</f>
        <v/>
      </c>
      <c r="FU23" s="1272">
        <f t="shared" ref="FU23:FU40" si="95">IF(CX23="",0,MAX(0,MIN(DV23-VLOOKUP(AU23,DF$2:DN$9,4,FALSE),(MAX(0,CX23-VLOOKUP(AU23,DF$2:DN$9,3,FALSE))+VLOOKUP(AU23,DF$2:DN$9,4,FALSE))*COS(DO23)+((MAX(0,CX23-VLOOKUP(AU23,DF$2:DN$9,3,FALSE))+VLOOKUP(AU23,DF$2:DN$9,4,FALSE))*COS(PI()/2-DO23))/TAN(PI()/2-(DO23+PI()/4))-VLOOKUP(AU23,DF$2:DN$9,4,FALSE))))</f>
        <v>0</v>
      </c>
      <c r="FV23" s="1273">
        <f t="shared" ref="FV23:FV40" si="96">IF(DH23="",0,MAX(0,MIN(EB23-VLOOKUP(AU23,DF$2:DN$9,4,FALSE),(MAX(0,DH23-VLOOKUP(AU23,DF$2:DN$9,3,FALSE))+VLOOKUP(AU23,DF$2:DN$9,4,FALSE))*COS(DO23)+((MAX(0,DH23-VLOOKUP(AU23,DF$2:DN$9,3,FALSE))+VLOOKUP(AU23,DF$2:DN$9,4,FALSE))*COS(PI()/2-DO23))/TAN(PI()/2-(DO23+PI()/4))-VLOOKUP(AU23,DF$2:DN$9,4,FALSE))))</f>
        <v>0</v>
      </c>
      <c r="GA23" s="1975" t="str">
        <f t="shared" ref="GA23:GA40" si="97">IF(GF23="","",BE23)</f>
        <v/>
      </c>
      <c r="GB23" s="1976" t="str">
        <f t="shared" ref="GB23:GB40" si="98">IF(GF23="","",BF23)</f>
        <v/>
      </c>
      <c r="GC23" s="1977" t="str">
        <f t="shared" ref="GC23:GC40" si="99">IF(GF23="","",IF(CV23="",0,CV23))</f>
        <v/>
      </c>
      <c r="GD23" s="1978" t="str">
        <f t="shared" ref="GD23:GD40" si="100">IF(GF23="","",IF(DF23="",0,DF23))</f>
        <v/>
      </c>
      <c r="GE23" s="1979" t="str">
        <f t="shared" ref="GE23:GE40" si="101">IF(GF23="","",BW23)</f>
        <v/>
      </c>
      <c r="GF23" s="1980" t="str">
        <f t="shared" ref="GF23:GF40" si="102">IF(A23=0,"",A23)</f>
        <v/>
      </c>
      <c r="GG23" s="1453"/>
      <c r="GH23" s="1454"/>
      <c r="GI23" s="1453"/>
      <c r="GJ23" s="1454"/>
      <c r="GK23" s="1407">
        <f t="shared" ref="GK23:GK40" si="103">IF(D23="",0,D23*12+E23)</f>
        <v>0</v>
      </c>
      <c r="GL23" s="1407" t="e">
        <f t="shared" ref="GL23:GL40" si="104">(GA23*12+GB23+GC23+GD23)/COS(ATAN(ABS(GE23/12)))</f>
        <v>#VALUE!</v>
      </c>
      <c r="GM23" s="1408" t="e">
        <f>IF(ABS(GK23-GL23)&gt;='Job Info.'!$L$22,ABS(GK23-GL23),0)</f>
        <v>#VALUE!</v>
      </c>
      <c r="GZ23" s="497"/>
      <c r="HA23" s="1634"/>
      <c r="HB23" s="1635"/>
      <c r="HC23" s="1635"/>
      <c r="HD23" s="1636"/>
      <c r="HE23" s="1637"/>
      <c r="HF23" s="1635"/>
      <c r="HG23" s="1635"/>
      <c r="HH23" s="1635"/>
      <c r="HI23" s="1638"/>
      <c r="HJ23" s="1635"/>
      <c r="HK23" s="1635"/>
      <c r="HL23" s="1635"/>
      <c r="HM23" s="1635"/>
      <c r="HN23" s="1635"/>
      <c r="HO23" s="1635"/>
      <c r="HP23" s="1635"/>
      <c r="HQ23" s="1638"/>
      <c r="HR23" s="1635"/>
      <c r="HS23" s="1635"/>
      <c r="HT23" s="1635"/>
      <c r="HU23" s="1635"/>
      <c r="HV23" s="1635"/>
      <c r="HW23" s="1637"/>
      <c r="HX23" s="1637"/>
      <c r="HY23" s="1637"/>
      <c r="HZ23" s="1637"/>
      <c r="IA23" s="1637"/>
      <c r="IB23" s="1637"/>
      <c r="IC23" s="1637"/>
      <c r="ID23" s="1637"/>
      <c r="IE23" s="1637"/>
      <c r="IF23" s="1639"/>
      <c r="IG23" s="497"/>
      <c r="IH23" s="497"/>
      <c r="II23" s="497"/>
    </row>
    <row r="24" spans="1:243" ht="12.6" customHeight="1" x14ac:dyDescent="0.25">
      <c r="A24" s="1471" t="str">
        <f t="shared" si="1"/>
        <v/>
      </c>
      <c r="B24" s="1473" t="str">
        <f t="shared" si="2"/>
        <v/>
      </c>
      <c r="C24" s="1473" t="str">
        <f t="shared" si="3"/>
        <v/>
      </c>
      <c r="D24" s="1909" t="str">
        <f t="shared" si="4"/>
        <v/>
      </c>
      <c r="E24" s="1964" t="str">
        <f t="shared" si="5"/>
        <v/>
      </c>
      <c r="F24" s="1917" t="str">
        <f t="shared" si="6"/>
        <v/>
      </c>
      <c r="G24" s="1910" t="str">
        <f t="shared" si="7"/>
        <v/>
      </c>
      <c r="H24" s="1965" t="str">
        <f t="shared" si="8"/>
        <v/>
      </c>
      <c r="I24" s="1909" t="str">
        <f t="shared" si="9"/>
        <v/>
      </c>
      <c r="J24" s="1910" t="str">
        <f t="shared" si="10"/>
        <v/>
      </c>
      <c r="K24" s="1966" t="str">
        <f t="shared" si="11"/>
        <v/>
      </c>
      <c r="L24" s="1915" t="str">
        <f t="shared" si="12"/>
        <v/>
      </c>
      <c r="M24" s="1961" t="str">
        <f t="shared" si="13"/>
        <v/>
      </c>
      <c r="N24" s="1917" t="str">
        <f t="shared" si="14"/>
        <v/>
      </c>
      <c r="O24" s="1910" t="str">
        <f t="shared" si="15"/>
        <v/>
      </c>
      <c r="P24" s="1908" t="str">
        <f t="shared" si="16"/>
        <v/>
      </c>
      <c r="Q24" s="1909" t="str">
        <f t="shared" si="17"/>
        <v/>
      </c>
      <c r="R24" s="1910" t="str">
        <f t="shared" si="18"/>
        <v/>
      </c>
      <c r="S24" s="1919" t="str">
        <f t="shared" si="19"/>
        <v/>
      </c>
      <c r="T24" s="1917" t="str">
        <f t="shared" si="20"/>
        <v/>
      </c>
      <c r="U24" s="1910" t="str">
        <f t="shared" si="21"/>
        <v/>
      </c>
      <c r="V24" s="1909" t="str">
        <f t="shared" si="22"/>
        <v/>
      </c>
      <c r="W24" s="1910" t="str">
        <f t="shared" si="23"/>
        <v/>
      </c>
      <c r="X24" s="1914">
        <f t="shared" si="24"/>
        <v>0</v>
      </c>
      <c r="Y24" s="1967" t="str">
        <f t="shared" si="25"/>
        <v/>
      </c>
      <c r="Z24" s="1968" t="str">
        <f t="shared" si="26"/>
        <v/>
      </c>
      <c r="AA24" s="1981"/>
      <c r="AC24" s="1226"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202" t="str">
        <f t="shared" si="33"/>
        <v/>
      </c>
      <c r="AM24" s="284" t="str">
        <f t="shared" si="34"/>
        <v/>
      </c>
      <c r="AN24" s="284" t="str">
        <f t="shared" si="35"/>
        <v/>
      </c>
      <c r="AO24" s="284" t="str">
        <f t="shared" si="36"/>
        <v/>
      </c>
      <c r="AP24" s="1063" t="b">
        <f>IF(ISERROR(AJ24),FALSE,IF(OR(AJ24=0,ISERROR(AL24),ISERROR(AM24),ISERROR(AN24),ISERROR(AO24)),FALSE,IF(AL24&lt;&gt;"",IF(ISERROR(VLOOKUP(SUBSTITUTE(SUBSTITUTE(C24,"R",""),"A",""),TblJoistSize!$A:$A,1,FALSE)),FALSE,TRUE),TRUE)))</f>
        <v>0</v>
      </c>
      <c r="AQ24" s="1305" t="e">
        <f t="shared" si="37"/>
        <v>#N/A</v>
      </c>
      <c r="AR24" s="1305" t="b">
        <f t="shared" si="38"/>
        <v>0</v>
      </c>
      <c r="AS24" s="1305" t="e">
        <f t="shared" si="39"/>
        <v>#N/A</v>
      </c>
      <c r="AT24" s="1305" t="b">
        <f t="shared" si="40"/>
        <v>0</v>
      </c>
      <c r="AU24" s="1203" t="str">
        <f t="shared" si="41"/>
        <v/>
      </c>
      <c r="AV24" s="1063" t="str">
        <f t="shared" si="42"/>
        <v/>
      </c>
      <c r="AW24" s="1063" t="str">
        <f t="shared" ref="AW24:AW40" si="105">IF(NOT(ISERROR(SEARCH("HDR",C24))),"HDR",IF(NOT(ISERROR(SEARCH("JS",C24))),"JS",IF(NOT(ISERROR(SEARCH("SLH",C24))),"SLH",IF(NOT(ISERROR(SEARCH("DLH",C24))),"DLH",IF(NOT(ISERROR(SEARCH("LH",C24))),"LH","")))))</f>
        <v/>
      </c>
      <c r="AX24" s="1063" t="str">
        <f>IF(AND(OR(ISBLANK(A24),A24=""),AA24&lt;&gt;""),AX23,IF(OR(ISBLANK(A24),A24=""),"",A24))</f>
        <v/>
      </c>
      <c r="AY24" s="554" t="b">
        <f t="shared" si="43"/>
        <v>0</v>
      </c>
      <c r="AZ24" s="1090" t="str">
        <f t="shared" ref="AZ24:AZ40" si="106">IF(AND(NOT(ISERROR(AJ24)),AJ24&gt;0),((IF(D24="",0,D24)*12+IF(E24="",0,E24))-(IF(F24="",0,F24)*12+IF(G24="",0,G24))-(IF(I24="",0,I24)*12+IF(J24="",0,J24)))&gt;AJ24*24,"")</f>
        <v/>
      </c>
      <c r="BA24" s="674"/>
      <c r="BB24" s="842"/>
      <c r="BC24" s="894"/>
      <c r="BD24" s="926"/>
      <c r="BE24" s="927"/>
      <c r="BF24" s="928"/>
      <c r="BG24" s="901"/>
      <c r="BH24" s="1244"/>
      <c r="BI24" s="1245"/>
      <c r="BJ24" s="929"/>
      <c r="BK24" s="902"/>
      <c r="BL24" s="903"/>
      <c r="BM24" s="904"/>
      <c r="BN24" s="905"/>
      <c r="BO24" s="901"/>
      <c r="BP24" s="902"/>
      <c r="BQ24" s="903"/>
      <c r="BR24" s="929"/>
      <c r="BS24" s="902"/>
      <c r="BT24" s="903"/>
      <c r="BU24" s="904"/>
      <c r="BV24" s="905"/>
      <c r="BW24" s="906"/>
      <c r="BX24" s="930"/>
      <c r="BY24" s="931"/>
      <c r="BZ24" s="932"/>
      <c r="CA24" s="933"/>
      <c r="CB24" s="932"/>
      <c r="CC24" s="933"/>
      <c r="CD24" s="934" t="str">
        <f t="shared" si="44"/>
        <v/>
      </c>
      <c r="CE24" s="935" t="str">
        <f t="shared" si="45"/>
        <v/>
      </c>
      <c r="CF24" s="1149"/>
      <c r="CG24" s="1150"/>
      <c r="CH24" s="792" t="str">
        <f t="shared" si="46"/>
        <v/>
      </c>
      <c r="CI24" s="793" t="str">
        <f t="shared" si="47"/>
        <v/>
      </c>
      <c r="CJ24" s="794" t="str">
        <f>IF(EV24="","",IF(AND(DB24&lt;&gt;EV24,OR(NOT(ISBLANK(BJ24)),CU24="C")),CONCATENATE("LE slots @ ",DB24," Ga."),IF(AND(DL24&lt;&gt;EV24,OR(NOT(ISBLANK(BR24)),DE24="C")),CONCATENATE("RE slots @ ",DL24," Ga."),"")))</f>
        <v/>
      </c>
      <c r="CK24" s="1086" t="str">
        <f t="shared" si="48"/>
        <v/>
      </c>
      <c r="CL24" s="1081" t="str">
        <f>IF(ISBLANK(CB24),"",CEILING(DV24,0.125))</f>
        <v/>
      </c>
      <c r="CM24" s="1082" t="str">
        <f>IF(ISBLANK(CC24),"",CEILING(EB24,0.125))</f>
        <v/>
      </c>
      <c r="CN24" s="758" t="str">
        <f t="shared" si="49"/>
        <v/>
      </c>
      <c r="CO24" s="759" t="str">
        <f t="shared" si="50"/>
        <v/>
      </c>
      <c r="CP24" s="762" t="str">
        <f t="shared" si="51"/>
        <v/>
      </c>
      <c r="CQ24" s="763" t="str">
        <f t="shared" si="52"/>
        <v/>
      </c>
      <c r="CR24" s="953" t="str">
        <f t="shared" si="53"/>
        <v/>
      </c>
      <c r="CS24" s="954" t="str">
        <f t="shared" si="54"/>
        <v/>
      </c>
      <c r="CU24" s="135" t="str">
        <f>IF(BG24="","",VLOOKUP(BG24,SectInfo!$B:$N,12,FALSE))</f>
        <v/>
      </c>
      <c r="CV24" s="136" t="str">
        <f>IF(BG24="","",IF(ISBLANK(BZ24),VLOOKUP(BG24,SectInfo!$B:$N,13,FALSE),BZ24))</f>
        <v/>
      </c>
      <c r="CW24" s="136" t="str">
        <f>IF(BG24="","",IF(VLOOKUP(BG24,SectInfo!$B:$N,5,FALSE)="","R",UPPER(VLOOKUP(BG24,SectInfo!$B:$N,5,FALSE))))</f>
        <v/>
      </c>
      <c r="CX24" s="1046" t="str">
        <f>IF(BG24="","",IF(ISBLANK(CF24),VLOOKUP(BG24,SectInfo!$B:$N,6,FALSE),CF24))</f>
        <v/>
      </c>
      <c r="CY24" s="136" t="str">
        <f>IF(BG24="","",IF(VLOOKUP(BG24,SectInfo!$B:$N,10,FALSE)="","",(VLOOKUP(BG24,SectInfo!$B:$N,10,FALSE)*-1)))</f>
        <v/>
      </c>
      <c r="CZ24" s="1443" t="str">
        <f>IF(BG24="","",IF(VLOOKUP(BG24,SectInfo!$B:$N,11,FALSE)="","2",(VLOOKUP(BG24,SectInfo!$B:$N,11,FALSE))))</f>
        <v/>
      </c>
      <c r="DA24" s="136" t="str">
        <f>IF(BG24="","",IF(VLOOKUP(BG24,SectInfo!$B:$N,7,FALSE)="","",(VLOOKUP(BG24,SectInfo!$B:$N,7,FALSE)*-1)))</f>
        <v/>
      </c>
      <c r="DB24" s="1046" t="str">
        <f>IF(BG24="","",IF(VLOOKUP(BG24,SectInfo!$B:$N,8,FALSE)="",VLOOKUP(AU24,$DF$2:$DN$9,6,FALSE),(VLOOKUP(BG24,SectInfo!$B:$N,8,FALSE))))</f>
        <v/>
      </c>
      <c r="DC24" s="1046" t="str">
        <f>IF(BG24="","",VLOOKUP(BG24,SectInfo!$B:$N,9,FALSE))</f>
        <v/>
      </c>
      <c r="DD24" s="1047">
        <f t="shared" ref="DD24:DD40" si="107">BN24*-1</f>
        <v>0</v>
      </c>
      <c r="DE24" s="1048" t="str">
        <f>IF(BO24="","",VLOOKUP(BO24,SectInfo!$B:$N,12,FALSE))</f>
        <v/>
      </c>
      <c r="DF24" s="1046" t="str">
        <f>IF(BO24="","",IF(ISBLANK(CA24),VLOOKUP(BO24,SectInfo!$B:$N,13,FALSE),CA24))</f>
        <v/>
      </c>
      <c r="DG24" s="1046" t="str">
        <f>IF(BO24="","",IF(VLOOKUP(BO24,SectInfo!$B:$N,5,FALSE)="","R",UPPER(VLOOKUP(BO24,SectInfo!$B:$N,5,FALSE))))</f>
        <v/>
      </c>
      <c r="DH24" s="1046" t="str">
        <f>IF(BO24="","",IF(ISBLANK(CG24),VLOOKUP(BO24,SectInfo!$B:$N,6,FALSE),CG24))</f>
        <v/>
      </c>
      <c r="DI24" s="1276" t="str">
        <f>IF(BO24="","",IF(VLOOKUP(BO24,SectInfo!$B:$N,10,FALSE)="","",(VLOOKUP(BO24,SectInfo!$B:$N,10,FALSE)*-1)))</f>
        <v/>
      </c>
      <c r="DJ24" s="1443" t="str">
        <f>IF(BO24="","",IF(VLOOKUP(BO24,SectInfo!$B:$N,11,FALSE)="","2",(VLOOKUP(BO24,SectInfo!$B:$N,11,FALSE))))</f>
        <v/>
      </c>
      <c r="DK24" s="1046" t="str">
        <f>IF(BO24="","",IF(VLOOKUP(BO24,SectInfo!$B:$N,7,FALSE)="","",(VLOOKUP(BO24,SectInfo!$B:$N,7,FALSE)*-1)))</f>
        <v/>
      </c>
      <c r="DL24" s="1046" t="str">
        <f>IF(BO24="","",IF(VLOOKUP(BO24,SectInfo!$B:$N,8,FALSE)="",VLOOKUP(AU24,$DF$2:$DN$9,6,FALSE),(VLOOKUP(BO24,SectInfo!$B:$N,8,FALSE))))</f>
        <v/>
      </c>
      <c r="DM24" s="1046" t="str">
        <f>IF(BO24="","",VLOOKUP(BO24,SectInfo!$B:$N,9,FALSE))</f>
        <v/>
      </c>
      <c r="DN24" s="1047">
        <f t="shared" ref="DN24:DN40" si="108">BV24*-1</f>
        <v>0</v>
      </c>
      <c r="DO24" s="1049">
        <f t="shared" si="55"/>
        <v>0</v>
      </c>
      <c r="DP24" s="1053" t="str">
        <f t="shared" si="56"/>
        <v/>
      </c>
      <c r="DQ24" s="1053" t="str">
        <f t="shared" si="57"/>
        <v/>
      </c>
      <c r="DR24" s="1053" t="str">
        <f t="shared" si="58"/>
        <v/>
      </c>
      <c r="DS24" s="1052">
        <f t="shared" si="59"/>
        <v>0</v>
      </c>
      <c r="DT24" s="1052">
        <f>MIN(IF(BH24&gt;0,BH24/2,MAX(BI24/2,DC24)),IF(BI24&gt;0,BI24/2,MAX(BH24/2,DC24)),IF(DC24&gt;0,DC24,MAX(BI24/2,BH24/2)))/IF(OR(CU24="C",AND(CU24="M",$DD$1="N")),1,COS(DS24))</f>
        <v>0</v>
      </c>
      <c r="DU24" s="1052" t="str">
        <f>IF(CV24="","",IF(DC24&gt;=0,MAX(BH24/2,BI24/2,DC24),DC24)/IF(OR(CU24="C",AND(CU24="M",$DD$1="N")),1,COS(DS24)))</f>
        <v/>
      </c>
      <c r="DV24" s="1053" t="str">
        <f t="shared" si="60"/>
        <v/>
      </c>
      <c r="DW24" s="1053" t="str">
        <f t="shared" si="61"/>
        <v/>
      </c>
      <c r="DX24" s="1269">
        <f t="shared" ref="DX24:DX40" si="109">IF(CV24="",0,IF(DW24/COS(FN24-FD24)&lt;0.0625,0,CEILING(DW24/COS(FN24-FD24)-0.03125,0.125)))</f>
        <v>0</v>
      </c>
      <c r="DY24" s="1053">
        <f t="shared" ref="DY24:DY40" si="110">RADIANS(ABS(BU24))</f>
        <v>0</v>
      </c>
      <c r="DZ24" s="1052">
        <f>MIN(IF(BP24&gt;0,BP24/2,MAX(BQ24/2,DM24)),IF(BQ24&gt;0,BQ24/2,MAX(BP24/2,DM24)),IF(DM24&gt;0,DM24,MAX(BQ24/2,BP24/2)))/IF(OR(DE24="C",AND(DE24="M",$DD$1="N")),1,COS(DY24))</f>
        <v>0</v>
      </c>
      <c r="EA24" s="1052" t="str">
        <f t="shared" ref="EA24:EA40" si="111">IF(DF24="","",IF(DM24&gt;=0,MAX(BP24/2,BQ24/2,DM24),DM24)/IF(OR(DE24="C",AND(DE24="M",$DD$1="N")),1,COS(DY24)))</f>
        <v/>
      </c>
      <c r="EB24" s="1053" t="str">
        <f t="shared" si="62"/>
        <v/>
      </c>
      <c r="EC24" s="1053" t="str">
        <f t="shared" si="63"/>
        <v/>
      </c>
      <c r="ED24" s="1269">
        <f t="shared" ref="ED24:ED40" si="112">IF(DF24="",0,IF(EC24/COS(FN24+FI24)&lt;0.0625,0,CEILING(EC24/COS(FN24+FI24)-0.03125,0.125)))</f>
        <v>0</v>
      </c>
      <c r="EE24" s="1090" t="str">
        <f>IF(AND(EZ24="",DA24=""),"",IF(EZ24="ERR","ERR",IF(CU24="C",DA24,IF(BJ24="","",IF(DA24="",(EZ24/2)*-1,DA24)))))</f>
        <v/>
      </c>
      <c r="EF24" s="1053" t="str">
        <f t="shared" si="64"/>
        <v/>
      </c>
      <c r="EG24" s="1053" t="str">
        <f t="shared" si="65"/>
        <v/>
      </c>
      <c r="EH24" s="1053" t="e">
        <f t="shared" si="66"/>
        <v>#N/A</v>
      </c>
      <c r="EI24" s="1053" t="e">
        <f t="shared" si="67"/>
        <v>#N/A</v>
      </c>
      <c r="EJ24" s="1053" t="str">
        <f t="shared" si="68"/>
        <v/>
      </c>
      <c r="EK24" s="1053" t="str">
        <f t="shared" si="68"/>
        <v/>
      </c>
      <c r="EL24" s="1090" t="str">
        <f>IF(AND(FC24="",DK24=""),"",IF(FC24="ERR","ERR",IF(DE24="C",DK24,IF(BR24="","",IF(DK24="",(FC24/2)*-1,DK24)))))</f>
        <v/>
      </c>
      <c r="EM24" s="1053" t="str">
        <f t="shared" si="69"/>
        <v/>
      </c>
      <c r="EN24" s="1053" t="str">
        <f t="shared" si="70"/>
        <v/>
      </c>
      <c r="EO24" s="1053" t="e">
        <f t="shared" si="71"/>
        <v>#N/A</v>
      </c>
      <c r="EP24" s="1053" t="e">
        <f t="shared" si="72"/>
        <v>#N/A</v>
      </c>
      <c r="EQ24" s="1053" t="str">
        <f t="shared" si="73"/>
        <v/>
      </c>
      <c r="ER24" s="1053" t="str">
        <f t="shared" si="73"/>
        <v/>
      </c>
      <c r="ES24" s="1053" t="str">
        <f t="shared" si="74"/>
        <v/>
      </c>
      <c r="ET24" s="1053" t="str">
        <f t="shared" si="75"/>
        <v/>
      </c>
      <c r="EU24" s="1061" t="str">
        <f t="shared" si="76"/>
        <v/>
      </c>
      <c r="EV24" s="1055" t="str">
        <f>IF(AND(EK24="",ER24=""),"",IF(EK24="",DL24,IF(EQ24="",DB24,IF(DB24&lt;&gt;DL24,EU24,DB24))))</f>
        <v/>
      </c>
      <c r="EW24" s="1061"/>
      <c r="EX24" s="1061" t="str">
        <f>IF(AND(CU24="G", ISBLANK(BK24), ISBLANK(BL24)),VLOOKUP(MIN(BH24:BI24),TblJoistSize!$M$3:$N$10,2),IF(OR(CU24="B",CU24="G"),MIN(BK24:BL24),""))</f>
        <v/>
      </c>
      <c r="EY24" s="1061" t="str">
        <f>IF(AND(CU24="G", ISBLANK(BK24), ISBLANK(BL24)),VLOOKUP(MAX(BH24:BI24),TblJoistSize!$M$3:$N$10,2),IF(OR(CU24="B",CU24="G"),MAX(BK24:BL24),""))</f>
        <v/>
      </c>
      <c r="EZ24" s="1061" t="str">
        <f t="shared" si="77"/>
        <v/>
      </c>
      <c r="FA24" s="1061" t="str">
        <f>IF(AND(DE24="G", ISBLANK(BS24), ISBLANK(BT24)),VLOOKUP(MIN(BP24:BQ24),TblJoistSize!$M$3:$N$10,2),IF(OR(DE24="B", DE24="G"),MIN(BS24:BT24),""))</f>
        <v/>
      </c>
      <c r="FB24" s="1061" t="str">
        <f>IF(AND(DE24="G", ISBLANK(BS24), ISBLANK(BT24)),VLOOKUP(MAX(BP24:BQ24),TblJoistSize!$M$3:$N$10,2),IF(OR(DE24="B", DE24="G"),MAX(BS24:BT24),""))</f>
        <v/>
      </c>
      <c r="FC24" s="1061" t="str">
        <f t="shared" si="78"/>
        <v/>
      </c>
      <c r="FD24" s="1053">
        <f t="shared" si="79"/>
        <v>0</v>
      </c>
      <c r="FE24" s="1053">
        <f t="shared" si="80"/>
        <v>0</v>
      </c>
      <c r="FF24" s="1052">
        <f t="shared" si="81"/>
        <v>0</v>
      </c>
      <c r="FG24" s="1052" t="str">
        <f t="shared" si="82"/>
        <v/>
      </c>
      <c r="FH24" s="1053" t="str">
        <f t="shared" si="83"/>
        <v/>
      </c>
      <c r="FI24" s="1053">
        <f t="shared" si="84"/>
        <v>0</v>
      </c>
      <c r="FJ24" s="1053">
        <f t="shared" si="85"/>
        <v>0</v>
      </c>
      <c r="FK24" s="1052">
        <f t="shared" si="86"/>
        <v>0</v>
      </c>
      <c r="FL24" s="1052" t="str">
        <f t="shared" si="87"/>
        <v/>
      </c>
      <c r="FM24" s="1053" t="str">
        <f t="shared" si="88"/>
        <v/>
      </c>
      <c r="FN24" s="1053" t="e">
        <f t="shared" ref="FN24:FN40" si="113">IF(((BE24*12+BF24)+CV24+DF24)/COS(DO24)-((BE24*12+BF24)+CV24+DF24)&lt;$DB$2,0,DO24)</f>
        <v>#VALUE!</v>
      </c>
      <c r="FO24" s="1062" t="e">
        <f t="shared" si="89"/>
        <v>#VALUE!</v>
      </c>
      <c r="FP24" s="1062" t="e">
        <f t="shared" si="90"/>
        <v>#VALUE!</v>
      </c>
      <c r="FQ24" s="1063" t="e">
        <f t="shared" si="91"/>
        <v>#VALUE!</v>
      </c>
      <c r="FR24" s="1064" t="e">
        <f t="shared" si="92"/>
        <v>#VALUE!</v>
      </c>
      <c r="FS24" s="1065" t="str">
        <f t="shared" si="93"/>
        <v/>
      </c>
      <c r="FT24" s="1066" t="str">
        <f t="shared" si="94"/>
        <v/>
      </c>
      <c r="FU24" s="1105">
        <f t="shared" si="95"/>
        <v>0</v>
      </c>
      <c r="FV24" s="1106">
        <f t="shared" si="96"/>
        <v>0</v>
      </c>
      <c r="GA24" s="1975" t="str">
        <f t="shared" si="97"/>
        <v/>
      </c>
      <c r="GB24" s="1976" t="str">
        <f t="shared" si="98"/>
        <v/>
      </c>
      <c r="GC24" s="1977" t="str">
        <f t="shared" si="99"/>
        <v/>
      </c>
      <c r="GD24" s="1978" t="str">
        <f t="shared" si="100"/>
        <v/>
      </c>
      <c r="GE24" s="1979" t="str">
        <f t="shared" si="101"/>
        <v/>
      </c>
      <c r="GF24" s="1980" t="str">
        <f t="shared" si="102"/>
        <v/>
      </c>
      <c r="GG24" s="1453"/>
      <c r="GH24" s="1454"/>
      <c r="GI24" s="1453"/>
      <c r="GJ24" s="1454"/>
      <c r="GK24" s="1407">
        <f t="shared" si="103"/>
        <v>0</v>
      </c>
      <c r="GL24" s="1407" t="e">
        <f t="shared" si="104"/>
        <v>#VALUE!</v>
      </c>
      <c r="GM24" s="1408" t="e">
        <f>IF(ABS(GK24-GL24)&gt;='Job Info.'!$L$22,ABS(GK24-GL24),0)</f>
        <v>#VALUE!</v>
      </c>
      <c r="GZ24" s="497"/>
      <c r="HA24" s="1640"/>
      <c r="HB24" s="1641"/>
      <c r="HC24" s="1641"/>
      <c r="HD24" s="1642"/>
      <c r="HE24" s="1643"/>
      <c r="HF24" s="1641"/>
      <c r="HG24" s="1641"/>
      <c r="HH24" s="1641"/>
      <c r="HI24" s="1644"/>
      <c r="HJ24" s="1641"/>
      <c r="HK24" s="1641"/>
      <c r="HL24" s="1641"/>
      <c r="HM24" s="1641"/>
      <c r="HN24" s="1641"/>
      <c r="HO24" s="1641"/>
      <c r="HP24" s="1641"/>
      <c r="HQ24" s="1644"/>
      <c r="HR24" s="1641"/>
      <c r="HS24" s="1641"/>
      <c r="HT24" s="1641"/>
      <c r="HU24" s="1641"/>
      <c r="HV24" s="1641"/>
      <c r="HW24" s="1643"/>
      <c r="HX24" s="1643"/>
      <c r="HY24" s="1643"/>
      <c r="HZ24" s="1643"/>
      <c r="IA24" s="1643"/>
      <c r="IB24" s="1643"/>
      <c r="IC24" s="1643"/>
      <c r="ID24" s="1643"/>
      <c r="IE24" s="1643"/>
      <c r="IF24" s="1645"/>
      <c r="IG24" s="497"/>
      <c r="IH24" s="497"/>
      <c r="II24" s="497"/>
    </row>
    <row r="25" spans="1:243" ht="12.6" customHeight="1" x14ac:dyDescent="0.25">
      <c r="A25" s="1471" t="str">
        <f t="shared" si="1"/>
        <v/>
      </c>
      <c r="B25" s="1473" t="str">
        <f t="shared" si="2"/>
        <v/>
      </c>
      <c r="C25" s="1473" t="str">
        <f t="shared" si="3"/>
        <v/>
      </c>
      <c r="D25" s="1909" t="str">
        <f t="shared" si="4"/>
        <v/>
      </c>
      <c r="E25" s="1964" t="str">
        <f t="shared" si="5"/>
        <v/>
      </c>
      <c r="F25" s="1917" t="str">
        <f t="shared" si="6"/>
        <v/>
      </c>
      <c r="G25" s="1910" t="str">
        <f t="shared" si="7"/>
        <v/>
      </c>
      <c r="H25" s="1965" t="str">
        <f t="shared" si="8"/>
        <v/>
      </c>
      <c r="I25" s="1909" t="str">
        <f t="shared" si="9"/>
        <v/>
      </c>
      <c r="J25" s="1910" t="str">
        <f t="shared" si="10"/>
        <v/>
      </c>
      <c r="K25" s="1966" t="str">
        <f t="shared" si="11"/>
        <v/>
      </c>
      <c r="L25" s="1915" t="str">
        <f t="shared" si="12"/>
        <v/>
      </c>
      <c r="M25" s="1961" t="str">
        <f t="shared" si="13"/>
        <v/>
      </c>
      <c r="N25" s="1917" t="str">
        <f t="shared" si="14"/>
        <v/>
      </c>
      <c r="O25" s="1910" t="str">
        <f t="shared" si="15"/>
        <v/>
      </c>
      <c r="P25" s="1908" t="str">
        <f t="shared" si="16"/>
        <v/>
      </c>
      <c r="Q25" s="1909" t="str">
        <f t="shared" si="17"/>
        <v/>
      </c>
      <c r="R25" s="1910" t="str">
        <f t="shared" si="18"/>
        <v/>
      </c>
      <c r="S25" s="1919" t="str">
        <f t="shared" si="19"/>
        <v/>
      </c>
      <c r="T25" s="1917" t="str">
        <f t="shared" si="20"/>
        <v/>
      </c>
      <c r="U25" s="1910" t="str">
        <f t="shared" si="21"/>
        <v/>
      </c>
      <c r="V25" s="1909" t="str">
        <f t="shared" si="22"/>
        <v/>
      </c>
      <c r="W25" s="1910" t="str">
        <f t="shared" si="23"/>
        <v/>
      </c>
      <c r="X25" s="1914">
        <f t="shared" si="24"/>
        <v>0</v>
      </c>
      <c r="Y25" s="1967" t="str">
        <f t="shared" si="25"/>
        <v/>
      </c>
      <c r="Z25" s="1968" t="str">
        <f t="shared" si="26"/>
        <v/>
      </c>
      <c r="AA25" s="1981"/>
      <c r="AC25" s="1226"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202" t="str">
        <f t="shared" si="33"/>
        <v/>
      </c>
      <c r="AM25" s="284" t="str">
        <f t="shared" si="34"/>
        <v/>
      </c>
      <c r="AN25" s="284" t="str">
        <f t="shared" si="35"/>
        <v/>
      </c>
      <c r="AO25" s="284" t="str">
        <f t="shared" si="36"/>
        <v/>
      </c>
      <c r="AP25" s="1063" t="b">
        <f>IF(ISERROR(AJ25),FALSE,IF(OR(AJ25=0,ISERROR(AL25),ISERROR(AM25),ISERROR(AN25),ISERROR(AO25)),FALSE,IF(AL25&lt;&gt;"",IF(ISERROR(VLOOKUP(SUBSTITUTE(SUBSTITUTE(C25,"R",""),"A",""),TblJoistSize!$A:$A,1,FALSE)),FALSE,TRUE),TRUE)))</f>
        <v>0</v>
      </c>
      <c r="AQ25" s="1305" t="e">
        <f t="shared" si="37"/>
        <v>#N/A</v>
      </c>
      <c r="AR25" s="1305" t="b">
        <f t="shared" si="38"/>
        <v>0</v>
      </c>
      <c r="AS25" s="1305" t="e">
        <f t="shared" si="39"/>
        <v>#N/A</v>
      </c>
      <c r="AT25" s="1305" t="b">
        <f t="shared" si="40"/>
        <v>0</v>
      </c>
      <c r="AU25" s="1203" t="str">
        <f t="shared" si="41"/>
        <v/>
      </c>
      <c r="AV25" s="1063" t="str">
        <f t="shared" si="42"/>
        <v/>
      </c>
      <c r="AW25" s="1063" t="str">
        <f t="shared" si="105"/>
        <v/>
      </c>
      <c r="AX25" s="1063" t="str">
        <f t="shared" ref="AX25:AX40" si="114">IF(AND(OR(ISBLANK(A25),A25=""),AA25&lt;&gt;""),AX24,IF(OR(ISBLANK(A25),A25=""),"",A25))</f>
        <v/>
      </c>
      <c r="AY25" s="554" t="b">
        <f t="shared" si="43"/>
        <v>0</v>
      </c>
      <c r="AZ25" s="1090" t="str">
        <f t="shared" si="106"/>
        <v/>
      </c>
      <c r="BA25" s="674"/>
      <c r="BB25" s="842"/>
      <c r="BC25" s="894"/>
      <c r="BD25" s="926"/>
      <c r="BE25" s="927"/>
      <c r="BF25" s="928"/>
      <c r="BG25" s="901"/>
      <c r="BH25" s="1244"/>
      <c r="BI25" s="1245"/>
      <c r="BJ25" s="929"/>
      <c r="BK25" s="902"/>
      <c r="BL25" s="903"/>
      <c r="BM25" s="904"/>
      <c r="BN25" s="905"/>
      <c r="BO25" s="901"/>
      <c r="BP25" s="902"/>
      <c r="BQ25" s="903"/>
      <c r="BR25" s="929"/>
      <c r="BS25" s="902"/>
      <c r="BT25" s="903"/>
      <c r="BU25" s="904"/>
      <c r="BV25" s="905"/>
      <c r="BW25" s="906"/>
      <c r="BX25" s="930"/>
      <c r="BY25" s="931"/>
      <c r="BZ25" s="932"/>
      <c r="CA25" s="933"/>
      <c r="CB25" s="932"/>
      <c r="CC25" s="933"/>
      <c r="CD25" s="934" t="str">
        <f t="shared" si="44"/>
        <v/>
      </c>
      <c r="CE25" s="935" t="str">
        <f t="shared" si="45"/>
        <v/>
      </c>
      <c r="CF25" s="1149"/>
      <c r="CG25" s="1150"/>
      <c r="CH25" s="792" t="str">
        <f t="shared" si="46"/>
        <v/>
      </c>
      <c r="CI25" s="793" t="str">
        <f t="shared" si="47"/>
        <v/>
      </c>
      <c r="CJ25" s="794" t="str">
        <f>IF(EV25="","",IF(AND(DB25&lt;&gt;EV25,OR(NOT(ISBLANK(BJ25)),CU25="C")),CONCATENATE("LE slots @ ",DB25," Ga."),IF(AND(DL25&lt;&gt;EV25,OR(NOT(ISBLANK(BR25)),DE25="C")),CONCATENATE("RE slots @ ",DL25," Ga."),"")))</f>
        <v/>
      </c>
      <c r="CK25" s="1086" t="str">
        <f t="shared" si="48"/>
        <v/>
      </c>
      <c r="CL25" s="1081" t="str">
        <f t="shared" ref="CL25:CL40" si="115">IF(ISBLANK(CB25),"",CEILING(DV25,0.125))</f>
        <v/>
      </c>
      <c r="CM25" s="1082" t="str">
        <f t="shared" ref="CM25:CM40" si="116">IF(ISBLANK(CC25),"",CEILING(EB25,0.125))</f>
        <v/>
      </c>
      <c r="CN25" s="758" t="str">
        <f t="shared" si="49"/>
        <v/>
      </c>
      <c r="CO25" s="759" t="str">
        <f t="shared" si="50"/>
        <v/>
      </c>
      <c r="CP25" s="762" t="str">
        <f t="shared" si="51"/>
        <v/>
      </c>
      <c r="CQ25" s="763" t="str">
        <f t="shared" si="52"/>
        <v/>
      </c>
      <c r="CR25" s="953" t="str">
        <f t="shared" si="53"/>
        <v/>
      </c>
      <c r="CS25" s="954" t="str">
        <f t="shared" si="54"/>
        <v/>
      </c>
      <c r="CU25" s="135" t="str">
        <f>IF(BG25="","",VLOOKUP(BG25,SectInfo!$B:$N,12,FALSE))</f>
        <v/>
      </c>
      <c r="CV25" s="136" t="str">
        <f>IF(BG25="","",IF(ISBLANK(BZ25),VLOOKUP(BG25,SectInfo!$B:$N,13,FALSE),BZ25))</f>
        <v/>
      </c>
      <c r="CW25" s="136" t="str">
        <f>IF(BG25="","",IF(VLOOKUP(BG25,SectInfo!$B:$N,5,FALSE)="","R",UPPER(VLOOKUP(BG25,SectInfo!$B:$N,5,FALSE))))</f>
        <v/>
      </c>
      <c r="CX25" s="1046" t="str">
        <f>IF(BG25="","",IF(ISBLANK(CF25),VLOOKUP(BG25,SectInfo!$B:$N,6,FALSE),CF25))</f>
        <v/>
      </c>
      <c r="CY25" s="136" t="str">
        <f>IF(BG25="","",IF(VLOOKUP(BG25,SectInfo!$B:$N,10,FALSE)="","",(VLOOKUP(BG25,SectInfo!$B:$N,10,FALSE)*-1)))</f>
        <v/>
      </c>
      <c r="CZ25" s="1443" t="str">
        <f>IF(BG25="","",IF(VLOOKUP(BG25,SectInfo!$B:$N,11,FALSE)="","2",(VLOOKUP(BG25,SectInfo!$B:$N,11,FALSE))))</f>
        <v/>
      </c>
      <c r="DA25" s="136" t="str">
        <f>IF(BG25="","",IF(VLOOKUP(BG25,SectInfo!$B:$N,7,FALSE)="","",(VLOOKUP(BG25,SectInfo!$B:$N,7,FALSE)*-1)))</f>
        <v/>
      </c>
      <c r="DB25" s="1046" t="str">
        <f>IF(BG25="","",IF(VLOOKUP(BG25,SectInfo!$B:$N,8,FALSE)="",VLOOKUP(AU25,$DF$2:$DN$9,6,FALSE),(VLOOKUP(BG25,SectInfo!$B:$N,8,FALSE))))</f>
        <v/>
      </c>
      <c r="DC25" s="1046" t="str">
        <f>IF(BG25="","",VLOOKUP(BG25,SectInfo!$B:$N,9,FALSE))</f>
        <v/>
      </c>
      <c r="DD25" s="1047">
        <f t="shared" si="107"/>
        <v>0</v>
      </c>
      <c r="DE25" s="1048" t="str">
        <f>IF(BO25="","",VLOOKUP(BO25,SectInfo!$B:$N,12,FALSE))</f>
        <v/>
      </c>
      <c r="DF25" s="1046" t="str">
        <f>IF(BO25="","",IF(ISBLANK(CA25),VLOOKUP(BO25,SectInfo!$B:$N,13,FALSE),CA25))</f>
        <v/>
      </c>
      <c r="DG25" s="1046" t="str">
        <f>IF(BO25="","",IF(VLOOKUP(BO25,SectInfo!$B:$N,5,FALSE)="","R",UPPER(VLOOKUP(BO25,SectInfo!$B:$N,5,FALSE))))</f>
        <v/>
      </c>
      <c r="DH25" s="1046" t="str">
        <f>IF(BO25="","",IF(ISBLANK(CG25),VLOOKUP(BO25,SectInfo!$B:$N,6,FALSE),CG25))</f>
        <v/>
      </c>
      <c r="DI25" s="1276" t="str">
        <f>IF(BO25="","",IF(VLOOKUP(BO25,SectInfo!$B:$N,10,FALSE)="","",(VLOOKUP(BO25,SectInfo!$B:$N,10,FALSE)*-1)))</f>
        <v/>
      </c>
      <c r="DJ25" s="1443" t="str">
        <f>IF(BO25="","",IF(VLOOKUP(BO25,SectInfo!$B:$N,11,FALSE)="","2",(VLOOKUP(BO25,SectInfo!$B:$N,11,FALSE))))</f>
        <v/>
      </c>
      <c r="DK25" s="1046" t="str">
        <f>IF(BO25="","",IF(VLOOKUP(BO25,SectInfo!$B:$N,7,FALSE)="","",(VLOOKUP(BO25,SectInfo!$B:$N,7,FALSE)*-1)))</f>
        <v/>
      </c>
      <c r="DL25" s="1046" t="str">
        <f>IF(BO25="","",IF(VLOOKUP(BO25,SectInfo!$B:$N,8,FALSE)="",VLOOKUP(AU25,$DF$2:$DN$9,6,FALSE),(VLOOKUP(BO25,SectInfo!$B:$N,8,FALSE))))</f>
        <v/>
      </c>
      <c r="DM25" s="1046" t="str">
        <f>IF(BO25="","",VLOOKUP(BO25,SectInfo!$B:$N,9,FALSE))</f>
        <v/>
      </c>
      <c r="DN25" s="1047">
        <f t="shared" si="108"/>
        <v>0</v>
      </c>
      <c r="DO25" s="1049">
        <f t="shared" si="55"/>
        <v>0</v>
      </c>
      <c r="DP25" s="1053" t="str">
        <f t="shared" si="56"/>
        <v/>
      </c>
      <c r="DQ25" s="1053" t="str">
        <f t="shared" si="57"/>
        <v/>
      </c>
      <c r="DR25" s="1053" t="str">
        <f t="shared" si="58"/>
        <v/>
      </c>
      <c r="DS25" s="1052">
        <f t="shared" si="59"/>
        <v>0</v>
      </c>
      <c r="DT25" s="1052">
        <f>MIN(IF(BH25&gt;0,BH25/2,MAX(BI25/2,DC25)),IF(BI25&gt;0,BI25/2,MAX(BH25/2,DC25)),IF(DC25&gt;0,DC25,MAX(BI25/2,BH25/2)))/IF(OR(CU25="C",AND(CU25="M",$DD$1="N")),1,COS(DS25))</f>
        <v>0</v>
      </c>
      <c r="DU25" s="1052" t="str">
        <f>IF(CV25="","",IF(DC25&gt;=0,MAX(BH25/2,BI25/2,DC25),DC25)/IF(OR(CU25="C",AND(CU25="M",$DD$1="N")),1,COS(DS25)))</f>
        <v/>
      </c>
      <c r="DV25" s="1053" t="str">
        <f t="shared" si="60"/>
        <v/>
      </c>
      <c r="DW25" s="1053" t="str">
        <f t="shared" si="61"/>
        <v/>
      </c>
      <c r="DX25" s="1269">
        <f t="shared" si="109"/>
        <v>0</v>
      </c>
      <c r="DY25" s="1053">
        <f t="shared" si="110"/>
        <v>0</v>
      </c>
      <c r="DZ25" s="1052">
        <f>MIN(IF(BP25&gt;0,BP25/2,MAX(BQ25/2,DM25)),IF(BQ25&gt;0,BQ25/2,MAX(BP25/2,DM25)),IF(DM25&gt;0,DM25,MAX(BQ25/2,BP25/2)))/IF(OR(DE25="C",AND(DE25="M",$DD$1="N")),1,COS(DY25))</f>
        <v>0</v>
      </c>
      <c r="EA25" s="1052" t="str">
        <f t="shared" si="111"/>
        <v/>
      </c>
      <c r="EB25" s="1053" t="str">
        <f t="shared" si="62"/>
        <v/>
      </c>
      <c r="EC25" s="1053" t="str">
        <f t="shared" si="63"/>
        <v/>
      </c>
      <c r="ED25" s="1269">
        <f t="shared" si="112"/>
        <v>0</v>
      </c>
      <c r="EE25" s="1090" t="str">
        <f t="shared" ref="EE25:EE40" si="117">IF(AND(EZ25="",DA25=""),"",IF(EZ25="ERR","ERR",IF(CU25="C",DA25,IF(BJ25="","",IF(DA25="",(EZ25/2)*-1,DA25)))))</f>
        <v/>
      </c>
      <c r="EF25" s="1053" t="str">
        <f t="shared" si="64"/>
        <v/>
      </c>
      <c r="EG25" s="1053" t="str">
        <f t="shared" si="65"/>
        <v/>
      </c>
      <c r="EH25" s="1053" t="e">
        <f t="shared" si="66"/>
        <v>#N/A</v>
      </c>
      <c r="EI25" s="1053" t="e">
        <f t="shared" si="67"/>
        <v>#N/A</v>
      </c>
      <c r="EJ25" s="1053" t="str">
        <f t="shared" si="68"/>
        <v/>
      </c>
      <c r="EK25" s="1053" t="str">
        <f t="shared" si="68"/>
        <v/>
      </c>
      <c r="EL25" s="1090" t="str">
        <f t="shared" ref="EL25:EL40" si="118">IF(AND(FC25="",DK25=""),"",IF(FC25="ERR","ERR",IF(DE25="C",DK25,IF(BR25="","",IF(DK25="",(FC25/2)*-1,DK25)))))</f>
        <v/>
      </c>
      <c r="EM25" s="1053" t="str">
        <f t="shared" si="69"/>
        <v/>
      </c>
      <c r="EN25" s="1053" t="str">
        <f t="shared" si="70"/>
        <v/>
      </c>
      <c r="EO25" s="1053" t="e">
        <f t="shared" si="71"/>
        <v>#N/A</v>
      </c>
      <c r="EP25" s="1053" t="e">
        <f t="shared" si="72"/>
        <v>#N/A</v>
      </c>
      <c r="EQ25" s="1053" t="str">
        <f t="shared" si="73"/>
        <v/>
      </c>
      <c r="ER25" s="1053" t="str">
        <f t="shared" si="73"/>
        <v/>
      </c>
      <c r="ES25" s="1053" t="str">
        <f t="shared" si="74"/>
        <v/>
      </c>
      <c r="ET25" s="1053" t="str">
        <f t="shared" si="75"/>
        <v/>
      </c>
      <c r="EU25" s="1061" t="str">
        <f t="shared" si="76"/>
        <v/>
      </c>
      <c r="EV25" s="1055" t="str">
        <f>IF(AND(EK25="",ER25=""),"",IF(EK25="",DL25,IF(EQ25="",DB25,IF(DB25&lt;&gt;DL25,EU25,DB25))))</f>
        <v/>
      </c>
      <c r="EW25" s="1061"/>
      <c r="EX25" s="1061" t="str">
        <f>IF(AND(CU25="G", ISBLANK(BK25), ISBLANK(BL25)),VLOOKUP(MIN(BH25:BI25),TblJoistSize!$M$3:$N$10,2),IF(OR(CU25="B",CU25="G"),MIN(BK25:BL25),""))</f>
        <v/>
      </c>
      <c r="EY25" s="1061" t="str">
        <f>IF(AND(CU25="G", ISBLANK(BK25), ISBLANK(BL25)),VLOOKUP(MAX(BH25:BI25),TblJoistSize!$M$3:$N$10,2),IF(OR(CU25="B",CU25="G"),MAX(BK25:BL25),""))</f>
        <v/>
      </c>
      <c r="EZ25" s="1061" t="str">
        <f t="shared" si="77"/>
        <v/>
      </c>
      <c r="FA25" s="1061" t="str">
        <f>IF(AND(DE25="G", ISBLANK(BS25), ISBLANK(BT25)),VLOOKUP(MIN(BP25:BQ25),TblJoistSize!$M$3:$N$10,2),IF(OR(DE25="B", DE25="G"),MIN(BS25:BT25),""))</f>
        <v/>
      </c>
      <c r="FB25" s="1061" t="str">
        <f>IF(AND(DE25="G", ISBLANK(BS25), ISBLANK(BT25)),VLOOKUP(MAX(BP25:BQ25),TblJoistSize!$M$3:$N$10,2),IF(OR(DE25="B", DE25="G"),MAX(BS25:BT25),""))</f>
        <v/>
      </c>
      <c r="FC25" s="1061" t="str">
        <f t="shared" si="78"/>
        <v/>
      </c>
      <c r="FD25" s="1053">
        <f t="shared" si="79"/>
        <v>0</v>
      </c>
      <c r="FE25" s="1053">
        <f t="shared" si="80"/>
        <v>0</v>
      </c>
      <c r="FF25" s="1052">
        <f t="shared" si="81"/>
        <v>0</v>
      </c>
      <c r="FG25" s="1052" t="str">
        <f t="shared" si="82"/>
        <v/>
      </c>
      <c r="FH25" s="1053" t="str">
        <f t="shared" si="83"/>
        <v/>
      </c>
      <c r="FI25" s="1053">
        <f t="shared" si="84"/>
        <v>0</v>
      </c>
      <c r="FJ25" s="1053">
        <f t="shared" si="85"/>
        <v>0</v>
      </c>
      <c r="FK25" s="1052">
        <f t="shared" si="86"/>
        <v>0</v>
      </c>
      <c r="FL25" s="1052" t="str">
        <f t="shared" si="87"/>
        <v/>
      </c>
      <c r="FM25" s="1053" t="str">
        <f t="shared" si="88"/>
        <v/>
      </c>
      <c r="FN25" s="1053" t="e">
        <f t="shared" si="113"/>
        <v>#VALUE!</v>
      </c>
      <c r="FO25" s="1062" t="e">
        <f t="shared" si="89"/>
        <v>#VALUE!</v>
      </c>
      <c r="FP25" s="1062" t="e">
        <f t="shared" si="90"/>
        <v>#VALUE!</v>
      </c>
      <c r="FQ25" s="1063" t="e">
        <f t="shared" si="91"/>
        <v>#VALUE!</v>
      </c>
      <c r="FR25" s="1064" t="e">
        <f t="shared" si="92"/>
        <v>#VALUE!</v>
      </c>
      <c r="FS25" s="1065" t="str">
        <f t="shared" si="93"/>
        <v/>
      </c>
      <c r="FT25" s="1066" t="str">
        <f t="shared" si="94"/>
        <v/>
      </c>
      <c r="FU25" s="1105">
        <f t="shared" si="95"/>
        <v>0</v>
      </c>
      <c r="FV25" s="1106">
        <f t="shared" si="96"/>
        <v>0</v>
      </c>
      <c r="GA25" s="1975" t="str">
        <f t="shared" si="97"/>
        <v/>
      </c>
      <c r="GB25" s="1976" t="str">
        <f t="shared" si="98"/>
        <v/>
      </c>
      <c r="GC25" s="1977" t="str">
        <f t="shared" si="99"/>
        <v/>
      </c>
      <c r="GD25" s="1978" t="str">
        <f t="shared" si="100"/>
        <v/>
      </c>
      <c r="GE25" s="1979" t="str">
        <f t="shared" si="101"/>
        <v/>
      </c>
      <c r="GF25" s="1980" t="str">
        <f t="shared" si="102"/>
        <v/>
      </c>
      <c r="GG25" s="1453"/>
      <c r="GH25" s="1454"/>
      <c r="GI25" s="1453"/>
      <c r="GJ25" s="1454"/>
      <c r="GK25" s="1407">
        <f t="shared" si="103"/>
        <v>0</v>
      </c>
      <c r="GL25" s="1407" t="e">
        <f t="shared" si="104"/>
        <v>#VALUE!</v>
      </c>
      <c r="GM25" s="1408" t="e">
        <f>IF(ABS(GK25-GL25)&gt;='Job Info.'!$L$22,ABS(GK25-GL25),0)</f>
        <v>#VALUE!</v>
      </c>
      <c r="GZ25" s="497"/>
      <c r="HA25" s="1640"/>
      <c r="HB25" s="1641"/>
      <c r="HC25" s="1641"/>
      <c r="HD25" s="1642"/>
      <c r="HE25" s="1643"/>
      <c r="HF25" s="1641"/>
      <c r="HG25" s="1641"/>
      <c r="HH25" s="1641"/>
      <c r="HI25" s="1644"/>
      <c r="HJ25" s="1641"/>
      <c r="HK25" s="1641"/>
      <c r="HL25" s="1641"/>
      <c r="HM25" s="1641"/>
      <c r="HN25" s="1641"/>
      <c r="HO25" s="1641"/>
      <c r="HP25" s="1641"/>
      <c r="HQ25" s="1644"/>
      <c r="HR25" s="1641"/>
      <c r="HS25" s="1641"/>
      <c r="HT25" s="1641"/>
      <c r="HU25" s="1641"/>
      <c r="HV25" s="1641"/>
      <c r="HW25" s="1643"/>
      <c r="HX25" s="1643"/>
      <c r="HY25" s="1643"/>
      <c r="HZ25" s="1643"/>
      <c r="IA25" s="1643"/>
      <c r="IB25" s="1643"/>
      <c r="IC25" s="1643"/>
      <c r="ID25" s="1643"/>
      <c r="IE25" s="1643"/>
      <c r="IF25" s="1645"/>
      <c r="IG25" s="497"/>
      <c r="IH25" s="497"/>
      <c r="II25" s="497"/>
    </row>
    <row r="26" spans="1:243" ht="12.6" customHeight="1" x14ac:dyDescent="0.25">
      <c r="A26" s="1471" t="str">
        <f>IF(BB26="","",UPPER(BB26))</f>
        <v/>
      </c>
      <c r="B26" s="1473" t="str">
        <f>IF(BC26="","",BC26)</f>
        <v/>
      </c>
      <c r="C26" s="1473" t="str">
        <f>IF(BD26="","",UPPER(BD26))</f>
        <v/>
      </c>
      <c r="D26" s="1909" t="str">
        <f>IF(DP26="","",TRUNC(DP26/12))</f>
        <v/>
      </c>
      <c r="E26" s="1964" t="str">
        <f>IF(DP26="","",DP26-(D26*12))</f>
        <v/>
      </c>
      <c r="F26" s="1917" t="str">
        <f>IF(DX26=0,"",TRUNC(DX26/12))</f>
        <v/>
      </c>
      <c r="G26" s="1910" t="str">
        <f>IF(DX26=0,"",DX26-(F26*12))</f>
        <v/>
      </c>
      <c r="H26" s="1965" t="str">
        <f>IF(DX26=0,"",CW26)</f>
        <v/>
      </c>
      <c r="I26" s="1909" t="str">
        <f>IF(ED26=0,"",TRUNC(ED26/12))</f>
        <v/>
      </c>
      <c r="J26" s="1910" t="str">
        <f>IF(ED26=0,"",ED26-(I26*12))</f>
        <v/>
      </c>
      <c r="K26" s="1966" t="str">
        <f>IF(ED26=0,"",DG26)</f>
        <v/>
      </c>
      <c r="L26" s="1915" t="str">
        <f>DQ26</f>
        <v/>
      </c>
      <c r="M26" s="1961" t="str">
        <f>DR26</f>
        <v/>
      </c>
      <c r="N26" s="1917" t="str">
        <f>IF(ES26="","",IF(AND(ES26&lt;0,ES26&gt;-12),TRUNC(ES26/12)-0.0000001,TRUNC(ES26/12)))</f>
        <v/>
      </c>
      <c r="O26" s="1910" t="str">
        <f>IF(ES26="","",IF(AND(ES26-(N26*12)=0,ES26&lt;0),-0.000001,ES26-(N26*12)))</f>
        <v/>
      </c>
      <c r="P26" s="1908" t="str">
        <f>IF(ES26="","",CZ26)</f>
        <v/>
      </c>
      <c r="Q26" s="1909" t="str">
        <f>IF(ET26="","",IF(AND(ET26&lt;0,ET26&gt;-12),TRUNC(ET26/12)-0.0000001,TRUNC(ET26/12)))</f>
        <v/>
      </c>
      <c r="R26" s="1910" t="str">
        <f>IF(ET26="","",IF(AND(ET26-(Q26*12)=0,ET26&lt;0),-0.000001,ET26-(Q26*12)))</f>
        <v/>
      </c>
      <c r="S26" s="1919" t="str">
        <f>IF(ET26="","",DJ26)</f>
        <v/>
      </c>
      <c r="T26" s="1917" t="str">
        <f>IF(CH26="ERR","",IF(EK26="","",IF(EK26="ERR",TRUNC(EJ26/12),TRUNC(EK26/12))))</f>
        <v/>
      </c>
      <c r="U26" s="1910" t="str">
        <f>IF(CH26="ERR","",IF(EK26="","",IF(EK26="ERR",EJ26-(T26*12),EK26-(T26*12))))</f>
        <v/>
      </c>
      <c r="V26" s="1909" t="str">
        <f>IF(CI26="ERR","",IF(ER26="","",IF(ER26="ERR",TRUNC(EQ26/12),TRUNC(ER26/12))))</f>
        <v/>
      </c>
      <c r="W26" s="1910" t="str">
        <f>IF(CI26="ERR","",IF(ER26="","",IF(ER26="ERR",EQ26-(V26*12),ER26-(V26*12))))</f>
        <v/>
      </c>
      <c r="X26" s="1914">
        <f>IF(EV26="",0,EV26)</f>
        <v>0</v>
      </c>
      <c r="Y26" s="1967" t="str">
        <f>FG26</f>
        <v/>
      </c>
      <c r="Z26" s="1968" t="str">
        <f>FL26</f>
        <v/>
      </c>
      <c r="AA26" s="1981"/>
      <c r="AC26" s="1226"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202" t="str">
        <f t="shared" si="33"/>
        <v/>
      </c>
      <c r="AM26" s="284" t="str">
        <f t="shared" si="34"/>
        <v/>
      </c>
      <c r="AN26" s="284" t="str">
        <f t="shared" si="35"/>
        <v/>
      </c>
      <c r="AO26" s="284" t="str">
        <f t="shared" si="36"/>
        <v/>
      </c>
      <c r="AP26" s="1063" t="b">
        <f>IF(ISERROR(AJ26),FALSE,IF(OR(AJ26=0,ISERROR(AL26),ISERROR(AM26),ISERROR(AN26),ISERROR(AO26)),FALSE,IF(AL26&lt;&gt;"",IF(ISERROR(VLOOKUP(SUBSTITUTE(SUBSTITUTE(C26,"R",""),"A",""),TblJoistSize!$A:$A,1,FALSE)),FALSE,TRUE),TRUE)))</f>
        <v>0</v>
      </c>
      <c r="AQ26" s="1305" t="e">
        <f t="shared" si="37"/>
        <v>#N/A</v>
      </c>
      <c r="AR26" s="1305" t="b">
        <f t="shared" si="38"/>
        <v>0</v>
      </c>
      <c r="AS26" s="1305" t="e">
        <f t="shared" si="39"/>
        <v>#N/A</v>
      </c>
      <c r="AT26" s="1305" t="b">
        <f t="shared" si="40"/>
        <v>0</v>
      </c>
      <c r="AU26" s="1203" t="str">
        <f t="shared" si="41"/>
        <v/>
      </c>
      <c r="AV26" s="1063" t="str">
        <f t="shared" si="42"/>
        <v/>
      </c>
      <c r="AW26" s="1063" t="str">
        <f t="shared" si="105"/>
        <v/>
      </c>
      <c r="AX26" s="1063" t="str">
        <f t="shared" si="114"/>
        <v/>
      </c>
      <c r="AY26" s="554" t="b">
        <f t="shared" si="43"/>
        <v>0</v>
      </c>
      <c r="AZ26" s="1090" t="str">
        <f t="shared" si="106"/>
        <v/>
      </c>
      <c r="BA26" s="674"/>
      <c r="BB26" s="842"/>
      <c r="BC26" s="894"/>
      <c r="BD26" s="926"/>
      <c r="BE26" s="927"/>
      <c r="BF26" s="928"/>
      <c r="BG26" s="901"/>
      <c r="BH26" s="1244"/>
      <c r="BI26" s="1245"/>
      <c r="BJ26" s="929"/>
      <c r="BK26" s="902"/>
      <c r="BL26" s="903"/>
      <c r="BM26" s="904"/>
      <c r="BN26" s="905"/>
      <c r="BO26" s="901"/>
      <c r="BP26" s="902"/>
      <c r="BQ26" s="903"/>
      <c r="BR26" s="929"/>
      <c r="BS26" s="902"/>
      <c r="BT26" s="903"/>
      <c r="BU26" s="904"/>
      <c r="BV26" s="905"/>
      <c r="BW26" s="906"/>
      <c r="BX26" s="930"/>
      <c r="BY26" s="931"/>
      <c r="BZ26" s="932"/>
      <c r="CA26" s="933"/>
      <c r="CB26" s="932"/>
      <c r="CC26" s="933"/>
      <c r="CD26" s="934" t="str">
        <f t="shared" si="44"/>
        <v/>
      </c>
      <c r="CE26" s="935" t="str">
        <f t="shared" si="45"/>
        <v/>
      </c>
      <c r="CF26" s="1149"/>
      <c r="CG26" s="1150"/>
      <c r="CH26" s="792" t="str">
        <f t="shared" si="46"/>
        <v/>
      </c>
      <c r="CI26" s="793" t="str">
        <f t="shared" si="47"/>
        <v/>
      </c>
      <c r="CJ26" s="794" t="str">
        <f>IF(EV26="","",IF(AND(DB26&lt;&gt;EV26,OR(NOT(ISBLANK(BJ26)),CU26="C")),CONCATENATE("LE slots @ ",DB26," Ga."),IF(AND(DL26&lt;&gt;EV26,OR(NOT(ISBLANK(BR26)),DE26="C")),CONCATENATE("RE slots @ ",DL26," Ga."),"")))</f>
        <v/>
      </c>
      <c r="CK26" s="1086" t="str">
        <f t="shared" si="48"/>
        <v/>
      </c>
      <c r="CL26" s="1081" t="str">
        <f t="shared" si="115"/>
        <v/>
      </c>
      <c r="CM26" s="1082" t="str">
        <f t="shared" si="116"/>
        <v/>
      </c>
      <c r="CN26" s="758" t="str">
        <f t="shared" si="49"/>
        <v/>
      </c>
      <c r="CO26" s="759" t="str">
        <f t="shared" si="50"/>
        <v/>
      </c>
      <c r="CP26" s="762" t="str">
        <f t="shared" si="51"/>
        <v/>
      </c>
      <c r="CQ26" s="763" t="str">
        <f t="shared" si="52"/>
        <v/>
      </c>
      <c r="CR26" s="953" t="str">
        <f t="shared" si="53"/>
        <v/>
      </c>
      <c r="CS26" s="954" t="str">
        <f t="shared" si="54"/>
        <v/>
      </c>
      <c r="CU26" s="135" t="str">
        <f>IF(BG26="","",VLOOKUP(BG26,SectInfo!$B:$N,12,FALSE))</f>
        <v/>
      </c>
      <c r="CV26" s="136" t="str">
        <f>IF(BG26="","",IF(ISBLANK(BZ26),VLOOKUP(BG26,SectInfo!$B:$N,13,FALSE),BZ26))</f>
        <v/>
      </c>
      <c r="CW26" s="136" t="str">
        <f>IF(BG26="","",IF(VLOOKUP(BG26,SectInfo!$B:$N,5,FALSE)="","R",UPPER(VLOOKUP(BG26,SectInfo!$B:$N,5,FALSE))))</f>
        <v/>
      </c>
      <c r="CX26" s="1046" t="str">
        <f>IF(BG26="","",IF(ISBLANK(CF26),VLOOKUP(BG26,SectInfo!$B:$N,6,FALSE),CF26))</f>
        <v/>
      </c>
      <c r="CY26" s="136" t="str">
        <f>IF(BG26="","",IF(VLOOKUP(BG26,SectInfo!$B:$N,10,FALSE)="","",(VLOOKUP(BG26,SectInfo!$B:$N,10,FALSE)*-1)))</f>
        <v/>
      </c>
      <c r="CZ26" s="1443" t="str">
        <f>IF(BG26="","",IF(VLOOKUP(BG26,SectInfo!$B:$N,11,FALSE)="","2",(VLOOKUP(BG26,SectInfo!$B:$N,11,FALSE))))</f>
        <v/>
      </c>
      <c r="DA26" s="136" t="str">
        <f>IF(BG26="","",IF(VLOOKUP(BG26,SectInfo!$B:$N,7,FALSE)="","",(VLOOKUP(BG26,SectInfo!$B:$N,7,FALSE)*-1)))</f>
        <v/>
      </c>
      <c r="DB26" s="1046" t="str">
        <f>IF(BG26="","",IF(VLOOKUP(BG26,SectInfo!$B:$N,8,FALSE)="",VLOOKUP(AU26,$DF$2:$DN$9,6,FALSE),(VLOOKUP(BG26,SectInfo!$B:$N,8,FALSE))))</f>
        <v/>
      </c>
      <c r="DC26" s="1046" t="str">
        <f>IF(BG26="","",VLOOKUP(BG26,SectInfo!$B:$N,9,FALSE))</f>
        <v/>
      </c>
      <c r="DD26" s="1047">
        <f t="shared" si="107"/>
        <v>0</v>
      </c>
      <c r="DE26" s="1048" t="str">
        <f>IF(BO26="","",VLOOKUP(BO26,SectInfo!$B:$N,12,FALSE))</f>
        <v/>
      </c>
      <c r="DF26" s="1046" t="str">
        <f>IF(BO26="","",IF(ISBLANK(CA26),VLOOKUP(BO26,SectInfo!$B:$N,13,FALSE),CA26))</f>
        <v/>
      </c>
      <c r="DG26" s="1046" t="str">
        <f>IF(BO26="","",IF(VLOOKUP(BO26,SectInfo!$B:$N,5,FALSE)="","R",UPPER(VLOOKUP(BO26,SectInfo!$B:$N,5,FALSE))))</f>
        <v/>
      </c>
      <c r="DH26" s="1046" t="str">
        <f>IF(BO26="","",IF(ISBLANK(CG26),VLOOKUP(BO26,SectInfo!$B:$N,6,FALSE),CG26))</f>
        <v/>
      </c>
      <c r="DI26" s="1276" t="str">
        <f>IF(BO26="","",IF(VLOOKUP(BO26,SectInfo!$B:$N,10,FALSE)="","",(VLOOKUP(BO26,SectInfo!$B:$N,10,FALSE)*-1)))</f>
        <v/>
      </c>
      <c r="DJ26" s="1443" t="str">
        <f>IF(BO26="","",IF(VLOOKUP(BO26,SectInfo!$B:$N,11,FALSE)="","2",(VLOOKUP(BO26,SectInfo!$B:$N,11,FALSE))))</f>
        <v/>
      </c>
      <c r="DK26" s="1046" t="str">
        <f>IF(BO26="","",IF(VLOOKUP(BO26,SectInfo!$B:$N,7,FALSE)="","",(VLOOKUP(BO26,SectInfo!$B:$N,7,FALSE)*-1)))</f>
        <v/>
      </c>
      <c r="DL26" s="1046" t="str">
        <f>IF(BO26="","",IF(VLOOKUP(BO26,SectInfo!$B:$N,8,FALSE)="",VLOOKUP(AU26,$DF$2:$DN$9,6,FALSE),(VLOOKUP(BO26,SectInfo!$B:$N,8,FALSE))))</f>
        <v/>
      </c>
      <c r="DM26" s="1046" t="str">
        <f>IF(BO26="","",VLOOKUP(BO26,SectInfo!$B:$N,9,FALSE))</f>
        <v/>
      </c>
      <c r="DN26" s="1047">
        <f t="shared" si="108"/>
        <v>0</v>
      </c>
      <c r="DO26" s="1049">
        <f t="shared" si="55"/>
        <v>0</v>
      </c>
      <c r="DP26" s="1053" t="str">
        <f t="shared" si="56"/>
        <v/>
      </c>
      <c r="DQ26" s="1053" t="str">
        <f t="shared" si="57"/>
        <v/>
      </c>
      <c r="DR26" s="1053" t="str">
        <f t="shared" si="58"/>
        <v/>
      </c>
      <c r="DS26" s="1052">
        <f t="shared" si="59"/>
        <v>0</v>
      </c>
      <c r="DT26" s="1052">
        <f t="shared" ref="DT26:DT40" si="119">MIN(IF(BH26&gt;0,BH26/2,MAX(BI26/2,DC26)),IF(BI26&gt;0,BI26/2,MAX(BH26/2,DC26)),IF(DC26&gt;0,DC26,MAX(BI26/2,BH26/2)))/IF(OR(CU26="C",AND(CU26="M",$DD$1="N")),1,COS(DS26))</f>
        <v>0</v>
      </c>
      <c r="DU26" s="1052" t="str">
        <f t="shared" ref="DU26:DU40" si="120">IF(CV26="","",IF(DC26&gt;=0,MAX(BH26/2,BI26/2,DC26),DC26)/IF(OR(CU26="C",AND(CU26="M",$DD$1="N")),1,COS(DS26)))</f>
        <v/>
      </c>
      <c r="DV26" s="1053" t="str">
        <f t="shared" si="60"/>
        <v/>
      </c>
      <c r="DW26" s="1053" t="str">
        <f t="shared" si="61"/>
        <v/>
      </c>
      <c r="DX26" s="1269">
        <f t="shared" si="109"/>
        <v>0</v>
      </c>
      <c r="DY26" s="1053">
        <f t="shared" si="110"/>
        <v>0</v>
      </c>
      <c r="DZ26" s="1052">
        <f t="shared" ref="DZ26:DZ40" si="121">MIN(IF(BP26&gt;0,BP26/2,MAX(BQ26/2,DM26)),IF(BQ26&gt;0,BQ26/2,MAX(BP26/2,DM26)),IF(DM26&gt;0,DM26,MAX(BQ26/2,BP26/2)))/IF(OR(DE26="C",AND(DE26="M",$DD$1="N")),1,COS(DY26))</f>
        <v>0</v>
      </c>
      <c r="EA26" s="1052" t="str">
        <f t="shared" si="111"/>
        <v/>
      </c>
      <c r="EB26" s="1053" t="str">
        <f t="shared" si="62"/>
        <v/>
      </c>
      <c r="EC26" s="1053" t="str">
        <f t="shared" si="63"/>
        <v/>
      </c>
      <c r="ED26" s="1269">
        <f t="shared" si="112"/>
        <v>0</v>
      </c>
      <c r="EE26" s="1090" t="str">
        <f t="shared" si="117"/>
        <v/>
      </c>
      <c r="EF26" s="1053" t="str">
        <f t="shared" si="64"/>
        <v/>
      </c>
      <c r="EG26" s="1053" t="str">
        <f t="shared" si="65"/>
        <v/>
      </c>
      <c r="EH26" s="1053" t="e">
        <f t="shared" si="66"/>
        <v>#N/A</v>
      </c>
      <c r="EI26" s="1053" t="e">
        <f t="shared" si="67"/>
        <v>#N/A</v>
      </c>
      <c r="EJ26" s="1053" t="str">
        <f t="shared" si="68"/>
        <v/>
      </c>
      <c r="EK26" s="1053" t="str">
        <f t="shared" si="68"/>
        <v/>
      </c>
      <c r="EL26" s="1090" t="str">
        <f t="shared" si="118"/>
        <v/>
      </c>
      <c r="EM26" s="1053" t="str">
        <f t="shared" si="69"/>
        <v/>
      </c>
      <c r="EN26" s="1053" t="str">
        <f t="shared" si="70"/>
        <v/>
      </c>
      <c r="EO26" s="1053" t="e">
        <f t="shared" si="71"/>
        <v>#N/A</v>
      </c>
      <c r="EP26" s="1053" t="e">
        <f t="shared" si="72"/>
        <v>#N/A</v>
      </c>
      <c r="EQ26" s="1053" t="str">
        <f t="shared" si="73"/>
        <v/>
      </c>
      <c r="ER26" s="1053" t="str">
        <f t="shared" si="73"/>
        <v/>
      </c>
      <c r="ES26" s="1053" t="str">
        <f t="shared" si="74"/>
        <v/>
      </c>
      <c r="ET26" s="1053" t="str">
        <f t="shared" si="75"/>
        <v/>
      </c>
      <c r="EU26" s="1061" t="str">
        <f t="shared" si="76"/>
        <v/>
      </c>
      <c r="EV26" s="1055" t="str">
        <f>IF(AND(EK26="",ER26=""),"",IF(EK26="",DL26,IF(EQ26="",DB26,IF(DB26&lt;&gt;DL26,EU26,DB26))))</f>
        <v/>
      </c>
      <c r="EW26" s="1061"/>
      <c r="EX26" s="1061" t="str">
        <f>IF(AND(CU26="G", ISBLANK(BK26), ISBLANK(BL26)),VLOOKUP(MIN(BH26:BI26),TblJoistSize!$M$3:$N$10,2),IF(OR(CU26="B",CU26="G"),MIN(BK26:BL26),""))</f>
        <v/>
      </c>
      <c r="EY26" s="1061" t="str">
        <f>IF(AND(CU26="G", ISBLANK(BK26), ISBLANK(BL26)),VLOOKUP(MAX(BH26:BI26),TblJoistSize!$M$3:$N$10,2),IF(OR(CU26="B",CU26="G"),MAX(BK26:BL26),""))</f>
        <v/>
      </c>
      <c r="EZ26" s="1061" t="str">
        <f t="shared" si="77"/>
        <v/>
      </c>
      <c r="FA26" s="1061" t="str">
        <f>IF(AND(DE26="G", ISBLANK(BS26), ISBLANK(BT26)),VLOOKUP(MIN(BP26:BQ26),TblJoistSize!$M$3:$N$10,2),IF(OR(DE26="B", DE26="G"),MIN(BS26:BT26),""))</f>
        <v/>
      </c>
      <c r="FB26" s="1061" t="str">
        <f>IF(AND(DE26="G", ISBLANK(BS26), ISBLANK(BT26)),VLOOKUP(MAX(BP26:BQ26),TblJoistSize!$M$3:$N$10,2),IF(OR(DE26="B", DE26="G"),MAX(BS26:BT26),""))</f>
        <v/>
      </c>
      <c r="FC26" s="1061" t="str">
        <f t="shared" si="78"/>
        <v/>
      </c>
      <c r="FD26" s="1053">
        <f t="shared" si="79"/>
        <v>0</v>
      </c>
      <c r="FE26" s="1053">
        <f t="shared" si="80"/>
        <v>0</v>
      </c>
      <c r="FF26" s="1052">
        <f t="shared" si="81"/>
        <v>0</v>
      </c>
      <c r="FG26" s="1052" t="str">
        <f t="shared" si="82"/>
        <v/>
      </c>
      <c r="FH26" s="1053" t="str">
        <f t="shared" si="83"/>
        <v/>
      </c>
      <c r="FI26" s="1053">
        <f t="shared" si="84"/>
        <v>0</v>
      </c>
      <c r="FJ26" s="1053">
        <f t="shared" si="85"/>
        <v>0</v>
      </c>
      <c r="FK26" s="1052">
        <f t="shared" si="86"/>
        <v>0</v>
      </c>
      <c r="FL26" s="1052" t="str">
        <f t="shared" si="87"/>
        <v/>
      </c>
      <c r="FM26" s="1053" t="str">
        <f t="shared" si="88"/>
        <v/>
      </c>
      <c r="FN26" s="1053" t="e">
        <f t="shared" si="113"/>
        <v>#VALUE!</v>
      </c>
      <c r="FO26" s="1062" t="e">
        <f t="shared" si="89"/>
        <v>#VALUE!</v>
      </c>
      <c r="FP26" s="1062" t="e">
        <f t="shared" si="90"/>
        <v>#VALUE!</v>
      </c>
      <c r="FQ26" s="1063" t="e">
        <f t="shared" si="91"/>
        <v>#VALUE!</v>
      </c>
      <c r="FR26" s="1064" t="e">
        <f t="shared" si="92"/>
        <v>#VALUE!</v>
      </c>
      <c r="FS26" s="1065" t="str">
        <f t="shared" si="93"/>
        <v/>
      </c>
      <c r="FT26" s="1066" t="str">
        <f t="shared" si="94"/>
        <v/>
      </c>
      <c r="FU26" s="1105">
        <f t="shared" si="95"/>
        <v>0</v>
      </c>
      <c r="FV26" s="1106">
        <f t="shared" si="96"/>
        <v>0</v>
      </c>
      <c r="GA26" s="1975" t="str">
        <f t="shared" si="97"/>
        <v/>
      </c>
      <c r="GB26" s="1976" t="str">
        <f t="shared" si="98"/>
        <v/>
      </c>
      <c r="GC26" s="1977" t="str">
        <f t="shared" si="99"/>
        <v/>
      </c>
      <c r="GD26" s="1978" t="str">
        <f t="shared" si="100"/>
        <v/>
      </c>
      <c r="GE26" s="1979" t="str">
        <f t="shared" si="101"/>
        <v/>
      </c>
      <c r="GF26" s="1980" t="str">
        <f t="shared" si="102"/>
        <v/>
      </c>
      <c r="GG26" s="1453"/>
      <c r="GH26" s="1454"/>
      <c r="GI26" s="1453"/>
      <c r="GJ26" s="1454"/>
      <c r="GK26" s="1407">
        <f t="shared" si="103"/>
        <v>0</v>
      </c>
      <c r="GL26" s="1407" t="e">
        <f t="shared" si="104"/>
        <v>#VALUE!</v>
      </c>
      <c r="GM26" s="1408" t="e">
        <f>IF(ABS(GK26-GL26)&gt;='Job Info.'!$L$22,ABS(GK26-GL26),0)</f>
        <v>#VALUE!</v>
      </c>
      <c r="GZ26" s="497"/>
      <c r="HA26" s="1640"/>
      <c r="HB26" s="1641"/>
      <c r="HC26" s="1641"/>
      <c r="HD26" s="1642"/>
      <c r="HE26" s="1643"/>
      <c r="HF26" s="1641"/>
      <c r="HG26" s="1641"/>
      <c r="HH26" s="1641"/>
      <c r="HI26" s="1644"/>
      <c r="HJ26" s="1641"/>
      <c r="HK26" s="1641"/>
      <c r="HL26" s="1641"/>
      <c r="HM26" s="1641"/>
      <c r="HN26" s="1641"/>
      <c r="HO26" s="1641"/>
      <c r="HP26" s="1641"/>
      <c r="HQ26" s="1644"/>
      <c r="HR26" s="1641"/>
      <c r="HS26" s="1641"/>
      <c r="HT26" s="1641"/>
      <c r="HU26" s="1641"/>
      <c r="HV26" s="1641"/>
      <c r="HW26" s="1643"/>
      <c r="HX26" s="1643"/>
      <c r="HY26" s="1643"/>
      <c r="HZ26" s="1643"/>
      <c r="IA26" s="1643"/>
      <c r="IB26" s="1643"/>
      <c r="IC26" s="1643"/>
      <c r="ID26" s="1643"/>
      <c r="IE26" s="1643"/>
      <c r="IF26" s="1645"/>
      <c r="IG26" s="497"/>
      <c r="IH26" s="497"/>
      <c r="II26" s="497"/>
    </row>
    <row r="27" spans="1:243" ht="12.6" customHeight="1" x14ac:dyDescent="0.25">
      <c r="A27" s="1471" t="str">
        <f t="shared" si="1"/>
        <v/>
      </c>
      <c r="B27" s="1473" t="str">
        <f t="shared" si="2"/>
        <v/>
      </c>
      <c r="C27" s="1473" t="str">
        <f t="shared" si="3"/>
        <v/>
      </c>
      <c r="D27" s="1909" t="str">
        <f t="shared" si="4"/>
        <v/>
      </c>
      <c r="E27" s="1964" t="str">
        <f t="shared" si="5"/>
        <v/>
      </c>
      <c r="F27" s="1917" t="str">
        <f t="shared" si="6"/>
        <v/>
      </c>
      <c r="G27" s="1910" t="str">
        <f t="shared" si="7"/>
        <v/>
      </c>
      <c r="H27" s="1965" t="str">
        <f t="shared" si="8"/>
        <v/>
      </c>
      <c r="I27" s="1909" t="str">
        <f t="shared" si="9"/>
        <v/>
      </c>
      <c r="J27" s="1910" t="str">
        <f t="shared" si="10"/>
        <v/>
      </c>
      <c r="K27" s="1966" t="str">
        <f t="shared" si="11"/>
        <v/>
      </c>
      <c r="L27" s="1915" t="str">
        <f t="shared" si="12"/>
        <v/>
      </c>
      <c r="M27" s="1961" t="str">
        <f t="shared" si="13"/>
        <v/>
      </c>
      <c r="N27" s="1917" t="str">
        <f t="shared" si="14"/>
        <v/>
      </c>
      <c r="O27" s="1910" t="str">
        <f t="shared" si="15"/>
        <v/>
      </c>
      <c r="P27" s="1908" t="str">
        <f t="shared" si="16"/>
        <v/>
      </c>
      <c r="Q27" s="1909" t="str">
        <f t="shared" si="17"/>
        <v/>
      </c>
      <c r="R27" s="1910" t="str">
        <f t="shared" si="18"/>
        <v/>
      </c>
      <c r="S27" s="1919" t="str">
        <f t="shared" si="19"/>
        <v/>
      </c>
      <c r="T27" s="1917" t="str">
        <f t="shared" si="20"/>
        <v/>
      </c>
      <c r="U27" s="1910" t="str">
        <f t="shared" si="21"/>
        <v/>
      </c>
      <c r="V27" s="1909" t="str">
        <f t="shared" si="22"/>
        <v/>
      </c>
      <c r="W27" s="1910" t="str">
        <f t="shared" si="23"/>
        <v/>
      </c>
      <c r="X27" s="1914">
        <f t="shared" si="24"/>
        <v>0</v>
      </c>
      <c r="Y27" s="1967" t="str">
        <f t="shared" si="25"/>
        <v/>
      </c>
      <c r="Z27" s="1968" t="str">
        <f t="shared" si="26"/>
        <v/>
      </c>
      <c r="AA27" s="1981"/>
      <c r="AC27" s="1226"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202" t="str">
        <f t="shared" si="33"/>
        <v/>
      </c>
      <c r="AM27" s="284" t="str">
        <f t="shared" si="34"/>
        <v/>
      </c>
      <c r="AN27" s="284" t="str">
        <f t="shared" si="35"/>
        <v/>
      </c>
      <c r="AO27" s="284" t="str">
        <f t="shared" si="36"/>
        <v/>
      </c>
      <c r="AP27" s="1063" t="b">
        <f>IF(ISERROR(AJ27),FALSE,IF(OR(AJ27=0,ISERROR(AL27),ISERROR(AM27),ISERROR(AN27),ISERROR(AO27)),FALSE,IF(AL27&lt;&gt;"",IF(ISERROR(VLOOKUP(SUBSTITUTE(SUBSTITUTE(C27,"R",""),"A",""),TblJoistSize!$A:$A,1,FALSE)),FALSE,TRUE),TRUE)))</f>
        <v>0</v>
      </c>
      <c r="AQ27" s="1305" t="e">
        <f t="shared" si="37"/>
        <v>#N/A</v>
      </c>
      <c r="AR27" s="1305" t="b">
        <f t="shared" si="38"/>
        <v>0</v>
      </c>
      <c r="AS27" s="1305" t="e">
        <f t="shared" si="39"/>
        <v>#N/A</v>
      </c>
      <c r="AT27" s="1305" t="b">
        <f t="shared" si="40"/>
        <v>0</v>
      </c>
      <c r="AU27" s="1203" t="str">
        <f t="shared" si="41"/>
        <v/>
      </c>
      <c r="AV27" s="1063" t="str">
        <f t="shared" si="42"/>
        <v/>
      </c>
      <c r="AW27" s="1063" t="str">
        <f t="shared" si="105"/>
        <v/>
      </c>
      <c r="AX27" s="1063" t="str">
        <f t="shared" si="114"/>
        <v/>
      </c>
      <c r="AY27" s="554" t="b">
        <f t="shared" si="43"/>
        <v>0</v>
      </c>
      <c r="AZ27" s="1090" t="str">
        <f t="shared" si="106"/>
        <v/>
      </c>
      <c r="BA27" s="674"/>
      <c r="BB27" s="842"/>
      <c r="BC27" s="894"/>
      <c r="BD27" s="926"/>
      <c r="BE27" s="927"/>
      <c r="BF27" s="928"/>
      <c r="BG27" s="901"/>
      <c r="BH27" s="1244"/>
      <c r="BI27" s="1245"/>
      <c r="BJ27" s="929"/>
      <c r="BK27" s="902"/>
      <c r="BL27" s="903"/>
      <c r="BM27" s="904"/>
      <c r="BN27" s="905"/>
      <c r="BO27" s="901"/>
      <c r="BP27" s="902"/>
      <c r="BQ27" s="903"/>
      <c r="BR27" s="929"/>
      <c r="BS27" s="902"/>
      <c r="BT27" s="903"/>
      <c r="BU27" s="904"/>
      <c r="BV27" s="905"/>
      <c r="BW27" s="906"/>
      <c r="BX27" s="930"/>
      <c r="BY27" s="931"/>
      <c r="BZ27" s="932"/>
      <c r="CA27" s="933"/>
      <c r="CB27" s="932"/>
      <c r="CC27" s="933"/>
      <c r="CD27" s="934" t="str">
        <f t="shared" si="44"/>
        <v/>
      </c>
      <c r="CE27" s="935" t="str">
        <f t="shared" si="45"/>
        <v/>
      </c>
      <c r="CF27" s="1149"/>
      <c r="CG27" s="1150"/>
      <c r="CH27" s="792" t="str">
        <f t="shared" si="46"/>
        <v/>
      </c>
      <c r="CI27" s="793" t="str">
        <f t="shared" si="47"/>
        <v/>
      </c>
      <c r="CJ27" s="794" t="str">
        <f t="shared" ref="CJ27:CJ40" si="122">IF(EV27="","",IF(AND(DB27&lt;&gt;EV27,OR(NOT(ISBLANK(BJ27)),CU27="C")),CONCATENATE("LE slots @ ",DB27," Ga."),IF(AND(DL27&lt;&gt;EV27,OR(NOT(ISBLANK(BR27)),DE27="C")),CONCATENATE("RE slots @ ",DL27," Ga."),"")))</f>
        <v/>
      </c>
      <c r="CK27" s="1086" t="str">
        <f t="shared" si="48"/>
        <v/>
      </c>
      <c r="CL27" s="1081" t="str">
        <f t="shared" si="115"/>
        <v/>
      </c>
      <c r="CM27" s="1082" t="str">
        <f t="shared" si="116"/>
        <v/>
      </c>
      <c r="CN27" s="758" t="str">
        <f t="shared" si="49"/>
        <v/>
      </c>
      <c r="CO27" s="759" t="str">
        <f t="shared" si="50"/>
        <v/>
      </c>
      <c r="CP27" s="762" t="str">
        <f t="shared" si="51"/>
        <v/>
      </c>
      <c r="CQ27" s="763" t="str">
        <f t="shared" si="52"/>
        <v/>
      </c>
      <c r="CR27" s="953" t="str">
        <f t="shared" si="53"/>
        <v/>
      </c>
      <c r="CS27" s="954" t="str">
        <f t="shared" si="54"/>
        <v/>
      </c>
      <c r="CU27" s="135" t="str">
        <f>IF(BG27="","",VLOOKUP(BG27,SectInfo!$B:$N,12,FALSE))</f>
        <v/>
      </c>
      <c r="CV27" s="136" t="str">
        <f>IF(BG27="","",IF(ISBLANK(BZ27),VLOOKUP(BG27,SectInfo!$B:$N,13,FALSE),BZ27))</f>
        <v/>
      </c>
      <c r="CW27" s="136" t="str">
        <f>IF(BG27="","",IF(VLOOKUP(BG27,SectInfo!$B:$N,5,FALSE)="","R",UPPER(VLOOKUP(BG27,SectInfo!$B:$N,5,FALSE))))</f>
        <v/>
      </c>
      <c r="CX27" s="1046" t="str">
        <f>IF(BG27="","",IF(ISBLANK(CF27),VLOOKUP(BG27,SectInfo!$B:$N,6,FALSE),CF27))</f>
        <v/>
      </c>
      <c r="CY27" s="136" t="str">
        <f>IF(BG27="","",IF(VLOOKUP(BG27,SectInfo!$B:$N,10,FALSE)="","",(VLOOKUP(BG27,SectInfo!$B:$N,10,FALSE)*-1)))</f>
        <v/>
      </c>
      <c r="CZ27" s="1443" t="str">
        <f>IF(BG27="","",IF(VLOOKUP(BG27,SectInfo!$B:$N,11,FALSE)="","2",(VLOOKUP(BG27,SectInfo!$B:$N,11,FALSE))))</f>
        <v/>
      </c>
      <c r="DA27" s="136" t="str">
        <f>IF(BG27="","",IF(VLOOKUP(BG27,SectInfo!$B:$N,7,FALSE)="","",(VLOOKUP(BG27,SectInfo!$B:$N,7,FALSE)*-1)))</f>
        <v/>
      </c>
      <c r="DB27" s="1046" t="str">
        <f>IF(BG27="","",IF(VLOOKUP(BG27,SectInfo!$B:$N,8,FALSE)="",VLOOKUP(AU27,$DF$2:$DN$9,6,FALSE),(VLOOKUP(BG27,SectInfo!$B:$N,8,FALSE))))</f>
        <v/>
      </c>
      <c r="DC27" s="1046" t="str">
        <f>IF(BG27="","",VLOOKUP(BG27,SectInfo!$B:$N,9,FALSE))</f>
        <v/>
      </c>
      <c r="DD27" s="1047">
        <f t="shared" si="107"/>
        <v>0</v>
      </c>
      <c r="DE27" s="1048" t="str">
        <f>IF(BO27="","",VLOOKUP(BO27,SectInfo!$B:$N,12,FALSE))</f>
        <v/>
      </c>
      <c r="DF27" s="1046" t="str">
        <f>IF(BO27="","",IF(ISBLANK(CA27),VLOOKUP(BO27,SectInfo!$B:$N,13,FALSE),CA27))</f>
        <v/>
      </c>
      <c r="DG27" s="1046" t="str">
        <f>IF(BO27="","",IF(VLOOKUP(BO27,SectInfo!$B:$N,5,FALSE)="","R",UPPER(VLOOKUP(BO27,SectInfo!$B:$N,5,FALSE))))</f>
        <v/>
      </c>
      <c r="DH27" s="1046" t="str">
        <f>IF(BO27="","",IF(ISBLANK(CG27),VLOOKUP(BO27,SectInfo!$B:$N,6,FALSE),CG27))</f>
        <v/>
      </c>
      <c r="DI27" s="1276" t="str">
        <f>IF(BO27="","",IF(VLOOKUP(BO27,SectInfo!$B:$N,10,FALSE)="","",(VLOOKUP(BO27,SectInfo!$B:$N,10,FALSE)*-1)))</f>
        <v/>
      </c>
      <c r="DJ27" s="1443" t="str">
        <f>IF(BO27="","",IF(VLOOKUP(BO27,SectInfo!$B:$N,11,FALSE)="","2",(VLOOKUP(BO27,SectInfo!$B:$N,11,FALSE))))</f>
        <v/>
      </c>
      <c r="DK27" s="1046" t="str">
        <f>IF(BO27="","",IF(VLOOKUP(BO27,SectInfo!$B:$N,7,FALSE)="","",(VLOOKUP(BO27,SectInfo!$B:$N,7,FALSE)*-1)))</f>
        <v/>
      </c>
      <c r="DL27" s="1046" t="str">
        <f>IF(BO27="","",IF(VLOOKUP(BO27,SectInfo!$B:$N,8,FALSE)="",VLOOKUP(AU27,$DF$2:$DN$9,6,FALSE),(VLOOKUP(BO27,SectInfo!$B:$N,8,FALSE))))</f>
        <v/>
      </c>
      <c r="DM27" s="1046" t="str">
        <f>IF(BO27="","",VLOOKUP(BO27,SectInfo!$B:$N,9,FALSE))</f>
        <v/>
      </c>
      <c r="DN27" s="1047">
        <f t="shared" si="108"/>
        <v>0</v>
      </c>
      <c r="DO27" s="1049">
        <f t="shared" si="55"/>
        <v>0</v>
      </c>
      <c r="DP27" s="1053" t="str">
        <f t="shared" si="56"/>
        <v/>
      </c>
      <c r="DQ27" s="1053" t="str">
        <f t="shared" si="57"/>
        <v/>
      </c>
      <c r="DR27" s="1053" t="str">
        <f t="shared" si="58"/>
        <v/>
      </c>
      <c r="DS27" s="1052">
        <f t="shared" si="59"/>
        <v>0</v>
      </c>
      <c r="DT27" s="1052">
        <f t="shared" si="119"/>
        <v>0</v>
      </c>
      <c r="DU27" s="1052" t="str">
        <f t="shared" si="120"/>
        <v/>
      </c>
      <c r="DV27" s="1053" t="str">
        <f t="shared" si="60"/>
        <v/>
      </c>
      <c r="DW27" s="1053" t="str">
        <f t="shared" si="61"/>
        <v/>
      </c>
      <c r="DX27" s="1269">
        <f t="shared" si="109"/>
        <v>0</v>
      </c>
      <c r="DY27" s="1053">
        <f t="shared" si="110"/>
        <v>0</v>
      </c>
      <c r="DZ27" s="1052">
        <f t="shared" si="121"/>
        <v>0</v>
      </c>
      <c r="EA27" s="1052" t="str">
        <f t="shared" si="111"/>
        <v/>
      </c>
      <c r="EB27" s="1053" t="str">
        <f t="shared" si="62"/>
        <v/>
      </c>
      <c r="EC27" s="1053" t="str">
        <f t="shared" si="63"/>
        <v/>
      </c>
      <c r="ED27" s="1269">
        <f t="shared" si="112"/>
        <v>0</v>
      </c>
      <c r="EE27" s="1090" t="str">
        <f t="shared" si="117"/>
        <v/>
      </c>
      <c r="EF27" s="1053" t="str">
        <f t="shared" si="64"/>
        <v/>
      </c>
      <c r="EG27" s="1053" t="str">
        <f t="shared" si="65"/>
        <v/>
      </c>
      <c r="EH27" s="1053" t="e">
        <f t="shared" si="66"/>
        <v>#N/A</v>
      </c>
      <c r="EI27" s="1053" t="e">
        <f t="shared" si="67"/>
        <v>#N/A</v>
      </c>
      <c r="EJ27" s="1053" t="str">
        <f t="shared" si="68"/>
        <v/>
      </c>
      <c r="EK27" s="1053" t="str">
        <f t="shared" si="68"/>
        <v/>
      </c>
      <c r="EL27" s="1090" t="str">
        <f t="shared" si="118"/>
        <v/>
      </c>
      <c r="EM27" s="1053" t="str">
        <f t="shared" si="69"/>
        <v/>
      </c>
      <c r="EN27" s="1053" t="str">
        <f t="shared" si="70"/>
        <v/>
      </c>
      <c r="EO27" s="1053" t="e">
        <f t="shared" si="71"/>
        <v>#N/A</v>
      </c>
      <c r="EP27" s="1053" t="e">
        <f t="shared" si="72"/>
        <v>#N/A</v>
      </c>
      <c r="EQ27" s="1053" t="str">
        <f t="shared" si="73"/>
        <v/>
      </c>
      <c r="ER27" s="1053" t="str">
        <f t="shared" si="73"/>
        <v/>
      </c>
      <c r="ES27" s="1053" t="str">
        <f t="shared" si="74"/>
        <v/>
      </c>
      <c r="ET27" s="1053" t="str">
        <f t="shared" si="75"/>
        <v/>
      </c>
      <c r="EU27" s="1061" t="str">
        <f t="shared" si="76"/>
        <v/>
      </c>
      <c r="EV27" s="1055" t="str">
        <f t="shared" ref="EV27:EV40" si="123">IF(AND(EK27="",ER27=""),"",IF(EK27="",DL27,IF(EQ27="",DB27,IF(DB27&lt;&gt;DL27,EU27,DB27))))</f>
        <v/>
      </c>
      <c r="EW27" s="1061"/>
      <c r="EX27" s="1061" t="str">
        <f>IF(AND(CU27="G", ISBLANK(BK27), ISBLANK(BL27)),VLOOKUP(MIN(BH27:BI27),TblJoistSize!$M$3:$N$10,2),IF(OR(CU27="B",CU27="G"),MIN(BK27:BL27),""))</f>
        <v/>
      </c>
      <c r="EY27" s="1061" t="str">
        <f>IF(AND(CU27="G", ISBLANK(BK27), ISBLANK(BL27)),VLOOKUP(MAX(BH27:BI27),TblJoistSize!$M$3:$N$10,2),IF(OR(CU27="B",CU27="G"),MAX(BK27:BL27),""))</f>
        <v/>
      </c>
      <c r="EZ27" s="1061" t="str">
        <f t="shared" si="77"/>
        <v/>
      </c>
      <c r="FA27" s="1061" t="str">
        <f>IF(AND(DE27="G", ISBLANK(BS27), ISBLANK(BT27)),VLOOKUP(MIN(BP27:BQ27),TblJoistSize!$M$3:$N$10,2),IF(OR(DE27="B", DE27="G"),MIN(BS27:BT27),""))</f>
        <v/>
      </c>
      <c r="FB27" s="1061" t="str">
        <f>IF(AND(DE27="G", ISBLANK(BS27), ISBLANK(BT27)),VLOOKUP(MAX(BP27:BQ27),TblJoistSize!$M$3:$N$10,2),IF(OR(DE27="B", DE27="G"),MAX(BS27:BT27),""))</f>
        <v/>
      </c>
      <c r="FC27" s="1061" t="str">
        <f t="shared" si="78"/>
        <v/>
      </c>
      <c r="FD27" s="1053">
        <f t="shared" si="79"/>
        <v>0</v>
      </c>
      <c r="FE27" s="1053">
        <f t="shared" si="80"/>
        <v>0</v>
      </c>
      <c r="FF27" s="1052">
        <f t="shared" si="81"/>
        <v>0</v>
      </c>
      <c r="FG27" s="1052" t="str">
        <f t="shared" si="82"/>
        <v/>
      </c>
      <c r="FH27" s="1053" t="str">
        <f t="shared" si="83"/>
        <v/>
      </c>
      <c r="FI27" s="1053">
        <f t="shared" si="84"/>
        <v>0</v>
      </c>
      <c r="FJ27" s="1053">
        <f t="shared" si="85"/>
        <v>0</v>
      </c>
      <c r="FK27" s="1052">
        <f t="shared" si="86"/>
        <v>0</v>
      </c>
      <c r="FL27" s="1052" t="str">
        <f t="shared" si="87"/>
        <v/>
      </c>
      <c r="FM27" s="1053" t="str">
        <f t="shared" si="88"/>
        <v/>
      </c>
      <c r="FN27" s="1053" t="e">
        <f t="shared" si="113"/>
        <v>#VALUE!</v>
      </c>
      <c r="FO27" s="1062" t="e">
        <f t="shared" si="89"/>
        <v>#VALUE!</v>
      </c>
      <c r="FP27" s="1062" t="e">
        <f t="shared" si="90"/>
        <v>#VALUE!</v>
      </c>
      <c r="FQ27" s="1063" t="e">
        <f t="shared" si="91"/>
        <v>#VALUE!</v>
      </c>
      <c r="FR27" s="1064" t="e">
        <f t="shared" si="92"/>
        <v>#VALUE!</v>
      </c>
      <c r="FS27" s="1065" t="str">
        <f t="shared" si="93"/>
        <v/>
      </c>
      <c r="FT27" s="1066" t="str">
        <f t="shared" si="94"/>
        <v/>
      </c>
      <c r="FU27" s="1105">
        <f t="shared" si="95"/>
        <v>0</v>
      </c>
      <c r="FV27" s="1106">
        <f t="shared" si="96"/>
        <v>0</v>
      </c>
      <c r="GA27" s="1975" t="str">
        <f t="shared" si="97"/>
        <v/>
      </c>
      <c r="GB27" s="1976" t="str">
        <f t="shared" si="98"/>
        <v/>
      </c>
      <c r="GC27" s="1977" t="str">
        <f t="shared" si="99"/>
        <v/>
      </c>
      <c r="GD27" s="1978" t="str">
        <f t="shared" si="100"/>
        <v/>
      </c>
      <c r="GE27" s="1979" t="str">
        <f t="shared" si="101"/>
        <v/>
      </c>
      <c r="GF27" s="1980" t="str">
        <f t="shared" si="102"/>
        <v/>
      </c>
      <c r="GG27" s="1453"/>
      <c r="GH27" s="1454"/>
      <c r="GI27" s="1453"/>
      <c r="GJ27" s="1454"/>
      <c r="GK27" s="1407">
        <f t="shared" si="103"/>
        <v>0</v>
      </c>
      <c r="GL27" s="1407" t="e">
        <f t="shared" si="104"/>
        <v>#VALUE!</v>
      </c>
      <c r="GM27" s="1408" t="e">
        <f>IF(ABS(GK27-GL27)&gt;='Job Info.'!$L$22,ABS(GK27-GL27),0)</f>
        <v>#VALUE!</v>
      </c>
      <c r="GZ27" s="497"/>
      <c r="HA27" s="1640"/>
      <c r="HB27" s="1641"/>
      <c r="HC27" s="1641"/>
      <c r="HD27" s="1642"/>
      <c r="HE27" s="1643"/>
      <c r="HF27" s="1641"/>
      <c r="HG27" s="1641"/>
      <c r="HH27" s="1641"/>
      <c r="HI27" s="1644"/>
      <c r="HJ27" s="1641"/>
      <c r="HK27" s="1641"/>
      <c r="HL27" s="1641"/>
      <c r="HM27" s="1641"/>
      <c r="HN27" s="1641"/>
      <c r="HO27" s="1641"/>
      <c r="HP27" s="1641"/>
      <c r="HQ27" s="1644"/>
      <c r="HR27" s="1641"/>
      <c r="HS27" s="1641"/>
      <c r="HT27" s="1641"/>
      <c r="HU27" s="1641"/>
      <c r="HV27" s="1641"/>
      <c r="HW27" s="1643"/>
      <c r="HX27" s="1643"/>
      <c r="HY27" s="1643"/>
      <c r="HZ27" s="1643"/>
      <c r="IA27" s="1643"/>
      <c r="IB27" s="1643"/>
      <c r="IC27" s="1643"/>
      <c r="ID27" s="1643"/>
      <c r="IE27" s="1643"/>
      <c r="IF27" s="1645"/>
      <c r="IG27" s="497"/>
      <c r="IH27" s="497"/>
      <c r="II27" s="497"/>
    </row>
    <row r="28" spans="1:243" ht="12.6" customHeight="1" x14ac:dyDescent="0.25">
      <c r="A28" s="1471" t="str">
        <f t="shared" si="1"/>
        <v/>
      </c>
      <c r="B28" s="1473" t="str">
        <f t="shared" si="2"/>
        <v/>
      </c>
      <c r="C28" s="1473" t="str">
        <f t="shared" si="3"/>
        <v/>
      </c>
      <c r="D28" s="1909" t="str">
        <f t="shared" si="4"/>
        <v/>
      </c>
      <c r="E28" s="1964" t="str">
        <f t="shared" si="5"/>
        <v/>
      </c>
      <c r="F28" s="1917" t="str">
        <f t="shared" si="6"/>
        <v/>
      </c>
      <c r="G28" s="1910" t="str">
        <f t="shared" si="7"/>
        <v/>
      </c>
      <c r="H28" s="1965" t="str">
        <f t="shared" si="8"/>
        <v/>
      </c>
      <c r="I28" s="1909" t="str">
        <f t="shared" si="9"/>
        <v/>
      </c>
      <c r="J28" s="1910" t="str">
        <f t="shared" si="10"/>
        <v/>
      </c>
      <c r="K28" s="1966" t="str">
        <f t="shared" si="11"/>
        <v/>
      </c>
      <c r="L28" s="1915" t="str">
        <f t="shared" si="12"/>
        <v/>
      </c>
      <c r="M28" s="1961" t="str">
        <f t="shared" si="13"/>
        <v/>
      </c>
      <c r="N28" s="1917" t="str">
        <f t="shared" si="14"/>
        <v/>
      </c>
      <c r="O28" s="1910" t="str">
        <f t="shared" si="15"/>
        <v/>
      </c>
      <c r="P28" s="1908" t="str">
        <f t="shared" si="16"/>
        <v/>
      </c>
      <c r="Q28" s="1909" t="str">
        <f t="shared" si="17"/>
        <v/>
      </c>
      <c r="R28" s="1910" t="str">
        <f t="shared" si="18"/>
        <v/>
      </c>
      <c r="S28" s="1919" t="str">
        <f t="shared" si="19"/>
        <v/>
      </c>
      <c r="T28" s="1917" t="str">
        <f t="shared" si="20"/>
        <v/>
      </c>
      <c r="U28" s="1910" t="str">
        <f t="shared" si="21"/>
        <v/>
      </c>
      <c r="V28" s="1909" t="str">
        <f t="shared" si="22"/>
        <v/>
      </c>
      <c r="W28" s="1910" t="str">
        <f t="shared" si="23"/>
        <v/>
      </c>
      <c r="X28" s="1914">
        <f t="shared" si="24"/>
        <v>0</v>
      </c>
      <c r="Y28" s="1967" t="str">
        <f t="shared" si="25"/>
        <v/>
      </c>
      <c r="Z28" s="1968" t="str">
        <f t="shared" si="26"/>
        <v/>
      </c>
      <c r="AA28" s="1981"/>
      <c r="AC28" s="1226" t="b">
        <v>0</v>
      </c>
      <c r="AD28" s="525">
        <f t="shared" si="27"/>
        <v>0</v>
      </c>
      <c r="AE28" s="526">
        <f t="shared" si="28"/>
        <v>0</v>
      </c>
      <c r="AF28" s="526">
        <f t="shared" si="29"/>
        <v>0</v>
      </c>
      <c r="AG28" s="526">
        <f t="shared" si="30"/>
        <v>0</v>
      </c>
      <c r="AH28" s="527">
        <f t="shared" si="31"/>
        <v>0</v>
      </c>
      <c r="AI28" s="528" t="b">
        <v>0</v>
      </c>
      <c r="AJ28" s="284">
        <f t="shared" ref="AJ28:AJ40" si="124">IF(OR(ISERROR(VALUE(LEFT(C28,SEARCH(AK28,C28)-1))),AK28=""),0,VALUE(LEFT(C28,SEARCH(AK28,C28)-1)))</f>
        <v>0</v>
      </c>
      <c r="AK28" s="284" t="str">
        <f t="shared" si="32"/>
        <v/>
      </c>
      <c r="AL28" s="1202" t="str">
        <f t="shared" si="33"/>
        <v/>
      </c>
      <c r="AM28" s="284" t="str">
        <f t="shared" si="34"/>
        <v/>
      </c>
      <c r="AN28" s="284" t="str">
        <f t="shared" si="35"/>
        <v/>
      </c>
      <c r="AO28" s="284" t="str">
        <f t="shared" si="36"/>
        <v/>
      </c>
      <c r="AP28" s="1063" t="b">
        <f>IF(ISERROR(AJ28),FALSE,IF(OR(AJ28=0,ISERROR(AL28),ISERROR(AM28),ISERROR(AN28),ISERROR(AO28)),FALSE,IF(AL28&lt;&gt;"",IF(ISERROR(VLOOKUP(SUBSTITUTE(SUBSTITUTE(C28,"R",""),"A",""),TblJoistSize!$A:$A,1,FALSE)),FALSE,TRUE),TRUE)))</f>
        <v>0</v>
      </c>
      <c r="AQ28" s="1305" t="e">
        <f t="shared" si="37"/>
        <v>#N/A</v>
      </c>
      <c r="AR28" s="1305" t="b">
        <f t="shared" si="38"/>
        <v>0</v>
      </c>
      <c r="AS28" s="1305" t="e">
        <f t="shared" si="39"/>
        <v>#N/A</v>
      </c>
      <c r="AT28" s="1305" t="b">
        <f t="shared" si="40"/>
        <v>0</v>
      </c>
      <c r="AU28" s="1203" t="str">
        <f t="shared" si="41"/>
        <v/>
      </c>
      <c r="AV28" s="1063" t="str">
        <f t="shared" si="42"/>
        <v/>
      </c>
      <c r="AW28" s="1063" t="str">
        <f t="shared" si="105"/>
        <v/>
      </c>
      <c r="AX28" s="1063" t="str">
        <f t="shared" si="114"/>
        <v/>
      </c>
      <c r="AY28" s="554" t="b">
        <f t="shared" si="43"/>
        <v>0</v>
      </c>
      <c r="AZ28" s="1090" t="str">
        <f t="shared" si="106"/>
        <v/>
      </c>
      <c r="BA28" s="674"/>
      <c r="BB28" s="842"/>
      <c r="BC28" s="894"/>
      <c r="BD28" s="926"/>
      <c r="BE28" s="927"/>
      <c r="BF28" s="928"/>
      <c r="BG28" s="901"/>
      <c r="BH28" s="1244"/>
      <c r="BI28" s="1245"/>
      <c r="BJ28" s="929"/>
      <c r="BK28" s="902"/>
      <c r="BL28" s="903"/>
      <c r="BM28" s="904"/>
      <c r="BN28" s="905"/>
      <c r="BO28" s="901"/>
      <c r="BP28" s="902"/>
      <c r="BQ28" s="903"/>
      <c r="BR28" s="929"/>
      <c r="BS28" s="902"/>
      <c r="BT28" s="903"/>
      <c r="BU28" s="904"/>
      <c r="BV28" s="905"/>
      <c r="BW28" s="906"/>
      <c r="BX28" s="930"/>
      <c r="BY28" s="931"/>
      <c r="BZ28" s="932"/>
      <c r="CA28" s="933"/>
      <c r="CB28" s="932"/>
      <c r="CC28" s="933"/>
      <c r="CD28" s="934" t="str">
        <f t="shared" si="44"/>
        <v/>
      </c>
      <c r="CE28" s="935" t="str">
        <f t="shared" si="45"/>
        <v/>
      </c>
      <c r="CF28" s="1149"/>
      <c r="CG28" s="1150"/>
      <c r="CH28" s="792" t="str">
        <f t="shared" si="46"/>
        <v/>
      </c>
      <c r="CI28" s="793" t="str">
        <f t="shared" si="47"/>
        <v/>
      </c>
      <c r="CJ28" s="794" t="str">
        <f t="shared" si="122"/>
        <v/>
      </c>
      <c r="CK28" s="1086" t="str">
        <f t="shared" si="48"/>
        <v/>
      </c>
      <c r="CL28" s="1081" t="str">
        <f t="shared" si="115"/>
        <v/>
      </c>
      <c r="CM28" s="1082" t="str">
        <f t="shared" si="116"/>
        <v/>
      </c>
      <c r="CN28" s="758" t="str">
        <f t="shared" si="49"/>
        <v/>
      </c>
      <c r="CO28" s="759" t="str">
        <f t="shared" si="50"/>
        <v/>
      </c>
      <c r="CP28" s="762" t="str">
        <f t="shared" si="51"/>
        <v/>
      </c>
      <c r="CQ28" s="763" t="str">
        <f t="shared" si="52"/>
        <v/>
      </c>
      <c r="CR28" s="953" t="str">
        <f t="shared" si="53"/>
        <v/>
      </c>
      <c r="CS28" s="954" t="str">
        <f t="shared" si="54"/>
        <v/>
      </c>
      <c r="CU28" s="135" t="str">
        <f>IF(BG28="","",VLOOKUP(BG28,SectInfo!$B:$N,12,FALSE))</f>
        <v/>
      </c>
      <c r="CV28" s="136" t="str">
        <f>IF(BG28="","",IF(ISBLANK(BZ28),VLOOKUP(BG28,SectInfo!$B:$N,13,FALSE),BZ28))</f>
        <v/>
      </c>
      <c r="CW28" s="136" t="str">
        <f>IF(BG28="","",IF(VLOOKUP(BG28,SectInfo!$B:$N,5,FALSE)="","R",UPPER(VLOOKUP(BG28,SectInfo!$B:$N,5,FALSE))))</f>
        <v/>
      </c>
      <c r="CX28" s="1046" t="str">
        <f>IF(BG28="","",IF(ISBLANK(CF28),VLOOKUP(BG28,SectInfo!$B:$N,6,FALSE),CF28))</f>
        <v/>
      </c>
      <c r="CY28" s="136" t="str">
        <f>IF(BG28="","",IF(VLOOKUP(BG28,SectInfo!$B:$N,10,FALSE)="","",(VLOOKUP(BG28,SectInfo!$B:$N,10,FALSE)*-1)))</f>
        <v/>
      </c>
      <c r="CZ28" s="1443" t="str">
        <f>IF(BG28="","",IF(VLOOKUP(BG28,SectInfo!$B:$N,11,FALSE)="","2",(VLOOKUP(BG28,SectInfo!$B:$N,11,FALSE))))</f>
        <v/>
      </c>
      <c r="DA28" s="136" t="str">
        <f>IF(BG28="","",IF(VLOOKUP(BG28,SectInfo!$B:$N,7,FALSE)="","",(VLOOKUP(BG28,SectInfo!$B:$N,7,FALSE)*-1)))</f>
        <v/>
      </c>
      <c r="DB28" s="1046" t="str">
        <f>IF(BG28="","",IF(VLOOKUP(BG28,SectInfo!$B:$N,8,FALSE)="",VLOOKUP(AU28,$DF$2:$DN$9,6,FALSE),(VLOOKUP(BG28,SectInfo!$B:$N,8,FALSE))))</f>
        <v/>
      </c>
      <c r="DC28" s="1046" t="str">
        <f>IF(BG28="","",VLOOKUP(BG28,SectInfo!$B:$N,9,FALSE))</f>
        <v/>
      </c>
      <c r="DD28" s="1047">
        <f t="shared" si="107"/>
        <v>0</v>
      </c>
      <c r="DE28" s="1048" t="str">
        <f>IF(BO28="","",VLOOKUP(BO28,SectInfo!$B:$N,12,FALSE))</f>
        <v/>
      </c>
      <c r="DF28" s="1046" t="str">
        <f>IF(BO28="","",IF(ISBLANK(CA28),VLOOKUP(BO28,SectInfo!$B:$N,13,FALSE),CA28))</f>
        <v/>
      </c>
      <c r="DG28" s="1046" t="str">
        <f>IF(BO28="","",IF(VLOOKUP(BO28,SectInfo!$B:$N,5,FALSE)="","R",UPPER(VLOOKUP(BO28,SectInfo!$B:$N,5,FALSE))))</f>
        <v/>
      </c>
      <c r="DH28" s="1046" t="str">
        <f>IF(BO28="","",IF(ISBLANK(CG28),VLOOKUP(BO28,SectInfo!$B:$N,6,FALSE),CG28))</f>
        <v/>
      </c>
      <c r="DI28" s="1276" t="str">
        <f>IF(BO28="","",IF(VLOOKUP(BO28,SectInfo!$B:$N,10,FALSE)="","",(VLOOKUP(BO28,SectInfo!$B:$N,10,FALSE)*-1)))</f>
        <v/>
      </c>
      <c r="DJ28" s="1443" t="str">
        <f>IF(BO28="","",IF(VLOOKUP(BO28,SectInfo!$B:$N,11,FALSE)="","2",(VLOOKUP(BO28,SectInfo!$B:$N,11,FALSE))))</f>
        <v/>
      </c>
      <c r="DK28" s="1046" t="str">
        <f>IF(BO28="","",IF(VLOOKUP(BO28,SectInfo!$B:$N,7,FALSE)="","",(VLOOKUP(BO28,SectInfo!$B:$N,7,FALSE)*-1)))</f>
        <v/>
      </c>
      <c r="DL28" s="1046" t="str">
        <f>IF(BO28="","",IF(VLOOKUP(BO28,SectInfo!$B:$N,8,FALSE)="",VLOOKUP(AU28,$DF$2:$DN$9,6,FALSE),(VLOOKUP(BO28,SectInfo!$B:$N,8,FALSE))))</f>
        <v/>
      </c>
      <c r="DM28" s="1046" t="str">
        <f>IF(BO28="","",VLOOKUP(BO28,SectInfo!$B:$N,9,FALSE))</f>
        <v/>
      </c>
      <c r="DN28" s="1047">
        <f t="shared" si="108"/>
        <v>0</v>
      </c>
      <c r="DO28" s="1049">
        <f t="shared" si="55"/>
        <v>0</v>
      </c>
      <c r="DP28" s="1053" t="str">
        <f t="shared" si="56"/>
        <v/>
      </c>
      <c r="DQ28" s="1053" t="str">
        <f t="shared" si="57"/>
        <v/>
      </c>
      <c r="DR28" s="1053" t="str">
        <f t="shared" si="58"/>
        <v/>
      </c>
      <c r="DS28" s="1052">
        <f t="shared" si="59"/>
        <v>0</v>
      </c>
      <c r="DT28" s="1052">
        <f t="shared" si="119"/>
        <v>0</v>
      </c>
      <c r="DU28" s="1052" t="str">
        <f t="shared" si="120"/>
        <v/>
      </c>
      <c r="DV28" s="1053" t="str">
        <f t="shared" si="60"/>
        <v/>
      </c>
      <c r="DW28" s="1053" t="str">
        <f t="shared" si="61"/>
        <v/>
      </c>
      <c r="DX28" s="1269">
        <f t="shared" si="109"/>
        <v>0</v>
      </c>
      <c r="DY28" s="1053">
        <f t="shared" si="110"/>
        <v>0</v>
      </c>
      <c r="DZ28" s="1052">
        <f t="shared" si="121"/>
        <v>0</v>
      </c>
      <c r="EA28" s="1052" t="str">
        <f t="shared" si="111"/>
        <v/>
      </c>
      <c r="EB28" s="1053" t="str">
        <f t="shared" si="62"/>
        <v/>
      </c>
      <c r="EC28" s="1053" t="str">
        <f t="shared" si="63"/>
        <v/>
      </c>
      <c r="ED28" s="1269">
        <f t="shared" si="112"/>
        <v>0</v>
      </c>
      <c r="EE28" s="1090" t="str">
        <f t="shared" si="117"/>
        <v/>
      </c>
      <c r="EF28" s="1053" t="str">
        <f t="shared" si="64"/>
        <v/>
      </c>
      <c r="EG28" s="1053" t="str">
        <f t="shared" si="65"/>
        <v/>
      </c>
      <c r="EH28" s="1053" t="e">
        <f t="shared" si="66"/>
        <v>#N/A</v>
      </c>
      <c r="EI28" s="1053" t="e">
        <f t="shared" si="67"/>
        <v>#N/A</v>
      </c>
      <c r="EJ28" s="1053" t="str">
        <f t="shared" si="68"/>
        <v/>
      </c>
      <c r="EK28" s="1053" t="str">
        <f t="shared" si="68"/>
        <v/>
      </c>
      <c r="EL28" s="1090" t="str">
        <f t="shared" si="118"/>
        <v/>
      </c>
      <c r="EM28" s="1053" t="str">
        <f t="shared" si="69"/>
        <v/>
      </c>
      <c r="EN28" s="1053" t="str">
        <f t="shared" si="70"/>
        <v/>
      </c>
      <c r="EO28" s="1053" t="e">
        <f t="shared" si="71"/>
        <v>#N/A</v>
      </c>
      <c r="EP28" s="1053" t="e">
        <f t="shared" si="72"/>
        <v>#N/A</v>
      </c>
      <c r="EQ28" s="1053" t="str">
        <f t="shared" si="73"/>
        <v/>
      </c>
      <c r="ER28" s="1053" t="str">
        <f t="shared" si="73"/>
        <v/>
      </c>
      <c r="ES28" s="1053" t="str">
        <f t="shared" si="74"/>
        <v/>
      </c>
      <c r="ET28" s="1053" t="str">
        <f t="shared" si="75"/>
        <v/>
      </c>
      <c r="EU28" s="1061" t="str">
        <f t="shared" si="76"/>
        <v/>
      </c>
      <c r="EV28" s="1055" t="str">
        <f t="shared" si="123"/>
        <v/>
      </c>
      <c r="EW28" s="1061"/>
      <c r="EX28" s="1061" t="str">
        <f>IF(AND(CU28="G", ISBLANK(BK28), ISBLANK(BL28)),VLOOKUP(MIN(BH28:BI28),TblJoistSize!$M$3:$N$10,2),IF(OR(CU28="B",CU28="G"),MIN(BK28:BL28),""))</f>
        <v/>
      </c>
      <c r="EY28" s="1061" t="str">
        <f>IF(AND(CU28="G", ISBLANK(BK28), ISBLANK(BL28)),VLOOKUP(MAX(BH28:BI28),TblJoistSize!$M$3:$N$10,2),IF(OR(CU28="B",CU28="G"),MAX(BK28:BL28),""))</f>
        <v/>
      </c>
      <c r="EZ28" s="1061" t="str">
        <f t="shared" si="77"/>
        <v/>
      </c>
      <c r="FA28" s="1061" t="str">
        <f>IF(AND(DE28="G", ISBLANK(BS28), ISBLANK(BT28)),VLOOKUP(MIN(BP28:BQ28),TblJoistSize!$M$3:$N$10,2),IF(OR(DE28="B", DE28="G"),MIN(BS28:BT28),""))</f>
        <v/>
      </c>
      <c r="FB28" s="1061" t="str">
        <f>IF(AND(DE28="G", ISBLANK(BS28), ISBLANK(BT28)),VLOOKUP(MAX(BP28:BQ28),TblJoistSize!$M$3:$N$10,2),IF(OR(DE28="B", DE28="G"),MAX(BS28:BT28),""))</f>
        <v/>
      </c>
      <c r="FC28" s="1061" t="str">
        <f t="shared" si="78"/>
        <v/>
      </c>
      <c r="FD28" s="1053">
        <f t="shared" si="79"/>
        <v>0</v>
      </c>
      <c r="FE28" s="1053">
        <f t="shared" si="80"/>
        <v>0</v>
      </c>
      <c r="FF28" s="1052">
        <f t="shared" si="81"/>
        <v>0</v>
      </c>
      <c r="FG28" s="1052" t="str">
        <f t="shared" si="82"/>
        <v/>
      </c>
      <c r="FH28" s="1053" t="str">
        <f t="shared" si="83"/>
        <v/>
      </c>
      <c r="FI28" s="1053">
        <f t="shared" si="84"/>
        <v>0</v>
      </c>
      <c r="FJ28" s="1053">
        <f t="shared" si="85"/>
        <v>0</v>
      </c>
      <c r="FK28" s="1052">
        <f t="shared" si="86"/>
        <v>0</v>
      </c>
      <c r="FL28" s="1052" t="str">
        <f t="shared" si="87"/>
        <v/>
      </c>
      <c r="FM28" s="1053" t="str">
        <f t="shared" si="88"/>
        <v/>
      </c>
      <c r="FN28" s="1053" t="e">
        <f t="shared" si="113"/>
        <v>#VALUE!</v>
      </c>
      <c r="FO28" s="1062" t="e">
        <f t="shared" si="89"/>
        <v>#VALUE!</v>
      </c>
      <c r="FP28" s="1062" t="e">
        <f t="shared" si="90"/>
        <v>#VALUE!</v>
      </c>
      <c r="FQ28" s="1063" t="e">
        <f t="shared" si="91"/>
        <v>#VALUE!</v>
      </c>
      <c r="FR28" s="1064" t="e">
        <f t="shared" si="92"/>
        <v>#VALUE!</v>
      </c>
      <c r="FS28" s="1065" t="str">
        <f t="shared" si="93"/>
        <v/>
      </c>
      <c r="FT28" s="1066" t="str">
        <f t="shared" si="94"/>
        <v/>
      </c>
      <c r="FU28" s="1105">
        <f t="shared" si="95"/>
        <v>0</v>
      </c>
      <c r="FV28" s="1106">
        <f t="shared" si="96"/>
        <v>0</v>
      </c>
      <c r="GA28" s="1975" t="str">
        <f t="shared" si="97"/>
        <v/>
      </c>
      <c r="GB28" s="1976" t="str">
        <f t="shared" si="98"/>
        <v/>
      </c>
      <c r="GC28" s="1977" t="str">
        <f t="shared" si="99"/>
        <v/>
      </c>
      <c r="GD28" s="1978" t="str">
        <f t="shared" si="100"/>
        <v/>
      </c>
      <c r="GE28" s="1979" t="str">
        <f t="shared" si="101"/>
        <v/>
      </c>
      <c r="GF28" s="1980" t="str">
        <f t="shared" si="102"/>
        <v/>
      </c>
      <c r="GG28" s="1453"/>
      <c r="GH28" s="1454"/>
      <c r="GI28" s="1453"/>
      <c r="GJ28" s="1454"/>
      <c r="GK28" s="1407">
        <f t="shared" si="103"/>
        <v>0</v>
      </c>
      <c r="GL28" s="1407" t="e">
        <f t="shared" si="104"/>
        <v>#VALUE!</v>
      </c>
      <c r="GM28" s="1408" t="e">
        <f>IF(ABS(GK28-GL28)&gt;='Job Info.'!$L$22,ABS(GK28-GL28),0)</f>
        <v>#VALUE!</v>
      </c>
      <c r="GZ28" s="497"/>
      <c r="HA28" s="1640"/>
      <c r="HB28" s="1641"/>
      <c r="HC28" s="1641"/>
      <c r="HD28" s="1642"/>
      <c r="HE28" s="1643"/>
      <c r="HF28" s="1641"/>
      <c r="HG28" s="1641"/>
      <c r="HH28" s="1641"/>
      <c r="HI28" s="1644"/>
      <c r="HJ28" s="1641"/>
      <c r="HK28" s="1641"/>
      <c r="HL28" s="1641"/>
      <c r="HM28" s="1641"/>
      <c r="HN28" s="1641"/>
      <c r="HO28" s="1641"/>
      <c r="HP28" s="1641"/>
      <c r="HQ28" s="1644"/>
      <c r="HR28" s="1641"/>
      <c r="HS28" s="1641"/>
      <c r="HT28" s="1641"/>
      <c r="HU28" s="1641"/>
      <c r="HV28" s="1641"/>
      <c r="HW28" s="1643"/>
      <c r="HX28" s="1643"/>
      <c r="HY28" s="1643"/>
      <c r="HZ28" s="1643"/>
      <c r="IA28" s="1643"/>
      <c r="IB28" s="1643"/>
      <c r="IC28" s="1643"/>
      <c r="ID28" s="1643"/>
      <c r="IE28" s="1643"/>
      <c r="IF28" s="1645"/>
      <c r="IG28" s="497"/>
      <c r="IH28" s="497"/>
      <c r="II28" s="497"/>
    </row>
    <row r="29" spans="1:243" ht="12.6" customHeight="1" x14ac:dyDescent="0.25">
      <c r="A29" s="1471" t="str">
        <f>IF(BB29="","",UPPER(BB29))</f>
        <v/>
      </c>
      <c r="B29" s="1473" t="str">
        <f>IF(BC29="","",BC29)</f>
        <v/>
      </c>
      <c r="C29" s="1473" t="str">
        <f>IF(BD29="","",UPPER(BD29))</f>
        <v/>
      </c>
      <c r="D29" s="1909" t="str">
        <f>IF(DP29="","",TRUNC(DP29/12))</f>
        <v/>
      </c>
      <c r="E29" s="1964" t="str">
        <f>IF(DP29="","",DP29-(D29*12))</f>
        <v/>
      </c>
      <c r="F29" s="1917" t="str">
        <f>IF(DX29=0,"",TRUNC(DX29/12))</f>
        <v/>
      </c>
      <c r="G29" s="1910" t="str">
        <f>IF(DX29=0,"",DX29-(F29*12))</f>
        <v/>
      </c>
      <c r="H29" s="1965" t="str">
        <f>IF(DX29=0,"",CW29)</f>
        <v/>
      </c>
      <c r="I29" s="1909" t="str">
        <f>IF(ED29=0,"",TRUNC(ED29/12))</f>
        <v/>
      </c>
      <c r="J29" s="1910" t="str">
        <f>IF(ED29=0,"",ED29-(I29*12))</f>
        <v/>
      </c>
      <c r="K29" s="1966" t="str">
        <f>IF(ED29=0,"",DG29)</f>
        <v/>
      </c>
      <c r="L29" s="1915" t="str">
        <f>DQ29</f>
        <v/>
      </c>
      <c r="M29" s="1961" t="str">
        <f>DR29</f>
        <v/>
      </c>
      <c r="N29" s="1917" t="str">
        <f>IF(ES29="","",IF(AND(ES29&lt;0,ES29&gt;-12),TRUNC(ES29/12)-0.0000001,TRUNC(ES29/12)))</f>
        <v/>
      </c>
      <c r="O29" s="1910" t="str">
        <f>IF(ES29="","",IF(AND(ES29-(N29*12)=0,ES29&lt;0),-0.000001,ES29-(N29*12)))</f>
        <v/>
      </c>
      <c r="P29" s="1908" t="str">
        <f>IF(ES29="","",CZ29)</f>
        <v/>
      </c>
      <c r="Q29" s="1909" t="str">
        <f>IF(ET29="","",IF(AND(ET29&lt;0,ET29&gt;-12),TRUNC(ET29/12)-0.0000001,TRUNC(ET29/12)))</f>
        <v/>
      </c>
      <c r="R29" s="1910" t="str">
        <f>IF(ET29="","",IF(AND(ET29-(Q29*12)=0,ET29&lt;0),-0.000001,ET29-(Q29*12)))</f>
        <v/>
      </c>
      <c r="S29" s="1919" t="str">
        <f>IF(ET29="","",DJ29)</f>
        <v/>
      </c>
      <c r="T29" s="1917" t="str">
        <f>IF(CH29="ERR","",IF(EK29="","",IF(EK29="ERR",TRUNC(EJ29/12),TRUNC(EK29/12))))</f>
        <v/>
      </c>
      <c r="U29" s="1910" t="str">
        <f>IF(CH29="ERR","",IF(EK29="","",IF(EK29="ERR",EJ29-(T29*12),EK29-(T29*12))))</f>
        <v/>
      </c>
      <c r="V29" s="1909" t="str">
        <f>IF(CI29="ERR","",IF(ER29="","",IF(ER29="ERR",TRUNC(EQ29/12),TRUNC(ER29/12))))</f>
        <v/>
      </c>
      <c r="W29" s="1910" t="str">
        <f>IF(CI29="ERR","",IF(ER29="","",IF(ER29="ERR",EQ29-(V29*12),ER29-(V29*12))))</f>
        <v/>
      </c>
      <c r="X29" s="1914">
        <f>IF(EV29="",0,EV29)</f>
        <v>0</v>
      </c>
      <c r="Y29" s="1967" t="str">
        <f>FG29</f>
        <v/>
      </c>
      <c r="Z29" s="1968" t="str">
        <f>FL29</f>
        <v/>
      </c>
      <c r="AA29" s="1981"/>
      <c r="AC29" s="1226" t="b">
        <v>0</v>
      </c>
      <c r="AD29" s="525">
        <f t="shared" si="27"/>
        <v>0</v>
      </c>
      <c r="AE29" s="526">
        <f t="shared" si="28"/>
        <v>0</v>
      </c>
      <c r="AF29" s="526">
        <f t="shared" si="29"/>
        <v>0</v>
      </c>
      <c r="AG29" s="526">
        <f t="shared" si="30"/>
        <v>0</v>
      </c>
      <c r="AH29" s="527">
        <f t="shared" si="31"/>
        <v>0</v>
      </c>
      <c r="AI29" s="528" t="b">
        <v>0</v>
      </c>
      <c r="AJ29" s="284">
        <f t="shared" si="124"/>
        <v>0</v>
      </c>
      <c r="AK29" s="284" t="str">
        <f t="shared" si="32"/>
        <v/>
      </c>
      <c r="AL29" s="1202" t="str">
        <f t="shared" si="33"/>
        <v/>
      </c>
      <c r="AM29" s="284" t="str">
        <f t="shared" si="34"/>
        <v/>
      </c>
      <c r="AN29" s="284" t="str">
        <f t="shared" si="35"/>
        <v/>
      </c>
      <c r="AO29" s="284" t="str">
        <f t="shared" si="36"/>
        <v/>
      </c>
      <c r="AP29" s="1063" t="b">
        <f>IF(ISERROR(AJ29),FALSE,IF(OR(AJ29=0,ISERROR(AL29),ISERROR(AM29),ISERROR(AN29),ISERROR(AO29)),FALSE,IF(AL29&lt;&gt;"",IF(ISERROR(VLOOKUP(SUBSTITUTE(SUBSTITUTE(C29,"R",""),"A",""),TblJoistSize!$A:$A,1,FALSE)),FALSE,TRUE),TRUE)))</f>
        <v>0</v>
      </c>
      <c r="AQ29" s="1305" t="e">
        <f t="shared" si="37"/>
        <v>#N/A</v>
      </c>
      <c r="AR29" s="1305" t="b">
        <f t="shared" si="38"/>
        <v>0</v>
      </c>
      <c r="AS29" s="1305" t="e">
        <f t="shared" si="39"/>
        <v>#N/A</v>
      </c>
      <c r="AT29" s="1305" t="b">
        <f t="shared" si="40"/>
        <v>0</v>
      </c>
      <c r="AU29" s="1203" t="str">
        <f t="shared" si="41"/>
        <v/>
      </c>
      <c r="AV29" s="1063" t="str">
        <f t="shared" si="42"/>
        <v/>
      </c>
      <c r="AW29" s="1063" t="str">
        <f t="shared" si="105"/>
        <v/>
      </c>
      <c r="AX29" s="1063" t="str">
        <f t="shared" si="114"/>
        <v/>
      </c>
      <c r="AY29" s="554" t="b">
        <f t="shared" si="43"/>
        <v>0</v>
      </c>
      <c r="AZ29" s="1090" t="str">
        <f t="shared" si="106"/>
        <v/>
      </c>
      <c r="BA29" s="674"/>
      <c r="BB29" s="842"/>
      <c r="BC29" s="894"/>
      <c r="BD29" s="926"/>
      <c r="BE29" s="927"/>
      <c r="BF29" s="928"/>
      <c r="BG29" s="901"/>
      <c r="BH29" s="1244"/>
      <c r="BI29" s="1245"/>
      <c r="BJ29" s="929"/>
      <c r="BK29" s="902"/>
      <c r="BL29" s="903"/>
      <c r="BM29" s="904"/>
      <c r="BN29" s="905"/>
      <c r="BO29" s="901"/>
      <c r="BP29" s="902"/>
      <c r="BQ29" s="903"/>
      <c r="BR29" s="929"/>
      <c r="BS29" s="902"/>
      <c r="BT29" s="903"/>
      <c r="BU29" s="904"/>
      <c r="BV29" s="905"/>
      <c r="BW29" s="906"/>
      <c r="BX29" s="930"/>
      <c r="BY29" s="931"/>
      <c r="BZ29" s="932"/>
      <c r="CA29" s="933"/>
      <c r="CB29" s="932"/>
      <c r="CC29" s="933"/>
      <c r="CD29" s="934" t="str">
        <f>IF(CY29="","","X")</f>
        <v/>
      </c>
      <c r="CE29" s="935" t="str">
        <f>IF(DI29="","","X")</f>
        <v/>
      </c>
      <c r="CF29" s="1149"/>
      <c r="CG29" s="1150"/>
      <c r="CH29" s="792" t="str">
        <f t="shared" si="46"/>
        <v/>
      </c>
      <c r="CI29" s="793" t="str">
        <f t="shared" si="47"/>
        <v/>
      </c>
      <c r="CJ29" s="794" t="str">
        <f t="shared" si="122"/>
        <v/>
      </c>
      <c r="CK29" s="1086" t="str">
        <f t="shared" si="48"/>
        <v/>
      </c>
      <c r="CL29" s="1081" t="str">
        <f t="shared" si="115"/>
        <v/>
      </c>
      <c r="CM29" s="1082" t="str">
        <f t="shared" si="116"/>
        <v/>
      </c>
      <c r="CN29" s="758" t="str">
        <f t="shared" si="49"/>
        <v/>
      </c>
      <c r="CO29" s="759" t="str">
        <f t="shared" si="50"/>
        <v/>
      </c>
      <c r="CP29" s="762" t="str">
        <f t="shared" si="51"/>
        <v/>
      </c>
      <c r="CQ29" s="763" t="str">
        <f t="shared" si="52"/>
        <v/>
      </c>
      <c r="CR29" s="953" t="str">
        <f t="shared" si="53"/>
        <v/>
      </c>
      <c r="CS29" s="954" t="str">
        <f t="shared" si="54"/>
        <v/>
      </c>
      <c r="CU29" s="135" t="str">
        <f>IF(BG29="","",VLOOKUP(BG29,SectInfo!$B:$N,12,FALSE))</f>
        <v/>
      </c>
      <c r="CV29" s="136" t="str">
        <f>IF(BG29="","",IF(ISBLANK(BZ29),VLOOKUP(BG29,SectInfo!$B:$N,13,FALSE),BZ29))</f>
        <v/>
      </c>
      <c r="CW29" s="136" t="str">
        <f>IF(BG29="","",IF(VLOOKUP(BG29,SectInfo!$B:$N,5,FALSE)="","R",UPPER(VLOOKUP(BG29,SectInfo!$B:$N,5,FALSE))))</f>
        <v/>
      </c>
      <c r="CX29" s="1046" t="str">
        <f>IF(BG29="","",IF(ISBLANK(CF29),VLOOKUP(BG29,SectInfo!$B:$N,6,FALSE),CF29))</f>
        <v/>
      </c>
      <c r="CY29" s="136" t="str">
        <f>IF(BG29="","",IF(VLOOKUP(BG29,SectInfo!$B:$N,10,FALSE)="","",(VLOOKUP(BG29,SectInfo!$B:$N,10,FALSE)*-1)))</f>
        <v/>
      </c>
      <c r="CZ29" s="1443" t="str">
        <f>IF(BG29="","",IF(VLOOKUP(BG29,SectInfo!$B:$N,11,FALSE)="","2",(VLOOKUP(BG29,SectInfo!$B:$N,11,FALSE))))</f>
        <v/>
      </c>
      <c r="DA29" s="136" t="str">
        <f>IF(BG29="","",IF(VLOOKUP(BG29,SectInfo!$B:$N,7,FALSE)="","",(VLOOKUP(BG29,SectInfo!$B:$N,7,FALSE)*-1)))</f>
        <v/>
      </c>
      <c r="DB29" s="1046" t="str">
        <f>IF(BG29="","",IF(VLOOKUP(BG29,SectInfo!$B:$N,8,FALSE)="",VLOOKUP(AU29,$DF$2:$DN$9,6,FALSE),(VLOOKUP(BG29,SectInfo!$B:$N,8,FALSE))))</f>
        <v/>
      </c>
      <c r="DC29" s="1046" t="str">
        <f>IF(BG29="","",VLOOKUP(BG29,SectInfo!$B:$N,9,FALSE))</f>
        <v/>
      </c>
      <c r="DD29" s="1047">
        <f t="shared" si="107"/>
        <v>0</v>
      </c>
      <c r="DE29" s="1048" t="str">
        <f>IF(BO29="","",VLOOKUP(BO29,SectInfo!$B:$N,12,FALSE))</f>
        <v/>
      </c>
      <c r="DF29" s="1046" t="str">
        <f>IF(BO29="","",IF(ISBLANK(CA29),VLOOKUP(BO29,SectInfo!$B:$N,13,FALSE),CA29))</f>
        <v/>
      </c>
      <c r="DG29" s="1046" t="str">
        <f>IF(BO29="","",IF(VLOOKUP(BO29,SectInfo!$B:$N,5,FALSE)="","R",UPPER(VLOOKUP(BO29,SectInfo!$B:$N,5,FALSE))))</f>
        <v/>
      </c>
      <c r="DH29" s="1046" t="str">
        <f>IF(BO29="","",IF(ISBLANK(CG29),VLOOKUP(BO29,SectInfo!$B:$N,6,FALSE),CG29))</f>
        <v/>
      </c>
      <c r="DI29" s="1276" t="str">
        <f>IF(BO29="","",IF(VLOOKUP(BO29,SectInfo!$B:$N,10,FALSE)="","",(VLOOKUP(BO29,SectInfo!$B:$N,10,FALSE)*-1)))</f>
        <v/>
      </c>
      <c r="DJ29" s="1443" t="str">
        <f>IF(BO29="","",IF(VLOOKUP(BO29,SectInfo!$B:$N,11,FALSE)="","2",(VLOOKUP(BO29,SectInfo!$B:$N,11,FALSE))))</f>
        <v/>
      </c>
      <c r="DK29" s="1046" t="str">
        <f>IF(BO29="","",IF(VLOOKUP(BO29,SectInfo!$B:$N,7,FALSE)="","",(VLOOKUP(BO29,SectInfo!$B:$N,7,FALSE)*-1)))</f>
        <v/>
      </c>
      <c r="DL29" s="1046" t="str">
        <f>IF(BO29="","",IF(VLOOKUP(BO29,SectInfo!$B:$N,8,FALSE)="",VLOOKUP(AU29,$DF$2:$DN$9,6,FALSE),(VLOOKUP(BO29,SectInfo!$B:$N,8,FALSE))))</f>
        <v/>
      </c>
      <c r="DM29" s="1046" t="str">
        <f>IF(BO29="","",VLOOKUP(BO29,SectInfo!$B:$N,9,FALSE))</f>
        <v/>
      </c>
      <c r="DN29" s="1047">
        <f t="shared" si="108"/>
        <v>0</v>
      </c>
      <c r="DO29" s="1049">
        <f t="shared" si="55"/>
        <v>0</v>
      </c>
      <c r="DP29" s="1053" t="str">
        <f t="shared" si="56"/>
        <v/>
      </c>
      <c r="DQ29" s="1053" t="str">
        <f t="shared" si="57"/>
        <v/>
      </c>
      <c r="DR29" s="1053" t="str">
        <f t="shared" si="58"/>
        <v/>
      </c>
      <c r="DS29" s="1052">
        <f t="shared" si="59"/>
        <v>0</v>
      </c>
      <c r="DT29" s="1052">
        <f t="shared" si="119"/>
        <v>0</v>
      </c>
      <c r="DU29" s="1052" t="str">
        <f t="shared" si="120"/>
        <v/>
      </c>
      <c r="DV29" s="1053" t="str">
        <f t="shared" si="60"/>
        <v/>
      </c>
      <c r="DW29" s="1053" t="str">
        <f t="shared" si="61"/>
        <v/>
      </c>
      <c r="DX29" s="1269">
        <f t="shared" si="109"/>
        <v>0</v>
      </c>
      <c r="DY29" s="1053">
        <f t="shared" si="110"/>
        <v>0</v>
      </c>
      <c r="DZ29" s="1052">
        <f t="shared" si="121"/>
        <v>0</v>
      </c>
      <c r="EA29" s="1052" t="str">
        <f t="shared" si="111"/>
        <v/>
      </c>
      <c r="EB29" s="1053" t="str">
        <f t="shared" si="62"/>
        <v/>
      </c>
      <c r="EC29" s="1053" t="str">
        <f t="shared" si="63"/>
        <v/>
      </c>
      <c r="ED29" s="1269">
        <f t="shared" si="112"/>
        <v>0</v>
      </c>
      <c r="EE29" s="1090" t="str">
        <f t="shared" si="117"/>
        <v/>
      </c>
      <c r="EF29" s="1053" t="str">
        <f t="shared" si="64"/>
        <v/>
      </c>
      <c r="EG29" s="1053" t="str">
        <f t="shared" si="65"/>
        <v/>
      </c>
      <c r="EH29" s="1053" t="e">
        <f t="shared" si="66"/>
        <v>#N/A</v>
      </c>
      <c r="EI29" s="1053" t="e">
        <f t="shared" si="67"/>
        <v>#N/A</v>
      </c>
      <c r="EJ29" s="1053" t="str">
        <f t="shared" si="68"/>
        <v/>
      </c>
      <c r="EK29" s="1053" t="str">
        <f t="shared" si="68"/>
        <v/>
      </c>
      <c r="EL29" s="1090" t="str">
        <f t="shared" si="118"/>
        <v/>
      </c>
      <c r="EM29" s="1053" t="str">
        <f t="shared" si="69"/>
        <v/>
      </c>
      <c r="EN29" s="1053" t="str">
        <f t="shared" si="70"/>
        <v/>
      </c>
      <c r="EO29" s="1053" t="e">
        <f t="shared" si="71"/>
        <v>#N/A</v>
      </c>
      <c r="EP29" s="1053" t="e">
        <f t="shared" si="72"/>
        <v>#N/A</v>
      </c>
      <c r="EQ29" s="1053" t="str">
        <f t="shared" si="73"/>
        <v/>
      </c>
      <c r="ER29" s="1053" t="str">
        <f t="shared" si="73"/>
        <v/>
      </c>
      <c r="ES29" s="1053" t="str">
        <f t="shared" si="74"/>
        <v/>
      </c>
      <c r="ET29" s="1053" t="str">
        <f t="shared" si="75"/>
        <v/>
      </c>
      <c r="EU29" s="1061" t="str">
        <f t="shared" si="76"/>
        <v/>
      </c>
      <c r="EV29" s="1055" t="str">
        <f t="shared" si="123"/>
        <v/>
      </c>
      <c r="EW29" s="1061"/>
      <c r="EX29" s="1061" t="str">
        <f>IF(AND(CU29="G", ISBLANK(BK29), ISBLANK(BL29)),VLOOKUP(MIN(BH29:BI29),TblJoistSize!$M$3:$N$10,2),IF(OR(CU29="B",CU29="G"),MIN(BK29:BL29),""))</f>
        <v/>
      </c>
      <c r="EY29" s="1061" t="str">
        <f>IF(AND(CU29="G", ISBLANK(BK29), ISBLANK(BL29)),VLOOKUP(MAX(BH29:BI29),TblJoistSize!$M$3:$N$10,2),IF(OR(CU29="B",CU29="G"),MAX(BK29:BL29),""))</f>
        <v/>
      </c>
      <c r="EZ29" s="1061" t="str">
        <f t="shared" si="77"/>
        <v/>
      </c>
      <c r="FA29" s="1061" t="str">
        <f>IF(AND(DE29="G", ISBLANK(BS29), ISBLANK(BT29)),VLOOKUP(MIN(BP29:BQ29),TblJoistSize!$M$3:$N$10,2),IF(OR(DE29="B", DE29="G"),MIN(BS29:BT29),""))</f>
        <v/>
      </c>
      <c r="FB29" s="1061" t="str">
        <f>IF(AND(DE29="G", ISBLANK(BS29), ISBLANK(BT29)),VLOOKUP(MAX(BP29:BQ29),TblJoistSize!$M$3:$N$10,2),IF(OR(DE29="B", DE29="G"),MAX(BS29:BT29),""))</f>
        <v/>
      </c>
      <c r="FC29" s="1061" t="str">
        <f t="shared" si="78"/>
        <v/>
      </c>
      <c r="FD29" s="1053">
        <f t="shared" si="79"/>
        <v>0</v>
      </c>
      <c r="FE29" s="1053">
        <f t="shared" si="80"/>
        <v>0</v>
      </c>
      <c r="FF29" s="1052">
        <f t="shared" si="81"/>
        <v>0</v>
      </c>
      <c r="FG29" s="1052" t="str">
        <f t="shared" si="82"/>
        <v/>
      </c>
      <c r="FH29" s="1053" t="str">
        <f t="shared" si="83"/>
        <v/>
      </c>
      <c r="FI29" s="1053">
        <f t="shared" si="84"/>
        <v>0</v>
      </c>
      <c r="FJ29" s="1053">
        <f t="shared" si="85"/>
        <v>0</v>
      </c>
      <c r="FK29" s="1052">
        <f t="shared" si="86"/>
        <v>0</v>
      </c>
      <c r="FL29" s="1052" t="str">
        <f t="shared" si="87"/>
        <v/>
      </c>
      <c r="FM29" s="1053" t="str">
        <f t="shared" si="88"/>
        <v/>
      </c>
      <c r="FN29" s="1053" t="e">
        <f t="shared" si="113"/>
        <v>#VALUE!</v>
      </c>
      <c r="FO29" s="1062" t="e">
        <f t="shared" si="89"/>
        <v>#VALUE!</v>
      </c>
      <c r="FP29" s="1062" t="e">
        <f t="shared" si="90"/>
        <v>#VALUE!</v>
      </c>
      <c r="FQ29" s="1063" t="e">
        <f t="shared" si="91"/>
        <v>#VALUE!</v>
      </c>
      <c r="FR29" s="1064" t="e">
        <f t="shared" si="92"/>
        <v>#VALUE!</v>
      </c>
      <c r="FS29" s="1065" t="str">
        <f t="shared" si="93"/>
        <v/>
      </c>
      <c r="FT29" s="1066" t="str">
        <f t="shared" si="94"/>
        <v/>
      </c>
      <c r="FU29" s="1105">
        <f t="shared" si="95"/>
        <v>0</v>
      </c>
      <c r="FV29" s="1106">
        <f t="shared" si="96"/>
        <v>0</v>
      </c>
      <c r="GA29" s="1975" t="str">
        <f t="shared" si="97"/>
        <v/>
      </c>
      <c r="GB29" s="1976" t="str">
        <f t="shared" si="98"/>
        <v/>
      </c>
      <c r="GC29" s="1977" t="str">
        <f t="shared" si="99"/>
        <v/>
      </c>
      <c r="GD29" s="1978" t="str">
        <f t="shared" si="100"/>
        <v/>
      </c>
      <c r="GE29" s="1979" t="str">
        <f t="shared" si="101"/>
        <v/>
      </c>
      <c r="GF29" s="1980" t="str">
        <f t="shared" si="102"/>
        <v/>
      </c>
      <c r="GG29" s="1453"/>
      <c r="GH29" s="1454"/>
      <c r="GI29" s="1453"/>
      <c r="GJ29" s="1454"/>
      <c r="GK29" s="1407">
        <f t="shared" si="103"/>
        <v>0</v>
      </c>
      <c r="GL29" s="1407" t="e">
        <f t="shared" si="104"/>
        <v>#VALUE!</v>
      </c>
      <c r="GM29" s="1408" t="e">
        <f>IF(ABS(GK29-GL29)&gt;='Job Info.'!$L$22,ABS(GK29-GL29),0)</f>
        <v>#VALUE!</v>
      </c>
      <c r="GZ29" s="497"/>
      <c r="HA29" s="1640"/>
      <c r="HB29" s="1641"/>
      <c r="HC29" s="1641"/>
      <c r="HD29" s="1642"/>
      <c r="HE29" s="1643"/>
      <c r="HF29" s="1641"/>
      <c r="HG29" s="1641"/>
      <c r="HH29" s="1641"/>
      <c r="HI29" s="1644"/>
      <c r="HJ29" s="1641"/>
      <c r="HK29" s="1641"/>
      <c r="HL29" s="1641"/>
      <c r="HM29" s="1641"/>
      <c r="HN29" s="1641"/>
      <c r="HO29" s="1641"/>
      <c r="HP29" s="1641"/>
      <c r="HQ29" s="1644"/>
      <c r="HR29" s="1641"/>
      <c r="HS29" s="1641"/>
      <c r="HT29" s="1641"/>
      <c r="HU29" s="1641"/>
      <c r="HV29" s="1641"/>
      <c r="HW29" s="1643"/>
      <c r="HX29" s="1643"/>
      <c r="HY29" s="1643"/>
      <c r="HZ29" s="1643"/>
      <c r="IA29" s="1643"/>
      <c r="IB29" s="1643"/>
      <c r="IC29" s="1643"/>
      <c r="ID29" s="1643"/>
      <c r="IE29" s="1643"/>
      <c r="IF29" s="1645"/>
      <c r="IG29" s="497"/>
      <c r="IH29" s="497"/>
      <c r="II29" s="497"/>
    </row>
    <row r="30" spans="1:243" ht="12.6" customHeight="1" x14ac:dyDescent="0.25">
      <c r="A30" s="1471" t="str">
        <f t="shared" si="1"/>
        <v/>
      </c>
      <c r="B30" s="1473" t="str">
        <f t="shared" si="2"/>
        <v/>
      </c>
      <c r="C30" s="1473" t="str">
        <f t="shared" si="3"/>
        <v/>
      </c>
      <c r="D30" s="1909" t="str">
        <f t="shared" si="4"/>
        <v/>
      </c>
      <c r="E30" s="1964" t="str">
        <f t="shared" si="5"/>
        <v/>
      </c>
      <c r="F30" s="1917" t="str">
        <f t="shared" si="6"/>
        <v/>
      </c>
      <c r="G30" s="1910" t="str">
        <f t="shared" si="7"/>
        <v/>
      </c>
      <c r="H30" s="1965" t="str">
        <f t="shared" si="8"/>
        <v/>
      </c>
      <c r="I30" s="1909" t="str">
        <f t="shared" si="9"/>
        <v/>
      </c>
      <c r="J30" s="1910" t="str">
        <f t="shared" si="10"/>
        <v/>
      </c>
      <c r="K30" s="1966" t="str">
        <f t="shared" si="11"/>
        <v/>
      </c>
      <c r="L30" s="1915" t="str">
        <f t="shared" si="12"/>
        <v/>
      </c>
      <c r="M30" s="1961" t="str">
        <f t="shared" si="13"/>
        <v/>
      </c>
      <c r="N30" s="1917" t="str">
        <f t="shared" si="14"/>
        <v/>
      </c>
      <c r="O30" s="1910" t="str">
        <f t="shared" si="15"/>
        <v/>
      </c>
      <c r="P30" s="1908" t="str">
        <f t="shared" si="16"/>
        <v/>
      </c>
      <c r="Q30" s="1909" t="str">
        <f t="shared" si="17"/>
        <v/>
      </c>
      <c r="R30" s="1910" t="str">
        <f t="shared" si="18"/>
        <v/>
      </c>
      <c r="S30" s="1919" t="str">
        <f t="shared" si="19"/>
        <v/>
      </c>
      <c r="T30" s="1917" t="str">
        <f t="shared" si="20"/>
        <v/>
      </c>
      <c r="U30" s="1910" t="str">
        <f t="shared" si="21"/>
        <v/>
      </c>
      <c r="V30" s="1909" t="str">
        <f t="shared" si="22"/>
        <v/>
      </c>
      <c r="W30" s="1910" t="str">
        <f t="shared" si="23"/>
        <v/>
      </c>
      <c r="X30" s="1914">
        <f t="shared" si="24"/>
        <v>0</v>
      </c>
      <c r="Y30" s="1967" t="str">
        <f t="shared" si="25"/>
        <v/>
      </c>
      <c r="Z30" s="1968" t="str">
        <f t="shared" si="26"/>
        <v/>
      </c>
      <c r="AA30" s="1981"/>
      <c r="AC30" s="1226" t="b">
        <v>0</v>
      </c>
      <c r="AD30" s="525">
        <f t="shared" si="27"/>
        <v>0</v>
      </c>
      <c r="AE30" s="526">
        <f t="shared" si="28"/>
        <v>0</v>
      </c>
      <c r="AF30" s="526">
        <f t="shared" si="29"/>
        <v>0</v>
      </c>
      <c r="AG30" s="526">
        <f t="shared" si="30"/>
        <v>0</v>
      </c>
      <c r="AH30" s="527">
        <f t="shared" si="31"/>
        <v>0</v>
      </c>
      <c r="AI30" s="528" t="b">
        <v>0</v>
      </c>
      <c r="AJ30" s="284">
        <f t="shared" si="124"/>
        <v>0</v>
      </c>
      <c r="AK30" s="284" t="str">
        <f t="shared" si="32"/>
        <v/>
      </c>
      <c r="AL30" s="1202" t="str">
        <f t="shared" si="33"/>
        <v/>
      </c>
      <c r="AM30" s="284" t="str">
        <f t="shared" si="34"/>
        <v/>
      </c>
      <c r="AN30" s="284" t="str">
        <f t="shared" si="35"/>
        <v/>
      </c>
      <c r="AO30" s="284" t="str">
        <f t="shared" si="36"/>
        <v/>
      </c>
      <c r="AP30" s="1063" t="b">
        <f>IF(ISERROR(AJ30),FALSE,IF(OR(AJ30=0,ISERROR(AL30),ISERROR(AM30),ISERROR(AN30),ISERROR(AO30)),FALSE,IF(AL30&lt;&gt;"",IF(ISERROR(VLOOKUP(SUBSTITUTE(SUBSTITUTE(C30,"R",""),"A",""),TblJoistSize!$A:$A,1,FALSE)),FALSE,TRUE),TRUE)))</f>
        <v>0</v>
      </c>
      <c r="AQ30" s="1305" t="e">
        <f t="shared" si="37"/>
        <v>#N/A</v>
      </c>
      <c r="AR30" s="1305" t="b">
        <f t="shared" si="38"/>
        <v>0</v>
      </c>
      <c r="AS30" s="1305" t="e">
        <f t="shared" si="39"/>
        <v>#N/A</v>
      </c>
      <c r="AT30" s="1305" t="b">
        <f t="shared" si="40"/>
        <v>0</v>
      </c>
      <c r="AU30" s="1203" t="str">
        <f t="shared" si="41"/>
        <v/>
      </c>
      <c r="AV30" s="1063" t="str">
        <f t="shared" si="42"/>
        <v/>
      </c>
      <c r="AW30" s="1063" t="str">
        <f t="shared" si="105"/>
        <v/>
      </c>
      <c r="AX30" s="1063" t="str">
        <f t="shared" si="114"/>
        <v/>
      </c>
      <c r="AY30" s="554" t="b">
        <f t="shared" si="43"/>
        <v>0</v>
      </c>
      <c r="AZ30" s="1090" t="str">
        <f t="shared" si="106"/>
        <v/>
      </c>
      <c r="BA30" s="674"/>
      <c r="BB30" s="842"/>
      <c r="BC30" s="894"/>
      <c r="BD30" s="926"/>
      <c r="BE30" s="927"/>
      <c r="BF30" s="928"/>
      <c r="BG30" s="901"/>
      <c r="BH30" s="1244"/>
      <c r="BI30" s="1245"/>
      <c r="BJ30" s="929"/>
      <c r="BK30" s="902"/>
      <c r="BL30" s="903"/>
      <c r="BM30" s="904"/>
      <c r="BN30" s="905"/>
      <c r="BO30" s="901"/>
      <c r="BP30" s="902"/>
      <c r="BQ30" s="903"/>
      <c r="BR30" s="929"/>
      <c r="BS30" s="902"/>
      <c r="BT30" s="903"/>
      <c r="BU30" s="904"/>
      <c r="BV30" s="905"/>
      <c r="BW30" s="906"/>
      <c r="BX30" s="930"/>
      <c r="BY30" s="931"/>
      <c r="BZ30" s="932"/>
      <c r="CA30" s="933"/>
      <c r="CB30" s="932"/>
      <c r="CC30" s="933"/>
      <c r="CD30" s="934" t="str">
        <f t="shared" si="44"/>
        <v/>
      </c>
      <c r="CE30" s="935" t="str">
        <f t="shared" si="45"/>
        <v/>
      </c>
      <c r="CF30" s="1149"/>
      <c r="CG30" s="1150"/>
      <c r="CH30" s="792" t="str">
        <f t="shared" si="46"/>
        <v/>
      </c>
      <c r="CI30" s="793" t="str">
        <f t="shared" si="47"/>
        <v/>
      </c>
      <c r="CJ30" s="794" t="str">
        <f t="shared" si="122"/>
        <v/>
      </c>
      <c r="CK30" s="1086" t="str">
        <f t="shared" si="48"/>
        <v/>
      </c>
      <c r="CL30" s="1081" t="str">
        <f t="shared" si="115"/>
        <v/>
      </c>
      <c r="CM30" s="1082" t="str">
        <f t="shared" si="116"/>
        <v/>
      </c>
      <c r="CN30" s="758" t="str">
        <f t="shared" si="49"/>
        <v/>
      </c>
      <c r="CO30" s="759" t="str">
        <f t="shared" si="50"/>
        <v/>
      </c>
      <c r="CP30" s="762" t="str">
        <f t="shared" si="51"/>
        <v/>
      </c>
      <c r="CQ30" s="763" t="str">
        <f t="shared" si="52"/>
        <v/>
      </c>
      <c r="CR30" s="953" t="str">
        <f t="shared" si="53"/>
        <v/>
      </c>
      <c r="CS30" s="954" t="str">
        <f t="shared" si="54"/>
        <v/>
      </c>
      <c r="CU30" s="135" t="str">
        <f>IF(BG30="","",VLOOKUP(BG30,SectInfo!$B:$N,12,FALSE))</f>
        <v/>
      </c>
      <c r="CV30" s="136" t="str">
        <f>IF(BG30="","",IF(ISBLANK(BZ30),VLOOKUP(BG30,SectInfo!$B:$N,13,FALSE),BZ30))</f>
        <v/>
      </c>
      <c r="CW30" s="136" t="str">
        <f>IF(BG30="","",IF(VLOOKUP(BG30,SectInfo!$B:$N,5,FALSE)="","R",UPPER(VLOOKUP(BG30,SectInfo!$B:$N,5,FALSE))))</f>
        <v/>
      </c>
      <c r="CX30" s="1046" t="str">
        <f>IF(BG30="","",IF(ISBLANK(CF30),VLOOKUP(BG30,SectInfo!$B:$N,6,FALSE),CF30))</f>
        <v/>
      </c>
      <c r="CY30" s="136" t="str">
        <f>IF(BG30="","",IF(VLOOKUP(BG30,SectInfo!$B:$N,10,FALSE)="","",(VLOOKUP(BG30,SectInfo!$B:$N,10,FALSE)*-1)))</f>
        <v/>
      </c>
      <c r="CZ30" s="1443" t="str">
        <f>IF(BG30="","",IF(VLOOKUP(BG30,SectInfo!$B:$N,11,FALSE)="","2",(VLOOKUP(BG30,SectInfo!$B:$N,11,FALSE))))</f>
        <v/>
      </c>
      <c r="DA30" s="136" t="str">
        <f>IF(BG30="","",IF(VLOOKUP(BG30,SectInfo!$B:$N,7,FALSE)="","",(VLOOKUP(BG30,SectInfo!$B:$N,7,FALSE)*-1)))</f>
        <v/>
      </c>
      <c r="DB30" s="1046" t="str">
        <f>IF(BG30="","",IF(VLOOKUP(BG30,SectInfo!$B:$N,8,FALSE)="",VLOOKUP(AU30,$DF$2:$DN$9,6,FALSE),(VLOOKUP(BG30,SectInfo!$B:$N,8,FALSE))))</f>
        <v/>
      </c>
      <c r="DC30" s="1046" t="str">
        <f>IF(BG30="","",VLOOKUP(BG30,SectInfo!$B:$N,9,FALSE))</f>
        <v/>
      </c>
      <c r="DD30" s="1047">
        <f t="shared" si="107"/>
        <v>0</v>
      </c>
      <c r="DE30" s="1048" t="str">
        <f>IF(BO30="","",VLOOKUP(BO30,SectInfo!$B:$N,12,FALSE))</f>
        <v/>
      </c>
      <c r="DF30" s="1046" t="str">
        <f>IF(BO30="","",IF(ISBLANK(CA30),VLOOKUP(BO30,SectInfo!$B:$N,13,FALSE),CA30))</f>
        <v/>
      </c>
      <c r="DG30" s="1046" t="str">
        <f>IF(BO30="","",IF(VLOOKUP(BO30,SectInfo!$B:$N,5,FALSE)="","R",UPPER(VLOOKUP(BO30,SectInfo!$B:$N,5,FALSE))))</f>
        <v/>
      </c>
      <c r="DH30" s="1046" t="str">
        <f>IF(BO30="","",IF(ISBLANK(CG30),VLOOKUP(BO30,SectInfo!$B:$N,6,FALSE),CG30))</f>
        <v/>
      </c>
      <c r="DI30" s="1276" t="str">
        <f>IF(BO30="","",IF(VLOOKUP(BO30,SectInfo!$B:$N,10,FALSE)="","",(VLOOKUP(BO30,SectInfo!$B:$N,10,FALSE)*-1)))</f>
        <v/>
      </c>
      <c r="DJ30" s="1443" t="str">
        <f>IF(BO30="","",IF(VLOOKUP(BO30,SectInfo!$B:$N,11,FALSE)="","2",(VLOOKUP(BO30,SectInfo!$B:$N,11,FALSE))))</f>
        <v/>
      </c>
      <c r="DK30" s="1046" t="str">
        <f>IF(BO30="","",IF(VLOOKUP(BO30,SectInfo!$B:$N,7,FALSE)="","",(VLOOKUP(BO30,SectInfo!$B:$N,7,FALSE)*-1)))</f>
        <v/>
      </c>
      <c r="DL30" s="1046" t="str">
        <f>IF(BO30="","",IF(VLOOKUP(BO30,SectInfo!$B:$N,8,FALSE)="",VLOOKUP(AU30,$DF$2:$DN$9,6,FALSE),(VLOOKUP(BO30,SectInfo!$B:$N,8,FALSE))))</f>
        <v/>
      </c>
      <c r="DM30" s="1046" t="str">
        <f>IF(BO30="","",VLOOKUP(BO30,SectInfo!$B:$N,9,FALSE))</f>
        <v/>
      </c>
      <c r="DN30" s="1047">
        <f t="shared" si="108"/>
        <v>0</v>
      </c>
      <c r="DO30" s="1049">
        <f t="shared" si="55"/>
        <v>0</v>
      </c>
      <c r="DP30" s="1053" t="str">
        <f t="shared" si="56"/>
        <v/>
      </c>
      <c r="DQ30" s="1053" t="str">
        <f t="shared" si="57"/>
        <v/>
      </c>
      <c r="DR30" s="1053" t="str">
        <f t="shared" si="58"/>
        <v/>
      </c>
      <c r="DS30" s="1052">
        <f t="shared" si="59"/>
        <v>0</v>
      </c>
      <c r="DT30" s="1052">
        <f t="shared" si="119"/>
        <v>0</v>
      </c>
      <c r="DU30" s="1052" t="str">
        <f t="shared" si="120"/>
        <v/>
      </c>
      <c r="DV30" s="1053" t="str">
        <f t="shared" si="60"/>
        <v/>
      </c>
      <c r="DW30" s="1053" t="str">
        <f t="shared" si="61"/>
        <v/>
      </c>
      <c r="DX30" s="1269">
        <f t="shared" si="109"/>
        <v>0</v>
      </c>
      <c r="DY30" s="1053">
        <f t="shared" si="110"/>
        <v>0</v>
      </c>
      <c r="DZ30" s="1052">
        <f t="shared" si="121"/>
        <v>0</v>
      </c>
      <c r="EA30" s="1052" t="str">
        <f t="shared" si="111"/>
        <v/>
      </c>
      <c r="EB30" s="1053" t="str">
        <f t="shared" si="62"/>
        <v/>
      </c>
      <c r="EC30" s="1053" t="str">
        <f t="shared" si="63"/>
        <v/>
      </c>
      <c r="ED30" s="1269">
        <f t="shared" si="112"/>
        <v>0</v>
      </c>
      <c r="EE30" s="1090" t="str">
        <f t="shared" si="117"/>
        <v/>
      </c>
      <c r="EF30" s="1053" t="str">
        <f t="shared" si="64"/>
        <v/>
      </c>
      <c r="EG30" s="1053" t="str">
        <f t="shared" si="65"/>
        <v/>
      </c>
      <c r="EH30" s="1053" t="e">
        <f t="shared" si="66"/>
        <v>#N/A</v>
      </c>
      <c r="EI30" s="1053" t="e">
        <f t="shared" si="67"/>
        <v>#N/A</v>
      </c>
      <c r="EJ30" s="1053" t="str">
        <f t="shared" si="68"/>
        <v/>
      </c>
      <c r="EK30" s="1053" t="str">
        <f t="shared" si="68"/>
        <v/>
      </c>
      <c r="EL30" s="1090" t="str">
        <f t="shared" si="118"/>
        <v/>
      </c>
      <c r="EM30" s="1053" t="str">
        <f t="shared" si="69"/>
        <v/>
      </c>
      <c r="EN30" s="1053" t="str">
        <f t="shared" si="70"/>
        <v/>
      </c>
      <c r="EO30" s="1053" t="e">
        <f t="shared" si="71"/>
        <v>#N/A</v>
      </c>
      <c r="EP30" s="1053" t="e">
        <f t="shared" si="72"/>
        <v>#N/A</v>
      </c>
      <c r="EQ30" s="1053" t="str">
        <f t="shared" si="73"/>
        <v/>
      </c>
      <c r="ER30" s="1053" t="str">
        <f t="shared" si="73"/>
        <v/>
      </c>
      <c r="ES30" s="1053" t="str">
        <f t="shared" si="74"/>
        <v/>
      </c>
      <c r="ET30" s="1053" t="str">
        <f t="shared" si="75"/>
        <v/>
      </c>
      <c r="EU30" s="1061" t="str">
        <f t="shared" si="76"/>
        <v/>
      </c>
      <c r="EV30" s="1055" t="str">
        <f t="shared" si="123"/>
        <v/>
      </c>
      <c r="EW30" s="1061"/>
      <c r="EX30" s="1061" t="str">
        <f>IF(AND(CU30="G", ISBLANK(BK30), ISBLANK(BL30)),VLOOKUP(MIN(BH30:BI30),TblJoistSize!$M$3:$N$10,2),IF(OR(CU30="B",CU30="G"),MIN(BK30:BL30),""))</f>
        <v/>
      </c>
      <c r="EY30" s="1061" t="str">
        <f>IF(AND(CU30="G", ISBLANK(BK30), ISBLANK(BL30)),VLOOKUP(MAX(BH30:BI30),TblJoistSize!$M$3:$N$10,2),IF(OR(CU30="B",CU30="G"),MAX(BK30:BL30),""))</f>
        <v/>
      </c>
      <c r="EZ30" s="1061" t="str">
        <f t="shared" si="77"/>
        <v/>
      </c>
      <c r="FA30" s="1061" t="str">
        <f>IF(AND(DE30="G", ISBLANK(BS30), ISBLANK(BT30)),VLOOKUP(MIN(BP30:BQ30),TblJoistSize!$M$3:$N$10,2),IF(OR(DE30="B", DE30="G"),MIN(BS30:BT30),""))</f>
        <v/>
      </c>
      <c r="FB30" s="1061" t="str">
        <f>IF(AND(DE30="G", ISBLANK(BS30), ISBLANK(BT30)),VLOOKUP(MAX(BP30:BQ30),TblJoistSize!$M$3:$N$10,2),IF(OR(DE30="B", DE30="G"),MAX(BS30:BT30),""))</f>
        <v/>
      </c>
      <c r="FC30" s="1061" t="str">
        <f t="shared" si="78"/>
        <v/>
      </c>
      <c r="FD30" s="1053">
        <f t="shared" si="79"/>
        <v>0</v>
      </c>
      <c r="FE30" s="1053">
        <f t="shared" si="80"/>
        <v>0</v>
      </c>
      <c r="FF30" s="1052">
        <f t="shared" si="81"/>
        <v>0</v>
      </c>
      <c r="FG30" s="1052" t="str">
        <f t="shared" si="82"/>
        <v/>
      </c>
      <c r="FH30" s="1053" t="str">
        <f t="shared" si="83"/>
        <v/>
      </c>
      <c r="FI30" s="1053">
        <f t="shared" si="84"/>
        <v>0</v>
      </c>
      <c r="FJ30" s="1053">
        <f t="shared" si="85"/>
        <v>0</v>
      </c>
      <c r="FK30" s="1052">
        <f t="shared" si="86"/>
        <v>0</v>
      </c>
      <c r="FL30" s="1052" t="str">
        <f t="shared" si="87"/>
        <v/>
      </c>
      <c r="FM30" s="1053" t="str">
        <f t="shared" si="88"/>
        <v/>
      </c>
      <c r="FN30" s="1053" t="e">
        <f t="shared" si="113"/>
        <v>#VALUE!</v>
      </c>
      <c r="FO30" s="1062" t="e">
        <f t="shared" si="89"/>
        <v>#VALUE!</v>
      </c>
      <c r="FP30" s="1062" t="e">
        <f t="shared" si="90"/>
        <v>#VALUE!</v>
      </c>
      <c r="FQ30" s="1063" t="e">
        <f t="shared" si="91"/>
        <v>#VALUE!</v>
      </c>
      <c r="FR30" s="1064" t="e">
        <f t="shared" si="92"/>
        <v>#VALUE!</v>
      </c>
      <c r="FS30" s="1065" t="str">
        <f t="shared" si="93"/>
        <v/>
      </c>
      <c r="FT30" s="1066" t="str">
        <f t="shared" si="94"/>
        <v/>
      </c>
      <c r="FU30" s="1105">
        <f t="shared" si="95"/>
        <v>0</v>
      </c>
      <c r="FV30" s="1106">
        <f t="shared" si="96"/>
        <v>0</v>
      </c>
      <c r="GA30" s="1975" t="str">
        <f t="shared" si="97"/>
        <v/>
      </c>
      <c r="GB30" s="1976" t="str">
        <f t="shared" si="98"/>
        <v/>
      </c>
      <c r="GC30" s="1977" t="str">
        <f t="shared" si="99"/>
        <v/>
      </c>
      <c r="GD30" s="1978" t="str">
        <f t="shared" si="100"/>
        <v/>
      </c>
      <c r="GE30" s="1979" t="str">
        <f t="shared" si="101"/>
        <v/>
      </c>
      <c r="GF30" s="1980" t="str">
        <f t="shared" si="102"/>
        <v/>
      </c>
      <c r="GG30" s="1453"/>
      <c r="GH30" s="1454"/>
      <c r="GI30" s="1453"/>
      <c r="GJ30" s="1454"/>
      <c r="GK30" s="1407">
        <f t="shared" si="103"/>
        <v>0</v>
      </c>
      <c r="GL30" s="1407" t="e">
        <f t="shared" si="104"/>
        <v>#VALUE!</v>
      </c>
      <c r="GM30" s="1408" t="e">
        <f>IF(ABS(GK30-GL30)&gt;='Job Info.'!$L$22,ABS(GK30-GL30),0)</f>
        <v>#VALUE!</v>
      </c>
      <c r="GZ30" s="497"/>
      <c r="HA30" s="1640"/>
      <c r="HB30" s="1641"/>
      <c r="HC30" s="1641"/>
      <c r="HD30" s="1642"/>
      <c r="HE30" s="1643"/>
      <c r="HF30" s="1641"/>
      <c r="HG30" s="1641"/>
      <c r="HH30" s="1641"/>
      <c r="HI30" s="1644"/>
      <c r="HJ30" s="1641"/>
      <c r="HK30" s="1641"/>
      <c r="HL30" s="1641"/>
      <c r="HM30" s="1641"/>
      <c r="HN30" s="1641"/>
      <c r="HO30" s="1641"/>
      <c r="HP30" s="1641"/>
      <c r="HQ30" s="1644"/>
      <c r="HR30" s="1641"/>
      <c r="HS30" s="1641"/>
      <c r="HT30" s="1641"/>
      <c r="HU30" s="1641"/>
      <c r="HV30" s="1641"/>
      <c r="HW30" s="1643"/>
      <c r="HX30" s="1643"/>
      <c r="HY30" s="1643"/>
      <c r="HZ30" s="1643"/>
      <c r="IA30" s="1643"/>
      <c r="IB30" s="1643"/>
      <c r="IC30" s="1643"/>
      <c r="ID30" s="1643"/>
      <c r="IE30" s="1643"/>
      <c r="IF30" s="1645"/>
      <c r="IG30" s="497"/>
      <c r="IH30" s="497"/>
      <c r="II30" s="497"/>
    </row>
    <row r="31" spans="1:243" ht="12.6" customHeight="1" x14ac:dyDescent="0.25">
      <c r="A31" s="1471" t="str">
        <f t="shared" si="1"/>
        <v/>
      </c>
      <c r="B31" s="1473" t="str">
        <f t="shared" si="2"/>
        <v/>
      </c>
      <c r="C31" s="1473" t="str">
        <f t="shared" si="3"/>
        <v/>
      </c>
      <c r="D31" s="1909" t="str">
        <f t="shared" si="4"/>
        <v/>
      </c>
      <c r="E31" s="1964" t="str">
        <f t="shared" si="5"/>
        <v/>
      </c>
      <c r="F31" s="1917" t="str">
        <f t="shared" si="6"/>
        <v/>
      </c>
      <c r="G31" s="1910" t="str">
        <f t="shared" si="7"/>
        <v/>
      </c>
      <c r="H31" s="1965" t="str">
        <f t="shared" si="8"/>
        <v/>
      </c>
      <c r="I31" s="1909" t="str">
        <f t="shared" si="9"/>
        <v/>
      </c>
      <c r="J31" s="1910" t="str">
        <f t="shared" si="10"/>
        <v/>
      </c>
      <c r="K31" s="1966" t="str">
        <f t="shared" si="11"/>
        <v/>
      </c>
      <c r="L31" s="1915" t="str">
        <f t="shared" si="12"/>
        <v/>
      </c>
      <c r="M31" s="1961" t="str">
        <f t="shared" si="13"/>
        <v/>
      </c>
      <c r="N31" s="1917" t="str">
        <f t="shared" si="14"/>
        <v/>
      </c>
      <c r="O31" s="1910" t="str">
        <f t="shared" si="15"/>
        <v/>
      </c>
      <c r="P31" s="1908" t="str">
        <f t="shared" si="16"/>
        <v/>
      </c>
      <c r="Q31" s="1909" t="str">
        <f t="shared" si="17"/>
        <v/>
      </c>
      <c r="R31" s="1910" t="str">
        <f t="shared" si="18"/>
        <v/>
      </c>
      <c r="S31" s="1919" t="str">
        <f t="shared" si="19"/>
        <v/>
      </c>
      <c r="T31" s="1917" t="str">
        <f t="shared" si="20"/>
        <v/>
      </c>
      <c r="U31" s="1910" t="str">
        <f t="shared" si="21"/>
        <v/>
      </c>
      <c r="V31" s="1909" t="str">
        <f t="shared" si="22"/>
        <v/>
      </c>
      <c r="W31" s="1910" t="str">
        <f t="shared" si="23"/>
        <v/>
      </c>
      <c r="X31" s="1914">
        <f t="shared" si="24"/>
        <v>0</v>
      </c>
      <c r="Y31" s="1967" t="str">
        <f t="shared" si="25"/>
        <v/>
      </c>
      <c r="Z31" s="1968" t="str">
        <f t="shared" si="26"/>
        <v/>
      </c>
      <c r="AA31" s="1981"/>
      <c r="AC31" s="1226" t="b">
        <v>0</v>
      </c>
      <c r="AD31" s="525">
        <f t="shared" si="27"/>
        <v>0</v>
      </c>
      <c r="AE31" s="526">
        <f t="shared" si="28"/>
        <v>0</v>
      </c>
      <c r="AF31" s="526">
        <f t="shared" si="29"/>
        <v>0</v>
      </c>
      <c r="AG31" s="526">
        <f t="shared" si="30"/>
        <v>0</v>
      </c>
      <c r="AH31" s="527">
        <f t="shared" si="31"/>
        <v>0</v>
      </c>
      <c r="AI31" s="528" t="b">
        <v>0</v>
      </c>
      <c r="AJ31" s="284">
        <f t="shared" si="124"/>
        <v>0</v>
      </c>
      <c r="AK31" s="284" t="str">
        <f t="shared" si="32"/>
        <v/>
      </c>
      <c r="AL31" s="1202" t="str">
        <f t="shared" si="33"/>
        <v/>
      </c>
      <c r="AM31" s="284" t="str">
        <f t="shared" si="34"/>
        <v/>
      </c>
      <c r="AN31" s="284" t="str">
        <f t="shared" si="35"/>
        <v/>
      </c>
      <c r="AO31" s="284" t="str">
        <f t="shared" si="36"/>
        <v/>
      </c>
      <c r="AP31" s="1063" t="b">
        <f>IF(ISERROR(AJ31),FALSE,IF(OR(AJ31=0,ISERROR(AL31),ISERROR(AM31),ISERROR(AN31),ISERROR(AO31)),FALSE,IF(AL31&lt;&gt;"",IF(ISERROR(VLOOKUP(SUBSTITUTE(SUBSTITUTE(C31,"R",""),"A",""),TblJoistSize!$A:$A,1,FALSE)),FALSE,TRUE),TRUE)))</f>
        <v>0</v>
      </c>
      <c r="AQ31" s="1305" t="e">
        <f t="shared" si="37"/>
        <v>#N/A</v>
      </c>
      <c r="AR31" s="1305" t="b">
        <f t="shared" si="38"/>
        <v>0</v>
      </c>
      <c r="AS31" s="1305" t="e">
        <f t="shared" si="39"/>
        <v>#N/A</v>
      </c>
      <c r="AT31" s="1305" t="b">
        <f t="shared" si="40"/>
        <v>0</v>
      </c>
      <c r="AU31" s="1203" t="str">
        <f t="shared" si="41"/>
        <v/>
      </c>
      <c r="AV31" s="1063" t="str">
        <f t="shared" si="42"/>
        <v/>
      </c>
      <c r="AW31" s="1063" t="str">
        <f t="shared" si="105"/>
        <v/>
      </c>
      <c r="AX31" s="1063" t="str">
        <f t="shared" si="114"/>
        <v/>
      </c>
      <c r="AY31" s="554" t="b">
        <f t="shared" si="43"/>
        <v>0</v>
      </c>
      <c r="AZ31" s="1090" t="str">
        <f t="shared" si="106"/>
        <v/>
      </c>
      <c r="BA31" s="674"/>
      <c r="BB31" s="842"/>
      <c r="BC31" s="894"/>
      <c r="BD31" s="926"/>
      <c r="BE31" s="927"/>
      <c r="BF31" s="928"/>
      <c r="BG31" s="901"/>
      <c r="BH31" s="1244"/>
      <c r="BI31" s="1245"/>
      <c r="BJ31" s="929"/>
      <c r="BK31" s="902"/>
      <c r="BL31" s="903"/>
      <c r="BM31" s="904"/>
      <c r="BN31" s="905"/>
      <c r="BO31" s="901"/>
      <c r="BP31" s="902"/>
      <c r="BQ31" s="903"/>
      <c r="BR31" s="929"/>
      <c r="BS31" s="902"/>
      <c r="BT31" s="903"/>
      <c r="BU31" s="904"/>
      <c r="BV31" s="905"/>
      <c r="BW31" s="906"/>
      <c r="BX31" s="930"/>
      <c r="BY31" s="931"/>
      <c r="BZ31" s="932"/>
      <c r="CA31" s="933"/>
      <c r="CB31" s="932"/>
      <c r="CC31" s="933"/>
      <c r="CD31" s="934" t="str">
        <f t="shared" si="44"/>
        <v/>
      </c>
      <c r="CE31" s="935" t="str">
        <f t="shared" si="45"/>
        <v/>
      </c>
      <c r="CF31" s="1149"/>
      <c r="CG31" s="1150"/>
      <c r="CH31" s="792" t="str">
        <f t="shared" si="46"/>
        <v/>
      </c>
      <c r="CI31" s="793" t="str">
        <f t="shared" si="47"/>
        <v/>
      </c>
      <c r="CJ31" s="794" t="str">
        <f t="shared" si="122"/>
        <v/>
      </c>
      <c r="CK31" s="1086" t="str">
        <f t="shared" si="48"/>
        <v/>
      </c>
      <c r="CL31" s="1081" t="str">
        <f t="shared" si="115"/>
        <v/>
      </c>
      <c r="CM31" s="1082" t="str">
        <f t="shared" si="116"/>
        <v/>
      </c>
      <c r="CN31" s="758" t="str">
        <f t="shared" si="49"/>
        <v/>
      </c>
      <c r="CO31" s="759" t="str">
        <f t="shared" si="50"/>
        <v/>
      </c>
      <c r="CP31" s="762" t="str">
        <f t="shared" si="51"/>
        <v/>
      </c>
      <c r="CQ31" s="763" t="str">
        <f t="shared" si="52"/>
        <v/>
      </c>
      <c r="CR31" s="953" t="str">
        <f t="shared" si="53"/>
        <v/>
      </c>
      <c r="CS31" s="954" t="str">
        <f t="shared" si="54"/>
        <v/>
      </c>
      <c r="CU31" s="135" t="str">
        <f>IF(BG31="","",VLOOKUP(BG31,SectInfo!$B:$N,12,FALSE))</f>
        <v/>
      </c>
      <c r="CV31" s="136" t="str">
        <f>IF(BG31="","",IF(ISBLANK(BZ31),VLOOKUP(BG31,SectInfo!$B:$N,13,FALSE),BZ31))</f>
        <v/>
      </c>
      <c r="CW31" s="136" t="str">
        <f>IF(BG31="","",IF(VLOOKUP(BG31,SectInfo!$B:$N,5,FALSE)="","R",UPPER(VLOOKUP(BG31,SectInfo!$B:$N,5,FALSE))))</f>
        <v/>
      </c>
      <c r="CX31" s="1046" t="str">
        <f>IF(BG31="","",IF(ISBLANK(CF31),VLOOKUP(BG31,SectInfo!$B:$N,6,FALSE),CF31))</f>
        <v/>
      </c>
      <c r="CY31" s="136" t="str">
        <f>IF(BG31="","",IF(VLOOKUP(BG31,SectInfo!$B:$N,10,FALSE)="","",(VLOOKUP(BG31,SectInfo!$B:$N,10,FALSE)*-1)))</f>
        <v/>
      </c>
      <c r="CZ31" s="1443" t="str">
        <f>IF(BG31="","",IF(VLOOKUP(BG31,SectInfo!$B:$N,11,FALSE)="","2",(VLOOKUP(BG31,SectInfo!$B:$N,11,FALSE))))</f>
        <v/>
      </c>
      <c r="DA31" s="136" t="str">
        <f>IF(BG31="","",IF(VLOOKUP(BG31,SectInfo!$B:$N,7,FALSE)="","",(VLOOKUP(BG31,SectInfo!$B:$N,7,FALSE)*-1)))</f>
        <v/>
      </c>
      <c r="DB31" s="1046" t="str">
        <f>IF(BG31="","",IF(VLOOKUP(BG31,SectInfo!$B:$N,8,FALSE)="",VLOOKUP(AU31,$DF$2:$DN$9,6,FALSE),(VLOOKUP(BG31,SectInfo!$B:$N,8,FALSE))))</f>
        <v/>
      </c>
      <c r="DC31" s="1046" t="str">
        <f>IF(BG31="","",VLOOKUP(BG31,SectInfo!$B:$N,9,FALSE))</f>
        <v/>
      </c>
      <c r="DD31" s="1047">
        <f t="shared" si="107"/>
        <v>0</v>
      </c>
      <c r="DE31" s="1048" t="str">
        <f>IF(BO31="","",VLOOKUP(BO31,SectInfo!$B:$N,12,FALSE))</f>
        <v/>
      </c>
      <c r="DF31" s="1046" t="str">
        <f>IF(BO31="","",IF(ISBLANK(CA31),VLOOKUP(BO31,SectInfo!$B:$N,13,FALSE),CA31))</f>
        <v/>
      </c>
      <c r="DG31" s="1046" t="str">
        <f>IF(BO31="","",IF(VLOOKUP(BO31,SectInfo!$B:$N,5,FALSE)="","R",UPPER(VLOOKUP(BO31,SectInfo!$B:$N,5,FALSE))))</f>
        <v/>
      </c>
      <c r="DH31" s="1046" t="str">
        <f>IF(BO31="","",IF(ISBLANK(CG31),VLOOKUP(BO31,SectInfo!$B:$N,6,FALSE),CG31))</f>
        <v/>
      </c>
      <c r="DI31" s="1276" t="str">
        <f>IF(BO31="","",IF(VLOOKUP(BO31,SectInfo!$B:$N,10,FALSE)="","",(VLOOKUP(BO31,SectInfo!$B:$N,10,FALSE)*-1)))</f>
        <v/>
      </c>
      <c r="DJ31" s="1443" t="str">
        <f>IF(BO31="","",IF(VLOOKUP(BO31,SectInfo!$B:$N,11,FALSE)="","2",(VLOOKUP(BO31,SectInfo!$B:$N,11,FALSE))))</f>
        <v/>
      </c>
      <c r="DK31" s="1046" t="str">
        <f>IF(BO31="","",IF(VLOOKUP(BO31,SectInfo!$B:$N,7,FALSE)="","",(VLOOKUP(BO31,SectInfo!$B:$N,7,FALSE)*-1)))</f>
        <v/>
      </c>
      <c r="DL31" s="1046" t="str">
        <f>IF(BO31="","",IF(VLOOKUP(BO31,SectInfo!$B:$N,8,FALSE)="",VLOOKUP(AU31,$DF$2:$DN$9,6,FALSE),(VLOOKUP(BO31,SectInfo!$B:$N,8,FALSE))))</f>
        <v/>
      </c>
      <c r="DM31" s="1046" t="str">
        <f>IF(BO31="","",VLOOKUP(BO31,SectInfo!$B:$N,9,FALSE))</f>
        <v/>
      </c>
      <c r="DN31" s="1047">
        <f t="shared" si="108"/>
        <v>0</v>
      </c>
      <c r="DO31" s="1049">
        <f t="shared" si="55"/>
        <v>0</v>
      </c>
      <c r="DP31" s="1053" t="str">
        <f t="shared" si="56"/>
        <v/>
      </c>
      <c r="DQ31" s="1053" t="str">
        <f t="shared" si="57"/>
        <v/>
      </c>
      <c r="DR31" s="1053" t="str">
        <f t="shared" si="58"/>
        <v/>
      </c>
      <c r="DS31" s="1052">
        <f t="shared" si="59"/>
        <v>0</v>
      </c>
      <c r="DT31" s="1052">
        <f t="shared" si="119"/>
        <v>0</v>
      </c>
      <c r="DU31" s="1052" t="str">
        <f t="shared" si="120"/>
        <v/>
      </c>
      <c r="DV31" s="1053" t="str">
        <f t="shared" si="60"/>
        <v/>
      </c>
      <c r="DW31" s="1053" t="str">
        <f t="shared" si="61"/>
        <v/>
      </c>
      <c r="DX31" s="1269">
        <f t="shared" si="109"/>
        <v>0</v>
      </c>
      <c r="DY31" s="1053">
        <f t="shared" si="110"/>
        <v>0</v>
      </c>
      <c r="DZ31" s="1052">
        <f t="shared" si="121"/>
        <v>0</v>
      </c>
      <c r="EA31" s="1052" t="str">
        <f t="shared" si="111"/>
        <v/>
      </c>
      <c r="EB31" s="1053" t="str">
        <f t="shared" si="62"/>
        <v/>
      </c>
      <c r="EC31" s="1053" t="str">
        <f t="shared" si="63"/>
        <v/>
      </c>
      <c r="ED31" s="1269">
        <f t="shared" si="112"/>
        <v>0</v>
      </c>
      <c r="EE31" s="1090" t="str">
        <f t="shared" si="117"/>
        <v/>
      </c>
      <c r="EF31" s="1053" t="str">
        <f t="shared" si="64"/>
        <v/>
      </c>
      <c r="EG31" s="1053" t="str">
        <f t="shared" si="65"/>
        <v/>
      </c>
      <c r="EH31" s="1053" t="e">
        <f t="shared" si="66"/>
        <v>#N/A</v>
      </c>
      <c r="EI31" s="1053" t="e">
        <f t="shared" si="67"/>
        <v>#N/A</v>
      </c>
      <c r="EJ31" s="1053" t="str">
        <f t="shared" si="68"/>
        <v/>
      </c>
      <c r="EK31" s="1053" t="str">
        <f t="shared" si="68"/>
        <v/>
      </c>
      <c r="EL31" s="1090" t="str">
        <f t="shared" si="118"/>
        <v/>
      </c>
      <c r="EM31" s="1053" t="str">
        <f t="shared" si="69"/>
        <v/>
      </c>
      <c r="EN31" s="1053" t="str">
        <f t="shared" si="70"/>
        <v/>
      </c>
      <c r="EO31" s="1053" t="e">
        <f t="shared" si="71"/>
        <v>#N/A</v>
      </c>
      <c r="EP31" s="1053" t="e">
        <f t="shared" si="72"/>
        <v>#N/A</v>
      </c>
      <c r="EQ31" s="1053" t="str">
        <f t="shared" si="73"/>
        <v/>
      </c>
      <c r="ER31" s="1053" t="str">
        <f t="shared" si="73"/>
        <v/>
      </c>
      <c r="ES31" s="1053" t="str">
        <f t="shared" si="74"/>
        <v/>
      </c>
      <c r="ET31" s="1053" t="str">
        <f t="shared" si="75"/>
        <v/>
      </c>
      <c r="EU31" s="1061" t="str">
        <f t="shared" si="76"/>
        <v/>
      </c>
      <c r="EV31" s="1055" t="str">
        <f t="shared" si="123"/>
        <v/>
      </c>
      <c r="EW31" s="1061"/>
      <c r="EX31" s="1061" t="str">
        <f>IF(AND(CU31="G", ISBLANK(BK31), ISBLANK(BL31)),VLOOKUP(MIN(BH31:BI31),TblJoistSize!$M$3:$N$10,2),IF(OR(CU31="B",CU31="G"),MIN(BK31:BL31),""))</f>
        <v/>
      </c>
      <c r="EY31" s="1061" t="str">
        <f>IF(AND(CU31="G", ISBLANK(BK31), ISBLANK(BL31)),VLOOKUP(MAX(BH31:BI31),TblJoistSize!$M$3:$N$10,2),IF(OR(CU31="B",CU31="G"),MAX(BK31:BL31),""))</f>
        <v/>
      </c>
      <c r="EZ31" s="1061" t="str">
        <f t="shared" si="77"/>
        <v/>
      </c>
      <c r="FA31" s="1061" t="str">
        <f>IF(AND(DE31="G", ISBLANK(BS31), ISBLANK(BT31)),VLOOKUP(MIN(BP31:BQ31),TblJoistSize!$M$3:$N$10,2),IF(OR(DE31="B", DE31="G"),MIN(BS31:BT31),""))</f>
        <v/>
      </c>
      <c r="FB31" s="1061" t="str">
        <f>IF(AND(DE31="G", ISBLANK(BS31), ISBLANK(BT31)),VLOOKUP(MAX(BP31:BQ31),TblJoistSize!$M$3:$N$10,2),IF(OR(DE31="B", DE31="G"),MAX(BS31:BT31),""))</f>
        <v/>
      </c>
      <c r="FC31" s="1061" t="str">
        <f t="shared" si="78"/>
        <v/>
      </c>
      <c r="FD31" s="1053">
        <f t="shared" si="79"/>
        <v>0</v>
      </c>
      <c r="FE31" s="1053">
        <f t="shared" si="80"/>
        <v>0</v>
      </c>
      <c r="FF31" s="1052">
        <f t="shared" si="81"/>
        <v>0</v>
      </c>
      <c r="FG31" s="1052" t="str">
        <f t="shared" si="82"/>
        <v/>
      </c>
      <c r="FH31" s="1053" t="str">
        <f t="shared" si="83"/>
        <v/>
      </c>
      <c r="FI31" s="1053">
        <f t="shared" si="84"/>
        <v>0</v>
      </c>
      <c r="FJ31" s="1053">
        <f t="shared" si="85"/>
        <v>0</v>
      </c>
      <c r="FK31" s="1052">
        <f t="shared" si="86"/>
        <v>0</v>
      </c>
      <c r="FL31" s="1052" t="str">
        <f t="shared" si="87"/>
        <v/>
      </c>
      <c r="FM31" s="1053" t="str">
        <f t="shared" si="88"/>
        <v/>
      </c>
      <c r="FN31" s="1053" t="e">
        <f t="shared" si="113"/>
        <v>#VALUE!</v>
      </c>
      <c r="FO31" s="1062" t="e">
        <f t="shared" si="89"/>
        <v>#VALUE!</v>
      </c>
      <c r="FP31" s="1062" t="e">
        <f t="shared" si="90"/>
        <v>#VALUE!</v>
      </c>
      <c r="FQ31" s="1063" t="e">
        <f t="shared" si="91"/>
        <v>#VALUE!</v>
      </c>
      <c r="FR31" s="1064" t="e">
        <f t="shared" si="92"/>
        <v>#VALUE!</v>
      </c>
      <c r="FS31" s="1065" t="str">
        <f t="shared" si="93"/>
        <v/>
      </c>
      <c r="FT31" s="1066" t="str">
        <f t="shared" si="94"/>
        <v/>
      </c>
      <c r="FU31" s="1105">
        <f t="shared" si="95"/>
        <v>0</v>
      </c>
      <c r="FV31" s="1106">
        <f t="shared" si="96"/>
        <v>0</v>
      </c>
      <c r="GA31" s="1975" t="str">
        <f t="shared" si="97"/>
        <v/>
      </c>
      <c r="GB31" s="1976" t="str">
        <f t="shared" si="98"/>
        <v/>
      </c>
      <c r="GC31" s="1977" t="str">
        <f t="shared" si="99"/>
        <v/>
      </c>
      <c r="GD31" s="1978" t="str">
        <f t="shared" si="100"/>
        <v/>
      </c>
      <c r="GE31" s="1979" t="str">
        <f t="shared" si="101"/>
        <v/>
      </c>
      <c r="GF31" s="1980" t="str">
        <f t="shared" si="102"/>
        <v/>
      </c>
      <c r="GG31" s="1453"/>
      <c r="GH31" s="1454"/>
      <c r="GI31" s="1453"/>
      <c r="GJ31" s="1454"/>
      <c r="GK31" s="1407">
        <f t="shared" si="103"/>
        <v>0</v>
      </c>
      <c r="GL31" s="1407" t="e">
        <f t="shared" si="104"/>
        <v>#VALUE!</v>
      </c>
      <c r="GM31" s="1408" t="e">
        <f>IF(ABS(GK31-GL31)&gt;='Job Info.'!$L$22,ABS(GK31-GL31),0)</f>
        <v>#VALUE!</v>
      </c>
      <c r="GZ31" s="497"/>
      <c r="HA31" s="1640"/>
      <c r="HB31" s="1641"/>
      <c r="HC31" s="1641"/>
      <c r="HD31" s="1642"/>
      <c r="HE31" s="1643"/>
      <c r="HF31" s="1641"/>
      <c r="HG31" s="1641"/>
      <c r="HH31" s="1641"/>
      <c r="HI31" s="1644"/>
      <c r="HJ31" s="1641"/>
      <c r="HK31" s="1641"/>
      <c r="HL31" s="1641"/>
      <c r="HM31" s="1641"/>
      <c r="HN31" s="1641"/>
      <c r="HO31" s="1641"/>
      <c r="HP31" s="1641"/>
      <c r="HQ31" s="1644"/>
      <c r="HR31" s="1641"/>
      <c r="HS31" s="1641"/>
      <c r="HT31" s="1641"/>
      <c r="HU31" s="1641"/>
      <c r="HV31" s="1641"/>
      <c r="HW31" s="1643"/>
      <c r="HX31" s="1643"/>
      <c r="HY31" s="1643"/>
      <c r="HZ31" s="1643"/>
      <c r="IA31" s="1643"/>
      <c r="IB31" s="1643"/>
      <c r="IC31" s="1643"/>
      <c r="ID31" s="1643"/>
      <c r="IE31" s="1643"/>
      <c r="IF31" s="1645"/>
      <c r="IG31" s="497"/>
      <c r="IH31" s="497"/>
      <c r="II31" s="497"/>
    </row>
    <row r="32" spans="1:243" ht="12.6" customHeight="1" x14ac:dyDescent="0.25">
      <c r="A32" s="1471" t="str">
        <f t="shared" si="1"/>
        <v/>
      </c>
      <c r="B32" s="1473" t="str">
        <f t="shared" si="2"/>
        <v/>
      </c>
      <c r="C32" s="1473" t="str">
        <f t="shared" si="3"/>
        <v/>
      </c>
      <c r="D32" s="1909" t="str">
        <f t="shared" si="4"/>
        <v/>
      </c>
      <c r="E32" s="1964" t="str">
        <f t="shared" si="5"/>
        <v/>
      </c>
      <c r="F32" s="1917" t="str">
        <f t="shared" si="6"/>
        <v/>
      </c>
      <c r="G32" s="1910" t="str">
        <f t="shared" si="7"/>
        <v/>
      </c>
      <c r="H32" s="1965" t="str">
        <f t="shared" si="8"/>
        <v/>
      </c>
      <c r="I32" s="1909" t="str">
        <f t="shared" si="9"/>
        <v/>
      </c>
      <c r="J32" s="1910" t="str">
        <f t="shared" si="10"/>
        <v/>
      </c>
      <c r="K32" s="1966" t="str">
        <f t="shared" si="11"/>
        <v/>
      </c>
      <c r="L32" s="1915" t="str">
        <f t="shared" si="12"/>
        <v/>
      </c>
      <c r="M32" s="1961" t="str">
        <f t="shared" si="13"/>
        <v/>
      </c>
      <c r="N32" s="1917" t="str">
        <f t="shared" si="14"/>
        <v/>
      </c>
      <c r="O32" s="1910" t="str">
        <f t="shared" si="15"/>
        <v/>
      </c>
      <c r="P32" s="1908" t="str">
        <f t="shared" si="16"/>
        <v/>
      </c>
      <c r="Q32" s="1909" t="str">
        <f t="shared" si="17"/>
        <v/>
      </c>
      <c r="R32" s="1910" t="str">
        <f t="shared" si="18"/>
        <v/>
      </c>
      <c r="S32" s="1919" t="str">
        <f t="shared" si="19"/>
        <v/>
      </c>
      <c r="T32" s="1917" t="str">
        <f t="shared" si="20"/>
        <v/>
      </c>
      <c r="U32" s="1910" t="str">
        <f t="shared" si="21"/>
        <v/>
      </c>
      <c r="V32" s="1909" t="str">
        <f t="shared" si="22"/>
        <v/>
      </c>
      <c r="W32" s="1910" t="str">
        <f t="shared" si="23"/>
        <v/>
      </c>
      <c r="X32" s="1914">
        <f t="shared" si="24"/>
        <v>0</v>
      </c>
      <c r="Y32" s="1967" t="str">
        <f t="shared" si="25"/>
        <v/>
      </c>
      <c r="Z32" s="1968" t="str">
        <f t="shared" si="26"/>
        <v/>
      </c>
      <c r="AA32" s="1981"/>
      <c r="AC32" s="1226" t="b">
        <v>0</v>
      </c>
      <c r="AD32" s="525">
        <f t="shared" si="27"/>
        <v>0</v>
      </c>
      <c r="AE32" s="526">
        <f t="shared" si="28"/>
        <v>0</v>
      </c>
      <c r="AF32" s="526">
        <f t="shared" si="29"/>
        <v>0</v>
      </c>
      <c r="AG32" s="526">
        <f t="shared" si="30"/>
        <v>0</v>
      </c>
      <c r="AH32" s="527">
        <f t="shared" si="31"/>
        <v>0</v>
      </c>
      <c r="AI32" s="528" t="b">
        <v>0</v>
      </c>
      <c r="AJ32" s="284">
        <f t="shared" si="124"/>
        <v>0</v>
      </c>
      <c r="AK32" s="284" t="str">
        <f t="shared" si="32"/>
        <v/>
      </c>
      <c r="AL32" s="1202" t="str">
        <f t="shared" si="33"/>
        <v/>
      </c>
      <c r="AM32" s="284" t="str">
        <f t="shared" si="34"/>
        <v/>
      </c>
      <c r="AN32" s="284" t="str">
        <f t="shared" si="35"/>
        <v/>
      </c>
      <c r="AO32" s="284" t="str">
        <f t="shared" si="36"/>
        <v/>
      </c>
      <c r="AP32" s="1063" t="b">
        <f>IF(ISERROR(AJ32),FALSE,IF(OR(AJ32=0,ISERROR(AL32),ISERROR(AM32),ISERROR(AN32),ISERROR(AO32)),FALSE,IF(AL32&lt;&gt;"",IF(ISERROR(VLOOKUP(SUBSTITUTE(SUBSTITUTE(C32,"R",""),"A",""),TblJoistSize!$A:$A,1,FALSE)),FALSE,TRUE),TRUE)))</f>
        <v>0</v>
      </c>
      <c r="AQ32" s="1305" t="e">
        <f t="shared" si="37"/>
        <v>#N/A</v>
      </c>
      <c r="AR32" s="1305" t="b">
        <f t="shared" si="38"/>
        <v>0</v>
      </c>
      <c r="AS32" s="1305" t="e">
        <f t="shared" si="39"/>
        <v>#N/A</v>
      </c>
      <c r="AT32" s="1305" t="b">
        <f t="shared" si="40"/>
        <v>0</v>
      </c>
      <c r="AU32" s="1203" t="str">
        <f t="shared" si="41"/>
        <v/>
      </c>
      <c r="AV32" s="1063" t="str">
        <f t="shared" si="42"/>
        <v/>
      </c>
      <c r="AW32" s="1063" t="str">
        <f t="shared" si="105"/>
        <v/>
      </c>
      <c r="AX32" s="1063" t="str">
        <f t="shared" si="114"/>
        <v/>
      </c>
      <c r="AY32" s="554" t="b">
        <f t="shared" si="43"/>
        <v>0</v>
      </c>
      <c r="AZ32" s="1090" t="str">
        <f t="shared" si="106"/>
        <v/>
      </c>
      <c r="BA32" s="674"/>
      <c r="BB32" s="842"/>
      <c r="BC32" s="894"/>
      <c r="BD32" s="926"/>
      <c r="BE32" s="927"/>
      <c r="BF32" s="928"/>
      <c r="BG32" s="901"/>
      <c r="BH32" s="1244"/>
      <c r="BI32" s="1245"/>
      <c r="BJ32" s="929"/>
      <c r="BK32" s="902"/>
      <c r="BL32" s="903"/>
      <c r="BM32" s="904"/>
      <c r="BN32" s="905"/>
      <c r="BO32" s="901"/>
      <c r="BP32" s="902"/>
      <c r="BQ32" s="903"/>
      <c r="BR32" s="929"/>
      <c r="BS32" s="902"/>
      <c r="BT32" s="903"/>
      <c r="BU32" s="904"/>
      <c r="BV32" s="905"/>
      <c r="BW32" s="906"/>
      <c r="BX32" s="930"/>
      <c r="BY32" s="931"/>
      <c r="BZ32" s="932"/>
      <c r="CA32" s="933"/>
      <c r="CB32" s="932"/>
      <c r="CC32" s="933"/>
      <c r="CD32" s="934" t="str">
        <f t="shared" si="44"/>
        <v/>
      </c>
      <c r="CE32" s="935" t="str">
        <f t="shared" si="45"/>
        <v/>
      </c>
      <c r="CF32" s="1149"/>
      <c r="CG32" s="1150"/>
      <c r="CH32" s="792" t="str">
        <f t="shared" si="46"/>
        <v/>
      </c>
      <c r="CI32" s="793" t="str">
        <f t="shared" si="47"/>
        <v/>
      </c>
      <c r="CJ32" s="794" t="str">
        <f t="shared" si="122"/>
        <v/>
      </c>
      <c r="CK32" s="1086" t="str">
        <f t="shared" si="48"/>
        <v/>
      </c>
      <c r="CL32" s="1081" t="str">
        <f t="shared" si="115"/>
        <v/>
      </c>
      <c r="CM32" s="1082" t="str">
        <f t="shared" si="116"/>
        <v/>
      </c>
      <c r="CN32" s="758" t="str">
        <f t="shared" si="49"/>
        <v/>
      </c>
      <c r="CO32" s="759" t="str">
        <f t="shared" si="50"/>
        <v/>
      </c>
      <c r="CP32" s="762" t="str">
        <f t="shared" si="51"/>
        <v/>
      </c>
      <c r="CQ32" s="763" t="str">
        <f t="shared" si="52"/>
        <v/>
      </c>
      <c r="CR32" s="953" t="str">
        <f t="shared" si="53"/>
        <v/>
      </c>
      <c r="CS32" s="954" t="str">
        <f t="shared" si="54"/>
        <v/>
      </c>
      <c r="CU32" s="135" t="str">
        <f>IF(BG32="","",VLOOKUP(BG32,SectInfo!$B:$N,12,FALSE))</f>
        <v/>
      </c>
      <c r="CV32" s="136" t="str">
        <f>IF(BG32="","",IF(ISBLANK(BZ32),VLOOKUP(BG32,SectInfo!$B:$N,13,FALSE),BZ32))</f>
        <v/>
      </c>
      <c r="CW32" s="136" t="str">
        <f>IF(BG32="","",IF(VLOOKUP(BG32,SectInfo!$B:$N,5,FALSE)="","R",UPPER(VLOOKUP(BG32,SectInfo!$B:$N,5,FALSE))))</f>
        <v/>
      </c>
      <c r="CX32" s="1046" t="str">
        <f>IF(BG32="","",IF(ISBLANK(CF32),VLOOKUP(BG32,SectInfo!$B:$N,6,FALSE),CF32))</f>
        <v/>
      </c>
      <c r="CY32" s="136" t="str">
        <f>IF(BG32="","",IF(VLOOKUP(BG32,SectInfo!$B:$N,10,FALSE)="","",(VLOOKUP(BG32,SectInfo!$B:$N,10,FALSE)*-1)))</f>
        <v/>
      </c>
      <c r="CZ32" s="1443" t="str">
        <f>IF(BG32="","",IF(VLOOKUP(BG32,SectInfo!$B:$N,11,FALSE)="","2",(VLOOKUP(BG32,SectInfo!$B:$N,11,FALSE))))</f>
        <v/>
      </c>
      <c r="DA32" s="136" t="str">
        <f>IF(BG32="","",IF(VLOOKUP(BG32,SectInfo!$B:$N,7,FALSE)="","",(VLOOKUP(BG32,SectInfo!$B:$N,7,FALSE)*-1)))</f>
        <v/>
      </c>
      <c r="DB32" s="1046" t="str">
        <f>IF(BG32="","",IF(VLOOKUP(BG32,SectInfo!$B:$N,8,FALSE)="",VLOOKUP(AU32,$DF$2:$DN$9,6,FALSE),(VLOOKUP(BG32,SectInfo!$B:$N,8,FALSE))))</f>
        <v/>
      </c>
      <c r="DC32" s="1046" t="str">
        <f>IF(BG32="","",VLOOKUP(BG32,SectInfo!$B:$N,9,FALSE))</f>
        <v/>
      </c>
      <c r="DD32" s="1047">
        <f t="shared" si="107"/>
        <v>0</v>
      </c>
      <c r="DE32" s="1048" t="str">
        <f>IF(BO32="","",VLOOKUP(BO32,SectInfo!$B:$N,12,FALSE))</f>
        <v/>
      </c>
      <c r="DF32" s="1046" t="str">
        <f>IF(BO32="","",IF(ISBLANK(CA32),VLOOKUP(BO32,SectInfo!$B:$N,13,FALSE),CA32))</f>
        <v/>
      </c>
      <c r="DG32" s="1046" t="str">
        <f>IF(BO32="","",IF(VLOOKUP(BO32,SectInfo!$B:$N,5,FALSE)="","R",UPPER(VLOOKUP(BO32,SectInfo!$B:$N,5,FALSE))))</f>
        <v/>
      </c>
      <c r="DH32" s="1046" t="str">
        <f>IF(BO32="","",IF(ISBLANK(CG32),VLOOKUP(BO32,SectInfo!$B:$N,6,FALSE),CG32))</f>
        <v/>
      </c>
      <c r="DI32" s="1276" t="str">
        <f>IF(BO32="","",IF(VLOOKUP(BO32,SectInfo!$B:$N,10,FALSE)="","",(VLOOKUP(BO32,SectInfo!$B:$N,10,FALSE)*-1)))</f>
        <v/>
      </c>
      <c r="DJ32" s="1443" t="str">
        <f>IF(BO32="","",IF(VLOOKUP(BO32,SectInfo!$B:$N,11,FALSE)="","2",(VLOOKUP(BO32,SectInfo!$B:$N,11,FALSE))))</f>
        <v/>
      </c>
      <c r="DK32" s="1046" t="str">
        <f>IF(BO32="","",IF(VLOOKUP(BO32,SectInfo!$B:$N,7,FALSE)="","",(VLOOKUP(BO32,SectInfo!$B:$N,7,FALSE)*-1)))</f>
        <v/>
      </c>
      <c r="DL32" s="1046" t="str">
        <f>IF(BO32="","",IF(VLOOKUP(BO32,SectInfo!$B:$N,8,FALSE)="",VLOOKUP(AU32,$DF$2:$DN$9,6,FALSE),(VLOOKUP(BO32,SectInfo!$B:$N,8,FALSE))))</f>
        <v/>
      </c>
      <c r="DM32" s="1046" t="str">
        <f>IF(BO32="","",VLOOKUP(BO32,SectInfo!$B:$N,9,FALSE))</f>
        <v/>
      </c>
      <c r="DN32" s="1047">
        <f t="shared" si="108"/>
        <v>0</v>
      </c>
      <c r="DO32" s="1049">
        <f t="shared" si="55"/>
        <v>0</v>
      </c>
      <c r="DP32" s="1053" t="str">
        <f t="shared" si="56"/>
        <v/>
      </c>
      <c r="DQ32" s="1053" t="str">
        <f t="shared" si="57"/>
        <v/>
      </c>
      <c r="DR32" s="1053" t="str">
        <f t="shared" si="58"/>
        <v/>
      </c>
      <c r="DS32" s="1052">
        <f t="shared" si="59"/>
        <v>0</v>
      </c>
      <c r="DT32" s="1052">
        <f t="shared" si="119"/>
        <v>0</v>
      </c>
      <c r="DU32" s="1052" t="str">
        <f t="shared" si="120"/>
        <v/>
      </c>
      <c r="DV32" s="1053" t="str">
        <f t="shared" si="60"/>
        <v/>
      </c>
      <c r="DW32" s="1053" t="str">
        <f t="shared" si="61"/>
        <v/>
      </c>
      <c r="DX32" s="1269">
        <f t="shared" si="109"/>
        <v>0</v>
      </c>
      <c r="DY32" s="1053">
        <f t="shared" si="110"/>
        <v>0</v>
      </c>
      <c r="DZ32" s="1052">
        <f t="shared" si="121"/>
        <v>0</v>
      </c>
      <c r="EA32" s="1052" t="str">
        <f t="shared" si="111"/>
        <v/>
      </c>
      <c r="EB32" s="1053" t="str">
        <f t="shared" si="62"/>
        <v/>
      </c>
      <c r="EC32" s="1053" t="str">
        <f t="shared" si="63"/>
        <v/>
      </c>
      <c r="ED32" s="1269">
        <f t="shared" si="112"/>
        <v>0</v>
      </c>
      <c r="EE32" s="1090" t="str">
        <f t="shared" si="117"/>
        <v/>
      </c>
      <c r="EF32" s="1053" t="str">
        <f t="shared" si="64"/>
        <v/>
      </c>
      <c r="EG32" s="1053" t="str">
        <f t="shared" si="65"/>
        <v/>
      </c>
      <c r="EH32" s="1053" t="e">
        <f t="shared" si="66"/>
        <v>#N/A</v>
      </c>
      <c r="EI32" s="1053" t="e">
        <f t="shared" si="67"/>
        <v>#N/A</v>
      </c>
      <c r="EJ32" s="1053" t="str">
        <f t="shared" si="68"/>
        <v/>
      </c>
      <c r="EK32" s="1053" t="str">
        <f t="shared" si="68"/>
        <v/>
      </c>
      <c r="EL32" s="1090" t="str">
        <f t="shared" si="118"/>
        <v/>
      </c>
      <c r="EM32" s="1053" t="str">
        <f t="shared" si="69"/>
        <v/>
      </c>
      <c r="EN32" s="1053" t="str">
        <f t="shared" si="70"/>
        <v/>
      </c>
      <c r="EO32" s="1053" t="e">
        <f t="shared" si="71"/>
        <v>#N/A</v>
      </c>
      <c r="EP32" s="1053" t="e">
        <f t="shared" si="72"/>
        <v>#N/A</v>
      </c>
      <c r="EQ32" s="1053" t="str">
        <f t="shared" si="73"/>
        <v/>
      </c>
      <c r="ER32" s="1053" t="str">
        <f t="shared" si="73"/>
        <v/>
      </c>
      <c r="ES32" s="1053" t="str">
        <f t="shared" si="74"/>
        <v/>
      </c>
      <c r="ET32" s="1053" t="str">
        <f t="shared" si="75"/>
        <v/>
      </c>
      <c r="EU32" s="1061" t="str">
        <f t="shared" si="76"/>
        <v/>
      </c>
      <c r="EV32" s="1055" t="str">
        <f t="shared" si="123"/>
        <v/>
      </c>
      <c r="EW32" s="1061"/>
      <c r="EX32" s="1061" t="str">
        <f>IF(AND(CU32="G", ISBLANK(BK32), ISBLANK(BL32)),VLOOKUP(MIN(BH32:BI32),TblJoistSize!$M$3:$N$10,2),IF(OR(CU32="B",CU32="G"),MIN(BK32:BL32),""))</f>
        <v/>
      </c>
      <c r="EY32" s="1061" t="str">
        <f>IF(AND(CU32="G", ISBLANK(BK32), ISBLANK(BL32)),VLOOKUP(MAX(BH32:BI32),TblJoistSize!$M$3:$N$10,2),IF(OR(CU32="B",CU32="G"),MAX(BK32:BL32),""))</f>
        <v/>
      </c>
      <c r="EZ32" s="1061" t="str">
        <f t="shared" si="77"/>
        <v/>
      </c>
      <c r="FA32" s="1061" t="str">
        <f>IF(AND(DE32="G", ISBLANK(BS32), ISBLANK(BT32)),VLOOKUP(MIN(BP32:BQ32),TblJoistSize!$M$3:$N$10,2),IF(OR(DE32="B", DE32="G"),MIN(BS32:BT32),""))</f>
        <v/>
      </c>
      <c r="FB32" s="1061" t="str">
        <f>IF(AND(DE32="G", ISBLANK(BS32), ISBLANK(BT32)),VLOOKUP(MAX(BP32:BQ32),TblJoistSize!$M$3:$N$10,2),IF(OR(DE32="B", DE32="G"),MAX(BS32:BT32),""))</f>
        <v/>
      </c>
      <c r="FC32" s="1061" t="str">
        <f t="shared" si="78"/>
        <v/>
      </c>
      <c r="FD32" s="1053">
        <f t="shared" si="79"/>
        <v>0</v>
      </c>
      <c r="FE32" s="1053">
        <f t="shared" si="80"/>
        <v>0</v>
      </c>
      <c r="FF32" s="1052">
        <f t="shared" si="81"/>
        <v>0</v>
      </c>
      <c r="FG32" s="1052" t="str">
        <f t="shared" si="82"/>
        <v/>
      </c>
      <c r="FH32" s="1053" t="str">
        <f t="shared" si="83"/>
        <v/>
      </c>
      <c r="FI32" s="1053">
        <f t="shared" si="84"/>
        <v>0</v>
      </c>
      <c r="FJ32" s="1053">
        <f t="shared" si="85"/>
        <v>0</v>
      </c>
      <c r="FK32" s="1052">
        <f t="shared" si="86"/>
        <v>0</v>
      </c>
      <c r="FL32" s="1052" t="str">
        <f t="shared" si="87"/>
        <v/>
      </c>
      <c r="FM32" s="1053" t="str">
        <f t="shared" si="88"/>
        <v/>
      </c>
      <c r="FN32" s="1053" t="e">
        <f t="shared" si="113"/>
        <v>#VALUE!</v>
      </c>
      <c r="FO32" s="1062" t="e">
        <f t="shared" si="89"/>
        <v>#VALUE!</v>
      </c>
      <c r="FP32" s="1062" t="e">
        <f t="shared" si="90"/>
        <v>#VALUE!</v>
      </c>
      <c r="FQ32" s="1063" t="e">
        <f t="shared" si="91"/>
        <v>#VALUE!</v>
      </c>
      <c r="FR32" s="1064" t="e">
        <f t="shared" si="92"/>
        <v>#VALUE!</v>
      </c>
      <c r="FS32" s="1065" t="str">
        <f t="shared" si="93"/>
        <v/>
      </c>
      <c r="FT32" s="1066" t="str">
        <f t="shared" si="94"/>
        <v/>
      </c>
      <c r="FU32" s="1105">
        <f t="shared" si="95"/>
        <v>0</v>
      </c>
      <c r="FV32" s="1106">
        <f t="shared" si="96"/>
        <v>0</v>
      </c>
      <c r="GA32" s="1975" t="str">
        <f t="shared" si="97"/>
        <v/>
      </c>
      <c r="GB32" s="1976" t="str">
        <f t="shared" si="98"/>
        <v/>
      </c>
      <c r="GC32" s="1977" t="str">
        <f t="shared" si="99"/>
        <v/>
      </c>
      <c r="GD32" s="1978" t="str">
        <f t="shared" si="100"/>
        <v/>
      </c>
      <c r="GE32" s="1979" t="str">
        <f t="shared" si="101"/>
        <v/>
      </c>
      <c r="GF32" s="1980" t="str">
        <f t="shared" si="102"/>
        <v/>
      </c>
      <c r="GG32" s="1453"/>
      <c r="GH32" s="1454"/>
      <c r="GI32" s="1453"/>
      <c r="GJ32" s="1454"/>
      <c r="GK32" s="1407">
        <f t="shared" si="103"/>
        <v>0</v>
      </c>
      <c r="GL32" s="1407" t="e">
        <f t="shared" si="104"/>
        <v>#VALUE!</v>
      </c>
      <c r="GM32" s="1408" t="e">
        <f>IF(ABS(GK32-GL32)&gt;='Job Info.'!$L$22,ABS(GK32-GL32),0)</f>
        <v>#VALUE!</v>
      </c>
      <c r="GZ32" s="497"/>
      <c r="HA32" s="1640"/>
      <c r="HB32" s="1641"/>
      <c r="HC32" s="1641"/>
      <c r="HD32" s="1642"/>
      <c r="HE32" s="1643"/>
      <c r="HF32" s="1641"/>
      <c r="HG32" s="1641"/>
      <c r="HH32" s="1641"/>
      <c r="HI32" s="1644"/>
      <c r="HJ32" s="1641"/>
      <c r="HK32" s="1641"/>
      <c r="HL32" s="1641"/>
      <c r="HM32" s="1641"/>
      <c r="HN32" s="1641"/>
      <c r="HO32" s="1641"/>
      <c r="HP32" s="1641"/>
      <c r="HQ32" s="1644"/>
      <c r="HR32" s="1641"/>
      <c r="HS32" s="1641"/>
      <c r="HT32" s="1641"/>
      <c r="HU32" s="1641"/>
      <c r="HV32" s="1641"/>
      <c r="HW32" s="1643"/>
      <c r="HX32" s="1643"/>
      <c r="HY32" s="1643"/>
      <c r="HZ32" s="1643"/>
      <c r="IA32" s="1643"/>
      <c r="IB32" s="1643"/>
      <c r="IC32" s="1643"/>
      <c r="ID32" s="1643"/>
      <c r="IE32" s="1643"/>
      <c r="IF32" s="1645"/>
      <c r="IG32" s="497"/>
      <c r="IH32" s="497"/>
      <c r="II32" s="497"/>
    </row>
    <row r="33" spans="1:243" ht="12.6" customHeight="1" x14ac:dyDescent="0.25">
      <c r="A33" s="1471" t="str">
        <f t="shared" si="1"/>
        <v/>
      </c>
      <c r="B33" s="1473" t="str">
        <f t="shared" si="2"/>
        <v/>
      </c>
      <c r="C33" s="1473" t="str">
        <f t="shared" si="3"/>
        <v/>
      </c>
      <c r="D33" s="1909" t="str">
        <f t="shared" si="4"/>
        <v/>
      </c>
      <c r="E33" s="1964" t="str">
        <f t="shared" si="5"/>
        <v/>
      </c>
      <c r="F33" s="1917" t="str">
        <f t="shared" si="6"/>
        <v/>
      </c>
      <c r="G33" s="1910" t="str">
        <f t="shared" si="7"/>
        <v/>
      </c>
      <c r="H33" s="1965" t="str">
        <f t="shared" si="8"/>
        <v/>
      </c>
      <c r="I33" s="1909" t="str">
        <f t="shared" si="9"/>
        <v/>
      </c>
      <c r="J33" s="1910" t="str">
        <f t="shared" si="10"/>
        <v/>
      </c>
      <c r="K33" s="1966" t="str">
        <f t="shared" si="11"/>
        <v/>
      </c>
      <c r="L33" s="1915" t="str">
        <f t="shared" si="12"/>
        <v/>
      </c>
      <c r="M33" s="1961" t="str">
        <f t="shared" si="13"/>
        <v/>
      </c>
      <c r="N33" s="1917" t="str">
        <f t="shared" si="14"/>
        <v/>
      </c>
      <c r="O33" s="1910" t="str">
        <f t="shared" si="15"/>
        <v/>
      </c>
      <c r="P33" s="1908" t="str">
        <f t="shared" si="16"/>
        <v/>
      </c>
      <c r="Q33" s="1909" t="str">
        <f t="shared" si="17"/>
        <v/>
      </c>
      <c r="R33" s="1910" t="str">
        <f t="shared" si="18"/>
        <v/>
      </c>
      <c r="S33" s="1919" t="str">
        <f t="shared" si="19"/>
        <v/>
      </c>
      <c r="T33" s="1917" t="str">
        <f t="shared" si="20"/>
        <v/>
      </c>
      <c r="U33" s="1910" t="str">
        <f t="shared" si="21"/>
        <v/>
      </c>
      <c r="V33" s="1909" t="str">
        <f t="shared" si="22"/>
        <v/>
      </c>
      <c r="W33" s="1910" t="str">
        <f t="shared" si="23"/>
        <v/>
      </c>
      <c r="X33" s="1914">
        <f t="shared" si="24"/>
        <v>0</v>
      </c>
      <c r="Y33" s="1967" t="str">
        <f t="shared" si="25"/>
        <v/>
      </c>
      <c r="Z33" s="1968" t="str">
        <f t="shared" si="26"/>
        <v/>
      </c>
      <c r="AA33" s="1981"/>
      <c r="AC33" s="1226" t="b">
        <v>0</v>
      </c>
      <c r="AD33" s="525">
        <f t="shared" si="27"/>
        <v>0</v>
      </c>
      <c r="AE33" s="526">
        <f t="shared" si="28"/>
        <v>0</v>
      </c>
      <c r="AF33" s="526">
        <f t="shared" si="29"/>
        <v>0</v>
      </c>
      <c r="AG33" s="526">
        <f t="shared" si="30"/>
        <v>0</v>
      </c>
      <c r="AH33" s="527">
        <f t="shared" si="31"/>
        <v>0</v>
      </c>
      <c r="AI33" s="528" t="b">
        <v>0</v>
      </c>
      <c r="AJ33" s="284">
        <f t="shared" si="124"/>
        <v>0</v>
      </c>
      <c r="AK33" s="284" t="str">
        <f t="shared" si="32"/>
        <v/>
      </c>
      <c r="AL33" s="1202" t="str">
        <f t="shared" si="33"/>
        <v/>
      </c>
      <c r="AM33" s="284" t="str">
        <f t="shared" si="34"/>
        <v/>
      </c>
      <c r="AN33" s="284" t="str">
        <f t="shared" si="35"/>
        <v/>
      </c>
      <c r="AO33" s="284" t="str">
        <f t="shared" si="36"/>
        <v/>
      </c>
      <c r="AP33" s="1063" t="b">
        <f>IF(ISERROR(AJ33),FALSE,IF(OR(AJ33=0,ISERROR(AL33),ISERROR(AM33),ISERROR(AN33),ISERROR(AO33)),FALSE,IF(AL33&lt;&gt;"",IF(ISERROR(VLOOKUP(SUBSTITUTE(SUBSTITUTE(C33,"R",""),"A",""),TblJoistSize!$A:$A,1,FALSE)),FALSE,TRUE),TRUE)))</f>
        <v>0</v>
      </c>
      <c r="AQ33" s="1305" t="e">
        <f t="shared" si="37"/>
        <v>#N/A</v>
      </c>
      <c r="AR33" s="1305" t="b">
        <f t="shared" si="38"/>
        <v>0</v>
      </c>
      <c r="AS33" s="1305" t="e">
        <f t="shared" si="39"/>
        <v>#N/A</v>
      </c>
      <c r="AT33" s="1305" t="b">
        <f t="shared" si="40"/>
        <v>0</v>
      </c>
      <c r="AU33" s="1203" t="str">
        <f t="shared" si="41"/>
        <v/>
      </c>
      <c r="AV33" s="1063" t="str">
        <f t="shared" si="42"/>
        <v/>
      </c>
      <c r="AW33" s="1063" t="str">
        <f t="shared" si="105"/>
        <v/>
      </c>
      <c r="AX33" s="1063" t="str">
        <f t="shared" si="114"/>
        <v/>
      </c>
      <c r="AY33" s="554" t="b">
        <f t="shared" si="43"/>
        <v>0</v>
      </c>
      <c r="AZ33" s="1090" t="str">
        <f t="shared" si="106"/>
        <v/>
      </c>
      <c r="BA33" s="674"/>
      <c r="BB33" s="842"/>
      <c r="BC33" s="894"/>
      <c r="BD33" s="926"/>
      <c r="BE33" s="927"/>
      <c r="BF33" s="928"/>
      <c r="BG33" s="901"/>
      <c r="BH33" s="1244"/>
      <c r="BI33" s="1245"/>
      <c r="BJ33" s="929"/>
      <c r="BK33" s="902"/>
      <c r="BL33" s="903"/>
      <c r="BM33" s="904"/>
      <c r="BN33" s="905"/>
      <c r="BO33" s="901"/>
      <c r="BP33" s="902"/>
      <c r="BQ33" s="903"/>
      <c r="BR33" s="929"/>
      <c r="BS33" s="902"/>
      <c r="BT33" s="903"/>
      <c r="BU33" s="904"/>
      <c r="BV33" s="905"/>
      <c r="BW33" s="906"/>
      <c r="BX33" s="930"/>
      <c r="BY33" s="931"/>
      <c r="BZ33" s="932"/>
      <c r="CA33" s="933"/>
      <c r="CB33" s="932"/>
      <c r="CC33" s="933"/>
      <c r="CD33" s="934" t="str">
        <f t="shared" si="44"/>
        <v/>
      </c>
      <c r="CE33" s="935" t="str">
        <f t="shared" si="45"/>
        <v/>
      </c>
      <c r="CF33" s="1149"/>
      <c r="CG33" s="1150"/>
      <c r="CH33" s="792" t="str">
        <f t="shared" si="46"/>
        <v/>
      </c>
      <c r="CI33" s="793" t="str">
        <f t="shared" si="47"/>
        <v/>
      </c>
      <c r="CJ33" s="794" t="str">
        <f t="shared" si="122"/>
        <v/>
      </c>
      <c r="CK33" s="1086" t="str">
        <f t="shared" si="48"/>
        <v/>
      </c>
      <c r="CL33" s="1081" t="str">
        <f t="shared" si="115"/>
        <v/>
      </c>
      <c r="CM33" s="1082" t="str">
        <f t="shared" si="116"/>
        <v/>
      </c>
      <c r="CN33" s="758" t="str">
        <f t="shared" si="49"/>
        <v/>
      </c>
      <c r="CO33" s="759" t="str">
        <f t="shared" si="50"/>
        <v/>
      </c>
      <c r="CP33" s="762" t="str">
        <f t="shared" si="51"/>
        <v/>
      </c>
      <c r="CQ33" s="763" t="str">
        <f t="shared" si="52"/>
        <v/>
      </c>
      <c r="CR33" s="953" t="str">
        <f t="shared" si="53"/>
        <v/>
      </c>
      <c r="CS33" s="954" t="str">
        <f t="shared" si="54"/>
        <v/>
      </c>
      <c r="CU33" s="135" t="str">
        <f>IF(BG33="","",VLOOKUP(BG33,SectInfo!$B:$N,12,FALSE))</f>
        <v/>
      </c>
      <c r="CV33" s="136" t="str">
        <f>IF(BG33="","",IF(ISBLANK(BZ33),VLOOKUP(BG33,SectInfo!$B:$N,13,FALSE),BZ33))</f>
        <v/>
      </c>
      <c r="CW33" s="136" t="str">
        <f>IF(BG33="","",IF(VLOOKUP(BG33,SectInfo!$B:$N,5,FALSE)="","R",UPPER(VLOOKUP(BG33,SectInfo!$B:$N,5,FALSE))))</f>
        <v/>
      </c>
      <c r="CX33" s="1046" t="str">
        <f>IF(BG33="","",IF(ISBLANK(CF33),VLOOKUP(BG33,SectInfo!$B:$N,6,FALSE),CF33))</f>
        <v/>
      </c>
      <c r="CY33" s="136" t="str">
        <f>IF(BG33="","",IF(VLOOKUP(BG33,SectInfo!$B:$N,10,FALSE)="","",(VLOOKUP(BG33,SectInfo!$B:$N,10,FALSE)*-1)))</f>
        <v/>
      </c>
      <c r="CZ33" s="1443" t="str">
        <f>IF(BG33="","",IF(VLOOKUP(BG33,SectInfo!$B:$N,11,FALSE)="","2",(VLOOKUP(BG33,SectInfo!$B:$N,11,FALSE))))</f>
        <v/>
      </c>
      <c r="DA33" s="136" t="str">
        <f>IF(BG33="","",IF(VLOOKUP(BG33,SectInfo!$B:$N,7,FALSE)="","",(VLOOKUP(BG33,SectInfo!$B:$N,7,FALSE)*-1)))</f>
        <v/>
      </c>
      <c r="DB33" s="1046" t="str">
        <f>IF(BG33="","",IF(VLOOKUP(BG33,SectInfo!$B:$N,8,FALSE)="",VLOOKUP(AU33,$DF$2:$DN$9,6,FALSE),(VLOOKUP(BG33,SectInfo!$B:$N,8,FALSE))))</f>
        <v/>
      </c>
      <c r="DC33" s="1046" t="str">
        <f>IF(BG33="","",VLOOKUP(BG33,SectInfo!$B:$N,9,FALSE))</f>
        <v/>
      </c>
      <c r="DD33" s="1047">
        <f t="shared" si="107"/>
        <v>0</v>
      </c>
      <c r="DE33" s="1048" t="str">
        <f>IF(BO33="","",VLOOKUP(BO33,SectInfo!$B:$N,12,FALSE))</f>
        <v/>
      </c>
      <c r="DF33" s="1046" t="str">
        <f>IF(BO33="","",IF(ISBLANK(CA33),VLOOKUP(BO33,SectInfo!$B:$N,13,FALSE),CA33))</f>
        <v/>
      </c>
      <c r="DG33" s="1046" t="str">
        <f>IF(BO33="","",IF(VLOOKUP(BO33,SectInfo!$B:$N,5,FALSE)="","R",UPPER(VLOOKUP(BO33,SectInfo!$B:$N,5,FALSE))))</f>
        <v/>
      </c>
      <c r="DH33" s="1046" t="str">
        <f>IF(BO33="","",IF(ISBLANK(CG33),VLOOKUP(BO33,SectInfo!$B:$N,6,FALSE),CG33))</f>
        <v/>
      </c>
      <c r="DI33" s="1276" t="str">
        <f>IF(BO33="","",IF(VLOOKUP(BO33,SectInfo!$B:$N,10,FALSE)="","",(VLOOKUP(BO33,SectInfo!$B:$N,10,FALSE)*-1)))</f>
        <v/>
      </c>
      <c r="DJ33" s="1443" t="str">
        <f>IF(BO33="","",IF(VLOOKUP(BO33,SectInfo!$B:$N,11,FALSE)="","2",(VLOOKUP(BO33,SectInfo!$B:$N,11,FALSE))))</f>
        <v/>
      </c>
      <c r="DK33" s="1046" t="str">
        <f>IF(BO33="","",IF(VLOOKUP(BO33,SectInfo!$B:$N,7,FALSE)="","",(VLOOKUP(BO33,SectInfo!$B:$N,7,FALSE)*-1)))</f>
        <v/>
      </c>
      <c r="DL33" s="1046" t="str">
        <f>IF(BO33="","",IF(VLOOKUP(BO33,SectInfo!$B:$N,8,FALSE)="",VLOOKUP(AU33,$DF$2:$DN$9,6,FALSE),(VLOOKUP(BO33,SectInfo!$B:$N,8,FALSE))))</f>
        <v/>
      </c>
      <c r="DM33" s="1046" t="str">
        <f>IF(BO33="","",VLOOKUP(BO33,SectInfo!$B:$N,9,FALSE))</f>
        <v/>
      </c>
      <c r="DN33" s="1047">
        <f t="shared" si="108"/>
        <v>0</v>
      </c>
      <c r="DO33" s="1049">
        <f t="shared" si="55"/>
        <v>0</v>
      </c>
      <c r="DP33" s="1053" t="str">
        <f t="shared" si="56"/>
        <v/>
      </c>
      <c r="DQ33" s="1053" t="str">
        <f t="shared" si="57"/>
        <v/>
      </c>
      <c r="DR33" s="1053" t="str">
        <f t="shared" si="58"/>
        <v/>
      </c>
      <c r="DS33" s="1052">
        <f t="shared" si="59"/>
        <v>0</v>
      </c>
      <c r="DT33" s="1052">
        <f t="shared" si="119"/>
        <v>0</v>
      </c>
      <c r="DU33" s="1052" t="str">
        <f t="shared" si="120"/>
        <v/>
      </c>
      <c r="DV33" s="1053" t="str">
        <f t="shared" si="60"/>
        <v/>
      </c>
      <c r="DW33" s="1053" t="str">
        <f t="shared" si="61"/>
        <v/>
      </c>
      <c r="DX33" s="1269">
        <f t="shared" si="109"/>
        <v>0</v>
      </c>
      <c r="DY33" s="1053">
        <f t="shared" si="110"/>
        <v>0</v>
      </c>
      <c r="DZ33" s="1052">
        <f t="shared" si="121"/>
        <v>0</v>
      </c>
      <c r="EA33" s="1052" t="str">
        <f t="shared" si="111"/>
        <v/>
      </c>
      <c r="EB33" s="1053" t="str">
        <f t="shared" si="62"/>
        <v/>
      </c>
      <c r="EC33" s="1053" t="str">
        <f t="shared" si="63"/>
        <v/>
      </c>
      <c r="ED33" s="1269">
        <f t="shared" si="112"/>
        <v>0</v>
      </c>
      <c r="EE33" s="1090" t="str">
        <f t="shared" si="117"/>
        <v/>
      </c>
      <c r="EF33" s="1053" t="str">
        <f t="shared" si="64"/>
        <v/>
      </c>
      <c r="EG33" s="1053" t="str">
        <f t="shared" si="65"/>
        <v/>
      </c>
      <c r="EH33" s="1053" t="e">
        <f t="shared" si="66"/>
        <v>#N/A</v>
      </c>
      <c r="EI33" s="1053" t="e">
        <f t="shared" si="67"/>
        <v>#N/A</v>
      </c>
      <c r="EJ33" s="1053" t="str">
        <f t="shared" si="68"/>
        <v/>
      </c>
      <c r="EK33" s="1053" t="str">
        <f t="shared" si="68"/>
        <v/>
      </c>
      <c r="EL33" s="1090" t="str">
        <f t="shared" si="118"/>
        <v/>
      </c>
      <c r="EM33" s="1053" t="str">
        <f t="shared" si="69"/>
        <v/>
      </c>
      <c r="EN33" s="1053" t="str">
        <f t="shared" si="70"/>
        <v/>
      </c>
      <c r="EO33" s="1053" t="e">
        <f t="shared" si="71"/>
        <v>#N/A</v>
      </c>
      <c r="EP33" s="1053" t="e">
        <f t="shared" si="72"/>
        <v>#N/A</v>
      </c>
      <c r="EQ33" s="1053" t="str">
        <f t="shared" si="73"/>
        <v/>
      </c>
      <c r="ER33" s="1053" t="str">
        <f t="shared" si="73"/>
        <v/>
      </c>
      <c r="ES33" s="1053" t="str">
        <f t="shared" si="74"/>
        <v/>
      </c>
      <c r="ET33" s="1053" t="str">
        <f t="shared" si="75"/>
        <v/>
      </c>
      <c r="EU33" s="1061" t="str">
        <f t="shared" si="76"/>
        <v/>
      </c>
      <c r="EV33" s="1055" t="str">
        <f t="shared" si="123"/>
        <v/>
      </c>
      <c r="EW33" s="1061"/>
      <c r="EX33" s="1061" t="str">
        <f>IF(AND(CU33="G", ISBLANK(BK33), ISBLANK(BL33)),VLOOKUP(MIN(BH33:BI33),TblJoistSize!$M$3:$N$10,2),IF(OR(CU33="B",CU33="G"),MIN(BK33:BL33),""))</f>
        <v/>
      </c>
      <c r="EY33" s="1061" t="str">
        <f>IF(AND(CU33="G", ISBLANK(BK33), ISBLANK(BL33)),VLOOKUP(MAX(BH33:BI33),TblJoistSize!$M$3:$N$10,2),IF(OR(CU33="B",CU33="G"),MAX(BK33:BL33),""))</f>
        <v/>
      </c>
      <c r="EZ33" s="1061" t="str">
        <f t="shared" si="77"/>
        <v/>
      </c>
      <c r="FA33" s="1061" t="str">
        <f>IF(AND(DE33="G", ISBLANK(BS33), ISBLANK(BT33)),VLOOKUP(MIN(BP33:BQ33),TblJoistSize!$M$3:$N$10,2),IF(OR(DE33="B", DE33="G"),MIN(BS33:BT33),""))</f>
        <v/>
      </c>
      <c r="FB33" s="1061" t="str">
        <f>IF(AND(DE33="G", ISBLANK(BS33), ISBLANK(BT33)),VLOOKUP(MAX(BP33:BQ33),TblJoistSize!$M$3:$N$10,2),IF(OR(DE33="B", DE33="G"),MAX(BS33:BT33),""))</f>
        <v/>
      </c>
      <c r="FC33" s="1061" t="str">
        <f t="shared" si="78"/>
        <v/>
      </c>
      <c r="FD33" s="1053">
        <f t="shared" si="79"/>
        <v>0</v>
      </c>
      <c r="FE33" s="1053">
        <f t="shared" si="80"/>
        <v>0</v>
      </c>
      <c r="FF33" s="1052">
        <f t="shared" si="81"/>
        <v>0</v>
      </c>
      <c r="FG33" s="1052" t="str">
        <f t="shared" si="82"/>
        <v/>
      </c>
      <c r="FH33" s="1053" t="str">
        <f t="shared" si="83"/>
        <v/>
      </c>
      <c r="FI33" s="1053">
        <f t="shared" si="84"/>
        <v>0</v>
      </c>
      <c r="FJ33" s="1053">
        <f t="shared" si="85"/>
        <v>0</v>
      </c>
      <c r="FK33" s="1052">
        <f t="shared" si="86"/>
        <v>0</v>
      </c>
      <c r="FL33" s="1052" t="str">
        <f t="shared" si="87"/>
        <v/>
      </c>
      <c r="FM33" s="1053" t="str">
        <f t="shared" si="88"/>
        <v/>
      </c>
      <c r="FN33" s="1053" t="e">
        <f t="shared" si="113"/>
        <v>#VALUE!</v>
      </c>
      <c r="FO33" s="1062" t="e">
        <f t="shared" si="89"/>
        <v>#VALUE!</v>
      </c>
      <c r="FP33" s="1062" t="e">
        <f t="shared" si="90"/>
        <v>#VALUE!</v>
      </c>
      <c r="FQ33" s="1063" t="e">
        <f t="shared" si="91"/>
        <v>#VALUE!</v>
      </c>
      <c r="FR33" s="1064" t="e">
        <f t="shared" si="92"/>
        <v>#VALUE!</v>
      </c>
      <c r="FS33" s="1065" t="str">
        <f t="shared" si="93"/>
        <v/>
      </c>
      <c r="FT33" s="1066" t="str">
        <f t="shared" si="94"/>
        <v/>
      </c>
      <c r="FU33" s="1105">
        <f t="shared" si="95"/>
        <v>0</v>
      </c>
      <c r="FV33" s="1106">
        <f t="shared" si="96"/>
        <v>0</v>
      </c>
      <c r="GA33" s="1975" t="str">
        <f t="shared" si="97"/>
        <v/>
      </c>
      <c r="GB33" s="1976" t="str">
        <f t="shared" si="98"/>
        <v/>
      </c>
      <c r="GC33" s="1977" t="str">
        <f t="shared" si="99"/>
        <v/>
      </c>
      <c r="GD33" s="1978" t="str">
        <f t="shared" si="100"/>
        <v/>
      </c>
      <c r="GE33" s="1979" t="str">
        <f t="shared" si="101"/>
        <v/>
      </c>
      <c r="GF33" s="1980" t="str">
        <f t="shared" si="102"/>
        <v/>
      </c>
      <c r="GG33" s="1453"/>
      <c r="GH33" s="1454"/>
      <c r="GI33" s="1453"/>
      <c r="GJ33" s="1454"/>
      <c r="GK33" s="1407">
        <f t="shared" si="103"/>
        <v>0</v>
      </c>
      <c r="GL33" s="1407" t="e">
        <f t="shared" si="104"/>
        <v>#VALUE!</v>
      </c>
      <c r="GM33" s="1408" t="e">
        <f>IF(ABS(GK33-GL33)&gt;='Job Info.'!$L$22,ABS(GK33-GL33),0)</f>
        <v>#VALUE!</v>
      </c>
      <c r="GZ33" s="497"/>
      <c r="HA33" s="1640"/>
      <c r="HB33" s="1641"/>
      <c r="HC33" s="1641"/>
      <c r="HD33" s="1642"/>
      <c r="HE33" s="1643"/>
      <c r="HF33" s="1641"/>
      <c r="HG33" s="1641"/>
      <c r="HH33" s="1641"/>
      <c r="HI33" s="1644"/>
      <c r="HJ33" s="1641"/>
      <c r="HK33" s="1641"/>
      <c r="HL33" s="1641"/>
      <c r="HM33" s="1641"/>
      <c r="HN33" s="1641"/>
      <c r="HO33" s="1641"/>
      <c r="HP33" s="1641"/>
      <c r="HQ33" s="1644"/>
      <c r="HR33" s="1641"/>
      <c r="HS33" s="1641"/>
      <c r="HT33" s="1641"/>
      <c r="HU33" s="1641"/>
      <c r="HV33" s="1641"/>
      <c r="HW33" s="1643"/>
      <c r="HX33" s="1643"/>
      <c r="HY33" s="1643"/>
      <c r="HZ33" s="1643"/>
      <c r="IA33" s="1643"/>
      <c r="IB33" s="1643"/>
      <c r="IC33" s="1643"/>
      <c r="ID33" s="1643"/>
      <c r="IE33" s="1643"/>
      <c r="IF33" s="1645"/>
      <c r="IG33" s="497"/>
      <c r="IH33" s="497"/>
      <c r="II33" s="497"/>
    </row>
    <row r="34" spans="1:243" ht="12.6" customHeight="1" x14ac:dyDescent="0.25">
      <c r="A34" s="1471" t="str">
        <f t="shared" si="1"/>
        <v/>
      </c>
      <c r="B34" s="1473" t="str">
        <f t="shared" si="2"/>
        <v/>
      </c>
      <c r="C34" s="1473" t="str">
        <f t="shared" si="3"/>
        <v/>
      </c>
      <c r="D34" s="1909" t="str">
        <f t="shared" si="4"/>
        <v/>
      </c>
      <c r="E34" s="1964" t="str">
        <f t="shared" si="5"/>
        <v/>
      </c>
      <c r="F34" s="1917" t="str">
        <f t="shared" si="6"/>
        <v/>
      </c>
      <c r="G34" s="1910" t="str">
        <f t="shared" si="7"/>
        <v/>
      </c>
      <c r="H34" s="1965" t="str">
        <f t="shared" si="8"/>
        <v/>
      </c>
      <c r="I34" s="1909" t="str">
        <f t="shared" si="9"/>
        <v/>
      </c>
      <c r="J34" s="1910" t="str">
        <f t="shared" si="10"/>
        <v/>
      </c>
      <c r="K34" s="1966" t="str">
        <f t="shared" si="11"/>
        <v/>
      </c>
      <c r="L34" s="1915" t="str">
        <f t="shared" si="12"/>
        <v/>
      </c>
      <c r="M34" s="1961" t="str">
        <f t="shared" si="13"/>
        <v/>
      </c>
      <c r="N34" s="1917" t="str">
        <f t="shared" si="14"/>
        <v/>
      </c>
      <c r="O34" s="1910" t="str">
        <f t="shared" si="15"/>
        <v/>
      </c>
      <c r="P34" s="1908" t="str">
        <f t="shared" si="16"/>
        <v/>
      </c>
      <c r="Q34" s="1909" t="str">
        <f t="shared" si="17"/>
        <v/>
      </c>
      <c r="R34" s="1910" t="str">
        <f t="shared" si="18"/>
        <v/>
      </c>
      <c r="S34" s="1919" t="str">
        <f t="shared" si="19"/>
        <v/>
      </c>
      <c r="T34" s="1917" t="str">
        <f t="shared" si="20"/>
        <v/>
      </c>
      <c r="U34" s="1910" t="str">
        <f t="shared" si="21"/>
        <v/>
      </c>
      <c r="V34" s="1909" t="str">
        <f t="shared" si="22"/>
        <v/>
      </c>
      <c r="W34" s="1910" t="str">
        <f t="shared" si="23"/>
        <v/>
      </c>
      <c r="X34" s="1914">
        <f t="shared" si="24"/>
        <v>0</v>
      </c>
      <c r="Y34" s="1967" t="str">
        <f t="shared" si="25"/>
        <v/>
      </c>
      <c r="Z34" s="1968" t="str">
        <f t="shared" si="26"/>
        <v/>
      </c>
      <c r="AA34" s="1981"/>
      <c r="AC34" s="1226" t="b">
        <v>0</v>
      </c>
      <c r="AD34" s="525">
        <f t="shared" si="27"/>
        <v>0</v>
      </c>
      <c r="AE34" s="526">
        <f t="shared" si="28"/>
        <v>0</v>
      </c>
      <c r="AF34" s="526">
        <f t="shared" si="29"/>
        <v>0</v>
      </c>
      <c r="AG34" s="526">
        <f t="shared" si="30"/>
        <v>0</v>
      </c>
      <c r="AH34" s="527">
        <f t="shared" si="31"/>
        <v>0</v>
      </c>
      <c r="AI34" s="528" t="b">
        <v>0</v>
      </c>
      <c r="AJ34" s="284">
        <f t="shared" si="124"/>
        <v>0</v>
      </c>
      <c r="AK34" s="284" t="str">
        <f t="shared" si="32"/>
        <v/>
      </c>
      <c r="AL34" s="1202" t="str">
        <f t="shared" si="33"/>
        <v/>
      </c>
      <c r="AM34" s="284" t="str">
        <f t="shared" si="34"/>
        <v/>
      </c>
      <c r="AN34" s="284" t="str">
        <f t="shared" si="35"/>
        <v/>
      </c>
      <c r="AO34" s="284" t="str">
        <f t="shared" si="36"/>
        <v/>
      </c>
      <c r="AP34" s="1063" t="b">
        <f>IF(ISERROR(AJ34),FALSE,IF(OR(AJ34=0,ISERROR(AL34),ISERROR(AM34),ISERROR(AN34),ISERROR(AO34)),FALSE,IF(AL34&lt;&gt;"",IF(ISERROR(VLOOKUP(SUBSTITUTE(SUBSTITUTE(C34,"R",""),"A",""),TblJoistSize!$A:$A,1,FALSE)),FALSE,TRUE),TRUE)))</f>
        <v>0</v>
      </c>
      <c r="AQ34" s="1305" t="e">
        <f t="shared" si="37"/>
        <v>#N/A</v>
      </c>
      <c r="AR34" s="1305" t="b">
        <f t="shared" si="38"/>
        <v>0</v>
      </c>
      <c r="AS34" s="1305" t="e">
        <f t="shared" si="39"/>
        <v>#N/A</v>
      </c>
      <c r="AT34" s="1305" t="b">
        <f t="shared" si="40"/>
        <v>0</v>
      </c>
      <c r="AU34" s="1203" t="str">
        <f t="shared" si="41"/>
        <v/>
      </c>
      <c r="AV34" s="1063" t="str">
        <f t="shared" si="42"/>
        <v/>
      </c>
      <c r="AW34" s="1063" t="str">
        <f t="shared" si="105"/>
        <v/>
      </c>
      <c r="AX34" s="1063" t="str">
        <f t="shared" si="114"/>
        <v/>
      </c>
      <c r="AY34" s="554" t="b">
        <f t="shared" si="43"/>
        <v>0</v>
      </c>
      <c r="AZ34" s="1090" t="str">
        <f t="shared" si="106"/>
        <v/>
      </c>
      <c r="BA34" s="674"/>
      <c r="BB34" s="842"/>
      <c r="BC34" s="894"/>
      <c r="BD34" s="926"/>
      <c r="BE34" s="927"/>
      <c r="BF34" s="928"/>
      <c r="BG34" s="901"/>
      <c r="BH34" s="1244"/>
      <c r="BI34" s="1245"/>
      <c r="BJ34" s="929"/>
      <c r="BK34" s="902"/>
      <c r="BL34" s="903"/>
      <c r="BM34" s="904"/>
      <c r="BN34" s="905"/>
      <c r="BO34" s="901"/>
      <c r="BP34" s="902"/>
      <c r="BQ34" s="903"/>
      <c r="BR34" s="929"/>
      <c r="BS34" s="902"/>
      <c r="BT34" s="903"/>
      <c r="BU34" s="904"/>
      <c r="BV34" s="905"/>
      <c r="BW34" s="906"/>
      <c r="BX34" s="930"/>
      <c r="BY34" s="931"/>
      <c r="BZ34" s="932"/>
      <c r="CA34" s="933"/>
      <c r="CB34" s="932"/>
      <c r="CC34" s="933"/>
      <c r="CD34" s="934" t="str">
        <f t="shared" si="44"/>
        <v/>
      </c>
      <c r="CE34" s="935" t="str">
        <f t="shared" si="45"/>
        <v/>
      </c>
      <c r="CF34" s="1149"/>
      <c r="CG34" s="1150"/>
      <c r="CH34" s="792" t="str">
        <f t="shared" si="46"/>
        <v/>
      </c>
      <c r="CI34" s="793" t="str">
        <f t="shared" si="47"/>
        <v/>
      </c>
      <c r="CJ34" s="794" t="str">
        <f t="shared" si="122"/>
        <v/>
      </c>
      <c r="CK34" s="1086" t="str">
        <f t="shared" si="48"/>
        <v/>
      </c>
      <c r="CL34" s="1081" t="str">
        <f t="shared" si="115"/>
        <v/>
      </c>
      <c r="CM34" s="1082" t="str">
        <f t="shared" si="116"/>
        <v/>
      </c>
      <c r="CN34" s="758" t="str">
        <f t="shared" si="49"/>
        <v/>
      </c>
      <c r="CO34" s="759" t="str">
        <f t="shared" si="50"/>
        <v/>
      </c>
      <c r="CP34" s="762" t="str">
        <f t="shared" si="51"/>
        <v/>
      </c>
      <c r="CQ34" s="763" t="str">
        <f t="shared" si="52"/>
        <v/>
      </c>
      <c r="CR34" s="953" t="str">
        <f t="shared" si="53"/>
        <v/>
      </c>
      <c r="CS34" s="954" t="str">
        <f t="shared" si="54"/>
        <v/>
      </c>
      <c r="CU34" s="135" t="str">
        <f>IF(BG34="","",VLOOKUP(BG34,SectInfo!$B:$N,12,FALSE))</f>
        <v/>
      </c>
      <c r="CV34" s="136" t="str">
        <f>IF(BG34="","",IF(ISBLANK(BZ34),VLOOKUP(BG34,SectInfo!$B:$N,13,FALSE),BZ34))</f>
        <v/>
      </c>
      <c r="CW34" s="136" t="str">
        <f>IF(BG34="","",IF(VLOOKUP(BG34,SectInfo!$B:$N,5,FALSE)="","R",UPPER(VLOOKUP(BG34,SectInfo!$B:$N,5,FALSE))))</f>
        <v/>
      </c>
      <c r="CX34" s="1046" t="str">
        <f>IF(BG34="","",IF(ISBLANK(CF34),VLOOKUP(BG34,SectInfo!$B:$N,6,FALSE),CF34))</f>
        <v/>
      </c>
      <c r="CY34" s="136" t="str">
        <f>IF(BG34="","",IF(VLOOKUP(BG34,SectInfo!$B:$N,10,FALSE)="","",(VLOOKUP(BG34,SectInfo!$B:$N,10,FALSE)*-1)))</f>
        <v/>
      </c>
      <c r="CZ34" s="1443" t="str">
        <f>IF(BG34="","",IF(VLOOKUP(BG34,SectInfo!$B:$N,11,FALSE)="","2",(VLOOKUP(BG34,SectInfo!$B:$N,11,FALSE))))</f>
        <v/>
      </c>
      <c r="DA34" s="136" t="str">
        <f>IF(BG34="","",IF(VLOOKUP(BG34,SectInfo!$B:$N,7,FALSE)="","",(VLOOKUP(BG34,SectInfo!$B:$N,7,FALSE)*-1)))</f>
        <v/>
      </c>
      <c r="DB34" s="1046" t="str">
        <f>IF(BG34="","",IF(VLOOKUP(BG34,SectInfo!$B:$N,8,FALSE)="",VLOOKUP(AU34,$DF$2:$DN$9,6,FALSE),(VLOOKUP(BG34,SectInfo!$B:$N,8,FALSE))))</f>
        <v/>
      </c>
      <c r="DC34" s="1046" t="str">
        <f>IF(BG34="","",VLOOKUP(BG34,SectInfo!$B:$N,9,FALSE))</f>
        <v/>
      </c>
      <c r="DD34" s="1047">
        <f t="shared" si="107"/>
        <v>0</v>
      </c>
      <c r="DE34" s="1048" t="str">
        <f>IF(BO34="","",VLOOKUP(BO34,SectInfo!$B:$N,12,FALSE))</f>
        <v/>
      </c>
      <c r="DF34" s="1046" t="str">
        <f>IF(BO34="","",IF(ISBLANK(CA34),VLOOKUP(BO34,SectInfo!$B:$N,13,FALSE),CA34))</f>
        <v/>
      </c>
      <c r="DG34" s="1046" t="str">
        <f>IF(BO34="","",IF(VLOOKUP(BO34,SectInfo!$B:$N,5,FALSE)="","R",UPPER(VLOOKUP(BO34,SectInfo!$B:$N,5,FALSE))))</f>
        <v/>
      </c>
      <c r="DH34" s="1046" t="str">
        <f>IF(BO34="","",IF(ISBLANK(CG34),VLOOKUP(BO34,SectInfo!$B:$N,6,FALSE),CG34))</f>
        <v/>
      </c>
      <c r="DI34" s="1276" t="str">
        <f>IF(BO34="","",IF(VLOOKUP(BO34,SectInfo!$B:$N,10,FALSE)="","",(VLOOKUP(BO34,SectInfo!$B:$N,10,FALSE)*-1)))</f>
        <v/>
      </c>
      <c r="DJ34" s="1443" t="str">
        <f>IF(BO34="","",IF(VLOOKUP(BO34,SectInfo!$B:$N,11,FALSE)="","2",(VLOOKUP(BO34,SectInfo!$B:$N,11,FALSE))))</f>
        <v/>
      </c>
      <c r="DK34" s="1046" t="str">
        <f>IF(BO34="","",IF(VLOOKUP(BO34,SectInfo!$B:$N,7,FALSE)="","",(VLOOKUP(BO34,SectInfo!$B:$N,7,FALSE)*-1)))</f>
        <v/>
      </c>
      <c r="DL34" s="1046" t="str">
        <f>IF(BO34="","",IF(VLOOKUP(BO34,SectInfo!$B:$N,8,FALSE)="",VLOOKUP(AU34,$DF$2:$DN$9,6,FALSE),(VLOOKUP(BO34,SectInfo!$B:$N,8,FALSE))))</f>
        <v/>
      </c>
      <c r="DM34" s="1046" t="str">
        <f>IF(BO34="","",VLOOKUP(BO34,SectInfo!$B:$N,9,FALSE))</f>
        <v/>
      </c>
      <c r="DN34" s="1047">
        <f t="shared" si="108"/>
        <v>0</v>
      </c>
      <c r="DO34" s="1049">
        <f t="shared" si="55"/>
        <v>0</v>
      </c>
      <c r="DP34" s="1053" t="str">
        <f t="shared" si="56"/>
        <v/>
      </c>
      <c r="DQ34" s="1053" t="str">
        <f t="shared" si="57"/>
        <v/>
      </c>
      <c r="DR34" s="1053" t="str">
        <f t="shared" si="58"/>
        <v/>
      </c>
      <c r="DS34" s="1052">
        <f t="shared" si="59"/>
        <v>0</v>
      </c>
      <c r="DT34" s="1052">
        <f t="shared" si="119"/>
        <v>0</v>
      </c>
      <c r="DU34" s="1052" t="str">
        <f t="shared" si="120"/>
        <v/>
      </c>
      <c r="DV34" s="1053" t="str">
        <f t="shared" si="60"/>
        <v/>
      </c>
      <c r="DW34" s="1053" t="str">
        <f t="shared" si="61"/>
        <v/>
      </c>
      <c r="DX34" s="1269">
        <f t="shared" si="109"/>
        <v>0</v>
      </c>
      <c r="DY34" s="1053">
        <f t="shared" si="110"/>
        <v>0</v>
      </c>
      <c r="DZ34" s="1052">
        <f t="shared" si="121"/>
        <v>0</v>
      </c>
      <c r="EA34" s="1052" t="str">
        <f t="shared" si="111"/>
        <v/>
      </c>
      <c r="EB34" s="1053" t="str">
        <f t="shared" si="62"/>
        <v/>
      </c>
      <c r="EC34" s="1053" t="str">
        <f t="shared" si="63"/>
        <v/>
      </c>
      <c r="ED34" s="1269">
        <f t="shared" si="112"/>
        <v>0</v>
      </c>
      <c r="EE34" s="1090" t="str">
        <f t="shared" si="117"/>
        <v/>
      </c>
      <c r="EF34" s="1053" t="str">
        <f t="shared" si="64"/>
        <v/>
      </c>
      <c r="EG34" s="1053" t="str">
        <f t="shared" si="65"/>
        <v/>
      </c>
      <c r="EH34" s="1053" t="e">
        <f t="shared" si="66"/>
        <v>#N/A</v>
      </c>
      <c r="EI34" s="1053" t="e">
        <f t="shared" si="67"/>
        <v>#N/A</v>
      </c>
      <c r="EJ34" s="1053" t="str">
        <f t="shared" si="68"/>
        <v/>
      </c>
      <c r="EK34" s="1053" t="str">
        <f t="shared" si="68"/>
        <v/>
      </c>
      <c r="EL34" s="1090" t="str">
        <f t="shared" si="118"/>
        <v/>
      </c>
      <c r="EM34" s="1053" t="str">
        <f t="shared" si="69"/>
        <v/>
      </c>
      <c r="EN34" s="1053" t="str">
        <f t="shared" si="70"/>
        <v/>
      </c>
      <c r="EO34" s="1053" t="e">
        <f t="shared" si="71"/>
        <v>#N/A</v>
      </c>
      <c r="EP34" s="1053" t="e">
        <f t="shared" si="72"/>
        <v>#N/A</v>
      </c>
      <c r="EQ34" s="1053" t="str">
        <f t="shared" si="73"/>
        <v/>
      </c>
      <c r="ER34" s="1053" t="str">
        <f t="shared" si="73"/>
        <v/>
      </c>
      <c r="ES34" s="1053" t="str">
        <f t="shared" si="74"/>
        <v/>
      </c>
      <c r="ET34" s="1053" t="str">
        <f t="shared" si="75"/>
        <v/>
      </c>
      <c r="EU34" s="1061" t="str">
        <f t="shared" si="76"/>
        <v/>
      </c>
      <c r="EV34" s="1055" t="str">
        <f t="shared" si="123"/>
        <v/>
      </c>
      <c r="EW34" s="1061"/>
      <c r="EX34" s="1061" t="str">
        <f>IF(AND(CU34="G", ISBLANK(BK34), ISBLANK(BL34)),VLOOKUP(MIN(BH34:BI34),TblJoistSize!$M$3:$N$10,2),IF(OR(CU34="B",CU34="G"),MIN(BK34:BL34),""))</f>
        <v/>
      </c>
      <c r="EY34" s="1061" t="str">
        <f>IF(AND(CU34="G", ISBLANK(BK34), ISBLANK(BL34)),VLOOKUP(MAX(BH34:BI34),TblJoistSize!$M$3:$N$10,2),IF(OR(CU34="B",CU34="G"),MAX(BK34:BL34),""))</f>
        <v/>
      </c>
      <c r="EZ34" s="1061" t="str">
        <f t="shared" si="77"/>
        <v/>
      </c>
      <c r="FA34" s="1061" t="str">
        <f>IF(AND(DE34="G", ISBLANK(BS34), ISBLANK(BT34)),VLOOKUP(MIN(BP34:BQ34),TblJoistSize!$M$3:$N$10,2),IF(OR(DE34="B", DE34="G"),MIN(BS34:BT34),""))</f>
        <v/>
      </c>
      <c r="FB34" s="1061" t="str">
        <f>IF(AND(DE34="G", ISBLANK(BS34), ISBLANK(BT34)),VLOOKUP(MAX(BP34:BQ34),TblJoistSize!$M$3:$N$10,2),IF(OR(DE34="B", DE34="G"),MAX(BS34:BT34),""))</f>
        <v/>
      </c>
      <c r="FC34" s="1061" t="str">
        <f t="shared" si="78"/>
        <v/>
      </c>
      <c r="FD34" s="1053">
        <f t="shared" si="79"/>
        <v>0</v>
      </c>
      <c r="FE34" s="1053">
        <f t="shared" si="80"/>
        <v>0</v>
      </c>
      <c r="FF34" s="1052">
        <f t="shared" si="81"/>
        <v>0</v>
      </c>
      <c r="FG34" s="1052" t="str">
        <f t="shared" si="82"/>
        <v/>
      </c>
      <c r="FH34" s="1053" t="str">
        <f t="shared" si="83"/>
        <v/>
      </c>
      <c r="FI34" s="1053">
        <f t="shared" si="84"/>
        <v>0</v>
      </c>
      <c r="FJ34" s="1053">
        <f t="shared" si="85"/>
        <v>0</v>
      </c>
      <c r="FK34" s="1052">
        <f t="shared" si="86"/>
        <v>0</v>
      </c>
      <c r="FL34" s="1052" t="str">
        <f t="shared" si="87"/>
        <v/>
      </c>
      <c r="FM34" s="1053" t="str">
        <f t="shared" si="88"/>
        <v/>
      </c>
      <c r="FN34" s="1053" t="e">
        <f t="shared" si="113"/>
        <v>#VALUE!</v>
      </c>
      <c r="FO34" s="1062" t="e">
        <f t="shared" si="89"/>
        <v>#VALUE!</v>
      </c>
      <c r="FP34" s="1062" t="e">
        <f t="shared" si="90"/>
        <v>#VALUE!</v>
      </c>
      <c r="FQ34" s="1063" t="e">
        <f t="shared" si="91"/>
        <v>#VALUE!</v>
      </c>
      <c r="FR34" s="1064" t="e">
        <f t="shared" si="92"/>
        <v>#VALUE!</v>
      </c>
      <c r="FS34" s="1065" t="str">
        <f t="shared" si="93"/>
        <v/>
      </c>
      <c r="FT34" s="1066" t="str">
        <f t="shared" si="94"/>
        <v/>
      </c>
      <c r="FU34" s="1105">
        <f t="shared" si="95"/>
        <v>0</v>
      </c>
      <c r="FV34" s="1106">
        <f t="shared" si="96"/>
        <v>0</v>
      </c>
      <c r="GA34" s="1975" t="str">
        <f t="shared" si="97"/>
        <v/>
      </c>
      <c r="GB34" s="1976" t="str">
        <f t="shared" si="98"/>
        <v/>
      </c>
      <c r="GC34" s="1977" t="str">
        <f t="shared" si="99"/>
        <v/>
      </c>
      <c r="GD34" s="1978" t="str">
        <f t="shared" si="100"/>
        <v/>
      </c>
      <c r="GE34" s="1979" t="str">
        <f t="shared" si="101"/>
        <v/>
      </c>
      <c r="GF34" s="1980" t="str">
        <f t="shared" si="102"/>
        <v/>
      </c>
      <c r="GG34" s="1453"/>
      <c r="GH34" s="1454"/>
      <c r="GI34" s="1453"/>
      <c r="GJ34" s="1454"/>
      <c r="GK34" s="1407">
        <f t="shared" si="103"/>
        <v>0</v>
      </c>
      <c r="GL34" s="1407" t="e">
        <f t="shared" si="104"/>
        <v>#VALUE!</v>
      </c>
      <c r="GM34" s="1408" t="e">
        <f>IF(ABS(GK34-GL34)&gt;='Job Info.'!$L$22,ABS(GK34-GL34),0)</f>
        <v>#VALUE!</v>
      </c>
      <c r="GZ34" s="497"/>
      <c r="HA34" s="1640"/>
      <c r="HB34" s="1641"/>
      <c r="HC34" s="1641"/>
      <c r="HD34" s="1642"/>
      <c r="HE34" s="1643"/>
      <c r="HF34" s="1641"/>
      <c r="HG34" s="1641"/>
      <c r="HH34" s="1641"/>
      <c r="HI34" s="1644"/>
      <c r="HJ34" s="1641"/>
      <c r="HK34" s="1641"/>
      <c r="HL34" s="1641"/>
      <c r="HM34" s="1641"/>
      <c r="HN34" s="1641"/>
      <c r="HO34" s="1641"/>
      <c r="HP34" s="1641"/>
      <c r="HQ34" s="1644"/>
      <c r="HR34" s="1641"/>
      <c r="HS34" s="1641"/>
      <c r="HT34" s="1641"/>
      <c r="HU34" s="1641"/>
      <c r="HV34" s="1641"/>
      <c r="HW34" s="1643"/>
      <c r="HX34" s="1643"/>
      <c r="HY34" s="1643"/>
      <c r="HZ34" s="1643"/>
      <c r="IA34" s="1643"/>
      <c r="IB34" s="1643"/>
      <c r="IC34" s="1643"/>
      <c r="ID34" s="1643"/>
      <c r="IE34" s="1643"/>
      <c r="IF34" s="1645"/>
      <c r="IG34" s="497"/>
      <c r="IH34" s="497"/>
      <c r="II34" s="497"/>
    </row>
    <row r="35" spans="1:243" ht="12.6" customHeight="1" x14ac:dyDescent="0.25">
      <c r="A35" s="1471" t="str">
        <f t="shared" si="1"/>
        <v/>
      </c>
      <c r="B35" s="1473" t="str">
        <f t="shared" si="2"/>
        <v/>
      </c>
      <c r="C35" s="1473" t="str">
        <f t="shared" si="3"/>
        <v/>
      </c>
      <c r="D35" s="1909" t="str">
        <f t="shared" si="4"/>
        <v/>
      </c>
      <c r="E35" s="1964" t="str">
        <f t="shared" si="5"/>
        <v/>
      </c>
      <c r="F35" s="1917" t="str">
        <f t="shared" si="6"/>
        <v/>
      </c>
      <c r="G35" s="1910" t="str">
        <f t="shared" si="7"/>
        <v/>
      </c>
      <c r="H35" s="1965" t="str">
        <f t="shared" si="8"/>
        <v/>
      </c>
      <c r="I35" s="1909" t="str">
        <f t="shared" si="9"/>
        <v/>
      </c>
      <c r="J35" s="1910" t="str">
        <f t="shared" si="10"/>
        <v/>
      </c>
      <c r="K35" s="1966" t="str">
        <f t="shared" si="11"/>
        <v/>
      </c>
      <c r="L35" s="1915" t="str">
        <f t="shared" si="12"/>
        <v/>
      </c>
      <c r="M35" s="1961" t="str">
        <f t="shared" si="13"/>
        <v/>
      </c>
      <c r="N35" s="1917" t="str">
        <f t="shared" si="14"/>
        <v/>
      </c>
      <c r="O35" s="1910" t="str">
        <f t="shared" si="15"/>
        <v/>
      </c>
      <c r="P35" s="1908" t="str">
        <f t="shared" si="16"/>
        <v/>
      </c>
      <c r="Q35" s="1909" t="str">
        <f t="shared" si="17"/>
        <v/>
      </c>
      <c r="R35" s="1910" t="str">
        <f t="shared" si="18"/>
        <v/>
      </c>
      <c r="S35" s="1919" t="str">
        <f t="shared" si="19"/>
        <v/>
      </c>
      <c r="T35" s="1917" t="str">
        <f t="shared" si="20"/>
        <v/>
      </c>
      <c r="U35" s="1910" t="str">
        <f t="shared" si="21"/>
        <v/>
      </c>
      <c r="V35" s="1909" t="str">
        <f t="shared" si="22"/>
        <v/>
      </c>
      <c r="W35" s="1910" t="str">
        <f t="shared" si="23"/>
        <v/>
      </c>
      <c r="X35" s="1914">
        <f t="shared" si="24"/>
        <v>0</v>
      </c>
      <c r="Y35" s="1967" t="str">
        <f t="shared" si="25"/>
        <v/>
      </c>
      <c r="Z35" s="1968" t="str">
        <f t="shared" si="26"/>
        <v/>
      </c>
      <c r="AA35" s="1981"/>
      <c r="AC35" s="1226" t="b">
        <v>0</v>
      </c>
      <c r="AD35" s="525">
        <f t="shared" si="27"/>
        <v>0</v>
      </c>
      <c r="AE35" s="526">
        <f t="shared" si="28"/>
        <v>0</v>
      </c>
      <c r="AF35" s="526">
        <f t="shared" si="29"/>
        <v>0</v>
      </c>
      <c r="AG35" s="526">
        <f t="shared" si="30"/>
        <v>0</v>
      </c>
      <c r="AH35" s="527">
        <f t="shared" si="31"/>
        <v>0</v>
      </c>
      <c r="AI35" s="528" t="b">
        <v>0</v>
      </c>
      <c r="AJ35" s="284">
        <f t="shared" si="124"/>
        <v>0</v>
      </c>
      <c r="AK35" s="284" t="str">
        <f t="shared" si="32"/>
        <v/>
      </c>
      <c r="AL35" s="1202" t="str">
        <f t="shared" si="33"/>
        <v/>
      </c>
      <c r="AM35" s="284" t="str">
        <f t="shared" si="34"/>
        <v/>
      </c>
      <c r="AN35" s="284" t="str">
        <f t="shared" si="35"/>
        <v/>
      </c>
      <c r="AO35" s="284" t="str">
        <f t="shared" si="36"/>
        <v/>
      </c>
      <c r="AP35" s="1063" t="b">
        <f>IF(ISERROR(AJ35),FALSE,IF(OR(AJ35=0,ISERROR(AL35),ISERROR(AM35),ISERROR(AN35),ISERROR(AO35)),FALSE,IF(AL35&lt;&gt;"",IF(ISERROR(VLOOKUP(SUBSTITUTE(SUBSTITUTE(C35,"R",""),"A",""),TblJoistSize!$A:$A,1,FALSE)),FALSE,TRUE),TRUE)))</f>
        <v>0</v>
      </c>
      <c r="AQ35" s="1305" t="e">
        <f t="shared" si="37"/>
        <v>#N/A</v>
      </c>
      <c r="AR35" s="1305" t="b">
        <f t="shared" si="38"/>
        <v>0</v>
      </c>
      <c r="AS35" s="1305" t="e">
        <f t="shared" si="39"/>
        <v>#N/A</v>
      </c>
      <c r="AT35" s="1305" t="b">
        <f t="shared" si="40"/>
        <v>0</v>
      </c>
      <c r="AU35" s="1203" t="str">
        <f t="shared" si="41"/>
        <v/>
      </c>
      <c r="AV35" s="1063" t="str">
        <f t="shared" si="42"/>
        <v/>
      </c>
      <c r="AW35" s="1063" t="str">
        <f t="shared" si="105"/>
        <v/>
      </c>
      <c r="AX35" s="1063" t="str">
        <f t="shared" si="114"/>
        <v/>
      </c>
      <c r="AY35" s="554" t="b">
        <f t="shared" si="43"/>
        <v>0</v>
      </c>
      <c r="AZ35" s="1090" t="str">
        <f t="shared" si="106"/>
        <v/>
      </c>
      <c r="BA35" s="674"/>
      <c r="BB35" s="842"/>
      <c r="BC35" s="894"/>
      <c r="BD35" s="926"/>
      <c r="BE35" s="927"/>
      <c r="BF35" s="928"/>
      <c r="BG35" s="901"/>
      <c r="BH35" s="1244"/>
      <c r="BI35" s="1245"/>
      <c r="BJ35" s="929"/>
      <c r="BK35" s="902"/>
      <c r="BL35" s="903"/>
      <c r="BM35" s="904"/>
      <c r="BN35" s="905"/>
      <c r="BO35" s="901"/>
      <c r="BP35" s="902"/>
      <c r="BQ35" s="903"/>
      <c r="BR35" s="929"/>
      <c r="BS35" s="902"/>
      <c r="BT35" s="903"/>
      <c r="BU35" s="904"/>
      <c r="BV35" s="905"/>
      <c r="BW35" s="906"/>
      <c r="BX35" s="930"/>
      <c r="BY35" s="931"/>
      <c r="BZ35" s="932"/>
      <c r="CA35" s="933"/>
      <c r="CB35" s="932"/>
      <c r="CC35" s="933"/>
      <c r="CD35" s="934" t="str">
        <f t="shared" si="44"/>
        <v/>
      </c>
      <c r="CE35" s="935" t="str">
        <f t="shared" si="45"/>
        <v/>
      </c>
      <c r="CF35" s="1149"/>
      <c r="CG35" s="1150"/>
      <c r="CH35" s="792" t="str">
        <f t="shared" si="46"/>
        <v/>
      </c>
      <c r="CI35" s="793" t="str">
        <f t="shared" si="47"/>
        <v/>
      </c>
      <c r="CJ35" s="794" t="str">
        <f t="shared" si="122"/>
        <v/>
      </c>
      <c r="CK35" s="1086" t="str">
        <f t="shared" si="48"/>
        <v/>
      </c>
      <c r="CL35" s="1081" t="str">
        <f t="shared" si="115"/>
        <v/>
      </c>
      <c r="CM35" s="1082" t="str">
        <f t="shared" si="116"/>
        <v/>
      </c>
      <c r="CN35" s="758" t="str">
        <f t="shared" si="49"/>
        <v/>
      </c>
      <c r="CO35" s="759" t="str">
        <f t="shared" si="50"/>
        <v/>
      </c>
      <c r="CP35" s="762" t="str">
        <f t="shared" si="51"/>
        <v/>
      </c>
      <c r="CQ35" s="763" t="str">
        <f t="shared" si="52"/>
        <v/>
      </c>
      <c r="CR35" s="953" t="str">
        <f t="shared" si="53"/>
        <v/>
      </c>
      <c r="CS35" s="954" t="str">
        <f t="shared" si="54"/>
        <v/>
      </c>
      <c r="CU35" s="135" t="str">
        <f>IF(BG35="","",VLOOKUP(BG35,SectInfo!$B:$N,12,FALSE))</f>
        <v/>
      </c>
      <c r="CV35" s="136" t="str">
        <f>IF(BG35="","",IF(ISBLANK(BZ35),VLOOKUP(BG35,SectInfo!$B:$N,13,FALSE),BZ35))</f>
        <v/>
      </c>
      <c r="CW35" s="136" t="str">
        <f>IF(BG35="","",IF(VLOOKUP(BG35,SectInfo!$B:$N,5,FALSE)="","R",UPPER(VLOOKUP(BG35,SectInfo!$B:$N,5,FALSE))))</f>
        <v/>
      </c>
      <c r="CX35" s="1046" t="str">
        <f>IF(BG35="","",IF(ISBLANK(CF35),VLOOKUP(BG35,SectInfo!$B:$N,6,FALSE),CF35))</f>
        <v/>
      </c>
      <c r="CY35" s="136" t="str">
        <f>IF(BG35="","",IF(VLOOKUP(BG35,SectInfo!$B:$N,10,FALSE)="","",(VLOOKUP(BG35,SectInfo!$B:$N,10,FALSE)*-1)))</f>
        <v/>
      </c>
      <c r="CZ35" s="1443" t="str">
        <f>IF(BG35="","",IF(VLOOKUP(BG35,SectInfo!$B:$N,11,FALSE)="","2",(VLOOKUP(BG35,SectInfo!$B:$N,11,FALSE))))</f>
        <v/>
      </c>
      <c r="DA35" s="136" t="str">
        <f>IF(BG35="","",IF(VLOOKUP(BG35,SectInfo!$B:$N,7,FALSE)="","",(VLOOKUP(BG35,SectInfo!$B:$N,7,FALSE)*-1)))</f>
        <v/>
      </c>
      <c r="DB35" s="1046" t="str">
        <f>IF(BG35="","",IF(VLOOKUP(BG35,SectInfo!$B:$N,8,FALSE)="",VLOOKUP(AU35,$DF$2:$DN$9,6,FALSE),(VLOOKUP(BG35,SectInfo!$B:$N,8,FALSE))))</f>
        <v/>
      </c>
      <c r="DC35" s="1046" t="str">
        <f>IF(BG35="","",VLOOKUP(BG35,SectInfo!$B:$N,9,FALSE))</f>
        <v/>
      </c>
      <c r="DD35" s="1047">
        <f t="shared" si="107"/>
        <v>0</v>
      </c>
      <c r="DE35" s="1048" t="str">
        <f>IF(BO35="","",VLOOKUP(BO35,SectInfo!$B:$N,12,FALSE))</f>
        <v/>
      </c>
      <c r="DF35" s="1046" t="str">
        <f>IF(BO35="","",IF(ISBLANK(CA35),VLOOKUP(BO35,SectInfo!$B:$N,13,FALSE),CA35))</f>
        <v/>
      </c>
      <c r="DG35" s="1046" t="str">
        <f>IF(BO35="","",IF(VLOOKUP(BO35,SectInfo!$B:$N,5,FALSE)="","R",UPPER(VLOOKUP(BO35,SectInfo!$B:$N,5,FALSE))))</f>
        <v/>
      </c>
      <c r="DH35" s="1046" t="str">
        <f>IF(BO35="","",IF(ISBLANK(CG35),VLOOKUP(BO35,SectInfo!$B:$N,6,FALSE),CG35))</f>
        <v/>
      </c>
      <c r="DI35" s="1276" t="str">
        <f>IF(BO35="","",IF(VLOOKUP(BO35,SectInfo!$B:$N,10,FALSE)="","",(VLOOKUP(BO35,SectInfo!$B:$N,10,FALSE)*-1)))</f>
        <v/>
      </c>
      <c r="DJ35" s="1443" t="str">
        <f>IF(BO35="","",IF(VLOOKUP(BO35,SectInfo!$B:$N,11,FALSE)="","2",(VLOOKUP(BO35,SectInfo!$B:$N,11,FALSE))))</f>
        <v/>
      </c>
      <c r="DK35" s="1046" t="str">
        <f>IF(BO35="","",IF(VLOOKUP(BO35,SectInfo!$B:$N,7,FALSE)="","",(VLOOKUP(BO35,SectInfo!$B:$N,7,FALSE)*-1)))</f>
        <v/>
      </c>
      <c r="DL35" s="1046" t="str">
        <f>IF(BO35="","",IF(VLOOKUP(BO35,SectInfo!$B:$N,8,FALSE)="",VLOOKUP(AU35,$DF$2:$DN$9,6,FALSE),(VLOOKUP(BO35,SectInfo!$B:$N,8,FALSE))))</f>
        <v/>
      </c>
      <c r="DM35" s="1046" t="str">
        <f>IF(BO35="","",VLOOKUP(BO35,SectInfo!$B:$N,9,FALSE))</f>
        <v/>
      </c>
      <c r="DN35" s="1047">
        <f t="shared" si="108"/>
        <v>0</v>
      </c>
      <c r="DO35" s="1049">
        <f t="shared" si="55"/>
        <v>0</v>
      </c>
      <c r="DP35" s="1053" t="str">
        <f t="shared" si="56"/>
        <v/>
      </c>
      <c r="DQ35" s="1053" t="str">
        <f t="shared" si="57"/>
        <v/>
      </c>
      <c r="DR35" s="1053" t="str">
        <f t="shared" si="58"/>
        <v/>
      </c>
      <c r="DS35" s="1052">
        <f t="shared" si="59"/>
        <v>0</v>
      </c>
      <c r="DT35" s="1052">
        <f t="shared" si="119"/>
        <v>0</v>
      </c>
      <c r="DU35" s="1052" t="str">
        <f t="shared" si="120"/>
        <v/>
      </c>
      <c r="DV35" s="1053" t="str">
        <f t="shared" si="60"/>
        <v/>
      </c>
      <c r="DW35" s="1053" t="str">
        <f t="shared" si="61"/>
        <v/>
      </c>
      <c r="DX35" s="1269">
        <f t="shared" si="109"/>
        <v>0</v>
      </c>
      <c r="DY35" s="1053">
        <f t="shared" si="110"/>
        <v>0</v>
      </c>
      <c r="DZ35" s="1052">
        <f t="shared" si="121"/>
        <v>0</v>
      </c>
      <c r="EA35" s="1052" t="str">
        <f t="shared" si="111"/>
        <v/>
      </c>
      <c r="EB35" s="1053" t="str">
        <f t="shared" si="62"/>
        <v/>
      </c>
      <c r="EC35" s="1053" t="str">
        <f t="shared" si="63"/>
        <v/>
      </c>
      <c r="ED35" s="1269">
        <f t="shared" si="112"/>
        <v>0</v>
      </c>
      <c r="EE35" s="1090" t="str">
        <f t="shared" si="117"/>
        <v/>
      </c>
      <c r="EF35" s="1053" t="str">
        <f t="shared" si="64"/>
        <v/>
      </c>
      <c r="EG35" s="1053" t="str">
        <f t="shared" si="65"/>
        <v/>
      </c>
      <c r="EH35" s="1053" t="e">
        <f t="shared" si="66"/>
        <v>#N/A</v>
      </c>
      <c r="EI35" s="1053" t="e">
        <f t="shared" si="67"/>
        <v>#N/A</v>
      </c>
      <c r="EJ35" s="1053" t="str">
        <f t="shared" si="68"/>
        <v/>
      </c>
      <c r="EK35" s="1053" t="str">
        <f t="shared" si="68"/>
        <v/>
      </c>
      <c r="EL35" s="1090" t="str">
        <f t="shared" si="118"/>
        <v/>
      </c>
      <c r="EM35" s="1053" t="str">
        <f t="shared" si="69"/>
        <v/>
      </c>
      <c r="EN35" s="1053" t="str">
        <f t="shared" si="70"/>
        <v/>
      </c>
      <c r="EO35" s="1053" t="e">
        <f t="shared" si="71"/>
        <v>#N/A</v>
      </c>
      <c r="EP35" s="1053" t="e">
        <f t="shared" si="72"/>
        <v>#N/A</v>
      </c>
      <c r="EQ35" s="1053" t="str">
        <f t="shared" si="73"/>
        <v/>
      </c>
      <c r="ER35" s="1053" t="str">
        <f t="shared" si="73"/>
        <v/>
      </c>
      <c r="ES35" s="1053" t="str">
        <f t="shared" si="74"/>
        <v/>
      </c>
      <c r="ET35" s="1053" t="str">
        <f t="shared" si="75"/>
        <v/>
      </c>
      <c r="EU35" s="1061" t="str">
        <f t="shared" si="76"/>
        <v/>
      </c>
      <c r="EV35" s="1055" t="str">
        <f t="shared" si="123"/>
        <v/>
      </c>
      <c r="EW35" s="1061"/>
      <c r="EX35" s="1061" t="str">
        <f>IF(AND(CU35="G", ISBLANK(BK35), ISBLANK(BL35)),VLOOKUP(MIN(BH35:BI35),TblJoistSize!$M$3:$N$10,2),IF(OR(CU35="B",CU35="G"),MIN(BK35:BL35),""))</f>
        <v/>
      </c>
      <c r="EY35" s="1061" t="str">
        <f>IF(AND(CU35="G", ISBLANK(BK35), ISBLANK(BL35)),VLOOKUP(MAX(BH35:BI35),TblJoistSize!$M$3:$N$10,2),IF(OR(CU35="B",CU35="G"),MAX(BK35:BL35),""))</f>
        <v/>
      </c>
      <c r="EZ35" s="1061" t="str">
        <f t="shared" si="77"/>
        <v/>
      </c>
      <c r="FA35" s="1061" t="str">
        <f>IF(AND(DE35="G", ISBLANK(BS35), ISBLANK(BT35)),VLOOKUP(MIN(BP35:BQ35),TblJoistSize!$M$3:$N$10,2),IF(OR(DE35="B", DE35="G"),MIN(BS35:BT35),""))</f>
        <v/>
      </c>
      <c r="FB35" s="1061" t="str">
        <f>IF(AND(DE35="G", ISBLANK(BS35), ISBLANK(BT35)),VLOOKUP(MAX(BP35:BQ35),TblJoistSize!$M$3:$N$10,2),IF(OR(DE35="B", DE35="G"),MAX(BS35:BT35),""))</f>
        <v/>
      </c>
      <c r="FC35" s="1061" t="str">
        <f t="shared" si="78"/>
        <v/>
      </c>
      <c r="FD35" s="1053">
        <f t="shared" si="79"/>
        <v>0</v>
      </c>
      <c r="FE35" s="1053">
        <f t="shared" si="80"/>
        <v>0</v>
      </c>
      <c r="FF35" s="1052">
        <f t="shared" si="81"/>
        <v>0</v>
      </c>
      <c r="FG35" s="1052" t="str">
        <f t="shared" si="82"/>
        <v/>
      </c>
      <c r="FH35" s="1053" t="str">
        <f t="shared" si="83"/>
        <v/>
      </c>
      <c r="FI35" s="1053">
        <f t="shared" si="84"/>
        <v>0</v>
      </c>
      <c r="FJ35" s="1053">
        <f t="shared" si="85"/>
        <v>0</v>
      </c>
      <c r="FK35" s="1052">
        <f t="shared" si="86"/>
        <v>0</v>
      </c>
      <c r="FL35" s="1052" t="str">
        <f t="shared" si="87"/>
        <v/>
      </c>
      <c r="FM35" s="1053" t="str">
        <f t="shared" si="88"/>
        <v/>
      </c>
      <c r="FN35" s="1053" t="e">
        <f t="shared" si="113"/>
        <v>#VALUE!</v>
      </c>
      <c r="FO35" s="1062" t="e">
        <f t="shared" si="89"/>
        <v>#VALUE!</v>
      </c>
      <c r="FP35" s="1062" t="e">
        <f t="shared" si="90"/>
        <v>#VALUE!</v>
      </c>
      <c r="FQ35" s="1063" t="e">
        <f t="shared" si="91"/>
        <v>#VALUE!</v>
      </c>
      <c r="FR35" s="1064" t="e">
        <f t="shared" si="92"/>
        <v>#VALUE!</v>
      </c>
      <c r="FS35" s="1065" t="str">
        <f t="shared" si="93"/>
        <v/>
      </c>
      <c r="FT35" s="1066" t="str">
        <f t="shared" si="94"/>
        <v/>
      </c>
      <c r="FU35" s="1105">
        <f t="shared" si="95"/>
        <v>0</v>
      </c>
      <c r="FV35" s="1106">
        <f t="shared" si="96"/>
        <v>0</v>
      </c>
      <c r="GA35" s="1975" t="str">
        <f t="shared" si="97"/>
        <v/>
      </c>
      <c r="GB35" s="1976" t="str">
        <f t="shared" si="98"/>
        <v/>
      </c>
      <c r="GC35" s="1977" t="str">
        <f t="shared" si="99"/>
        <v/>
      </c>
      <c r="GD35" s="1978" t="str">
        <f t="shared" si="100"/>
        <v/>
      </c>
      <c r="GE35" s="1979" t="str">
        <f t="shared" si="101"/>
        <v/>
      </c>
      <c r="GF35" s="1980" t="str">
        <f t="shared" si="102"/>
        <v/>
      </c>
      <c r="GG35" s="1453"/>
      <c r="GH35" s="1454"/>
      <c r="GI35" s="1453"/>
      <c r="GJ35" s="1454"/>
      <c r="GK35" s="1407">
        <f t="shared" si="103"/>
        <v>0</v>
      </c>
      <c r="GL35" s="1407" t="e">
        <f t="shared" si="104"/>
        <v>#VALUE!</v>
      </c>
      <c r="GM35" s="1408" t="e">
        <f>IF(ABS(GK35-GL35)&gt;='Job Info.'!$L$22,ABS(GK35-GL35),0)</f>
        <v>#VALUE!</v>
      </c>
      <c r="GZ35" s="497"/>
      <c r="HA35" s="1640"/>
      <c r="HB35" s="1641"/>
      <c r="HC35" s="1641"/>
      <c r="HD35" s="1642"/>
      <c r="HE35" s="1643"/>
      <c r="HF35" s="1641"/>
      <c r="HG35" s="1641"/>
      <c r="HH35" s="1641"/>
      <c r="HI35" s="1644"/>
      <c r="HJ35" s="1641"/>
      <c r="HK35" s="1641"/>
      <c r="HL35" s="1641"/>
      <c r="HM35" s="1641"/>
      <c r="HN35" s="1641"/>
      <c r="HO35" s="1641"/>
      <c r="HP35" s="1641"/>
      <c r="HQ35" s="1644"/>
      <c r="HR35" s="1641"/>
      <c r="HS35" s="1641"/>
      <c r="HT35" s="1641"/>
      <c r="HU35" s="1641"/>
      <c r="HV35" s="1641"/>
      <c r="HW35" s="1643"/>
      <c r="HX35" s="1643"/>
      <c r="HY35" s="1643"/>
      <c r="HZ35" s="1643"/>
      <c r="IA35" s="1643"/>
      <c r="IB35" s="1643"/>
      <c r="IC35" s="1643"/>
      <c r="ID35" s="1643"/>
      <c r="IE35" s="1643"/>
      <c r="IF35" s="1645"/>
      <c r="IG35" s="497"/>
      <c r="IH35" s="497"/>
      <c r="II35" s="497"/>
    </row>
    <row r="36" spans="1:243" ht="12.6" customHeight="1" x14ac:dyDescent="0.25">
      <c r="A36" s="1471" t="str">
        <f t="shared" si="1"/>
        <v/>
      </c>
      <c r="B36" s="1473" t="str">
        <f t="shared" si="2"/>
        <v/>
      </c>
      <c r="C36" s="1473" t="str">
        <f t="shared" si="3"/>
        <v/>
      </c>
      <c r="D36" s="1909" t="str">
        <f t="shared" si="4"/>
        <v/>
      </c>
      <c r="E36" s="1964" t="str">
        <f t="shared" si="5"/>
        <v/>
      </c>
      <c r="F36" s="1917" t="str">
        <f t="shared" si="6"/>
        <v/>
      </c>
      <c r="G36" s="1910" t="str">
        <f t="shared" si="7"/>
        <v/>
      </c>
      <c r="H36" s="1965" t="str">
        <f t="shared" si="8"/>
        <v/>
      </c>
      <c r="I36" s="1909" t="str">
        <f t="shared" si="9"/>
        <v/>
      </c>
      <c r="J36" s="1910" t="str">
        <f t="shared" si="10"/>
        <v/>
      </c>
      <c r="K36" s="1966" t="str">
        <f t="shared" si="11"/>
        <v/>
      </c>
      <c r="L36" s="1915" t="str">
        <f t="shared" si="12"/>
        <v/>
      </c>
      <c r="M36" s="1961" t="str">
        <f t="shared" si="13"/>
        <v/>
      </c>
      <c r="N36" s="1917" t="str">
        <f t="shared" si="14"/>
        <v/>
      </c>
      <c r="O36" s="1910" t="str">
        <f t="shared" si="15"/>
        <v/>
      </c>
      <c r="P36" s="1908" t="str">
        <f t="shared" si="16"/>
        <v/>
      </c>
      <c r="Q36" s="1909" t="str">
        <f t="shared" si="17"/>
        <v/>
      </c>
      <c r="R36" s="1910" t="str">
        <f t="shared" si="18"/>
        <v/>
      </c>
      <c r="S36" s="1919" t="str">
        <f t="shared" si="19"/>
        <v/>
      </c>
      <c r="T36" s="1917" t="str">
        <f t="shared" si="20"/>
        <v/>
      </c>
      <c r="U36" s="1910" t="str">
        <f t="shared" si="21"/>
        <v/>
      </c>
      <c r="V36" s="1909" t="str">
        <f t="shared" si="22"/>
        <v/>
      </c>
      <c r="W36" s="1910" t="str">
        <f t="shared" si="23"/>
        <v/>
      </c>
      <c r="X36" s="1914">
        <f t="shared" si="24"/>
        <v>0</v>
      </c>
      <c r="Y36" s="1967" t="str">
        <f t="shared" si="25"/>
        <v/>
      </c>
      <c r="Z36" s="1968" t="str">
        <f t="shared" si="26"/>
        <v/>
      </c>
      <c r="AA36" s="1981"/>
      <c r="AC36" s="1226" t="b">
        <v>0</v>
      </c>
      <c r="AD36" s="525">
        <f t="shared" si="27"/>
        <v>0</v>
      </c>
      <c r="AE36" s="526">
        <f t="shared" si="28"/>
        <v>0</v>
      </c>
      <c r="AF36" s="526">
        <f t="shared" si="29"/>
        <v>0</v>
      </c>
      <c r="AG36" s="526">
        <f t="shared" si="30"/>
        <v>0</v>
      </c>
      <c r="AH36" s="527">
        <f t="shared" si="31"/>
        <v>0</v>
      </c>
      <c r="AI36" s="528" t="b">
        <v>0</v>
      </c>
      <c r="AJ36" s="284">
        <f t="shared" si="124"/>
        <v>0</v>
      </c>
      <c r="AK36" s="284" t="str">
        <f t="shared" si="32"/>
        <v/>
      </c>
      <c r="AL36" s="1202" t="str">
        <f t="shared" si="33"/>
        <v/>
      </c>
      <c r="AM36" s="284" t="str">
        <f t="shared" si="34"/>
        <v/>
      </c>
      <c r="AN36" s="284" t="str">
        <f t="shared" si="35"/>
        <v/>
      </c>
      <c r="AO36" s="284" t="str">
        <f t="shared" si="36"/>
        <v/>
      </c>
      <c r="AP36" s="1063" t="b">
        <f>IF(ISERROR(AJ36),FALSE,IF(OR(AJ36=0,ISERROR(AL36),ISERROR(AM36),ISERROR(AN36),ISERROR(AO36)),FALSE,IF(AL36&lt;&gt;"",IF(ISERROR(VLOOKUP(SUBSTITUTE(SUBSTITUTE(C36,"R",""),"A",""),TblJoistSize!$A:$A,1,FALSE)),FALSE,TRUE),TRUE)))</f>
        <v>0</v>
      </c>
      <c r="AQ36" s="1305" t="e">
        <f t="shared" si="37"/>
        <v>#N/A</v>
      </c>
      <c r="AR36" s="1305" t="b">
        <f t="shared" si="38"/>
        <v>0</v>
      </c>
      <c r="AS36" s="1305" t="e">
        <f t="shared" si="39"/>
        <v>#N/A</v>
      </c>
      <c r="AT36" s="1305" t="b">
        <f t="shared" si="40"/>
        <v>0</v>
      </c>
      <c r="AU36" s="1203" t="str">
        <f t="shared" si="41"/>
        <v/>
      </c>
      <c r="AV36" s="1063" t="str">
        <f t="shared" si="42"/>
        <v/>
      </c>
      <c r="AW36" s="1063" t="str">
        <f t="shared" si="105"/>
        <v/>
      </c>
      <c r="AX36" s="1063" t="str">
        <f t="shared" si="114"/>
        <v/>
      </c>
      <c r="AY36" s="554" t="b">
        <f t="shared" si="43"/>
        <v>0</v>
      </c>
      <c r="AZ36" s="1090" t="str">
        <f t="shared" si="106"/>
        <v/>
      </c>
      <c r="BA36" s="674"/>
      <c r="BB36" s="842"/>
      <c r="BC36" s="894"/>
      <c r="BD36" s="926"/>
      <c r="BE36" s="927"/>
      <c r="BF36" s="928"/>
      <c r="BG36" s="901"/>
      <c r="BH36" s="1244"/>
      <c r="BI36" s="1245"/>
      <c r="BJ36" s="929"/>
      <c r="BK36" s="902"/>
      <c r="BL36" s="903"/>
      <c r="BM36" s="904"/>
      <c r="BN36" s="905"/>
      <c r="BO36" s="901"/>
      <c r="BP36" s="902"/>
      <c r="BQ36" s="903"/>
      <c r="BR36" s="929"/>
      <c r="BS36" s="902"/>
      <c r="BT36" s="903"/>
      <c r="BU36" s="904"/>
      <c r="BV36" s="905"/>
      <c r="BW36" s="906"/>
      <c r="BX36" s="930"/>
      <c r="BY36" s="931"/>
      <c r="BZ36" s="932"/>
      <c r="CA36" s="933"/>
      <c r="CB36" s="932"/>
      <c r="CC36" s="933"/>
      <c r="CD36" s="934" t="str">
        <f t="shared" si="44"/>
        <v/>
      </c>
      <c r="CE36" s="935" t="str">
        <f t="shared" si="45"/>
        <v/>
      </c>
      <c r="CF36" s="1149"/>
      <c r="CG36" s="1150"/>
      <c r="CH36" s="792" t="str">
        <f t="shared" si="46"/>
        <v/>
      </c>
      <c r="CI36" s="793" t="str">
        <f t="shared" si="47"/>
        <v/>
      </c>
      <c r="CJ36" s="794" t="str">
        <f t="shared" si="122"/>
        <v/>
      </c>
      <c r="CK36" s="1086" t="str">
        <f t="shared" si="48"/>
        <v/>
      </c>
      <c r="CL36" s="1081" t="str">
        <f t="shared" si="115"/>
        <v/>
      </c>
      <c r="CM36" s="1082" t="str">
        <f t="shared" si="116"/>
        <v/>
      </c>
      <c r="CN36" s="758" t="str">
        <f t="shared" si="49"/>
        <v/>
      </c>
      <c r="CO36" s="759" t="str">
        <f t="shared" si="50"/>
        <v/>
      </c>
      <c r="CP36" s="762" t="str">
        <f t="shared" si="51"/>
        <v/>
      </c>
      <c r="CQ36" s="763" t="str">
        <f t="shared" si="52"/>
        <v/>
      </c>
      <c r="CR36" s="953" t="str">
        <f t="shared" si="53"/>
        <v/>
      </c>
      <c r="CS36" s="954" t="str">
        <f t="shared" si="54"/>
        <v/>
      </c>
      <c r="CU36" s="135" t="str">
        <f>IF(BG36="","",VLOOKUP(BG36,SectInfo!$B:$N,12,FALSE))</f>
        <v/>
      </c>
      <c r="CV36" s="136" t="str">
        <f>IF(BG36="","",IF(ISBLANK(BZ36),VLOOKUP(BG36,SectInfo!$B:$N,13,FALSE),BZ36))</f>
        <v/>
      </c>
      <c r="CW36" s="136" t="str">
        <f>IF(BG36="","",IF(VLOOKUP(BG36,SectInfo!$B:$N,5,FALSE)="","R",UPPER(VLOOKUP(BG36,SectInfo!$B:$N,5,FALSE))))</f>
        <v/>
      </c>
      <c r="CX36" s="1046" t="str">
        <f>IF(BG36="","",IF(ISBLANK(CF36),VLOOKUP(BG36,SectInfo!$B:$N,6,FALSE),CF36))</f>
        <v/>
      </c>
      <c r="CY36" s="136" t="str">
        <f>IF(BG36="","",IF(VLOOKUP(BG36,SectInfo!$B:$N,10,FALSE)="","",(VLOOKUP(BG36,SectInfo!$B:$N,10,FALSE)*-1)))</f>
        <v/>
      </c>
      <c r="CZ36" s="1443" t="str">
        <f>IF(BG36="","",IF(VLOOKUP(BG36,SectInfo!$B:$N,11,FALSE)="","2",(VLOOKUP(BG36,SectInfo!$B:$N,11,FALSE))))</f>
        <v/>
      </c>
      <c r="DA36" s="136" t="str">
        <f>IF(BG36="","",IF(VLOOKUP(BG36,SectInfo!$B:$N,7,FALSE)="","",(VLOOKUP(BG36,SectInfo!$B:$N,7,FALSE)*-1)))</f>
        <v/>
      </c>
      <c r="DB36" s="1046" t="str">
        <f>IF(BG36="","",IF(VLOOKUP(BG36,SectInfo!$B:$N,8,FALSE)="",VLOOKUP(AU36,$DF$2:$DN$9,6,FALSE),(VLOOKUP(BG36,SectInfo!$B:$N,8,FALSE))))</f>
        <v/>
      </c>
      <c r="DC36" s="1046" t="str">
        <f>IF(BG36="","",VLOOKUP(BG36,SectInfo!$B:$N,9,FALSE))</f>
        <v/>
      </c>
      <c r="DD36" s="1047">
        <f t="shared" si="107"/>
        <v>0</v>
      </c>
      <c r="DE36" s="1048" t="str">
        <f>IF(BO36="","",VLOOKUP(BO36,SectInfo!$B:$N,12,FALSE))</f>
        <v/>
      </c>
      <c r="DF36" s="1046" t="str">
        <f>IF(BO36="","",IF(ISBLANK(CA36),VLOOKUP(BO36,SectInfo!$B:$N,13,FALSE),CA36))</f>
        <v/>
      </c>
      <c r="DG36" s="1046" t="str">
        <f>IF(BO36="","",IF(VLOOKUP(BO36,SectInfo!$B:$N,5,FALSE)="","R",UPPER(VLOOKUP(BO36,SectInfo!$B:$N,5,FALSE))))</f>
        <v/>
      </c>
      <c r="DH36" s="1046" t="str">
        <f>IF(BO36="","",IF(ISBLANK(CG36),VLOOKUP(BO36,SectInfo!$B:$N,6,FALSE),CG36))</f>
        <v/>
      </c>
      <c r="DI36" s="1276" t="str">
        <f>IF(BO36="","",IF(VLOOKUP(BO36,SectInfo!$B:$N,10,FALSE)="","",(VLOOKUP(BO36,SectInfo!$B:$N,10,FALSE)*-1)))</f>
        <v/>
      </c>
      <c r="DJ36" s="1443" t="str">
        <f>IF(BO36="","",IF(VLOOKUP(BO36,SectInfo!$B:$N,11,FALSE)="","2",(VLOOKUP(BO36,SectInfo!$B:$N,11,FALSE))))</f>
        <v/>
      </c>
      <c r="DK36" s="1046" t="str">
        <f>IF(BO36="","",IF(VLOOKUP(BO36,SectInfo!$B:$N,7,FALSE)="","",(VLOOKUP(BO36,SectInfo!$B:$N,7,FALSE)*-1)))</f>
        <v/>
      </c>
      <c r="DL36" s="1046" t="str">
        <f>IF(BO36="","",IF(VLOOKUP(BO36,SectInfo!$B:$N,8,FALSE)="",VLOOKUP(AU36,$DF$2:$DN$9,6,FALSE),(VLOOKUP(BO36,SectInfo!$B:$N,8,FALSE))))</f>
        <v/>
      </c>
      <c r="DM36" s="1046" t="str">
        <f>IF(BO36="","",VLOOKUP(BO36,SectInfo!$B:$N,9,FALSE))</f>
        <v/>
      </c>
      <c r="DN36" s="1047">
        <f t="shared" si="108"/>
        <v>0</v>
      </c>
      <c r="DO36" s="1049">
        <f t="shared" si="55"/>
        <v>0</v>
      </c>
      <c r="DP36" s="1053" t="str">
        <f t="shared" si="56"/>
        <v/>
      </c>
      <c r="DQ36" s="1053" t="str">
        <f t="shared" si="57"/>
        <v/>
      </c>
      <c r="DR36" s="1053" t="str">
        <f t="shared" si="58"/>
        <v/>
      </c>
      <c r="DS36" s="1052">
        <f t="shared" si="59"/>
        <v>0</v>
      </c>
      <c r="DT36" s="1052">
        <f t="shared" si="119"/>
        <v>0</v>
      </c>
      <c r="DU36" s="1052" t="str">
        <f t="shared" si="120"/>
        <v/>
      </c>
      <c r="DV36" s="1053" t="str">
        <f t="shared" si="60"/>
        <v/>
      </c>
      <c r="DW36" s="1053" t="str">
        <f t="shared" si="61"/>
        <v/>
      </c>
      <c r="DX36" s="1269">
        <f t="shared" si="109"/>
        <v>0</v>
      </c>
      <c r="DY36" s="1053">
        <f t="shared" si="110"/>
        <v>0</v>
      </c>
      <c r="DZ36" s="1052">
        <f t="shared" si="121"/>
        <v>0</v>
      </c>
      <c r="EA36" s="1052" t="str">
        <f t="shared" si="111"/>
        <v/>
      </c>
      <c r="EB36" s="1053" t="str">
        <f t="shared" si="62"/>
        <v/>
      </c>
      <c r="EC36" s="1053" t="str">
        <f t="shared" si="63"/>
        <v/>
      </c>
      <c r="ED36" s="1269">
        <f t="shared" si="112"/>
        <v>0</v>
      </c>
      <c r="EE36" s="1090" t="str">
        <f t="shared" si="117"/>
        <v/>
      </c>
      <c r="EF36" s="1053" t="str">
        <f t="shared" si="64"/>
        <v/>
      </c>
      <c r="EG36" s="1053" t="str">
        <f t="shared" si="65"/>
        <v/>
      </c>
      <c r="EH36" s="1053" t="e">
        <f t="shared" si="66"/>
        <v>#N/A</v>
      </c>
      <c r="EI36" s="1053" t="e">
        <f t="shared" si="67"/>
        <v>#N/A</v>
      </c>
      <c r="EJ36" s="1053" t="str">
        <f t="shared" si="68"/>
        <v/>
      </c>
      <c r="EK36" s="1053" t="str">
        <f t="shared" si="68"/>
        <v/>
      </c>
      <c r="EL36" s="1090" t="str">
        <f t="shared" si="118"/>
        <v/>
      </c>
      <c r="EM36" s="1053" t="str">
        <f t="shared" si="69"/>
        <v/>
      </c>
      <c r="EN36" s="1053" t="str">
        <f t="shared" si="70"/>
        <v/>
      </c>
      <c r="EO36" s="1053" t="e">
        <f t="shared" si="71"/>
        <v>#N/A</v>
      </c>
      <c r="EP36" s="1053" t="e">
        <f t="shared" si="72"/>
        <v>#N/A</v>
      </c>
      <c r="EQ36" s="1053" t="str">
        <f t="shared" si="73"/>
        <v/>
      </c>
      <c r="ER36" s="1053" t="str">
        <f t="shared" si="73"/>
        <v/>
      </c>
      <c r="ES36" s="1053" t="str">
        <f t="shared" si="74"/>
        <v/>
      </c>
      <c r="ET36" s="1053" t="str">
        <f t="shared" si="75"/>
        <v/>
      </c>
      <c r="EU36" s="1061" t="str">
        <f t="shared" si="76"/>
        <v/>
      </c>
      <c r="EV36" s="1055" t="str">
        <f t="shared" si="123"/>
        <v/>
      </c>
      <c r="EW36" s="1061"/>
      <c r="EX36" s="1061" t="str">
        <f>IF(AND(CU36="G", ISBLANK(BK36), ISBLANK(BL36)),VLOOKUP(MIN(BH36:BI36),TblJoistSize!$M$3:$N$10,2),IF(OR(CU36="B",CU36="G"),MIN(BK36:BL36),""))</f>
        <v/>
      </c>
      <c r="EY36" s="1061" t="str">
        <f>IF(AND(CU36="G", ISBLANK(BK36), ISBLANK(BL36)),VLOOKUP(MAX(BH36:BI36),TblJoistSize!$M$3:$N$10,2),IF(OR(CU36="B",CU36="G"),MAX(BK36:BL36),""))</f>
        <v/>
      </c>
      <c r="EZ36" s="1061" t="str">
        <f t="shared" si="77"/>
        <v/>
      </c>
      <c r="FA36" s="1061" t="str">
        <f>IF(AND(DE36="G", ISBLANK(BS36), ISBLANK(BT36)),VLOOKUP(MIN(BP36:BQ36),TblJoistSize!$M$3:$N$10,2),IF(OR(DE36="B", DE36="G"),MIN(BS36:BT36),""))</f>
        <v/>
      </c>
      <c r="FB36" s="1061" t="str">
        <f>IF(AND(DE36="G", ISBLANK(BS36), ISBLANK(BT36)),VLOOKUP(MAX(BP36:BQ36),TblJoistSize!$M$3:$N$10,2),IF(OR(DE36="B", DE36="G"),MAX(BS36:BT36),""))</f>
        <v/>
      </c>
      <c r="FC36" s="1061" t="str">
        <f t="shared" si="78"/>
        <v/>
      </c>
      <c r="FD36" s="1053">
        <f t="shared" si="79"/>
        <v>0</v>
      </c>
      <c r="FE36" s="1053">
        <f t="shared" si="80"/>
        <v>0</v>
      </c>
      <c r="FF36" s="1052">
        <f t="shared" si="81"/>
        <v>0</v>
      </c>
      <c r="FG36" s="1052" t="str">
        <f t="shared" si="82"/>
        <v/>
      </c>
      <c r="FH36" s="1053" t="str">
        <f t="shared" si="83"/>
        <v/>
      </c>
      <c r="FI36" s="1053">
        <f t="shared" si="84"/>
        <v>0</v>
      </c>
      <c r="FJ36" s="1053">
        <f t="shared" si="85"/>
        <v>0</v>
      </c>
      <c r="FK36" s="1052">
        <f t="shared" si="86"/>
        <v>0</v>
      </c>
      <c r="FL36" s="1052" t="str">
        <f t="shared" si="87"/>
        <v/>
      </c>
      <c r="FM36" s="1053" t="str">
        <f t="shared" si="88"/>
        <v/>
      </c>
      <c r="FN36" s="1053" t="e">
        <f t="shared" si="113"/>
        <v>#VALUE!</v>
      </c>
      <c r="FO36" s="1062" t="e">
        <f t="shared" si="89"/>
        <v>#VALUE!</v>
      </c>
      <c r="FP36" s="1062" t="e">
        <f t="shared" si="90"/>
        <v>#VALUE!</v>
      </c>
      <c r="FQ36" s="1063" t="e">
        <f t="shared" si="91"/>
        <v>#VALUE!</v>
      </c>
      <c r="FR36" s="1064" t="e">
        <f t="shared" si="92"/>
        <v>#VALUE!</v>
      </c>
      <c r="FS36" s="1065" t="str">
        <f t="shared" si="93"/>
        <v/>
      </c>
      <c r="FT36" s="1066" t="str">
        <f t="shared" si="94"/>
        <v/>
      </c>
      <c r="FU36" s="1105">
        <f t="shared" si="95"/>
        <v>0</v>
      </c>
      <c r="FV36" s="1106">
        <f t="shared" si="96"/>
        <v>0</v>
      </c>
      <c r="GA36" s="1975" t="str">
        <f t="shared" si="97"/>
        <v/>
      </c>
      <c r="GB36" s="1976" t="str">
        <f t="shared" si="98"/>
        <v/>
      </c>
      <c r="GC36" s="1977" t="str">
        <f t="shared" si="99"/>
        <v/>
      </c>
      <c r="GD36" s="1978" t="str">
        <f t="shared" si="100"/>
        <v/>
      </c>
      <c r="GE36" s="1979" t="str">
        <f t="shared" si="101"/>
        <v/>
      </c>
      <c r="GF36" s="1980" t="str">
        <f t="shared" si="102"/>
        <v/>
      </c>
      <c r="GG36" s="1453"/>
      <c r="GH36" s="1454"/>
      <c r="GI36" s="1453"/>
      <c r="GJ36" s="1454"/>
      <c r="GK36" s="1407">
        <f t="shared" si="103"/>
        <v>0</v>
      </c>
      <c r="GL36" s="1407" t="e">
        <f t="shared" si="104"/>
        <v>#VALUE!</v>
      </c>
      <c r="GM36" s="1408" t="e">
        <f>IF(ABS(GK36-GL36)&gt;='Job Info.'!$L$22,ABS(GK36-GL36),0)</f>
        <v>#VALUE!</v>
      </c>
      <c r="GZ36" s="497"/>
      <c r="HA36" s="1640"/>
      <c r="HB36" s="1641"/>
      <c r="HC36" s="1641"/>
      <c r="HD36" s="1642"/>
      <c r="HE36" s="1643"/>
      <c r="HF36" s="1641"/>
      <c r="HG36" s="1641"/>
      <c r="HH36" s="1641"/>
      <c r="HI36" s="1644"/>
      <c r="HJ36" s="1641"/>
      <c r="HK36" s="1641"/>
      <c r="HL36" s="1641"/>
      <c r="HM36" s="1641"/>
      <c r="HN36" s="1641"/>
      <c r="HO36" s="1641"/>
      <c r="HP36" s="1641"/>
      <c r="HQ36" s="1644"/>
      <c r="HR36" s="1641"/>
      <c r="HS36" s="1641"/>
      <c r="HT36" s="1641"/>
      <c r="HU36" s="1641"/>
      <c r="HV36" s="1641"/>
      <c r="HW36" s="1643"/>
      <c r="HX36" s="1643"/>
      <c r="HY36" s="1643"/>
      <c r="HZ36" s="1643"/>
      <c r="IA36" s="1643"/>
      <c r="IB36" s="1643"/>
      <c r="IC36" s="1643"/>
      <c r="ID36" s="1643"/>
      <c r="IE36" s="1643"/>
      <c r="IF36" s="1645"/>
      <c r="IG36" s="497"/>
      <c r="IH36" s="497"/>
      <c r="II36" s="497"/>
    </row>
    <row r="37" spans="1:243" ht="12.6" customHeight="1" x14ac:dyDescent="0.25">
      <c r="A37" s="1471" t="str">
        <f t="shared" si="1"/>
        <v/>
      </c>
      <c r="B37" s="1473" t="str">
        <f t="shared" si="2"/>
        <v/>
      </c>
      <c r="C37" s="1473" t="str">
        <f t="shared" si="3"/>
        <v/>
      </c>
      <c r="D37" s="1909" t="str">
        <f t="shared" si="4"/>
        <v/>
      </c>
      <c r="E37" s="1964" t="str">
        <f t="shared" si="5"/>
        <v/>
      </c>
      <c r="F37" s="1917" t="str">
        <f t="shared" si="6"/>
        <v/>
      </c>
      <c r="G37" s="1910" t="str">
        <f t="shared" si="7"/>
        <v/>
      </c>
      <c r="H37" s="1965" t="str">
        <f t="shared" si="8"/>
        <v/>
      </c>
      <c r="I37" s="1909" t="str">
        <f t="shared" si="9"/>
        <v/>
      </c>
      <c r="J37" s="1910" t="str">
        <f t="shared" si="10"/>
        <v/>
      </c>
      <c r="K37" s="1966" t="str">
        <f t="shared" si="11"/>
        <v/>
      </c>
      <c r="L37" s="1915" t="str">
        <f t="shared" si="12"/>
        <v/>
      </c>
      <c r="M37" s="1961" t="str">
        <f t="shared" si="13"/>
        <v/>
      </c>
      <c r="N37" s="1917" t="str">
        <f t="shared" si="14"/>
        <v/>
      </c>
      <c r="O37" s="1910" t="str">
        <f t="shared" si="15"/>
        <v/>
      </c>
      <c r="P37" s="1908" t="str">
        <f t="shared" si="16"/>
        <v/>
      </c>
      <c r="Q37" s="1909" t="str">
        <f t="shared" si="17"/>
        <v/>
      </c>
      <c r="R37" s="1910" t="str">
        <f t="shared" si="18"/>
        <v/>
      </c>
      <c r="S37" s="1919" t="str">
        <f t="shared" si="19"/>
        <v/>
      </c>
      <c r="T37" s="1917" t="str">
        <f t="shared" si="20"/>
        <v/>
      </c>
      <c r="U37" s="1910" t="str">
        <f t="shared" si="21"/>
        <v/>
      </c>
      <c r="V37" s="1909" t="str">
        <f t="shared" si="22"/>
        <v/>
      </c>
      <c r="W37" s="1910" t="str">
        <f t="shared" si="23"/>
        <v/>
      </c>
      <c r="X37" s="1914">
        <f t="shared" si="24"/>
        <v>0</v>
      </c>
      <c r="Y37" s="1967" t="str">
        <f t="shared" si="25"/>
        <v/>
      </c>
      <c r="Z37" s="1968" t="str">
        <f t="shared" si="26"/>
        <v/>
      </c>
      <c r="AA37" s="1981"/>
      <c r="AC37" s="1226" t="b">
        <v>0</v>
      </c>
      <c r="AD37" s="525">
        <f t="shared" si="27"/>
        <v>0</v>
      </c>
      <c r="AE37" s="526">
        <f t="shared" si="28"/>
        <v>0</v>
      </c>
      <c r="AF37" s="526">
        <f t="shared" si="29"/>
        <v>0</v>
      </c>
      <c r="AG37" s="526">
        <f t="shared" si="30"/>
        <v>0</v>
      </c>
      <c r="AH37" s="527">
        <f t="shared" si="31"/>
        <v>0</v>
      </c>
      <c r="AI37" s="528" t="b">
        <v>0</v>
      </c>
      <c r="AJ37" s="284">
        <f t="shared" si="124"/>
        <v>0</v>
      </c>
      <c r="AK37" s="284" t="str">
        <f t="shared" si="32"/>
        <v/>
      </c>
      <c r="AL37" s="1202" t="str">
        <f t="shared" si="33"/>
        <v/>
      </c>
      <c r="AM37" s="284" t="str">
        <f t="shared" si="34"/>
        <v/>
      </c>
      <c r="AN37" s="284" t="str">
        <f t="shared" si="35"/>
        <v/>
      </c>
      <c r="AO37" s="284" t="str">
        <f t="shared" si="36"/>
        <v/>
      </c>
      <c r="AP37" s="1063" t="b">
        <f>IF(ISERROR(AJ37),FALSE,IF(OR(AJ37=0,ISERROR(AL37),ISERROR(AM37),ISERROR(AN37),ISERROR(AO37)),FALSE,IF(AL37&lt;&gt;"",IF(ISERROR(VLOOKUP(SUBSTITUTE(SUBSTITUTE(C37,"R",""),"A",""),TblJoistSize!$A:$A,1,FALSE)),FALSE,TRUE),TRUE)))</f>
        <v>0</v>
      </c>
      <c r="AQ37" s="1305" t="e">
        <f t="shared" si="37"/>
        <v>#N/A</v>
      </c>
      <c r="AR37" s="1305" t="b">
        <f t="shared" si="38"/>
        <v>0</v>
      </c>
      <c r="AS37" s="1305" t="e">
        <f t="shared" si="39"/>
        <v>#N/A</v>
      </c>
      <c r="AT37" s="1305" t="b">
        <f t="shared" si="40"/>
        <v>0</v>
      </c>
      <c r="AU37" s="1203" t="str">
        <f t="shared" si="41"/>
        <v/>
      </c>
      <c r="AV37" s="1063" t="str">
        <f t="shared" si="42"/>
        <v/>
      </c>
      <c r="AW37" s="1063" t="str">
        <f t="shared" si="105"/>
        <v/>
      </c>
      <c r="AX37" s="1063" t="str">
        <f t="shared" si="114"/>
        <v/>
      </c>
      <c r="AY37" s="554" t="b">
        <f t="shared" si="43"/>
        <v>0</v>
      </c>
      <c r="AZ37" s="1090" t="str">
        <f t="shared" si="106"/>
        <v/>
      </c>
      <c r="BA37" s="674"/>
      <c r="BB37" s="842"/>
      <c r="BC37" s="894"/>
      <c r="BD37" s="926"/>
      <c r="BE37" s="927"/>
      <c r="BF37" s="928"/>
      <c r="BG37" s="901"/>
      <c r="BH37" s="1244"/>
      <c r="BI37" s="1245"/>
      <c r="BJ37" s="929"/>
      <c r="BK37" s="902"/>
      <c r="BL37" s="903"/>
      <c r="BM37" s="904"/>
      <c r="BN37" s="905"/>
      <c r="BO37" s="901"/>
      <c r="BP37" s="902"/>
      <c r="BQ37" s="903"/>
      <c r="BR37" s="929"/>
      <c r="BS37" s="902"/>
      <c r="BT37" s="903"/>
      <c r="BU37" s="904"/>
      <c r="BV37" s="905"/>
      <c r="BW37" s="906"/>
      <c r="BX37" s="930"/>
      <c r="BY37" s="931"/>
      <c r="BZ37" s="932"/>
      <c r="CA37" s="933"/>
      <c r="CB37" s="932"/>
      <c r="CC37" s="933"/>
      <c r="CD37" s="934" t="str">
        <f t="shared" si="44"/>
        <v/>
      </c>
      <c r="CE37" s="935" t="str">
        <f t="shared" si="45"/>
        <v/>
      </c>
      <c r="CF37" s="1149"/>
      <c r="CG37" s="1150"/>
      <c r="CH37" s="792" t="str">
        <f t="shared" si="46"/>
        <v/>
      </c>
      <c r="CI37" s="793" t="str">
        <f t="shared" si="47"/>
        <v/>
      </c>
      <c r="CJ37" s="794" t="str">
        <f t="shared" si="122"/>
        <v/>
      </c>
      <c r="CK37" s="1086" t="str">
        <f t="shared" si="48"/>
        <v/>
      </c>
      <c r="CL37" s="1081" t="str">
        <f t="shared" si="115"/>
        <v/>
      </c>
      <c r="CM37" s="1082" t="str">
        <f t="shared" si="116"/>
        <v/>
      </c>
      <c r="CN37" s="758" t="str">
        <f t="shared" si="49"/>
        <v/>
      </c>
      <c r="CO37" s="759" t="str">
        <f t="shared" si="50"/>
        <v/>
      </c>
      <c r="CP37" s="762" t="str">
        <f t="shared" si="51"/>
        <v/>
      </c>
      <c r="CQ37" s="763" t="str">
        <f t="shared" si="52"/>
        <v/>
      </c>
      <c r="CR37" s="953" t="str">
        <f t="shared" si="53"/>
        <v/>
      </c>
      <c r="CS37" s="954" t="str">
        <f t="shared" si="54"/>
        <v/>
      </c>
      <c r="CU37" s="135" t="str">
        <f>IF(BG37="","",VLOOKUP(BG37,SectInfo!$B:$N,12,FALSE))</f>
        <v/>
      </c>
      <c r="CV37" s="136" t="str">
        <f>IF(BG37="","",IF(ISBLANK(BZ37),VLOOKUP(BG37,SectInfo!$B:$N,13,FALSE),BZ37))</f>
        <v/>
      </c>
      <c r="CW37" s="136" t="str">
        <f>IF(BG37="","",IF(VLOOKUP(BG37,SectInfo!$B:$N,5,FALSE)="","R",UPPER(VLOOKUP(BG37,SectInfo!$B:$N,5,FALSE))))</f>
        <v/>
      </c>
      <c r="CX37" s="1046" t="str">
        <f>IF(BG37="","",IF(ISBLANK(CF37),VLOOKUP(BG37,SectInfo!$B:$N,6,FALSE),CF37))</f>
        <v/>
      </c>
      <c r="CY37" s="136" t="str">
        <f>IF(BG37="","",IF(VLOOKUP(BG37,SectInfo!$B:$N,10,FALSE)="","",(VLOOKUP(BG37,SectInfo!$B:$N,10,FALSE)*-1)))</f>
        <v/>
      </c>
      <c r="CZ37" s="1443" t="str">
        <f>IF(BG37="","",IF(VLOOKUP(BG37,SectInfo!$B:$N,11,FALSE)="","2",(VLOOKUP(BG37,SectInfo!$B:$N,11,FALSE))))</f>
        <v/>
      </c>
      <c r="DA37" s="136" t="str">
        <f>IF(BG37="","",IF(VLOOKUP(BG37,SectInfo!$B:$N,7,FALSE)="","",(VLOOKUP(BG37,SectInfo!$B:$N,7,FALSE)*-1)))</f>
        <v/>
      </c>
      <c r="DB37" s="1046" t="str">
        <f>IF(BG37="","",IF(VLOOKUP(BG37,SectInfo!$B:$N,8,FALSE)="",VLOOKUP(AU37,$DF$2:$DN$9,6,FALSE),(VLOOKUP(BG37,SectInfo!$B:$N,8,FALSE))))</f>
        <v/>
      </c>
      <c r="DC37" s="1046" t="str">
        <f>IF(BG37="","",VLOOKUP(BG37,SectInfo!$B:$N,9,FALSE))</f>
        <v/>
      </c>
      <c r="DD37" s="1047">
        <f t="shared" si="107"/>
        <v>0</v>
      </c>
      <c r="DE37" s="1048" t="str">
        <f>IF(BO37="","",VLOOKUP(BO37,SectInfo!$B:$N,12,FALSE))</f>
        <v/>
      </c>
      <c r="DF37" s="1046" t="str">
        <f>IF(BO37="","",IF(ISBLANK(CA37),VLOOKUP(BO37,SectInfo!$B:$N,13,FALSE),CA37))</f>
        <v/>
      </c>
      <c r="DG37" s="1046" t="str">
        <f>IF(BO37="","",IF(VLOOKUP(BO37,SectInfo!$B:$N,5,FALSE)="","R",UPPER(VLOOKUP(BO37,SectInfo!$B:$N,5,FALSE))))</f>
        <v/>
      </c>
      <c r="DH37" s="1046" t="str">
        <f>IF(BO37="","",IF(ISBLANK(CG37),VLOOKUP(BO37,SectInfo!$B:$N,6,FALSE),CG37))</f>
        <v/>
      </c>
      <c r="DI37" s="1276" t="str">
        <f>IF(BO37="","",IF(VLOOKUP(BO37,SectInfo!$B:$N,10,FALSE)="","",(VLOOKUP(BO37,SectInfo!$B:$N,10,FALSE)*-1)))</f>
        <v/>
      </c>
      <c r="DJ37" s="1443" t="str">
        <f>IF(BO37="","",IF(VLOOKUP(BO37,SectInfo!$B:$N,11,FALSE)="","2",(VLOOKUP(BO37,SectInfo!$B:$N,11,FALSE))))</f>
        <v/>
      </c>
      <c r="DK37" s="1046" t="str">
        <f>IF(BO37="","",IF(VLOOKUP(BO37,SectInfo!$B:$N,7,FALSE)="","",(VLOOKUP(BO37,SectInfo!$B:$N,7,FALSE)*-1)))</f>
        <v/>
      </c>
      <c r="DL37" s="1046" t="str">
        <f>IF(BO37="","",IF(VLOOKUP(BO37,SectInfo!$B:$N,8,FALSE)="",VLOOKUP(AU37,$DF$2:$DN$9,6,FALSE),(VLOOKUP(BO37,SectInfo!$B:$N,8,FALSE))))</f>
        <v/>
      </c>
      <c r="DM37" s="1046" t="str">
        <f>IF(BO37="","",VLOOKUP(BO37,SectInfo!$B:$N,9,FALSE))</f>
        <v/>
      </c>
      <c r="DN37" s="1047">
        <f t="shared" si="108"/>
        <v>0</v>
      </c>
      <c r="DO37" s="1049">
        <f t="shared" si="55"/>
        <v>0</v>
      </c>
      <c r="DP37" s="1053" t="str">
        <f t="shared" si="56"/>
        <v/>
      </c>
      <c r="DQ37" s="1053" t="str">
        <f t="shared" si="57"/>
        <v/>
      </c>
      <c r="DR37" s="1053" t="str">
        <f t="shared" si="58"/>
        <v/>
      </c>
      <c r="DS37" s="1052">
        <f t="shared" si="59"/>
        <v>0</v>
      </c>
      <c r="DT37" s="1052">
        <f t="shared" si="119"/>
        <v>0</v>
      </c>
      <c r="DU37" s="1052" t="str">
        <f t="shared" si="120"/>
        <v/>
      </c>
      <c r="DV37" s="1053" t="str">
        <f t="shared" si="60"/>
        <v/>
      </c>
      <c r="DW37" s="1053" t="str">
        <f t="shared" si="61"/>
        <v/>
      </c>
      <c r="DX37" s="1269">
        <f t="shared" si="109"/>
        <v>0</v>
      </c>
      <c r="DY37" s="1053">
        <f t="shared" si="110"/>
        <v>0</v>
      </c>
      <c r="DZ37" s="1052">
        <f t="shared" si="121"/>
        <v>0</v>
      </c>
      <c r="EA37" s="1052" t="str">
        <f t="shared" si="111"/>
        <v/>
      </c>
      <c r="EB37" s="1053" t="str">
        <f t="shared" si="62"/>
        <v/>
      </c>
      <c r="EC37" s="1053" t="str">
        <f t="shared" si="63"/>
        <v/>
      </c>
      <c r="ED37" s="1269">
        <f t="shared" si="112"/>
        <v>0</v>
      </c>
      <c r="EE37" s="1090" t="str">
        <f t="shared" si="117"/>
        <v/>
      </c>
      <c r="EF37" s="1053" t="str">
        <f t="shared" si="64"/>
        <v/>
      </c>
      <c r="EG37" s="1053" t="str">
        <f t="shared" si="65"/>
        <v/>
      </c>
      <c r="EH37" s="1053" t="e">
        <f t="shared" si="66"/>
        <v>#N/A</v>
      </c>
      <c r="EI37" s="1053" t="e">
        <f t="shared" si="67"/>
        <v>#N/A</v>
      </c>
      <c r="EJ37" s="1053" t="str">
        <f t="shared" si="68"/>
        <v/>
      </c>
      <c r="EK37" s="1053" t="str">
        <f t="shared" si="68"/>
        <v/>
      </c>
      <c r="EL37" s="1090" t="str">
        <f t="shared" si="118"/>
        <v/>
      </c>
      <c r="EM37" s="1053" t="str">
        <f t="shared" si="69"/>
        <v/>
      </c>
      <c r="EN37" s="1053" t="str">
        <f t="shared" si="70"/>
        <v/>
      </c>
      <c r="EO37" s="1053" t="e">
        <f t="shared" si="71"/>
        <v>#N/A</v>
      </c>
      <c r="EP37" s="1053" t="e">
        <f t="shared" si="72"/>
        <v>#N/A</v>
      </c>
      <c r="EQ37" s="1053" t="str">
        <f t="shared" si="73"/>
        <v/>
      </c>
      <c r="ER37" s="1053" t="str">
        <f t="shared" si="73"/>
        <v/>
      </c>
      <c r="ES37" s="1053" t="str">
        <f t="shared" si="74"/>
        <v/>
      </c>
      <c r="ET37" s="1053" t="str">
        <f t="shared" si="75"/>
        <v/>
      </c>
      <c r="EU37" s="1061" t="str">
        <f t="shared" si="76"/>
        <v/>
      </c>
      <c r="EV37" s="1055" t="str">
        <f t="shared" si="123"/>
        <v/>
      </c>
      <c r="EW37" s="1061"/>
      <c r="EX37" s="1061" t="str">
        <f>IF(AND(CU37="G", ISBLANK(BK37), ISBLANK(BL37)),VLOOKUP(MIN(BH37:BI37),TblJoistSize!$M$3:$N$10,2),IF(OR(CU37="B",CU37="G"),MIN(BK37:BL37),""))</f>
        <v/>
      </c>
      <c r="EY37" s="1061" t="str">
        <f>IF(AND(CU37="G", ISBLANK(BK37), ISBLANK(BL37)),VLOOKUP(MAX(BH37:BI37),TblJoistSize!$M$3:$N$10,2),IF(OR(CU37="B",CU37="G"),MAX(BK37:BL37),""))</f>
        <v/>
      </c>
      <c r="EZ37" s="1061" t="str">
        <f t="shared" si="77"/>
        <v/>
      </c>
      <c r="FA37" s="1061" t="str">
        <f>IF(AND(DE37="G", ISBLANK(BS37), ISBLANK(BT37)),VLOOKUP(MIN(BP37:BQ37),TblJoistSize!$M$3:$N$10,2),IF(OR(DE37="B", DE37="G"),MIN(BS37:BT37),""))</f>
        <v/>
      </c>
      <c r="FB37" s="1061" t="str">
        <f>IF(AND(DE37="G", ISBLANK(BS37), ISBLANK(BT37)),VLOOKUP(MAX(BP37:BQ37),TblJoistSize!$M$3:$N$10,2),IF(OR(DE37="B", DE37="G"),MAX(BS37:BT37),""))</f>
        <v/>
      </c>
      <c r="FC37" s="1061" t="str">
        <f t="shared" si="78"/>
        <v/>
      </c>
      <c r="FD37" s="1053">
        <f t="shared" si="79"/>
        <v>0</v>
      </c>
      <c r="FE37" s="1053">
        <f t="shared" si="80"/>
        <v>0</v>
      </c>
      <c r="FF37" s="1052">
        <f t="shared" si="81"/>
        <v>0</v>
      </c>
      <c r="FG37" s="1052" t="str">
        <f t="shared" si="82"/>
        <v/>
      </c>
      <c r="FH37" s="1053" t="str">
        <f t="shared" si="83"/>
        <v/>
      </c>
      <c r="FI37" s="1053">
        <f t="shared" si="84"/>
        <v>0</v>
      </c>
      <c r="FJ37" s="1053">
        <f t="shared" si="85"/>
        <v>0</v>
      </c>
      <c r="FK37" s="1052">
        <f t="shared" si="86"/>
        <v>0</v>
      </c>
      <c r="FL37" s="1052" t="str">
        <f t="shared" si="87"/>
        <v/>
      </c>
      <c r="FM37" s="1053" t="str">
        <f t="shared" si="88"/>
        <v/>
      </c>
      <c r="FN37" s="1053" t="e">
        <f t="shared" si="113"/>
        <v>#VALUE!</v>
      </c>
      <c r="FO37" s="1062" t="e">
        <f t="shared" si="89"/>
        <v>#VALUE!</v>
      </c>
      <c r="FP37" s="1062" t="e">
        <f t="shared" si="90"/>
        <v>#VALUE!</v>
      </c>
      <c r="FQ37" s="1063" t="e">
        <f t="shared" si="91"/>
        <v>#VALUE!</v>
      </c>
      <c r="FR37" s="1064" t="e">
        <f t="shared" si="92"/>
        <v>#VALUE!</v>
      </c>
      <c r="FS37" s="1065" t="str">
        <f t="shared" si="93"/>
        <v/>
      </c>
      <c r="FT37" s="1066" t="str">
        <f t="shared" si="94"/>
        <v/>
      </c>
      <c r="FU37" s="1105">
        <f t="shared" si="95"/>
        <v>0</v>
      </c>
      <c r="FV37" s="1106">
        <f t="shared" si="96"/>
        <v>0</v>
      </c>
      <c r="GA37" s="1975" t="str">
        <f t="shared" si="97"/>
        <v/>
      </c>
      <c r="GB37" s="1976" t="str">
        <f t="shared" si="98"/>
        <v/>
      </c>
      <c r="GC37" s="1977" t="str">
        <f t="shared" si="99"/>
        <v/>
      </c>
      <c r="GD37" s="1978" t="str">
        <f t="shared" si="100"/>
        <v/>
      </c>
      <c r="GE37" s="1979" t="str">
        <f t="shared" si="101"/>
        <v/>
      </c>
      <c r="GF37" s="1980" t="str">
        <f t="shared" si="102"/>
        <v/>
      </c>
      <c r="GG37" s="1453"/>
      <c r="GH37" s="1454"/>
      <c r="GI37" s="1453"/>
      <c r="GJ37" s="1454"/>
      <c r="GK37" s="1407">
        <f t="shared" si="103"/>
        <v>0</v>
      </c>
      <c r="GL37" s="1407" t="e">
        <f t="shared" si="104"/>
        <v>#VALUE!</v>
      </c>
      <c r="GM37" s="1408" t="e">
        <f>IF(ABS(GK37-GL37)&gt;='Job Info.'!$L$22,ABS(GK37-GL37),0)</f>
        <v>#VALUE!</v>
      </c>
      <c r="GZ37" s="497"/>
      <c r="HA37" s="1640"/>
      <c r="HB37" s="1641"/>
      <c r="HC37" s="1641"/>
      <c r="HD37" s="1642"/>
      <c r="HE37" s="1643"/>
      <c r="HF37" s="1641"/>
      <c r="HG37" s="1641"/>
      <c r="HH37" s="1641"/>
      <c r="HI37" s="1644"/>
      <c r="HJ37" s="1641"/>
      <c r="HK37" s="1641"/>
      <c r="HL37" s="1641"/>
      <c r="HM37" s="1641"/>
      <c r="HN37" s="1641"/>
      <c r="HO37" s="1641"/>
      <c r="HP37" s="1641"/>
      <c r="HQ37" s="1644"/>
      <c r="HR37" s="1641"/>
      <c r="HS37" s="1641"/>
      <c r="HT37" s="1641"/>
      <c r="HU37" s="1641"/>
      <c r="HV37" s="1641"/>
      <c r="HW37" s="1643"/>
      <c r="HX37" s="1643"/>
      <c r="HY37" s="1643"/>
      <c r="HZ37" s="1643"/>
      <c r="IA37" s="1643"/>
      <c r="IB37" s="1643"/>
      <c r="IC37" s="1643"/>
      <c r="ID37" s="1643"/>
      <c r="IE37" s="1643"/>
      <c r="IF37" s="1645"/>
      <c r="IG37" s="497"/>
      <c r="IH37" s="497"/>
      <c r="II37" s="497"/>
    </row>
    <row r="38" spans="1:243" ht="12.6" customHeight="1" x14ac:dyDescent="0.25">
      <c r="A38" s="1471" t="str">
        <f t="shared" si="1"/>
        <v/>
      </c>
      <c r="B38" s="1473" t="str">
        <f t="shared" si="2"/>
        <v/>
      </c>
      <c r="C38" s="1473" t="str">
        <f t="shared" si="3"/>
        <v/>
      </c>
      <c r="D38" s="1909" t="str">
        <f t="shared" si="4"/>
        <v/>
      </c>
      <c r="E38" s="1964" t="str">
        <f t="shared" si="5"/>
        <v/>
      </c>
      <c r="F38" s="1917" t="str">
        <f t="shared" si="6"/>
        <v/>
      </c>
      <c r="G38" s="1910" t="str">
        <f t="shared" si="7"/>
        <v/>
      </c>
      <c r="H38" s="1965" t="str">
        <f t="shared" si="8"/>
        <v/>
      </c>
      <c r="I38" s="1909" t="str">
        <f t="shared" si="9"/>
        <v/>
      </c>
      <c r="J38" s="1910" t="str">
        <f t="shared" si="10"/>
        <v/>
      </c>
      <c r="K38" s="1966" t="str">
        <f t="shared" si="11"/>
        <v/>
      </c>
      <c r="L38" s="1915" t="str">
        <f t="shared" si="12"/>
        <v/>
      </c>
      <c r="M38" s="1961" t="str">
        <f t="shared" si="13"/>
        <v/>
      </c>
      <c r="N38" s="1917" t="str">
        <f t="shared" si="14"/>
        <v/>
      </c>
      <c r="O38" s="1910" t="str">
        <f t="shared" si="15"/>
        <v/>
      </c>
      <c r="P38" s="1908" t="str">
        <f t="shared" si="16"/>
        <v/>
      </c>
      <c r="Q38" s="1909" t="str">
        <f t="shared" si="17"/>
        <v/>
      </c>
      <c r="R38" s="1910" t="str">
        <f t="shared" si="18"/>
        <v/>
      </c>
      <c r="S38" s="1919" t="str">
        <f t="shared" si="19"/>
        <v/>
      </c>
      <c r="T38" s="1917" t="str">
        <f t="shared" si="20"/>
        <v/>
      </c>
      <c r="U38" s="1910" t="str">
        <f t="shared" si="21"/>
        <v/>
      </c>
      <c r="V38" s="1909" t="str">
        <f t="shared" si="22"/>
        <v/>
      </c>
      <c r="W38" s="1910" t="str">
        <f t="shared" si="23"/>
        <v/>
      </c>
      <c r="X38" s="1914">
        <f t="shared" si="24"/>
        <v>0</v>
      </c>
      <c r="Y38" s="1967" t="str">
        <f t="shared" si="25"/>
        <v/>
      </c>
      <c r="Z38" s="1968" t="str">
        <f t="shared" si="26"/>
        <v/>
      </c>
      <c r="AA38" s="1981"/>
      <c r="AC38" s="1226" t="b">
        <v>0</v>
      </c>
      <c r="AD38" s="525">
        <f t="shared" si="27"/>
        <v>0</v>
      </c>
      <c r="AE38" s="526">
        <f t="shared" si="28"/>
        <v>0</v>
      </c>
      <c r="AF38" s="526">
        <f t="shared" si="29"/>
        <v>0</v>
      </c>
      <c r="AG38" s="526">
        <f t="shared" si="30"/>
        <v>0</v>
      </c>
      <c r="AH38" s="527">
        <f t="shared" si="31"/>
        <v>0</v>
      </c>
      <c r="AI38" s="528" t="b">
        <v>0</v>
      </c>
      <c r="AJ38" s="284">
        <f t="shared" si="124"/>
        <v>0</v>
      </c>
      <c r="AK38" s="284" t="str">
        <f t="shared" si="32"/>
        <v/>
      </c>
      <c r="AL38" s="1202" t="str">
        <f t="shared" si="33"/>
        <v/>
      </c>
      <c r="AM38" s="284" t="str">
        <f t="shared" si="34"/>
        <v/>
      </c>
      <c r="AN38" s="284" t="str">
        <f t="shared" si="35"/>
        <v/>
      </c>
      <c r="AO38" s="284" t="str">
        <f t="shared" si="36"/>
        <v/>
      </c>
      <c r="AP38" s="1063" t="b">
        <f>IF(ISERROR(AJ38),FALSE,IF(OR(AJ38=0,ISERROR(AL38),ISERROR(AM38),ISERROR(AN38),ISERROR(AO38)),FALSE,IF(AL38&lt;&gt;"",IF(ISERROR(VLOOKUP(SUBSTITUTE(SUBSTITUTE(C38,"R",""),"A",""),TblJoistSize!$A:$A,1,FALSE)),FALSE,TRUE),TRUE)))</f>
        <v>0</v>
      </c>
      <c r="AQ38" s="1305" t="e">
        <f t="shared" si="37"/>
        <v>#N/A</v>
      </c>
      <c r="AR38" s="1305" t="b">
        <f t="shared" si="38"/>
        <v>0</v>
      </c>
      <c r="AS38" s="1305" t="e">
        <f t="shared" si="39"/>
        <v>#N/A</v>
      </c>
      <c r="AT38" s="1305" t="b">
        <f t="shared" si="40"/>
        <v>0</v>
      </c>
      <c r="AU38" s="1203" t="str">
        <f t="shared" si="41"/>
        <v/>
      </c>
      <c r="AV38" s="1063" t="str">
        <f t="shared" si="42"/>
        <v/>
      </c>
      <c r="AW38" s="1063" t="str">
        <f t="shared" si="105"/>
        <v/>
      </c>
      <c r="AX38" s="1063" t="str">
        <f t="shared" si="114"/>
        <v/>
      </c>
      <c r="AY38" s="554" t="b">
        <f t="shared" si="43"/>
        <v>0</v>
      </c>
      <c r="AZ38" s="1090" t="str">
        <f t="shared" si="106"/>
        <v/>
      </c>
      <c r="BA38" s="674"/>
      <c r="BB38" s="842"/>
      <c r="BC38" s="894"/>
      <c r="BD38" s="926"/>
      <c r="BE38" s="927"/>
      <c r="BF38" s="928"/>
      <c r="BG38" s="901"/>
      <c r="BH38" s="1244"/>
      <c r="BI38" s="1245"/>
      <c r="BJ38" s="929"/>
      <c r="BK38" s="902"/>
      <c r="BL38" s="903"/>
      <c r="BM38" s="904"/>
      <c r="BN38" s="905"/>
      <c r="BO38" s="901"/>
      <c r="BP38" s="902"/>
      <c r="BQ38" s="903"/>
      <c r="BR38" s="929"/>
      <c r="BS38" s="902"/>
      <c r="BT38" s="903"/>
      <c r="BU38" s="904"/>
      <c r="BV38" s="905"/>
      <c r="BW38" s="906"/>
      <c r="BX38" s="930"/>
      <c r="BY38" s="931"/>
      <c r="BZ38" s="932"/>
      <c r="CA38" s="933"/>
      <c r="CB38" s="932"/>
      <c r="CC38" s="933"/>
      <c r="CD38" s="934" t="str">
        <f t="shared" si="44"/>
        <v/>
      </c>
      <c r="CE38" s="935" t="str">
        <f t="shared" si="45"/>
        <v/>
      </c>
      <c r="CF38" s="1149"/>
      <c r="CG38" s="1150"/>
      <c r="CH38" s="792" t="str">
        <f t="shared" si="46"/>
        <v/>
      </c>
      <c r="CI38" s="793" t="str">
        <f t="shared" si="47"/>
        <v/>
      </c>
      <c r="CJ38" s="794" t="str">
        <f t="shared" si="122"/>
        <v/>
      </c>
      <c r="CK38" s="1086" t="str">
        <f t="shared" si="48"/>
        <v/>
      </c>
      <c r="CL38" s="1081" t="str">
        <f t="shared" si="115"/>
        <v/>
      </c>
      <c r="CM38" s="1082" t="str">
        <f t="shared" si="116"/>
        <v/>
      </c>
      <c r="CN38" s="758" t="str">
        <f t="shared" si="49"/>
        <v/>
      </c>
      <c r="CO38" s="759" t="str">
        <f t="shared" si="50"/>
        <v/>
      </c>
      <c r="CP38" s="762" t="str">
        <f t="shared" si="51"/>
        <v/>
      </c>
      <c r="CQ38" s="763" t="str">
        <f t="shared" si="52"/>
        <v/>
      </c>
      <c r="CR38" s="953" t="str">
        <f t="shared" si="53"/>
        <v/>
      </c>
      <c r="CS38" s="954" t="str">
        <f t="shared" si="54"/>
        <v/>
      </c>
      <c r="CU38" s="135" t="str">
        <f>IF(BG38="","",VLOOKUP(BG38,SectInfo!$B:$N,12,FALSE))</f>
        <v/>
      </c>
      <c r="CV38" s="136" t="str">
        <f>IF(BG38="","",IF(ISBLANK(BZ38),VLOOKUP(BG38,SectInfo!$B:$N,13,FALSE),BZ38))</f>
        <v/>
      </c>
      <c r="CW38" s="136" t="str">
        <f>IF(BG38="","",IF(VLOOKUP(BG38,SectInfo!$B:$N,5,FALSE)="","R",UPPER(VLOOKUP(BG38,SectInfo!$B:$N,5,FALSE))))</f>
        <v/>
      </c>
      <c r="CX38" s="1046" t="str">
        <f>IF(BG38="","",IF(ISBLANK(CF38),VLOOKUP(BG38,SectInfo!$B:$N,6,FALSE),CF38))</f>
        <v/>
      </c>
      <c r="CY38" s="136" t="str">
        <f>IF(BG38="","",IF(VLOOKUP(BG38,SectInfo!$B:$N,10,FALSE)="","",(VLOOKUP(BG38,SectInfo!$B:$N,10,FALSE)*-1)))</f>
        <v/>
      </c>
      <c r="CZ38" s="1443" t="str">
        <f>IF(BG38="","",IF(VLOOKUP(BG38,SectInfo!$B:$N,11,FALSE)="","2",(VLOOKUP(BG38,SectInfo!$B:$N,11,FALSE))))</f>
        <v/>
      </c>
      <c r="DA38" s="136" t="str">
        <f>IF(BG38="","",IF(VLOOKUP(BG38,SectInfo!$B:$N,7,FALSE)="","",(VLOOKUP(BG38,SectInfo!$B:$N,7,FALSE)*-1)))</f>
        <v/>
      </c>
      <c r="DB38" s="1046" t="str">
        <f>IF(BG38="","",IF(VLOOKUP(BG38,SectInfo!$B:$N,8,FALSE)="",VLOOKUP(AU38,$DF$2:$DN$9,6,FALSE),(VLOOKUP(BG38,SectInfo!$B:$N,8,FALSE))))</f>
        <v/>
      </c>
      <c r="DC38" s="1046" t="str">
        <f>IF(BG38="","",VLOOKUP(BG38,SectInfo!$B:$N,9,FALSE))</f>
        <v/>
      </c>
      <c r="DD38" s="1047">
        <f t="shared" si="107"/>
        <v>0</v>
      </c>
      <c r="DE38" s="1048" t="str">
        <f>IF(BO38="","",VLOOKUP(BO38,SectInfo!$B:$N,12,FALSE))</f>
        <v/>
      </c>
      <c r="DF38" s="1046" t="str">
        <f>IF(BO38="","",IF(ISBLANK(CA38),VLOOKUP(BO38,SectInfo!$B:$N,13,FALSE),CA38))</f>
        <v/>
      </c>
      <c r="DG38" s="1046" t="str">
        <f>IF(BO38="","",IF(VLOOKUP(BO38,SectInfo!$B:$N,5,FALSE)="","R",UPPER(VLOOKUP(BO38,SectInfo!$B:$N,5,FALSE))))</f>
        <v/>
      </c>
      <c r="DH38" s="1046" t="str">
        <f>IF(BO38="","",IF(ISBLANK(CG38),VLOOKUP(BO38,SectInfo!$B:$N,6,FALSE),CG38))</f>
        <v/>
      </c>
      <c r="DI38" s="1276" t="str">
        <f>IF(BO38="","",IF(VLOOKUP(BO38,SectInfo!$B:$N,10,FALSE)="","",(VLOOKUP(BO38,SectInfo!$B:$N,10,FALSE)*-1)))</f>
        <v/>
      </c>
      <c r="DJ38" s="1443" t="str">
        <f>IF(BO38="","",IF(VLOOKUP(BO38,SectInfo!$B:$N,11,FALSE)="","2",(VLOOKUP(BO38,SectInfo!$B:$N,11,FALSE))))</f>
        <v/>
      </c>
      <c r="DK38" s="1046" t="str">
        <f>IF(BO38="","",IF(VLOOKUP(BO38,SectInfo!$B:$N,7,FALSE)="","",(VLOOKUP(BO38,SectInfo!$B:$N,7,FALSE)*-1)))</f>
        <v/>
      </c>
      <c r="DL38" s="1046" t="str">
        <f>IF(BO38="","",IF(VLOOKUP(BO38,SectInfo!$B:$N,8,FALSE)="",VLOOKUP(AU38,$DF$2:$DN$9,6,FALSE),(VLOOKUP(BO38,SectInfo!$B:$N,8,FALSE))))</f>
        <v/>
      </c>
      <c r="DM38" s="1046" t="str">
        <f>IF(BO38="","",VLOOKUP(BO38,SectInfo!$B:$N,9,FALSE))</f>
        <v/>
      </c>
      <c r="DN38" s="1047">
        <f t="shared" si="108"/>
        <v>0</v>
      </c>
      <c r="DO38" s="1049">
        <f t="shared" si="55"/>
        <v>0</v>
      </c>
      <c r="DP38" s="1053" t="str">
        <f t="shared" si="56"/>
        <v/>
      </c>
      <c r="DQ38" s="1053" t="str">
        <f t="shared" si="57"/>
        <v/>
      </c>
      <c r="DR38" s="1053" t="str">
        <f t="shared" si="58"/>
        <v/>
      </c>
      <c r="DS38" s="1052">
        <f t="shared" si="59"/>
        <v>0</v>
      </c>
      <c r="DT38" s="1052">
        <f t="shared" si="119"/>
        <v>0</v>
      </c>
      <c r="DU38" s="1052" t="str">
        <f t="shared" si="120"/>
        <v/>
      </c>
      <c r="DV38" s="1053" t="str">
        <f t="shared" si="60"/>
        <v/>
      </c>
      <c r="DW38" s="1053" t="str">
        <f t="shared" si="61"/>
        <v/>
      </c>
      <c r="DX38" s="1269">
        <f t="shared" si="109"/>
        <v>0</v>
      </c>
      <c r="DY38" s="1053">
        <f t="shared" si="110"/>
        <v>0</v>
      </c>
      <c r="DZ38" s="1052">
        <f t="shared" si="121"/>
        <v>0</v>
      </c>
      <c r="EA38" s="1052" t="str">
        <f t="shared" si="111"/>
        <v/>
      </c>
      <c r="EB38" s="1053" t="str">
        <f t="shared" si="62"/>
        <v/>
      </c>
      <c r="EC38" s="1053" t="str">
        <f t="shared" si="63"/>
        <v/>
      </c>
      <c r="ED38" s="1269">
        <f t="shared" si="112"/>
        <v>0</v>
      </c>
      <c r="EE38" s="1090" t="str">
        <f t="shared" si="117"/>
        <v/>
      </c>
      <c r="EF38" s="1053" t="str">
        <f t="shared" si="64"/>
        <v/>
      </c>
      <c r="EG38" s="1053" t="str">
        <f t="shared" si="65"/>
        <v/>
      </c>
      <c r="EH38" s="1053" t="e">
        <f t="shared" si="66"/>
        <v>#N/A</v>
      </c>
      <c r="EI38" s="1053" t="e">
        <f t="shared" si="67"/>
        <v>#N/A</v>
      </c>
      <c r="EJ38" s="1053" t="str">
        <f t="shared" si="68"/>
        <v/>
      </c>
      <c r="EK38" s="1053" t="str">
        <f t="shared" si="68"/>
        <v/>
      </c>
      <c r="EL38" s="1090" t="str">
        <f t="shared" si="118"/>
        <v/>
      </c>
      <c r="EM38" s="1053" t="str">
        <f t="shared" si="69"/>
        <v/>
      </c>
      <c r="EN38" s="1053" t="str">
        <f t="shared" si="70"/>
        <v/>
      </c>
      <c r="EO38" s="1053" t="e">
        <f t="shared" si="71"/>
        <v>#N/A</v>
      </c>
      <c r="EP38" s="1053" t="e">
        <f t="shared" si="72"/>
        <v>#N/A</v>
      </c>
      <c r="EQ38" s="1053" t="str">
        <f t="shared" si="73"/>
        <v/>
      </c>
      <c r="ER38" s="1053" t="str">
        <f t="shared" si="73"/>
        <v/>
      </c>
      <c r="ES38" s="1053" t="str">
        <f t="shared" si="74"/>
        <v/>
      </c>
      <c r="ET38" s="1053" t="str">
        <f t="shared" si="75"/>
        <v/>
      </c>
      <c r="EU38" s="1061" t="str">
        <f t="shared" si="76"/>
        <v/>
      </c>
      <c r="EV38" s="1055" t="str">
        <f t="shared" si="123"/>
        <v/>
      </c>
      <c r="EW38" s="1061"/>
      <c r="EX38" s="1061" t="str">
        <f>IF(AND(CU38="G", ISBLANK(BK38), ISBLANK(BL38)),VLOOKUP(MIN(BH38:BI38),TblJoistSize!$M$3:$N$10,2),IF(OR(CU38="B",CU38="G"),MIN(BK38:BL38),""))</f>
        <v/>
      </c>
      <c r="EY38" s="1061" t="str">
        <f>IF(AND(CU38="G", ISBLANK(BK38), ISBLANK(BL38)),VLOOKUP(MAX(BH38:BI38),TblJoistSize!$M$3:$N$10,2),IF(OR(CU38="B",CU38="G"),MAX(BK38:BL38),""))</f>
        <v/>
      </c>
      <c r="EZ38" s="1061" t="str">
        <f t="shared" si="77"/>
        <v/>
      </c>
      <c r="FA38" s="1061" t="str">
        <f>IF(AND(DE38="G", ISBLANK(BS38), ISBLANK(BT38)),VLOOKUP(MIN(BP38:BQ38),TblJoistSize!$M$3:$N$10,2),IF(OR(DE38="B", DE38="G"),MIN(BS38:BT38),""))</f>
        <v/>
      </c>
      <c r="FB38" s="1061" t="str">
        <f>IF(AND(DE38="G", ISBLANK(BS38), ISBLANK(BT38)),VLOOKUP(MAX(BP38:BQ38),TblJoistSize!$M$3:$N$10,2),IF(OR(DE38="B", DE38="G"),MAX(BS38:BT38),""))</f>
        <v/>
      </c>
      <c r="FC38" s="1061" t="str">
        <f t="shared" si="78"/>
        <v/>
      </c>
      <c r="FD38" s="1053">
        <f t="shared" si="79"/>
        <v>0</v>
      </c>
      <c r="FE38" s="1053">
        <f t="shared" si="80"/>
        <v>0</v>
      </c>
      <c r="FF38" s="1052">
        <f t="shared" si="81"/>
        <v>0</v>
      </c>
      <c r="FG38" s="1052" t="str">
        <f t="shared" si="82"/>
        <v/>
      </c>
      <c r="FH38" s="1053" t="str">
        <f t="shared" si="83"/>
        <v/>
      </c>
      <c r="FI38" s="1053">
        <f t="shared" si="84"/>
        <v>0</v>
      </c>
      <c r="FJ38" s="1053">
        <f t="shared" si="85"/>
        <v>0</v>
      </c>
      <c r="FK38" s="1052">
        <f t="shared" si="86"/>
        <v>0</v>
      </c>
      <c r="FL38" s="1052" t="str">
        <f t="shared" si="87"/>
        <v/>
      </c>
      <c r="FM38" s="1053" t="str">
        <f t="shared" si="88"/>
        <v/>
      </c>
      <c r="FN38" s="1053" t="e">
        <f t="shared" si="113"/>
        <v>#VALUE!</v>
      </c>
      <c r="FO38" s="1062" t="e">
        <f t="shared" si="89"/>
        <v>#VALUE!</v>
      </c>
      <c r="FP38" s="1062" t="e">
        <f t="shared" si="90"/>
        <v>#VALUE!</v>
      </c>
      <c r="FQ38" s="1063" t="e">
        <f t="shared" si="91"/>
        <v>#VALUE!</v>
      </c>
      <c r="FR38" s="1064" t="e">
        <f t="shared" si="92"/>
        <v>#VALUE!</v>
      </c>
      <c r="FS38" s="1065" t="str">
        <f t="shared" si="93"/>
        <v/>
      </c>
      <c r="FT38" s="1066" t="str">
        <f t="shared" si="94"/>
        <v/>
      </c>
      <c r="FU38" s="1105">
        <f t="shared" si="95"/>
        <v>0</v>
      </c>
      <c r="FV38" s="1106">
        <f t="shared" si="96"/>
        <v>0</v>
      </c>
      <c r="GA38" s="1975" t="str">
        <f t="shared" si="97"/>
        <v/>
      </c>
      <c r="GB38" s="1976" t="str">
        <f t="shared" si="98"/>
        <v/>
      </c>
      <c r="GC38" s="1977" t="str">
        <f t="shared" si="99"/>
        <v/>
      </c>
      <c r="GD38" s="1978" t="str">
        <f t="shared" si="100"/>
        <v/>
      </c>
      <c r="GE38" s="1979" t="str">
        <f t="shared" si="101"/>
        <v/>
      </c>
      <c r="GF38" s="1980" t="str">
        <f t="shared" si="102"/>
        <v/>
      </c>
      <c r="GG38" s="1453"/>
      <c r="GH38" s="1454"/>
      <c r="GI38" s="1453"/>
      <c r="GJ38" s="1454"/>
      <c r="GK38" s="1407">
        <f t="shared" si="103"/>
        <v>0</v>
      </c>
      <c r="GL38" s="1407" t="e">
        <f t="shared" si="104"/>
        <v>#VALUE!</v>
      </c>
      <c r="GM38" s="1408" t="e">
        <f>IF(ABS(GK38-GL38)&gt;='Job Info.'!$L$22,ABS(GK38-GL38),0)</f>
        <v>#VALUE!</v>
      </c>
      <c r="GZ38" s="497"/>
      <c r="HA38" s="1640"/>
      <c r="HB38" s="1641"/>
      <c r="HC38" s="1641"/>
      <c r="HD38" s="1642"/>
      <c r="HE38" s="1643"/>
      <c r="HF38" s="1641"/>
      <c r="HG38" s="1641"/>
      <c r="HH38" s="1641"/>
      <c r="HI38" s="1644"/>
      <c r="HJ38" s="1641"/>
      <c r="HK38" s="1641"/>
      <c r="HL38" s="1641"/>
      <c r="HM38" s="1641"/>
      <c r="HN38" s="1641"/>
      <c r="HO38" s="1641"/>
      <c r="HP38" s="1641"/>
      <c r="HQ38" s="1644"/>
      <c r="HR38" s="1641"/>
      <c r="HS38" s="1641"/>
      <c r="HT38" s="1641"/>
      <c r="HU38" s="1641"/>
      <c r="HV38" s="1641"/>
      <c r="HW38" s="1643"/>
      <c r="HX38" s="1643"/>
      <c r="HY38" s="1643"/>
      <c r="HZ38" s="1643"/>
      <c r="IA38" s="1643"/>
      <c r="IB38" s="1643"/>
      <c r="IC38" s="1643"/>
      <c r="ID38" s="1643"/>
      <c r="IE38" s="1643"/>
      <c r="IF38" s="1645"/>
      <c r="IG38" s="497"/>
      <c r="IH38" s="497"/>
      <c r="II38" s="497"/>
    </row>
    <row r="39" spans="1:243" ht="12.6" customHeight="1" x14ac:dyDescent="0.25">
      <c r="A39" s="1471" t="str">
        <f t="shared" si="1"/>
        <v/>
      </c>
      <c r="B39" s="1473" t="str">
        <f t="shared" si="2"/>
        <v/>
      </c>
      <c r="C39" s="1473" t="str">
        <f t="shared" si="3"/>
        <v/>
      </c>
      <c r="D39" s="1909" t="str">
        <f t="shared" si="4"/>
        <v/>
      </c>
      <c r="E39" s="1964" t="str">
        <f t="shared" si="5"/>
        <v/>
      </c>
      <c r="F39" s="1917" t="str">
        <f t="shared" si="6"/>
        <v/>
      </c>
      <c r="G39" s="1910" t="str">
        <f t="shared" si="7"/>
        <v/>
      </c>
      <c r="H39" s="1965" t="str">
        <f t="shared" si="8"/>
        <v/>
      </c>
      <c r="I39" s="1909" t="str">
        <f t="shared" si="9"/>
        <v/>
      </c>
      <c r="J39" s="1910" t="str">
        <f t="shared" si="10"/>
        <v/>
      </c>
      <c r="K39" s="1966" t="str">
        <f t="shared" si="11"/>
        <v/>
      </c>
      <c r="L39" s="1915" t="str">
        <f t="shared" si="12"/>
        <v/>
      </c>
      <c r="M39" s="1961" t="str">
        <f t="shared" si="13"/>
        <v/>
      </c>
      <c r="N39" s="1917" t="str">
        <f t="shared" si="14"/>
        <v/>
      </c>
      <c r="O39" s="1910" t="str">
        <f t="shared" si="15"/>
        <v/>
      </c>
      <c r="P39" s="1908" t="str">
        <f t="shared" si="16"/>
        <v/>
      </c>
      <c r="Q39" s="1909" t="str">
        <f t="shared" si="17"/>
        <v/>
      </c>
      <c r="R39" s="1910" t="str">
        <f t="shared" si="18"/>
        <v/>
      </c>
      <c r="S39" s="1919" t="str">
        <f t="shared" si="19"/>
        <v/>
      </c>
      <c r="T39" s="1917" t="str">
        <f t="shared" si="20"/>
        <v/>
      </c>
      <c r="U39" s="1910" t="str">
        <f t="shared" si="21"/>
        <v/>
      </c>
      <c r="V39" s="1909" t="str">
        <f t="shared" si="22"/>
        <v/>
      </c>
      <c r="W39" s="1910" t="str">
        <f t="shared" si="23"/>
        <v/>
      </c>
      <c r="X39" s="1914">
        <f t="shared" si="24"/>
        <v>0</v>
      </c>
      <c r="Y39" s="1967" t="str">
        <f t="shared" si="25"/>
        <v/>
      </c>
      <c r="Z39" s="1968" t="str">
        <f t="shared" si="26"/>
        <v/>
      </c>
      <c r="AA39" s="1981"/>
      <c r="AC39" s="1226" t="b">
        <v>0</v>
      </c>
      <c r="AD39" s="525">
        <f t="shared" si="27"/>
        <v>0</v>
      </c>
      <c r="AE39" s="526">
        <f t="shared" si="28"/>
        <v>0</v>
      </c>
      <c r="AF39" s="526">
        <f t="shared" si="29"/>
        <v>0</v>
      </c>
      <c r="AG39" s="526">
        <f t="shared" si="30"/>
        <v>0</v>
      </c>
      <c r="AH39" s="527">
        <f t="shared" si="31"/>
        <v>0</v>
      </c>
      <c r="AI39" s="528" t="b">
        <v>0</v>
      </c>
      <c r="AJ39" s="284">
        <f t="shared" si="124"/>
        <v>0</v>
      </c>
      <c r="AK39" s="284" t="str">
        <f t="shared" si="32"/>
        <v/>
      </c>
      <c r="AL39" s="1202" t="str">
        <f t="shared" si="33"/>
        <v/>
      </c>
      <c r="AM39" s="284" t="str">
        <f t="shared" si="34"/>
        <v/>
      </c>
      <c r="AN39" s="284" t="str">
        <f t="shared" si="35"/>
        <v/>
      </c>
      <c r="AO39" s="284" t="str">
        <f t="shared" si="36"/>
        <v/>
      </c>
      <c r="AP39" s="1063" t="b">
        <f>IF(ISERROR(AJ39),FALSE,IF(OR(AJ39=0,ISERROR(AL39),ISERROR(AM39),ISERROR(AN39),ISERROR(AO39)),FALSE,IF(AL39&lt;&gt;"",IF(ISERROR(VLOOKUP(SUBSTITUTE(SUBSTITUTE(C39,"R",""),"A",""),TblJoistSize!$A:$A,1,FALSE)),FALSE,TRUE),TRUE)))</f>
        <v>0</v>
      </c>
      <c r="AQ39" s="1305" t="e">
        <f t="shared" si="37"/>
        <v>#N/A</v>
      </c>
      <c r="AR39" s="1305" t="b">
        <f t="shared" si="38"/>
        <v>0</v>
      </c>
      <c r="AS39" s="1305" t="e">
        <f t="shared" si="39"/>
        <v>#N/A</v>
      </c>
      <c r="AT39" s="1305" t="b">
        <f t="shared" si="40"/>
        <v>0</v>
      </c>
      <c r="AU39" s="1203" t="str">
        <f t="shared" si="41"/>
        <v/>
      </c>
      <c r="AV39" s="1063" t="str">
        <f t="shared" si="42"/>
        <v/>
      </c>
      <c r="AW39" s="1063" t="str">
        <f t="shared" si="105"/>
        <v/>
      </c>
      <c r="AX39" s="1063" t="str">
        <f t="shared" si="114"/>
        <v/>
      </c>
      <c r="AY39" s="554" t="b">
        <f t="shared" si="43"/>
        <v>0</v>
      </c>
      <c r="AZ39" s="1090" t="str">
        <f t="shared" si="106"/>
        <v/>
      </c>
      <c r="BA39" s="674"/>
      <c r="BB39" s="842"/>
      <c r="BC39" s="894"/>
      <c r="BD39" s="926"/>
      <c r="BE39" s="927"/>
      <c r="BF39" s="928"/>
      <c r="BG39" s="901"/>
      <c r="BH39" s="1244"/>
      <c r="BI39" s="1245"/>
      <c r="BJ39" s="929"/>
      <c r="BK39" s="902"/>
      <c r="BL39" s="903"/>
      <c r="BM39" s="904"/>
      <c r="BN39" s="905"/>
      <c r="BO39" s="901"/>
      <c r="BP39" s="902"/>
      <c r="BQ39" s="903"/>
      <c r="BR39" s="929"/>
      <c r="BS39" s="902"/>
      <c r="BT39" s="903"/>
      <c r="BU39" s="904"/>
      <c r="BV39" s="905"/>
      <c r="BW39" s="906"/>
      <c r="BX39" s="930"/>
      <c r="BY39" s="931"/>
      <c r="BZ39" s="932"/>
      <c r="CA39" s="933"/>
      <c r="CB39" s="932"/>
      <c r="CC39" s="933"/>
      <c r="CD39" s="934" t="str">
        <f>IF(CY39="","","X")</f>
        <v/>
      </c>
      <c r="CE39" s="935" t="str">
        <f>IF(DI39="","","X")</f>
        <v/>
      </c>
      <c r="CF39" s="1149"/>
      <c r="CG39" s="1150"/>
      <c r="CH39" s="792" t="str">
        <f t="shared" si="46"/>
        <v/>
      </c>
      <c r="CI39" s="793" t="str">
        <f t="shared" si="47"/>
        <v/>
      </c>
      <c r="CJ39" s="794" t="str">
        <f t="shared" si="122"/>
        <v/>
      </c>
      <c r="CK39" s="1086" t="str">
        <f t="shared" si="48"/>
        <v/>
      </c>
      <c r="CL39" s="1081" t="str">
        <f t="shared" si="115"/>
        <v/>
      </c>
      <c r="CM39" s="1082" t="str">
        <f t="shared" si="116"/>
        <v/>
      </c>
      <c r="CN39" s="758" t="str">
        <f t="shared" si="49"/>
        <v/>
      </c>
      <c r="CO39" s="759" t="str">
        <f t="shared" si="50"/>
        <v/>
      </c>
      <c r="CP39" s="762" t="str">
        <f t="shared" si="51"/>
        <v/>
      </c>
      <c r="CQ39" s="763" t="str">
        <f t="shared" si="52"/>
        <v/>
      </c>
      <c r="CR39" s="953" t="str">
        <f t="shared" si="53"/>
        <v/>
      </c>
      <c r="CS39" s="954" t="str">
        <f t="shared" si="54"/>
        <v/>
      </c>
      <c r="CU39" s="135" t="str">
        <f>IF(BG39="","",VLOOKUP(BG39,SectInfo!$B:$N,12,FALSE))</f>
        <v/>
      </c>
      <c r="CV39" s="136" t="str">
        <f>IF(BG39="","",IF(ISBLANK(BZ39),VLOOKUP(BG39,SectInfo!$B:$N,13,FALSE),BZ39))</f>
        <v/>
      </c>
      <c r="CW39" s="136" t="str">
        <f>IF(BG39="","",IF(VLOOKUP(BG39,SectInfo!$B:$N,5,FALSE)="","R",UPPER(VLOOKUP(BG39,SectInfo!$B:$N,5,FALSE))))</f>
        <v/>
      </c>
      <c r="CX39" s="1046" t="str">
        <f>IF(BG39="","",IF(ISBLANK(CF39),VLOOKUP(BG39,SectInfo!$B:$N,6,FALSE),CF39))</f>
        <v/>
      </c>
      <c r="CY39" s="136" t="str">
        <f>IF(BG39="","",IF(VLOOKUP(BG39,SectInfo!$B:$N,10,FALSE)="","",(VLOOKUP(BG39,SectInfo!$B:$N,10,FALSE)*-1)))</f>
        <v/>
      </c>
      <c r="CZ39" s="1443" t="str">
        <f>IF(BG39="","",IF(VLOOKUP(BG39,SectInfo!$B:$N,11,FALSE)="","2",(VLOOKUP(BG39,SectInfo!$B:$N,11,FALSE))))</f>
        <v/>
      </c>
      <c r="DA39" s="136" t="str">
        <f>IF(BG39="","",IF(VLOOKUP(BG39,SectInfo!$B:$N,7,FALSE)="","",(VLOOKUP(BG39,SectInfo!$B:$N,7,FALSE)*-1)))</f>
        <v/>
      </c>
      <c r="DB39" s="1046" t="str">
        <f>IF(BG39="","",IF(VLOOKUP(BG39,SectInfo!$B:$N,8,FALSE)="",VLOOKUP(AU39,$DF$2:$DN$9,6,FALSE),(VLOOKUP(BG39,SectInfo!$B:$N,8,FALSE))))</f>
        <v/>
      </c>
      <c r="DC39" s="1046" t="str">
        <f>IF(BG39="","",VLOOKUP(BG39,SectInfo!$B:$N,9,FALSE))</f>
        <v/>
      </c>
      <c r="DD39" s="1047">
        <f t="shared" si="107"/>
        <v>0</v>
      </c>
      <c r="DE39" s="1048" t="str">
        <f>IF(BO39="","",VLOOKUP(BO39,SectInfo!$B:$N,12,FALSE))</f>
        <v/>
      </c>
      <c r="DF39" s="1046" t="str">
        <f>IF(BO39="","",IF(ISBLANK(CA39),VLOOKUP(BO39,SectInfo!$B:$N,13,FALSE),CA39))</f>
        <v/>
      </c>
      <c r="DG39" s="1046" t="str">
        <f>IF(BO39="","",IF(VLOOKUP(BO39,SectInfo!$B:$N,5,FALSE)="","R",UPPER(VLOOKUP(BO39,SectInfo!$B:$N,5,FALSE))))</f>
        <v/>
      </c>
      <c r="DH39" s="1046" t="str">
        <f>IF(BO39="","",IF(ISBLANK(CG39),VLOOKUP(BO39,SectInfo!$B:$N,6,FALSE),CG39))</f>
        <v/>
      </c>
      <c r="DI39" s="1276" t="str">
        <f>IF(BO39="","",IF(VLOOKUP(BO39,SectInfo!$B:$N,10,FALSE)="","",(VLOOKUP(BO39,SectInfo!$B:$N,10,FALSE)*-1)))</f>
        <v/>
      </c>
      <c r="DJ39" s="1443" t="str">
        <f>IF(BO39="","",IF(VLOOKUP(BO39,SectInfo!$B:$N,11,FALSE)="","2",(VLOOKUP(BO39,SectInfo!$B:$N,11,FALSE))))</f>
        <v/>
      </c>
      <c r="DK39" s="1046" t="str">
        <f>IF(BO39="","",IF(VLOOKUP(BO39,SectInfo!$B:$N,7,FALSE)="","",(VLOOKUP(BO39,SectInfo!$B:$N,7,FALSE)*-1)))</f>
        <v/>
      </c>
      <c r="DL39" s="1046" t="str">
        <f>IF(BO39="","",IF(VLOOKUP(BO39,SectInfo!$B:$N,8,FALSE)="",VLOOKUP(AU39,$DF$2:$DN$9,6,FALSE),(VLOOKUP(BO39,SectInfo!$B:$N,8,FALSE))))</f>
        <v/>
      </c>
      <c r="DM39" s="1046" t="str">
        <f>IF(BO39="","",VLOOKUP(BO39,SectInfo!$B:$N,9,FALSE))</f>
        <v/>
      </c>
      <c r="DN39" s="1047">
        <f t="shared" si="108"/>
        <v>0</v>
      </c>
      <c r="DO39" s="1049">
        <f t="shared" si="55"/>
        <v>0</v>
      </c>
      <c r="DP39" s="1053" t="str">
        <f t="shared" si="56"/>
        <v/>
      </c>
      <c r="DQ39" s="1053" t="str">
        <f t="shared" si="57"/>
        <v/>
      </c>
      <c r="DR39" s="1053" t="str">
        <f t="shared" si="58"/>
        <v/>
      </c>
      <c r="DS39" s="1052">
        <f t="shared" si="59"/>
        <v>0</v>
      </c>
      <c r="DT39" s="1052">
        <f t="shared" si="119"/>
        <v>0</v>
      </c>
      <c r="DU39" s="1052" t="str">
        <f t="shared" si="120"/>
        <v/>
      </c>
      <c r="DV39" s="1053" t="str">
        <f t="shared" si="60"/>
        <v/>
      </c>
      <c r="DW39" s="1053" t="str">
        <f t="shared" si="61"/>
        <v/>
      </c>
      <c r="DX39" s="1269">
        <f t="shared" si="109"/>
        <v>0</v>
      </c>
      <c r="DY39" s="1053">
        <f t="shared" si="110"/>
        <v>0</v>
      </c>
      <c r="DZ39" s="1052">
        <f t="shared" si="121"/>
        <v>0</v>
      </c>
      <c r="EA39" s="1052" t="str">
        <f t="shared" si="111"/>
        <v/>
      </c>
      <c r="EB39" s="1053" t="str">
        <f t="shared" si="62"/>
        <v/>
      </c>
      <c r="EC39" s="1053" t="str">
        <f t="shared" si="63"/>
        <v/>
      </c>
      <c r="ED39" s="1269">
        <f t="shared" si="112"/>
        <v>0</v>
      </c>
      <c r="EE39" s="1090" t="str">
        <f t="shared" si="117"/>
        <v/>
      </c>
      <c r="EF39" s="1053" t="str">
        <f t="shared" si="64"/>
        <v/>
      </c>
      <c r="EG39" s="1053" t="str">
        <f t="shared" si="65"/>
        <v/>
      </c>
      <c r="EH39" s="1053" t="e">
        <f t="shared" si="66"/>
        <v>#N/A</v>
      </c>
      <c r="EI39" s="1053" t="e">
        <f t="shared" si="67"/>
        <v>#N/A</v>
      </c>
      <c r="EJ39" s="1053" t="str">
        <f t="shared" si="68"/>
        <v/>
      </c>
      <c r="EK39" s="1053" t="str">
        <f t="shared" si="68"/>
        <v/>
      </c>
      <c r="EL39" s="1090" t="str">
        <f t="shared" si="118"/>
        <v/>
      </c>
      <c r="EM39" s="1053" t="str">
        <f t="shared" si="69"/>
        <v/>
      </c>
      <c r="EN39" s="1053" t="str">
        <f t="shared" si="70"/>
        <v/>
      </c>
      <c r="EO39" s="1053" t="e">
        <f t="shared" si="71"/>
        <v>#N/A</v>
      </c>
      <c r="EP39" s="1053" t="e">
        <f t="shared" si="72"/>
        <v>#N/A</v>
      </c>
      <c r="EQ39" s="1053" t="str">
        <f t="shared" si="73"/>
        <v/>
      </c>
      <c r="ER39" s="1053" t="str">
        <f t="shared" si="73"/>
        <v/>
      </c>
      <c r="ES39" s="1053" t="str">
        <f t="shared" si="74"/>
        <v/>
      </c>
      <c r="ET39" s="1053" t="str">
        <f t="shared" si="75"/>
        <v/>
      </c>
      <c r="EU39" s="1061" t="str">
        <f t="shared" si="76"/>
        <v/>
      </c>
      <c r="EV39" s="1055" t="str">
        <f t="shared" si="123"/>
        <v/>
      </c>
      <c r="EW39" s="1061"/>
      <c r="EX39" s="1061" t="str">
        <f>IF(AND(CU39="G", ISBLANK(BK39), ISBLANK(BL39)),VLOOKUP(MIN(BH39:BI39),TblJoistSize!$M$3:$N$10,2),IF(OR(CU39="B",CU39="G"),MIN(BK39:BL39),""))</f>
        <v/>
      </c>
      <c r="EY39" s="1061" t="str">
        <f>IF(AND(CU39="G", ISBLANK(BK39), ISBLANK(BL39)),VLOOKUP(MAX(BH39:BI39),TblJoistSize!$M$3:$N$10,2),IF(OR(CU39="B",CU39="G"),MAX(BK39:BL39),""))</f>
        <v/>
      </c>
      <c r="EZ39" s="1061" t="str">
        <f t="shared" si="77"/>
        <v/>
      </c>
      <c r="FA39" s="1061" t="str">
        <f>IF(AND(DE39="G", ISBLANK(BS39), ISBLANK(BT39)),VLOOKUP(MIN(BP39:BQ39),TblJoistSize!$M$3:$N$10,2),IF(OR(DE39="B", DE39="G"),MIN(BS39:BT39),""))</f>
        <v/>
      </c>
      <c r="FB39" s="1061" t="str">
        <f>IF(AND(DE39="G", ISBLANK(BS39), ISBLANK(BT39)),VLOOKUP(MAX(BP39:BQ39),TblJoistSize!$M$3:$N$10,2),IF(OR(DE39="B", DE39="G"),MAX(BS39:BT39),""))</f>
        <v/>
      </c>
      <c r="FC39" s="1061" t="str">
        <f t="shared" si="78"/>
        <v/>
      </c>
      <c r="FD39" s="1053">
        <f t="shared" si="79"/>
        <v>0</v>
      </c>
      <c r="FE39" s="1053">
        <f t="shared" si="80"/>
        <v>0</v>
      </c>
      <c r="FF39" s="1052">
        <f t="shared" si="81"/>
        <v>0</v>
      </c>
      <c r="FG39" s="1052" t="str">
        <f t="shared" si="82"/>
        <v/>
      </c>
      <c r="FH39" s="1053" t="str">
        <f t="shared" si="83"/>
        <v/>
      </c>
      <c r="FI39" s="1053">
        <f t="shared" si="84"/>
        <v>0</v>
      </c>
      <c r="FJ39" s="1053">
        <f t="shared" si="85"/>
        <v>0</v>
      </c>
      <c r="FK39" s="1052">
        <f t="shared" si="86"/>
        <v>0</v>
      </c>
      <c r="FL39" s="1052" t="str">
        <f t="shared" si="87"/>
        <v/>
      </c>
      <c r="FM39" s="1053" t="str">
        <f t="shared" si="88"/>
        <v/>
      </c>
      <c r="FN39" s="1053" t="e">
        <f t="shared" si="113"/>
        <v>#VALUE!</v>
      </c>
      <c r="FO39" s="1062" t="e">
        <f t="shared" si="89"/>
        <v>#VALUE!</v>
      </c>
      <c r="FP39" s="1062" t="e">
        <f t="shared" si="90"/>
        <v>#VALUE!</v>
      </c>
      <c r="FQ39" s="1063" t="e">
        <f t="shared" si="91"/>
        <v>#VALUE!</v>
      </c>
      <c r="FR39" s="1064" t="e">
        <f t="shared" si="92"/>
        <v>#VALUE!</v>
      </c>
      <c r="FS39" s="1065" t="str">
        <f t="shared" si="93"/>
        <v/>
      </c>
      <c r="FT39" s="1066" t="str">
        <f t="shared" si="94"/>
        <v/>
      </c>
      <c r="FU39" s="1105">
        <f t="shared" si="95"/>
        <v>0</v>
      </c>
      <c r="FV39" s="1106">
        <f t="shared" si="96"/>
        <v>0</v>
      </c>
      <c r="GA39" s="1975" t="str">
        <f t="shared" si="97"/>
        <v/>
      </c>
      <c r="GB39" s="1976" t="str">
        <f t="shared" si="98"/>
        <v/>
      </c>
      <c r="GC39" s="1977" t="str">
        <f t="shared" si="99"/>
        <v/>
      </c>
      <c r="GD39" s="1978" t="str">
        <f t="shared" si="100"/>
        <v/>
      </c>
      <c r="GE39" s="1979" t="str">
        <f t="shared" si="101"/>
        <v/>
      </c>
      <c r="GF39" s="1980" t="str">
        <f t="shared" si="102"/>
        <v/>
      </c>
      <c r="GG39" s="1453"/>
      <c r="GH39" s="1454"/>
      <c r="GI39" s="1453"/>
      <c r="GJ39" s="1454"/>
      <c r="GK39" s="1407">
        <f t="shared" si="103"/>
        <v>0</v>
      </c>
      <c r="GL39" s="1407" t="e">
        <f t="shared" si="104"/>
        <v>#VALUE!</v>
      </c>
      <c r="GM39" s="1408" t="e">
        <f>IF(ABS(GK39-GL39)&gt;='Job Info.'!$L$22,ABS(GK39-GL39),0)</f>
        <v>#VALUE!</v>
      </c>
      <c r="GZ39" s="497"/>
      <c r="HA39" s="1640"/>
      <c r="HB39" s="1641"/>
      <c r="HC39" s="1641"/>
      <c r="HD39" s="1642"/>
      <c r="HE39" s="1643"/>
      <c r="HF39" s="1641"/>
      <c r="HG39" s="1641"/>
      <c r="HH39" s="1641"/>
      <c r="HI39" s="1644"/>
      <c r="HJ39" s="1641"/>
      <c r="HK39" s="1641"/>
      <c r="HL39" s="1641"/>
      <c r="HM39" s="1641"/>
      <c r="HN39" s="1641"/>
      <c r="HO39" s="1641"/>
      <c r="HP39" s="1641"/>
      <c r="HQ39" s="1644"/>
      <c r="HR39" s="1641"/>
      <c r="HS39" s="1641"/>
      <c r="HT39" s="1641"/>
      <c r="HU39" s="1641"/>
      <c r="HV39" s="1641"/>
      <c r="HW39" s="1643"/>
      <c r="HX39" s="1643"/>
      <c r="HY39" s="1643"/>
      <c r="HZ39" s="1643"/>
      <c r="IA39" s="1643"/>
      <c r="IB39" s="1643"/>
      <c r="IC39" s="1643"/>
      <c r="ID39" s="1643"/>
      <c r="IE39" s="1643"/>
      <c r="IF39" s="1645"/>
      <c r="IG39" s="497"/>
      <c r="IH39" s="497"/>
      <c r="II39" s="497"/>
    </row>
    <row r="40" spans="1:243" ht="12.6" customHeight="1" thickBot="1" x14ac:dyDescent="0.3">
      <c r="A40" s="1472" t="str">
        <f>IF(BB40="","",UPPER(BB40))</f>
        <v/>
      </c>
      <c r="B40" s="1474" t="str">
        <f>IF(BC40="","",BC40)</f>
        <v/>
      </c>
      <c r="C40" s="1474" t="str">
        <f>IF(BD40="","",UPPER(BD40))</f>
        <v/>
      </c>
      <c r="D40" s="1922" t="str">
        <f>IF(DP40="","",TRUNC(DP40/12))</f>
        <v/>
      </c>
      <c r="E40" s="1969" t="str">
        <f>IF(DP40="","",DP40-(D40*12))</f>
        <v/>
      </c>
      <c r="F40" s="1930" t="str">
        <f>IF(DX40=0,"",TRUNC(DX40/12))</f>
        <v/>
      </c>
      <c r="G40" s="1923" t="str">
        <f>IF(DX40=0,"",DX40-(F40*12))</f>
        <v/>
      </c>
      <c r="H40" s="1970" t="str">
        <f>IF(DX40=0,"",CW40)</f>
        <v/>
      </c>
      <c r="I40" s="1922" t="str">
        <f>IF(ED40=0,"",TRUNC(ED40/12))</f>
        <v/>
      </c>
      <c r="J40" s="1923" t="str">
        <f>IF(ED40=0,"",ED40-(I40*12))</f>
        <v/>
      </c>
      <c r="K40" s="1971" t="str">
        <f>IF(ED40=0,"",DG40)</f>
        <v/>
      </c>
      <c r="L40" s="1928" t="str">
        <f>DQ40</f>
        <v/>
      </c>
      <c r="M40" s="1963" t="str">
        <f>DR40</f>
        <v/>
      </c>
      <c r="N40" s="1930" t="str">
        <f>IF(ES40="","",IF(AND(ES40&lt;0,ES40&gt;-12),TRUNC(ES40/12)-0.0000001,TRUNC(ES40/12)))</f>
        <v/>
      </c>
      <c r="O40" s="1923" t="str">
        <f>IF(ES40="","",IF(AND(ES40-(N40*12)=0,ES40&lt;0),-0.000001,ES40-(N40*12)))</f>
        <v/>
      </c>
      <c r="P40" s="1921" t="str">
        <f>IF(ES40="","",CZ40)</f>
        <v/>
      </c>
      <c r="Q40" s="1922" t="str">
        <f>IF(ET40="","",IF(AND(ET40&lt;0,ET40&gt;-12),TRUNC(ET40/12)-0.0000001,TRUNC(ET40/12)))</f>
        <v/>
      </c>
      <c r="R40" s="1923" t="str">
        <f>IF(ET40="","",IF(AND(ET40-(Q40*12)=0,ET40&lt;0),-0.000001,ET40-(Q40*12)))</f>
        <v/>
      </c>
      <c r="S40" s="1932" t="str">
        <f>IF(ET40="","",DJ40)</f>
        <v/>
      </c>
      <c r="T40" s="1930" t="str">
        <f>IF(CH40="ERR","",IF(EK40="","",IF(EK40="ERR",TRUNC(EJ40/12),TRUNC(EK40/12))))</f>
        <v/>
      </c>
      <c r="U40" s="1923" t="str">
        <f>IF(CH40="ERR","",IF(EK40="","",IF(EK40="ERR",EJ40-(T40*12),EK40-(T40*12))))</f>
        <v/>
      </c>
      <c r="V40" s="1922" t="str">
        <f>IF(CI40="ERR","",IF(ER40="","",IF(ER40="ERR",TRUNC(EQ40/12),TRUNC(ER40/12))))</f>
        <v/>
      </c>
      <c r="W40" s="1923" t="str">
        <f>IF(CI40="ERR","",IF(ER40="","",IF(ER40="ERR",EQ40-(V40*12),ER40-(V40*12))))</f>
        <v/>
      </c>
      <c r="X40" s="1927">
        <f>IF(EV40="",0,EV40)</f>
        <v>0</v>
      </c>
      <c r="Y40" s="1972" t="str">
        <f>FG40</f>
        <v/>
      </c>
      <c r="Z40" s="1973" t="str">
        <f>FL40</f>
        <v/>
      </c>
      <c r="AA40" s="1981"/>
      <c r="AC40" s="1226" t="b">
        <v>0</v>
      </c>
      <c r="AD40" s="525">
        <f t="shared" si="27"/>
        <v>0</v>
      </c>
      <c r="AE40" s="526">
        <f t="shared" si="28"/>
        <v>0</v>
      </c>
      <c r="AF40" s="526">
        <f t="shared" si="29"/>
        <v>0</v>
      </c>
      <c r="AG40" s="526">
        <f t="shared" si="30"/>
        <v>0</v>
      </c>
      <c r="AH40" s="527">
        <f t="shared" si="31"/>
        <v>0</v>
      </c>
      <c r="AI40" s="528" t="b">
        <v>0</v>
      </c>
      <c r="AJ40" s="284">
        <f t="shared" si="124"/>
        <v>0</v>
      </c>
      <c r="AK40" s="284" t="str">
        <f t="shared" si="32"/>
        <v/>
      </c>
      <c r="AL40" s="1202" t="str">
        <f t="shared" si="33"/>
        <v/>
      </c>
      <c r="AM40" s="284" t="str">
        <f t="shared" si="34"/>
        <v/>
      </c>
      <c r="AN40" s="284" t="str">
        <f t="shared" si="35"/>
        <v/>
      </c>
      <c r="AO40" s="284" t="str">
        <f t="shared" si="36"/>
        <v/>
      </c>
      <c r="AP40" s="1063" t="b">
        <f>IF(ISERROR(AJ40),FALSE,IF(OR(AJ40=0,ISERROR(AL40),ISERROR(AM40),ISERROR(AN40),ISERROR(AO40)),FALSE,IF(AL40&lt;&gt;"",IF(ISERROR(VLOOKUP(SUBSTITUTE(SUBSTITUTE(C40,"R",""),"A",""),TblJoistSize!$A:$A,1,FALSE)),FALSE,TRUE),TRUE)))</f>
        <v>0</v>
      </c>
      <c r="AQ40" s="1305" t="e">
        <f t="shared" si="37"/>
        <v>#N/A</v>
      </c>
      <c r="AR40" s="1305" t="b">
        <f t="shared" si="38"/>
        <v>0</v>
      </c>
      <c r="AS40" s="1305" t="e">
        <f t="shared" si="39"/>
        <v>#N/A</v>
      </c>
      <c r="AT40" s="1305" t="b">
        <f t="shared" si="40"/>
        <v>0</v>
      </c>
      <c r="AU40" s="1203" t="str">
        <f t="shared" si="41"/>
        <v/>
      </c>
      <c r="AV40" s="1063" t="str">
        <f t="shared" si="42"/>
        <v/>
      </c>
      <c r="AW40" s="1063" t="str">
        <f t="shared" si="105"/>
        <v/>
      </c>
      <c r="AX40" s="1063" t="str">
        <f t="shared" si="114"/>
        <v/>
      </c>
      <c r="AY40" s="554" t="b">
        <f t="shared" si="43"/>
        <v>0</v>
      </c>
      <c r="AZ40" s="1090" t="str">
        <f t="shared" si="106"/>
        <v/>
      </c>
      <c r="BA40" s="674"/>
      <c r="BB40" s="854"/>
      <c r="BC40" s="895"/>
      <c r="BD40" s="1038"/>
      <c r="BE40" s="1039"/>
      <c r="BF40" s="1040"/>
      <c r="BG40" s="907"/>
      <c r="BH40" s="1247"/>
      <c r="BI40" s="1248"/>
      <c r="BJ40" s="936"/>
      <c r="BK40" s="908"/>
      <c r="BL40" s="909"/>
      <c r="BM40" s="910"/>
      <c r="BN40" s="911"/>
      <c r="BO40" s="907"/>
      <c r="BP40" s="908"/>
      <c r="BQ40" s="909"/>
      <c r="BR40" s="936"/>
      <c r="BS40" s="908"/>
      <c r="BT40" s="909"/>
      <c r="BU40" s="910"/>
      <c r="BV40" s="911"/>
      <c r="BW40" s="912"/>
      <c r="BX40" s="937"/>
      <c r="BY40" s="938"/>
      <c r="BZ40" s="939"/>
      <c r="CA40" s="940"/>
      <c r="CB40" s="939"/>
      <c r="CC40" s="940"/>
      <c r="CD40" s="941" t="str">
        <f>IF(CY40="","","X")</f>
        <v/>
      </c>
      <c r="CE40" s="942" t="str">
        <f>IF(DI40="","","X")</f>
        <v/>
      </c>
      <c r="CF40" s="1151"/>
      <c r="CG40" s="1152"/>
      <c r="CH40" s="1032" t="str">
        <f t="shared" si="46"/>
        <v/>
      </c>
      <c r="CI40" s="1033" t="str">
        <f t="shared" si="47"/>
        <v/>
      </c>
      <c r="CJ40" s="1034" t="str">
        <f t="shared" si="122"/>
        <v/>
      </c>
      <c r="CK40" s="1087" t="str">
        <f t="shared" si="48"/>
        <v/>
      </c>
      <c r="CL40" s="1083" t="str">
        <f t="shared" si="115"/>
        <v/>
      </c>
      <c r="CM40" s="1084" t="str">
        <f t="shared" si="116"/>
        <v/>
      </c>
      <c r="CN40" s="1035" t="str">
        <f t="shared" si="49"/>
        <v/>
      </c>
      <c r="CO40" s="1036" t="str">
        <f t="shared" si="50"/>
        <v/>
      </c>
      <c r="CP40" s="764" t="str">
        <f t="shared" si="51"/>
        <v/>
      </c>
      <c r="CQ40" s="765" t="str">
        <f t="shared" si="52"/>
        <v/>
      </c>
      <c r="CR40" s="955" t="str">
        <f t="shared" si="53"/>
        <v/>
      </c>
      <c r="CS40" s="956" t="str">
        <f t="shared" si="54"/>
        <v/>
      </c>
      <c r="CU40" s="251" t="str">
        <f>IF(BG40="","",VLOOKUP(BG40,SectInfo!$B:$N,12,FALSE))</f>
        <v/>
      </c>
      <c r="CV40" s="252" t="str">
        <f>IF(BG40="","",IF(ISBLANK(BZ40),VLOOKUP(BG40,SectInfo!$B:$N,13,FALSE),BZ40))</f>
        <v/>
      </c>
      <c r="CW40" s="252" t="str">
        <f>IF(BG40="","",IF(VLOOKUP(BG40,SectInfo!$B:$N,5,FALSE)="","R",UPPER(VLOOKUP(BG40,SectInfo!$B:$N,5,FALSE))))</f>
        <v/>
      </c>
      <c r="CX40" s="1067" t="str">
        <f>IF(BG40="","",IF(ISBLANK(CF40),VLOOKUP(BG40,SectInfo!$B:$N,6,FALSE),CF40))</f>
        <v/>
      </c>
      <c r="CY40" s="252" t="str">
        <f>IF(BG40="","",IF(VLOOKUP(BG40,SectInfo!$B:$N,10,FALSE)="","",(VLOOKUP(BG40,SectInfo!$B:$N,10,FALSE)*-1)))</f>
        <v/>
      </c>
      <c r="CZ40" s="1444" t="str">
        <f>IF(BG40="","",IF(VLOOKUP(BG40,SectInfo!$B:$N,11,FALSE)="","2",(VLOOKUP(BG40,SectInfo!$B:$N,11,FALSE))))</f>
        <v/>
      </c>
      <c r="DA40" s="252" t="str">
        <f>IF(BG40="","",IF(VLOOKUP(BG40,SectInfo!$B:$N,7,FALSE)="","",(VLOOKUP(BG40,SectInfo!$B:$N,7,FALSE)*-1)))</f>
        <v/>
      </c>
      <c r="DB40" s="1067" t="str">
        <f>IF(BG40="","",IF(VLOOKUP(BG40,SectInfo!$B:$N,8,FALSE)="",VLOOKUP(AU40,$DF$2:$DN$9,6,FALSE),(VLOOKUP(BG40,SectInfo!$B:$N,8,FALSE))))</f>
        <v/>
      </c>
      <c r="DC40" s="1067" t="str">
        <f>IF(BG40="","",VLOOKUP(BG40,SectInfo!$B:$N,9,FALSE))</f>
        <v/>
      </c>
      <c r="DD40" s="1068">
        <f t="shared" si="107"/>
        <v>0</v>
      </c>
      <c r="DE40" s="1069" t="str">
        <f>IF(BO40="","",VLOOKUP(BO40,SectInfo!$B:$N,12,FALSE))</f>
        <v/>
      </c>
      <c r="DF40" s="1067" t="str">
        <f>IF(BO40="","",IF(ISBLANK(CA40),VLOOKUP(BO40,SectInfo!$B:$N,13,FALSE),CA40))</f>
        <v/>
      </c>
      <c r="DG40" s="1067" t="str">
        <f>IF(BO40="","",IF(VLOOKUP(BO40,SectInfo!$B:$N,5,FALSE)="","R",UPPER(VLOOKUP(BO40,SectInfo!$B:$N,5,FALSE))))</f>
        <v/>
      </c>
      <c r="DH40" s="1067" t="str">
        <f>IF(BO40="","",IF(ISBLANK(CG40),VLOOKUP(BO40,SectInfo!$B:$N,6,FALSE),CG40))</f>
        <v/>
      </c>
      <c r="DI40" s="1277" t="str">
        <f>IF(BO40="","",IF(VLOOKUP(BO40,SectInfo!$B:$N,10,FALSE)="","",(VLOOKUP(BO40,SectInfo!$B:$N,10,FALSE)*-1)))</f>
        <v/>
      </c>
      <c r="DJ40" s="1444" t="str">
        <f>IF(BO40="","",IF(VLOOKUP(BO40,SectInfo!$B:$N,11,FALSE)="","2",(VLOOKUP(BO40,SectInfo!$B:$N,11,FALSE))))</f>
        <v/>
      </c>
      <c r="DK40" s="1067" t="str">
        <f>IF(BO40="","",IF(VLOOKUP(BO40,SectInfo!$B:$N,7,FALSE)="","",(VLOOKUP(BO40,SectInfo!$B:$N,7,FALSE)*-1)))</f>
        <v/>
      </c>
      <c r="DL40" s="1067" t="str">
        <f>IF(BO40="","",IF(VLOOKUP(BO40,SectInfo!$B:$N,8,FALSE)="",VLOOKUP(AU40,$DF$2:$DN$9,6,FALSE),(VLOOKUP(BO40,SectInfo!$B:$N,8,FALSE))))</f>
        <v/>
      </c>
      <c r="DM40" s="1067" t="str">
        <f>IF(BO40="","",VLOOKUP(BO40,SectInfo!$B:$N,9,FALSE))</f>
        <v/>
      </c>
      <c r="DN40" s="1068">
        <f t="shared" si="108"/>
        <v>0</v>
      </c>
      <c r="DO40" s="1070">
        <f t="shared" si="55"/>
        <v>0</v>
      </c>
      <c r="DP40" s="1071" t="str">
        <f t="shared" si="56"/>
        <v/>
      </c>
      <c r="DQ40" s="1071" t="str">
        <f t="shared" si="57"/>
        <v/>
      </c>
      <c r="DR40" s="1071" t="str">
        <f t="shared" si="58"/>
        <v/>
      </c>
      <c r="DS40" s="1072">
        <f t="shared" si="59"/>
        <v>0</v>
      </c>
      <c r="DT40" s="1072">
        <f t="shared" si="119"/>
        <v>0</v>
      </c>
      <c r="DU40" s="1072" t="str">
        <f t="shared" si="120"/>
        <v/>
      </c>
      <c r="DV40" s="1071" t="str">
        <f t="shared" si="60"/>
        <v/>
      </c>
      <c r="DW40" s="1071" t="str">
        <f t="shared" si="61"/>
        <v/>
      </c>
      <c r="DX40" s="1270">
        <f t="shared" si="109"/>
        <v>0</v>
      </c>
      <c r="DY40" s="1071">
        <f t="shared" si="110"/>
        <v>0</v>
      </c>
      <c r="DZ40" s="1072">
        <f t="shared" si="121"/>
        <v>0</v>
      </c>
      <c r="EA40" s="1072" t="str">
        <f t="shared" si="111"/>
        <v/>
      </c>
      <c r="EB40" s="1071" t="str">
        <f t="shared" si="62"/>
        <v/>
      </c>
      <c r="EC40" s="1071" t="str">
        <f t="shared" si="63"/>
        <v/>
      </c>
      <c r="ED40" s="1270">
        <f t="shared" si="112"/>
        <v>0</v>
      </c>
      <c r="EE40" s="1450" t="str">
        <f t="shared" si="117"/>
        <v/>
      </c>
      <c r="EF40" s="1071" t="str">
        <f t="shared" si="64"/>
        <v/>
      </c>
      <c r="EG40" s="1071" t="str">
        <f t="shared" si="65"/>
        <v/>
      </c>
      <c r="EH40" s="1071" t="e">
        <f t="shared" si="66"/>
        <v>#N/A</v>
      </c>
      <c r="EI40" s="1071" t="e">
        <f t="shared" si="67"/>
        <v>#N/A</v>
      </c>
      <c r="EJ40" s="1071" t="str">
        <f t="shared" si="68"/>
        <v/>
      </c>
      <c r="EK40" s="1071" t="str">
        <f t="shared" si="68"/>
        <v/>
      </c>
      <c r="EL40" s="1450" t="str">
        <f t="shared" si="118"/>
        <v/>
      </c>
      <c r="EM40" s="1071" t="str">
        <f t="shared" si="69"/>
        <v/>
      </c>
      <c r="EN40" s="1071" t="str">
        <f t="shared" si="70"/>
        <v/>
      </c>
      <c r="EO40" s="1071" t="e">
        <f t="shared" si="71"/>
        <v>#N/A</v>
      </c>
      <c r="EP40" s="1071" t="e">
        <f t="shared" si="72"/>
        <v>#N/A</v>
      </c>
      <c r="EQ40" s="1071" t="str">
        <f t="shared" si="73"/>
        <v/>
      </c>
      <c r="ER40" s="1071" t="str">
        <f t="shared" si="73"/>
        <v/>
      </c>
      <c r="ES40" s="1071" t="str">
        <f t="shared" si="74"/>
        <v/>
      </c>
      <c r="ET40" s="1071" t="str">
        <f t="shared" si="75"/>
        <v/>
      </c>
      <c r="EU40" s="1073" t="str">
        <f t="shared" si="76"/>
        <v/>
      </c>
      <c r="EV40" s="1214" t="str">
        <f t="shared" si="123"/>
        <v/>
      </c>
      <c r="EW40" s="1073"/>
      <c r="EX40" s="1073" t="str">
        <f>IF(AND(CU40="G", ISBLANK(BK40), ISBLANK(BL40)),VLOOKUP(MIN(BH40:BI40),TblJoistSize!$M$3:$N$10,2),IF(OR(CU40="B",CU40="G"),MIN(BK40:BL40),""))</f>
        <v/>
      </c>
      <c r="EY40" s="1073" t="str">
        <f>IF(AND(CU40="G", ISBLANK(BK40), ISBLANK(BL40)),VLOOKUP(MAX(BH40:BI40),TblJoistSize!$M$3:$N$10,2),IF(OR(CU40="B",CU40="G"),MAX(BK40:BL40),""))</f>
        <v/>
      </c>
      <c r="EZ40" s="1073" t="str">
        <f t="shared" si="77"/>
        <v/>
      </c>
      <c r="FA40" s="1073" t="str">
        <f>IF(AND(DE40="G", ISBLANK(BS40), ISBLANK(BT40)),VLOOKUP(MIN(BP40:BQ40),TblJoistSize!$M$3:$N$10,2),IF(OR(DE40="B", DE40="G"),MIN(BS40:BT40),""))</f>
        <v/>
      </c>
      <c r="FB40" s="1073" t="str">
        <f>IF(AND(DE40="G", ISBLANK(BS40), ISBLANK(BT40)),VLOOKUP(MAX(BP40:BQ40),TblJoistSize!$M$3:$N$10,2),IF(OR(DE40="B", DE40="G"),MAX(BS40:BT40),""))</f>
        <v/>
      </c>
      <c r="FC40" s="1073" t="str">
        <f t="shared" si="78"/>
        <v/>
      </c>
      <c r="FD40" s="1071">
        <f t="shared" si="79"/>
        <v>0</v>
      </c>
      <c r="FE40" s="1071">
        <f t="shared" si="80"/>
        <v>0</v>
      </c>
      <c r="FF40" s="1072">
        <f t="shared" si="81"/>
        <v>0</v>
      </c>
      <c r="FG40" s="1072" t="str">
        <f t="shared" si="82"/>
        <v/>
      </c>
      <c r="FH40" s="1071" t="str">
        <f t="shared" si="83"/>
        <v/>
      </c>
      <c r="FI40" s="1071">
        <f t="shared" si="84"/>
        <v>0</v>
      </c>
      <c r="FJ40" s="1071">
        <f t="shared" si="85"/>
        <v>0</v>
      </c>
      <c r="FK40" s="1072">
        <f t="shared" si="86"/>
        <v>0</v>
      </c>
      <c r="FL40" s="1072" t="str">
        <f t="shared" si="87"/>
        <v/>
      </c>
      <c r="FM40" s="1071" t="str">
        <f t="shared" si="88"/>
        <v/>
      </c>
      <c r="FN40" s="1071" t="e">
        <f t="shared" si="113"/>
        <v>#VALUE!</v>
      </c>
      <c r="FO40" s="1074" t="e">
        <f t="shared" si="89"/>
        <v>#VALUE!</v>
      </c>
      <c r="FP40" s="1074" t="e">
        <f t="shared" si="90"/>
        <v>#VALUE!</v>
      </c>
      <c r="FQ40" s="1075" t="e">
        <f t="shared" si="91"/>
        <v>#VALUE!</v>
      </c>
      <c r="FR40" s="1076" t="e">
        <f t="shared" si="92"/>
        <v>#VALUE!</v>
      </c>
      <c r="FS40" s="1077" t="str">
        <f t="shared" si="93"/>
        <v/>
      </c>
      <c r="FT40" s="1078" t="str">
        <f t="shared" si="94"/>
        <v/>
      </c>
      <c r="FU40" s="1274">
        <f t="shared" si="95"/>
        <v>0</v>
      </c>
      <c r="FV40" s="1275">
        <f t="shared" si="96"/>
        <v>0</v>
      </c>
      <c r="GA40" s="1975" t="str">
        <f t="shared" si="97"/>
        <v/>
      </c>
      <c r="GB40" s="1976" t="str">
        <f t="shared" si="98"/>
        <v/>
      </c>
      <c r="GC40" s="1977" t="str">
        <f t="shared" si="99"/>
        <v/>
      </c>
      <c r="GD40" s="1978" t="str">
        <f t="shared" si="100"/>
        <v/>
      </c>
      <c r="GE40" s="1979" t="str">
        <f t="shared" si="101"/>
        <v/>
      </c>
      <c r="GF40" s="1980" t="str">
        <f t="shared" si="102"/>
        <v/>
      </c>
      <c r="GG40" s="1455"/>
      <c r="GH40" s="1456"/>
      <c r="GI40" s="1455"/>
      <c r="GJ40" s="1456"/>
      <c r="GK40" s="1407">
        <f t="shared" si="103"/>
        <v>0</v>
      </c>
      <c r="GL40" s="1407" t="e">
        <f t="shared" si="104"/>
        <v>#VALUE!</v>
      </c>
      <c r="GM40" s="1408" t="e">
        <f>IF(ABS(GK40-GL40)&gt;='Job Info.'!$L$22,ABS(GK40-GL40),0)</f>
        <v>#VALUE!</v>
      </c>
      <c r="GZ40" s="497"/>
      <c r="HA40" s="1646"/>
      <c r="HB40" s="1647"/>
      <c r="HC40" s="1647"/>
      <c r="HD40" s="1648"/>
      <c r="HE40" s="1649"/>
      <c r="HF40" s="1647"/>
      <c r="HG40" s="1647"/>
      <c r="HH40" s="1647"/>
      <c r="HI40" s="1650"/>
      <c r="HJ40" s="1647"/>
      <c r="HK40" s="1647"/>
      <c r="HL40" s="1647"/>
      <c r="HM40" s="1647"/>
      <c r="HN40" s="1647"/>
      <c r="HO40" s="1647"/>
      <c r="HP40" s="1647"/>
      <c r="HQ40" s="1650"/>
      <c r="HR40" s="1647"/>
      <c r="HS40" s="1647"/>
      <c r="HT40" s="1647"/>
      <c r="HU40" s="1647"/>
      <c r="HV40" s="1647"/>
      <c r="HW40" s="1649"/>
      <c r="HX40" s="1649"/>
      <c r="HY40" s="1649"/>
      <c r="HZ40" s="1649"/>
      <c r="IA40" s="1649"/>
      <c r="IB40" s="1649"/>
      <c r="IC40" s="1649"/>
      <c r="ID40" s="1649"/>
      <c r="IE40" s="1649"/>
      <c r="IF40" s="1651"/>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67"/>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71"/>
      <c r="EP41" s="1271"/>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94"/>
    </row>
    <row r="43" spans="1:243" ht="15" customHeight="1" x14ac:dyDescent="0.2">
      <c r="AZ43" s="973"/>
      <c r="CH43" s="602"/>
      <c r="EB43" s="1294"/>
    </row>
    <row r="44" spans="1:243" ht="15" customHeight="1" x14ac:dyDescent="0.2">
      <c r="BP44" s="1294"/>
      <c r="DP44" s="297"/>
      <c r="DQ44" s="689"/>
      <c r="DR44" s="475"/>
      <c r="DS44" s="475"/>
    </row>
    <row r="45" spans="1:243" ht="15" customHeight="1" x14ac:dyDescent="0.2">
      <c r="BI45" s="1294"/>
      <c r="BP45" s="1294"/>
      <c r="BQ45" s="973"/>
    </row>
    <row r="46" spans="1:243" ht="15" customHeight="1" x14ac:dyDescent="0.2">
      <c r="BI46" s="1294"/>
      <c r="BP46" s="1294"/>
    </row>
    <row r="47" spans="1:243" ht="15" customHeight="1" thickBot="1" x14ac:dyDescent="0.25">
      <c r="A47" s="1145" t="s">
        <v>761</v>
      </c>
      <c r="AD47" s="1144">
        <f>SUM(AD41:AH41)</f>
        <v>0</v>
      </c>
      <c r="BI47" s="1294"/>
      <c r="BP47" s="1294"/>
      <c r="EK47" s="2734" t="s">
        <v>1106</v>
      </c>
      <c r="EL47" s="2735"/>
      <c r="EM47" s="2735"/>
      <c r="EN47" s="2735"/>
      <c r="EO47" s="2735"/>
    </row>
    <row r="48" spans="1:243" s="1271" customFormat="1" ht="15" hidden="1" customHeight="1" x14ac:dyDescent="0.2">
      <c r="AA48" s="1546"/>
      <c r="AI48" s="1547"/>
      <c r="HD48" s="1548"/>
      <c r="HE48" s="1549"/>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68"/>
    </row>
    <row r="57" spans="1:192" ht="15" hidden="1" customHeight="1" x14ac:dyDescent="0.25">
      <c r="A57" s="1264" t="str">
        <f>IF(BB57="","",UPPER(BB57))</f>
        <v/>
      </c>
      <c r="B57" s="1265" t="str">
        <f>IF(BC57="","",BC57)</f>
        <v/>
      </c>
      <c r="C57" s="1265" t="str">
        <f>IF(BD57="","",UPPER(BD57))</f>
        <v/>
      </c>
      <c r="D57" s="1261" t="str">
        <f>IF(DP57="","",TRUNC(DP57/12))</f>
        <v/>
      </c>
      <c r="E57" s="1411" t="str">
        <f>IF(DP57="","",DP57-(D57*12))</f>
        <v/>
      </c>
      <c r="F57" s="1263" t="str">
        <f>IF(DX57=0,"",TRUNC(DX57/12))</f>
        <v/>
      </c>
      <c r="G57" s="1262" t="str">
        <f>IF(DX57=0,"",DX57-(F57*12))</f>
        <v/>
      </c>
      <c r="H57" s="1266" t="str">
        <f>IF(DX57=0,"",CW57)</f>
        <v/>
      </c>
      <c r="I57" s="1261" t="str">
        <f>IF(ED57=0,"",TRUNC(ED57/12))</f>
        <v/>
      </c>
      <c r="J57" s="1262" t="str">
        <f>IF(ED57=0,"",ED57-(I57*12))</f>
        <v/>
      </c>
      <c r="K57" s="1412" t="str">
        <f>IF(ED57=0,"",DG57)</f>
        <v/>
      </c>
      <c r="L57" s="1327">
        <f>DQ57</f>
        <v>0</v>
      </c>
      <c r="M57" s="1329">
        <f>DR57</f>
        <v>0</v>
      </c>
      <c r="N57" s="1263" t="str">
        <f>IF(ES57="","",IF(AND(ES57&lt;0,ES57&gt;-12),TRUNC(ES57/12)-0.0000001,TRUNC(ES57/12)))</f>
        <v/>
      </c>
      <c r="O57" s="1262" t="str">
        <f>IF(ES57="","",IF(AND(ES57-(N57*12)=0,ES57&lt;0),-0.000001,ES57-(N57*12)))</f>
        <v/>
      </c>
      <c r="P57" s="1260" t="str">
        <f>IF(ES57="","",CZ57)</f>
        <v/>
      </c>
      <c r="Q57" s="1261" t="str">
        <f>IF(ET57="","",IF(AND(ET57&lt;0,ET57&gt;-12),TRUNC(ET57/12)-0.0000001,TRUNC(ET57/12)))</f>
        <v/>
      </c>
      <c r="R57" s="1262" t="str">
        <f>IF(ET57="","",IF(AND(ET57-(Q57*12)=0,ET57&lt;0),-0.000001,ET57-(Q57*12)))</f>
        <v/>
      </c>
      <c r="S57" s="1410" t="str">
        <f>IF(ET57="","",DJ57)</f>
        <v/>
      </c>
      <c r="T57" s="1263" t="str">
        <f>IF(CH57="ERR","",IF(EK57="","",IF(EK57="ERR",TRUNC(EJ57/12),TRUNC(EK57/12))))</f>
        <v/>
      </c>
      <c r="U57" s="1262" t="str">
        <f>IF(CH57="ERR","",IF(EK57="","",IF(EK57="ERR",EJ57-(T57*12),EK57-(T57*12))))</f>
        <v/>
      </c>
      <c r="V57" s="1261" t="str">
        <f>IF(CI57="ERR","",IF(ER57="","",IF(ER57="ERR",TRUNC(EQ57/12),TRUNC(ER57/12))))</f>
        <v/>
      </c>
      <c r="W57" s="1262" t="str">
        <f>IF(CI57="ERR","",IF(ER57="","",IF(ER57="ERR",EQ57-(V57*12),ER57-(V57*12))))</f>
        <v/>
      </c>
      <c r="X57" s="1409">
        <f>IF(EV57="",0,EV57)</f>
        <v>0</v>
      </c>
      <c r="Y57" s="1377">
        <f>FG57</f>
        <v>0</v>
      </c>
      <c r="Z57" s="1378">
        <f>FL57</f>
        <v>0</v>
      </c>
      <c r="AA57" s="1376"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53"/>
      <c r="GH57" s="1454"/>
      <c r="GI57" s="1453"/>
      <c r="GJ57" s="1454"/>
    </row>
    <row r="58" spans="1:192" ht="15" hidden="1" customHeight="1" x14ac:dyDescent="0.2">
      <c r="AA58" s="1469"/>
    </row>
    <row r="59" spans="1:192" ht="15" hidden="1" customHeight="1" x14ac:dyDescent="0.2"/>
    <row r="60" spans="1:192" ht="15" hidden="1" customHeight="1" x14ac:dyDescent="0.2">
      <c r="A60" s="1128" t="s">
        <v>1224</v>
      </c>
    </row>
    <row r="61" spans="1:192" ht="15" hidden="1" customHeight="1" x14ac:dyDescent="0.2">
      <c r="A61" s="1130"/>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747">
        <v>40961</v>
      </c>
      <c r="CT69" s="2748"/>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71" customFormat="1" ht="15" hidden="1" customHeight="1" thickBot="1" x14ac:dyDescent="0.25">
      <c r="AI70" s="1547"/>
      <c r="HD70" s="1548"/>
      <c r="HE70" s="1549"/>
    </row>
    <row r="71" spans="1:213" ht="15" customHeight="1" x14ac:dyDescent="0.2">
      <c r="A71" s="1145" t="s">
        <v>762</v>
      </c>
      <c r="EL71" s="2707" t="s">
        <v>561</v>
      </c>
      <c r="EM71" s="2708"/>
      <c r="EN71" s="2708"/>
      <c r="EO71" s="2709"/>
    </row>
  </sheetData>
  <sheetProtection selectLockedCells="1"/>
  <dataConsolidate/>
  <mergeCells count="19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BH21:BI22"/>
    <mergeCell ref="BC21:BC22"/>
    <mergeCell ref="BM21:BM22"/>
    <mergeCell ref="BN21:BN22"/>
    <mergeCell ref="BW20:BW22"/>
    <mergeCell ref="BD21:BD22"/>
    <mergeCell ref="CF21:CG21"/>
    <mergeCell ref="BZ19:CA20"/>
    <mergeCell ref="BP21:BQ22"/>
    <mergeCell ref="BZ21:BZ22"/>
    <mergeCell ref="CA21:CA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s>
  <phoneticPr fontId="0" type="noConversion"/>
  <conditionalFormatting sqref="BV23:BV40 BN23:BN40">
    <cfRule type="expression" dxfId="1793" priority="346">
      <formula>AND(NOT($AY23),AND(ISBLANK(BN23),AND(NOT(ISBLANK(BM23)),$BW23&lt;&gt;0)))</formula>
    </cfRule>
  </conditionalFormatting>
  <conditionalFormatting sqref="BD23:BD40">
    <cfRule type="expression" dxfId="1792" priority="584">
      <formula>AND(NOT($AY23),NOT($AP23))</formula>
    </cfRule>
  </conditionalFormatting>
  <conditionalFormatting sqref="GA57:GB57">
    <cfRule type="expression" dxfId="1791" priority="586" stopIfTrue="1">
      <formula>GM57&gt;=0.125</formula>
    </cfRule>
  </conditionalFormatting>
  <conditionalFormatting sqref="EF69 EF23:EF40">
    <cfRule type="cellIs" dxfId="1790" priority="660" stopIfTrue="1" operator="notEqual">
      <formula>$EG23</formula>
    </cfRule>
  </conditionalFormatting>
  <conditionalFormatting sqref="EM69 EM23:EM40">
    <cfRule type="cellIs" dxfId="1789" priority="661" stopIfTrue="1" operator="notEqual">
      <formula>$EN23</formula>
    </cfRule>
  </conditionalFormatting>
  <conditionalFormatting sqref="CB69:CC69">
    <cfRule type="cellIs" dxfId="1788" priority="695" stopIfTrue="1" operator="equal">
      <formula>0</formula>
    </cfRule>
    <cfRule type="expression" dxfId="1787" priority="696" stopIfTrue="1">
      <formula>OR(CB69&lt;0,CB69&gt;FU69)</formula>
    </cfRule>
  </conditionalFormatting>
  <conditionalFormatting sqref="P2:S4">
    <cfRule type="cellIs" dxfId="1786" priority="697" stopIfTrue="1" operator="equal">
      <formula>""</formula>
    </cfRule>
  </conditionalFormatting>
  <conditionalFormatting sqref="CC19">
    <cfRule type="expression" dxfId="1785" priority="698" stopIfTrue="1">
      <formula>ISBLANK($CC$19)</formula>
    </cfRule>
  </conditionalFormatting>
  <conditionalFormatting sqref="CC18">
    <cfRule type="expression" dxfId="1784" priority="699" stopIfTrue="1">
      <formula>ISBLANK($CC$18)</formula>
    </cfRule>
  </conditionalFormatting>
  <conditionalFormatting sqref="M7">
    <cfRule type="expression" dxfId="1783" priority="701" stopIfTrue="1">
      <formula>AND(LOWER($M$7)&lt;&gt;"std gray primer: one shop coat",LOWER($M$7)&lt;&gt;"gray",$M$7&lt;&gt;"")</formula>
    </cfRule>
  </conditionalFormatting>
  <conditionalFormatting sqref="BO23:BO40">
    <cfRule type="expression" dxfId="1782" priority="102">
      <formula>AND(NOT($AY23),ISERROR(DE23))</formula>
    </cfRule>
    <cfRule type="expression" dxfId="1781" priority="707">
      <formula>AND(NOT($AY23),OR(DE23="", CQ23&lt;&gt;""))</formula>
    </cfRule>
  </conditionalFormatting>
  <conditionalFormatting sqref="U23:U40">
    <cfRule type="expression" dxfId="1780" priority="315">
      <formula>AND(NOT($AY23),NOT(AR23))</formula>
    </cfRule>
  </conditionalFormatting>
  <conditionalFormatting sqref="W23:W40">
    <cfRule type="expression" dxfId="1779" priority="343">
      <formula>AND(NOT($AY23),NOT(AT23))</formula>
    </cfRule>
  </conditionalFormatting>
  <conditionalFormatting sqref="A23:B40 BB23:BC40">
    <cfRule type="expression" dxfId="1778" priority="89">
      <formula>AND(NOT($AE$1),$B23=0,$AD$1="M")</formula>
    </cfRule>
  </conditionalFormatting>
  <conditionalFormatting sqref="T23:T40">
    <cfRule type="expression" dxfId="1777" priority="310">
      <formula>AND(NOT($AY23),NOT(AR23))</formula>
    </cfRule>
  </conditionalFormatting>
  <conditionalFormatting sqref="V23:V40">
    <cfRule type="expression" dxfId="1776" priority="318">
      <formula>AND(NOT($AY23),NOT(AT23))</formula>
    </cfRule>
  </conditionalFormatting>
  <conditionalFormatting sqref="C23:C40">
    <cfRule type="expression" dxfId="1775" priority="98">
      <formula>AND(NOT($AY23),NOT($AP23))</formula>
    </cfRule>
  </conditionalFormatting>
  <conditionalFormatting sqref="M7:S7">
    <cfRule type="expression" dxfId="1774" priority="224">
      <formula>OR(ISBLANK($M$7),$M$7="")</formula>
    </cfRule>
  </conditionalFormatting>
  <conditionalFormatting sqref="X23:X40">
    <cfRule type="expression" dxfId="1773" priority="19">
      <formula>$X23=0</formula>
    </cfRule>
  </conditionalFormatting>
  <conditionalFormatting sqref="BG23:BG40">
    <cfRule type="expression" dxfId="1772" priority="101">
      <formula>AND(NOT($AY23),ISERROR(CU23))</formula>
    </cfRule>
    <cfRule type="expression" dxfId="1771" priority="705">
      <formula>AND(NOT($AY23),OR(CP23&lt;&gt;"", CU23=""))</formula>
    </cfRule>
  </conditionalFormatting>
  <conditionalFormatting sqref="BH23:BH40">
    <cfRule type="expression" dxfId="1770" priority="679">
      <formula>AND(NOT($AY23),OR($CU23="M",$CU23="C",AND($CU23="B",$DC23&gt;0)))</formula>
    </cfRule>
    <cfRule type="expression" dxfId="1769" priority="684">
      <formula>AND(NOT($AY23),AND(BH23="",BI23="",OR($CU23="B",$CU23="G")))</formula>
    </cfRule>
    <cfRule type="expression" dxfId="1768" priority="685">
      <formula>AND(NOT($AY23),(BH23/2)/COS(RADIANS(BM23))+CV23-DW23&lt;VLOOKUP(AU23,$DF$2:$DJ$9,5,FALSE))</formula>
    </cfRule>
  </conditionalFormatting>
  <conditionalFormatting sqref="BI23:BI40">
    <cfRule type="expression" dxfId="1767" priority="692">
      <formula>AND(NOT($AY23),OR($CU23="M",$CU23="C",AND($CU23="B",$DC23&gt;0)))</formula>
    </cfRule>
    <cfRule type="expression" dxfId="1766" priority="703">
      <formula>AND(NOT($AY23),AND(BH23="",BI23="",OR($CU23="B",$CU23="G")))</formula>
    </cfRule>
    <cfRule type="expression" dxfId="1765" priority="704">
      <formula>AND(NOT($AY23),(BI23/2)/COS(RADIANS(BM23))+CV23-DW23&lt;VLOOKUP(AU23,$DF$2:$DJ$9,5,FALSE))</formula>
    </cfRule>
  </conditionalFormatting>
  <conditionalFormatting sqref="BK23:BK40">
    <cfRule type="expression" dxfId="1764" priority="585">
      <formula>AND(NOT($AY23),OR($CU23="M",$CU23="C",AND($CU23="B",$DA23&lt;&gt;"")))</formula>
    </cfRule>
    <cfRule type="expression" dxfId="1763" priority="668">
      <formula>AND(NOT($AY23),AND(BJ23="X",BK23="",BL23=""))</formula>
    </cfRule>
    <cfRule type="expression" dxfId="1762" priority="669">
      <formula>AND(NOT($AY23),EZ23="ERR")</formula>
    </cfRule>
  </conditionalFormatting>
  <conditionalFormatting sqref="BL23:BL40">
    <cfRule type="expression" dxfId="1761" priority="670">
      <formula>AND(NOT($AY23),OR($CU23="M",$CU23="C",AND($CU23="B",$DA23&lt;&gt;"")))</formula>
    </cfRule>
    <cfRule type="expression" dxfId="1760" priority="671">
      <formula>AND(NOT($AY23),AND(BJ23="X",BK23="",BL23=""))</formula>
    </cfRule>
    <cfRule type="expression" dxfId="1759" priority="672">
      <formula>AND(NOT($AY23),EZ23="ERR")</formula>
    </cfRule>
  </conditionalFormatting>
  <conditionalFormatting sqref="BS23:BS40">
    <cfRule type="expression" dxfId="1758" priority="673">
      <formula>AND(NOT($AY23),OR($DE23="M",$DE23="C",AND($DE23="B",$DK23&lt;&gt;"")))</formula>
    </cfRule>
    <cfRule type="expression" dxfId="1757" priority="674">
      <formula>AND(NOT($AY23),AND(BR23="X",BS23="",BT23=""))</formula>
    </cfRule>
    <cfRule type="expression" dxfId="1756" priority="675">
      <formula>AND(NOT($AY23),FC23="ERR")</formula>
    </cfRule>
  </conditionalFormatting>
  <conditionalFormatting sqref="BT23:BT40">
    <cfRule type="expression" dxfId="1755" priority="676">
      <formula>AND(NOT($AY23),OR($DE23="M",$DE23="C",AND($DE23="B",$DK23&lt;&gt;"")))</formula>
    </cfRule>
    <cfRule type="expression" dxfId="1754" priority="677">
      <formula>AND(NOT($AY23),AND(BR23="X",BS23="",BT23=""))</formula>
    </cfRule>
    <cfRule type="expression" dxfId="1753" priority="678">
      <formula>AND(NOT($AY23),FC23="ERR")</formula>
    </cfRule>
  </conditionalFormatting>
  <conditionalFormatting sqref="BP23:BP40">
    <cfRule type="expression" dxfId="1752" priority="686">
      <formula>AND(NOT($AY23),OR($DE23="M",$DE23="C",AND($DE23="B",$DM23&gt;0)))</formula>
    </cfRule>
    <cfRule type="expression" dxfId="1751" priority="687">
      <formula>AND(NOT($AY23),AND(BP23="",BQ23="",OR($DE23="B",$DE23="G")))</formula>
    </cfRule>
    <cfRule type="expression" dxfId="1750" priority="688">
      <formula>AND(NOT($AY23),(BP23/2)/COS(RADIANS(BU23))+DF23-EC23&lt;VLOOKUP(AU23,$DF$2:$DJ$9,5,FALSE))</formula>
    </cfRule>
  </conditionalFormatting>
  <conditionalFormatting sqref="BQ23:BQ40">
    <cfRule type="expression" dxfId="1749" priority="689">
      <formula>AND(NOT($AY23),OR($DE23="M",$DE23="C",AND($DE23="B",$DM23&gt;0)))</formula>
    </cfRule>
    <cfRule type="expression" dxfId="1748" priority="690">
      <formula>AND(NOT($AY23),AND(BP23="",BQ23="",OR($DE23="B",$DE23="G")))</formula>
    </cfRule>
    <cfRule type="expression" dxfId="1747" priority="691">
      <formula>AND(NOT($AY23),(BQ23/2)/COS(RADIANS(BU23))+DF23-EC23&lt;VLOOKUP(AU23,$DF$2:$DJ$9,5,FALSE))</formula>
    </cfRule>
  </conditionalFormatting>
  <conditionalFormatting sqref="CD23:CD40">
    <cfRule type="expression" dxfId="1746" priority="126">
      <formula>AND(CD23="X",CY23="")</formula>
    </cfRule>
    <cfRule type="expression" dxfId="1745" priority="127">
      <formula>AND(CD23="",CY23&lt;&gt;"")</formula>
    </cfRule>
  </conditionalFormatting>
  <conditionalFormatting sqref="CE23:CE40">
    <cfRule type="expression" dxfId="1744" priority="128">
      <formula>AND(CE23="X",DI23="")</formula>
    </cfRule>
    <cfRule type="expression" dxfId="1743" priority="129">
      <formula>AND(CE23="",DI23&lt;&gt;"")</formula>
    </cfRule>
  </conditionalFormatting>
  <conditionalFormatting sqref="CB23:CB40">
    <cfRule type="expression" dxfId="1742" priority="109">
      <formula>OR(CB23&gt;CV23,CB23&lt;0)</formula>
    </cfRule>
  </conditionalFormatting>
  <conditionalFormatting sqref="CC23:CC40">
    <cfRule type="expression" dxfId="1741" priority="108">
      <formula>OR(CC23&gt;DF23,CC23&lt;0)</formula>
    </cfRule>
  </conditionalFormatting>
  <conditionalFormatting sqref="BJ23:BJ40">
    <cfRule type="expression" dxfId="1740" priority="709">
      <formula>AND(NOT($AY23),OR($CU23="C",AND($CU23="M",$DA23&gt;0)))</formula>
    </cfRule>
    <cfRule type="expression" dxfId="1739" priority="722">
      <formula>AND(NOT($AY23),OR(NOT(IF(AND(OR(MID($BB23,1,1)="T",($BE23+$BF23/12)/IF(ABS($BW23)&gt;$DQ$1,COS($DO23),1)&gt;=40),OR($CU23="B",$CU23="G")),"X","")="X"),$EZ23="ERR"))</formula>
    </cfRule>
    <cfRule type="expression" dxfId="1738" priority="723">
      <formula>AND(NOT($AY23),$BJ23&lt;&gt;"X",$BJ23&lt;&gt;IF(AND(OR(MID(BB23,1,1)="T",($BE23+$BF23/12)/IF(ABS($BW23)&gt;$DQ$1,COS($DO23),1)&gt;=40),OR($CU23="B",$CU23="G")),"X",""))</formula>
    </cfRule>
  </conditionalFormatting>
  <conditionalFormatting sqref="BR23:BR40">
    <cfRule type="expression" dxfId="1737" priority="724">
      <formula>AND(NOT($AY23),OR($DE23="C",AND($DE23="M",$DK23&gt;0)))</formula>
    </cfRule>
    <cfRule type="expression" dxfId="1736" priority="731">
      <formula>AND(NOT($AY23),OR(NOT(IF(AND(OR(MID($BB23,1,1)="T",($BE23+$BF23/12)/IF(ABS($BW23)&gt;$DQ$1,COS($DO23),1)&gt;=40),OR($DE23="B",$DE23="G")),"X","")="X"),$FC23="ERR"))</formula>
    </cfRule>
    <cfRule type="expression" dxfId="1735" priority="732">
      <formula>AND(NOT($AY23),$BR23&lt;&gt;"X",$BR23&lt;&gt;IF(AND(OR(MID(BB23,1,1)="T",($BE23+$BF23/12)/IF(ABS($BW23)&gt;$DQ$1,COS($DO23),1)&gt;=40),OR($DE23="B",$DE23="G")),"X",""))</formula>
    </cfRule>
  </conditionalFormatting>
  <conditionalFormatting sqref="BY23:BY40">
    <cfRule type="expression" dxfId="1734" priority="733">
      <formula>OR(CH23&lt;&gt;"",CI23&lt;&gt;"",CJ23&lt;&gt;"",CK23&lt;&gt;"",CL23&lt;&gt;"",CM23&lt;&gt;"")</formula>
    </cfRule>
  </conditionalFormatting>
  <conditionalFormatting sqref="BE23:BF40">
    <cfRule type="expression" dxfId="1733" priority="808">
      <formula>AND(NOT($AY23),AND($AZ23,AND($AK23&lt;&gt;"HDR",$AK23&lt;&gt;"JS",$AJ23&gt;=8)))</formula>
    </cfRule>
  </conditionalFormatting>
  <conditionalFormatting sqref="D23:E40">
    <cfRule type="expression" dxfId="1732" priority="307">
      <formula>AND(NOT($AY23),AND($AZ23,AND($AK23&lt;&gt;"HDR",$AK23&lt;&gt;"JS",$AJ23&gt;=8)))</formula>
    </cfRule>
  </conditionalFormatting>
  <conditionalFormatting sqref="BX23:BY40">
    <cfRule type="expression" dxfId="1731" priority="95">
      <formula>LEN(AA$23)&gt;31</formula>
    </cfRule>
  </conditionalFormatting>
  <conditionalFormatting sqref="AA12">
    <cfRule type="expression" dxfId="1730" priority="92">
      <formula>OR(ISBLANK(AA12),AA12="")</formula>
    </cfRule>
  </conditionalFormatting>
  <conditionalFormatting sqref="A23:Z40 BB23:CG40">
    <cfRule type="expression" dxfId="1729" priority="1070">
      <formula>$AC23</formula>
    </cfRule>
  </conditionalFormatting>
  <conditionalFormatting sqref="U57">
    <cfRule type="expression" dxfId="1728" priority="14" stopIfTrue="1">
      <formula>AND(NOT($AY57),NOT(AR57))</formula>
    </cfRule>
  </conditionalFormatting>
  <conditionalFormatting sqref="W57">
    <cfRule type="expression" dxfId="1727" priority="16" stopIfTrue="1">
      <formula>AND(NOT($AY57),NOT(AT57))</formula>
    </cfRule>
  </conditionalFormatting>
  <conditionalFormatting sqref="A57:B57">
    <cfRule type="expression" dxfId="1726" priority="10">
      <formula>AND(NOT($AE$1),$B57=0,$AD$1="M")</formula>
    </cfRule>
  </conditionalFormatting>
  <conditionalFormatting sqref="T57">
    <cfRule type="expression" dxfId="1725" priority="13" stopIfTrue="1">
      <formula>AND(NOT($AY57),NOT(AR57))</formula>
    </cfRule>
  </conditionalFormatting>
  <conditionalFormatting sqref="V57">
    <cfRule type="expression" dxfId="1724" priority="15" stopIfTrue="1">
      <formula>AND(NOT($AY57),NOT(AT57))</formula>
    </cfRule>
  </conditionalFormatting>
  <conditionalFormatting sqref="C57">
    <cfRule type="expression" dxfId="1723" priority="11" stopIfTrue="1">
      <formula>AND(NOT($AY57),NOT($AP57))</formula>
    </cfRule>
  </conditionalFormatting>
  <conditionalFormatting sqref="X57">
    <cfRule type="expression" dxfId="1722" priority="7">
      <formula>$X57=0</formula>
    </cfRule>
  </conditionalFormatting>
  <conditionalFormatting sqref="D57:E57">
    <cfRule type="expression" dxfId="1721" priority="12" stopIfTrue="1">
      <formula>AND(NOT($AY57),AND($AZ57,AND($AK57&lt;&gt;"HDR",$AK57&lt;&gt;"JS",$AJ57&gt;=8)))</formula>
    </cfRule>
  </conditionalFormatting>
  <conditionalFormatting sqref="AA57">
    <cfRule type="expression" dxfId="1720" priority="9">
      <formula>AND(NOT($AY57),LEN(AA57)&gt;31)</formula>
    </cfRule>
  </conditionalFormatting>
  <conditionalFormatting sqref="A57:AA57">
    <cfRule type="expression" dxfId="1719" priority="8">
      <formula>$AC57</formula>
    </cfRule>
  </conditionalFormatting>
  <conditionalFormatting sqref="AA23:AA40">
    <cfRule type="expression" dxfId="1718" priority="3">
      <formula>AND(NOT($AY23),LEN(AA23)&gt;31)</formula>
    </cfRule>
  </conditionalFormatting>
  <conditionalFormatting sqref="AA23:AA40">
    <cfRule type="expression" dxfId="1717" priority="2">
      <formula>$AC23</formula>
    </cfRule>
  </conditionalFormatting>
  <conditionalFormatting sqref="GA23:GB40">
    <cfRule type="expression" dxfId="1716" priority="1" stopIfTrue="1">
      <formula>GM23&gt;=0.125</formula>
    </cfRule>
  </conditionalFormatting>
  <dataValidations count="7">
    <dataValidation type="list" allowBlank="1" showInputMessage="1" sqref="M7:S7 CC18:CF18">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formula1>0</formula1>
    </dataValidation>
    <dataValidation type="decimal" allowBlank="1" showInputMessage="1" showErrorMessage="1" errorTitle="Dimensional Error" error="&quot;Inches&quot; must be a number from 0 to 11.875." sqref="BF23:BF40 E23:E40 W23:W40 G23:G40 J23:J40 U23:U40 E57 W57 G57 J57 U57">
      <formula1>0</formula1>
      <formula2>11.875</formula2>
    </dataValidation>
    <dataValidation type="decimal" operator="greaterThanOrEqual" allowBlank="1" showInputMessage="1" showErrorMessage="1" errorTitle="Dimensional Error" error="&quot;Inches&quot; must be a number." sqref="BH23:BI40 BK23:BL40 BP23:BQ40 BS23:BT40">
      <formula1>0</formula1>
    </dataValidation>
    <dataValidation type="decimal" operator="notEqual" allowBlank="1" showInputMessage="1" showErrorMessage="1" errorTitle="Input Error" error="Enter + or - Numbers Only._x000a_Do NOT use &quot;&lt;&quot; or &quot;&gt;&quot;." sqref="Y23:Z40 Y57:Z57">
      <formula1>0</formula1>
    </dataValidation>
    <dataValidation type="whole" operator="greaterThanOrEqual" allowBlank="1" showInputMessage="1" showErrorMessage="1" sqref="B23:B40 B57">
      <formula1>0</formula1>
    </dataValidation>
    <dataValidation type="decimal" operator="greaterThan" allowBlank="1" showInputMessage="1" showErrorMessage="1" errorTitle="Dimensional Error" error="Only positive numeric values permitted here." sqref="L23:M40 L57:M57">
      <formula1>0</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18.1019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indexed="43"/>
  </sheetPr>
  <dimension ref="A1:IG104"/>
  <sheetViews>
    <sheetView showGridLines="0" zoomScaleNormal="100" zoomScaleSheetLayoutView="75" workbookViewId="0">
      <selection activeCell="A16" sqref="A16"/>
    </sheetView>
  </sheetViews>
  <sheetFormatPr defaultColWidth="4.7109375" defaultRowHeight="11.25" x14ac:dyDescent="0.2"/>
  <cols>
    <col min="1" max="1" width="5.7109375" style="295" customWidth="1"/>
    <col min="2" max="2" width="4.28515625" style="295" customWidth="1"/>
    <col min="3" max="3" width="15.7109375" style="295" customWidth="1"/>
    <col min="4" max="4" width="3.7109375" style="295" customWidth="1"/>
    <col min="5" max="5" width="4.42578125" style="295" customWidth="1"/>
    <col min="6" max="6" width="3" style="295" customWidth="1"/>
    <col min="7" max="7" width="4.42578125" style="295" customWidth="1"/>
    <col min="8" max="9" width="3" style="295" customWidth="1"/>
    <col min="10" max="10" width="4.42578125" style="295" customWidth="1"/>
    <col min="11" max="11" width="3" style="295" customWidth="1"/>
    <col min="12" max="13" width="4.42578125" style="295" customWidth="1"/>
    <col min="14" max="14" width="3.28515625" style="295" customWidth="1"/>
    <col min="15" max="15" width="5" style="295" customWidth="1"/>
    <col min="16" max="16" width="3" style="295" customWidth="1"/>
    <col min="17" max="17" width="3.28515625" style="295" customWidth="1"/>
    <col min="18" max="18" width="5" style="295" customWidth="1"/>
    <col min="19" max="19" width="3" style="295" customWidth="1"/>
    <col min="20" max="20" width="2.85546875" style="295" customWidth="1"/>
    <col min="21" max="21" width="4.42578125" style="295" customWidth="1"/>
    <col min="22" max="22" width="2.85546875" style="295" customWidth="1"/>
    <col min="23" max="23" width="4.42578125" style="295" customWidth="1"/>
    <col min="24" max="24" width="4.28515625" style="295" customWidth="1"/>
    <col min="25" max="26" width="4.7109375" style="295" customWidth="1"/>
    <col min="27" max="27" width="21" style="295" customWidth="1"/>
    <col min="28" max="28" width="3.7109375" style="295" customWidth="1"/>
    <col min="29" max="29" width="5.7109375" style="295" hidden="1" customWidth="1"/>
    <col min="30" max="30" width="3.7109375" style="295" hidden="1" customWidth="1"/>
    <col min="31" max="31" width="6.7109375" style="295" hidden="1" customWidth="1"/>
    <col min="32" max="34" width="3.7109375" style="295" hidden="1" customWidth="1"/>
    <col min="35" max="35" width="3.7109375" style="475" hidden="1" customWidth="1"/>
    <col min="36" max="46" width="3.7109375" style="295" hidden="1" customWidth="1"/>
    <col min="47" max="49" width="4.7109375" style="295" hidden="1" customWidth="1"/>
    <col min="50" max="51" width="5.7109375" style="295" hidden="1" customWidth="1"/>
    <col min="52" max="52" width="10.7109375" style="295" hidden="1" customWidth="1"/>
    <col min="53" max="53" width="3.7109375" style="295" customWidth="1"/>
    <col min="54" max="55" width="6.7109375" style="295" hidden="1" customWidth="1"/>
    <col min="56" max="56" width="18.7109375" style="295" hidden="1" customWidth="1"/>
    <col min="57" max="57" width="5.28515625" style="295" hidden="1" customWidth="1"/>
    <col min="58" max="58" width="6.28515625" style="295" hidden="1" customWidth="1"/>
    <col min="59" max="61" width="5.7109375" style="295" hidden="1" customWidth="1"/>
    <col min="62" max="62" width="3.7109375" style="295" hidden="1" customWidth="1"/>
    <col min="63" max="65" width="5.7109375" style="295" hidden="1" customWidth="1"/>
    <col min="66" max="66" width="6.7109375" style="295" hidden="1" customWidth="1"/>
    <col min="67" max="69" width="5.7109375" style="295" hidden="1" customWidth="1"/>
    <col min="70" max="70" width="3.7109375" style="295" hidden="1" customWidth="1"/>
    <col min="71" max="73" width="5.7109375" style="295" hidden="1" customWidth="1"/>
    <col min="74" max="74" width="6.7109375" style="295" hidden="1" customWidth="1"/>
    <col min="75" max="75" width="7.7109375" style="295" hidden="1" customWidth="1"/>
    <col min="76" max="77" width="24.7109375" style="295" hidden="1" customWidth="1"/>
    <col min="78" max="79" width="7.7109375" style="295" hidden="1" customWidth="1"/>
    <col min="80" max="81" width="10.28515625" style="295" hidden="1" customWidth="1"/>
    <col min="82" max="83" width="5.7109375" style="295" hidden="1" customWidth="1"/>
    <col min="84" max="85" width="6.7109375" style="295" hidden="1" customWidth="1"/>
    <col min="86" max="88" width="10.7109375" style="295" hidden="1" customWidth="1"/>
    <col min="89" max="89" width="8.7109375" style="295" hidden="1" customWidth="1"/>
    <col min="90" max="93" width="8.28515625" style="295" hidden="1" customWidth="1"/>
    <col min="94" max="95" width="4.7109375" style="295" hidden="1" customWidth="1"/>
    <col min="96" max="97" width="6.42578125" style="295" hidden="1" customWidth="1"/>
    <col min="98" max="98" width="4.7109375" style="295" customWidth="1"/>
    <col min="99" max="117" width="6.7109375" style="295" hidden="1" customWidth="1"/>
    <col min="118" max="118" width="8.7109375" style="295" hidden="1" customWidth="1"/>
    <col min="119" max="133" width="6.7109375" style="295" hidden="1" customWidth="1"/>
    <col min="134" max="135" width="8.7109375" style="295" hidden="1" customWidth="1"/>
    <col min="136" max="141" width="6.7109375" style="295" hidden="1" customWidth="1"/>
    <col min="142" max="142" width="8.7109375" style="295" hidden="1" customWidth="1"/>
    <col min="143" max="178" width="6.7109375" style="295" hidden="1" customWidth="1"/>
    <col min="179" max="179" width="4.7109375" style="295" customWidth="1"/>
    <col min="180" max="180" width="6.7109375" style="295" hidden="1" customWidth="1"/>
    <col min="181" max="181" width="8.7109375" style="295" hidden="1" customWidth="1"/>
    <col min="182" max="182" width="4.7109375" style="295" customWidth="1"/>
    <col min="183" max="183" width="5.28515625" style="295" customWidth="1"/>
    <col min="184" max="184" width="6.28515625" style="295" customWidth="1"/>
    <col min="185" max="187" width="8.7109375" style="295" customWidth="1"/>
    <col min="188" max="188" width="5.7109375" style="295" customWidth="1"/>
    <col min="189" max="189" width="5.28515625" style="295" customWidth="1"/>
    <col min="190" max="190" width="6.28515625" style="295" customWidth="1"/>
    <col min="191" max="191" width="5.28515625" style="295" hidden="1" customWidth="1"/>
    <col min="192" max="192" width="6.28515625" style="295" hidden="1" customWidth="1"/>
    <col min="193" max="193" width="8.7109375" style="295" hidden="1" customWidth="1"/>
    <col min="194" max="194" width="4.7109375" style="295" hidden="1" customWidth="1"/>
    <col min="195" max="195" width="8.7109375" style="295" hidden="1" customWidth="1"/>
    <col min="196" max="196" width="4.7109375" style="295" customWidth="1"/>
    <col min="197" max="206" width="8.7109375" style="295" hidden="1" customWidth="1"/>
    <col min="207" max="207" width="8.7109375" style="295" customWidth="1"/>
    <col min="208" max="208" width="8.7109375" style="295" hidden="1" customWidth="1"/>
    <col min="209" max="211" width="6.7109375" style="295" hidden="1" customWidth="1"/>
    <col min="212" max="212" width="6.7109375" style="297" hidden="1" customWidth="1"/>
    <col min="213" max="213" width="6.7109375" style="453" hidden="1" customWidth="1"/>
    <col min="214" max="236" width="6.7109375" style="295" hidden="1" customWidth="1"/>
    <col min="237" max="237" width="4.7109375" style="295" hidden="1" customWidth="1"/>
    <col min="238" max="240" width="6.7109375" style="295" hidden="1" customWidth="1"/>
    <col min="241" max="241" width="8.7109375" style="295" customWidth="1"/>
    <col min="242" max="16384" width="4.7109375" style="295"/>
  </cols>
  <sheetData>
    <row r="1" spans="1:241" s="449" customFormat="1" ht="14.45" customHeight="1" thickBot="1" x14ac:dyDescent="0.25">
      <c r="A1" s="443"/>
      <c r="B1" s="443"/>
      <c r="C1" s="443"/>
      <c r="D1" s="443"/>
      <c r="E1" s="443"/>
      <c r="F1" s="443"/>
      <c r="G1" s="443"/>
      <c r="H1" s="443"/>
      <c r="I1" s="444"/>
      <c r="J1" s="444"/>
      <c r="K1" s="444"/>
      <c r="L1" s="444"/>
      <c r="M1" s="444"/>
      <c r="N1" s="443"/>
      <c r="O1" s="444"/>
      <c r="P1" s="2227" t="str">
        <f>IF(AD1="","",VLOOKUP(AD1,'Job Info.'!X:AA,4,FALSE))</f>
        <v>Master</v>
      </c>
      <c r="Q1" s="2227"/>
      <c r="R1" s="2227"/>
      <c r="S1" s="2227"/>
      <c r="T1" s="444"/>
      <c r="U1" s="444"/>
      <c r="V1" s="445"/>
      <c r="W1" s="445"/>
      <c r="X1" s="1421" t="s">
        <v>96</v>
      </c>
      <c r="Y1" s="445"/>
      <c r="Z1" s="445"/>
      <c r="AA1" s="1414" t="str">
        <f ca="1">'Job Info.'!D12</f>
        <v>775-428-0600</v>
      </c>
      <c r="AB1" s="587" t="s">
        <v>763</v>
      </c>
      <c r="AD1" s="448" t="str">
        <f>'Job Info.'!Q30</f>
        <v>M</v>
      </c>
      <c r="AE1" s="449" t="b">
        <f>'Job Info.'!Q32</f>
        <v>0</v>
      </c>
      <c r="AF1" s="975"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42" t="s">
        <v>1148</v>
      </c>
      <c r="DH1" s="458" t="s">
        <v>172</v>
      </c>
      <c r="DI1" s="459" t="s">
        <v>499</v>
      </c>
      <c r="DJ1" s="460" t="s">
        <v>500</v>
      </c>
      <c r="DK1" s="459" t="s">
        <v>501</v>
      </c>
      <c r="DL1" s="459" t="s">
        <v>502</v>
      </c>
      <c r="DM1" s="459" t="s">
        <v>503</v>
      </c>
      <c r="DN1" s="461" t="s">
        <v>722</v>
      </c>
      <c r="DO1" s="296"/>
      <c r="DP1" s="447" t="s">
        <v>1156</v>
      </c>
      <c r="DQ1" s="1243">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84"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5" customHeight="1" thickTop="1" thickBot="1" x14ac:dyDescent="0.3">
      <c r="A2" s="454"/>
      <c r="B2" s="454"/>
      <c r="C2" s="454"/>
      <c r="D2" s="454"/>
      <c r="E2" s="454"/>
      <c r="F2" s="454"/>
      <c r="G2" s="454"/>
      <c r="H2" s="454"/>
      <c r="I2" s="444"/>
      <c r="J2" s="444"/>
      <c r="K2" s="444"/>
      <c r="L2" s="444"/>
      <c r="M2" s="444"/>
      <c r="N2" s="454"/>
      <c r="O2" s="444"/>
      <c r="P2" s="2228" t="str">
        <f>IF(AD1="","",IF(VLOOKUP(AD1,'Job Info.'!X:Z,2,FALSE),"Released for Fabrication",""))</f>
        <v/>
      </c>
      <c r="Q2" s="2229"/>
      <c r="R2" s="2229"/>
      <c r="S2" s="2230"/>
      <c r="T2" s="444"/>
      <c r="U2" s="444"/>
      <c r="V2" s="445"/>
      <c r="W2" s="445"/>
      <c r="X2" s="1421" t="s">
        <v>97</v>
      </c>
      <c r="Y2" s="445"/>
      <c r="Z2" s="445"/>
      <c r="AA2" s="1414"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5" customHeight="1" thickBot="1" x14ac:dyDescent="0.3">
      <c r="A3" s="444"/>
      <c r="B3" s="444"/>
      <c r="C3" s="444"/>
      <c r="D3" s="444"/>
      <c r="E3" s="444"/>
      <c r="F3" s="444"/>
      <c r="G3" s="444"/>
      <c r="H3" s="444"/>
      <c r="I3" s="444"/>
      <c r="J3" s="444"/>
      <c r="K3" s="444"/>
      <c r="L3" s="444"/>
      <c r="M3" s="444"/>
      <c r="N3" s="444"/>
      <c r="O3" s="444"/>
      <c r="P3" s="2231"/>
      <c r="Q3" s="2232"/>
      <c r="R3" s="2232"/>
      <c r="S3" s="2233"/>
      <c r="T3" s="444"/>
      <c r="U3" s="444"/>
      <c r="V3" s="445"/>
      <c r="W3" s="445"/>
      <c r="X3" s="1421" t="s">
        <v>99</v>
      </c>
      <c r="Y3" s="445"/>
      <c r="Z3" s="445"/>
      <c r="AA3" s="1414"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5" customHeight="1" thickTop="1" thickBot="1" x14ac:dyDescent="0.3">
      <c r="A4" s="444"/>
      <c r="B4" s="444"/>
      <c r="C4" s="444"/>
      <c r="D4" s="444"/>
      <c r="E4" s="444"/>
      <c r="F4" s="444"/>
      <c r="G4" s="444"/>
      <c r="H4" s="444"/>
      <c r="I4" s="444"/>
      <c r="J4" s="444"/>
      <c r="K4" s="444"/>
      <c r="L4" s="444"/>
      <c r="M4" s="444"/>
      <c r="N4" s="444"/>
      <c r="O4" s="444"/>
      <c r="P4" s="2234" t="str">
        <f>IF(AD1="","",IF(VLOOKUP(AD1,'Job Info.'!X:Z,2,FALSE),VLOOKUP(AD1,'Job Info.'!X:Z,3,FALSE),""))</f>
        <v/>
      </c>
      <c r="Q4" s="2235"/>
      <c r="R4" s="2235"/>
      <c r="S4" s="2236"/>
      <c r="T4" s="444"/>
      <c r="U4" s="444"/>
      <c r="V4" s="445"/>
      <c r="W4" s="445"/>
      <c r="X4" s="1421" t="s">
        <v>98</v>
      </c>
      <c r="Y4" s="445"/>
      <c r="Z4" s="445"/>
      <c r="AA4" s="1414"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5" customHeight="1" thickTop="1" x14ac:dyDescent="0.25">
      <c r="A5" s="2450" t="str">
        <f ca="1">'Job Info.'!D11</f>
        <v>8200 Woolery Way | Fallon, NV 89406 | www.newmill.com</v>
      </c>
      <c r="B5" s="2790"/>
      <c r="C5" s="2790"/>
      <c r="D5" s="2790"/>
      <c r="E5" s="2790"/>
      <c r="F5" s="2790"/>
      <c r="G5" s="2790"/>
      <c r="H5" s="2790"/>
      <c r="I5" s="2790"/>
      <c r="J5" s="2790"/>
      <c r="K5" s="2790"/>
      <c r="L5" s="2790"/>
      <c r="M5" s="2790"/>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5" customHeight="1" thickBot="1" x14ac:dyDescent="0.3">
      <c r="A6" s="444"/>
      <c r="B6" s="444"/>
      <c r="C6" s="444"/>
      <c r="D6" s="444"/>
      <c r="E6" s="444"/>
      <c r="F6" s="444"/>
      <c r="G6" s="444"/>
      <c r="H6" s="444"/>
      <c r="I6" s="444"/>
      <c r="J6" s="444"/>
      <c r="K6" s="444"/>
      <c r="L6" s="444"/>
      <c r="M6" s="2431" t="str">
        <f>IF(NOT(ISERROR(FIND("galv",LOWER($M$7)))),"**USE STEEL TAGS**  **NO A490 BOLTS**","")</f>
        <v/>
      </c>
      <c r="N6" s="2432"/>
      <c r="O6" s="2432"/>
      <c r="P6" s="2432"/>
      <c r="Q6" s="2432"/>
      <c r="R6" s="2432"/>
      <c r="S6" s="2432"/>
      <c r="T6" s="2432"/>
      <c r="U6" s="1402"/>
      <c r="V6" s="444"/>
      <c r="W6" s="444"/>
      <c r="X6" s="1417" t="s">
        <v>20</v>
      </c>
      <c r="Y6" s="2300">
        <f>IF(ISBLANK('Job Info.'!D8),"",'Job Info.'!D8)</f>
        <v>43406</v>
      </c>
      <c r="Z6" s="2300"/>
      <c r="AA6" s="471"/>
      <c r="AB6" s="446"/>
      <c r="AC6" s="1392"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5" customHeight="1" x14ac:dyDescent="0.25">
      <c r="A7" s="472" t="s">
        <v>0</v>
      </c>
      <c r="B7" s="473"/>
      <c r="C7" s="473"/>
      <c r="D7" s="473"/>
      <c r="E7" s="473"/>
      <c r="F7" s="473"/>
      <c r="G7" s="473"/>
      <c r="H7" s="473"/>
      <c r="I7" s="473"/>
      <c r="J7" s="473"/>
      <c r="K7" s="444"/>
      <c r="L7" s="1417" t="s">
        <v>26</v>
      </c>
      <c r="M7" s="2799" t="str">
        <f>IF(ISBLANK(CC11),"",CC11)</f>
        <v/>
      </c>
      <c r="N7" s="2430"/>
      <c r="O7" s="2430"/>
      <c r="P7" s="2430"/>
      <c r="Q7" s="2430"/>
      <c r="R7" s="2430"/>
      <c r="S7" s="2430"/>
      <c r="T7" s="1420"/>
      <c r="U7" s="1402"/>
      <c r="V7" s="444"/>
      <c r="W7" s="444"/>
      <c r="X7" s="1418" t="s">
        <v>21</v>
      </c>
      <c r="Y7" s="1525" t="str">
        <f>CONCATENATE(AC7, " of ",IF(ISBLANK('Job Info.'!D9),"",'Job Info.'!D9))</f>
        <v xml:space="preserve"> of 42</v>
      </c>
      <c r="Z7" s="822"/>
      <c r="AA7" s="444"/>
      <c r="AB7" s="449"/>
      <c r="AC7" s="1393"/>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5">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2" customHeight="1" thickBot="1" x14ac:dyDescent="0.3">
      <c r="A9" s="476"/>
      <c r="B9" s="1413" t="s">
        <v>1</v>
      </c>
      <c r="C9" s="2225" t="str">
        <f>IF(ISBLANK('Job Info.'!D3),"",'Job Info.'!D3)</f>
        <v>SUNPOINT CROSSING</v>
      </c>
      <c r="D9" s="2225"/>
      <c r="E9" s="2225"/>
      <c r="F9" s="2225"/>
      <c r="G9" s="2225"/>
      <c r="H9" s="2225"/>
      <c r="I9" s="2225"/>
      <c r="J9" s="2225"/>
      <c r="K9" s="2225"/>
      <c r="L9" s="2225"/>
      <c r="M9" s="2225"/>
      <c r="N9" s="2225"/>
      <c r="O9" s="2226"/>
      <c r="P9" s="477"/>
      <c r="Q9" s="478"/>
      <c r="R9" s="1413" t="s">
        <v>2</v>
      </c>
      <c r="S9" s="2225" t="str">
        <f>IF(ISBLANK('Job Info.'!D5),"",'Job Info.'!D5)</f>
        <v>9118-0062</v>
      </c>
      <c r="T9" s="2225"/>
      <c r="U9" s="2225"/>
      <c r="V9" s="2225"/>
      <c r="W9" s="2225"/>
      <c r="X9" s="2225"/>
      <c r="Y9" s="2225"/>
      <c r="Z9" s="2225"/>
      <c r="AA9" s="2226"/>
      <c r="AB9" s="479"/>
      <c r="AL9" s="449"/>
      <c r="AM9" s="449"/>
      <c r="AN9" s="449"/>
      <c r="AO9" s="449"/>
      <c r="AP9" s="449"/>
      <c r="AQ9" s="449"/>
      <c r="AR9" s="449"/>
      <c r="BA9" s="307"/>
      <c r="BB9" s="480"/>
      <c r="BC9" s="293"/>
      <c r="BD9" s="293"/>
      <c r="BE9" s="1207">
        <v>4.5</v>
      </c>
      <c r="BF9" s="1207">
        <v>5.5</v>
      </c>
      <c r="BG9" s="1208">
        <v>5</v>
      </c>
      <c r="BH9" s="1208">
        <v>5</v>
      </c>
      <c r="BI9" s="1208">
        <v>5</v>
      </c>
      <c r="BJ9" s="1208">
        <v>3</v>
      </c>
      <c r="BK9" s="1208">
        <v>5</v>
      </c>
      <c r="BL9" s="1208">
        <v>5</v>
      </c>
      <c r="BM9" s="1208">
        <v>5</v>
      </c>
      <c r="BN9" s="1208">
        <v>6</v>
      </c>
      <c r="BO9" s="1208">
        <v>5</v>
      </c>
      <c r="BP9" s="1208">
        <v>5</v>
      </c>
      <c r="BQ9" s="1208">
        <v>5</v>
      </c>
      <c r="BR9" s="1208">
        <v>3</v>
      </c>
      <c r="BS9" s="1208">
        <v>5</v>
      </c>
      <c r="BT9" s="1208">
        <v>5</v>
      </c>
      <c r="BU9" s="1208">
        <v>5</v>
      </c>
      <c r="BV9" s="1208">
        <v>6</v>
      </c>
      <c r="BW9" s="1209"/>
      <c r="BX9" s="1207">
        <v>24</v>
      </c>
      <c r="BY9" s="1207">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2" customHeight="1" thickBot="1" x14ac:dyDescent="0.25">
      <c r="A10" s="481"/>
      <c r="B10" s="546" t="s">
        <v>3</v>
      </c>
      <c r="C10" s="2225" t="str">
        <f>IF(ISBLANK('Job Info.'!D4),"",'Job Info.'!D4)</f>
        <v>LAS VEGAS, NV</v>
      </c>
      <c r="D10" s="2225"/>
      <c r="E10" s="2225"/>
      <c r="F10" s="2225"/>
      <c r="G10" s="2225"/>
      <c r="H10" s="2225"/>
      <c r="I10" s="2225"/>
      <c r="J10" s="2225"/>
      <c r="K10" s="2225"/>
      <c r="L10" s="2225"/>
      <c r="M10" s="2225"/>
      <c r="N10" s="2225"/>
      <c r="O10" s="2226"/>
      <c r="P10" s="482"/>
      <c r="Q10" s="483"/>
      <c r="R10" s="546" t="s">
        <v>22</v>
      </c>
      <c r="S10" s="2225" t="str">
        <f>IF(ISBLANK('Job Info.'!D6),"",'Job Info.'!D6)</f>
        <v>CJA</v>
      </c>
      <c r="T10" s="2225"/>
      <c r="U10" s="2225"/>
      <c r="V10" s="2225"/>
      <c r="W10" s="2226"/>
      <c r="X10" s="483"/>
      <c r="Y10" s="546" t="s">
        <v>23</v>
      </c>
      <c r="Z10" s="2225" t="str">
        <f>IF(ISBLANK('Job Info.'!D7),"",'Job Info.'!D7)</f>
        <v>LS</v>
      </c>
      <c r="AA10" s="2226"/>
      <c r="AB10" s="479"/>
      <c r="AL10" s="449"/>
      <c r="AM10" s="449"/>
      <c r="AN10" s="449"/>
      <c r="AO10" s="449"/>
      <c r="AP10" s="449"/>
      <c r="AQ10" s="449"/>
      <c r="AR10" s="449"/>
      <c r="BA10" s="307"/>
      <c r="BB10" s="293"/>
      <c r="BC10" s="293"/>
      <c r="BD10" s="293"/>
      <c r="BE10" s="1208">
        <v>6</v>
      </c>
      <c r="BF10" s="1208">
        <v>6</v>
      </c>
      <c r="BG10" s="1208">
        <v>7</v>
      </c>
      <c r="BH10" s="1208">
        <v>6</v>
      </c>
      <c r="BI10" s="1208">
        <v>6</v>
      </c>
      <c r="BJ10" s="1208">
        <v>6</v>
      </c>
      <c r="BK10" s="1208">
        <v>6</v>
      </c>
      <c r="BL10" s="1208">
        <v>6</v>
      </c>
      <c r="BM10" s="1208">
        <v>7</v>
      </c>
      <c r="BN10" s="1208">
        <v>6</v>
      </c>
      <c r="BO10" s="1208">
        <v>7</v>
      </c>
      <c r="BP10" s="1208">
        <v>6</v>
      </c>
      <c r="BQ10" s="1208">
        <v>6</v>
      </c>
      <c r="BR10" s="1208">
        <v>6</v>
      </c>
      <c r="BS10" s="1208">
        <v>6</v>
      </c>
      <c r="BT10" s="1208">
        <v>6</v>
      </c>
      <c r="BU10" s="1208">
        <v>7</v>
      </c>
      <c r="BV10" s="1208">
        <v>6</v>
      </c>
      <c r="BW10" s="1208"/>
      <c r="BX10" s="1208">
        <v>13</v>
      </c>
      <c r="BY10" s="1208">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25">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811" t="s">
        <v>632</v>
      </c>
      <c r="BC11" s="2812"/>
      <c r="BD11" s="2812"/>
      <c r="BE11" s="2812"/>
      <c r="BF11" s="2812"/>
      <c r="BG11" s="2812"/>
      <c r="BH11" s="2812"/>
      <c r="BI11" s="2812"/>
      <c r="BJ11" s="2812"/>
      <c r="BK11" s="2812"/>
      <c r="BL11" s="2812"/>
      <c r="BM11" s="2812"/>
      <c r="BN11" s="2812"/>
      <c r="BO11" s="2812"/>
      <c r="BP11" s="2812"/>
      <c r="BQ11" s="2812"/>
      <c r="BR11" s="2812"/>
      <c r="BS11" s="2812"/>
      <c r="BT11" s="2812"/>
      <c r="BU11" s="2812"/>
      <c r="BV11" s="2813"/>
      <c r="BW11" s="2813"/>
      <c r="BX11" s="2813"/>
      <c r="BY11" s="2814"/>
      <c r="BZ11" s="473"/>
      <c r="CA11" s="473"/>
      <c r="CB11" s="470" t="s">
        <v>719</v>
      </c>
      <c r="CC11" s="2789"/>
      <c r="CD11" s="2430"/>
      <c r="CE11" s="2430"/>
      <c r="CF11" s="2430"/>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74" t="str">
        <f>IF(ISBLANK(CC12),"",CC12)</f>
        <v/>
      </c>
      <c r="AB12" s="486" t="str">
        <f>AA12</f>
        <v/>
      </c>
      <c r="BA12" s="307"/>
      <c r="BB12" s="2815"/>
      <c r="BC12" s="2816"/>
      <c r="BD12" s="2816"/>
      <c r="BE12" s="2816"/>
      <c r="BF12" s="2816"/>
      <c r="BG12" s="2817"/>
      <c r="BH12" s="2817"/>
      <c r="BI12" s="2817"/>
      <c r="BJ12" s="2817"/>
      <c r="BK12" s="2817"/>
      <c r="BL12" s="2817"/>
      <c r="BM12" s="2817"/>
      <c r="BN12" s="2817"/>
      <c r="BO12" s="2817"/>
      <c r="BP12" s="2817"/>
      <c r="BQ12" s="2817"/>
      <c r="BR12" s="2817"/>
      <c r="BS12" s="2817"/>
      <c r="BT12" s="2817"/>
      <c r="BU12" s="2817"/>
      <c r="BV12" s="2818"/>
      <c r="BW12" s="2819"/>
      <c r="BX12" s="2818"/>
      <c r="BY12" s="2820"/>
      <c r="BZ12" s="2633" t="s">
        <v>1104</v>
      </c>
      <c r="CA12" s="2634"/>
      <c r="CB12" s="474" t="s">
        <v>698</v>
      </c>
      <c r="CC12" s="998"/>
      <c r="CD12" s="293"/>
      <c r="CE12" s="293"/>
      <c r="CF12" s="292"/>
      <c r="CG12" s="292"/>
      <c r="CH12" s="292"/>
      <c r="CI12" s="292"/>
      <c r="CJ12" s="292"/>
      <c r="CK12" s="292"/>
      <c r="CL12" s="293"/>
      <c r="CM12" s="1188"/>
      <c r="CN12" s="2824" t="s">
        <v>720</v>
      </c>
      <c r="CO12" s="2825"/>
      <c r="CP12" s="2471" t="s">
        <v>655</v>
      </c>
      <c r="CQ12" s="2806"/>
      <c r="CR12" s="2608" t="s">
        <v>519</v>
      </c>
      <c r="CS12" s="2765"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755" t="s">
        <v>621</v>
      </c>
      <c r="EW12" s="2753" t="s">
        <v>509</v>
      </c>
      <c r="EX12" s="2753" t="s">
        <v>562</v>
      </c>
      <c r="EY12" s="2753" t="s">
        <v>563</v>
      </c>
      <c r="EZ12" s="2753" t="s">
        <v>564</v>
      </c>
      <c r="FA12" s="2753" t="s">
        <v>565</v>
      </c>
      <c r="FB12" s="2753" t="s">
        <v>566</v>
      </c>
      <c r="FC12" s="2753" t="s">
        <v>567</v>
      </c>
      <c r="FD12" s="2753" t="s">
        <v>568</v>
      </c>
      <c r="FE12" s="2753" t="s">
        <v>510</v>
      </c>
      <c r="FF12" s="2753" t="s">
        <v>569</v>
      </c>
      <c r="FG12" s="2753" t="s">
        <v>623</v>
      </c>
      <c r="FH12" s="2753" t="s">
        <v>511</v>
      </c>
      <c r="FI12" s="2753" t="s">
        <v>570</v>
      </c>
      <c r="FJ12" s="2753" t="s">
        <v>512</v>
      </c>
      <c r="FK12" s="2753" t="s">
        <v>571</v>
      </c>
      <c r="FL12" s="2753" t="s">
        <v>624</v>
      </c>
      <c r="FM12" s="2753" t="s">
        <v>513</v>
      </c>
      <c r="FN12" s="2753" t="s">
        <v>514</v>
      </c>
      <c r="FQ12" s="2777" t="s">
        <v>697</v>
      </c>
      <c r="FR12" s="2778"/>
      <c r="GA12" s="473"/>
      <c r="GB12" s="473"/>
      <c r="GC12" s="473"/>
      <c r="GD12" s="473"/>
      <c r="GE12" s="473"/>
      <c r="GF12" s="473"/>
      <c r="GG12" s="473"/>
      <c r="GH12" s="473"/>
      <c r="GI12" s="473"/>
      <c r="GJ12" s="473"/>
      <c r="HA12" s="2836" t="s">
        <v>661</v>
      </c>
      <c r="HB12" s="2837"/>
      <c r="HC12" s="2837"/>
      <c r="HD12" s="2837"/>
      <c r="HE12" s="2837"/>
      <c r="HF12" s="2837"/>
      <c r="HG12" s="2837"/>
      <c r="HH12" s="2837"/>
      <c r="HI12" s="2837"/>
      <c r="HJ12" s="2837"/>
      <c r="HK12" s="2837"/>
      <c r="HL12" s="2837"/>
      <c r="HM12" s="2837"/>
      <c r="HN12" s="2837"/>
      <c r="HO12" s="2837"/>
      <c r="HP12" s="2837"/>
      <c r="HQ12" s="2837"/>
      <c r="HR12" s="2837"/>
      <c r="HS12" s="2837"/>
      <c r="HT12" s="2837"/>
      <c r="HU12" s="2837"/>
      <c r="HV12" s="2838"/>
      <c r="HW12" s="2838"/>
      <c r="HX12" s="2838"/>
      <c r="HY12" s="2839"/>
      <c r="HZ12" s="2839"/>
      <c r="IA12" s="2839"/>
      <c r="IB12" s="2839"/>
      <c r="IC12" s="2839"/>
      <c r="ID12" s="2839"/>
      <c r="IE12" s="2839"/>
      <c r="IF12" s="2840"/>
    </row>
    <row r="13" spans="1:241" ht="12.2" customHeight="1" thickTop="1" thickBot="1" x14ac:dyDescent="0.25">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852" t="s">
        <v>487</v>
      </c>
      <c r="AV13" s="2777" t="s">
        <v>488</v>
      </c>
      <c r="AW13" s="2778"/>
      <c r="AX13" s="555"/>
      <c r="BA13" s="307"/>
      <c r="BB13" s="619"/>
      <c r="BC13" s="620"/>
      <c r="BD13" s="620"/>
      <c r="BE13" s="620"/>
      <c r="BF13" s="621"/>
      <c r="BG13" s="2758" t="s">
        <v>506</v>
      </c>
      <c r="BH13" s="2759"/>
      <c r="BI13" s="2759"/>
      <c r="BJ13" s="2759"/>
      <c r="BK13" s="2759"/>
      <c r="BL13" s="2760"/>
      <c r="BM13" s="2761"/>
      <c r="BN13" s="2762"/>
      <c r="BO13" s="2758" t="s">
        <v>507</v>
      </c>
      <c r="BP13" s="2760"/>
      <c r="BQ13" s="2760"/>
      <c r="BR13" s="2760"/>
      <c r="BS13" s="2760"/>
      <c r="BT13" s="2760"/>
      <c r="BU13" s="2761"/>
      <c r="BV13" s="2762"/>
      <c r="BW13" s="2786" t="s">
        <v>846</v>
      </c>
      <c r="BX13" s="2828"/>
      <c r="BY13" s="2829"/>
      <c r="BZ13" s="2567"/>
      <c r="CA13" s="2569"/>
      <c r="CB13" s="684"/>
      <c r="CC13" s="684"/>
      <c r="CD13" s="293"/>
      <c r="CE13" s="293"/>
      <c r="CF13" s="292"/>
      <c r="CG13" s="292"/>
      <c r="CH13" s="292"/>
      <c r="CI13" s="292"/>
      <c r="CJ13" s="292"/>
      <c r="CK13" s="292"/>
      <c r="CL13" s="1189"/>
      <c r="CM13" s="1190"/>
      <c r="CN13" s="2826"/>
      <c r="CO13" s="2827"/>
      <c r="CP13" s="2807"/>
      <c r="CQ13" s="2808"/>
      <c r="CR13" s="2763"/>
      <c r="CS13" s="2766"/>
      <c r="CU13" s="2731" t="s">
        <v>508</v>
      </c>
      <c r="CV13" s="2732"/>
      <c r="CW13" s="2732"/>
      <c r="CX13" s="2732"/>
      <c r="CY13" s="2732"/>
      <c r="CZ13" s="2732"/>
      <c r="DA13" s="2732"/>
      <c r="DB13" s="2732"/>
      <c r="DC13" s="2732"/>
      <c r="DD13" s="2733"/>
      <c r="DE13" s="2731" t="s">
        <v>507</v>
      </c>
      <c r="DF13" s="2732"/>
      <c r="DG13" s="2732"/>
      <c r="DH13" s="2732"/>
      <c r="DI13" s="2732"/>
      <c r="DJ13" s="2732"/>
      <c r="DK13" s="2732"/>
      <c r="DL13" s="2732"/>
      <c r="DM13" s="2732"/>
      <c r="DN13" s="2733"/>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756"/>
      <c r="EW13" s="2738"/>
      <c r="EX13" s="2754"/>
      <c r="EY13" s="2754"/>
      <c r="EZ13" s="2800"/>
      <c r="FA13" s="2754"/>
      <c r="FB13" s="2754"/>
      <c r="FC13" s="2754"/>
      <c r="FD13" s="2801"/>
      <c r="FE13" s="2801"/>
      <c r="FF13" s="2801"/>
      <c r="FG13" s="2801"/>
      <c r="FH13" s="2801"/>
      <c r="FI13" s="2801"/>
      <c r="FJ13" s="2801"/>
      <c r="FK13" s="2801"/>
      <c r="FL13" s="2801"/>
      <c r="FM13" s="2801"/>
      <c r="FN13" s="2801"/>
      <c r="FQ13" s="2779"/>
      <c r="FR13" s="2780"/>
      <c r="GA13" s="2706" t="s">
        <v>1188</v>
      </c>
      <c r="GB13" s="2706"/>
      <c r="GC13" s="2706"/>
      <c r="GD13" s="2706"/>
      <c r="GE13" s="2706"/>
      <c r="GF13" s="2706"/>
      <c r="GG13" s="2657"/>
      <c r="GH13" s="2657"/>
      <c r="GI13" s="2657"/>
      <c r="GJ13" s="2657"/>
      <c r="HA13" s="2841"/>
      <c r="HB13" s="2842"/>
      <c r="HC13" s="2842"/>
      <c r="HD13" s="2842"/>
      <c r="HE13" s="2842"/>
      <c r="HF13" s="2842"/>
      <c r="HG13" s="2842"/>
      <c r="HH13" s="2842"/>
      <c r="HI13" s="2842"/>
      <c r="HJ13" s="2842"/>
      <c r="HK13" s="2842"/>
      <c r="HL13" s="2842"/>
      <c r="HM13" s="2842"/>
      <c r="HN13" s="2842"/>
      <c r="HO13" s="2842"/>
      <c r="HP13" s="2842"/>
      <c r="HQ13" s="2842"/>
      <c r="HR13" s="2842"/>
      <c r="HS13" s="2842"/>
      <c r="HT13" s="2842"/>
      <c r="HU13" s="2842"/>
      <c r="HV13" s="2843"/>
      <c r="HW13" s="2843"/>
      <c r="HX13" s="2843"/>
      <c r="HY13" s="2844"/>
      <c r="HZ13" s="2844"/>
      <c r="IA13" s="2844"/>
      <c r="IB13" s="2844"/>
      <c r="IC13" s="2844"/>
      <c r="ID13" s="2844"/>
      <c r="IE13" s="2844"/>
      <c r="IF13" s="2845"/>
    </row>
    <row r="14" spans="1:241" ht="12.6" customHeight="1" thickTop="1" thickBot="1" x14ac:dyDescent="0.25">
      <c r="A14" s="2795" t="s">
        <v>40</v>
      </c>
      <c r="B14" s="2791" t="s">
        <v>28</v>
      </c>
      <c r="C14" s="2791" t="s">
        <v>24</v>
      </c>
      <c r="D14" s="2791" t="s">
        <v>25</v>
      </c>
      <c r="E14" s="2853"/>
      <c r="F14" s="2442" t="s">
        <v>9</v>
      </c>
      <c r="G14" s="2443"/>
      <c r="H14" s="2443"/>
      <c r="I14" s="2443" t="s">
        <v>10</v>
      </c>
      <c r="J14" s="2443"/>
      <c r="K14" s="2444"/>
      <c r="L14" s="2442" t="s">
        <v>11</v>
      </c>
      <c r="M14" s="2444"/>
      <c r="N14" s="2344" t="s">
        <v>12</v>
      </c>
      <c r="O14" s="2443"/>
      <c r="P14" s="2443"/>
      <c r="Q14" s="2443" t="s">
        <v>13</v>
      </c>
      <c r="R14" s="2443"/>
      <c r="S14" s="2342"/>
      <c r="T14" s="2442" t="s">
        <v>14</v>
      </c>
      <c r="U14" s="2443"/>
      <c r="V14" s="2443"/>
      <c r="W14" s="2443"/>
      <c r="X14" s="2444"/>
      <c r="Y14" s="2437" t="s">
        <v>112</v>
      </c>
      <c r="Z14" s="2438"/>
      <c r="AA14" s="1373" t="s">
        <v>15</v>
      </c>
      <c r="AB14" s="495"/>
      <c r="AD14" s="510"/>
      <c r="AE14" s="510"/>
      <c r="AF14" s="510"/>
      <c r="AG14" s="510"/>
      <c r="AH14" s="510"/>
      <c r="AI14" s="510"/>
      <c r="AJ14" s="510"/>
      <c r="AK14" s="510"/>
      <c r="AL14" s="510"/>
      <c r="AM14" s="510"/>
      <c r="AN14" s="510"/>
      <c r="AO14" s="510"/>
      <c r="AP14" s="510"/>
      <c r="AQ14" s="510"/>
      <c r="AR14" s="510"/>
      <c r="AS14" s="510"/>
      <c r="AT14" s="510"/>
      <c r="AU14" s="2315"/>
      <c r="AV14" s="2779"/>
      <c r="AW14" s="2780"/>
      <c r="AX14" s="600"/>
      <c r="AY14" s="510"/>
      <c r="AZ14" s="2720" t="s">
        <v>1105</v>
      </c>
      <c r="BA14" s="307"/>
      <c r="BB14" s="2832" t="s">
        <v>576</v>
      </c>
      <c r="BC14" s="2783" t="s">
        <v>131</v>
      </c>
      <c r="BD14" s="2774" t="s">
        <v>577</v>
      </c>
      <c r="BE14" s="2693" t="s">
        <v>578</v>
      </c>
      <c r="BF14" s="2821"/>
      <c r="BG14" s="2616" t="s">
        <v>579</v>
      </c>
      <c r="BH14" s="2618" t="s">
        <v>845</v>
      </c>
      <c r="BI14" s="2619"/>
      <c r="BJ14" s="2772" t="s">
        <v>580</v>
      </c>
      <c r="BK14" s="2774" t="s">
        <v>1118</v>
      </c>
      <c r="BL14" s="2619"/>
      <c r="BM14" s="2484" t="s">
        <v>525</v>
      </c>
      <c r="BN14" s="2784" t="s">
        <v>835</v>
      </c>
      <c r="BO14" s="2616" t="s">
        <v>579</v>
      </c>
      <c r="BP14" s="2618" t="s">
        <v>845</v>
      </c>
      <c r="BQ14" s="2619"/>
      <c r="BR14" s="2772" t="s">
        <v>580</v>
      </c>
      <c r="BS14" s="2774" t="s">
        <v>1118</v>
      </c>
      <c r="BT14" s="2619"/>
      <c r="BU14" s="2484" t="s">
        <v>525</v>
      </c>
      <c r="BV14" s="2626" t="s">
        <v>835</v>
      </c>
      <c r="BW14" s="2787"/>
      <c r="BX14" s="2830"/>
      <c r="BY14" s="2831"/>
      <c r="BZ14" s="2635" t="s">
        <v>677</v>
      </c>
      <c r="CA14" s="2637" t="s">
        <v>678</v>
      </c>
      <c r="CB14" s="2632" t="s">
        <v>847</v>
      </c>
      <c r="CC14" s="2632"/>
      <c r="CD14" s="2632" t="s">
        <v>829</v>
      </c>
      <c r="CE14" s="2632"/>
      <c r="CF14" s="2573" t="s">
        <v>1064</v>
      </c>
      <c r="CG14" s="2573"/>
      <c r="CH14" s="2769" t="s">
        <v>628</v>
      </c>
      <c r="CI14" s="2770"/>
      <c r="CJ14" s="2770"/>
      <c r="CK14" s="2769" t="s">
        <v>629</v>
      </c>
      <c r="CL14" s="2621" t="s">
        <v>827</v>
      </c>
      <c r="CM14" s="2621"/>
      <c r="CN14" s="2826"/>
      <c r="CO14" s="2827"/>
      <c r="CP14" s="2809"/>
      <c r="CQ14" s="2810"/>
      <c r="CR14" s="2763"/>
      <c r="CS14" s="2766"/>
      <c r="CT14" s="510"/>
      <c r="CU14" s="2726" t="s">
        <v>535</v>
      </c>
      <c r="CV14" s="2712" t="s">
        <v>536</v>
      </c>
      <c r="CW14" s="2712" t="s">
        <v>537</v>
      </c>
      <c r="CX14" s="2712" t="s">
        <v>538</v>
      </c>
      <c r="CY14" s="2712" t="s">
        <v>599</v>
      </c>
      <c r="CZ14" s="2712" t="s">
        <v>618</v>
      </c>
      <c r="DA14" s="2712" t="s">
        <v>539</v>
      </c>
      <c r="DB14" s="2712" t="s">
        <v>619</v>
      </c>
      <c r="DC14" s="2712" t="s">
        <v>540</v>
      </c>
      <c r="DD14" s="2712" t="s">
        <v>541</v>
      </c>
      <c r="DE14" s="2726" t="s">
        <v>535</v>
      </c>
      <c r="DF14" s="2712" t="s">
        <v>536</v>
      </c>
      <c r="DG14" s="2712" t="s">
        <v>542</v>
      </c>
      <c r="DH14" s="2712" t="s">
        <v>538</v>
      </c>
      <c r="DI14" s="2712" t="s">
        <v>599</v>
      </c>
      <c r="DJ14" s="2712" t="s">
        <v>618</v>
      </c>
      <c r="DK14" s="2712" t="s">
        <v>539</v>
      </c>
      <c r="DL14" s="2712" t="s">
        <v>619</v>
      </c>
      <c r="DM14" s="2712" t="s">
        <v>540</v>
      </c>
      <c r="DN14" s="2729" t="s">
        <v>541</v>
      </c>
      <c r="DO14" s="2722" t="s">
        <v>528</v>
      </c>
      <c r="DP14" s="2741" t="s">
        <v>543</v>
      </c>
      <c r="DQ14" s="2716" t="s">
        <v>544</v>
      </c>
      <c r="DR14" s="2724" t="s">
        <v>545</v>
      </c>
      <c r="DS14" s="2737" t="s">
        <v>582</v>
      </c>
      <c r="DT14" s="2714" t="s">
        <v>546</v>
      </c>
      <c r="DU14" s="2715"/>
      <c r="DV14" s="2739" t="s">
        <v>1149</v>
      </c>
      <c r="DW14" s="2718" t="s">
        <v>1150</v>
      </c>
      <c r="DX14" s="2720" t="s">
        <v>551</v>
      </c>
      <c r="DY14" s="2737" t="s">
        <v>583</v>
      </c>
      <c r="DZ14" s="2714" t="s">
        <v>548</v>
      </c>
      <c r="EA14" s="2715"/>
      <c r="EB14" s="2718" t="s">
        <v>1151</v>
      </c>
      <c r="EC14" s="2718" t="s">
        <v>1152</v>
      </c>
      <c r="ED14" s="2720" t="s">
        <v>553</v>
      </c>
      <c r="EE14" s="2716" t="s">
        <v>584</v>
      </c>
      <c r="EF14" s="2743" t="s">
        <v>585</v>
      </c>
      <c r="EG14" s="2746"/>
      <c r="EH14" s="2743" t="s">
        <v>586</v>
      </c>
      <c r="EI14" s="2744"/>
      <c r="EJ14" s="2724" t="s">
        <v>587</v>
      </c>
      <c r="EK14" s="2725"/>
      <c r="EL14" s="2716" t="s">
        <v>608</v>
      </c>
      <c r="EM14" s="2743" t="s">
        <v>588</v>
      </c>
      <c r="EN14" s="2746"/>
      <c r="EO14" s="2743" t="s">
        <v>589</v>
      </c>
      <c r="EP14" s="2744"/>
      <c r="EQ14" s="2724" t="s">
        <v>590</v>
      </c>
      <c r="ER14" s="2725"/>
      <c r="ES14" s="2716" t="s">
        <v>12</v>
      </c>
      <c r="ET14" s="2716" t="s">
        <v>13</v>
      </c>
      <c r="EU14" s="2724" t="s">
        <v>622</v>
      </c>
      <c r="EV14" s="2756"/>
      <c r="EW14" s="2738"/>
      <c r="EX14" s="2754"/>
      <c r="EY14" s="2754"/>
      <c r="EZ14" s="2800"/>
      <c r="FA14" s="2754"/>
      <c r="FB14" s="2754"/>
      <c r="FC14" s="2754"/>
      <c r="FD14" s="2801"/>
      <c r="FE14" s="2801"/>
      <c r="FF14" s="2801"/>
      <c r="FG14" s="2801"/>
      <c r="FH14" s="2801"/>
      <c r="FI14" s="2801"/>
      <c r="FJ14" s="2801"/>
      <c r="FK14" s="2801"/>
      <c r="FL14" s="2801"/>
      <c r="FM14" s="2801"/>
      <c r="FN14" s="2801"/>
      <c r="FO14" s="2716" t="s">
        <v>630</v>
      </c>
      <c r="FP14" s="2716" t="s">
        <v>631</v>
      </c>
      <c r="FQ14" s="2833" t="s">
        <v>695</v>
      </c>
      <c r="FR14" s="2848" t="s">
        <v>696</v>
      </c>
      <c r="FS14" s="2741" t="s">
        <v>723</v>
      </c>
      <c r="FT14" s="2851" t="s">
        <v>724</v>
      </c>
      <c r="FU14" s="2543" t="s">
        <v>828</v>
      </c>
      <c r="FV14" s="2544"/>
      <c r="FW14" s="510"/>
      <c r="FX14" s="510"/>
      <c r="FY14" s="510"/>
      <c r="FZ14" s="510"/>
      <c r="GA14" s="2498" t="s">
        <v>749</v>
      </c>
      <c r="GB14" s="2499"/>
      <c r="GC14" s="2498" t="s">
        <v>597</v>
      </c>
      <c r="GD14" s="2499"/>
      <c r="GE14" s="2500" t="s">
        <v>752</v>
      </c>
      <c r="GF14" s="2502" t="s">
        <v>40</v>
      </c>
      <c r="GG14" s="2865" t="s">
        <v>1190</v>
      </c>
      <c r="GH14" s="2866"/>
      <c r="GI14" s="2865" t="s">
        <v>1189</v>
      </c>
      <c r="GJ14" s="2866"/>
      <c r="GK14" s="2491" t="s">
        <v>753</v>
      </c>
      <c r="GL14" s="2491" t="s">
        <v>754</v>
      </c>
      <c r="GM14" s="2491" t="s">
        <v>755</v>
      </c>
      <c r="HA14" s="2846" t="s">
        <v>576</v>
      </c>
      <c r="HB14" s="2702" t="s">
        <v>131</v>
      </c>
      <c r="HC14" s="2702" t="s">
        <v>577</v>
      </c>
      <c r="HD14" s="2802" t="str">
        <f>IF($HA$1,"Joist ""BayLength""","Overall Length")</f>
        <v>Overall Length</v>
      </c>
      <c r="HE14" s="2803"/>
      <c r="HF14" s="2700" t="str">
        <f>IF($HA$1,"Left Sect. #","TCXL Feet")</f>
        <v>TCXL Feet</v>
      </c>
      <c r="HG14" s="2700" t="str">
        <f>IF($HA$1,"L Min Sup Width","TCXL Inch")</f>
        <v>TCXL Inch</v>
      </c>
      <c r="HH14" s="2700" t="str">
        <f>IF($HA$1,"L Max Sup Width","TCXL Type")</f>
        <v>TCXL Type</v>
      </c>
      <c r="HI14" s="2700" t="str">
        <f>IF($HA$1,"Left Bolt ""X""","TCXR Feet")</f>
        <v>TCXR Feet</v>
      </c>
      <c r="HJ14" s="2700" t="str">
        <f>IF($HA$1,"L Min Flg Ga","TCXR Inch")</f>
        <v>TCXR Inch</v>
      </c>
      <c r="HK14" s="2700" t="str">
        <f>IF($HA$1,"L Max Flg Ga","TCXR Type")</f>
        <v>TCXR Type</v>
      </c>
      <c r="HL14" s="2700" t="str">
        <f>IF($HA$1,"Left Skew","BDL")</f>
        <v>BDL</v>
      </c>
      <c r="HM14" s="2700" t="str">
        <f>IF($HA$1,"Left Brg Slp","BDR")</f>
        <v>BDR</v>
      </c>
      <c r="HN14" s="2700" t="str">
        <f>IF($HA$1,"Right Sect. #","BCXL Feet")</f>
        <v>BCXL Feet</v>
      </c>
      <c r="HO14" s="2700" t="str">
        <f>IF($HA$1,"R Min Sup Width","BCXL Inch")</f>
        <v>BCXL Inch</v>
      </c>
      <c r="HP14" s="2700" t="str">
        <f>IF($HA$1,"R Max Sup Width","BCXL Type")</f>
        <v>BCXL Type</v>
      </c>
      <c r="HQ14" s="2700" t="str">
        <f>IF($HA$1,"Right Bolt ""X""","BCXR Feet")</f>
        <v>BCXR Feet</v>
      </c>
      <c r="HR14" s="2700" t="str">
        <f>IF($HA$1,"R Min Flg Ga","BCXR Inch")</f>
        <v>BCXR Inch</v>
      </c>
      <c r="HS14" s="2700" t="str">
        <f>IF($HA$1,"R Max Flg Ga","BCXR Type")</f>
        <v>BCXR Type</v>
      </c>
      <c r="HT14" s="2700" t="str">
        <f>IF($HA$1,"Right Skew","HL Feet")</f>
        <v>HL Feet</v>
      </c>
      <c r="HU14" s="2700" t="str">
        <f>IF($HA$1,"Right Brg Slp","HL Inch")</f>
        <v>HL Inch</v>
      </c>
      <c r="HV14" s="2700" t="str">
        <f>IF($HA$1,"TC Slope","HR Feet")</f>
        <v>HR Feet</v>
      </c>
      <c r="HW14" s="2700" t="str">
        <f>IF($HA$1,"Load Notes","HR Inch")</f>
        <v>HR Inch</v>
      </c>
      <c r="HX14" s="2700" t="str">
        <f>IF($HA$1,"Spcl Notes","Slot Ga")</f>
        <v>Slot Ga</v>
      </c>
      <c r="HY14" s="2700" t="str">
        <f>IF($HA$1,"TC L Override","L Seat Slp")</f>
        <v>L Seat Slp</v>
      </c>
      <c r="HZ14" s="2700" t="str">
        <f>IF($HA$1,"TCR Override","R Seat Slp")</f>
        <v>R Seat Slp</v>
      </c>
      <c r="IA14" s="2700" t="str">
        <f>IF($HA$1,"L-BL Override","Sp Notes")</f>
        <v>Sp Notes</v>
      </c>
      <c r="IB14" s="2700" t="str">
        <f>IF($HA$1,"R-BL Override","Ld Notes")</f>
        <v>Ld Notes</v>
      </c>
      <c r="IC14" s="2700" t="str">
        <f>IF($HA$1,"BCXL ""X""","-")</f>
        <v>-</v>
      </c>
      <c r="ID14" s="2700" t="str">
        <f>IF($HA$1,"BCXR ""X""","-")</f>
        <v>-</v>
      </c>
      <c r="IE14" s="2700" t="str">
        <f>IF($HA$1,"BDL Override","-")</f>
        <v>-</v>
      </c>
      <c r="IF14" s="2834" t="str">
        <f>IF($HA$1,"BDR Override","-")</f>
        <v>-</v>
      </c>
    </row>
    <row r="15" spans="1:241" ht="12.6" customHeight="1" thickTop="1" thickBot="1" x14ac:dyDescent="0.25">
      <c r="A15" s="2796"/>
      <c r="B15" s="2793"/>
      <c r="C15" s="2793"/>
      <c r="D15" s="2793"/>
      <c r="E15" s="2854"/>
      <c r="F15" s="2355" t="s">
        <v>16</v>
      </c>
      <c r="G15" s="2436"/>
      <c r="H15" s="1423" t="s">
        <v>773</v>
      </c>
      <c r="I15" s="2436" t="s">
        <v>16</v>
      </c>
      <c r="J15" s="2436"/>
      <c r="K15" s="549" t="s">
        <v>773</v>
      </c>
      <c r="L15" s="1427" t="s">
        <v>18</v>
      </c>
      <c r="M15" s="549" t="s">
        <v>19</v>
      </c>
      <c r="N15" s="2352" t="s">
        <v>16</v>
      </c>
      <c r="O15" s="2436"/>
      <c r="P15" s="1423" t="s">
        <v>773</v>
      </c>
      <c r="Q15" s="2436" t="s">
        <v>16</v>
      </c>
      <c r="R15" s="2436"/>
      <c r="S15" s="1371" t="s">
        <v>773</v>
      </c>
      <c r="T15" s="2355" t="s">
        <v>81</v>
      </c>
      <c r="U15" s="2436"/>
      <c r="V15" s="2436" t="s">
        <v>82</v>
      </c>
      <c r="W15" s="2436"/>
      <c r="X15" s="549" t="s">
        <v>27</v>
      </c>
      <c r="Y15" s="1427" t="s">
        <v>113</v>
      </c>
      <c r="Z15" s="549" t="s">
        <v>114</v>
      </c>
      <c r="AA15" s="1374" t="s">
        <v>58</v>
      </c>
      <c r="AB15" s="496"/>
      <c r="AC15" s="1225"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316"/>
      <c r="AV15" s="2781"/>
      <c r="AW15" s="2782"/>
      <c r="AX15" s="601" t="s">
        <v>673</v>
      </c>
      <c r="AY15" s="601" t="s">
        <v>134</v>
      </c>
      <c r="AZ15" s="2855"/>
      <c r="BA15" s="307"/>
      <c r="BB15" s="2506"/>
      <c r="BC15" s="2485"/>
      <c r="BD15" s="2508"/>
      <c r="BE15" s="2822"/>
      <c r="BF15" s="2823"/>
      <c r="BG15" s="2617"/>
      <c r="BH15" s="2775"/>
      <c r="BI15" s="2776"/>
      <c r="BJ15" s="2773"/>
      <c r="BK15" s="2775"/>
      <c r="BL15" s="2776"/>
      <c r="BM15" s="2485"/>
      <c r="BN15" s="2785"/>
      <c r="BO15" s="2617"/>
      <c r="BP15" s="2775"/>
      <c r="BQ15" s="2776"/>
      <c r="BR15" s="2773"/>
      <c r="BS15" s="2775"/>
      <c r="BT15" s="2776"/>
      <c r="BU15" s="2485"/>
      <c r="BV15" s="2768"/>
      <c r="BW15" s="2788"/>
      <c r="BX15" s="515" t="s">
        <v>455</v>
      </c>
      <c r="BY15" s="516" t="s">
        <v>592</v>
      </c>
      <c r="BZ15" s="2636"/>
      <c r="CA15" s="2638"/>
      <c r="CB15" s="594" t="s">
        <v>646</v>
      </c>
      <c r="CC15" s="595" t="s">
        <v>647</v>
      </c>
      <c r="CD15" s="594" t="s">
        <v>646</v>
      </c>
      <c r="CE15" s="595" t="s">
        <v>647</v>
      </c>
      <c r="CF15" s="594" t="s">
        <v>646</v>
      </c>
      <c r="CG15" s="595" t="s">
        <v>647</v>
      </c>
      <c r="CH15" s="596" t="s">
        <v>625</v>
      </c>
      <c r="CI15" s="517" t="s">
        <v>626</v>
      </c>
      <c r="CJ15" s="518" t="s">
        <v>627</v>
      </c>
      <c r="CK15" s="2771"/>
      <c r="CL15" s="597" t="s">
        <v>646</v>
      </c>
      <c r="CM15" s="598" t="s">
        <v>647</v>
      </c>
      <c r="CN15" s="1187" t="s">
        <v>646</v>
      </c>
      <c r="CO15" s="519" t="s">
        <v>647</v>
      </c>
      <c r="CP15" s="520" t="s">
        <v>557</v>
      </c>
      <c r="CQ15" s="521" t="s">
        <v>170</v>
      </c>
      <c r="CR15" s="2764"/>
      <c r="CS15" s="2767"/>
      <c r="CT15" s="510"/>
      <c r="CU15" s="2727"/>
      <c r="CV15" s="2728"/>
      <c r="CW15" s="2728"/>
      <c r="CX15" s="2713"/>
      <c r="CY15" s="2713"/>
      <c r="CZ15" s="2713"/>
      <c r="DA15" s="2713"/>
      <c r="DB15" s="2713"/>
      <c r="DC15" s="2713"/>
      <c r="DD15" s="2713"/>
      <c r="DE15" s="2727"/>
      <c r="DF15" s="2728"/>
      <c r="DG15" s="2728"/>
      <c r="DH15" s="2713"/>
      <c r="DI15" s="2713"/>
      <c r="DJ15" s="2713"/>
      <c r="DK15" s="2713"/>
      <c r="DL15" s="2713"/>
      <c r="DM15" s="2713"/>
      <c r="DN15" s="2730"/>
      <c r="DO15" s="2723"/>
      <c r="DP15" s="2742"/>
      <c r="DQ15" s="2717"/>
      <c r="DR15" s="2736"/>
      <c r="DS15" s="2738"/>
      <c r="DT15" s="522" t="s">
        <v>593</v>
      </c>
      <c r="DU15" s="522" t="s">
        <v>594</v>
      </c>
      <c r="DV15" s="2740"/>
      <c r="DW15" s="2719"/>
      <c r="DX15" s="2721"/>
      <c r="DY15" s="2738"/>
      <c r="DZ15" s="522" t="s">
        <v>593</v>
      </c>
      <c r="EA15" s="522" t="s">
        <v>594</v>
      </c>
      <c r="EB15" s="2719"/>
      <c r="EC15" s="2719"/>
      <c r="ED15" s="2721"/>
      <c r="EE15" s="2745"/>
      <c r="EF15" s="523" t="s">
        <v>558</v>
      </c>
      <c r="EG15" s="524" t="s">
        <v>559</v>
      </c>
      <c r="EH15" s="523" t="s">
        <v>558</v>
      </c>
      <c r="EI15" s="524" t="s">
        <v>559</v>
      </c>
      <c r="EJ15" s="523" t="s">
        <v>558</v>
      </c>
      <c r="EK15" s="524" t="s">
        <v>559</v>
      </c>
      <c r="EL15" s="2745"/>
      <c r="EM15" s="523" t="s">
        <v>558</v>
      </c>
      <c r="EN15" s="524" t="s">
        <v>559</v>
      </c>
      <c r="EO15" s="523" t="s">
        <v>558</v>
      </c>
      <c r="EP15" s="524" t="s">
        <v>559</v>
      </c>
      <c r="EQ15" s="523" t="s">
        <v>558</v>
      </c>
      <c r="ER15" s="524" t="s">
        <v>559</v>
      </c>
      <c r="ES15" s="2751"/>
      <c r="ET15" s="2751"/>
      <c r="EU15" s="2752"/>
      <c r="EV15" s="2757"/>
      <c r="EW15" s="2738"/>
      <c r="EX15" s="2754"/>
      <c r="EY15" s="2754"/>
      <c r="EZ15" s="2800"/>
      <c r="FA15" s="2754"/>
      <c r="FB15" s="2754"/>
      <c r="FC15" s="2754"/>
      <c r="FD15" s="2801"/>
      <c r="FE15" s="2801"/>
      <c r="FF15" s="2801"/>
      <c r="FG15" s="2801"/>
      <c r="FH15" s="2801"/>
      <c r="FI15" s="2801"/>
      <c r="FJ15" s="2801"/>
      <c r="FK15" s="2801"/>
      <c r="FL15" s="2801"/>
      <c r="FM15" s="2801"/>
      <c r="FN15" s="2801"/>
      <c r="FO15" s="2751"/>
      <c r="FP15" s="2751"/>
      <c r="FQ15" s="2751"/>
      <c r="FR15" s="2849"/>
      <c r="FS15" s="2850"/>
      <c r="FT15" s="2849"/>
      <c r="FU15" s="610" t="s">
        <v>646</v>
      </c>
      <c r="FV15" s="611" t="s">
        <v>647</v>
      </c>
      <c r="FW15" s="510"/>
      <c r="FX15" s="510"/>
      <c r="FY15" s="510"/>
      <c r="FZ15" s="510"/>
      <c r="GA15" s="1301" t="s">
        <v>1158</v>
      </c>
      <c r="GB15" s="1302" t="s">
        <v>751</v>
      </c>
      <c r="GC15" s="1297" t="s">
        <v>646</v>
      </c>
      <c r="GD15" s="1298" t="s">
        <v>647</v>
      </c>
      <c r="GE15" s="2501"/>
      <c r="GF15" s="2501"/>
      <c r="GG15" s="1303" t="s">
        <v>1158</v>
      </c>
      <c r="GH15" s="1300" t="s">
        <v>751</v>
      </c>
      <c r="GI15" s="1303" t="s">
        <v>1158</v>
      </c>
      <c r="GJ15" s="1300" t="s">
        <v>751</v>
      </c>
      <c r="GK15" s="2492"/>
      <c r="GL15" s="2492"/>
      <c r="GM15" s="2492"/>
      <c r="HA15" s="2847"/>
      <c r="HB15" s="2703"/>
      <c r="HC15" s="2703"/>
      <c r="HD15" s="2703"/>
      <c r="HE15" s="2703"/>
      <c r="HF15" s="2701"/>
      <c r="HG15" s="2701"/>
      <c r="HH15" s="2701"/>
      <c r="HI15" s="2701"/>
      <c r="HJ15" s="2701"/>
      <c r="HK15" s="2701"/>
      <c r="HL15" s="2701"/>
      <c r="HM15" s="2701"/>
      <c r="HN15" s="2701"/>
      <c r="HO15" s="2701"/>
      <c r="HP15" s="2701"/>
      <c r="HQ15" s="2701"/>
      <c r="HR15" s="2701"/>
      <c r="HS15" s="2701"/>
      <c r="HT15" s="2701"/>
      <c r="HU15" s="2701"/>
      <c r="HV15" s="2701"/>
      <c r="HW15" s="2701"/>
      <c r="HX15" s="2701"/>
      <c r="HY15" s="2701"/>
      <c r="HZ15" s="2701"/>
      <c r="IA15" s="2701"/>
      <c r="IB15" s="2701"/>
      <c r="IC15" s="2701"/>
      <c r="ID15" s="2701"/>
      <c r="IE15" s="2701"/>
      <c r="IF15" s="2835"/>
    </row>
    <row r="16" spans="1:241" ht="12.6" customHeight="1" thickTop="1" x14ac:dyDescent="0.25">
      <c r="A16" s="1471" t="str">
        <f t="shared" ref="A16:A44" si="1">IF(BB16="","",UPPER(BB16))</f>
        <v/>
      </c>
      <c r="B16" s="1473" t="str">
        <f t="shared" ref="B16:B44" si="2">IF(BC16="","",BC16)</f>
        <v/>
      </c>
      <c r="C16" s="1473" t="str">
        <f t="shared" ref="C16:C44" si="3">IF(BD16="","",UPPER(BD16))</f>
        <v/>
      </c>
      <c r="D16" s="1909" t="str">
        <f t="shared" ref="D16:D44" si="4">IF(DP16="","",TRUNC(DP16/12))</f>
        <v/>
      </c>
      <c r="E16" s="1982" t="str">
        <f t="shared" ref="E16:E44" si="5">IF(DP16="","",DP16-(D16*12))</f>
        <v/>
      </c>
      <c r="F16" s="1920" t="str">
        <f t="shared" ref="F16:F44" si="6">IF(DX16=0,"",TRUNC(DX16/12))</f>
        <v/>
      </c>
      <c r="G16" s="1910" t="str">
        <f t="shared" ref="G16:G44" si="7">IF(DX16=0,"",DX16-(F16*12))</f>
        <v/>
      </c>
      <c r="H16" s="1965" t="str">
        <f t="shared" ref="H16:H44" si="8">IF(DX16=0,"",CW16)</f>
        <v/>
      </c>
      <c r="I16" s="1909" t="str">
        <f t="shared" ref="I16:I44" si="9">IF(ED16=0,"",TRUNC(ED16/12))</f>
        <v/>
      </c>
      <c r="J16" s="1910" t="str">
        <f t="shared" ref="J16:J44" si="10">IF(ED16=0,"",ED16-(I16*12))</f>
        <v/>
      </c>
      <c r="K16" s="1983" t="str">
        <f t="shared" ref="K16:K44" si="11">IF(ED16=0,"",DG16)</f>
        <v/>
      </c>
      <c r="L16" s="1915" t="str">
        <f t="shared" ref="L16:L44" si="12">DQ16</f>
        <v/>
      </c>
      <c r="M16" s="1961" t="str">
        <f t="shared" ref="M16:M44" si="13">DR16</f>
        <v/>
      </c>
      <c r="N16" s="1917" t="str">
        <f t="shared" ref="N16:N44" si="14">IF(ES16="","",IF(AND(ES16&lt;0,ES16&gt;-12),TRUNC(ES16/12)-0.0000001,TRUNC(ES16/12)))</f>
        <v/>
      </c>
      <c r="O16" s="1910" t="str">
        <f t="shared" ref="O16:O44" si="15">IF(ES16="","",IF(AND(ES16-(N16*12)=0,ES16&lt;0),-0.000001,ES16-(N16*12)))</f>
        <v/>
      </c>
      <c r="P16" s="1908" t="str">
        <f t="shared" ref="P16:P44" si="16">IF(ES16="","",CZ16)</f>
        <v/>
      </c>
      <c r="Q16" s="1909" t="str">
        <f t="shared" ref="Q16:Q44" si="17">IF(ET16="","",IF(AND(ET16&lt;0,ET16&gt;-12),TRUNC(ET16/12)-0.0000001,TRUNC(ET16/12)))</f>
        <v/>
      </c>
      <c r="R16" s="1910" t="str">
        <f t="shared" ref="R16:R44" si="18">IF(ET16="","",IF(AND(ET16-(Q16*12)=0,ET16&lt;0),-0.000001,ET16-(Q16*12)))</f>
        <v/>
      </c>
      <c r="S16" s="1984" t="str">
        <f t="shared" ref="S16:S44" si="19">IF(ET16="","",DJ16)</f>
        <v/>
      </c>
      <c r="T16" s="1920" t="str">
        <f t="shared" ref="T16:T44" si="20">IF(CH16="ERR","",IF(EK16="","",IF(EK16="ERR",TRUNC(EJ16/12),TRUNC(EK16/12))))</f>
        <v/>
      </c>
      <c r="U16" s="1910" t="str">
        <f t="shared" ref="U16:U44" si="21">IF(CH16="ERR","",IF(EK16="","",IF(EK16="ERR",EJ16-(T16*12),EK16-(T16*12))))</f>
        <v/>
      </c>
      <c r="V16" s="1909" t="str">
        <f t="shared" ref="V16:V44" si="22">IF(CI16="ERR","",IF(ER16="","",IF(ER16="ERR",TRUNC(EQ16/12),TRUNC(ER16/12))))</f>
        <v/>
      </c>
      <c r="W16" s="1910" t="str">
        <f t="shared" ref="W16:W44" si="23">IF(CI16="ERR","",IF(ER16="","",IF(ER16="ERR",EQ16-(V16*12),ER16-(V16*12))))</f>
        <v/>
      </c>
      <c r="X16" s="1961">
        <f t="shared" ref="X16:X44" si="24">IF(EV16="",0,EV16)</f>
        <v>0</v>
      </c>
      <c r="Y16" s="1967" t="str">
        <f t="shared" ref="Y16:Y44" si="25">FG16</f>
        <v/>
      </c>
      <c r="Z16" s="1968" t="str">
        <f t="shared" ref="Z16:Z44" si="26">FL16</f>
        <v/>
      </c>
      <c r="AA16" s="1981"/>
      <c r="AC16" s="1226"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63" t="str">
        <f t="shared" ref="AK16:AK45" si="33">IF(AV16="",AW16,AV16)</f>
        <v/>
      </c>
      <c r="AL16" s="1202" t="str">
        <f t="shared" ref="AL16:AL45" si="34">IF(AK16="","",IF(ISERROR(SEARCH("/",C16)),IF(VALUE(MID(C16,SEARCH(AK16,C16)+LEN(AK16),LEN(C16)))&gt;25,"",VALUE(MID(C16,SEARCH(AK16,C16)+LEN(AK16),LEN(C16)))),""))</f>
        <v/>
      </c>
      <c r="AM16" s="1063" t="str">
        <f t="shared" ref="AM16:AM45" si="35">IF(AK16="","",IF(ISERROR(SEARCH("/",C16)),IF(VALUE(MID(C16,SEARCH(AK16,C16)+LEN(AK16),LEN(C16)))&lt;26,"",VALUE(MID(C16,SEARCH(AK16,C16)+LEN(AK16),LEN(C16)))),VALUE(MID(C16,SEARCH(AK16,C16)+LEN(AK16),SEARCH("/",C16)-SEARCH(AK16,C16)-LEN(AK16)))))</f>
        <v/>
      </c>
      <c r="AN16" s="1063" t="str">
        <f t="shared" ref="AN16:AN45" si="36">IF(AK16="","",IF(AK16="CJ",MID(MID(C16,SEARCH("/",C16)+1,LEN(C16)),1,SEARCH("/",MID(C16,SEARCH("/",C16)+1,LEN(C16)))-1),IF(ISERROR(SEARCH("/",C16)),"",VALUE(MID(C16,SEARCH("/",C16)+1,LEN(C16))))))</f>
        <v/>
      </c>
      <c r="AO16" s="1063" t="str">
        <f t="shared" ref="AO16:AO45" si="37">IF(AK16="CJ",VALUE(MID(MID(C16,SEARCH("/",C16)+1,LEN(C16)),SEARCH("/",MID(C16,SEARCH("/",C16)+1,LEN(C16)))+1,LEN(MID(C16,SEARCH("/",C16)+1,LEN(C16))))),"")</f>
        <v/>
      </c>
      <c r="AP16" s="1063" t="b">
        <f>IF(ISERROR(AJ16),FALSE,IF(OR(AJ16=0,ISERROR(AL16),ISERROR(AM16),ISERROR(AN16),ISERROR(AO16)),FALSE,IF(AL16&lt;&gt;"",IF(ISERROR(VLOOKUP(SUBSTITUTE(SUBSTITUTE(C16,"R",""),"A",""),TblJoistSize!$A:$A,1,FALSE)),FALSE,TRUE),TRUE)))</f>
        <v>0</v>
      </c>
      <c r="AQ16" s="1305" t="e">
        <f t="shared" ref="AQ16:AQ45" si="38">VLOOKUP(AK16,$DF$2:$DN$9,4,FALSE)+IF(LEFT(H16,1)="R",IF(ISNUMBER(F16),F16*12,0)+IF(ISNUMBER(G16),G16,0),0)</f>
        <v>#N/A</v>
      </c>
      <c r="AR16" s="1305" t="b">
        <f t="shared" ref="AR16:AR45" si="39">IF(IF(ISNUMBER(T16),T16*12,0)+IF(ISNUMBER(U16),U16,0)&gt;0,IF(AND((IF(ISNUMBER(T16),T16*12,0)+IF(ISNUMBER(U16),U16,0))&gt;=1,(IF(ISNUMBER(T16),T16*12,0)+IF(ISNUMBER(U16),U16,0))&lt;=(AQ16-1)+IF(H16="X",2,0)),TRUE,FALSE),FALSE)</f>
        <v>0</v>
      </c>
      <c r="AS16" s="1305" t="e">
        <f t="shared" ref="AS16:AS45" si="40">VLOOKUP(AK16,$DF$2:$DN$9,4,FALSE)+IF(LEFT(K16,1)="R",(IF(ISNUMBER(I16),I16*12,0)+IF(ISNUMBER(J16),J16,0)),0)</f>
        <v>#N/A</v>
      </c>
      <c r="AT16" s="1305" t="b">
        <f t="shared" ref="AT16:AT45" si="41">IF(IF(ISNUMBER(V16),V16*12,0)+IF(ISNUMBER(W16),W16,0)&gt;0,IF(AND((IF(ISNUMBER(V16),V16*12,0)+IF(ISNUMBER(W16),W16,0))&gt;=1,(IF(ISNUMBER(V16),V16*12,0)+IF(ISNUMBER(W16),W16,0))&lt;=(AS16-1)+IF(K16="X",2,0)),TRUE,FALSE),FALSE)</f>
        <v>0</v>
      </c>
      <c r="AU16" s="1203"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63" t="str">
        <f t="shared" ref="AV16:AV45" si="43">IF(NOT(ISERROR(SEARCH("KCSR",C16))),"KCSR",IF(NOT(ISERROR(SEARCH("KCSA",C16))),"KCSA",IF(NOT(ISERROR(SEARCH("KCS",C16))),"KCS",IF(NOT(ISERROR(SEARCH("KR",C16))),"KR",IF(NOT(ISERROR(SEARCH("KA",C16))),"KA",IF(NOT(ISERROR(SEARCH("K",C16))),"K",IF(NOT(ISERROR(SEARCH("CJ",C16))),"CJ","")))))))</f>
        <v/>
      </c>
      <c r="AW16" s="1063" t="str">
        <f t="shared" ref="AW16:AW45" si="44">IF(NOT(ISERROR(SEARCH("HDR",C16))),"HDR",IF(NOT(ISERROR(SEARCH("JS",C16))),"JS",IF(NOT(ISERROR(SEARCH("SLH",C16))),"SLH",IF(NOT(ISERROR(SEARCH("DLH",C16))),"DLH",IF(NOT(ISERROR(SEARCH("LH",C16))),"LH","")))))</f>
        <v/>
      </c>
      <c r="AX16" s="1063" t="str">
        <f>IF(OR(ISBLANK(A16),A16=""),"",A16)</f>
        <v/>
      </c>
      <c r="AY16" s="1306" t="b">
        <f t="shared" ref="AY16:AY45" si="45">IF($AE$1,IF(AX16=AX15,AY15,IF(AND(AX16&lt;&gt;"",OR(B16=0,B16="")),TRUE,FALSE)),FALSE)</f>
        <v>0</v>
      </c>
      <c r="AZ16" s="1090" t="str">
        <f t="shared" ref="AZ16:AZ45" si="46">IF(AND(NOT(ISERROR(AJ16)),AJ16&gt;0),((IF(D16="",0,D16)*12+IF(E16="",0,E16))-(IF(F16="",0,F16)*12+IF(G16="",0,G16))-(IF(I16="",0,I16)*12+IF(J16="",0,J16)))&gt;AJ16*24,"")</f>
        <v/>
      </c>
      <c r="BA16" s="674"/>
      <c r="BB16" s="842"/>
      <c r="BC16" s="894"/>
      <c r="BD16" s="926"/>
      <c r="BE16" s="927"/>
      <c r="BF16" s="928"/>
      <c r="BG16" s="901"/>
      <c r="BH16" s="1244"/>
      <c r="BI16" s="1245"/>
      <c r="BJ16" s="929"/>
      <c r="BK16" s="902"/>
      <c r="BL16" s="903"/>
      <c r="BM16" s="904"/>
      <c r="BN16" s="905"/>
      <c r="BO16" s="901"/>
      <c r="BP16" s="902"/>
      <c r="BQ16" s="903"/>
      <c r="BR16" s="929"/>
      <c r="BS16" s="902"/>
      <c r="BT16" s="903"/>
      <c r="BU16" s="904"/>
      <c r="BV16" s="905"/>
      <c r="BW16" s="919"/>
      <c r="BX16" s="920"/>
      <c r="BY16" s="921"/>
      <c r="BZ16" s="922"/>
      <c r="CA16" s="923"/>
      <c r="CB16" s="922"/>
      <c r="CC16" s="923"/>
      <c r="CD16" s="924" t="str">
        <f t="shared" ref="CD16:CD45" si="47">IF(CY16="","","X")</f>
        <v/>
      </c>
      <c r="CE16" s="925" t="str">
        <f t="shared" ref="CE16:CE45" si="48">IF(DI16="","","X")</f>
        <v/>
      </c>
      <c r="CF16" s="1147"/>
      <c r="CG16" s="1148"/>
      <c r="CH16" s="730" t="str">
        <f t="shared" ref="CH16:CH45" si="49">IF(EJ16=EK16,IF(EK16="ERR","ERR",""),CONCATENATE(IF(BM16&lt;0,"NS ","FS "),IF(EK16="ERR","Slot Only",CONCATENATE("Slot @ ",EJ16))))</f>
        <v/>
      </c>
      <c r="CI16" s="731" t="str">
        <f t="shared" ref="CI16:CI45" si="50">IF(EQ16=ER16,IF(ER16="ERR","ERR",""),CONCATENATE(IF(BU16&lt;0,"FS ","NS "),IF(ER16="ERR","Slot Only",CONCATENATE("Slot @ ",EQ16))))</f>
        <v/>
      </c>
      <c r="CJ16" s="732" t="str">
        <f t="shared" ref="CJ16:CJ45" si="51">IF(EV16="","",IF(AND(DB16&lt;&gt;EV16,OR(NOT(ISBLANK(BJ16)),CU16="C")),CONCATENATE("LE slots @ ",DB16," Ga."),IF(AND(DL16&lt;&gt;EV16,OR(NOT(ISBLANK(BR16)),DE16="C")),CONCATENATE("RE slots @ ",DL16," Ga."),"")))</f>
        <v/>
      </c>
      <c r="CK16" s="733" t="str">
        <f t="shared" ref="CK16:CK45" si="52">IF(AND(CP16&lt;&gt;"",BM16&lt;&gt;"",CQ16&lt;&gt;"",BU16&lt;&gt;""),"BE",IF(AND(CP16&lt;&gt;"",BM16&lt;&gt;""),"LE",IF(AND(CQ16&lt;&gt;"",BU16&lt;&gt;""),"RE","")))</f>
        <v/>
      </c>
      <c r="CL16" s="734" t="str">
        <f t="shared" ref="CL16:CL45" si="53">IF(ISBLANK(CB16),"",CEILING(DV16,0.125))</f>
        <v/>
      </c>
      <c r="CM16" s="735" t="str">
        <f t="shared" ref="CM16:CM45" si="54">IF(ISBLANK(CC16),"",CEILING(EB16,0.125))</f>
        <v/>
      </c>
      <c r="CN16" s="736" t="str">
        <f t="shared" ref="CN16:CN45" si="55">IF(AND(BW16&lt;&gt;0,BM16&lt;&gt;0),BW16*COS(RADIANS(90-BM16))/(1/COS(RADIANS(90-BM16)))*-1,"")</f>
        <v/>
      </c>
      <c r="CO16" s="737" t="str">
        <f t="shared" ref="CO16:CO45" si="56">IF(AND(BW16&lt;&gt;0,BU16&lt;&gt;0),BW16*COS(RADIANS(90-BU16))/(1/COS(RADIANS(90-BU16))),"")</f>
        <v/>
      </c>
      <c r="CP16" s="760" t="str">
        <f t="shared" ref="CP16:CP45" si="57">IF(BG16="","",IF(AU16="JS","",IF(VLOOKUP(AU16,$DF$2:$DN$9,5,FALSE)&gt;FO16,IF(FO16&gt;=0.0625,CEILING(FO16-0.0625,0.125),FO16),"")))</f>
        <v/>
      </c>
      <c r="CQ16" s="761" t="str">
        <f t="shared" ref="CQ16:CQ45" si="58">IF(BO16="","",IF(AU16="JS","",IF(VLOOKUP(AU16,$DF$2:$DN$9,5,FALSE)&gt;FP16,IF(FP16&gt;=0.0625,CEILING(FP16-0.0625,0.125),FP16),"")))</f>
        <v/>
      </c>
      <c r="CR16" s="951" t="str">
        <f t="shared" ref="CR16:CR45" si="59">IF(AU16="","",IF(ABS(FF16)&lt;ABS($CX$2),VLOOKUP(AU16,$DF$2:$DN$9,3,FALSE),CEILING(VLOOKUP(AU16,$DF$2:$DN$9,3,FALSE)/COS(FE16)+0.375+IF(CU16="M",IF(FE16&gt;0,(DV16-DW16)/12,0),IF(FE16&gt;0,0,(DV16-CV16)/12))*ABS(FF16),0.125)))</f>
        <v/>
      </c>
      <c r="CS16" s="952" t="str">
        <f t="shared" ref="CS16:CS45" si="60">IF(AU16="","",IF(ABS(FK16)&lt;ABS($CX$2),VLOOKUP(AU16,$DF$2:$DN$9,3,FALSE),CEILING(VLOOKUP(AU16,$DF$2:$DN$9,3,FALSE)/COS(FJ16)+0.375+IF(DE16="M",IF(FJ16&lt;0,(EB16-EC16)/12,0),IF(FJ16&lt;0,0,(EB16-DF16)/12))*ABS(FK16),0.125)))</f>
        <v/>
      </c>
      <c r="CU16" s="1091" t="str">
        <f>IF(BG16="","",VLOOKUP(BG16,SectInfo!$B:$N,12,FALSE))</f>
        <v/>
      </c>
      <c r="CV16" s="1092" t="str">
        <f>IF(BG16="","",IF(ISBLANK(BZ16),VLOOKUP(BG16,SectInfo!$B:$N,13,FALSE),BZ16))</f>
        <v/>
      </c>
      <c r="CW16" s="1092" t="str">
        <f>IF(BG16="","",IF(VLOOKUP(BG16,SectInfo!$B:$N,5,FALSE)="","R",UPPER(VLOOKUP(BG16,SectInfo!$B:$N,5,FALSE))))</f>
        <v/>
      </c>
      <c r="CX16" s="1092" t="str">
        <f>IF(BG16="","",IF(ISBLANK(CF16),VLOOKUP(BG16,SectInfo!$B:$N,6,FALSE),CF16))</f>
        <v/>
      </c>
      <c r="CY16" s="1278" t="str">
        <f>IF(BG16="","",IF(VLOOKUP(BG16,SectInfo!$B:$N,10,FALSE)="","",(VLOOKUP(BG16,SectInfo!$B:$N,10,FALSE)*-1)))</f>
        <v/>
      </c>
      <c r="CZ16" s="1448" t="str">
        <f>IF(BG16="","",IF(VLOOKUP(BG16,SectInfo!$B:$N,11,FALSE)="","2",(VLOOKUP(BG16,SectInfo!$B:$N,11,FALSE))))</f>
        <v/>
      </c>
      <c r="DA16" s="1092" t="str">
        <f>IF(BG16="","",IF(VLOOKUP(BG16,SectInfo!$B:$N,7,FALSE)="","",(VLOOKUP(BG16,SectInfo!$B:$N,7,FALSE)*-1)))</f>
        <v/>
      </c>
      <c r="DB16" s="1092" t="str">
        <f>IF(BG16="","",IF(VLOOKUP(BG16,SectInfo!$B:$N,8,FALSE)="",VLOOKUP(AU16,$DF$2:$DN$9,6,FALSE),(VLOOKUP(BG16,SectInfo!$B:$N,8,FALSE))))</f>
        <v/>
      </c>
      <c r="DC16" s="1092" t="str">
        <f>IF(BG16="","",VLOOKUP(BG16,SectInfo!$B:$N,9,FALSE))</f>
        <v/>
      </c>
      <c r="DD16" s="1093">
        <f t="shared" ref="DD16:DD45" si="61">BN16*-1</f>
        <v>0</v>
      </c>
      <c r="DE16" s="1091" t="str">
        <f>IF(BO16="","",VLOOKUP(BO16,SectInfo!$B:$N,12,FALSE))</f>
        <v/>
      </c>
      <c r="DF16" s="1092" t="str">
        <f>IF(BO16="","",IF(ISBLANK(CA16),VLOOKUP(BO16,SectInfo!$B:$N,13,FALSE),CA16))</f>
        <v/>
      </c>
      <c r="DG16" s="1092" t="str">
        <f>IF(BO16="","",IF(VLOOKUP(BO16,SectInfo!$B:$N,5,FALSE)="","R",UPPER(VLOOKUP(BO16,SectInfo!$B:$N,5,FALSE))))</f>
        <v/>
      </c>
      <c r="DH16" s="1092" t="str">
        <f>IF(BO16="","",IF(ISBLANK(CG16),VLOOKUP(BO16,SectInfo!$B:$N,6,FALSE),CG16))</f>
        <v/>
      </c>
      <c r="DI16" s="1092" t="str">
        <f>IF(BO16="","",IF(VLOOKUP(BO16,SectInfo!$B:$N,10,FALSE)="","",(VLOOKUP(BO16,SectInfo!$B:$N,10,FALSE)*-1)))</f>
        <v/>
      </c>
      <c r="DJ16" s="1448" t="str">
        <f>IF(BO16="","",IF(VLOOKUP(BO16,SectInfo!$B:$N,11,FALSE)="","2",(VLOOKUP(BO16,SectInfo!$B:$N,11,FALSE))))</f>
        <v/>
      </c>
      <c r="DK16" s="1092" t="str">
        <f>IF(BO16="","",IF(VLOOKUP(BO16,SectInfo!$B:$N,7,FALSE)="","",(VLOOKUP(BO16,SectInfo!$B:$N,7,FALSE)*-1)))</f>
        <v/>
      </c>
      <c r="DL16" s="1092" t="str">
        <f>IF(BO16="","",IF(VLOOKUP(BO16,SectInfo!$B:$N,8,FALSE)="",VLOOKUP(AU16,$DF$2:$DN$9,6,FALSE),(VLOOKUP(BO16,SectInfo!$B:$N,8,FALSE))))</f>
        <v/>
      </c>
      <c r="DM16" s="1092" t="str">
        <f>IF(BO16="","",VLOOKUP(BO16,SectInfo!$B:$N,9,FALSE))</f>
        <v/>
      </c>
      <c r="DN16" s="1093">
        <f t="shared" ref="DN16:DN45" si="62">BV16*-1</f>
        <v>0</v>
      </c>
      <c r="DO16" s="1094">
        <f t="shared" ref="DO16:DO45" si="63">IF(BW16="",0,ATAN(BW16/12))</f>
        <v>0</v>
      </c>
      <c r="DP16" s="1095" t="str">
        <f t="shared" ref="DP16:DP45" si="64">IF(OR(CV16="",BE16="",DF16=""),"",CEILING(IF(AND(BE16="",BF16=""),"",((BE16*12+BF16)+CV16+DF16)/COS(FN16))-0.0625,0.125))</f>
        <v/>
      </c>
      <c r="DQ16" s="1095" t="str">
        <f t="shared" ref="DQ16:DQ45" si="65">IF(AU16="","",IF(ABS(FF16)&lt;ABS($CX$2),CX16,IF(FF16=0,CX16,CEILING((CX16+((DW16-CV16)/12)*FF16)-0.0625,0.125))))</f>
        <v/>
      </c>
      <c r="DR16" s="1095" t="str">
        <f t="shared" ref="DR16:DR45" si="66">IF(AU16="","",IF(ABS(FK16)&lt;ABS($CX$2),DH16,IF(FK16=0,DH16,CEILING((DH16+((EC16-DF16)/12)*FK16)-0.0625,0.125))))</f>
        <v/>
      </c>
      <c r="DS16" s="1096">
        <f t="shared" ref="DS16:DS45" si="67">IF(BM16="",0,RADIANS(ABS(BM16)))</f>
        <v>0</v>
      </c>
      <c r="DT16" s="1052">
        <f t="shared" ref="DT16:DT45" si="68">MIN(IF(BH16&gt;0,BH16/2,MAX(BI16/2,DC16)),IF(BI16&gt;0,BI16/2,MAX(BH16/2,DC16)),IF(DC16&gt;0,DC16,MAX(BI16/2,BH16/2)))/IF(OR(CU16="C",AND(CU16="M",$DD$1="N")),1,COS(DS16))</f>
        <v>0</v>
      </c>
      <c r="DU16" s="1052" t="str">
        <f t="shared" ref="DU16:DU45" si="69">IF(CV16="","",IF(DC16&gt;=0,MAX(BH16/2,BI16/2,DC16),DC16)/IF(OR(CU16="C",AND(CU16="M",$DD$1="N")),1,COS(DS16)))</f>
        <v/>
      </c>
      <c r="DV16" s="1095" t="str">
        <f t="shared" ref="DV16:DV45" si="70">IF(CV16="","",(CV16+DU16+(VLOOKUP(IF(AU16="HDR","K",AU16),$DF$2:$DN$9,2,FALSE))*TAN(DS16))/COS(FD16)-FH16)</f>
        <v/>
      </c>
      <c r="DW16" s="1095" t="str">
        <f t="shared" ref="DW16:DW45" si="71">IF(CV16="","",MAX(0,IF(NOT(ISBLANK(CB16)),CV16-CB16,DV16-VLOOKUP(IF(AU16="HDR","K",AU16),$DF$2:$DN$9,4,FALSE))))</f>
        <v/>
      </c>
      <c r="DX16" s="1451">
        <f t="shared" ref="DX16:DX45" si="72">IF(CV16="",0,IF(DW16/COS(FN16-FD16)&lt;0.0625,0,CEILING(DW16/COS(FN16-FD16)-0.03125,0.125)))</f>
        <v>0</v>
      </c>
      <c r="DY16" s="1095">
        <f t="shared" ref="DY16:DY45" si="73">RADIANS(ABS(BU16))</f>
        <v>0</v>
      </c>
      <c r="DZ16" s="1052">
        <f t="shared" ref="DZ16:DZ45" si="74">MIN(IF(BP16&gt;0,BP16/2,MAX(BQ16/2,DM16)),IF(BQ16&gt;0,BQ16/2,MAX(BP16/2,DM16)),IF(DM16&gt;0,DM16,MAX(BQ16/2,BP16/2)))/IF(OR(DE16="C",AND(DE16="M",$DD$1="N")),1,COS(DY16))</f>
        <v>0</v>
      </c>
      <c r="EA16" s="1052" t="str">
        <f t="shared" ref="EA16:EA45" si="75">IF(DF16="","",IF(DM16&gt;=0,MAX(BP16/2,BQ16/2,DM16),DM16)/IF(OR(DE16="C",AND(DE16="M",$DD$1="N")),1,COS(DY16)))</f>
        <v/>
      </c>
      <c r="EB16" s="1095" t="str">
        <f t="shared" ref="EB16:EB45" si="76">IF(DF16="","",(DF16+EA16+(VLOOKUP(IF(AU16="HDR","K",AU16),$DF$2:$DN$9,2,FALSE))*TAN(DY16))/COS(FI16)-FM16)</f>
        <v/>
      </c>
      <c r="EC16" s="1095" t="str">
        <f t="shared" ref="EC16:EC45" si="77">IF(DF16="","",MAX(0,IF(NOT(ISBLANK(CC16)),DF16-CC16,EB16-VLOOKUP(IF(AU16="HDR","K",AU16),$DF$2:$DN$9,4,FALSE))))</f>
        <v/>
      </c>
      <c r="ED16" s="1451">
        <f t="shared" ref="ED16:ED45" si="78">IF(DF16="",0,IF(EC16/COS(FN16+FI16)&lt;0.0625,0,CEILING(EC16/COS(FN16+FI16)-0.03125,0.125)))</f>
        <v>0</v>
      </c>
      <c r="EE16" s="1107" t="str">
        <f t="shared" ref="EE16:EE45" si="79">IF(AND(EZ16="",DA16=""),"",IF(EZ16="ERR","ERR",IF(CU16="C",DA16,IF(BJ16="","",IF(DA16="",(EZ16/2)*-1,DA16)))))</f>
        <v/>
      </c>
      <c r="EF16" s="1095" t="str">
        <f t="shared" ref="EF16:EF45" si="80">IF(EE16="ERR","ERR",IF(EE16="","",IF(DB16*TAN(DS16)&lt;=(VLOOKUP(AU16,$DF$2:$DN$9,8,FALSE)-(VLOOKUP(AU16,$DF$2:$DN$9,7,FALSE)-0.0625)),CV16-(EE16-FH16)/IF(OR(CU16="C",AND(CU16="M",$DD$1="N")),1,COS(DS16))-IF(MID(CW16,1,1)="R",0,DW16),(ABS(EE16-FH16)/IF(OR(CU16="C",AND(CU16="M",$DD$1="N")),1,COS(DS16))+CV16)-((DB16/2)*TAN(DS16))-IF(MID(CW16,1,1)="R",0,DW16))))</f>
        <v/>
      </c>
      <c r="EG16" s="1095" t="str">
        <f t="shared" ref="EG16:EG45" si="81">IF(EE16="ERR","ERR",IF(EE16="","",IF(DB16*TAN(DS16)&lt;=(VLOOKUP(AU16,$DF$2:$DN$9,8,FALSE)-(VLOOKUP(AU16,$DF$2:$DN$9,7,FALSE)-0.0625)),CV16-(EE16-FH16)/IF(OR(CU16="C",AND(CU16="M",$DD$1="N")),1,COS(DS16))-IF(MID(CW16,1,1)="R",0,DW16),(ABS(EE16-FH16)/IF(OR(CU16="C",AND(CU16="M",$DD$1="N")),1,COS(DS16))+CV16)+((DB16/2)*TAN(DS16))-IF(MID(CW16,1,1)="R",0,DW16))))</f>
        <v/>
      </c>
      <c r="EH16" s="1095" t="e">
        <f t="shared" ref="EH16:EH45" si="8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95" t="e">
        <f t="shared" ref="EI16:EI45" si="8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95" t="str">
        <f t="shared" ref="EJ16:EK45" si="84">IF(ISERROR(EF16),"ERR",IF(EF16="","",IF(EH16="ERR","ERR",CEILING(EH16-0.0625,0.125))))</f>
        <v/>
      </c>
      <c r="EK16" s="1095" t="str">
        <f t="shared" si="84"/>
        <v/>
      </c>
      <c r="EL16" s="1107" t="str">
        <f t="shared" ref="EL16:EL45" si="85">IF(AND(FC16="",DK16=""),"",IF(FC16="ERR","ERR",IF(DE16="C",DK16,IF(BR16="","",IF(DK16="",(FC16/2)*-1,DK16)))))</f>
        <v/>
      </c>
      <c r="EM16" s="1095" t="str">
        <f t="shared" ref="EM16:EM45" si="86">IF(EL16="ERR","ERR",IF(EL16="","",IF(DL16*TAN(DY16)&lt;=(VLOOKUP(AU16,$DF$2:$DN$9,8,FALSE)-(VLOOKUP(AU16,$DF$2:$DN$9,7,FALSE)-0.0625)),DF16-(EL16-FM16)/IF(OR(DE16="C",AND(DE16="M",$DD$1="N")),1,COS(DY16))-IF(MID(DG16,1,1)="R",0,EC16),(ABS(EL16-FM16)/IF(OR(DE16="C",AND(DE16="M",$DD$1="N")),1,COS(DY16))+DF16)-((DL16/2)*TAN(DY16))-IF(MID(DG16,1,1)="R",0,EC16))))</f>
        <v/>
      </c>
      <c r="EN16" s="1095" t="str">
        <f t="shared" ref="EN16:EN45" si="87">IF(EL16="ERR","ERR",IF(EL16="","",IF(DL16*TAN(DY16)&lt;=(VLOOKUP(AU16,$DF$2:$DN$9,8,FALSE)-(VLOOKUP(AU16,$DF$2:$DN$9,7,FALSE)-0.0625)),DF16-(EL16-FM16)/IF(OR(DE16="C",AND(DE16="M",$DD$1="N")),1,COS(DY16))-IF(MID(DG16,1,1)="R",0,EC16),(ABS(EL16-FM16)/IF(OR(DE16="C",AND(DE16="M",$DD$1="N")),1,COS(DY16))+DF16)+((DL16/2)*TAN(DY16))-IF(MID(DG16,1,1)="R",0,EC16))))</f>
        <v/>
      </c>
      <c r="EO16" s="1095" t="e">
        <f t="shared" ref="EO16:EO45" si="8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95" t="e">
        <f t="shared" ref="EP16:EP45" si="8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95" t="str">
        <f t="shared" ref="EQ16:ER45" si="90">IF(ISERROR(EM16),"ERR",IF(EM16="","",IF(EO16="ERR","ERR",CEILING(EO16-0.0625,0.125))))</f>
        <v/>
      </c>
      <c r="ER16" s="1095" t="str">
        <f t="shared" si="90"/>
        <v/>
      </c>
      <c r="ES16" s="1053" t="str">
        <f t="shared" ref="ES16:ES45" si="91">IF(OR(CY16="",AU16="JS",AU16="HDR",CD16=""),"",IF((CV16-CY16)/COS(DO16)-FS16&lt;=-0.0625,CEILING((CV16-CY16)/COS(DO16)-FS16+0.0625,-0.125),IF((CV16-CY16)/COS(DO16)-FS16&gt;=0.0625,CEILING((CV16-CY16)/COS(DO16)-FS16-0.0625,0.125),0)))</f>
        <v/>
      </c>
      <c r="ET16" s="1053" t="str">
        <f t="shared" ref="ET16:ET45" si="92">IF(OR(DI16="",AU16="JS",AU16="HDR",CE16=""),"",IF((DF16-DI16)/COS(DO16)-FT16&lt;=-0.0625,CEILING((DF16-DI16)/COS(DO16)-FT16+0.0625,-0.125),IF((DF16-DI16)/COS(DO16)-FT16&gt;=0.0625,CEILING((DF16-DI16)/COS(DO16)-FT16-0.0625,0.125),0)))</f>
        <v/>
      </c>
      <c r="EU16" s="1097" t="str">
        <f t="shared" ref="EU16:EU45" si="93">IF(AU16="","",VLOOKUP(AU16,$DF$2:$DN$9,6,FALSE))</f>
        <v/>
      </c>
      <c r="EV16" s="1055" t="str">
        <f t="shared" ref="EV16:EV45" si="94">IF(AND(EK16="",ER16=""),"",IF(EK16="",DL16,IF(EQ16="",DB16,IF(DB16&lt;&gt;DL16,EU16,DB16))))</f>
        <v/>
      </c>
      <c r="EW16" s="1097"/>
      <c r="EX16" s="1097" t="str">
        <f>IF(AND(CU16="G", ISBLANK(BK16), ISBLANK(BL16)),VLOOKUP(MIN(BH16:BI16),TblJoistSize!$M$3:$N$10,2),IF(OR(CU16="B",CU16="G"),MIN(BK16:BL16),""))</f>
        <v/>
      </c>
      <c r="EY16" s="1097" t="str">
        <f>IF(AND(CU16="G", ISBLANK(BK16), ISBLANK(BL16)),VLOOKUP(MAX(BH16:BI16),TblJoistSize!$M$3:$N$10,2),IF(OR(CU16="B",CU16="G"),MAX(BK16:BL16),""))</f>
        <v/>
      </c>
      <c r="EZ16" s="1097" t="str">
        <f t="shared" ref="EZ16:EZ45" si="95">IF(BJ16="X",IF(OR(CU16="M",CU16="C"),"",IF((EY16-EX16)/2&lt;=(VLOOKUP(AU16,$DF$2:$DN$9,8,FALSE)-(VLOOKUP(AU16,$DF$2:$DN$9,7,FALSE)-0.0625)),(EX16+EY16)/2,"ERR")),"")</f>
        <v/>
      </c>
      <c r="FA16" s="1097" t="str">
        <f>IF(AND(DE16="G", ISBLANK(BS16), ISBLANK(BT16)),VLOOKUP(MIN(BP16:BQ16),TblJoistSize!$M$3:$N$10,2),IF(OR(DE16="B", DE16="G"),MIN(BS16:BT16),""))</f>
        <v/>
      </c>
      <c r="FB16" s="1097" t="str">
        <f>IF(AND(DE16="G", ISBLANK(BS16), ISBLANK(BT16)),VLOOKUP(MAX(BP16:BQ16),TblJoistSize!$M$3:$N$10,2),IF(OR(DE16="B", DE16="G"),MAX(BS16:BT16),""))</f>
        <v/>
      </c>
      <c r="FC16" s="1097" t="str">
        <f t="shared" ref="FC16:FC45" si="96">IF(BR16="X",IF(OR(DE16="M",DE16="C"),"",IF((FB16-FA16)/2&lt;=(VLOOKUP(AU16,$DF$2:$DN$9,8,FALSE)-(VLOOKUP(AU16,$DF$2:$DN$9,7,FALSE)-0.0625)),(FA16+FB16)/2,"ERR")),"")</f>
        <v/>
      </c>
      <c r="FD16" s="1096">
        <f>IF(DD16="",0,ATAN(DD16/12))</f>
        <v>0</v>
      </c>
      <c r="FE16" s="1096">
        <f t="shared" ref="FE16:FE45" si="97">DO16-FD16</f>
        <v>0</v>
      </c>
      <c r="FF16" s="1096">
        <f t="shared" ref="FF16:FF45" si="98">TAN(FE16)*12</f>
        <v>0</v>
      </c>
      <c r="FG16" s="1096" t="str">
        <f t="shared" ref="FG16:FG45" si="99">IF(FF16=0,"",IF(ABS(FF16)&lt;$CX$2,IF(AND(ABS(MIN(DV16,FQ16)/12*FF16)&gt;$DD$2,FF16&gt;0),IF(FF16&gt;0,CEILING(FF16-0.0625,0.125),CEILING(FF16+0.0625,-0.125)),""),IF(FF16&gt;0,CEILING(FF16-0.0625,0.125),CEILING(FF16+0.0625,-0.125))))</f>
        <v/>
      </c>
      <c r="FH16" s="1095" t="str">
        <f t="shared" ref="FH16:FH45" si="100">IF(CX16="","",CX16*TAN(FD16))</f>
        <v/>
      </c>
      <c r="FI16" s="1096">
        <f>IF(DN16="",0,ATAN(DN16/12))</f>
        <v>0</v>
      </c>
      <c r="FJ16" s="1096">
        <f t="shared" ref="FJ16:FJ45" si="101">DO16+FI16</f>
        <v>0</v>
      </c>
      <c r="FK16" s="1096">
        <f t="shared" ref="FK16:FK45" si="102">TAN(FJ16)*-12</f>
        <v>0</v>
      </c>
      <c r="FL16" s="1096" t="str">
        <f t="shared" ref="FL16:FL45" si="103">IF(FK16=0,"",IF(ABS(FK16)&lt;$CX$2,IF(AND(ABS(MIN(EB16,FR16)/12*FK16)&gt;$DD$2,FK16&gt;0),IF(FK16&gt;0,CEILING(FK16-0.0625,0.125),CEILING(FK16+0.0625,-0.125)),""),IF(FK16&gt;0,CEILING(FK16-0.0625,0.125),CEILING(FK16+0.0625,-0.125))))</f>
        <v/>
      </c>
      <c r="FM16" s="1095" t="str">
        <f t="shared" ref="FM16:FM45" si="104">IF(DH16="","",DH16*TAN(FI16))</f>
        <v/>
      </c>
      <c r="FN16" s="1095" t="e">
        <f t="shared" ref="FN16:FN45" si="105">IF(((BE16*12+BF16)+CV16+DF16)/COS(DO16)-((BE16*12+BF16)+CV16+DF16)&lt;$DB$2,0,DO16)</f>
        <v>#VALUE!</v>
      </c>
      <c r="FO16" s="1098" t="e">
        <f t="shared" ref="FO16:FO45" si="106">MIN(IF(BH16&gt;0,BH16/2,MAX(BI16/2,DC16)),IF(BI16&gt;0,BI16/2,MAX(BH16/2,DC16)),IF(DC16&gt;0,DC16,MAX(BI16/2,BH16/2)))/COS(DS16)+CV16-DW16</f>
        <v>#VALUE!</v>
      </c>
      <c r="FP16" s="1098" t="e">
        <f t="shared" ref="FP16:FP45" si="107">MIN(IF(BP16&gt;0,BP16/2,MAX(BQ16/2,DM16)),IF(BQ16&gt;0,BQ16/2,MAX(BP16/2,DM16)),IF(DM16&gt;0,DM16,MAX(BQ16/2,BP16/2)))/COS(DY16)+DF16-EC16</f>
        <v>#VALUE!</v>
      </c>
      <c r="FQ16" s="1099" t="e">
        <f t="shared" ref="FQ16:FQ45" si="108">IF(OR(CU16="M", CU16="B",CU16="G"),MAX(BH16,BI16),DC16+CV16)</f>
        <v>#VALUE!</v>
      </c>
      <c r="FR16" s="1100" t="e">
        <f t="shared" ref="FR16:FR45" si="109">IF(OR(DE16="M", DE16="B",DE16="G"),MAX(BP16,BQ16),DM16+DF16)</f>
        <v>#VALUE!</v>
      </c>
      <c r="FS16" s="1101" t="str">
        <f t="shared" ref="FS16:FS45" si="110">IF(CY16="","",IF(ABS(BW16*((AJ16-IF(BW16&gt;0,VLOOKUP(AU16,$DF$2:$DN$9,9,FALSE),0))/12))&gt;$CZ$2,BW16*((AJ16-IF(BW16&gt;0,VLOOKUP(AU16,$DF$2:$DN$9,9,FALSE),0))/12),0))</f>
        <v/>
      </c>
      <c r="FT16" s="1102" t="str">
        <f t="shared" ref="FT16:FT45" si="111">IF(DI16="","",IF(ABS(BW16*((AJ16-IF(BW16&lt;0,VLOOKUP(AU16,$DF$2:$DN$9,9,FALSE),0))/12))&gt;$CZ$2,BW16*((AJ16-IF(BW16&lt;0,VLOOKUP(AU16,$DF$2:$DN$9,9,FALSE),0))/12)*-1,0))</f>
        <v/>
      </c>
      <c r="FU16" s="1103">
        <f t="shared" ref="FU16:FU45" si="112">IF(CX16="",0,MAX(0,MIN(DV16-VLOOKUP(AU16,DF$2:DN$9,4,FALSE),(MAX(0,CX16-VLOOKUP(AU16,DF$2:DN$9,3,FALSE))+VLOOKUP(AU16,DF$2:DN$9,4,FALSE))*COS(DO16)+((MAX(0,CX16-VLOOKUP(AU16,DF$2:DN$9,3,FALSE))+VLOOKUP(AU16,DF$2:DN$9,4,FALSE))*COS(PI()/2-DO16))/TAN(PI()/2-(DO16+PI()/4))-VLOOKUP(AU16,DF$2:DN$9,4,FALSE))))</f>
        <v>0</v>
      </c>
      <c r="FV16" s="1104">
        <f t="shared" ref="FV16:FV45" si="113">IF(DH16="",0,MAX(0,MIN(EB16-VLOOKUP(AU16,DF$2:DN$9,4,FALSE),(MAX(0,DH16-VLOOKUP(AU16,DF$2:DN$9,3,FALSE))+VLOOKUP(AU16,DF$2:DN$9,4,FALSE))*COS(DO16)+((MAX(0,DH16-VLOOKUP(AU16,DF$2:DN$9,3,FALSE))+VLOOKUP(AU16,DF$2:DN$9,4,FALSE))*COS(PI()/2-DO16))/TAN(PI()/2-(DO16+PI()/4))-VLOOKUP(AU16,DF$2:DN$9,4,FALSE))))</f>
        <v>0</v>
      </c>
      <c r="GA16" s="1975" t="str">
        <f t="shared" ref="GA16:GA45" si="114">IF(GF16="","",BE16)</f>
        <v/>
      </c>
      <c r="GB16" s="1976" t="str">
        <f t="shared" ref="GB16:GB45" si="115">IF(GF16="","",BF16)</f>
        <v/>
      </c>
      <c r="GC16" s="1977" t="str">
        <f t="shared" ref="GC16:GC45" si="116">IF(GF16="","",IF(CV16="",0,CV16))</f>
        <v/>
      </c>
      <c r="GD16" s="1978" t="str">
        <f t="shared" ref="GD16:GD45" si="117">IF(GF16="","",IF(DF16="",0,DF16))</f>
        <v/>
      </c>
      <c r="GE16" s="1979" t="str">
        <f t="shared" ref="GE16:GE45" si="118">IF(GF16="","",BW16)</f>
        <v/>
      </c>
      <c r="GF16" s="1980" t="str">
        <f t="shared" ref="GF16:GF45" si="119">IF(A16=0,"",A16)</f>
        <v/>
      </c>
      <c r="GG16" s="1453"/>
      <c r="GH16" s="1454"/>
      <c r="GI16" s="1453"/>
      <c r="GJ16" s="1454"/>
      <c r="GK16" s="533">
        <f t="shared" ref="GK16:GK45" si="120">IF(D16="",0,D16*12+E16)</f>
        <v>0</v>
      </c>
      <c r="GL16" s="534" t="e">
        <f t="shared" ref="GL16:GL45" si="121">(GA16*12+GB16+GC16+GD16)/COS(ATAN(ABS(GE16/12)))</f>
        <v>#VALUE!</v>
      </c>
      <c r="GM16" s="535" t="e">
        <f>IF(ABS(GK16-GL16)&gt;='Job Info.'!$L$22,ABS(GK16-GL16),0)</f>
        <v>#VALUE!</v>
      </c>
      <c r="HA16" s="1652"/>
      <c r="HB16" s="1653"/>
      <c r="HC16" s="1653"/>
      <c r="HD16" s="1654"/>
      <c r="HE16" s="1655"/>
      <c r="HF16" s="1653"/>
      <c r="HG16" s="1653"/>
      <c r="HH16" s="1653"/>
      <c r="HI16" s="1656"/>
      <c r="HJ16" s="1653"/>
      <c r="HK16" s="1653"/>
      <c r="HL16" s="1653"/>
      <c r="HM16" s="1653"/>
      <c r="HN16" s="1653"/>
      <c r="HO16" s="1653"/>
      <c r="HP16" s="1653"/>
      <c r="HQ16" s="1656"/>
      <c r="HR16" s="1653"/>
      <c r="HS16" s="1653"/>
      <c r="HT16" s="1653"/>
      <c r="HU16" s="1653"/>
      <c r="HV16" s="1653"/>
      <c r="HW16" s="1655"/>
      <c r="HX16" s="1655"/>
      <c r="HY16" s="1655"/>
      <c r="HZ16" s="1655"/>
      <c r="IA16" s="1655"/>
      <c r="IB16" s="1655"/>
      <c r="IC16" s="1655"/>
      <c r="ID16" s="1655"/>
      <c r="IE16" s="1655"/>
      <c r="IF16" s="1657"/>
    </row>
    <row r="17" spans="1:240" ht="12.6" customHeight="1" x14ac:dyDescent="0.25">
      <c r="A17" s="1471" t="str">
        <f t="shared" si="1"/>
        <v/>
      </c>
      <c r="B17" s="1473" t="str">
        <f t="shared" si="2"/>
        <v/>
      </c>
      <c r="C17" s="1473" t="str">
        <f t="shared" si="3"/>
        <v/>
      </c>
      <c r="D17" s="1909" t="str">
        <f t="shared" si="4"/>
        <v/>
      </c>
      <c r="E17" s="1982" t="str">
        <f t="shared" si="5"/>
        <v/>
      </c>
      <c r="F17" s="1920" t="str">
        <f t="shared" si="6"/>
        <v/>
      </c>
      <c r="G17" s="1910" t="str">
        <f t="shared" si="7"/>
        <v/>
      </c>
      <c r="H17" s="1965" t="str">
        <f t="shared" si="8"/>
        <v/>
      </c>
      <c r="I17" s="1909" t="str">
        <f t="shared" si="9"/>
        <v/>
      </c>
      <c r="J17" s="1910" t="str">
        <f t="shared" si="10"/>
        <v/>
      </c>
      <c r="K17" s="1983" t="str">
        <f t="shared" si="11"/>
        <v/>
      </c>
      <c r="L17" s="1915" t="str">
        <f t="shared" si="12"/>
        <v/>
      </c>
      <c r="M17" s="1961" t="str">
        <f t="shared" si="13"/>
        <v/>
      </c>
      <c r="N17" s="1917" t="str">
        <f t="shared" si="14"/>
        <v/>
      </c>
      <c r="O17" s="1910" t="str">
        <f t="shared" si="15"/>
        <v/>
      </c>
      <c r="P17" s="1908" t="str">
        <f t="shared" si="16"/>
        <v/>
      </c>
      <c r="Q17" s="1909" t="str">
        <f t="shared" si="17"/>
        <v/>
      </c>
      <c r="R17" s="1910" t="str">
        <f t="shared" si="18"/>
        <v/>
      </c>
      <c r="S17" s="1984" t="str">
        <f t="shared" si="19"/>
        <v/>
      </c>
      <c r="T17" s="1920" t="str">
        <f t="shared" si="20"/>
        <v/>
      </c>
      <c r="U17" s="1910" t="str">
        <f t="shared" si="21"/>
        <v/>
      </c>
      <c r="V17" s="1909" t="str">
        <f t="shared" si="22"/>
        <v/>
      </c>
      <c r="W17" s="1910" t="str">
        <f t="shared" si="23"/>
        <v/>
      </c>
      <c r="X17" s="1961">
        <f t="shared" si="24"/>
        <v>0</v>
      </c>
      <c r="Y17" s="1967" t="str">
        <f t="shared" si="25"/>
        <v/>
      </c>
      <c r="Z17" s="1968" t="str">
        <f t="shared" si="26"/>
        <v/>
      </c>
      <c r="AA17" s="1981"/>
      <c r="AC17" s="1226" t="b">
        <v>0</v>
      </c>
      <c r="AD17" s="525">
        <f t="shared" si="27"/>
        <v>0</v>
      </c>
      <c r="AE17" s="526">
        <f t="shared" si="28"/>
        <v>0</v>
      </c>
      <c r="AF17" s="526">
        <f t="shared" si="29"/>
        <v>0</v>
      </c>
      <c r="AG17" s="526">
        <f t="shared" si="30"/>
        <v>0</v>
      </c>
      <c r="AH17" s="527">
        <f t="shared" si="31"/>
        <v>0</v>
      </c>
      <c r="AI17" s="528" t="b">
        <v>0</v>
      </c>
      <c r="AJ17" s="284">
        <f t="shared" si="32"/>
        <v>0</v>
      </c>
      <c r="AK17" s="1063" t="str">
        <f t="shared" si="33"/>
        <v/>
      </c>
      <c r="AL17" s="1202" t="str">
        <f t="shared" si="34"/>
        <v/>
      </c>
      <c r="AM17" s="1063" t="str">
        <f t="shared" si="35"/>
        <v/>
      </c>
      <c r="AN17" s="1063" t="str">
        <f t="shared" si="36"/>
        <v/>
      </c>
      <c r="AO17" s="1063" t="str">
        <f t="shared" si="37"/>
        <v/>
      </c>
      <c r="AP17" s="1063" t="b">
        <f>IF(ISERROR(AJ17),FALSE,IF(OR(AJ17=0,ISERROR(AL17),ISERROR(AM17),ISERROR(AN17),ISERROR(AO17)),FALSE,IF(AL17&lt;&gt;"",IF(ISERROR(VLOOKUP(SUBSTITUTE(SUBSTITUTE(C17,"R",""),"A",""),TblJoistSize!$A:$A,1,FALSE)),FALSE,TRUE),TRUE)))</f>
        <v>0</v>
      </c>
      <c r="AQ17" s="1305" t="e">
        <f t="shared" si="38"/>
        <v>#N/A</v>
      </c>
      <c r="AR17" s="1305" t="b">
        <f t="shared" si="39"/>
        <v>0</v>
      </c>
      <c r="AS17" s="1305" t="e">
        <f t="shared" si="40"/>
        <v>#N/A</v>
      </c>
      <c r="AT17" s="1305" t="b">
        <f t="shared" si="41"/>
        <v>0</v>
      </c>
      <c r="AU17" s="1203" t="str">
        <f t="shared" si="42"/>
        <v/>
      </c>
      <c r="AV17" s="1063" t="str">
        <f t="shared" si="43"/>
        <v/>
      </c>
      <c r="AW17" s="1063" t="str">
        <f t="shared" si="44"/>
        <v/>
      </c>
      <c r="AX17" s="1063" t="str">
        <f t="shared" ref="AX17:AX45" si="122">IF(AND(OR(ISBLANK(A17),A17=""),AA17&lt;&gt;""),AX16,IF(OR(ISBLANK(A17),A17=""),"",A17))</f>
        <v/>
      </c>
      <c r="AY17" s="1306" t="b">
        <f t="shared" si="45"/>
        <v>0</v>
      </c>
      <c r="AZ17" s="1090" t="str">
        <f t="shared" si="46"/>
        <v/>
      </c>
      <c r="BA17" s="674"/>
      <c r="BB17" s="842"/>
      <c r="BC17" s="894"/>
      <c r="BD17" s="926"/>
      <c r="BE17" s="927"/>
      <c r="BF17" s="928"/>
      <c r="BG17" s="901"/>
      <c r="BH17" s="1244"/>
      <c r="BI17" s="1245"/>
      <c r="BJ17" s="929"/>
      <c r="BK17" s="902"/>
      <c r="BL17" s="903"/>
      <c r="BM17" s="904"/>
      <c r="BN17" s="905"/>
      <c r="BO17" s="901"/>
      <c r="BP17" s="902"/>
      <c r="BQ17" s="903"/>
      <c r="BR17" s="929"/>
      <c r="BS17" s="902"/>
      <c r="BT17" s="903"/>
      <c r="BU17" s="904"/>
      <c r="BV17" s="905"/>
      <c r="BW17" s="906"/>
      <c r="BX17" s="930"/>
      <c r="BY17" s="931"/>
      <c r="BZ17" s="932"/>
      <c r="CA17" s="933"/>
      <c r="CB17" s="932"/>
      <c r="CC17" s="933"/>
      <c r="CD17" s="934" t="str">
        <f t="shared" si="47"/>
        <v/>
      </c>
      <c r="CE17" s="935" t="str">
        <f t="shared" si="48"/>
        <v/>
      </c>
      <c r="CF17" s="1149"/>
      <c r="CG17" s="1150"/>
      <c r="CH17" s="738" t="str">
        <f t="shared" si="49"/>
        <v/>
      </c>
      <c r="CI17" s="739" t="str">
        <f t="shared" si="50"/>
        <v/>
      </c>
      <c r="CJ17" s="740" t="str">
        <f t="shared" si="51"/>
        <v/>
      </c>
      <c r="CK17" s="741" t="str">
        <f t="shared" si="52"/>
        <v/>
      </c>
      <c r="CL17" s="742" t="str">
        <f t="shared" si="53"/>
        <v/>
      </c>
      <c r="CM17" s="743" t="str">
        <f t="shared" si="54"/>
        <v/>
      </c>
      <c r="CN17" s="744" t="str">
        <f t="shared" si="55"/>
        <v/>
      </c>
      <c r="CO17" s="745" t="str">
        <f t="shared" si="56"/>
        <v/>
      </c>
      <c r="CP17" s="762" t="str">
        <f t="shared" si="57"/>
        <v/>
      </c>
      <c r="CQ17" s="763" t="str">
        <f t="shared" si="58"/>
        <v/>
      </c>
      <c r="CR17" s="953" t="str">
        <f t="shared" si="59"/>
        <v/>
      </c>
      <c r="CS17" s="954" t="str">
        <f t="shared" si="60"/>
        <v/>
      </c>
      <c r="CU17" s="1048" t="str">
        <f>IF(BG17="","",VLOOKUP(BG17,SectInfo!$B:$N,12,FALSE))</f>
        <v/>
      </c>
      <c r="CV17" s="1046" t="str">
        <f>IF(BG17="","",IF(ISBLANK(BZ17),VLOOKUP(BG17,SectInfo!$B:$N,13,FALSE),BZ17))</f>
        <v/>
      </c>
      <c r="CW17" s="1046" t="str">
        <f>IF(BG17="","",IF(VLOOKUP(BG17,SectInfo!$B:$N,5,FALSE)="","R",UPPER(VLOOKUP(BG17,SectInfo!$B:$N,5,FALSE))))</f>
        <v/>
      </c>
      <c r="CX17" s="1046" t="str">
        <f>IF(BG17="","",IF(ISBLANK(CF17),VLOOKUP(BG17,SectInfo!$B:$N,6,FALSE),CF17))</f>
        <v/>
      </c>
      <c r="CY17" s="1276" t="str">
        <f>IF(BG17="","",IF(VLOOKUP(BG17,SectInfo!$B:$N,10,FALSE)="","",(VLOOKUP(BG17,SectInfo!$B:$N,10,FALSE)*-1)))</f>
        <v/>
      </c>
      <c r="CZ17" s="1443" t="str">
        <f>IF(BG17="","",IF(VLOOKUP(BG17,SectInfo!$B:$N,11,FALSE)="","2",(VLOOKUP(BG17,SectInfo!$B:$N,11,FALSE))))</f>
        <v/>
      </c>
      <c r="DA17" s="1046" t="str">
        <f>IF(BG17="","",IF(VLOOKUP(BG17,SectInfo!$B:$N,7,FALSE)="","",(VLOOKUP(BG17,SectInfo!$B:$N,7,FALSE)*-1)))</f>
        <v/>
      </c>
      <c r="DB17" s="1046" t="str">
        <f>IF(BG17="","",IF(VLOOKUP(BG17,SectInfo!$B:$N,8,FALSE)="",VLOOKUP(AU17,$DF$2:$DN$9,6,FALSE),(VLOOKUP(BG17,SectInfo!$B:$N,8,FALSE))))</f>
        <v/>
      </c>
      <c r="DC17" s="1046" t="str">
        <f>IF(BG17="","",VLOOKUP(BG17,SectInfo!$B:$N,9,FALSE))</f>
        <v/>
      </c>
      <c r="DD17" s="1047">
        <f t="shared" si="61"/>
        <v>0</v>
      </c>
      <c r="DE17" s="1048" t="str">
        <f>IF(BO17="","",VLOOKUP(BO17,SectInfo!$B:$N,12,FALSE))</f>
        <v/>
      </c>
      <c r="DF17" s="1046" t="str">
        <f>IF(BO17="","",IF(ISBLANK(CA17),VLOOKUP(BO17,SectInfo!$B:$N,13,FALSE),CA17))</f>
        <v/>
      </c>
      <c r="DG17" s="1046" t="str">
        <f>IF(BO17="","",IF(VLOOKUP(BO17,SectInfo!$B:$N,5,FALSE)="","R",UPPER(VLOOKUP(BO17,SectInfo!$B:$N,5,FALSE))))</f>
        <v/>
      </c>
      <c r="DH17" s="1046" t="str">
        <f>IF(BO17="","",IF(ISBLANK(CG17),VLOOKUP(BO17,SectInfo!$B:$N,6,FALSE),CG17))</f>
        <v/>
      </c>
      <c r="DI17" s="1046" t="str">
        <f>IF(BO17="","",IF(VLOOKUP(BO17,SectInfo!$B:$N,10,FALSE)="","",(VLOOKUP(BO17,SectInfo!$B:$N,10,FALSE)*-1)))</f>
        <v/>
      </c>
      <c r="DJ17" s="1443" t="str">
        <f>IF(BO17="","",IF(VLOOKUP(BO17,SectInfo!$B:$N,11,FALSE)="","2",(VLOOKUP(BO17,SectInfo!$B:$N,11,FALSE))))</f>
        <v/>
      </c>
      <c r="DK17" s="1046" t="str">
        <f>IF(BO17="","",IF(VLOOKUP(BO17,SectInfo!$B:$N,7,FALSE)="","",(VLOOKUP(BO17,SectInfo!$B:$N,7,FALSE)*-1)))</f>
        <v/>
      </c>
      <c r="DL17" s="1046" t="str">
        <f>IF(BO17="","",IF(VLOOKUP(BO17,SectInfo!$B:$N,8,FALSE)="",VLOOKUP(AU17,$DF$2:$DN$9,6,FALSE),(VLOOKUP(BO17,SectInfo!$B:$N,8,FALSE))))</f>
        <v/>
      </c>
      <c r="DM17" s="1046" t="str">
        <f>IF(BO17="","",VLOOKUP(BO17,SectInfo!$B:$N,9,FALSE))</f>
        <v/>
      </c>
      <c r="DN17" s="1047">
        <f t="shared" si="62"/>
        <v>0</v>
      </c>
      <c r="DO17" s="1049">
        <f t="shared" si="63"/>
        <v>0</v>
      </c>
      <c r="DP17" s="1053" t="str">
        <f t="shared" si="64"/>
        <v/>
      </c>
      <c r="DQ17" s="1053" t="str">
        <f t="shared" si="65"/>
        <v/>
      </c>
      <c r="DR17" s="1053" t="str">
        <f t="shared" si="66"/>
        <v/>
      </c>
      <c r="DS17" s="1052">
        <f t="shared" si="67"/>
        <v>0</v>
      </c>
      <c r="DT17" s="1052">
        <f t="shared" si="68"/>
        <v>0</v>
      </c>
      <c r="DU17" s="1052" t="str">
        <f t="shared" si="69"/>
        <v/>
      </c>
      <c r="DV17" s="1053" t="str">
        <f t="shared" si="70"/>
        <v/>
      </c>
      <c r="DW17" s="1053" t="str">
        <f t="shared" si="71"/>
        <v/>
      </c>
      <c r="DX17" s="1269">
        <f t="shared" si="72"/>
        <v>0</v>
      </c>
      <c r="DY17" s="1053">
        <f t="shared" si="73"/>
        <v>0</v>
      </c>
      <c r="DZ17" s="1052">
        <f t="shared" si="74"/>
        <v>0</v>
      </c>
      <c r="EA17" s="1052" t="str">
        <f t="shared" si="75"/>
        <v/>
      </c>
      <c r="EB17" s="1053" t="str">
        <f t="shared" si="76"/>
        <v/>
      </c>
      <c r="EC17" s="1053" t="str">
        <f t="shared" si="77"/>
        <v/>
      </c>
      <c r="ED17" s="1269">
        <f t="shared" si="78"/>
        <v>0</v>
      </c>
      <c r="EE17" s="1090" t="str">
        <f t="shared" si="79"/>
        <v/>
      </c>
      <c r="EF17" s="1053" t="str">
        <f t="shared" si="80"/>
        <v/>
      </c>
      <c r="EG17" s="1053" t="str">
        <f t="shared" si="81"/>
        <v/>
      </c>
      <c r="EH17" s="1053" t="e">
        <f t="shared" si="82"/>
        <v>#N/A</v>
      </c>
      <c r="EI17" s="1053" t="e">
        <f t="shared" si="83"/>
        <v>#N/A</v>
      </c>
      <c r="EJ17" s="1053" t="str">
        <f t="shared" si="84"/>
        <v/>
      </c>
      <c r="EK17" s="1053" t="str">
        <f t="shared" si="84"/>
        <v/>
      </c>
      <c r="EL17" s="1090" t="str">
        <f t="shared" si="85"/>
        <v/>
      </c>
      <c r="EM17" s="1053" t="str">
        <f t="shared" si="86"/>
        <v/>
      </c>
      <c r="EN17" s="1053" t="str">
        <f t="shared" si="87"/>
        <v/>
      </c>
      <c r="EO17" s="1053" t="e">
        <f t="shared" si="88"/>
        <v>#N/A</v>
      </c>
      <c r="EP17" s="1053" t="e">
        <f t="shared" si="89"/>
        <v>#N/A</v>
      </c>
      <c r="EQ17" s="1053" t="str">
        <f t="shared" si="90"/>
        <v/>
      </c>
      <c r="ER17" s="1053" t="str">
        <f t="shared" si="90"/>
        <v/>
      </c>
      <c r="ES17" s="1053" t="str">
        <f t="shared" si="91"/>
        <v/>
      </c>
      <c r="ET17" s="1053" t="str">
        <f t="shared" si="92"/>
        <v/>
      </c>
      <c r="EU17" s="1061" t="str">
        <f t="shared" si="93"/>
        <v/>
      </c>
      <c r="EV17" s="1055" t="str">
        <f t="shared" si="94"/>
        <v/>
      </c>
      <c r="EW17" s="1061"/>
      <c r="EX17" s="1061" t="str">
        <f>IF(AND(CU17="G", ISBLANK(BK17), ISBLANK(BL17)),VLOOKUP(MIN(BH17:BI17),TblJoistSize!$M$3:$N$10,2),IF(OR(CU17="B",CU17="G"),MIN(BK17:BL17),""))</f>
        <v/>
      </c>
      <c r="EY17" s="1061" t="str">
        <f>IF(AND(CU17="G", ISBLANK(BK17), ISBLANK(BL17)),VLOOKUP(MAX(BH17:BI17),TblJoistSize!$M$3:$N$10,2),IF(OR(CU17="B",CU17="G"),MAX(BK17:BL17),""))</f>
        <v/>
      </c>
      <c r="EZ17" s="1061" t="str">
        <f t="shared" si="95"/>
        <v/>
      </c>
      <c r="FA17" s="1061" t="str">
        <f>IF(AND(DE17="G", ISBLANK(BS17), ISBLANK(BT17)),VLOOKUP(MIN(BP17:BQ17),TblJoistSize!$M$3:$N$10,2),IF(OR(DE17="B", DE17="G"),MIN(BS17:BT17),""))</f>
        <v/>
      </c>
      <c r="FB17" s="1061" t="str">
        <f>IF(AND(DE17="G", ISBLANK(BS17), ISBLANK(BT17)),VLOOKUP(MAX(BP17:BQ17),TblJoistSize!$M$3:$N$10,2),IF(OR(DE17="B", DE17="G"),MAX(BS17:BT17),""))</f>
        <v/>
      </c>
      <c r="FC17" s="1061" t="str">
        <f t="shared" si="96"/>
        <v/>
      </c>
      <c r="FD17" s="1052">
        <f t="shared" ref="FD17:FD45" si="123">IF(DD17="",0,ATAN(DD17/12))</f>
        <v>0</v>
      </c>
      <c r="FE17" s="1052">
        <f t="shared" si="97"/>
        <v>0</v>
      </c>
      <c r="FF17" s="1052">
        <f t="shared" si="98"/>
        <v>0</v>
      </c>
      <c r="FG17" s="1052" t="str">
        <f t="shared" si="99"/>
        <v/>
      </c>
      <c r="FH17" s="1053" t="str">
        <f t="shared" si="100"/>
        <v/>
      </c>
      <c r="FI17" s="1052">
        <f t="shared" ref="FI17:FI45" si="124">IF(DN17="",0,ATAN(DN17/12))</f>
        <v>0</v>
      </c>
      <c r="FJ17" s="1052">
        <f t="shared" si="101"/>
        <v>0</v>
      </c>
      <c r="FK17" s="1052">
        <f t="shared" si="102"/>
        <v>0</v>
      </c>
      <c r="FL17" s="1052" t="str">
        <f t="shared" si="103"/>
        <v/>
      </c>
      <c r="FM17" s="1053" t="str">
        <f t="shared" si="104"/>
        <v/>
      </c>
      <c r="FN17" s="1053" t="e">
        <f t="shared" si="105"/>
        <v>#VALUE!</v>
      </c>
      <c r="FO17" s="1062" t="e">
        <f t="shared" si="106"/>
        <v>#VALUE!</v>
      </c>
      <c r="FP17" s="1062" t="e">
        <f t="shared" si="107"/>
        <v>#VALUE!</v>
      </c>
      <c r="FQ17" s="1063" t="e">
        <f t="shared" si="108"/>
        <v>#VALUE!</v>
      </c>
      <c r="FR17" s="1064" t="e">
        <f t="shared" si="109"/>
        <v>#VALUE!</v>
      </c>
      <c r="FS17" s="1065" t="str">
        <f t="shared" si="110"/>
        <v/>
      </c>
      <c r="FT17" s="1066" t="str">
        <f t="shared" si="111"/>
        <v/>
      </c>
      <c r="FU17" s="1105">
        <f t="shared" si="112"/>
        <v>0</v>
      </c>
      <c r="FV17" s="1106">
        <f t="shared" si="113"/>
        <v>0</v>
      </c>
      <c r="GA17" s="1975" t="str">
        <f t="shared" si="114"/>
        <v/>
      </c>
      <c r="GB17" s="1976" t="str">
        <f t="shared" si="115"/>
        <v/>
      </c>
      <c r="GC17" s="1977" t="str">
        <f t="shared" si="116"/>
        <v/>
      </c>
      <c r="GD17" s="1978" t="str">
        <f t="shared" si="117"/>
        <v/>
      </c>
      <c r="GE17" s="1979" t="str">
        <f t="shared" si="118"/>
        <v/>
      </c>
      <c r="GF17" s="1980" t="str">
        <f t="shared" si="119"/>
        <v/>
      </c>
      <c r="GG17" s="1453"/>
      <c r="GH17" s="1454"/>
      <c r="GI17" s="1453"/>
      <c r="GJ17" s="1454"/>
      <c r="GK17" s="533">
        <f t="shared" si="120"/>
        <v>0</v>
      </c>
      <c r="GL17" s="534" t="e">
        <f t="shared" si="121"/>
        <v>#VALUE!</v>
      </c>
      <c r="GM17" s="535" t="e">
        <f>IF(ABS(GK17-GL17)&gt;='Job Info.'!$L$22,ABS(GK17-GL17),0)</f>
        <v>#VALUE!</v>
      </c>
      <c r="HA17" s="1658"/>
      <c r="HB17" s="1659"/>
      <c r="HC17" s="1659"/>
      <c r="HD17" s="1660"/>
      <c r="HE17" s="1661"/>
      <c r="HF17" s="1659"/>
      <c r="HG17" s="1659"/>
      <c r="HH17" s="1659"/>
      <c r="HI17" s="1662"/>
      <c r="HJ17" s="1659"/>
      <c r="HK17" s="1659"/>
      <c r="HL17" s="1659"/>
      <c r="HM17" s="1659"/>
      <c r="HN17" s="1659"/>
      <c r="HO17" s="1659"/>
      <c r="HP17" s="1659"/>
      <c r="HQ17" s="1662"/>
      <c r="HR17" s="1659"/>
      <c r="HS17" s="1659"/>
      <c r="HT17" s="1659"/>
      <c r="HU17" s="1659"/>
      <c r="HV17" s="1659"/>
      <c r="HW17" s="1661"/>
      <c r="HX17" s="1661"/>
      <c r="HY17" s="1661"/>
      <c r="HZ17" s="1661"/>
      <c r="IA17" s="1661"/>
      <c r="IB17" s="1661"/>
      <c r="IC17" s="1661"/>
      <c r="ID17" s="1661"/>
      <c r="IE17" s="1661"/>
      <c r="IF17" s="1663"/>
    </row>
    <row r="18" spans="1:240" ht="12.6" customHeight="1" x14ac:dyDescent="0.25">
      <c r="A18" s="1471" t="str">
        <f t="shared" si="1"/>
        <v/>
      </c>
      <c r="B18" s="1473" t="str">
        <f t="shared" si="2"/>
        <v/>
      </c>
      <c r="C18" s="1473" t="str">
        <f t="shared" si="3"/>
        <v/>
      </c>
      <c r="D18" s="1909" t="str">
        <f t="shared" si="4"/>
        <v/>
      </c>
      <c r="E18" s="1982" t="str">
        <f t="shared" si="5"/>
        <v/>
      </c>
      <c r="F18" s="1920" t="str">
        <f t="shared" si="6"/>
        <v/>
      </c>
      <c r="G18" s="1910" t="str">
        <f t="shared" si="7"/>
        <v/>
      </c>
      <c r="H18" s="1965" t="str">
        <f t="shared" si="8"/>
        <v/>
      </c>
      <c r="I18" s="1909" t="str">
        <f t="shared" si="9"/>
        <v/>
      </c>
      <c r="J18" s="1910" t="str">
        <f t="shared" si="10"/>
        <v/>
      </c>
      <c r="K18" s="1983" t="str">
        <f t="shared" si="11"/>
        <v/>
      </c>
      <c r="L18" s="1915" t="str">
        <f t="shared" si="12"/>
        <v/>
      </c>
      <c r="M18" s="1961" t="str">
        <f t="shared" si="13"/>
        <v/>
      </c>
      <c r="N18" s="1917" t="str">
        <f t="shared" si="14"/>
        <v/>
      </c>
      <c r="O18" s="1910" t="str">
        <f t="shared" si="15"/>
        <v/>
      </c>
      <c r="P18" s="1908" t="str">
        <f t="shared" si="16"/>
        <v/>
      </c>
      <c r="Q18" s="1909" t="str">
        <f t="shared" si="17"/>
        <v/>
      </c>
      <c r="R18" s="1910" t="str">
        <f t="shared" si="18"/>
        <v/>
      </c>
      <c r="S18" s="1984" t="str">
        <f t="shared" si="19"/>
        <v/>
      </c>
      <c r="T18" s="1920" t="str">
        <f t="shared" si="20"/>
        <v/>
      </c>
      <c r="U18" s="1910" t="str">
        <f t="shared" si="21"/>
        <v/>
      </c>
      <c r="V18" s="1909" t="str">
        <f t="shared" si="22"/>
        <v/>
      </c>
      <c r="W18" s="1910" t="str">
        <f t="shared" si="23"/>
        <v/>
      </c>
      <c r="X18" s="1961">
        <f t="shared" si="24"/>
        <v>0</v>
      </c>
      <c r="Y18" s="1967" t="str">
        <f t="shared" si="25"/>
        <v/>
      </c>
      <c r="Z18" s="1968" t="str">
        <f t="shared" si="26"/>
        <v/>
      </c>
      <c r="AA18" s="1981"/>
      <c r="AC18" s="1226" t="b">
        <v>0</v>
      </c>
      <c r="AD18" s="525">
        <f t="shared" si="27"/>
        <v>0</v>
      </c>
      <c r="AE18" s="526">
        <f t="shared" si="28"/>
        <v>0</v>
      </c>
      <c r="AF18" s="526">
        <f t="shared" si="29"/>
        <v>0</v>
      </c>
      <c r="AG18" s="526">
        <f t="shared" si="30"/>
        <v>0</v>
      </c>
      <c r="AH18" s="527">
        <f t="shared" si="31"/>
        <v>0</v>
      </c>
      <c r="AI18" s="528" t="b">
        <v>0</v>
      </c>
      <c r="AJ18" s="284">
        <f t="shared" si="32"/>
        <v>0</v>
      </c>
      <c r="AK18" s="1063" t="str">
        <f t="shared" si="33"/>
        <v/>
      </c>
      <c r="AL18" s="1202" t="str">
        <f t="shared" si="34"/>
        <v/>
      </c>
      <c r="AM18" s="1063" t="str">
        <f t="shared" si="35"/>
        <v/>
      </c>
      <c r="AN18" s="1063" t="str">
        <f t="shared" si="36"/>
        <v/>
      </c>
      <c r="AO18" s="1063" t="str">
        <f t="shared" si="37"/>
        <v/>
      </c>
      <c r="AP18" s="1063" t="b">
        <f>IF(ISERROR(AJ18),FALSE,IF(OR(AJ18=0,ISERROR(AL18),ISERROR(AM18),ISERROR(AN18),ISERROR(AO18)),FALSE,IF(AL18&lt;&gt;"",IF(ISERROR(VLOOKUP(SUBSTITUTE(SUBSTITUTE(C18,"R",""),"A",""),TblJoistSize!$A:$A,1,FALSE)),FALSE,TRUE),TRUE)))</f>
        <v>0</v>
      </c>
      <c r="AQ18" s="1305" t="e">
        <f t="shared" si="38"/>
        <v>#N/A</v>
      </c>
      <c r="AR18" s="1305" t="b">
        <f t="shared" si="39"/>
        <v>0</v>
      </c>
      <c r="AS18" s="1305" t="e">
        <f t="shared" si="40"/>
        <v>#N/A</v>
      </c>
      <c r="AT18" s="1305" t="b">
        <f t="shared" si="41"/>
        <v>0</v>
      </c>
      <c r="AU18" s="1203" t="str">
        <f t="shared" si="42"/>
        <v/>
      </c>
      <c r="AV18" s="1063" t="str">
        <f t="shared" si="43"/>
        <v/>
      </c>
      <c r="AW18" s="1063" t="str">
        <f t="shared" si="44"/>
        <v/>
      </c>
      <c r="AX18" s="1063" t="str">
        <f t="shared" si="122"/>
        <v/>
      </c>
      <c r="AY18" s="1306" t="b">
        <f t="shared" si="45"/>
        <v>0</v>
      </c>
      <c r="AZ18" s="1090" t="str">
        <f t="shared" si="46"/>
        <v/>
      </c>
      <c r="BA18" s="674"/>
      <c r="BB18" s="842"/>
      <c r="BC18" s="894"/>
      <c r="BD18" s="926"/>
      <c r="BE18" s="927"/>
      <c r="BF18" s="928"/>
      <c r="BG18" s="901"/>
      <c r="BH18" s="1244"/>
      <c r="BI18" s="1245"/>
      <c r="BJ18" s="929"/>
      <c r="BK18" s="902"/>
      <c r="BL18" s="903"/>
      <c r="BM18" s="904"/>
      <c r="BN18" s="905"/>
      <c r="BO18" s="901"/>
      <c r="BP18" s="902"/>
      <c r="BQ18" s="903"/>
      <c r="BR18" s="929"/>
      <c r="BS18" s="902"/>
      <c r="BT18" s="903"/>
      <c r="BU18" s="904"/>
      <c r="BV18" s="905"/>
      <c r="BW18" s="906"/>
      <c r="BX18" s="930"/>
      <c r="BY18" s="931"/>
      <c r="BZ18" s="932"/>
      <c r="CA18" s="933"/>
      <c r="CB18" s="932"/>
      <c r="CC18" s="933"/>
      <c r="CD18" s="934" t="str">
        <f t="shared" si="47"/>
        <v/>
      </c>
      <c r="CE18" s="935" t="str">
        <f t="shared" si="48"/>
        <v/>
      </c>
      <c r="CF18" s="1149"/>
      <c r="CG18" s="1150"/>
      <c r="CH18" s="738" t="str">
        <f t="shared" si="49"/>
        <v/>
      </c>
      <c r="CI18" s="739" t="str">
        <f t="shared" si="50"/>
        <v/>
      </c>
      <c r="CJ18" s="740" t="str">
        <f t="shared" si="51"/>
        <v/>
      </c>
      <c r="CK18" s="741" t="str">
        <f t="shared" si="52"/>
        <v/>
      </c>
      <c r="CL18" s="742" t="str">
        <f t="shared" si="53"/>
        <v/>
      </c>
      <c r="CM18" s="743" t="str">
        <f t="shared" si="54"/>
        <v/>
      </c>
      <c r="CN18" s="744" t="str">
        <f t="shared" si="55"/>
        <v/>
      </c>
      <c r="CO18" s="745" t="str">
        <f t="shared" si="56"/>
        <v/>
      </c>
      <c r="CP18" s="762" t="str">
        <f t="shared" si="57"/>
        <v/>
      </c>
      <c r="CQ18" s="763" t="str">
        <f t="shared" si="58"/>
        <v/>
      </c>
      <c r="CR18" s="953" t="str">
        <f t="shared" si="59"/>
        <v/>
      </c>
      <c r="CS18" s="954" t="str">
        <f t="shared" si="60"/>
        <v/>
      </c>
      <c r="CU18" s="1048" t="str">
        <f>IF(BG18="","",VLOOKUP(BG18,SectInfo!$B:$N,12,FALSE))</f>
        <v/>
      </c>
      <c r="CV18" s="1046" t="str">
        <f>IF(BG18="","",IF(ISBLANK(BZ18),VLOOKUP(BG18,SectInfo!$B:$N,13,FALSE),BZ18))</f>
        <v/>
      </c>
      <c r="CW18" s="1046" t="str">
        <f>IF(BG18="","",IF(VLOOKUP(BG18,SectInfo!$B:$N,5,FALSE)="","R",UPPER(VLOOKUP(BG18,SectInfo!$B:$N,5,FALSE))))</f>
        <v/>
      </c>
      <c r="CX18" s="1046" t="str">
        <f>IF(BG18="","",IF(ISBLANK(CF18),VLOOKUP(BG18,SectInfo!$B:$N,6,FALSE),CF18))</f>
        <v/>
      </c>
      <c r="CY18" s="1276" t="str">
        <f>IF(BG18="","",IF(VLOOKUP(BG18,SectInfo!$B:$N,10,FALSE)="","",(VLOOKUP(BG18,SectInfo!$B:$N,10,FALSE)*-1)))</f>
        <v/>
      </c>
      <c r="CZ18" s="1443" t="str">
        <f>IF(BG18="","",IF(VLOOKUP(BG18,SectInfo!$B:$N,11,FALSE)="","2",(VLOOKUP(BG18,SectInfo!$B:$N,11,FALSE))))</f>
        <v/>
      </c>
      <c r="DA18" s="1046" t="str">
        <f>IF(BG18="","",IF(VLOOKUP(BG18,SectInfo!$B:$N,7,FALSE)="","",(VLOOKUP(BG18,SectInfo!$B:$N,7,FALSE)*-1)))</f>
        <v/>
      </c>
      <c r="DB18" s="1046" t="str">
        <f>IF(BG18="","",IF(VLOOKUP(BG18,SectInfo!$B:$N,8,FALSE)="",VLOOKUP(AU18,$DF$2:$DN$9,6,FALSE),(VLOOKUP(BG18,SectInfo!$B:$N,8,FALSE))))</f>
        <v/>
      </c>
      <c r="DC18" s="1046" t="str">
        <f>IF(BG18="","",VLOOKUP(BG18,SectInfo!$B:$N,9,FALSE))</f>
        <v/>
      </c>
      <c r="DD18" s="1047">
        <f t="shared" si="61"/>
        <v>0</v>
      </c>
      <c r="DE18" s="1048" t="str">
        <f>IF(BO18="","",VLOOKUP(BO18,SectInfo!$B:$N,12,FALSE))</f>
        <v/>
      </c>
      <c r="DF18" s="1046" t="str">
        <f>IF(BO18="","",IF(ISBLANK(CA18),VLOOKUP(BO18,SectInfo!$B:$N,13,FALSE),CA18))</f>
        <v/>
      </c>
      <c r="DG18" s="1046" t="str">
        <f>IF(BO18="","",IF(VLOOKUP(BO18,SectInfo!$B:$N,5,FALSE)="","R",UPPER(VLOOKUP(BO18,SectInfo!$B:$N,5,FALSE))))</f>
        <v/>
      </c>
      <c r="DH18" s="1046" t="str">
        <f>IF(BO18="","",IF(ISBLANK(CG18),VLOOKUP(BO18,SectInfo!$B:$N,6,FALSE),CG18))</f>
        <v/>
      </c>
      <c r="DI18" s="1046" t="str">
        <f>IF(BO18="","",IF(VLOOKUP(BO18,SectInfo!$B:$N,10,FALSE)="","",(VLOOKUP(BO18,SectInfo!$B:$N,10,FALSE)*-1)))</f>
        <v/>
      </c>
      <c r="DJ18" s="1443" t="str">
        <f>IF(BO18="","",IF(VLOOKUP(BO18,SectInfo!$B:$N,11,FALSE)="","2",(VLOOKUP(BO18,SectInfo!$B:$N,11,FALSE))))</f>
        <v/>
      </c>
      <c r="DK18" s="1046" t="str">
        <f>IF(BO18="","",IF(VLOOKUP(BO18,SectInfo!$B:$N,7,FALSE)="","",(VLOOKUP(BO18,SectInfo!$B:$N,7,FALSE)*-1)))</f>
        <v/>
      </c>
      <c r="DL18" s="1046" t="str">
        <f>IF(BO18="","",IF(VLOOKUP(BO18,SectInfo!$B:$N,8,FALSE)="",VLOOKUP(AU18,$DF$2:$DN$9,6,FALSE),(VLOOKUP(BO18,SectInfo!$B:$N,8,FALSE))))</f>
        <v/>
      </c>
      <c r="DM18" s="1046" t="str">
        <f>IF(BO18="","",VLOOKUP(BO18,SectInfo!$B:$N,9,FALSE))</f>
        <v/>
      </c>
      <c r="DN18" s="1047">
        <f t="shared" si="62"/>
        <v>0</v>
      </c>
      <c r="DO18" s="1049">
        <f t="shared" si="63"/>
        <v>0</v>
      </c>
      <c r="DP18" s="1053" t="str">
        <f t="shared" si="64"/>
        <v/>
      </c>
      <c r="DQ18" s="1053" t="str">
        <f t="shared" si="65"/>
        <v/>
      </c>
      <c r="DR18" s="1053" t="str">
        <f t="shared" si="66"/>
        <v/>
      </c>
      <c r="DS18" s="1052">
        <f t="shared" si="67"/>
        <v>0</v>
      </c>
      <c r="DT18" s="1052">
        <f t="shared" si="68"/>
        <v>0</v>
      </c>
      <c r="DU18" s="1052" t="str">
        <f t="shared" si="69"/>
        <v/>
      </c>
      <c r="DV18" s="1053" t="str">
        <f t="shared" si="70"/>
        <v/>
      </c>
      <c r="DW18" s="1053" t="str">
        <f t="shared" si="71"/>
        <v/>
      </c>
      <c r="DX18" s="1269">
        <f t="shared" si="72"/>
        <v>0</v>
      </c>
      <c r="DY18" s="1053">
        <f t="shared" si="73"/>
        <v>0</v>
      </c>
      <c r="DZ18" s="1052">
        <f t="shared" si="74"/>
        <v>0</v>
      </c>
      <c r="EA18" s="1052" t="str">
        <f t="shared" si="75"/>
        <v/>
      </c>
      <c r="EB18" s="1053" t="str">
        <f t="shared" si="76"/>
        <v/>
      </c>
      <c r="EC18" s="1053" t="str">
        <f t="shared" si="77"/>
        <v/>
      </c>
      <c r="ED18" s="1269">
        <f t="shared" si="78"/>
        <v>0</v>
      </c>
      <c r="EE18" s="1090" t="str">
        <f t="shared" si="79"/>
        <v/>
      </c>
      <c r="EF18" s="1053" t="str">
        <f t="shared" si="80"/>
        <v/>
      </c>
      <c r="EG18" s="1053" t="str">
        <f t="shared" si="81"/>
        <v/>
      </c>
      <c r="EH18" s="1053" t="e">
        <f t="shared" si="82"/>
        <v>#N/A</v>
      </c>
      <c r="EI18" s="1053" t="e">
        <f t="shared" si="83"/>
        <v>#N/A</v>
      </c>
      <c r="EJ18" s="1053" t="str">
        <f t="shared" si="84"/>
        <v/>
      </c>
      <c r="EK18" s="1053" t="str">
        <f t="shared" si="84"/>
        <v/>
      </c>
      <c r="EL18" s="1090" t="str">
        <f t="shared" si="85"/>
        <v/>
      </c>
      <c r="EM18" s="1053" t="str">
        <f t="shared" si="86"/>
        <v/>
      </c>
      <c r="EN18" s="1053" t="str">
        <f t="shared" si="87"/>
        <v/>
      </c>
      <c r="EO18" s="1053" t="e">
        <f t="shared" si="88"/>
        <v>#N/A</v>
      </c>
      <c r="EP18" s="1053" t="e">
        <f t="shared" si="89"/>
        <v>#N/A</v>
      </c>
      <c r="EQ18" s="1053" t="str">
        <f t="shared" si="90"/>
        <v/>
      </c>
      <c r="ER18" s="1053" t="str">
        <f t="shared" si="90"/>
        <v/>
      </c>
      <c r="ES18" s="1053" t="str">
        <f t="shared" si="91"/>
        <v/>
      </c>
      <c r="ET18" s="1053" t="str">
        <f t="shared" si="92"/>
        <v/>
      </c>
      <c r="EU18" s="1061" t="str">
        <f t="shared" si="93"/>
        <v/>
      </c>
      <c r="EV18" s="1055" t="str">
        <f t="shared" si="94"/>
        <v/>
      </c>
      <c r="EW18" s="1061"/>
      <c r="EX18" s="1061" t="str">
        <f>IF(AND(CU18="G", ISBLANK(BK18), ISBLANK(BL18)),VLOOKUP(MIN(BH18:BI18),TblJoistSize!$M$3:$N$10,2),IF(OR(CU18="B",CU18="G"),MIN(BK18:BL18),""))</f>
        <v/>
      </c>
      <c r="EY18" s="1061" t="str">
        <f>IF(AND(CU18="G", ISBLANK(BK18), ISBLANK(BL18)),VLOOKUP(MAX(BH18:BI18),TblJoistSize!$M$3:$N$10,2),IF(OR(CU18="B",CU18="G"),MAX(BK18:BL18),""))</f>
        <v/>
      </c>
      <c r="EZ18" s="1061" t="str">
        <f t="shared" si="95"/>
        <v/>
      </c>
      <c r="FA18" s="1061" t="str">
        <f>IF(AND(DE18="G", ISBLANK(BS18), ISBLANK(BT18)),VLOOKUP(MIN(BP18:BQ18),TblJoistSize!$M$3:$N$10,2),IF(OR(DE18="B", DE18="G"),MIN(BS18:BT18),""))</f>
        <v/>
      </c>
      <c r="FB18" s="1061" t="str">
        <f>IF(AND(DE18="G", ISBLANK(BS18), ISBLANK(BT18)),VLOOKUP(MAX(BP18:BQ18),TblJoistSize!$M$3:$N$10,2),IF(OR(DE18="B", DE18="G"),MAX(BS18:BT18),""))</f>
        <v/>
      </c>
      <c r="FC18" s="1061" t="str">
        <f t="shared" si="96"/>
        <v/>
      </c>
      <c r="FD18" s="1052">
        <f t="shared" si="123"/>
        <v>0</v>
      </c>
      <c r="FE18" s="1052">
        <f t="shared" si="97"/>
        <v>0</v>
      </c>
      <c r="FF18" s="1052">
        <f t="shared" si="98"/>
        <v>0</v>
      </c>
      <c r="FG18" s="1052" t="str">
        <f t="shared" si="99"/>
        <v/>
      </c>
      <c r="FH18" s="1053" t="str">
        <f t="shared" si="100"/>
        <v/>
      </c>
      <c r="FI18" s="1052">
        <f t="shared" si="124"/>
        <v>0</v>
      </c>
      <c r="FJ18" s="1052">
        <f t="shared" si="101"/>
        <v>0</v>
      </c>
      <c r="FK18" s="1052">
        <f t="shared" si="102"/>
        <v>0</v>
      </c>
      <c r="FL18" s="1052" t="str">
        <f t="shared" si="103"/>
        <v/>
      </c>
      <c r="FM18" s="1053" t="str">
        <f t="shared" si="104"/>
        <v/>
      </c>
      <c r="FN18" s="1053" t="e">
        <f t="shared" si="105"/>
        <v>#VALUE!</v>
      </c>
      <c r="FO18" s="1062" t="e">
        <f t="shared" si="106"/>
        <v>#VALUE!</v>
      </c>
      <c r="FP18" s="1062" t="e">
        <f t="shared" si="107"/>
        <v>#VALUE!</v>
      </c>
      <c r="FQ18" s="1063" t="e">
        <f t="shared" si="108"/>
        <v>#VALUE!</v>
      </c>
      <c r="FR18" s="1064" t="e">
        <f t="shared" si="109"/>
        <v>#VALUE!</v>
      </c>
      <c r="FS18" s="1065" t="str">
        <f t="shared" si="110"/>
        <v/>
      </c>
      <c r="FT18" s="1066" t="str">
        <f t="shared" si="111"/>
        <v/>
      </c>
      <c r="FU18" s="1105">
        <f t="shared" si="112"/>
        <v>0</v>
      </c>
      <c r="FV18" s="1106">
        <f t="shared" si="113"/>
        <v>0</v>
      </c>
      <c r="GA18" s="1975" t="str">
        <f t="shared" si="114"/>
        <v/>
      </c>
      <c r="GB18" s="1976" t="str">
        <f t="shared" si="115"/>
        <v/>
      </c>
      <c r="GC18" s="1977" t="str">
        <f t="shared" si="116"/>
        <v/>
      </c>
      <c r="GD18" s="1978" t="str">
        <f t="shared" si="117"/>
        <v/>
      </c>
      <c r="GE18" s="1979" t="str">
        <f t="shared" si="118"/>
        <v/>
      </c>
      <c r="GF18" s="1980" t="str">
        <f t="shared" si="119"/>
        <v/>
      </c>
      <c r="GG18" s="1453"/>
      <c r="GH18" s="1454"/>
      <c r="GI18" s="1453"/>
      <c r="GJ18" s="1454"/>
      <c r="GK18" s="533">
        <f t="shared" si="120"/>
        <v>0</v>
      </c>
      <c r="GL18" s="534" t="e">
        <f t="shared" si="121"/>
        <v>#VALUE!</v>
      </c>
      <c r="GM18" s="535" t="e">
        <f>IF(ABS(GK18-GL18)&gt;='Job Info.'!$L$22,ABS(GK18-GL18),0)</f>
        <v>#VALUE!</v>
      </c>
      <c r="HA18" s="1658"/>
      <c r="HB18" s="1659"/>
      <c r="HC18" s="1659"/>
      <c r="HD18" s="1660"/>
      <c r="HE18" s="1661"/>
      <c r="HF18" s="1659"/>
      <c r="HG18" s="1659"/>
      <c r="HH18" s="1659"/>
      <c r="HI18" s="1662"/>
      <c r="HJ18" s="1659"/>
      <c r="HK18" s="1659"/>
      <c r="HL18" s="1659"/>
      <c r="HM18" s="1659"/>
      <c r="HN18" s="1659"/>
      <c r="HO18" s="1659"/>
      <c r="HP18" s="1659"/>
      <c r="HQ18" s="1662"/>
      <c r="HR18" s="1659"/>
      <c r="HS18" s="1659"/>
      <c r="HT18" s="1659"/>
      <c r="HU18" s="1659"/>
      <c r="HV18" s="1659"/>
      <c r="HW18" s="1661"/>
      <c r="HX18" s="1661"/>
      <c r="HY18" s="1661"/>
      <c r="HZ18" s="1661"/>
      <c r="IA18" s="1661"/>
      <c r="IB18" s="1661"/>
      <c r="IC18" s="1661"/>
      <c r="ID18" s="1661"/>
      <c r="IE18" s="1661"/>
      <c r="IF18" s="1663"/>
    </row>
    <row r="19" spans="1:240" ht="12.6" customHeight="1" x14ac:dyDescent="0.25">
      <c r="A19" s="1471" t="str">
        <f t="shared" si="1"/>
        <v/>
      </c>
      <c r="B19" s="1473" t="str">
        <f t="shared" si="2"/>
        <v/>
      </c>
      <c r="C19" s="1473" t="str">
        <f t="shared" si="3"/>
        <v/>
      </c>
      <c r="D19" s="1909" t="str">
        <f t="shared" si="4"/>
        <v/>
      </c>
      <c r="E19" s="1982" t="str">
        <f t="shared" si="5"/>
        <v/>
      </c>
      <c r="F19" s="1920" t="str">
        <f t="shared" si="6"/>
        <v/>
      </c>
      <c r="G19" s="1910" t="str">
        <f t="shared" si="7"/>
        <v/>
      </c>
      <c r="H19" s="1965" t="str">
        <f t="shared" si="8"/>
        <v/>
      </c>
      <c r="I19" s="1909" t="str">
        <f t="shared" si="9"/>
        <v/>
      </c>
      <c r="J19" s="1910" t="str">
        <f t="shared" si="10"/>
        <v/>
      </c>
      <c r="K19" s="1983" t="str">
        <f t="shared" si="11"/>
        <v/>
      </c>
      <c r="L19" s="1915" t="str">
        <f t="shared" si="12"/>
        <v/>
      </c>
      <c r="M19" s="1961" t="str">
        <f t="shared" si="13"/>
        <v/>
      </c>
      <c r="N19" s="1917" t="str">
        <f t="shared" si="14"/>
        <v/>
      </c>
      <c r="O19" s="1910" t="str">
        <f t="shared" si="15"/>
        <v/>
      </c>
      <c r="P19" s="1908" t="str">
        <f t="shared" si="16"/>
        <v/>
      </c>
      <c r="Q19" s="1909" t="str">
        <f t="shared" si="17"/>
        <v/>
      </c>
      <c r="R19" s="1910" t="str">
        <f t="shared" si="18"/>
        <v/>
      </c>
      <c r="S19" s="1984" t="str">
        <f t="shared" si="19"/>
        <v/>
      </c>
      <c r="T19" s="1920" t="str">
        <f t="shared" si="20"/>
        <v/>
      </c>
      <c r="U19" s="1910" t="str">
        <f t="shared" si="21"/>
        <v/>
      </c>
      <c r="V19" s="1909" t="str">
        <f t="shared" si="22"/>
        <v/>
      </c>
      <c r="W19" s="1910" t="str">
        <f t="shared" si="23"/>
        <v/>
      </c>
      <c r="X19" s="1961">
        <f t="shared" si="24"/>
        <v>0</v>
      </c>
      <c r="Y19" s="1967" t="str">
        <f t="shared" si="25"/>
        <v/>
      </c>
      <c r="Z19" s="1968" t="str">
        <f t="shared" si="26"/>
        <v/>
      </c>
      <c r="AA19" s="1981"/>
      <c r="AC19" s="1226" t="b">
        <v>0</v>
      </c>
      <c r="AD19" s="525">
        <f t="shared" si="27"/>
        <v>0</v>
      </c>
      <c r="AE19" s="526">
        <f t="shared" si="28"/>
        <v>0</v>
      </c>
      <c r="AF19" s="526">
        <f t="shared" si="29"/>
        <v>0</v>
      </c>
      <c r="AG19" s="526">
        <f t="shared" si="30"/>
        <v>0</v>
      </c>
      <c r="AH19" s="527">
        <f t="shared" si="31"/>
        <v>0</v>
      </c>
      <c r="AI19" s="528" t="b">
        <v>0</v>
      </c>
      <c r="AJ19" s="284">
        <f t="shared" si="32"/>
        <v>0</v>
      </c>
      <c r="AK19" s="1063" t="str">
        <f t="shared" si="33"/>
        <v/>
      </c>
      <c r="AL19" s="1202" t="str">
        <f t="shared" si="34"/>
        <v/>
      </c>
      <c r="AM19" s="1063" t="str">
        <f t="shared" si="35"/>
        <v/>
      </c>
      <c r="AN19" s="1063" t="str">
        <f t="shared" si="36"/>
        <v/>
      </c>
      <c r="AO19" s="1063" t="str">
        <f t="shared" si="37"/>
        <v/>
      </c>
      <c r="AP19" s="1063" t="b">
        <f>IF(ISERROR(AJ19),FALSE,IF(OR(AJ19=0,ISERROR(AL19),ISERROR(AM19),ISERROR(AN19),ISERROR(AO19)),FALSE,IF(AL19&lt;&gt;"",IF(ISERROR(VLOOKUP(SUBSTITUTE(SUBSTITUTE(C19,"R",""),"A",""),TblJoistSize!$A:$A,1,FALSE)),FALSE,TRUE),TRUE)))</f>
        <v>0</v>
      </c>
      <c r="AQ19" s="1305" t="e">
        <f t="shared" si="38"/>
        <v>#N/A</v>
      </c>
      <c r="AR19" s="1305" t="b">
        <f t="shared" si="39"/>
        <v>0</v>
      </c>
      <c r="AS19" s="1305" t="e">
        <f t="shared" si="40"/>
        <v>#N/A</v>
      </c>
      <c r="AT19" s="1305" t="b">
        <f t="shared" si="41"/>
        <v>0</v>
      </c>
      <c r="AU19" s="1203" t="str">
        <f t="shared" si="42"/>
        <v/>
      </c>
      <c r="AV19" s="1063" t="str">
        <f t="shared" si="43"/>
        <v/>
      </c>
      <c r="AW19" s="1063" t="str">
        <f t="shared" si="44"/>
        <v/>
      </c>
      <c r="AX19" s="1063" t="str">
        <f t="shared" si="122"/>
        <v/>
      </c>
      <c r="AY19" s="1306" t="b">
        <f t="shared" si="45"/>
        <v>0</v>
      </c>
      <c r="AZ19" s="1090" t="str">
        <f t="shared" si="46"/>
        <v/>
      </c>
      <c r="BA19" s="674"/>
      <c r="BB19" s="842"/>
      <c r="BC19" s="894"/>
      <c r="BD19" s="926"/>
      <c r="BE19" s="927"/>
      <c r="BF19" s="928"/>
      <c r="BG19" s="901"/>
      <c r="BH19" s="1244"/>
      <c r="BI19" s="1245"/>
      <c r="BJ19" s="929"/>
      <c r="BK19" s="902"/>
      <c r="BL19" s="903"/>
      <c r="BM19" s="904"/>
      <c r="BN19" s="905"/>
      <c r="BO19" s="901"/>
      <c r="BP19" s="902"/>
      <c r="BQ19" s="903"/>
      <c r="BR19" s="929"/>
      <c r="BS19" s="902"/>
      <c r="BT19" s="903"/>
      <c r="BU19" s="904"/>
      <c r="BV19" s="905"/>
      <c r="BW19" s="906"/>
      <c r="BX19" s="930"/>
      <c r="BY19" s="931"/>
      <c r="BZ19" s="932"/>
      <c r="CA19" s="933"/>
      <c r="CB19" s="932"/>
      <c r="CC19" s="933"/>
      <c r="CD19" s="934" t="str">
        <f t="shared" si="47"/>
        <v/>
      </c>
      <c r="CE19" s="935" t="str">
        <f t="shared" si="48"/>
        <v/>
      </c>
      <c r="CF19" s="1149"/>
      <c r="CG19" s="1150"/>
      <c r="CH19" s="738" t="str">
        <f t="shared" si="49"/>
        <v/>
      </c>
      <c r="CI19" s="739" t="str">
        <f t="shared" si="50"/>
        <v/>
      </c>
      <c r="CJ19" s="740" t="str">
        <f t="shared" si="51"/>
        <v/>
      </c>
      <c r="CK19" s="741" t="str">
        <f t="shared" si="52"/>
        <v/>
      </c>
      <c r="CL19" s="742" t="str">
        <f t="shared" si="53"/>
        <v/>
      </c>
      <c r="CM19" s="743" t="str">
        <f t="shared" si="54"/>
        <v/>
      </c>
      <c r="CN19" s="744" t="str">
        <f t="shared" si="55"/>
        <v/>
      </c>
      <c r="CO19" s="745" t="str">
        <f t="shared" si="56"/>
        <v/>
      </c>
      <c r="CP19" s="762" t="str">
        <f t="shared" si="57"/>
        <v/>
      </c>
      <c r="CQ19" s="763" t="str">
        <f t="shared" si="58"/>
        <v/>
      </c>
      <c r="CR19" s="953" t="str">
        <f t="shared" si="59"/>
        <v/>
      </c>
      <c r="CS19" s="954" t="str">
        <f t="shared" si="60"/>
        <v/>
      </c>
      <c r="CU19" s="1048" t="str">
        <f>IF(BG19="","",VLOOKUP(BG19,SectInfo!$B:$N,12,FALSE))</f>
        <v/>
      </c>
      <c r="CV19" s="1046" t="str">
        <f>IF(BG19="","",IF(ISBLANK(BZ19),VLOOKUP(BG19,SectInfo!$B:$N,13,FALSE),BZ19))</f>
        <v/>
      </c>
      <c r="CW19" s="1046" t="str">
        <f>IF(BG19="","",IF(VLOOKUP(BG19,SectInfo!$B:$N,5,FALSE)="","R",UPPER(VLOOKUP(BG19,SectInfo!$B:$N,5,FALSE))))</f>
        <v/>
      </c>
      <c r="CX19" s="1046" t="str">
        <f>IF(BG19="","",IF(ISBLANK(CF19),VLOOKUP(BG19,SectInfo!$B:$N,6,FALSE),CF19))</f>
        <v/>
      </c>
      <c r="CY19" s="1276" t="str">
        <f>IF(BG19="","",IF(VLOOKUP(BG19,SectInfo!$B:$N,10,FALSE)="","",(VLOOKUP(BG19,SectInfo!$B:$N,10,FALSE)*-1)))</f>
        <v/>
      </c>
      <c r="CZ19" s="1443" t="str">
        <f>IF(BG19="","",IF(VLOOKUP(BG19,SectInfo!$B:$N,11,FALSE)="","2",(VLOOKUP(BG19,SectInfo!$B:$N,11,FALSE))))</f>
        <v/>
      </c>
      <c r="DA19" s="1046" t="str">
        <f>IF(BG19="","",IF(VLOOKUP(BG19,SectInfo!$B:$N,7,FALSE)="","",(VLOOKUP(BG19,SectInfo!$B:$N,7,FALSE)*-1)))</f>
        <v/>
      </c>
      <c r="DB19" s="1046" t="str">
        <f>IF(BG19="","",IF(VLOOKUP(BG19,SectInfo!$B:$N,8,FALSE)="",VLOOKUP(AU19,$DF$2:$DN$9,6,FALSE),(VLOOKUP(BG19,SectInfo!$B:$N,8,FALSE))))</f>
        <v/>
      </c>
      <c r="DC19" s="1046" t="str">
        <f>IF(BG19="","",VLOOKUP(BG19,SectInfo!$B:$N,9,FALSE))</f>
        <v/>
      </c>
      <c r="DD19" s="1047">
        <f t="shared" si="61"/>
        <v>0</v>
      </c>
      <c r="DE19" s="1048" t="str">
        <f>IF(BO19="","",VLOOKUP(BO19,SectInfo!$B:$N,12,FALSE))</f>
        <v/>
      </c>
      <c r="DF19" s="1046" t="str">
        <f>IF(BO19="","",IF(ISBLANK(CA19),VLOOKUP(BO19,SectInfo!$B:$N,13,FALSE),CA19))</f>
        <v/>
      </c>
      <c r="DG19" s="1046" t="str">
        <f>IF(BO19="","",IF(VLOOKUP(BO19,SectInfo!$B:$N,5,FALSE)="","R",UPPER(VLOOKUP(BO19,SectInfo!$B:$N,5,FALSE))))</f>
        <v/>
      </c>
      <c r="DH19" s="1046" t="str">
        <f>IF(BO19="","",IF(ISBLANK(CG19),VLOOKUP(BO19,SectInfo!$B:$N,6,FALSE),CG19))</f>
        <v/>
      </c>
      <c r="DI19" s="1046" t="str">
        <f>IF(BO19="","",IF(VLOOKUP(BO19,SectInfo!$B:$N,10,FALSE)="","",(VLOOKUP(BO19,SectInfo!$B:$N,10,FALSE)*-1)))</f>
        <v/>
      </c>
      <c r="DJ19" s="1443" t="str">
        <f>IF(BO19="","",IF(VLOOKUP(BO19,SectInfo!$B:$N,11,FALSE)="","2",(VLOOKUP(BO19,SectInfo!$B:$N,11,FALSE))))</f>
        <v/>
      </c>
      <c r="DK19" s="1046" t="str">
        <f>IF(BO19="","",IF(VLOOKUP(BO19,SectInfo!$B:$N,7,FALSE)="","",(VLOOKUP(BO19,SectInfo!$B:$N,7,FALSE)*-1)))</f>
        <v/>
      </c>
      <c r="DL19" s="1046" t="str">
        <f>IF(BO19="","",IF(VLOOKUP(BO19,SectInfo!$B:$N,8,FALSE)="",VLOOKUP(AU19,$DF$2:$DN$9,6,FALSE),(VLOOKUP(BO19,SectInfo!$B:$N,8,FALSE))))</f>
        <v/>
      </c>
      <c r="DM19" s="1046" t="str">
        <f>IF(BO19="","",VLOOKUP(BO19,SectInfo!$B:$N,9,FALSE))</f>
        <v/>
      </c>
      <c r="DN19" s="1047">
        <f t="shared" si="62"/>
        <v>0</v>
      </c>
      <c r="DO19" s="1049">
        <f t="shared" si="63"/>
        <v>0</v>
      </c>
      <c r="DP19" s="1053" t="str">
        <f t="shared" si="64"/>
        <v/>
      </c>
      <c r="DQ19" s="1053" t="str">
        <f t="shared" si="65"/>
        <v/>
      </c>
      <c r="DR19" s="1053" t="str">
        <f t="shared" si="66"/>
        <v/>
      </c>
      <c r="DS19" s="1052">
        <f t="shared" si="67"/>
        <v>0</v>
      </c>
      <c r="DT19" s="1052">
        <f t="shared" si="68"/>
        <v>0</v>
      </c>
      <c r="DU19" s="1052" t="str">
        <f t="shared" si="69"/>
        <v/>
      </c>
      <c r="DV19" s="1053" t="str">
        <f t="shared" si="70"/>
        <v/>
      </c>
      <c r="DW19" s="1053" t="str">
        <f t="shared" si="71"/>
        <v/>
      </c>
      <c r="DX19" s="1269">
        <f t="shared" si="72"/>
        <v>0</v>
      </c>
      <c r="DY19" s="1053">
        <f t="shared" si="73"/>
        <v>0</v>
      </c>
      <c r="DZ19" s="1052">
        <f t="shared" si="74"/>
        <v>0</v>
      </c>
      <c r="EA19" s="1052" t="str">
        <f t="shared" si="75"/>
        <v/>
      </c>
      <c r="EB19" s="1053" t="str">
        <f t="shared" si="76"/>
        <v/>
      </c>
      <c r="EC19" s="1053" t="str">
        <f t="shared" si="77"/>
        <v/>
      </c>
      <c r="ED19" s="1269">
        <f t="shared" si="78"/>
        <v>0</v>
      </c>
      <c r="EE19" s="1090" t="str">
        <f t="shared" si="79"/>
        <v/>
      </c>
      <c r="EF19" s="1053" t="str">
        <f t="shared" si="80"/>
        <v/>
      </c>
      <c r="EG19" s="1053" t="str">
        <f t="shared" si="81"/>
        <v/>
      </c>
      <c r="EH19" s="1053" t="e">
        <f t="shared" si="82"/>
        <v>#N/A</v>
      </c>
      <c r="EI19" s="1053" t="e">
        <f t="shared" si="83"/>
        <v>#N/A</v>
      </c>
      <c r="EJ19" s="1053" t="str">
        <f t="shared" si="84"/>
        <v/>
      </c>
      <c r="EK19" s="1053" t="str">
        <f t="shared" si="84"/>
        <v/>
      </c>
      <c r="EL19" s="1090" t="str">
        <f t="shared" si="85"/>
        <v/>
      </c>
      <c r="EM19" s="1053" t="str">
        <f t="shared" si="86"/>
        <v/>
      </c>
      <c r="EN19" s="1053" t="str">
        <f t="shared" si="87"/>
        <v/>
      </c>
      <c r="EO19" s="1053" t="e">
        <f t="shared" si="88"/>
        <v>#N/A</v>
      </c>
      <c r="EP19" s="1053" t="e">
        <f t="shared" si="89"/>
        <v>#N/A</v>
      </c>
      <c r="EQ19" s="1053" t="str">
        <f t="shared" si="90"/>
        <v/>
      </c>
      <c r="ER19" s="1053" t="str">
        <f t="shared" si="90"/>
        <v/>
      </c>
      <c r="ES19" s="1053" t="str">
        <f t="shared" si="91"/>
        <v/>
      </c>
      <c r="ET19" s="1053" t="str">
        <f t="shared" si="92"/>
        <v/>
      </c>
      <c r="EU19" s="1061" t="str">
        <f t="shared" si="93"/>
        <v/>
      </c>
      <c r="EV19" s="1055" t="str">
        <f t="shared" si="94"/>
        <v/>
      </c>
      <c r="EW19" s="1061"/>
      <c r="EX19" s="1061" t="str">
        <f>IF(AND(CU19="G", ISBLANK(BK19), ISBLANK(BL19)),VLOOKUP(MIN(BH19:BI19),TblJoistSize!$M$3:$N$10,2),IF(OR(CU19="B",CU19="G"),MIN(BK19:BL19),""))</f>
        <v/>
      </c>
      <c r="EY19" s="1061" t="str">
        <f>IF(AND(CU19="G", ISBLANK(BK19), ISBLANK(BL19)),VLOOKUP(MAX(BH19:BI19),TblJoistSize!$M$3:$N$10,2),IF(OR(CU19="B",CU19="G"),MAX(BK19:BL19),""))</f>
        <v/>
      </c>
      <c r="EZ19" s="1061" t="str">
        <f t="shared" si="95"/>
        <v/>
      </c>
      <c r="FA19" s="1061" t="str">
        <f>IF(AND(DE19="G", ISBLANK(BS19), ISBLANK(BT19)),VLOOKUP(MIN(BP19:BQ19),TblJoistSize!$M$3:$N$10,2),IF(OR(DE19="B", DE19="G"),MIN(BS19:BT19),""))</f>
        <v/>
      </c>
      <c r="FB19" s="1061" t="str">
        <f>IF(AND(DE19="G", ISBLANK(BS19), ISBLANK(BT19)),VLOOKUP(MAX(BP19:BQ19),TblJoistSize!$M$3:$N$10,2),IF(OR(DE19="B", DE19="G"),MAX(BS19:BT19),""))</f>
        <v/>
      </c>
      <c r="FC19" s="1061" t="str">
        <f t="shared" si="96"/>
        <v/>
      </c>
      <c r="FD19" s="1052">
        <f t="shared" si="123"/>
        <v>0</v>
      </c>
      <c r="FE19" s="1052">
        <f t="shared" si="97"/>
        <v>0</v>
      </c>
      <c r="FF19" s="1052">
        <f t="shared" si="98"/>
        <v>0</v>
      </c>
      <c r="FG19" s="1052" t="str">
        <f t="shared" si="99"/>
        <v/>
      </c>
      <c r="FH19" s="1053" t="str">
        <f t="shared" si="100"/>
        <v/>
      </c>
      <c r="FI19" s="1052">
        <f t="shared" si="124"/>
        <v>0</v>
      </c>
      <c r="FJ19" s="1052">
        <f t="shared" si="101"/>
        <v>0</v>
      </c>
      <c r="FK19" s="1052">
        <f t="shared" si="102"/>
        <v>0</v>
      </c>
      <c r="FL19" s="1052" t="str">
        <f t="shared" si="103"/>
        <v/>
      </c>
      <c r="FM19" s="1053" t="str">
        <f t="shared" si="104"/>
        <v/>
      </c>
      <c r="FN19" s="1053" t="e">
        <f t="shared" si="105"/>
        <v>#VALUE!</v>
      </c>
      <c r="FO19" s="1062" t="e">
        <f t="shared" si="106"/>
        <v>#VALUE!</v>
      </c>
      <c r="FP19" s="1062" t="e">
        <f t="shared" si="107"/>
        <v>#VALUE!</v>
      </c>
      <c r="FQ19" s="1063" t="e">
        <f t="shared" si="108"/>
        <v>#VALUE!</v>
      </c>
      <c r="FR19" s="1064" t="e">
        <f t="shared" si="109"/>
        <v>#VALUE!</v>
      </c>
      <c r="FS19" s="1065" t="str">
        <f t="shared" si="110"/>
        <v/>
      </c>
      <c r="FT19" s="1066" t="str">
        <f t="shared" si="111"/>
        <v/>
      </c>
      <c r="FU19" s="1105">
        <f t="shared" si="112"/>
        <v>0</v>
      </c>
      <c r="FV19" s="1106">
        <f t="shared" si="113"/>
        <v>0</v>
      </c>
      <c r="GA19" s="1975" t="str">
        <f t="shared" si="114"/>
        <v/>
      </c>
      <c r="GB19" s="1976" t="str">
        <f t="shared" si="115"/>
        <v/>
      </c>
      <c r="GC19" s="1977" t="str">
        <f t="shared" si="116"/>
        <v/>
      </c>
      <c r="GD19" s="1978" t="str">
        <f t="shared" si="117"/>
        <v/>
      </c>
      <c r="GE19" s="1979" t="str">
        <f t="shared" si="118"/>
        <v/>
      </c>
      <c r="GF19" s="1980" t="str">
        <f t="shared" si="119"/>
        <v/>
      </c>
      <c r="GG19" s="1453"/>
      <c r="GH19" s="1454"/>
      <c r="GI19" s="1453"/>
      <c r="GJ19" s="1454"/>
      <c r="GK19" s="533">
        <f t="shared" si="120"/>
        <v>0</v>
      </c>
      <c r="GL19" s="534" t="e">
        <f t="shared" si="121"/>
        <v>#VALUE!</v>
      </c>
      <c r="GM19" s="535" t="e">
        <f>IF(ABS(GK19-GL19)&gt;='Job Info.'!$L$22,ABS(GK19-GL19),0)</f>
        <v>#VALUE!</v>
      </c>
      <c r="HA19" s="1658"/>
      <c r="HB19" s="1659"/>
      <c r="HC19" s="1659"/>
      <c r="HD19" s="1660"/>
      <c r="HE19" s="1661"/>
      <c r="HF19" s="1659"/>
      <c r="HG19" s="1659"/>
      <c r="HH19" s="1659"/>
      <c r="HI19" s="1662"/>
      <c r="HJ19" s="1659"/>
      <c r="HK19" s="1659"/>
      <c r="HL19" s="1659"/>
      <c r="HM19" s="1659"/>
      <c r="HN19" s="1659"/>
      <c r="HO19" s="1659"/>
      <c r="HP19" s="1659"/>
      <c r="HQ19" s="1662"/>
      <c r="HR19" s="1659"/>
      <c r="HS19" s="1659"/>
      <c r="HT19" s="1659"/>
      <c r="HU19" s="1659"/>
      <c r="HV19" s="1659"/>
      <c r="HW19" s="1661"/>
      <c r="HX19" s="1661"/>
      <c r="HY19" s="1661"/>
      <c r="HZ19" s="1661"/>
      <c r="IA19" s="1661"/>
      <c r="IB19" s="1661"/>
      <c r="IC19" s="1661"/>
      <c r="ID19" s="1661"/>
      <c r="IE19" s="1661"/>
      <c r="IF19" s="1663"/>
    </row>
    <row r="20" spans="1:240" ht="12.6" customHeight="1" x14ac:dyDescent="0.25">
      <c r="A20" s="1471" t="str">
        <f t="shared" si="1"/>
        <v/>
      </c>
      <c r="B20" s="1473" t="str">
        <f t="shared" si="2"/>
        <v/>
      </c>
      <c r="C20" s="1473" t="str">
        <f t="shared" si="3"/>
        <v/>
      </c>
      <c r="D20" s="1909" t="str">
        <f t="shared" si="4"/>
        <v/>
      </c>
      <c r="E20" s="1982" t="str">
        <f t="shared" si="5"/>
        <v/>
      </c>
      <c r="F20" s="1920" t="str">
        <f t="shared" si="6"/>
        <v/>
      </c>
      <c r="G20" s="1910" t="str">
        <f t="shared" si="7"/>
        <v/>
      </c>
      <c r="H20" s="1965" t="str">
        <f t="shared" si="8"/>
        <v/>
      </c>
      <c r="I20" s="1909" t="str">
        <f t="shared" si="9"/>
        <v/>
      </c>
      <c r="J20" s="1910" t="str">
        <f t="shared" si="10"/>
        <v/>
      </c>
      <c r="K20" s="1983" t="str">
        <f t="shared" si="11"/>
        <v/>
      </c>
      <c r="L20" s="1915" t="str">
        <f t="shared" si="12"/>
        <v/>
      </c>
      <c r="M20" s="1961" t="str">
        <f t="shared" si="13"/>
        <v/>
      </c>
      <c r="N20" s="1917" t="str">
        <f t="shared" si="14"/>
        <v/>
      </c>
      <c r="O20" s="1910" t="str">
        <f t="shared" si="15"/>
        <v/>
      </c>
      <c r="P20" s="1908" t="str">
        <f t="shared" si="16"/>
        <v/>
      </c>
      <c r="Q20" s="1909" t="str">
        <f t="shared" si="17"/>
        <v/>
      </c>
      <c r="R20" s="1910" t="str">
        <f t="shared" si="18"/>
        <v/>
      </c>
      <c r="S20" s="1984" t="str">
        <f t="shared" si="19"/>
        <v/>
      </c>
      <c r="T20" s="1920" t="str">
        <f t="shared" si="20"/>
        <v/>
      </c>
      <c r="U20" s="1910" t="str">
        <f t="shared" si="21"/>
        <v/>
      </c>
      <c r="V20" s="1909" t="str">
        <f t="shared" si="22"/>
        <v/>
      </c>
      <c r="W20" s="1910" t="str">
        <f t="shared" si="23"/>
        <v/>
      </c>
      <c r="X20" s="1961">
        <f t="shared" si="24"/>
        <v>0</v>
      </c>
      <c r="Y20" s="1967" t="str">
        <f t="shared" si="25"/>
        <v/>
      </c>
      <c r="Z20" s="1968" t="str">
        <f t="shared" si="26"/>
        <v/>
      </c>
      <c r="AA20" s="1981"/>
      <c r="AC20" s="1226" t="b">
        <v>0</v>
      </c>
      <c r="AD20" s="525">
        <f t="shared" si="27"/>
        <v>0</v>
      </c>
      <c r="AE20" s="526">
        <f t="shared" si="28"/>
        <v>0</v>
      </c>
      <c r="AF20" s="526">
        <f t="shared" si="29"/>
        <v>0</v>
      </c>
      <c r="AG20" s="526">
        <f t="shared" si="30"/>
        <v>0</v>
      </c>
      <c r="AH20" s="527">
        <f t="shared" si="31"/>
        <v>0</v>
      </c>
      <c r="AI20" s="528" t="b">
        <v>0</v>
      </c>
      <c r="AJ20" s="284">
        <f t="shared" si="32"/>
        <v>0</v>
      </c>
      <c r="AK20" s="1063" t="str">
        <f t="shared" si="33"/>
        <v/>
      </c>
      <c r="AL20" s="1202" t="str">
        <f t="shared" si="34"/>
        <v/>
      </c>
      <c r="AM20" s="1063" t="str">
        <f t="shared" si="35"/>
        <v/>
      </c>
      <c r="AN20" s="1063" t="str">
        <f t="shared" si="36"/>
        <v/>
      </c>
      <c r="AO20" s="1063" t="str">
        <f t="shared" si="37"/>
        <v/>
      </c>
      <c r="AP20" s="1063" t="b">
        <f>IF(ISERROR(AJ20),FALSE,IF(OR(AJ20=0,ISERROR(AL20),ISERROR(AM20),ISERROR(AN20),ISERROR(AO20)),FALSE,IF(AL20&lt;&gt;"",IF(ISERROR(VLOOKUP(SUBSTITUTE(SUBSTITUTE(C20,"R",""),"A",""),TblJoistSize!$A:$A,1,FALSE)),FALSE,TRUE),TRUE)))</f>
        <v>0</v>
      </c>
      <c r="AQ20" s="1305" t="e">
        <f t="shared" si="38"/>
        <v>#N/A</v>
      </c>
      <c r="AR20" s="1305" t="b">
        <f t="shared" si="39"/>
        <v>0</v>
      </c>
      <c r="AS20" s="1305" t="e">
        <f t="shared" si="40"/>
        <v>#N/A</v>
      </c>
      <c r="AT20" s="1305" t="b">
        <f t="shared" si="41"/>
        <v>0</v>
      </c>
      <c r="AU20" s="1203" t="str">
        <f t="shared" si="42"/>
        <v/>
      </c>
      <c r="AV20" s="1063" t="str">
        <f t="shared" si="43"/>
        <v/>
      </c>
      <c r="AW20" s="1063" t="str">
        <f t="shared" si="44"/>
        <v/>
      </c>
      <c r="AX20" s="1063" t="str">
        <f t="shared" si="122"/>
        <v/>
      </c>
      <c r="AY20" s="1306" t="b">
        <f t="shared" si="45"/>
        <v>0</v>
      </c>
      <c r="AZ20" s="1090" t="str">
        <f t="shared" si="46"/>
        <v/>
      </c>
      <c r="BA20" s="674"/>
      <c r="BB20" s="842"/>
      <c r="BC20" s="894"/>
      <c r="BD20" s="926"/>
      <c r="BE20" s="927"/>
      <c r="BF20" s="928"/>
      <c r="BG20" s="901"/>
      <c r="BH20" s="1244"/>
      <c r="BI20" s="1245"/>
      <c r="BJ20" s="929"/>
      <c r="BK20" s="902"/>
      <c r="BL20" s="903"/>
      <c r="BM20" s="904"/>
      <c r="BN20" s="905"/>
      <c r="BO20" s="901"/>
      <c r="BP20" s="902"/>
      <c r="BQ20" s="903"/>
      <c r="BR20" s="929"/>
      <c r="BS20" s="902"/>
      <c r="BT20" s="903"/>
      <c r="BU20" s="904"/>
      <c r="BV20" s="905"/>
      <c r="BW20" s="906"/>
      <c r="BX20" s="930"/>
      <c r="BY20" s="931"/>
      <c r="BZ20" s="932"/>
      <c r="CA20" s="933"/>
      <c r="CB20" s="932"/>
      <c r="CC20" s="933"/>
      <c r="CD20" s="934" t="str">
        <f t="shared" si="47"/>
        <v/>
      </c>
      <c r="CE20" s="935" t="str">
        <f t="shared" si="48"/>
        <v/>
      </c>
      <c r="CF20" s="1149"/>
      <c r="CG20" s="1150"/>
      <c r="CH20" s="738" t="str">
        <f t="shared" si="49"/>
        <v/>
      </c>
      <c r="CI20" s="739" t="str">
        <f t="shared" si="50"/>
        <v/>
      </c>
      <c r="CJ20" s="740" t="str">
        <f t="shared" si="51"/>
        <v/>
      </c>
      <c r="CK20" s="741" t="str">
        <f t="shared" si="52"/>
        <v/>
      </c>
      <c r="CL20" s="742" t="str">
        <f t="shared" si="53"/>
        <v/>
      </c>
      <c r="CM20" s="743" t="str">
        <f t="shared" si="54"/>
        <v/>
      </c>
      <c r="CN20" s="744" t="str">
        <f t="shared" si="55"/>
        <v/>
      </c>
      <c r="CO20" s="745" t="str">
        <f t="shared" si="56"/>
        <v/>
      </c>
      <c r="CP20" s="762" t="str">
        <f t="shared" si="57"/>
        <v/>
      </c>
      <c r="CQ20" s="763" t="str">
        <f t="shared" si="58"/>
        <v/>
      </c>
      <c r="CR20" s="953" t="str">
        <f t="shared" si="59"/>
        <v/>
      </c>
      <c r="CS20" s="954" t="str">
        <f t="shared" si="60"/>
        <v/>
      </c>
      <c r="CU20" s="1048" t="str">
        <f>IF(BG20="","",VLOOKUP(BG20,SectInfo!$B:$N,12,FALSE))</f>
        <v/>
      </c>
      <c r="CV20" s="1046" t="str">
        <f>IF(BG20="","",IF(ISBLANK(BZ20),VLOOKUP(BG20,SectInfo!$B:$N,13,FALSE),BZ20))</f>
        <v/>
      </c>
      <c r="CW20" s="1046" t="str">
        <f>IF(BG20="","",IF(VLOOKUP(BG20,SectInfo!$B:$N,5,FALSE)="","R",UPPER(VLOOKUP(BG20,SectInfo!$B:$N,5,FALSE))))</f>
        <v/>
      </c>
      <c r="CX20" s="1046" t="str">
        <f>IF(BG20="","",IF(ISBLANK(CF20),VLOOKUP(BG20,SectInfo!$B:$N,6,FALSE),CF20))</f>
        <v/>
      </c>
      <c r="CY20" s="1276" t="str">
        <f>IF(BG20="","",IF(VLOOKUP(BG20,SectInfo!$B:$N,10,FALSE)="","",(VLOOKUP(BG20,SectInfo!$B:$N,10,FALSE)*-1)))</f>
        <v/>
      </c>
      <c r="CZ20" s="1443" t="str">
        <f>IF(BG20="","",IF(VLOOKUP(BG20,SectInfo!$B:$N,11,FALSE)="","2",(VLOOKUP(BG20,SectInfo!$B:$N,11,FALSE))))</f>
        <v/>
      </c>
      <c r="DA20" s="1046" t="str">
        <f>IF(BG20="","",IF(VLOOKUP(BG20,SectInfo!$B:$N,7,FALSE)="","",(VLOOKUP(BG20,SectInfo!$B:$N,7,FALSE)*-1)))</f>
        <v/>
      </c>
      <c r="DB20" s="1046" t="str">
        <f>IF(BG20="","",IF(VLOOKUP(BG20,SectInfo!$B:$N,8,FALSE)="",VLOOKUP(AU20,$DF$2:$DN$9,6,FALSE),(VLOOKUP(BG20,SectInfo!$B:$N,8,FALSE))))</f>
        <v/>
      </c>
      <c r="DC20" s="1046" t="str">
        <f>IF(BG20="","",VLOOKUP(BG20,SectInfo!$B:$N,9,FALSE))</f>
        <v/>
      </c>
      <c r="DD20" s="1047">
        <f t="shared" si="61"/>
        <v>0</v>
      </c>
      <c r="DE20" s="1048" t="str">
        <f>IF(BO20="","",VLOOKUP(BO20,SectInfo!$B:$N,12,FALSE))</f>
        <v/>
      </c>
      <c r="DF20" s="1046" t="str">
        <f>IF(BO20="","",IF(ISBLANK(CA20),VLOOKUP(BO20,SectInfo!$B:$N,13,FALSE),CA20))</f>
        <v/>
      </c>
      <c r="DG20" s="1046" t="str">
        <f>IF(BO20="","",IF(VLOOKUP(BO20,SectInfo!$B:$N,5,FALSE)="","R",UPPER(VLOOKUP(BO20,SectInfo!$B:$N,5,FALSE))))</f>
        <v/>
      </c>
      <c r="DH20" s="1046" t="str">
        <f>IF(BO20="","",IF(ISBLANK(CG20),VLOOKUP(BO20,SectInfo!$B:$N,6,FALSE),CG20))</f>
        <v/>
      </c>
      <c r="DI20" s="1046" t="str">
        <f>IF(BO20="","",IF(VLOOKUP(BO20,SectInfo!$B:$N,10,FALSE)="","",(VLOOKUP(BO20,SectInfo!$B:$N,10,FALSE)*-1)))</f>
        <v/>
      </c>
      <c r="DJ20" s="1443" t="str">
        <f>IF(BO20="","",IF(VLOOKUP(BO20,SectInfo!$B:$N,11,FALSE)="","2",(VLOOKUP(BO20,SectInfo!$B:$N,11,FALSE))))</f>
        <v/>
      </c>
      <c r="DK20" s="1046" t="str">
        <f>IF(BO20="","",IF(VLOOKUP(BO20,SectInfo!$B:$N,7,FALSE)="","",(VLOOKUP(BO20,SectInfo!$B:$N,7,FALSE)*-1)))</f>
        <v/>
      </c>
      <c r="DL20" s="1046" t="str">
        <f>IF(BO20="","",IF(VLOOKUP(BO20,SectInfo!$B:$N,8,FALSE)="",VLOOKUP(AU20,$DF$2:$DN$9,6,FALSE),(VLOOKUP(BO20,SectInfo!$B:$N,8,FALSE))))</f>
        <v/>
      </c>
      <c r="DM20" s="1046" t="str">
        <f>IF(BO20="","",VLOOKUP(BO20,SectInfo!$B:$N,9,FALSE))</f>
        <v/>
      </c>
      <c r="DN20" s="1047">
        <f t="shared" si="62"/>
        <v>0</v>
      </c>
      <c r="DO20" s="1049">
        <f t="shared" si="63"/>
        <v>0</v>
      </c>
      <c r="DP20" s="1053" t="str">
        <f t="shared" si="64"/>
        <v/>
      </c>
      <c r="DQ20" s="1053" t="str">
        <f t="shared" si="65"/>
        <v/>
      </c>
      <c r="DR20" s="1053" t="str">
        <f t="shared" si="66"/>
        <v/>
      </c>
      <c r="DS20" s="1052">
        <f t="shared" si="67"/>
        <v>0</v>
      </c>
      <c r="DT20" s="1052">
        <f t="shared" si="68"/>
        <v>0</v>
      </c>
      <c r="DU20" s="1052" t="str">
        <f t="shared" si="69"/>
        <v/>
      </c>
      <c r="DV20" s="1053" t="str">
        <f t="shared" si="70"/>
        <v/>
      </c>
      <c r="DW20" s="1053" t="str">
        <f t="shared" si="71"/>
        <v/>
      </c>
      <c r="DX20" s="1269">
        <f t="shared" si="72"/>
        <v>0</v>
      </c>
      <c r="DY20" s="1053">
        <f t="shared" si="73"/>
        <v>0</v>
      </c>
      <c r="DZ20" s="1052">
        <f t="shared" si="74"/>
        <v>0</v>
      </c>
      <c r="EA20" s="1052" t="str">
        <f t="shared" si="75"/>
        <v/>
      </c>
      <c r="EB20" s="1053" t="str">
        <f t="shared" si="76"/>
        <v/>
      </c>
      <c r="EC20" s="1053" t="str">
        <f t="shared" si="77"/>
        <v/>
      </c>
      <c r="ED20" s="1269">
        <f t="shared" si="78"/>
        <v>0</v>
      </c>
      <c r="EE20" s="1090" t="str">
        <f t="shared" si="79"/>
        <v/>
      </c>
      <c r="EF20" s="1053" t="str">
        <f t="shared" si="80"/>
        <v/>
      </c>
      <c r="EG20" s="1053" t="str">
        <f t="shared" si="81"/>
        <v/>
      </c>
      <c r="EH20" s="1053" t="e">
        <f t="shared" si="82"/>
        <v>#N/A</v>
      </c>
      <c r="EI20" s="1053" t="e">
        <f t="shared" si="83"/>
        <v>#N/A</v>
      </c>
      <c r="EJ20" s="1053" t="str">
        <f t="shared" si="84"/>
        <v/>
      </c>
      <c r="EK20" s="1053" t="str">
        <f t="shared" si="84"/>
        <v/>
      </c>
      <c r="EL20" s="1090" t="str">
        <f t="shared" si="85"/>
        <v/>
      </c>
      <c r="EM20" s="1053" t="str">
        <f t="shared" si="86"/>
        <v/>
      </c>
      <c r="EN20" s="1053" t="str">
        <f t="shared" si="87"/>
        <v/>
      </c>
      <c r="EO20" s="1053" t="e">
        <f t="shared" si="88"/>
        <v>#N/A</v>
      </c>
      <c r="EP20" s="1053" t="e">
        <f t="shared" si="89"/>
        <v>#N/A</v>
      </c>
      <c r="EQ20" s="1053" t="str">
        <f t="shared" si="90"/>
        <v/>
      </c>
      <c r="ER20" s="1053" t="str">
        <f t="shared" si="90"/>
        <v/>
      </c>
      <c r="ES20" s="1053" t="str">
        <f t="shared" si="91"/>
        <v/>
      </c>
      <c r="ET20" s="1053" t="str">
        <f t="shared" si="92"/>
        <v/>
      </c>
      <c r="EU20" s="1061" t="str">
        <f t="shared" si="93"/>
        <v/>
      </c>
      <c r="EV20" s="1055" t="str">
        <f t="shared" si="94"/>
        <v/>
      </c>
      <c r="EW20" s="1061"/>
      <c r="EX20" s="1061" t="str">
        <f>IF(AND(CU20="G", ISBLANK(BK20), ISBLANK(BL20)),VLOOKUP(MIN(BH20:BI20),TblJoistSize!$M$3:$N$10,2),IF(OR(CU20="B",CU20="G"),MIN(BK20:BL20),""))</f>
        <v/>
      </c>
      <c r="EY20" s="1061" t="str">
        <f>IF(AND(CU20="G", ISBLANK(BK20), ISBLANK(BL20)),VLOOKUP(MAX(BH20:BI20),TblJoistSize!$M$3:$N$10,2),IF(OR(CU20="B",CU20="G"),MAX(BK20:BL20),""))</f>
        <v/>
      </c>
      <c r="EZ20" s="1061" t="str">
        <f t="shared" si="95"/>
        <v/>
      </c>
      <c r="FA20" s="1061" t="str">
        <f>IF(AND(DE20="G", ISBLANK(BS20), ISBLANK(BT20)),VLOOKUP(MIN(BP20:BQ20),TblJoistSize!$M$3:$N$10,2),IF(OR(DE20="B", DE20="G"),MIN(BS20:BT20),""))</f>
        <v/>
      </c>
      <c r="FB20" s="1061" t="str">
        <f>IF(AND(DE20="G", ISBLANK(BS20), ISBLANK(BT20)),VLOOKUP(MAX(BP20:BQ20),TblJoistSize!$M$3:$N$10,2),IF(OR(DE20="B", DE20="G"),MAX(BS20:BT20),""))</f>
        <v/>
      </c>
      <c r="FC20" s="1061" t="str">
        <f t="shared" si="96"/>
        <v/>
      </c>
      <c r="FD20" s="1052">
        <f t="shared" si="123"/>
        <v>0</v>
      </c>
      <c r="FE20" s="1052">
        <f t="shared" si="97"/>
        <v>0</v>
      </c>
      <c r="FF20" s="1052">
        <f t="shared" si="98"/>
        <v>0</v>
      </c>
      <c r="FG20" s="1052" t="str">
        <f t="shared" si="99"/>
        <v/>
      </c>
      <c r="FH20" s="1053" t="str">
        <f t="shared" si="100"/>
        <v/>
      </c>
      <c r="FI20" s="1052">
        <f t="shared" si="124"/>
        <v>0</v>
      </c>
      <c r="FJ20" s="1052">
        <f t="shared" si="101"/>
        <v>0</v>
      </c>
      <c r="FK20" s="1052">
        <f t="shared" si="102"/>
        <v>0</v>
      </c>
      <c r="FL20" s="1052" t="str">
        <f t="shared" si="103"/>
        <v/>
      </c>
      <c r="FM20" s="1053" t="str">
        <f t="shared" si="104"/>
        <v/>
      </c>
      <c r="FN20" s="1053" t="e">
        <f t="shared" si="105"/>
        <v>#VALUE!</v>
      </c>
      <c r="FO20" s="1062" t="e">
        <f t="shared" si="106"/>
        <v>#VALUE!</v>
      </c>
      <c r="FP20" s="1062" t="e">
        <f t="shared" si="107"/>
        <v>#VALUE!</v>
      </c>
      <c r="FQ20" s="1063" t="e">
        <f t="shared" si="108"/>
        <v>#VALUE!</v>
      </c>
      <c r="FR20" s="1064" t="e">
        <f t="shared" si="109"/>
        <v>#VALUE!</v>
      </c>
      <c r="FS20" s="1065" t="str">
        <f t="shared" si="110"/>
        <v/>
      </c>
      <c r="FT20" s="1066" t="str">
        <f t="shared" si="111"/>
        <v/>
      </c>
      <c r="FU20" s="1105">
        <f t="shared" si="112"/>
        <v>0</v>
      </c>
      <c r="FV20" s="1106">
        <f t="shared" si="113"/>
        <v>0</v>
      </c>
      <c r="GA20" s="1975" t="str">
        <f t="shared" si="114"/>
        <v/>
      </c>
      <c r="GB20" s="1976" t="str">
        <f t="shared" si="115"/>
        <v/>
      </c>
      <c r="GC20" s="1977" t="str">
        <f t="shared" si="116"/>
        <v/>
      </c>
      <c r="GD20" s="1978" t="str">
        <f t="shared" si="117"/>
        <v/>
      </c>
      <c r="GE20" s="1979" t="str">
        <f t="shared" si="118"/>
        <v/>
      </c>
      <c r="GF20" s="1980" t="str">
        <f t="shared" si="119"/>
        <v/>
      </c>
      <c r="GG20" s="1453"/>
      <c r="GH20" s="1454"/>
      <c r="GI20" s="1453"/>
      <c r="GJ20" s="1454"/>
      <c r="GK20" s="533">
        <f t="shared" si="120"/>
        <v>0</v>
      </c>
      <c r="GL20" s="534" t="e">
        <f t="shared" si="121"/>
        <v>#VALUE!</v>
      </c>
      <c r="GM20" s="535" t="e">
        <f>IF(ABS(GK20-GL20)&gt;='Job Info.'!$L$22,ABS(GK20-GL20),0)</f>
        <v>#VALUE!</v>
      </c>
      <c r="HA20" s="1658"/>
      <c r="HB20" s="1659"/>
      <c r="HC20" s="1659"/>
      <c r="HD20" s="1660"/>
      <c r="HE20" s="1661"/>
      <c r="HF20" s="1659"/>
      <c r="HG20" s="1659"/>
      <c r="HH20" s="1659"/>
      <c r="HI20" s="1662"/>
      <c r="HJ20" s="1659"/>
      <c r="HK20" s="1659"/>
      <c r="HL20" s="1659"/>
      <c r="HM20" s="1659"/>
      <c r="HN20" s="1659"/>
      <c r="HO20" s="1659"/>
      <c r="HP20" s="1659"/>
      <c r="HQ20" s="1662"/>
      <c r="HR20" s="1659"/>
      <c r="HS20" s="1659"/>
      <c r="HT20" s="1659"/>
      <c r="HU20" s="1659"/>
      <c r="HV20" s="1659"/>
      <c r="HW20" s="1661"/>
      <c r="HX20" s="1661"/>
      <c r="HY20" s="1661"/>
      <c r="HZ20" s="1661"/>
      <c r="IA20" s="1661"/>
      <c r="IB20" s="1661"/>
      <c r="IC20" s="1661"/>
      <c r="ID20" s="1661"/>
      <c r="IE20" s="1661"/>
      <c r="IF20" s="1663"/>
    </row>
    <row r="21" spans="1:240" ht="12.6" customHeight="1" x14ac:dyDescent="0.25">
      <c r="A21" s="1471" t="str">
        <f t="shared" si="1"/>
        <v/>
      </c>
      <c r="B21" s="1473" t="str">
        <f t="shared" si="2"/>
        <v/>
      </c>
      <c r="C21" s="1473" t="str">
        <f t="shared" si="3"/>
        <v/>
      </c>
      <c r="D21" s="1909" t="str">
        <f t="shared" si="4"/>
        <v/>
      </c>
      <c r="E21" s="1982" t="str">
        <f t="shared" si="5"/>
        <v/>
      </c>
      <c r="F21" s="1920" t="str">
        <f t="shared" si="6"/>
        <v/>
      </c>
      <c r="G21" s="1910" t="str">
        <f t="shared" si="7"/>
        <v/>
      </c>
      <c r="H21" s="1965" t="str">
        <f t="shared" si="8"/>
        <v/>
      </c>
      <c r="I21" s="1909" t="str">
        <f t="shared" si="9"/>
        <v/>
      </c>
      <c r="J21" s="1910" t="str">
        <f t="shared" si="10"/>
        <v/>
      </c>
      <c r="K21" s="1983" t="str">
        <f t="shared" si="11"/>
        <v/>
      </c>
      <c r="L21" s="1915" t="str">
        <f t="shared" si="12"/>
        <v/>
      </c>
      <c r="M21" s="1961" t="str">
        <f t="shared" si="13"/>
        <v/>
      </c>
      <c r="N21" s="1917" t="str">
        <f t="shared" si="14"/>
        <v/>
      </c>
      <c r="O21" s="1910" t="str">
        <f t="shared" si="15"/>
        <v/>
      </c>
      <c r="P21" s="1908" t="str">
        <f t="shared" si="16"/>
        <v/>
      </c>
      <c r="Q21" s="1909" t="str">
        <f t="shared" si="17"/>
        <v/>
      </c>
      <c r="R21" s="1910" t="str">
        <f t="shared" si="18"/>
        <v/>
      </c>
      <c r="S21" s="1984" t="str">
        <f t="shared" si="19"/>
        <v/>
      </c>
      <c r="T21" s="1920" t="str">
        <f t="shared" si="20"/>
        <v/>
      </c>
      <c r="U21" s="1910" t="str">
        <f t="shared" si="21"/>
        <v/>
      </c>
      <c r="V21" s="1909" t="str">
        <f t="shared" si="22"/>
        <v/>
      </c>
      <c r="W21" s="1910" t="str">
        <f t="shared" si="23"/>
        <v/>
      </c>
      <c r="X21" s="1961">
        <f t="shared" si="24"/>
        <v>0</v>
      </c>
      <c r="Y21" s="1967" t="str">
        <f t="shared" si="25"/>
        <v/>
      </c>
      <c r="Z21" s="1968" t="str">
        <f t="shared" si="26"/>
        <v/>
      </c>
      <c r="AA21" s="1981"/>
      <c r="AC21" s="1226" t="b">
        <v>0</v>
      </c>
      <c r="AD21" s="525">
        <f t="shared" si="27"/>
        <v>0</v>
      </c>
      <c r="AE21" s="526">
        <f t="shared" si="28"/>
        <v>0</v>
      </c>
      <c r="AF21" s="526">
        <f t="shared" si="29"/>
        <v>0</v>
      </c>
      <c r="AG21" s="526">
        <f t="shared" si="30"/>
        <v>0</v>
      </c>
      <c r="AH21" s="527">
        <f t="shared" si="31"/>
        <v>0</v>
      </c>
      <c r="AI21" s="528" t="b">
        <v>0</v>
      </c>
      <c r="AJ21" s="284">
        <f t="shared" si="32"/>
        <v>0</v>
      </c>
      <c r="AK21" s="1063" t="str">
        <f t="shared" si="33"/>
        <v/>
      </c>
      <c r="AL21" s="1202" t="str">
        <f t="shared" si="34"/>
        <v/>
      </c>
      <c r="AM21" s="1063" t="str">
        <f t="shared" si="35"/>
        <v/>
      </c>
      <c r="AN21" s="1063" t="str">
        <f t="shared" si="36"/>
        <v/>
      </c>
      <c r="AO21" s="1063" t="str">
        <f t="shared" si="37"/>
        <v/>
      </c>
      <c r="AP21" s="1063" t="b">
        <f>IF(ISERROR(AJ21),FALSE,IF(OR(AJ21=0,ISERROR(AL21),ISERROR(AM21),ISERROR(AN21),ISERROR(AO21)),FALSE,IF(AL21&lt;&gt;"",IF(ISERROR(VLOOKUP(SUBSTITUTE(SUBSTITUTE(C21,"R",""),"A",""),TblJoistSize!$A:$A,1,FALSE)),FALSE,TRUE),TRUE)))</f>
        <v>0</v>
      </c>
      <c r="AQ21" s="1305" t="e">
        <f t="shared" si="38"/>
        <v>#N/A</v>
      </c>
      <c r="AR21" s="1305" t="b">
        <f t="shared" si="39"/>
        <v>0</v>
      </c>
      <c r="AS21" s="1305" t="e">
        <f t="shared" si="40"/>
        <v>#N/A</v>
      </c>
      <c r="AT21" s="1305" t="b">
        <f t="shared" si="41"/>
        <v>0</v>
      </c>
      <c r="AU21" s="1203" t="str">
        <f t="shared" si="42"/>
        <v/>
      </c>
      <c r="AV21" s="1063" t="str">
        <f t="shared" si="43"/>
        <v/>
      </c>
      <c r="AW21" s="1063" t="str">
        <f t="shared" si="44"/>
        <v/>
      </c>
      <c r="AX21" s="1063" t="str">
        <f t="shared" si="122"/>
        <v/>
      </c>
      <c r="AY21" s="1306" t="b">
        <f t="shared" si="45"/>
        <v>0</v>
      </c>
      <c r="AZ21" s="1090" t="str">
        <f t="shared" si="46"/>
        <v/>
      </c>
      <c r="BA21" s="674"/>
      <c r="BB21" s="1794"/>
      <c r="BC21" s="1795"/>
      <c r="BD21" s="1796"/>
      <c r="BE21" s="1797"/>
      <c r="BF21" s="1798"/>
      <c r="BG21" s="1799"/>
      <c r="BH21" s="1800"/>
      <c r="BI21" s="1801"/>
      <c r="BJ21" s="1802"/>
      <c r="BK21" s="1803"/>
      <c r="BL21" s="1804"/>
      <c r="BM21" s="1805"/>
      <c r="BN21" s="1806"/>
      <c r="BO21" s="1799"/>
      <c r="BP21" s="1803"/>
      <c r="BQ21" s="1804"/>
      <c r="BR21" s="1802"/>
      <c r="BS21" s="1803"/>
      <c r="BT21" s="1804"/>
      <c r="BU21" s="1805"/>
      <c r="BV21" s="1806"/>
      <c r="BW21" s="1807"/>
      <c r="BX21" s="1808"/>
      <c r="BY21" s="931"/>
      <c r="BZ21" s="1809"/>
      <c r="CA21" s="1810"/>
      <c r="CB21" s="1809"/>
      <c r="CC21" s="1810"/>
      <c r="CD21" s="1811" t="str">
        <f t="shared" si="47"/>
        <v/>
      </c>
      <c r="CE21" s="1812" t="str">
        <f t="shared" si="48"/>
        <v/>
      </c>
      <c r="CF21" s="1813"/>
      <c r="CG21" s="1814"/>
      <c r="CH21" s="738" t="str">
        <f t="shared" si="49"/>
        <v/>
      </c>
      <c r="CI21" s="739" t="str">
        <f t="shared" si="50"/>
        <v/>
      </c>
      <c r="CJ21" s="740" t="str">
        <f t="shared" si="51"/>
        <v/>
      </c>
      <c r="CK21" s="741" t="str">
        <f t="shared" si="52"/>
        <v/>
      </c>
      <c r="CL21" s="742" t="str">
        <f t="shared" si="53"/>
        <v/>
      </c>
      <c r="CM21" s="743" t="str">
        <f t="shared" si="54"/>
        <v/>
      </c>
      <c r="CN21" s="744" t="str">
        <f t="shared" si="55"/>
        <v/>
      </c>
      <c r="CO21" s="745" t="str">
        <f t="shared" si="56"/>
        <v/>
      </c>
      <c r="CP21" s="762" t="str">
        <f t="shared" si="57"/>
        <v/>
      </c>
      <c r="CQ21" s="763" t="str">
        <f t="shared" si="58"/>
        <v/>
      </c>
      <c r="CR21" s="953" t="str">
        <f t="shared" si="59"/>
        <v/>
      </c>
      <c r="CS21" s="954" t="str">
        <f t="shared" si="60"/>
        <v/>
      </c>
      <c r="CU21" s="1048" t="str">
        <f>IF(BG21="","",VLOOKUP(BG21,SectInfo!$B:$N,12,FALSE))</f>
        <v/>
      </c>
      <c r="CV21" s="1046" t="str">
        <f>IF(BG21="","",IF(ISBLANK(BZ21),VLOOKUP(BG21,SectInfo!$B:$N,13,FALSE),BZ21))</f>
        <v/>
      </c>
      <c r="CW21" s="1046" t="str">
        <f>IF(BG21="","",IF(VLOOKUP(BG21,SectInfo!$B:$N,5,FALSE)="","R",UPPER(VLOOKUP(BG21,SectInfo!$B:$N,5,FALSE))))</f>
        <v/>
      </c>
      <c r="CX21" s="1046" t="str">
        <f>IF(BG21="","",IF(ISBLANK(CF21),VLOOKUP(BG21,SectInfo!$B:$N,6,FALSE),CF21))</f>
        <v/>
      </c>
      <c r="CY21" s="1276" t="str">
        <f>IF(BG21="","",IF(VLOOKUP(BG21,SectInfo!$B:$N,10,FALSE)="","",(VLOOKUP(BG21,SectInfo!$B:$N,10,FALSE)*-1)))</f>
        <v/>
      </c>
      <c r="CZ21" s="1443" t="str">
        <f>IF(BG21="","",IF(VLOOKUP(BG21,SectInfo!$B:$N,11,FALSE)="","2",(VLOOKUP(BG21,SectInfo!$B:$N,11,FALSE))))</f>
        <v/>
      </c>
      <c r="DA21" s="1046" t="str">
        <f>IF(BG21="","",IF(VLOOKUP(BG21,SectInfo!$B:$N,7,FALSE)="","",(VLOOKUP(BG21,SectInfo!$B:$N,7,FALSE)*-1)))</f>
        <v/>
      </c>
      <c r="DB21" s="1046" t="str">
        <f>IF(BG21="","",IF(VLOOKUP(BG21,SectInfo!$B:$N,8,FALSE)="",VLOOKUP(AU21,$DF$2:$DN$9,6,FALSE),(VLOOKUP(BG21,SectInfo!$B:$N,8,FALSE))))</f>
        <v/>
      </c>
      <c r="DC21" s="1046" t="str">
        <f>IF(BG21="","",VLOOKUP(BG21,SectInfo!$B:$N,9,FALSE))</f>
        <v/>
      </c>
      <c r="DD21" s="1047">
        <f t="shared" si="61"/>
        <v>0</v>
      </c>
      <c r="DE21" s="1048" t="str">
        <f>IF(BO21="","",VLOOKUP(BO21,SectInfo!$B:$N,12,FALSE))</f>
        <v/>
      </c>
      <c r="DF21" s="1046" t="str">
        <f>IF(BO21="","",IF(ISBLANK(CA21),VLOOKUP(BO21,SectInfo!$B:$N,13,FALSE),CA21))</f>
        <v/>
      </c>
      <c r="DG21" s="1046" t="str">
        <f>IF(BO21="","",IF(VLOOKUP(BO21,SectInfo!$B:$N,5,FALSE)="","R",UPPER(VLOOKUP(BO21,SectInfo!$B:$N,5,FALSE))))</f>
        <v/>
      </c>
      <c r="DH21" s="1046" t="str">
        <f>IF(BO21="","",IF(ISBLANK(CG21),VLOOKUP(BO21,SectInfo!$B:$N,6,FALSE),CG21))</f>
        <v/>
      </c>
      <c r="DI21" s="1046" t="str">
        <f>IF(BO21="","",IF(VLOOKUP(BO21,SectInfo!$B:$N,10,FALSE)="","",(VLOOKUP(BO21,SectInfo!$B:$N,10,FALSE)*-1)))</f>
        <v/>
      </c>
      <c r="DJ21" s="1443" t="str">
        <f>IF(BO21="","",IF(VLOOKUP(BO21,SectInfo!$B:$N,11,FALSE)="","2",(VLOOKUP(BO21,SectInfo!$B:$N,11,FALSE))))</f>
        <v/>
      </c>
      <c r="DK21" s="1046" t="str">
        <f>IF(BO21="","",IF(VLOOKUP(BO21,SectInfo!$B:$N,7,FALSE)="","",(VLOOKUP(BO21,SectInfo!$B:$N,7,FALSE)*-1)))</f>
        <v/>
      </c>
      <c r="DL21" s="1046" t="str">
        <f>IF(BO21="","",IF(VLOOKUP(BO21,SectInfo!$B:$N,8,FALSE)="",VLOOKUP(AU21,$DF$2:$DN$9,6,FALSE),(VLOOKUP(BO21,SectInfo!$B:$N,8,FALSE))))</f>
        <v/>
      </c>
      <c r="DM21" s="1046" t="str">
        <f>IF(BO21="","",VLOOKUP(BO21,SectInfo!$B:$N,9,FALSE))</f>
        <v/>
      </c>
      <c r="DN21" s="1047">
        <f t="shared" si="62"/>
        <v>0</v>
      </c>
      <c r="DO21" s="1049">
        <f t="shared" si="63"/>
        <v>0</v>
      </c>
      <c r="DP21" s="1053" t="str">
        <f t="shared" si="64"/>
        <v/>
      </c>
      <c r="DQ21" s="1053" t="str">
        <f t="shared" si="65"/>
        <v/>
      </c>
      <c r="DR21" s="1053" t="str">
        <f t="shared" si="66"/>
        <v/>
      </c>
      <c r="DS21" s="1052">
        <f t="shared" si="67"/>
        <v>0</v>
      </c>
      <c r="DT21" s="1052">
        <f t="shared" si="68"/>
        <v>0</v>
      </c>
      <c r="DU21" s="1052" t="str">
        <f t="shared" si="69"/>
        <v/>
      </c>
      <c r="DV21" s="1053" t="str">
        <f t="shared" si="70"/>
        <v/>
      </c>
      <c r="DW21" s="1053" t="str">
        <f t="shared" si="71"/>
        <v/>
      </c>
      <c r="DX21" s="1269">
        <f t="shared" si="72"/>
        <v>0</v>
      </c>
      <c r="DY21" s="1053">
        <f t="shared" si="73"/>
        <v>0</v>
      </c>
      <c r="DZ21" s="1052">
        <f t="shared" si="74"/>
        <v>0</v>
      </c>
      <c r="EA21" s="1052" t="str">
        <f t="shared" si="75"/>
        <v/>
      </c>
      <c r="EB21" s="1053" t="str">
        <f t="shared" si="76"/>
        <v/>
      </c>
      <c r="EC21" s="1053" t="str">
        <f t="shared" si="77"/>
        <v/>
      </c>
      <c r="ED21" s="1269">
        <f t="shared" si="78"/>
        <v>0</v>
      </c>
      <c r="EE21" s="1090" t="str">
        <f t="shared" si="79"/>
        <v/>
      </c>
      <c r="EF21" s="1053" t="str">
        <f t="shared" si="80"/>
        <v/>
      </c>
      <c r="EG21" s="1053" t="str">
        <f t="shared" si="81"/>
        <v/>
      </c>
      <c r="EH21" s="1053" t="e">
        <f t="shared" si="82"/>
        <v>#N/A</v>
      </c>
      <c r="EI21" s="1053" t="e">
        <f t="shared" si="83"/>
        <v>#N/A</v>
      </c>
      <c r="EJ21" s="1053" t="str">
        <f t="shared" si="84"/>
        <v/>
      </c>
      <c r="EK21" s="1053" t="str">
        <f t="shared" si="84"/>
        <v/>
      </c>
      <c r="EL21" s="1090" t="str">
        <f t="shared" si="85"/>
        <v/>
      </c>
      <c r="EM21" s="1053" t="str">
        <f t="shared" si="86"/>
        <v/>
      </c>
      <c r="EN21" s="1053" t="str">
        <f t="shared" si="87"/>
        <v/>
      </c>
      <c r="EO21" s="1053" t="e">
        <f t="shared" si="88"/>
        <v>#N/A</v>
      </c>
      <c r="EP21" s="1053" t="e">
        <f t="shared" si="89"/>
        <v>#N/A</v>
      </c>
      <c r="EQ21" s="1053" t="str">
        <f t="shared" si="90"/>
        <v/>
      </c>
      <c r="ER21" s="1053" t="str">
        <f t="shared" si="90"/>
        <v/>
      </c>
      <c r="ES21" s="1053" t="str">
        <f t="shared" si="91"/>
        <v/>
      </c>
      <c r="ET21" s="1053" t="str">
        <f t="shared" si="92"/>
        <v/>
      </c>
      <c r="EU21" s="1061" t="str">
        <f t="shared" si="93"/>
        <v/>
      </c>
      <c r="EV21" s="1055" t="str">
        <f t="shared" si="94"/>
        <v/>
      </c>
      <c r="EW21" s="1061"/>
      <c r="EX21" s="1061" t="str">
        <f>IF(AND(CU21="G", ISBLANK(BK21), ISBLANK(BL21)),VLOOKUP(MIN(BH21:BI21),TblJoistSize!$M$3:$N$10,2),IF(OR(CU21="B",CU21="G"),MIN(BK21:BL21),""))</f>
        <v/>
      </c>
      <c r="EY21" s="1061" t="str">
        <f>IF(AND(CU21="G", ISBLANK(BK21), ISBLANK(BL21)),VLOOKUP(MAX(BH21:BI21),TblJoistSize!$M$3:$N$10,2),IF(OR(CU21="B",CU21="G"),MAX(BK21:BL21),""))</f>
        <v/>
      </c>
      <c r="EZ21" s="1061" t="str">
        <f t="shared" si="95"/>
        <v/>
      </c>
      <c r="FA21" s="1061" t="str">
        <f>IF(AND(DE21="G", ISBLANK(BS21), ISBLANK(BT21)),VLOOKUP(MIN(BP21:BQ21),TblJoistSize!$M$3:$N$10,2),IF(OR(DE21="B", DE21="G"),MIN(BS21:BT21),""))</f>
        <v/>
      </c>
      <c r="FB21" s="1061" t="str">
        <f>IF(AND(DE21="G", ISBLANK(BS21), ISBLANK(BT21)),VLOOKUP(MAX(BP21:BQ21),TblJoistSize!$M$3:$N$10,2),IF(OR(DE21="B", DE21="G"),MAX(BS21:BT21),""))</f>
        <v/>
      </c>
      <c r="FC21" s="1061" t="str">
        <f t="shared" si="96"/>
        <v/>
      </c>
      <c r="FD21" s="1052">
        <f t="shared" si="123"/>
        <v>0</v>
      </c>
      <c r="FE21" s="1052">
        <f t="shared" si="97"/>
        <v>0</v>
      </c>
      <c r="FF21" s="1052">
        <f t="shared" si="98"/>
        <v>0</v>
      </c>
      <c r="FG21" s="1052" t="str">
        <f t="shared" si="99"/>
        <v/>
      </c>
      <c r="FH21" s="1053" t="str">
        <f t="shared" si="100"/>
        <v/>
      </c>
      <c r="FI21" s="1052">
        <f t="shared" si="124"/>
        <v>0</v>
      </c>
      <c r="FJ21" s="1052">
        <f t="shared" si="101"/>
        <v>0</v>
      </c>
      <c r="FK21" s="1052">
        <f t="shared" si="102"/>
        <v>0</v>
      </c>
      <c r="FL21" s="1052" t="str">
        <f t="shared" si="103"/>
        <v/>
      </c>
      <c r="FM21" s="1053" t="str">
        <f t="shared" si="104"/>
        <v/>
      </c>
      <c r="FN21" s="1053" t="e">
        <f t="shared" si="105"/>
        <v>#VALUE!</v>
      </c>
      <c r="FO21" s="1062" t="e">
        <f t="shared" si="106"/>
        <v>#VALUE!</v>
      </c>
      <c r="FP21" s="1062" t="e">
        <f t="shared" si="107"/>
        <v>#VALUE!</v>
      </c>
      <c r="FQ21" s="1063" t="e">
        <f t="shared" si="108"/>
        <v>#VALUE!</v>
      </c>
      <c r="FR21" s="1064" t="e">
        <f t="shared" si="109"/>
        <v>#VALUE!</v>
      </c>
      <c r="FS21" s="1065" t="str">
        <f t="shared" si="110"/>
        <v/>
      </c>
      <c r="FT21" s="1066" t="str">
        <f t="shared" si="111"/>
        <v/>
      </c>
      <c r="FU21" s="1105">
        <f t="shared" si="112"/>
        <v>0</v>
      </c>
      <c r="FV21" s="1106">
        <f t="shared" si="113"/>
        <v>0</v>
      </c>
      <c r="GA21" s="1975" t="str">
        <f t="shared" si="114"/>
        <v/>
      </c>
      <c r="GB21" s="1976" t="str">
        <f t="shared" si="115"/>
        <v/>
      </c>
      <c r="GC21" s="1977" t="str">
        <f t="shared" si="116"/>
        <v/>
      </c>
      <c r="GD21" s="1978" t="str">
        <f t="shared" si="117"/>
        <v/>
      </c>
      <c r="GE21" s="1979" t="str">
        <f t="shared" si="118"/>
        <v/>
      </c>
      <c r="GF21" s="1980" t="str">
        <f t="shared" si="119"/>
        <v/>
      </c>
      <c r="GG21" s="1453"/>
      <c r="GH21" s="1454"/>
      <c r="GI21" s="1453"/>
      <c r="GJ21" s="1454"/>
      <c r="GK21" s="533">
        <f t="shared" si="120"/>
        <v>0</v>
      </c>
      <c r="GL21" s="534" t="e">
        <f t="shared" si="121"/>
        <v>#VALUE!</v>
      </c>
      <c r="GM21" s="535" t="e">
        <f>IF(ABS(GK21-GL21)&gt;='Job Info.'!$L$22,ABS(GK21-GL21),0)</f>
        <v>#VALUE!</v>
      </c>
      <c r="HA21" s="1658"/>
      <c r="HB21" s="1659"/>
      <c r="HC21" s="1659"/>
      <c r="HD21" s="1660"/>
      <c r="HE21" s="1661"/>
      <c r="HF21" s="1659"/>
      <c r="HG21" s="1659"/>
      <c r="HH21" s="1659"/>
      <c r="HI21" s="1662"/>
      <c r="HJ21" s="1659"/>
      <c r="HK21" s="1659"/>
      <c r="HL21" s="1659"/>
      <c r="HM21" s="1659"/>
      <c r="HN21" s="1659"/>
      <c r="HO21" s="1659"/>
      <c r="HP21" s="1659"/>
      <c r="HQ21" s="1662"/>
      <c r="HR21" s="1659"/>
      <c r="HS21" s="1659"/>
      <c r="HT21" s="1659"/>
      <c r="HU21" s="1659"/>
      <c r="HV21" s="1659"/>
      <c r="HW21" s="1661"/>
      <c r="HX21" s="1661"/>
      <c r="HY21" s="1661"/>
      <c r="HZ21" s="1661"/>
      <c r="IA21" s="1661"/>
      <c r="IB21" s="1661"/>
      <c r="IC21" s="1661"/>
      <c r="ID21" s="1661"/>
      <c r="IE21" s="1661"/>
      <c r="IF21" s="1663"/>
    </row>
    <row r="22" spans="1:240" ht="12.6" customHeight="1" x14ac:dyDescent="0.25">
      <c r="A22" s="1471" t="str">
        <f t="shared" si="1"/>
        <v/>
      </c>
      <c r="B22" s="1473" t="str">
        <f t="shared" si="2"/>
        <v/>
      </c>
      <c r="C22" s="1473" t="str">
        <f t="shared" si="3"/>
        <v/>
      </c>
      <c r="D22" s="1909" t="str">
        <f t="shared" si="4"/>
        <v/>
      </c>
      <c r="E22" s="1982" t="str">
        <f t="shared" si="5"/>
        <v/>
      </c>
      <c r="F22" s="1920" t="str">
        <f t="shared" si="6"/>
        <v/>
      </c>
      <c r="G22" s="1910" t="str">
        <f t="shared" si="7"/>
        <v/>
      </c>
      <c r="H22" s="1965" t="str">
        <f t="shared" si="8"/>
        <v/>
      </c>
      <c r="I22" s="1909" t="str">
        <f t="shared" si="9"/>
        <v/>
      </c>
      <c r="J22" s="1910" t="str">
        <f t="shared" si="10"/>
        <v/>
      </c>
      <c r="K22" s="1983" t="str">
        <f t="shared" si="11"/>
        <v/>
      </c>
      <c r="L22" s="1915" t="str">
        <f t="shared" si="12"/>
        <v/>
      </c>
      <c r="M22" s="1961" t="str">
        <f t="shared" si="13"/>
        <v/>
      </c>
      <c r="N22" s="1917" t="str">
        <f t="shared" si="14"/>
        <v/>
      </c>
      <c r="O22" s="1910" t="str">
        <f t="shared" si="15"/>
        <v/>
      </c>
      <c r="P22" s="1908" t="str">
        <f t="shared" si="16"/>
        <v/>
      </c>
      <c r="Q22" s="1909" t="str">
        <f t="shared" si="17"/>
        <v/>
      </c>
      <c r="R22" s="1910" t="str">
        <f t="shared" si="18"/>
        <v/>
      </c>
      <c r="S22" s="1984" t="str">
        <f t="shared" si="19"/>
        <v/>
      </c>
      <c r="T22" s="1920" t="str">
        <f t="shared" si="20"/>
        <v/>
      </c>
      <c r="U22" s="1910" t="str">
        <f t="shared" si="21"/>
        <v/>
      </c>
      <c r="V22" s="1909" t="str">
        <f t="shared" si="22"/>
        <v/>
      </c>
      <c r="W22" s="1910" t="str">
        <f t="shared" si="23"/>
        <v/>
      </c>
      <c r="X22" s="1961">
        <f t="shared" si="24"/>
        <v>0</v>
      </c>
      <c r="Y22" s="1967" t="str">
        <f t="shared" si="25"/>
        <v/>
      </c>
      <c r="Z22" s="1968" t="str">
        <f t="shared" si="26"/>
        <v/>
      </c>
      <c r="AA22" s="1981"/>
      <c r="AC22" s="1226" t="b">
        <v>0</v>
      </c>
      <c r="AD22" s="525">
        <f t="shared" si="27"/>
        <v>0</v>
      </c>
      <c r="AE22" s="526">
        <f t="shared" si="28"/>
        <v>0</v>
      </c>
      <c r="AF22" s="526">
        <f t="shared" si="29"/>
        <v>0</v>
      </c>
      <c r="AG22" s="526">
        <f t="shared" si="30"/>
        <v>0</v>
      </c>
      <c r="AH22" s="527">
        <f t="shared" si="31"/>
        <v>0</v>
      </c>
      <c r="AI22" s="528" t="b">
        <v>0</v>
      </c>
      <c r="AJ22" s="284">
        <f t="shared" si="32"/>
        <v>0</v>
      </c>
      <c r="AK22" s="1063" t="str">
        <f t="shared" si="33"/>
        <v/>
      </c>
      <c r="AL22" s="1202" t="str">
        <f t="shared" si="34"/>
        <v/>
      </c>
      <c r="AM22" s="1063" t="str">
        <f t="shared" si="35"/>
        <v/>
      </c>
      <c r="AN22" s="1063" t="str">
        <f t="shared" si="36"/>
        <v/>
      </c>
      <c r="AO22" s="1063" t="str">
        <f t="shared" si="37"/>
        <v/>
      </c>
      <c r="AP22" s="1063" t="b">
        <f>IF(ISERROR(AJ22),FALSE,IF(OR(AJ22=0,ISERROR(AL22),ISERROR(AM22),ISERROR(AN22),ISERROR(AO22)),FALSE,IF(AL22&lt;&gt;"",IF(ISERROR(VLOOKUP(SUBSTITUTE(SUBSTITUTE(C22,"R",""),"A",""),TblJoistSize!$A:$A,1,FALSE)),FALSE,TRUE),TRUE)))</f>
        <v>0</v>
      </c>
      <c r="AQ22" s="1305" t="e">
        <f t="shared" si="38"/>
        <v>#N/A</v>
      </c>
      <c r="AR22" s="1305" t="b">
        <f t="shared" si="39"/>
        <v>0</v>
      </c>
      <c r="AS22" s="1305" t="e">
        <f t="shared" si="40"/>
        <v>#N/A</v>
      </c>
      <c r="AT22" s="1305" t="b">
        <f t="shared" si="41"/>
        <v>0</v>
      </c>
      <c r="AU22" s="1203" t="str">
        <f t="shared" si="42"/>
        <v/>
      </c>
      <c r="AV22" s="1063" t="str">
        <f t="shared" si="43"/>
        <v/>
      </c>
      <c r="AW22" s="1063" t="str">
        <f t="shared" si="44"/>
        <v/>
      </c>
      <c r="AX22" s="1063" t="str">
        <f t="shared" si="122"/>
        <v/>
      </c>
      <c r="AY22" s="1306" t="b">
        <f t="shared" si="45"/>
        <v>0</v>
      </c>
      <c r="AZ22" s="1090" t="str">
        <f t="shared" si="46"/>
        <v/>
      </c>
      <c r="BA22" s="674"/>
      <c r="BB22" s="842"/>
      <c r="BC22" s="894"/>
      <c r="BD22" s="926"/>
      <c r="BE22" s="927"/>
      <c r="BF22" s="928"/>
      <c r="BG22" s="901"/>
      <c r="BH22" s="1244"/>
      <c r="BI22" s="1245"/>
      <c r="BJ22" s="929"/>
      <c r="BK22" s="902"/>
      <c r="BL22" s="903"/>
      <c r="BM22" s="904"/>
      <c r="BN22" s="905"/>
      <c r="BO22" s="901"/>
      <c r="BP22" s="902"/>
      <c r="BQ22" s="903"/>
      <c r="BR22" s="929"/>
      <c r="BS22" s="902"/>
      <c r="BT22" s="903"/>
      <c r="BU22" s="904"/>
      <c r="BV22" s="905"/>
      <c r="BW22" s="906"/>
      <c r="BX22" s="930"/>
      <c r="BY22" s="931"/>
      <c r="BZ22" s="932"/>
      <c r="CA22" s="933"/>
      <c r="CB22" s="932"/>
      <c r="CC22" s="933"/>
      <c r="CD22" s="934" t="str">
        <f t="shared" si="47"/>
        <v/>
      </c>
      <c r="CE22" s="935" t="str">
        <f t="shared" si="48"/>
        <v/>
      </c>
      <c r="CF22" s="1149"/>
      <c r="CG22" s="1150"/>
      <c r="CH22" s="738" t="str">
        <f t="shared" si="49"/>
        <v/>
      </c>
      <c r="CI22" s="739" t="str">
        <f t="shared" si="50"/>
        <v/>
      </c>
      <c r="CJ22" s="740" t="str">
        <f t="shared" si="51"/>
        <v/>
      </c>
      <c r="CK22" s="741" t="str">
        <f t="shared" si="52"/>
        <v/>
      </c>
      <c r="CL22" s="742" t="str">
        <f t="shared" si="53"/>
        <v/>
      </c>
      <c r="CM22" s="743" t="str">
        <f t="shared" si="54"/>
        <v/>
      </c>
      <c r="CN22" s="744" t="str">
        <f t="shared" si="55"/>
        <v/>
      </c>
      <c r="CO22" s="745" t="str">
        <f t="shared" si="56"/>
        <v/>
      </c>
      <c r="CP22" s="762" t="str">
        <f t="shared" si="57"/>
        <v/>
      </c>
      <c r="CQ22" s="763" t="str">
        <f t="shared" si="58"/>
        <v/>
      </c>
      <c r="CR22" s="953" t="str">
        <f t="shared" si="59"/>
        <v/>
      </c>
      <c r="CS22" s="954" t="str">
        <f t="shared" si="60"/>
        <v/>
      </c>
      <c r="CU22" s="1048" t="str">
        <f>IF(BG22="","",VLOOKUP(BG22,SectInfo!$B:$N,12,FALSE))</f>
        <v/>
      </c>
      <c r="CV22" s="1046" t="str">
        <f>IF(BG22="","",IF(ISBLANK(BZ22),VLOOKUP(BG22,SectInfo!$B:$N,13,FALSE),BZ22))</f>
        <v/>
      </c>
      <c r="CW22" s="1046" t="str">
        <f>IF(BG22="","",IF(VLOOKUP(BG22,SectInfo!$B:$N,5,FALSE)="","R",UPPER(VLOOKUP(BG22,SectInfo!$B:$N,5,FALSE))))</f>
        <v/>
      </c>
      <c r="CX22" s="1046" t="str">
        <f>IF(BG22="","",IF(ISBLANK(CF22),VLOOKUP(BG22,SectInfo!$B:$N,6,FALSE),CF22))</f>
        <v/>
      </c>
      <c r="CY22" s="1276" t="str">
        <f>IF(BG22="","",IF(VLOOKUP(BG22,SectInfo!$B:$N,10,FALSE)="","",(VLOOKUP(BG22,SectInfo!$B:$N,10,FALSE)*-1)))</f>
        <v/>
      </c>
      <c r="CZ22" s="1443" t="str">
        <f>IF(BG22="","",IF(VLOOKUP(BG22,SectInfo!$B:$N,11,FALSE)="","2",(VLOOKUP(BG22,SectInfo!$B:$N,11,FALSE))))</f>
        <v/>
      </c>
      <c r="DA22" s="1046" t="str">
        <f>IF(BG22="","",IF(VLOOKUP(BG22,SectInfo!$B:$N,7,FALSE)="","",(VLOOKUP(BG22,SectInfo!$B:$N,7,FALSE)*-1)))</f>
        <v/>
      </c>
      <c r="DB22" s="1046" t="str">
        <f>IF(BG22="","",IF(VLOOKUP(BG22,SectInfo!$B:$N,8,FALSE)="",VLOOKUP(AU22,$DF$2:$DN$9,6,FALSE),(VLOOKUP(BG22,SectInfo!$B:$N,8,FALSE))))</f>
        <v/>
      </c>
      <c r="DC22" s="1046" t="str">
        <f>IF(BG22="","",VLOOKUP(BG22,SectInfo!$B:$N,9,FALSE))</f>
        <v/>
      </c>
      <c r="DD22" s="1047">
        <f t="shared" si="61"/>
        <v>0</v>
      </c>
      <c r="DE22" s="1048" t="str">
        <f>IF(BO22="","",VLOOKUP(BO22,SectInfo!$B:$N,12,FALSE))</f>
        <v/>
      </c>
      <c r="DF22" s="1046" t="str">
        <f>IF(BO22="","",IF(ISBLANK(CA22),VLOOKUP(BO22,SectInfo!$B:$N,13,FALSE),CA22))</f>
        <v/>
      </c>
      <c r="DG22" s="1046" t="str">
        <f>IF(BO22="","",IF(VLOOKUP(BO22,SectInfo!$B:$N,5,FALSE)="","R",UPPER(VLOOKUP(BO22,SectInfo!$B:$N,5,FALSE))))</f>
        <v/>
      </c>
      <c r="DH22" s="1046" t="str">
        <f>IF(BO22="","",IF(ISBLANK(CG22),VLOOKUP(BO22,SectInfo!$B:$N,6,FALSE),CG22))</f>
        <v/>
      </c>
      <c r="DI22" s="1046" t="str">
        <f>IF(BO22="","",IF(VLOOKUP(BO22,SectInfo!$B:$N,10,FALSE)="","",(VLOOKUP(BO22,SectInfo!$B:$N,10,FALSE)*-1)))</f>
        <v/>
      </c>
      <c r="DJ22" s="1443" t="str">
        <f>IF(BO22="","",IF(VLOOKUP(BO22,SectInfo!$B:$N,11,FALSE)="","2",(VLOOKUP(BO22,SectInfo!$B:$N,11,FALSE))))</f>
        <v/>
      </c>
      <c r="DK22" s="1046" t="str">
        <f>IF(BO22="","",IF(VLOOKUP(BO22,SectInfo!$B:$N,7,FALSE)="","",(VLOOKUP(BO22,SectInfo!$B:$N,7,FALSE)*-1)))</f>
        <v/>
      </c>
      <c r="DL22" s="1046" t="str">
        <f>IF(BO22="","",IF(VLOOKUP(BO22,SectInfo!$B:$N,8,FALSE)="",VLOOKUP(AU22,$DF$2:$DN$9,6,FALSE),(VLOOKUP(BO22,SectInfo!$B:$N,8,FALSE))))</f>
        <v/>
      </c>
      <c r="DM22" s="1046" t="str">
        <f>IF(BO22="","",VLOOKUP(BO22,SectInfo!$B:$N,9,FALSE))</f>
        <v/>
      </c>
      <c r="DN22" s="1047">
        <f t="shared" si="62"/>
        <v>0</v>
      </c>
      <c r="DO22" s="1049">
        <f t="shared" si="63"/>
        <v>0</v>
      </c>
      <c r="DP22" s="1053" t="str">
        <f t="shared" si="64"/>
        <v/>
      </c>
      <c r="DQ22" s="1053" t="str">
        <f t="shared" si="65"/>
        <v/>
      </c>
      <c r="DR22" s="1053" t="str">
        <f t="shared" si="66"/>
        <v/>
      </c>
      <c r="DS22" s="1052">
        <f t="shared" si="67"/>
        <v>0</v>
      </c>
      <c r="DT22" s="1052">
        <f t="shared" si="68"/>
        <v>0</v>
      </c>
      <c r="DU22" s="1052" t="str">
        <f t="shared" si="69"/>
        <v/>
      </c>
      <c r="DV22" s="1053" t="str">
        <f t="shared" si="70"/>
        <v/>
      </c>
      <c r="DW22" s="1053" t="str">
        <f t="shared" si="71"/>
        <v/>
      </c>
      <c r="DX22" s="1269">
        <f t="shared" si="72"/>
        <v>0</v>
      </c>
      <c r="DY22" s="1053">
        <f t="shared" si="73"/>
        <v>0</v>
      </c>
      <c r="DZ22" s="1052">
        <f t="shared" si="74"/>
        <v>0</v>
      </c>
      <c r="EA22" s="1052" t="str">
        <f t="shared" si="75"/>
        <v/>
      </c>
      <c r="EB22" s="1053" t="str">
        <f t="shared" si="76"/>
        <v/>
      </c>
      <c r="EC22" s="1053" t="str">
        <f t="shared" si="77"/>
        <v/>
      </c>
      <c r="ED22" s="1269">
        <f t="shared" si="78"/>
        <v>0</v>
      </c>
      <c r="EE22" s="1090" t="str">
        <f t="shared" si="79"/>
        <v/>
      </c>
      <c r="EF22" s="1053" t="str">
        <f t="shared" si="80"/>
        <v/>
      </c>
      <c r="EG22" s="1053" t="str">
        <f t="shared" si="81"/>
        <v/>
      </c>
      <c r="EH22" s="1053" t="e">
        <f t="shared" si="82"/>
        <v>#N/A</v>
      </c>
      <c r="EI22" s="1053" t="e">
        <f t="shared" si="83"/>
        <v>#N/A</v>
      </c>
      <c r="EJ22" s="1053" t="str">
        <f t="shared" si="84"/>
        <v/>
      </c>
      <c r="EK22" s="1053" t="str">
        <f t="shared" si="84"/>
        <v/>
      </c>
      <c r="EL22" s="1090" t="str">
        <f t="shared" si="85"/>
        <v/>
      </c>
      <c r="EM22" s="1053" t="str">
        <f t="shared" si="86"/>
        <v/>
      </c>
      <c r="EN22" s="1053" t="str">
        <f t="shared" si="87"/>
        <v/>
      </c>
      <c r="EO22" s="1053" t="e">
        <f t="shared" si="88"/>
        <v>#N/A</v>
      </c>
      <c r="EP22" s="1053" t="e">
        <f t="shared" si="89"/>
        <v>#N/A</v>
      </c>
      <c r="EQ22" s="1053" t="str">
        <f t="shared" si="90"/>
        <v/>
      </c>
      <c r="ER22" s="1053" t="str">
        <f t="shared" si="90"/>
        <v/>
      </c>
      <c r="ES22" s="1053" t="str">
        <f t="shared" si="91"/>
        <v/>
      </c>
      <c r="ET22" s="1053" t="str">
        <f t="shared" si="92"/>
        <v/>
      </c>
      <c r="EU22" s="1061" t="str">
        <f t="shared" si="93"/>
        <v/>
      </c>
      <c r="EV22" s="1055" t="str">
        <f t="shared" si="94"/>
        <v/>
      </c>
      <c r="EW22" s="1061"/>
      <c r="EX22" s="1061" t="str">
        <f>IF(AND(CU22="G", ISBLANK(BK22), ISBLANK(BL22)),VLOOKUP(MIN(BH22:BI22),TblJoistSize!$M$3:$N$10,2),IF(OR(CU22="B",CU22="G"),MIN(BK22:BL22),""))</f>
        <v/>
      </c>
      <c r="EY22" s="1061" t="str">
        <f>IF(AND(CU22="G", ISBLANK(BK22), ISBLANK(BL22)),VLOOKUP(MAX(BH22:BI22),TblJoistSize!$M$3:$N$10,2),IF(OR(CU22="B",CU22="G"),MAX(BK22:BL22),""))</f>
        <v/>
      </c>
      <c r="EZ22" s="1061" t="str">
        <f t="shared" si="95"/>
        <v/>
      </c>
      <c r="FA22" s="1061" t="str">
        <f>IF(AND(DE22="G", ISBLANK(BS22), ISBLANK(BT22)),VLOOKUP(MIN(BP22:BQ22),TblJoistSize!$M$3:$N$10,2),IF(OR(DE22="B", DE22="G"),MIN(BS22:BT22),""))</f>
        <v/>
      </c>
      <c r="FB22" s="1061" t="str">
        <f>IF(AND(DE22="G", ISBLANK(BS22), ISBLANK(BT22)),VLOOKUP(MAX(BP22:BQ22),TblJoistSize!$M$3:$N$10,2),IF(OR(DE22="B", DE22="G"),MAX(BS22:BT22),""))</f>
        <v/>
      </c>
      <c r="FC22" s="1061" t="str">
        <f t="shared" si="96"/>
        <v/>
      </c>
      <c r="FD22" s="1052">
        <f t="shared" si="123"/>
        <v>0</v>
      </c>
      <c r="FE22" s="1052">
        <f t="shared" si="97"/>
        <v>0</v>
      </c>
      <c r="FF22" s="1052">
        <f t="shared" si="98"/>
        <v>0</v>
      </c>
      <c r="FG22" s="1052" t="str">
        <f t="shared" si="99"/>
        <v/>
      </c>
      <c r="FH22" s="1053" t="str">
        <f t="shared" si="100"/>
        <v/>
      </c>
      <c r="FI22" s="1052">
        <f t="shared" si="124"/>
        <v>0</v>
      </c>
      <c r="FJ22" s="1052">
        <f t="shared" si="101"/>
        <v>0</v>
      </c>
      <c r="FK22" s="1052">
        <f t="shared" si="102"/>
        <v>0</v>
      </c>
      <c r="FL22" s="1052" t="str">
        <f t="shared" si="103"/>
        <v/>
      </c>
      <c r="FM22" s="1053" t="str">
        <f t="shared" si="104"/>
        <v/>
      </c>
      <c r="FN22" s="1053" t="e">
        <f t="shared" si="105"/>
        <v>#VALUE!</v>
      </c>
      <c r="FO22" s="1062" t="e">
        <f t="shared" si="106"/>
        <v>#VALUE!</v>
      </c>
      <c r="FP22" s="1062" t="e">
        <f t="shared" si="107"/>
        <v>#VALUE!</v>
      </c>
      <c r="FQ22" s="1063" t="e">
        <f t="shared" si="108"/>
        <v>#VALUE!</v>
      </c>
      <c r="FR22" s="1064" t="e">
        <f t="shared" si="109"/>
        <v>#VALUE!</v>
      </c>
      <c r="FS22" s="1065" t="str">
        <f t="shared" si="110"/>
        <v/>
      </c>
      <c r="FT22" s="1066" t="str">
        <f t="shared" si="111"/>
        <v/>
      </c>
      <c r="FU22" s="1105">
        <f t="shared" si="112"/>
        <v>0</v>
      </c>
      <c r="FV22" s="1106">
        <f t="shared" si="113"/>
        <v>0</v>
      </c>
      <c r="GA22" s="1975" t="str">
        <f t="shared" si="114"/>
        <v/>
      </c>
      <c r="GB22" s="1976" t="str">
        <f t="shared" si="115"/>
        <v/>
      </c>
      <c r="GC22" s="1977" t="str">
        <f t="shared" si="116"/>
        <v/>
      </c>
      <c r="GD22" s="1978" t="str">
        <f t="shared" si="117"/>
        <v/>
      </c>
      <c r="GE22" s="1979" t="str">
        <f t="shared" si="118"/>
        <v/>
      </c>
      <c r="GF22" s="1980" t="str">
        <f t="shared" si="119"/>
        <v/>
      </c>
      <c r="GG22" s="1453"/>
      <c r="GH22" s="1454"/>
      <c r="GI22" s="1453"/>
      <c r="GJ22" s="1454"/>
      <c r="GK22" s="533">
        <f t="shared" si="120"/>
        <v>0</v>
      </c>
      <c r="GL22" s="534" t="e">
        <f t="shared" si="121"/>
        <v>#VALUE!</v>
      </c>
      <c r="GM22" s="535" t="e">
        <f>IF(ABS(GK22-GL22)&gt;='Job Info.'!$L$22,ABS(GK22-GL22),0)</f>
        <v>#VALUE!</v>
      </c>
      <c r="HA22" s="1658"/>
      <c r="HB22" s="1659"/>
      <c r="HC22" s="1659"/>
      <c r="HD22" s="1660"/>
      <c r="HE22" s="1661"/>
      <c r="HF22" s="1659"/>
      <c r="HG22" s="1659"/>
      <c r="HH22" s="1659"/>
      <c r="HI22" s="1662"/>
      <c r="HJ22" s="1659"/>
      <c r="HK22" s="1659"/>
      <c r="HL22" s="1659"/>
      <c r="HM22" s="1659"/>
      <c r="HN22" s="1659"/>
      <c r="HO22" s="1659"/>
      <c r="HP22" s="1659"/>
      <c r="HQ22" s="1662"/>
      <c r="HR22" s="1659"/>
      <c r="HS22" s="1659"/>
      <c r="HT22" s="1659"/>
      <c r="HU22" s="1659"/>
      <c r="HV22" s="1659"/>
      <c r="HW22" s="1661"/>
      <c r="HX22" s="1661"/>
      <c r="HY22" s="1661"/>
      <c r="HZ22" s="1661"/>
      <c r="IA22" s="1661"/>
      <c r="IB22" s="1661"/>
      <c r="IC22" s="1661"/>
      <c r="ID22" s="1661"/>
      <c r="IE22" s="1661"/>
      <c r="IF22" s="1663"/>
    </row>
    <row r="23" spans="1:240" ht="12.6" customHeight="1" x14ac:dyDescent="0.25">
      <c r="A23" s="1471" t="str">
        <f t="shared" si="1"/>
        <v/>
      </c>
      <c r="B23" s="1473" t="str">
        <f t="shared" si="2"/>
        <v/>
      </c>
      <c r="C23" s="1473" t="str">
        <f t="shared" si="3"/>
        <v/>
      </c>
      <c r="D23" s="1909" t="str">
        <f t="shared" si="4"/>
        <v/>
      </c>
      <c r="E23" s="1982" t="str">
        <f t="shared" si="5"/>
        <v/>
      </c>
      <c r="F23" s="1920" t="str">
        <f t="shared" si="6"/>
        <v/>
      </c>
      <c r="G23" s="1910" t="str">
        <f t="shared" si="7"/>
        <v/>
      </c>
      <c r="H23" s="1965" t="str">
        <f t="shared" si="8"/>
        <v/>
      </c>
      <c r="I23" s="1909" t="str">
        <f t="shared" si="9"/>
        <v/>
      </c>
      <c r="J23" s="1910" t="str">
        <f t="shared" si="10"/>
        <v/>
      </c>
      <c r="K23" s="1983" t="str">
        <f t="shared" si="11"/>
        <v/>
      </c>
      <c r="L23" s="1915" t="str">
        <f t="shared" si="12"/>
        <v/>
      </c>
      <c r="M23" s="1961" t="str">
        <f t="shared" si="13"/>
        <v/>
      </c>
      <c r="N23" s="1917" t="str">
        <f t="shared" si="14"/>
        <v/>
      </c>
      <c r="O23" s="1910" t="str">
        <f t="shared" si="15"/>
        <v/>
      </c>
      <c r="P23" s="1908" t="str">
        <f t="shared" si="16"/>
        <v/>
      </c>
      <c r="Q23" s="1909" t="str">
        <f t="shared" si="17"/>
        <v/>
      </c>
      <c r="R23" s="1910" t="str">
        <f t="shared" si="18"/>
        <v/>
      </c>
      <c r="S23" s="1984" t="str">
        <f t="shared" si="19"/>
        <v/>
      </c>
      <c r="T23" s="1920" t="str">
        <f t="shared" si="20"/>
        <v/>
      </c>
      <c r="U23" s="1910" t="str">
        <f t="shared" si="21"/>
        <v/>
      </c>
      <c r="V23" s="1909" t="str">
        <f t="shared" si="22"/>
        <v/>
      </c>
      <c r="W23" s="1910" t="str">
        <f t="shared" si="23"/>
        <v/>
      </c>
      <c r="X23" s="1961">
        <f t="shared" si="24"/>
        <v>0</v>
      </c>
      <c r="Y23" s="1967" t="str">
        <f t="shared" si="25"/>
        <v/>
      </c>
      <c r="Z23" s="1968" t="str">
        <f t="shared" si="26"/>
        <v/>
      </c>
      <c r="AA23" s="1981"/>
      <c r="AC23" s="1226" t="b">
        <v>0</v>
      </c>
      <c r="AD23" s="525">
        <f t="shared" si="27"/>
        <v>0</v>
      </c>
      <c r="AE23" s="526">
        <f t="shared" si="28"/>
        <v>0</v>
      </c>
      <c r="AF23" s="526">
        <f t="shared" si="29"/>
        <v>0</v>
      </c>
      <c r="AG23" s="526">
        <f t="shared" si="30"/>
        <v>0</v>
      </c>
      <c r="AH23" s="527">
        <f t="shared" si="31"/>
        <v>0</v>
      </c>
      <c r="AI23" s="528" t="b">
        <v>0</v>
      </c>
      <c r="AJ23" s="284">
        <f t="shared" si="32"/>
        <v>0</v>
      </c>
      <c r="AK23" s="1063" t="str">
        <f t="shared" si="33"/>
        <v/>
      </c>
      <c r="AL23" s="1202" t="str">
        <f t="shared" si="34"/>
        <v/>
      </c>
      <c r="AM23" s="1063" t="str">
        <f t="shared" si="35"/>
        <v/>
      </c>
      <c r="AN23" s="1063" t="str">
        <f t="shared" si="36"/>
        <v/>
      </c>
      <c r="AO23" s="1063" t="str">
        <f t="shared" si="37"/>
        <v/>
      </c>
      <c r="AP23" s="1063" t="b">
        <f>IF(ISERROR(AJ23),FALSE,IF(OR(AJ23=0,ISERROR(AL23),ISERROR(AM23),ISERROR(AN23),ISERROR(AO23)),FALSE,IF(AL23&lt;&gt;"",IF(ISERROR(VLOOKUP(SUBSTITUTE(SUBSTITUTE(C23,"R",""),"A",""),TblJoistSize!$A:$A,1,FALSE)),FALSE,TRUE),TRUE)))</f>
        <v>0</v>
      </c>
      <c r="AQ23" s="1305" t="e">
        <f t="shared" si="38"/>
        <v>#N/A</v>
      </c>
      <c r="AR23" s="1305" t="b">
        <f t="shared" si="39"/>
        <v>0</v>
      </c>
      <c r="AS23" s="1305" t="e">
        <f t="shared" si="40"/>
        <v>#N/A</v>
      </c>
      <c r="AT23" s="1305" t="b">
        <f t="shared" si="41"/>
        <v>0</v>
      </c>
      <c r="AU23" s="1203" t="str">
        <f t="shared" si="42"/>
        <v/>
      </c>
      <c r="AV23" s="1063" t="str">
        <f t="shared" si="43"/>
        <v/>
      </c>
      <c r="AW23" s="1063" t="str">
        <f t="shared" si="44"/>
        <v/>
      </c>
      <c r="AX23" s="1063" t="str">
        <f t="shared" si="122"/>
        <v/>
      </c>
      <c r="AY23" s="1306" t="b">
        <f t="shared" si="45"/>
        <v>0</v>
      </c>
      <c r="AZ23" s="1090" t="str">
        <f t="shared" si="46"/>
        <v/>
      </c>
      <c r="BA23" s="674"/>
      <c r="BB23" s="842"/>
      <c r="BC23" s="894"/>
      <c r="BD23" s="926"/>
      <c r="BE23" s="927"/>
      <c r="BF23" s="928"/>
      <c r="BG23" s="901"/>
      <c r="BH23" s="1244"/>
      <c r="BI23" s="1245"/>
      <c r="BJ23" s="929"/>
      <c r="BK23" s="902"/>
      <c r="BL23" s="903"/>
      <c r="BM23" s="904"/>
      <c r="BN23" s="905"/>
      <c r="BO23" s="901"/>
      <c r="BP23" s="902"/>
      <c r="BQ23" s="903"/>
      <c r="BR23" s="929"/>
      <c r="BS23" s="902"/>
      <c r="BT23" s="903"/>
      <c r="BU23" s="904"/>
      <c r="BV23" s="905"/>
      <c r="BW23" s="906"/>
      <c r="BX23" s="930"/>
      <c r="BY23" s="931"/>
      <c r="BZ23" s="932"/>
      <c r="CA23" s="933"/>
      <c r="CB23" s="932"/>
      <c r="CC23" s="933"/>
      <c r="CD23" s="934" t="str">
        <f t="shared" si="47"/>
        <v/>
      </c>
      <c r="CE23" s="935" t="str">
        <f t="shared" si="48"/>
        <v/>
      </c>
      <c r="CF23" s="1149"/>
      <c r="CG23" s="1150"/>
      <c r="CH23" s="738" t="str">
        <f t="shared" si="49"/>
        <v/>
      </c>
      <c r="CI23" s="739" t="str">
        <f t="shared" si="50"/>
        <v/>
      </c>
      <c r="CJ23" s="740" t="str">
        <f t="shared" si="51"/>
        <v/>
      </c>
      <c r="CK23" s="741" t="str">
        <f t="shared" si="52"/>
        <v/>
      </c>
      <c r="CL23" s="742" t="str">
        <f t="shared" si="53"/>
        <v/>
      </c>
      <c r="CM23" s="743" t="str">
        <f t="shared" si="54"/>
        <v/>
      </c>
      <c r="CN23" s="744" t="str">
        <f t="shared" si="55"/>
        <v/>
      </c>
      <c r="CO23" s="745" t="str">
        <f t="shared" si="56"/>
        <v/>
      </c>
      <c r="CP23" s="762" t="str">
        <f t="shared" si="57"/>
        <v/>
      </c>
      <c r="CQ23" s="763" t="str">
        <f t="shared" si="58"/>
        <v/>
      </c>
      <c r="CR23" s="953" t="str">
        <f t="shared" si="59"/>
        <v/>
      </c>
      <c r="CS23" s="954" t="str">
        <f t="shared" si="60"/>
        <v/>
      </c>
      <c r="CU23" s="1048" t="str">
        <f>IF(BG23="","",VLOOKUP(BG23,SectInfo!$B:$N,12,FALSE))</f>
        <v/>
      </c>
      <c r="CV23" s="1046" t="str">
        <f>IF(BG23="","",IF(ISBLANK(BZ23),VLOOKUP(BG23,SectInfo!$B:$N,13,FALSE),BZ23))</f>
        <v/>
      </c>
      <c r="CW23" s="1046" t="str">
        <f>IF(BG23="","",IF(VLOOKUP(BG23,SectInfo!$B:$N,5,FALSE)="","R",UPPER(VLOOKUP(BG23,SectInfo!$B:$N,5,FALSE))))</f>
        <v/>
      </c>
      <c r="CX23" s="1046" t="str">
        <f>IF(BG23="","",IF(ISBLANK(CF23),VLOOKUP(BG23,SectInfo!$B:$N,6,FALSE),CF23))</f>
        <v/>
      </c>
      <c r="CY23" s="1276" t="str">
        <f>IF(BG23="","",IF(VLOOKUP(BG23,SectInfo!$B:$N,10,FALSE)="","",(VLOOKUP(BG23,SectInfo!$B:$N,10,FALSE)*-1)))</f>
        <v/>
      </c>
      <c r="CZ23" s="1443" t="str">
        <f>IF(BG23="","",IF(VLOOKUP(BG23,SectInfo!$B:$N,11,FALSE)="","2",(VLOOKUP(BG23,SectInfo!$B:$N,11,FALSE))))</f>
        <v/>
      </c>
      <c r="DA23" s="1046" t="str">
        <f>IF(BG23="","",IF(VLOOKUP(BG23,SectInfo!$B:$N,7,FALSE)="","",(VLOOKUP(BG23,SectInfo!$B:$N,7,FALSE)*-1)))</f>
        <v/>
      </c>
      <c r="DB23" s="1046" t="str">
        <f>IF(BG23="","",IF(VLOOKUP(BG23,SectInfo!$B:$N,8,FALSE)="",VLOOKUP(AU23,$DF$2:$DN$9,6,FALSE),(VLOOKUP(BG23,SectInfo!$B:$N,8,FALSE))))</f>
        <v/>
      </c>
      <c r="DC23" s="1046" t="str">
        <f>IF(BG23="","",VLOOKUP(BG23,SectInfo!$B:$N,9,FALSE))</f>
        <v/>
      </c>
      <c r="DD23" s="1047">
        <f t="shared" si="61"/>
        <v>0</v>
      </c>
      <c r="DE23" s="1048" t="str">
        <f>IF(BO23="","",VLOOKUP(BO23,SectInfo!$B:$N,12,FALSE))</f>
        <v/>
      </c>
      <c r="DF23" s="1046" t="str">
        <f>IF(BO23="","",IF(ISBLANK(CA23),VLOOKUP(BO23,SectInfo!$B:$N,13,FALSE),CA23))</f>
        <v/>
      </c>
      <c r="DG23" s="1046" t="str">
        <f>IF(BO23="","",IF(VLOOKUP(BO23,SectInfo!$B:$N,5,FALSE)="","R",UPPER(VLOOKUP(BO23,SectInfo!$B:$N,5,FALSE))))</f>
        <v/>
      </c>
      <c r="DH23" s="1046" t="str">
        <f>IF(BO23="","",IF(ISBLANK(CG23),VLOOKUP(BO23,SectInfo!$B:$N,6,FALSE),CG23))</f>
        <v/>
      </c>
      <c r="DI23" s="1046" t="str">
        <f>IF(BO23="","",IF(VLOOKUP(BO23,SectInfo!$B:$N,10,FALSE)="","",(VLOOKUP(BO23,SectInfo!$B:$N,10,FALSE)*-1)))</f>
        <v/>
      </c>
      <c r="DJ23" s="1443" t="str">
        <f>IF(BO23="","",IF(VLOOKUP(BO23,SectInfo!$B:$N,11,FALSE)="","2",(VLOOKUP(BO23,SectInfo!$B:$N,11,FALSE))))</f>
        <v/>
      </c>
      <c r="DK23" s="1046" t="str">
        <f>IF(BO23="","",IF(VLOOKUP(BO23,SectInfo!$B:$N,7,FALSE)="","",(VLOOKUP(BO23,SectInfo!$B:$N,7,FALSE)*-1)))</f>
        <v/>
      </c>
      <c r="DL23" s="1046" t="str">
        <f>IF(BO23="","",IF(VLOOKUP(BO23,SectInfo!$B:$N,8,FALSE)="",VLOOKUP(AU23,$DF$2:$DN$9,6,FALSE),(VLOOKUP(BO23,SectInfo!$B:$N,8,FALSE))))</f>
        <v/>
      </c>
      <c r="DM23" s="1046" t="str">
        <f>IF(BO23="","",VLOOKUP(BO23,SectInfo!$B:$N,9,FALSE))</f>
        <v/>
      </c>
      <c r="DN23" s="1047">
        <f t="shared" si="62"/>
        <v>0</v>
      </c>
      <c r="DO23" s="1049">
        <f t="shared" si="63"/>
        <v>0</v>
      </c>
      <c r="DP23" s="1053" t="str">
        <f t="shared" si="64"/>
        <v/>
      </c>
      <c r="DQ23" s="1053" t="str">
        <f t="shared" si="65"/>
        <v/>
      </c>
      <c r="DR23" s="1053" t="str">
        <f t="shared" si="66"/>
        <v/>
      </c>
      <c r="DS23" s="1052">
        <f t="shared" si="67"/>
        <v>0</v>
      </c>
      <c r="DT23" s="1052">
        <f t="shared" si="68"/>
        <v>0</v>
      </c>
      <c r="DU23" s="1052" t="str">
        <f t="shared" si="69"/>
        <v/>
      </c>
      <c r="DV23" s="1053" t="str">
        <f t="shared" si="70"/>
        <v/>
      </c>
      <c r="DW23" s="1053" t="str">
        <f t="shared" si="71"/>
        <v/>
      </c>
      <c r="DX23" s="1269">
        <f t="shared" si="72"/>
        <v>0</v>
      </c>
      <c r="DY23" s="1053">
        <f t="shared" si="73"/>
        <v>0</v>
      </c>
      <c r="DZ23" s="1052">
        <f t="shared" si="74"/>
        <v>0</v>
      </c>
      <c r="EA23" s="1052" t="str">
        <f t="shared" si="75"/>
        <v/>
      </c>
      <c r="EB23" s="1053" t="str">
        <f t="shared" si="76"/>
        <v/>
      </c>
      <c r="EC23" s="1053" t="str">
        <f t="shared" si="77"/>
        <v/>
      </c>
      <c r="ED23" s="1269">
        <f t="shared" si="78"/>
        <v>0</v>
      </c>
      <c r="EE23" s="1090" t="str">
        <f t="shared" si="79"/>
        <v/>
      </c>
      <c r="EF23" s="1053" t="str">
        <f t="shared" si="80"/>
        <v/>
      </c>
      <c r="EG23" s="1053" t="str">
        <f t="shared" si="81"/>
        <v/>
      </c>
      <c r="EH23" s="1053" t="e">
        <f t="shared" si="82"/>
        <v>#N/A</v>
      </c>
      <c r="EI23" s="1053" t="e">
        <f t="shared" si="83"/>
        <v>#N/A</v>
      </c>
      <c r="EJ23" s="1053" t="str">
        <f t="shared" si="84"/>
        <v/>
      </c>
      <c r="EK23" s="1053" t="str">
        <f t="shared" si="84"/>
        <v/>
      </c>
      <c r="EL23" s="1090" t="str">
        <f t="shared" si="85"/>
        <v/>
      </c>
      <c r="EM23" s="1053" t="str">
        <f t="shared" si="86"/>
        <v/>
      </c>
      <c r="EN23" s="1053" t="str">
        <f t="shared" si="87"/>
        <v/>
      </c>
      <c r="EO23" s="1053" t="e">
        <f t="shared" si="88"/>
        <v>#N/A</v>
      </c>
      <c r="EP23" s="1053" t="e">
        <f t="shared" si="89"/>
        <v>#N/A</v>
      </c>
      <c r="EQ23" s="1053" t="str">
        <f t="shared" si="90"/>
        <v/>
      </c>
      <c r="ER23" s="1053" t="str">
        <f t="shared" si="90"/>
        <v/>
      </c>
      <c r="ES23" s="1053" t="str">
        <f t="shared" si="91"/>
        <v/>
      </c>
      <c r="ET23" s="1053" t="str">
        <f t="shared" si="92"/>
        <v/>
      </c>
      <c r="EU23" s="1061" t="str">
        <f t="shared" si="93"/>
        <v/>
      </c>
      <c r="EV23" s="1055" t="str">
        <f t="shared" si="94"/>
        <v/>
      </c>
      <c r="EW23" s="1061"/>
      <c r="EX23" s="1061" t="str">
        <f>IF(AND(CU23="G", ISBLANK(BK23), ISBLANK(BL23)),VLOOKUP(MIN(BH23:BI23),TblJoistSize!$M$3:$N$10,2),IF(OR(CU23="B",CU23="G"),MIN(BK23:BL23),""))</f>
        <v/>
      </c>
      <c r="EY23" s="1061" t="str">
        <f>IF(AND(CU23="G", ISBLANK(BK23), ISBLANK(BL23)),VLOOKUP(MAX(BH23:BI23),TblJoistSize!$M$3:$N$10,2),IF(OR(CU23="B",CU23="G"),MAX(BK23:BL23),""))</f>
        <v/>
      </c>
      <c r="EZ23" s="1061" t="str">
        <f t="shared" si="95"/>
        <v/>
      </c>
      <c r="FA23" s="1061" t="str">
        <f>IF(AND(DE23="G", ISBLANK(BS23), ISBLANK(BT23)),VLOOKUP(MIN(BP23:BQ23),TblJoistSize!$M$3:$N$10,2),IF(OR(DE23="B", DE23="G"),MIN(BS23:BT23),""))</f>
        <v/>
      </c>
      <c r="FB23" s="1061" t="str">
        <f>IF(AND(DE23="G", ISBLANK(BS23), ISBLANK(BT23)),VLOOKUP(MAX(BP23:BQ23),TblJoistSize!$M$3:$N$10,2),IF(OR(DE23="B", DE23="G"),MAX(BS23:BT23),""))</f>
        <v/>
      </c>
      <c r="FC23" s="1061" t="str">
        <f t="shared" si="96"/>
        <v/>
      </c>
      <c r="FD23" s="1052">
        <f t="shared" si="123"/>
        <v>0</v>
      </c>
      <c r="FE23" s="1052">
        <f t="shared" si="97"/>
        <v>0</v>
      </c>
      <c r="FF23" s="1052">
        <f t="shared" si="98"/>
        <v>0</v>
      </c>
      <c r="FG23" s="1052" t="str">
        <f t="shared" si="99"/>
        <v/>
      </c>
      <c r="FH23" s="1053" t="str">
        <f t="shared" si="100"/>
        <v/>
      </c>
      <c r="FI23" s="1052">
        <f t="shared" si="124"/>
        <v>0</v>
      </c>
      <c r="FJ23" s="1052">
        <f t="shared" si="101"/>
        <v>0</v>
      </c>
      <c r="FK23" s="1052">
        <f t="shared" si="102"/>
        <v>0</v>
      </c>
      <c r="FL23" s="1052" t="str">
        <f t="shared" si="103"/>
        <v/>
      </c>
      <c r="FM23" s="1053" t="str">
        <f t="shared" si="104"/>
        <v/>
      </c>
      <c r="FN23" s="1053" t="e">
        <f t="shared" si="105"/>
        <v>#VALUE!</v>
      </c>
      <c r="FO23" s="1062" t="e">
        <f t="shared" si="106"/>
        <v>#VALUE!</v>
      </c>
      <c r="FP23" s="1062" t="e">
        <f t="shared" si="107"/>
        <v>#VALUE!</v>
      </c>
      <c r="FQ23" s="1063" t="e">
        <f t="shared" si="108"/>
        <v>#VALUE!</v>
      </c>
      <c r="FR23" s="1064" t="e">
        <f t="shared" si="109"/>
        <v>#VALUE!</v>
      </c>
      <c r="FS23" s="1065" t="str">
        <f t="shared" si="110"/>
        <v/>
      </c>
      <c r="FT23" s="1066" t="str">
        <f t="shared" si="111"/>
        <v/>
      </c>
      <c r="FU23" s="1105">
        <f t="shared" si="112"/>
        <v>0</v>
      </c>
      <c r="FV23" s="1106">
        <f t="shared" si="113"/>
        <v>0</v>
      </c>
      <c r="GA23" s="1975" t="str">
        <f t="shared" si="114"/>
        <v/>
      </c>
      <c r="GB23" s="1976" t="str">
        <f t="shared" si="115"/>
        <v/>
      </c>
      <c r="GC23" s="1977" t="str">
        <f t="shared" si="116"/>
        <v/>
      </c>
      <c r="GD23" s="1978" t="str">
        <f t="shared" si="117"/>
        <v/>
      </c>
      <c r="GE23" s="1979" t="str">
        <f t="shared" si="118"/>
        <v/>
      </c>
      <c r="GF23" s="1980" t="str">
        <f t="shared" si="119"/>
        <v/>
      </c>
      <c r="GG23" s="1453"/>
      <c r="GH23" s="1454"/>
      <c r="GI23" s="1453"/>
      <c r="GJ23" s="1454"/>
      <c r="GK23" s="533">
        <f t="shared" si="120"/>
        <v>0</v>
      </c>
      <c r="GL23" s="534" t="e">
        <f t="shared" si="121"/>
        <v>#VALUE!</v>
      </c>
      <c r="GM23" s="535" t="e">
        <f>IF(ABS(GK23-GL23)&gt;='Job Info.'!$L$22,ABS(GK23-GL23),0)</f>
        <v>#VALUE!</v>
      </c>
      <c r="HA23" s="1658"/>
      <c r="HB23" s="1659"/>
      <c r="HC23" s="1659"/>
      <c r="HD23" s="1660"/>
      <c r="HE23" s="1661"/>
      <c r="HF23" s="1659"/>
      <c r="HG23" s="1659"/>
      <c r="HH23" s="1659"/>
      <c r="HI23" s="1662"/>
      <c r="HJ23" s="1659"/>
      <c r="HK23" s="1659"/>
      <c r="HL23" s="1659"/>
      <c r="HM23" s="1659"/>
      <c r="HN23" s="1659"/>
      <c r="HO23" s="1659"/>
      <c r="HP23" s="1659"/>
      <c r="HQ23" s="1662"/>
      <c r="HR23" s="1659"/>
      <c r="HS23" s="1659"/>
      <c r="HT23" s="1659"/>
      <c r="HU23" s="1659"/>
      <c r="HV23" s="1659"/>
      <c r="HW23" s="1661"/>
      <c r="HX23" s="1661"/>
      <c r="HY23" s="1661"/>
      <c r="HZ23" s="1661"/>
      <c r="IA23" s="1661"/>
      <c r="IB23" s="1661"/>
      <c r="IC23" s="1661"/>
      <c r="ID23" s="1661"/>
      <c r="IE23" s="1661"/>
      <c r="IF23" s="1663"/>
    </row>
    <row r="24" spans="1:240" ht="12.6" customHeight="1" x14ac:dyDescent="0.25">
      <c r="A24" s="1471" t="str">
        <f t="shared" si="1"/>
        <v/>
      </c>
      <c r="B24" s="1473" t="str">
        <f t="shared" si="2"/>
        <v/>
      </c>
      <c r="C24" s="1473" t="str">
        <f t="shared" si="3"/>
        <v/>
      </c>
      <c r="D24" s="1909" t="str">
        <f t="shared" si="4"/>
        <v/>
      </c>
      <c r="E24" s="1982" t="str">
        <f t="shared" si="5"/>
        <v/>
      </c>
      <c r="F24" s="1920" t="str">
        <f t="shared" si="6"/>
        <v/>
      </c>
      <c r="G24" s="1910" t="str">
        <f t="shared" si="7"/>
        <v/>
      </c>
      <c r="H24" s="1965" t="str">
        <f t="shared" si="8"/>
        <v/>
      </c>
      <c r="I24" s="1909" t="str">
        <f t="shared" si="9"/>
        <v/>
      </c>
      <c r="J24" s="1910" t="str">
        <f t="shared" si="10"/>
        <v/>
      </c>
      <c r="K24" s="1983" t="str">
        <f t="shared" si="11"/>
        <v/>
      </c>
      <c r="L24" s="1915" t="str">
        <f t="shared" si="12"/>
        <v/>
      </c>
      <c r="M24" s="1961" t="str">
        <f t="shared" si="13"/>
        <v/>
      </c>
      <c r="N24" s="1917" t="str">
        <f t="shared" si="14"/>
        <v/>
      </c>
      <c r="O24" s="1910" t="str">
        <f t="shared" si="15"/>
        <v/>
      </c>
      <c r="P24" s="1908" t="str">
        <f t="shared" si="16"/>
        <v/>
      </c>
      <c r="Q24" s="1909" t="str">
        <f t="shared" si="17"/>
        <v/>
      </c>
      <c r="R24" s="1910" t="str">
        <f t="shared" si="18"/>
        <v/>
      </c>
      <c r="S24" s="1984" t="str">
        <f t="shared" si="19"/>
        <v/>
      </c>
      <c r="T24" s="1920" t="str">
        <f t="shared" si="20"/>
        <v/>
      </c>
      <c r="U24" s="1910" t="str">
        <f t="shared" si="21"/>
        <v/>
      </c>
      <c r="V24" s="1909" t="str">
        <f t="shared" si="22"/>
        <v/>
      </c>
      <c r="W24" s="1910" t="str">
        <f t="shared" si="23"/>
        <v/>
      </c>
      <c r="X24" s="1961">
        <f t="shared" si="24"/>
        <v>0</v>
      </c>
      <c r="Y24" s="1967" t="str">
        <f t="shared" si="25"/>
        <v/>
      </c>
      <c r="Z24" s="1968" t="str">
        <f t="shared" si="26"/>
        <v/>
      </c>
      <c r="AA24" s="1981"/>
      <c r="AC24" s="1226" t="b">
        <v>0</v>
      </c>
      <c r="AD24" s="525">
        <f t="shared" si="27"/>
        <v>0</v>
      </c>
      <c r="AE24" s="526">
        <f t="shared" si="28"/>
        <v>0</v>
      </c>
      <c r="AF24" s="526">
        <f t="shared" si="29"/>
        <v>0</v>
      </c>
      <c r="AG24" s="526">
        <f t="shared" si="30"/>
        <v>0</v>
      </c>
      <c r="AH24" s="527">
        <f t="shared" si="31"/>
        <v>0</v>
      </c>
      <c r="AI24" s="528" t="b">
        <v>0</v>
      </c>
      <c r="AJ24" s="284">
        <f t="shared" si="32"/>
        <v>0</v>
      </c>
      <c r="AK24" s="1063" t="str">
        <f t="shared" si="33"/>
        <v/>
      </c>
      <c r="AL24" s="1202" t="str">
        <f t="shared" si="34"/>
        <v/>
      </c>
      <c r="AM24" s="1063" t="str">
        <f t="shared" si="35"/>
        <v/>
      </c>
      <c r="AN24" s="1063" t="str">
        <f t="shared" si="36"/>
        <v/>
      </c>
      <c r="AO24" s="1063" t="str">
        <f t="shared" si="37"/>
        <v/>
      </c>
      <c r="AP24" s="1063" t="b">
        <f>IF(ISERROR(AJ24),FALSE,IF(OR(AJ24=0,ISERROR(AL24),ISERROR(AM24),ISERROR(AN24),ISERROR(AO24)),FALSE,IF(AL24&lt;&gt;"",IF(ISERROR(VLOOKUP(SUBSTITUTE(SUBSTITUTE(C24,"R",""),"A",""),TblJoistSize!$A:$A,1,FALSE)),FALSE,TRUE),TRUE)))</f>
        <v>0</v>
      </c>
      <c r="AQ24" s="1305" t="e">
        <f t="shared" si="38"/>
        <v>#N/A</v>
      </c>
      <c r="AR24" s="1305" t="b">
        <f t="shared" si="39"/>
        <v>0</v>
      </c>
      <c r="AS24" s="1305" t="e">
        <f t="shared" si="40"/>
        <v>#N/A</v>
      </c>
      <c r="AT24" s="1305" t="b">
        <f t="shared" si="41"/>
        <v>0</v>
      </c>
      <c r="AU24" s="1203" t="str">
        <f t="shared" si="42"/>
        <v/>
      </c>
      <c r="AV24" s="1063" t="str">
        <f t="shared" si="43"/>
        <v/>
      </c>
      <c r="AW24" s="1063" t="str">
        <f t="shared" si="44"/>
        <v/>
      </c>
      <c r="AX24" s="1063" t="str">
        <f t="shared" si="122"/>
        <v/>
      </c>
      <c r="AY24" s="1306" t="b">
        <f t="shared" si="45"/>
        <v>0</v>
      </c>
      <c r="AZ24" s="1090" t="str">
        <f t="shared" si="46"/>
        <v/>
      </c>
      <c r="BA24" s="674"/>
      <c r="BB24" s="842"/>
      <c r="BC24" s="894"/>
      <c r="BD24" s="926"/>
      <c r="BE24" s="927"/>
      <c r="BF24" s="928"/>
      <c r="BG24" s="901"/>
      <c r="BH24" s="1244"/>
      <c r="BI24" s="1245"/>
      <c r="BJ24" s="929"/>
      <c r="BK24" s="902"/>
      <c r="BL24" s="903"/>
      <c r="BM24" s="904"/>
      <c r="BN24" s="905"/>
      <c r="BO24" s="901"/>
      <c r="BP24" s="902"/>
      <c r="BQ24" s="903"/>
      <c r="BR24" s="929"/>
      <c r="BS24" s="902"/>
      <c r="BT24" s="903"/>
      <c r="BU24" s="904"/>
      <c r="BV24" s="905"/>
      <c r="BW24" s="906"/>
      <c r="BX24" s="930"/>
      <c r="BY24" s="931"/>
      <c r="BZ24" s="932"/>
      <c r="CA24" s="933"/>
      <c r="CB24" s="932"/>
      <c r="CC24" s="933"/>
      <c r="CD24" s="934" t="str">
        <f t="shared" si="47"/>
        <v/>
      </c>
      <c r="CE24" s="935" t="str">
        <f t="shared" si="48"/>
        <v/>
      </c>
      <c r="CF24" s="1149"/>
      <c r="CG24" s="1150"/>
      <c r="CH24" s="738" t="str">
        <f t="shared" si="49"/>
        <v/>
      </c>
      <c r="CI24" s="739" t="str">
        <f t="shared" si="50"/>
        <v/>
      </c>
      <c r="CJ24" s="740" t="str">
        <f t="shared" si="51"/>
        <v/>
      </c>
      <c r="CK24" s="741" t="str">
        <f t="shared" si="52"/>
        <v/>
      </c>
      <c r="CL24" s="742" t="str">
        <f t="shared" si="53"/>
        <v/>
      </c>
      <c r="CM24" s="743" t="str">
        <f t="shared" si="54"/>
        <v/>
      </c>
      <c r="CN24" s="744" t="str">
        <f t="shared" si="55"/>
        <v/>
      </c>
      <c r="CO24" s="745" t="str">
        <f t="shared" si="56"/>
        <v/>
      </c>
      <c r="CP24" s="762" t="str">
        <f t="shared" si="57"/>
        <v/>
      </c>
      <c r="CQ24" s="763" t="str">
        <f t="shared" si="58"/>
        <v/>
      </c>
      <c r="CR24" s="953" t="str">
        <f t="shared" si="59"/>
        <v/>
      </c>
      <c r="CS24" s="954" t="str">
        <f t="shared" si="60"/>
        <v/>
      </c>
      <c r="CU24" s="1048" t="str">
        <f>IF(BG24="","",VLOOKUP(BG24,SectInfo!$B:$N,12,FALSE))</f>
        <v/>
      </c>
      <c r="CV24" s="1046" t="str">
        <f>IF(BG24="","",IF(ISBLANK(BZ24),VLOOKUP(BG24,SectInfo!$B:$N,13,FALSE),BZ24))</f>
        <v/>
      </c>
      <c r="CW24" s="1046" t="str">
        <f>IF(BG24="","",IF(VLOOKUP(BG24,SectInfo!$B:$N,5,FALSE)="","R",UPPER(VLOOKUP(BG24,SectInfo!$B:$N,5,FALSE))))</f>
        <v/>
      </c>
      <c r="CX24" s="1046" t="str">
        <f>IF(BG24="","",IF(ISBLANK(CF24),VLOOKUP(BG24,SectInfo!$B:$N,6,FALSE),CF24))</f>
        <v/>
      </c>
      <c r="CY24" s="1276" t="str">
        <f>IF(BG24="","",IF(VLOOKUP(BG24,SectInfo!$B:$N,10,FALSE)="","",(VLOOKUP(BG24,SectInfo!$B:$N,10,FALSE)*-1)))</f>
        <v/>
      </c>
      <c r="CZ24" s="1443" t="str">
        <f>IF(BG24="","",IF(VLOOKUP(BG24,SectInfo!$B:$N,11,FALSE)="","2",(VLOOKUP(BG24,SectInfo!$B:$N,11,FALSE))))</f>
        <v/>
      </c>
      <c r="DA24" s="1046" t="str">
        <f>IF(BG24="","",IF(VLOOKUP(BG24,SectInfo!$B:$N,7,FALSE)="","",(VLOOKUP(BG24,SectInfo!$B:$N,7,FALSE)*-1)))</f>
        <v/>
      </c>
      <c r="DB24" s="1046" t="str">
        <f>IF(BG24="","",IF(VLOOKUP(BG24,SectInfo!$B:$N,8,FALSE)="",VLOOKUP(AU24,$DF$2:$DN$9,6,FALSE),(VLOOKUP(BG24,SectInfo!$B:$N,8,FALSE))))</f>
        <v/>
      </c>
      <c r="DC24" s="1046" t="str">
        <f>IF(BG24="","",VLOOKUP(BG24,SectInfo!$B:$N,9,FALSE))</f>
        <v/>
      </c>
      <c r="DD24" s="1047">
        <f t="shared" si="61"/>
        <v>0</v>
      </c>
      <c r="DE24" s="1048" t="str">
        <f>IF(BO24="","",VLOOKUP(BO24,SectInfo!$B:$N,12,FALSE))</f>
        <v/>
      </c>
      <c r="DF24" s="1046" t="str">
        <f>IF(BO24="","",IF(ISBLANK(CA24),VLOOKUP(BO24,SectInfo!$B:$N,13,FALSE),CA24))</f>
        <v/>
      </c>
      <c r="DG24" s="1046" t="str">
        <f>IF(BO24="","",IF(VLOOKUP(BO24,SectInfo!$B:$N,5,FALSE)="","R",UPPER(VLOOKUP(BO24,SectInfo!$B:$N,5,FALSE))))</f>
        <v/>
      </c>
      <c r="DH24" s="1046" t="str">
        <f>IF(BO24="","",IF(ISBLANK(CG24),VLOOKUP(BO24,SectInfo!$B:$N,6,FALSE),CG24))</f>
        <v/>
      </c>
      <c r="DI24" s="1046" t="str">
        <f>IF(BO24="","",IF(VLOOKUP(BO24,SectInfo!$B:$N,10,FALSE)="","",(VLOOKUP(BO24,SectInfo!$B:$N,10,FALSE)*-1)))</f>
        <v/>
      </c>
      <c r="DJ24" s="1443" t="str">
        <f>IF(BO24="","",IF(VLOOKUP(BO24,SectInfo!$B:$N,11,FALSE)="","2",(VLOOKUP(BO24,SectInfo!$B:$N,11,FALSE))))</f>
        <v/>
      </c>
      <c r="DK24" s="1046" t="str">
        <f>IF(BO24="","",IF(VLOOKUP(BO24,SectInfo!$B:$N,7,FALSE)="","",(VLOOKUP(BO24,SectInfo!$B:$N,7,FALSE)*-1)))</f>
        <v/>
      </c>
      <c r="DL24" s="1046" t="str">
        <f>IF(BO24="","",IF(VLOOKUP(BO24,SectInfo!$B:$N,8,FALSE)="",VLOOKUP(AU24,$DF$2:$DN$9,6,FALSE),(VLOOKUP(BO24,SectInfo!$B:$N,8,FALSE))))</f>
        <v/>
      </c>
      <c r="DM24" s="1046" t="str">
        <f>IF(BO24="","",VLOOKUP(BO24,SectInfo!$B:$N,9,FALSE))</f>
        <v/>
      </c>
      <c r="DN24" s="1047">
        <f t="shared" si="62"/>
        <v>0</v>
      </c>
      <c r="DO24" s="1049">
        <f t="shared" si="63"/>
        <v>0</v>
      </c>
      <c r="DP24" s="1053" t="str">
        <f t="shared" si="64"/>
        <v/>
      </c>
      <c r="DQ24" s="1053" t="str">
        <f t="shared" si="65"/>
        <v/>
      </c>
      <c r="DR24" s="1053" t="str">
        <f t="shared" si="66"/>
        <v/>
      </c>
      <c r="DS24" s="1052">
        <f t="shared" si="67"/>
        <v>0</v>
      </c>
      <c r="DT24" s="1052">
        <f t="shared" si="68"/>
        <v>0</v>
      </c>
      <c r="DU24" s="1052" t="str">
        <f t="shared" si="69"/>
        <v/>
      </c>
      <c r="DV24" s="1053" t="str">
        <f t="shared" si="70"/>
        <v/>
      </c>
      <c r="DW24" s="1053" t="str">
        <f t="shared" si="71"/>
        <v/>
      </c>
      <c r="DX24" s="1269">
        <f t="shared" si="72"/>
        <v>0</v>
      </c>
      <c r="DY24" s="1053">
        <f t="shared" si="73"/>
        <v>0</v>
      </c>
      <c r="DZ24" s="1052">
        <f t="shared" si="74"/>
        <v>0</v>
      </c>
      <c r="EA24" s="1052" t="str">
        <f t="shared" si="75"/>
        <v/>
      </c>
      <c r="EB24" s="1053" t="str">
        <f t="shared" si="76"/>
        <v/>
      </c>
      <c r="EC24" s="1053" t="str">
        <f t="shared" si="77"/>
        <v/>
      </c>
      <c r="ED24" s="1269">
        <f t="shared" si="78"/>
        <v>0</v>
      </c>
      <c r="EE24" s="1090" t="str">
        <f t="shared" si="79"/>
        <v/>
      </c>
      <c r="EF24" s="1053" t="str">
        <f t="shared" si="80"/>
        <v/>
      </c>
      <c r="EG24" s="1053" t="str">
        <f t="shared" si="81"/>
        <v/>
      </c>
      <c r="EH24" s="1053" t="e">
        <f t="shared" si="82"/>
        <v>#N/A</v>
      </c>
      <c r="EI24" s="1053" t="e">
        <f t="shared" si="83"/>
        <v>#N/A</v>
      </c>
      <c r="EJ24" s="1053" t="str">
        <f t="shared" si="84"/>
        <v/>
      </c>
      <c r="EK24" s="1053" t="str">
        <f t="shared" si="84"/>
        <v/>
      </c>
      <c r="EL24" s="1090" t="str">
        <f t="shared" si="85"/>
        <v/>
      </c>
      <c r="EM24" s="1053" t="str">
        <f t="shared" si="86"/>
        <v/>
      </c>
      <c r="EN24" s="1053" t="str">
        <f t="shared" si="87"/>
        <v/>
      </c>
      <c r="EO24" s="1053" t="e">
        <f t="shared" si="88"/>
        <v>#N/A</v>
      </c>
      <c r="EP24" s="1053" t="e">
        <f t="shared" si="89"/>
        <v>#N/A</v>
      </c>
      <c r="EQ24" s="1053" t="str">
        <f t="shared" si="90"/>
        <v/>
      </c>
      <c r="ER24" s="1053" t="str">
        <f t="shared" si="90"/>
        <v/>
      </c>
      <c r="ES24" s="1053" t="str">
        <f t="shared" si="91"/>
        <v/>
      </c>
      <c r="ET24" s="1053" t="str">
        <f t="shared" si="92"/>
        <v/>
      </c>
      <c r="EU24" s="1061" t="str">
        <f t="shared" si="93"/>
        <v/>
      </c>
      <c r="EV24" s="1055" t="str">
        <f t="shared" si="94"/>
        <v/>
      </c>
      <c r="EW24" s="1061"/>
      <c r="EX24" s="1061" t="str">
        <f>IF(AND(CU24="G", ISBLANK(BK24), ISBLANK(BL24)),VLOOKUP(MIN(BH24:BI24),TblJoistSize!$M$3:$N$10,2),IF(OR(CU24="B",CU24="G"),MIN(BK24:BL24),""))</f>
        <v/>
      </c>
      <c r="EY24" s="1061" t="str">
        <f>IF(AND(CU24="G", ISBLANK(BK24), ISBLANK(BL24)),VLOOKUP(MAX(BH24:BI24),TblJoistSize!$M$3:$N$10,2),IF(OR(CU24="B",CU24="G"),MAX(BK24:BL24),""))</f>
        <v/>
      </c>
      <c r="EZ24" s="1061" t="str">
        <f t="shared" si="95"/>
        <v/>
      </c>
      <c r="FA24" s="1061" t="str">
        <f>IF(AND(DE24="G", ISBLANK(BS24), ISBLANK(BT24)),VLOOKUP(MIN(BP24:BQ24),TblJoistSize!$M$3:$N$10,2),IF(OR(DE24="B", DE24="G"),MIN(BS24:BT24),""))</f>
        <v/>
      </c>
      <c r="FB24" s="1061" t="str">
        <f>IF(AND(DE24="G", ISBLANK(BS24), ISBLANK(BT24)),VLOOKUP(MAX(BP24:BQ24),TblJoistSize!$M$3:$N$10,2),IF(OR(DE24="B", DE24="G"),MAX(BS24:BT24),""))</f>
        <v/>
      </c>
      <c r="FC24" s="1061" t="str">
        <f t="shared" si="96"/>
        <v/>
      </c>
      <c r="FD24" s="1052">
        <f t="shared" si="123"/>
        <v>0</v>
      </c>
      <c r="FE24" s="1052">
        <f t="shared" si="97"/>
        <v>0</v>
      </c>
      <c r="FF24" s="1052">
        <f t="shared" si="98"/>
        <v>0</v>
      </c>
      <c r="FG24" s="1052" t="str">
        <f t="shared" si="99"/>
        <v/>
      </c>
      <c r="FH24" s="1053" t="str">
        <f t="shared" si="100"/>
        <v/>
      </c>
      <c r="FI24" s="1052">
        <f t="shared" si="124"/>
        <v>0</v>
      </c>
      <c r="FJ24" s="1052">
        <f t="shared" si="101"/>
        <v>0</v>
      </c>
      <c r="FK24" s="1052">
        <f t="shared" si="102"/>
        <v>0</v>
      </c>
      <c r="FL24" s="1052" t="str">
        <f t="shared" si="103"/>
        <v/>
      </c>
      <c r="FM24" s="1053" t="str">
        <f t="shared" si="104"/>
        <v/>
      </c>
      <c r="FN24" s="1053" t="e">
        <f t="shared" si="105"/>
        <v>#VALUE!</v>
      </c>
      <c r="FO24" s="1062" t="e">
        <f t="shared" si="106"/>
        <v>#VALUE!</v>
      </c>
      <c r="FP24" s="1062" t="e">
        <f t="shared" si="107"/>
        <v>#VALUE!</v>
      </c>
      <c r="FQ24" s="1063" t="e">
        <f t="shared" si="108"/>
        <v>#VALUE!</v>
      </c>
      <c r="FR24" s="1064" t="e">
        <f t="shared" si="109"/>
        <v>#VALUE!</v>
      </c>
      <c r="FS24" s="1065" t="str">
        <f t="shared" si="110"/>
        <v/>
      </c>
      <c r="FT24" s="1066" t="str">
        <f t="shared" si="111"/>
        <v/>
      </c>
      <c r="FU24" s="1105">
        <f t="shared" si="112"/>
        <v>0</v>
      </c>
      <c r="FV24" s="1106">
        <f t="shared" si="113"/>
        <v>0</v>
      </c>
      <c r="GA24" s="1975" t="str">
        <f t="shared" si="114"/>
        <v/>
      </c>
      <c r="GB24" s="1976" t="str">
        <f t="shared" si="115"/>
        <v/>
      </c>
      <c r="GC24" s="1977" t="str">
        <f t="shared" si="116"/>
        <v/>
      </c>
      <c r="GD24" s="1978" t="str">
        <f t="shared" si="117"/>
        <v/>
      </c>
      <c r="GE24" s="1979" t="str">
        <f t="shared" si="118"/>
        <v/>
      </c>
      <c r="GF24" s="1980" t="str">
        <f t="shared" si="119"/>
        <v/>
      </c>
      <c r="GG24" s="1453"/>
      <c r="GH24" s="1454"/>
      <c r="GI24" s="1453"/>
      <c r="GJ24" s="1454"/>
      <c r="GK24" s="533">
        <f t="shared" si="120"/>
        <v>0</v>
      </c>
      <c r="GL24" s="534" t="e">
        <f t="shared" si="121"/>
        <v>#VALUE!</v>
      </c>
      <c r="GM24" s="535" t="e">
        <f>IF(ABS(GK24-GL24)&gt;='Job Info.'!$L$22,ABS(GK24-GL24),0)</f>
        <v>#VALUE!</v>
      </c>
      <c r="HA24" s="1658"/>
      <c r="HB24" s="1659"/>
      <c r="HC24" s="1659"/>
      <c r="HD24" s="1660"/>
      <c r="HE24" s="1661"/>
      <c r="HF24" s="1659"/>
      <c r="HG24" s="1659"/>
      <c r="HH24" s="1659"/>
      <c r="HI24" s="1662"/>
      <c r="HJ24" s="1659"/>
      <c r="HK24" s="1659"/>
      <c r="HL24" s="1659"/>
      <c r="HM24" s="1659"/>
      <c r="HN24" s="1659"/>
      <c r="HO24" s="1659"/>
      <c r="HP24" s="1659"/>
      <c r="HQ24" s="1662"/>
      <c r="HR24" s="1659"/>
      <c r="HS24" s="1659"/>
      <c r="HT24" s="1659"/>
      <c r="HU24" s="1659"/>
      <c r="HV24" s="1659"/>
      <c r="HW24" s="1661"/>
      <c r="HX24" s="1661"/>
      <c r="HY24" s="1661"/>
      <c r="HZ24" s="1661"/>
      <c r="IA24" s="1661"/>
      <c r="IB24" s="1661"/>
      <c r="IC24" s="1661"/>
      <c r="ID24" s="1661"/>
      <c r="IE24" s="1661"/>
      <c r="IF24" s="1663"/>
    </row>
    <row r="25" spans="1:240" ht="12.6" customHeight="1" x14ac:dyDescent="0.25">
      <c r="A25" s="1471" t="str">
        <f t="shared" si="1"/>
        <v/>
      </c>
      <c r="B25" s="1473" t="str">
        <f t="shared" si="2"/>
        <v/>
      </c>
      <c r="C25" s="1473" t="str">
        <f t="shared" si="3"/>
        <v/>
      </c>
      <c r="D25" s="1909" t="str">
        <f t="shared" si="4"/>
        <v/>
      </c>
      <c r="E25" s="1982" t="str">
        <f t="shared" si="5"/>
        <v/>
      </c>
      <c r="F25" s="1920" t="str">
        <f t="shared" si="6"/>
        <v/>
      </c>
      <c r="G25" s="1910" t="str">
        <f t="shared" si="7"/>
        <v/>
      </c>
      <c r="H25" s="1965" t="str">
        <f t="shared" si="8"/>
        <v/>
      </c>
      <c r="I25" s="1909" t="str">
        <f t="shared" si="9"/>
        <v/>
      </c>
      <c r="J25" s="1910" t="str">
        <f t="shared" si="10"/>
        <v/>
      </c>
      <c r="K25" s="1983" t="str">
        <f t="shared" si="11"/>
        <v/>
      </c>
      <c r="L25" s="1915" t="str">
        <f t="shared" si="12"/>
        <v/>
      </c>
      <c r="M25" s="1961" t="str">
        <f t="shared" si="13"/>
        <v/>
      </c>
      <c r="N25" s="1917" t="str">
        <f t="shared" si="14"/>
        <v/>
      </c>
      <c r="O25" s="1910" t="str">
        <f t="shared" si="15"/>
        <v/>
      </c>
      <c r="P25" s="1908" t="str">
        <f t="shared" si="16"/>
        <v/>
      </c>
      <c r="Q25" s="1909" t="str">
        <f t="shared" si="17"/>
        <v/>
      </c>
      <c r="R25" s="1910" t="str">
        <f t="shared" si="18"/>
        <v/>
      </c>
      <c r="S25" s="1984" t="str">
        <f t="shared" si="19"/>
        <v/>
      </c>
      <c r="T25" s="1920" t="str">
        <f t="shared" si="20"/>
        <v/>
      </c>
      <c r="U25" s="1910" t="str">
        <f t="shared" si="21"/>
        <v/>
      </c>
      <c r="V25" s="1909" t="str">
        <f t="shared" si="22"/>
        <v/>
      </c>
      <c r="W25" s="1910" t="str">
        <f t="shared" si="23"/>
        <v/>
      </c>
      <c r="X25" s="1961">
        <f t="shared" si="24"/>
        <v>0</v>
      </c>
      <c r="Y25" s="1967" t="str">
        <f t="shared" si="25"/>
        <v/>
      </c>
      <c r="Z25" s="1968" t="str">
        <f t="shared" si="26"/>
        <v/>
      </c>
      <c r="AA25" s="1981"/>
      <c r="AC25" s="1226" t="b">
        <v>0</v>
      </c>
      <c r="AD25" s="525">
        <f t="shared" si="27"/>
        <v>0</v>
      </c>
      <c r="AE25" s="526">
        <f t="shared" si="28"/>
        <v>0</v>
      </c>
      <c r="AF25" s="526">
        <f t="shared" si="29"/>
        <v>0</v>
      </c>
      <c r="AG25" s="526">
        <f t="shared" si="30"/>
        <v>0</v>
      </c>
      <c r="AH25" s="527">
        <f t="shared" si="31"/>
        <v>0</v>
      </c>
      <c r="AI25" s="528" t="b">
        <v>0</v>
      </c>
      <c r="AJ25" s="284">
        <f t="shared" si="32"/>
        <v>0</v>
      </c>
      <c r="AK25" s="1063" t="str">
        <f t="shared" si="33"/>
        <v/>
      </c>
      <c r="AL25" s="1202" t="str">
        <f t="shared" si="34"/>
        <v/>
      </c>
      <c r="AM25" s="1063" t="str">
        <f t="shared" si="35"/>
        <v/>
      </c>
      <c r="AN25" s="1063" t="str">
        <f t="shared" si="36"/>
        <v/>
      </c>
      <c r="AO25" s="1063" t="str">
        <f t="shared" si="37"/>
        <v/>
      </c>
      <c r="AP25" s="1063" t="b">
        <f>IF(ISERROR(AJ25),FALSE,IF(OR(AJ25=0,ISERROR(AL25),ISERROR(AM25),ISERROR(AN25),ISERROR(AO25)),FALSE,IF(AL25&lt;&gt;"",IF(ISERROR(VLOOKUP(SUBSTITUTE(SUBSTITUTE(C25,"R",""),"A",""),TblJoistSize!$A:$A,1,FALSE)),FALSE,TRUE),TRUE)))</f>
        <v>0</v>
      </c>
      <c r="AQ25" s="1305" t="e">
        <f t="shared" si="38"/>
        <v>#N/A</v>
      </c>
      <c r="AR25" s="1305" t="b">
        <f t="shared" si="39"/>
        <v>0</v>
      </c>
      <c r="AS25" s="1305" t="e">
        <f t="shared" si="40"/>
        <v>#N/A</v>
      </c>
      <c r="AT25" s="1305" t="b">
        <f t="shared" si="41"/>
        <v>0</v>
      </c>
      <c r="AU25" s="1203" t="str">
        <f t="shared" si="42"/>
        <v/>
      </c>
      <c r="AV25" s="1063" t="str">
        <f t="shared" si="43"/>
        <v/>
      </c>
      <c r="AW25" s="1063" t="str">
        <f t="shared" si="44"/>
        <v/>
      </c>
      <c r="AX25" s="1063" t="str">
        <f t="shared" si="122"/>
        <v/>
      </c>
      <c r="AY25" s="1306" t="b">
        <f t="shared" si="45"/>
        <v>0</v>
      </c>
      <c r="AZ25" s="1090" t="str">
        <f t="shared" si="46"/>
        <v/>
      </c>
      <c r="BA25" s="674"/>
      <c r="BB25" s="842"/>
      <c r="BC25" s="894"/>
      <c r="BD25" s="926"/>
      <c r="BE25" s="927"/>
      <c r="BF25" s="928"/>
      <c r="BG25" s="901"/>
      <c r="BH25" s="1244"/>
      <c r="BI25" s="1245"/>
      <c r="BJ25" s="929"/>
      <c r="BK25" s="902"/>
      <c r="BL25" s="903"/>
      <c r="BM25" s="904"/>
      <c r="BN25" s="905"/>
      <c r="BO25" s="901"/>
      <c r="BP25" s="902"/>
      <c r="BQ25" s="903"/>
      <c r="BR25" s="929"/>
      <c r="BS25" s="902"/>
      <c r="BT25" s="903"/>
      <c r="BU25" s="904"/>
      <c r="BV25" s="905"/>
      <c r="BW25" s="906"/>
      <c r="BX25" s="930"/>
      <c r="BY25" s="931"/>
      <c r="BZ25" s="932"/>
      <c r="CA25" s="933"/>
      <c r="CB25" s="932"/>
      <c r="CC25" s="933"/>
      <c r="CD25" s="934" t="str">
        <f t="shared" si="47"/>
        <v/>
      </c>
      <c r="CE25" s="935" t="str">
        <f t="shared" si="48"/>
        <v/>
      </c>
      <c r="CF25" s="1149"/>
      <c r="CG25" s="1150"/>
      <c r="CH25" s="738" t="str">
        <f t="shared" si="49"/>
        <v/>
      </c>
      <c r="CI25" s="739" t="str">
        <f t="shared" si="50"/>
        <v/>
      </c>
      <c r="CJ25" s="740" t="str">
        <f t="shared" si="51"/>
        <v/>
      </c>
      <c r="CK25" s="741" t="str">
        <f t="shared" si="52"/>
        <v/>
      </c>
      <c r="CL25" s="742" t="str">
        <f t="shared" si="53"/>
        <v/>
      </c>
      <c r="CM25" s="743" t="str">
        <f t="shared" si="54"/>
        <v/>
      </c>
      <c r="CN25" s="744" t="str">
        <f t="shared" si="55"/>
        <v/>
      </c>
      <c r="CO25" s="745" t="str">
        <f t="shared" si="56"/>
        <v/>
      </c>
      <c r="CP25" s="762" t="str">
        <f t="shared" si="57"/>
        <v/>
      </c>
      <c r="CQ25" s="763" t="str">
        <f t="shared" si="58"/>
        <v/>
      </c>
      <c r="CR25" s="953" t="str">
        <f t="shared" si="59"/>
        <v/>
      </c>
      <c r="CS25" s="954" t="str">
        <f t="shared" si="60"/>
        <v/>
      </c>
      <c r="CU25" s="1048" t="str">
        <f>IF(BG25="","",VLOOKUP(BG25,SectInfo!$B:$N,12,FALSE))</f>
        <v/>
      </c>
      <c r="CV25" s="1046" t="str">
        <f>IF(BG25="","",IF(ISBLANK(BZ25),VLOOKUP(BG25,SectInfo!$B:$N,13,FALSE),BZ25))</f>
        <v/>
      </c>
      <c r="CW25" s="1046" t="str">
        <f>IF(BG25="","",IF(VLOOKUP(BG25,SectInfo!$B:$N,5,FALSE)="","R",UPPER(VLOOKUP(BG25,SectInfo!$B:$N,5,FALSE))))</f>
        <v/>
      </c>
      <c r="CX25" s="1046" t="str">
        <f>IF(BG25="","",IF(ISBLANK(CF25),VLOOKUP(BG25,SectInfo!$B:$N,6,FALSE),CF25))</f>
        <v/>
      </c>
      <c r="CY25" s="1276" t="str">
        <f>IF(BG25="","",IF(VLOOKUP(BG25,SectInfo!$B:$N,10,FALSE)="","",(VLOOKUP(BG25,SectInfo!$B:$N,10,FALSE)*-1)))</f>
        <v/>
      </c>
      <c r="CZ25" s="1443" t="str">
        <f>IF(BG25="","",IF(VLOOKUP(BG25,SectInfo!$B:$N,11,FALSE)="","2",(VLOOKUP(BG25,SectInfo!$B:$N,11,FALSE))))</f>
        <v/>
      </c>
      <c r="DA25" s="1046" t="str">
        <f>IF(BG25="","",IF(VLOOKUP(BG25,SectInfo!$B:$N,7,FALSE)="","",(VLOOKUP(BG25,SectInfo!$B:$N,7,FALSE)*-1)))</f>
        <v/>
      </c>
      <c r="DB25" s="1046" t="str">
        <f>IF(BG25="","",IF(VLOOKUP(BG25,SectInfo!$B:$N,8,FALSE)="",VLOOKUP(AU25,$DF$2:$DN$9,6,FALSE),(VLOOKUP(BG25,SectInfo!$B:$N,8,FALSE))))</f>
        <v/>
      </c>
      <c r="DC25" s="1046" t="str">
        <f>IF(BG25="","",VLOOKUP(BG25,SectInfo!$B:$N,9,FALSE))</f>
        <v/>
      </c>
      <c r="DD25" s="1047">
        <f t="shared" si="61"/>
        <v>0</v>
      </c>
      <c r="DE25" s="1048" t="str">
        <f>IF(BO25="","",VLOOKUP(BO25,SectInfo!$B:$N,12,FALSE))</f>
        <v/>
      </c>
      <c r="DF25" s="1046" t="str">
        <f>IF(BO25="","",IF(ISBLANK(CA25),VLOOKUP(BO25,SectInfo!$B:$N,13,FALSE),CA25))</f>
        <v/>
      </c>
      <c r="DG25" s="1046" t="str">
        <f>IF(BO25="","",IF(VLOOKUP(BO25,SectInfo!$B:$N,5,FALSE)="","R",UPPER(VLOOKUP(BO25,SectInfo!$B:$N,5,FALSE))))</f>
        <v/>
      </c>
      <c r="DH25" s="1046" t="str">
        <f>IF(BO25="","",IF(ISBLANK(CG25),VLOOKUP(BO25,SectInfo!$B:$N,6,FALSE),CG25))</f>
        <v/>
      </c>
      <c r="DI25" s="1046" t="str">
        <f>IF(BO25="","",IF(VLOOKUP(BO25,SectInfo!$B:$N,10,FALSE)="","",(VLOOKUP(BO25,SectInfo!$B:$N,10,FALSE)*-1)))</f>
        <v/>
      </c>
      <c r="DJ25" s="1443" t="str">
        <f>IF(BO25="","",IF(VLOOKUP(BO25,SectInfo!$B:$N,11,FALSE)="","2",(VLOOKUP(BO25,SectInfo!$B:$N,11,FALSE))))</f>
        <v/>
      </c>
      <c r="DK25" s="1046" t="str">
        <f>IF(BO25="","",IF(VLOOKUP(BO25,SectInfo!$B:$N,7,FALSE)="","",(VLOOKUP(BO25,SectInfo!$B:$N,7,FALSE)*-1)))</f>
        <v/>
      </c>
      <c r="DL25" s="1046" t="str">
        <f>IF(BO25="","",IF(VLOOKUP(BO25,SectInfo!$B:$N,8,FALSE)="",VLOOKUP(AU25,$DF$2:$DN$9,6,FALSE),(VLOOKUP(BO25,SectInfo!$B:$N,8,FALSE))))</f>
        <v/>
      </c>
      <c r="DM25" s="1046" t="str">
        <f>IF(BO25="","",VLOOKUP(BO25,SectInfo!$B:$N,9,FALSE))</f>
        <v/>
      </c>
      <c r="DN25" s="1047">
        <f t="shared" si="62"/>
        <v>0</v>
      </c>
      <c r="DO25" s="1049">
        <f t="shared" si="63"/>
        <v>0</v>
      </c>
      <c r="DP25" s="1053" t="str">
        <f t="shared" si="64"/>
        <v/>
      </c>
      <c r="DQ25" s="1053" t="str">
        <f t="shared" si="65"/>
        <v/>
      </c>
      <c r="DR25" s="1053" t="str">
        <f t="shared" si="66"/>
        <v/>
      </c>
      <c r="DS25" s="1052">
        <f t="shared" si="67"/>
        <v>0</v>
      </c>
      <c r="DT25" s="1052">
        <f t="shared" si="68"/>
        <v>0</v>
      </c>
      <c r="DU25" s="1052" t="str">
        <f t="shared" si="69"/>
        <v/>
      </c>
      <c r="DV25" s="1053" t="str">
        <f t="shared" si="70"/>
        <v/>
      </c>
      <c r="DW25" s="1053" t="str">
        <f t="shared" si="71"/>
        <v/>
      </c>
      <c r="DX25" s="1269">
        <f t="shared" si="72"/>
        <v>0</v>
      </c>
      <c r="DY25" s="1053">
        <f t="shared" si="73"/>
        <v>0</v>
      </c>
      <c r="DZ25" s="1052">
        <f t="shared" si="74"/>
        <v>0</v>
      </c>
      <c r="EA25" s="1052" t="str">
        <f t="shared" si="75"/>
        <v/>
      </c>
      <c r="EB25" s="1053" t="str">
        <f t="shared" si="76"/>
        <v/>
      </c>
      <c r="EC25" s="1053" t="str">
        <f t="shared" si="77"/>
        <v/>
      </c>
      <c r="ED25" s="1269">
        <f t="shared" si="78"/>
        <v>0</v>
      </c>
      <c r="EE25" s="1090" t="str">
        <f t="shared" si="79"/>
        <v/>
      </c>
      <c r="EF25" s="1053" t="str">
        <f t="shared" si="80"/>
        <v/>
      </c>
      <c r="EG25" s="1053" t="str">
        <f t="shared" si="81"/>
        <v/>
      </c>
      <c r="EH25" s="1053" t="e">
        <f t="shared" si="82"/>
        <v>#N/A</v>
      </c>
      <c r="EI25" s="1053" t="e">
        <f t="shared" si="83"/>
        <v>#N/A</v>
      </c>
      <c r="EJ25" s="1053" t="str">
        <f t="shared" si="84"/>
        <v/>
      </c>
      <c r="EK25" s="1053" t="str">
        <f t="shared" si="84"/>
        <v/>
      </c>
      <c r="EL25" s="1090" t="str">
        <f t="shared" si="85"/>
        <v/>
      </c>
      <c r="EM25" s="1053" t="str">
        <f t="shared" si="86"/>
        <v/>
      </c>
      <c r="EN25" s="1053" t="str">
        <f t="shared" si="87"/>
        <v/>
      </c>
      <c r="EO25" s="1053" t="e">
        <f t="shared" si="88"/>
        <v>#N/A</v>
      </c>
      <c r="EP25" s="1053" t="e">
        <f t="shared" si="89"/>
        <v>#N/A</v>
      </c>
      <c r="EQ25" s="1053" t="str">
        <f t="shared" si="90"/>
        <v/>
      </c>
      <c r="ER25" s="1053" t="str">
        <f t="shared" si="90"/>
        <v/>
      </c>
      <c r="ES25" s="1053" t="str">
        <f t="shared" si="91"/>
        <v/>
      </c>
      <c r="ET25" s="1053" t="str">
        <f t="shared" si="92"/>
        <v/>
      </c>
      <c r="EU25" s="1061" t="str">
        <f t="shared" si="93"/>
        <v/>
      </c>
      <c r="EV25" s="1055" t="str">
        <f t="shared" si="94"/>
        <v/>
      </c>
      <c r="EW25" s="1061"/>
      <c r="EX25" s="1061" t="str">
        <f>IF(AND(CU25="G", ISBLANK(BK25), ISBLANK(BL25)),VLOOKUP(MIN(BH25:BI25),TblJoistSize!$M$3:$N$10,2),IF(OR(CU25="B",CU25="G"),MIN(BK25:BL25),""))</f>
        <v/>
      </c>
      <c r="EY25" s="1061" t="str">
        <f>IF(AND(CU25="G", ISBLANK(BK25), ISBLANK(BL25)),VLOOKUP(MAX(BH25:BI25),TblJoistSize!$M$3:$N$10,2),IF(OR(CU25="B",CU25="G"),MAX(BK25:BL25),""))</f>
        <v/>
      </c>
      <c r="EZ25" s="1061" t="str">
        <f t="shared" si="95"/>
        <v/>
      </c>
      <c r="FA25" s="1061" t="str">
        <f>IF(AND(DE25="G", ISBLANK(BS25), ISBLANK(BT25)),VLOOKUP(MIN(BP25:BQ25),TblJoistSize!$M$3:$N$10,2),IF(OR(DE25="B", DE25="G"),MIN(BS25:BT25),""))</f>
        <v/>
      </c>
      <c r="FB25" s="1061" t="str">
        <f>IF(AND(DE25="G", ISBLANK(BS25), ISBLANK(BT25)),VLOOKUP(MAX(BP25:BQ25),TblJoistSize!$M$3:$N$10,2),IF(OR(DE25="B", DE25="G"),MAX(BS25:BT25),""))</f>
        <v/>
      </c>
      <c r="FC25" s="1061" t="str">
        <f t="shared" si="96"/>
        <v/>
      </c>
      <c r="FD25" s="1052">
        <f t="shared" si="123"/>
        <v>0</v>
      </c>
      <c r="FE25" s="1052">
        <f t="shared" si="97"/>
        <v>0</v>
      </c>
      <c r="FF25" s="1052">
        <f t="shared" si="98"/>
        <v>0</v>
      </c>
      <c r="FG25" s="1052" t="str">
        <f t="shared" si="99"/>
        <v/>
      </c>
      <c r="FH25" s="1053" t="str">
        <f t="shared" si="100"/>
        <v/>
      </c>
      <c r="FI25" s="1052">
        <f t="shared" si="124"/>
        <v>0</v>
      </c>
      <c r="FJ25" s="1052">
        <f t="shared" si="101"/>
        <v>0</v>
      </c>
      <c r="FK25" s="1052">
        <f t="shared" si="102"/>
        <v>0</v>
      </c>
      <c r="FL25" s="1052" t="str">
        <f t="shared" si="103"/>
        <v/>
      </c>
      <c r="FM25" s="1053" t="str">
        <f t="shared" si="104"/>
        <v/>
      </c>
      <c r="FN25" s="1053" t="e">
        <f t="shared" si="105"/>
        <v>#VALUE!</v>
      </c>
      <c r="FO25" s="1062" t="e">
        <f t="shared" si="106"/>
        <v>#VALUE!</v>
      </c>
      <c r="FP25" s="1062" t="e">
        <f t="shared" si="107"/>
        <v>#VALUE!</v>
      </c>
      <c r="FQ25" s="1063" t="e">
        <f t="shared" si="108"/>
        <v>#VALUE!</v>
      </c>
      <c r="FR25" s="1064" t="e">
        <f t="shared" si="109"/>
        <v>#VALUE!</v>
      </c>
      <c r="FS25" s="1065" t="str">
        <f t="shared" si="110"/>
        <v/>
      </c>
      <c r="FT25" s="1066" t="str">
        <f t="shared" si="111"/>
        <v/>
      </c>
      <c r="FU25" s="1105">
        <f t="shared" si="112"/>
        <v>0</v>
      </c>
      <c r="FV25" s="1106">
        <f t="shared" si="113"/>
        <v>0</v>
      </c>
      <c r="GA25" s="1975" t="str">
        <f t="shared" si="114"/>
        <v/>
      </c>
      <c r="GB25" s="1976" t="str">
        <f t="shared" si="115"/>
        <v/>
      </c>
      <c r="GC25" s="1977" t="str">
        <f t="shared" si="116"/>
        <v/>
      </c>
      <c r="GD25" s="1978" t="str">
        <f t="shared" si="117"/>
        <v/>
      </c>
      <c r="GE25" s="1979" t="str">
        <f t="shared" si="118"/>
        <v/>
      </c>
      <c r="GF25" s="1980" t="str">
        <f t="shared" si="119"/>
        <v/>
      </c>
      <c r="GG25" s="1453"/>
      <c r="GH25" s="1454"/>
      <c r="GI25" s="1453"/>
      <c r="GJ25" s="1454"/>
      <c r="GK25" s="533">
        <f t="shared" si="120"/>
        <v>0</v>
      </c>
      <c r="GL25" s="534" t="e">
        <f t="shared" si="121"/>
        <v>#VALUE!</v>
      </c>
      <c r="GM25" s="535" t="e">
        <f>IF(ABS(GK25-GL25)&gt;='Job Info.'!$L$22,ABS(GK25-GL25),0)</f>
        <v>#VALUE!</v>
      </c>
      <c r="HA25" s="1658"/>
      <c r="HB25" s="1659"/>
      <c r="HC25" s="1659"/>
      <c r="HD25" s="1660"/>
      <c r="HE25" s="1661"/>
      <c r="HF25" s="1659"/>
      <c r="HG25" s="1659"/>
      <c r="HH25" s="1659"/>
      <c r="HI25" s="1662"/>
      <c r="HJ25" s="1659"/>
      <c r="HK25" s="1659"/>
      <c r="HL25" s="1659"/>
      <c r="HM25" s="1659"/>
      <c r="HN25" s="1659"/>
      <c r="HO25" s="1659"/>
      <c r="HP25" s="1659"/>
      <c r="HQ25" s="1662"/>
      <c r="HR25" s="1659"/>
      <c r="HS25" s="1659"/>
      <c r="HT25" s="1659"/>
      <c r="HU25" s="1659"/>
      <c r="HV25" s="1659"/>
      <c r="HW25" s="1661"/>
      <c r="HX25" s="1661"/>
      <c r="HY25" s="1661"/>
      <c r="HZ25" s="1661"/>
      <c r="IA25" s="1661"/>
      <c r="IB25" s="1661"/>
      <c r="IC25" s="1661"/>
      <c r="ID25" s="1661"/>
      <c r="IE25" s="1661"/>
      <c r="IF25" s="1663"/>
    </row>
    <row r="26" spans="1:240" ht="12.6" customHeight="1" x14ac:dyDescent="0.25">
      <c r="A26" s="1471" t="str">
        <f t="shared" si="1"/>
        <v/>
      </c>
      <c r="B26" s="1473" t="str">
        <f t="shared" si="2"/>
        <v/>
      </c>
      <c r="C26" s="1473" t="str">
        <f t="shared" si="3"/>
        <v/>
      </c>
      <c r="D26" s="1909" t="str">
        <f t="shared" si="4"/>
        <v/>
      </c>
      <c r="E26" s="1982" t="str">
        <f t="shared" si="5"/>
        <v/>
      </c>
      <c r="F26" s="1920" t="str">
        <f t="shared" si="6"/>
        <v/>
      </c>
      <c r="G26" s="1910" t="str">
        <f t="shared" si="7"/>
        <v/>
      </c>
      <c r="H26" s="1965" t="str">
        <f t="shared" si="8"/>
        <v/>
      </c>
      <c r="I26" s="1909" t="str">
        <f t="shared" si="9"/>
        <v/>
      </c>
      <c r="J26" s="1910" t="str">
        <f t="shared" si="10"/>
        <v/>
      </c>
      <c r="K26" s="1983" t="str">
        <f t="shared" si="11"/>
        <v/>
      </c>
      <c r="L26" s="1915" t="str">
        <f t="shared" si="12"/>
        <v/>
      </c>
      <c r="M26" s="1961" t="str">
        <f t="shared" si="13"/>
        <v/>
      </c>
      <c r="N26" s="1917" t="str">
        <f t="shared" si="14"/>
        <v/>
      </c>
      <c r="O26" s="1910" t="str">
        <f t="shared" si="15"/>
        <v/>
      </c>
      <c r="P26" s="1908" t="str">
        <f t="shared" si="16"/>
        <v/>
      </c>
      <c r="Q26" s="1909" t="str">
        <f t="shared" si="17"/>
        <v/>
      </c>
      <c r="R26" s="1910" t="str">
        <f t="shared" si="18"/>
        <v/>
      </c>
      <c r="S26" s="1984" t="str">
        <f t="shared" si="19"/>
        <v/>
      </c>
      <c r="T26" s="1920" t="str">
        <f t="shared" si="20"/>
        <v/>
      </c>
      <c r="U26" s="1910" t="str">
        <f t="shared" si="21"/>
        <v/>
      </c>
      <c r="V26" s="1909" t="str">
        <f t="shared" si="22"/>
        <v/>
      </c>
      <c r="W26" s="1910" t="str">
        <f t="shared" si="23"/>
        <v/>
      </c>
      <c r="X26" s="1961">
        <f t="shared" si="24"/>
        <v>0</v>
      </c>
      <c r="Y26" s="1967" t="str">
        <f t="shared" si="25"/>
        <v/>
      </c>
      <c r="Z26" s="1968" t="str">
        <f t="shared" si="26"/>
        <v/>
      </c>
      <c r="AA26" s="1981"/>
      <c r="AC26" s="1226" t="b">
        <v>0</v>
      </c>
      <c r="AD26" s="525">
        <f t="shared" si="27"/>
        <v>0</v>
      </c>
      <c r="AE26" s="526">
        <f t="shared" si="28"/>
        <v>0</v>
      </c>
      <c r="AF26" s="526">
        <f t="shared" si="29"/>
        <v>0</v>
      </c>
      <c r="AG26" s="526">
        <f t="shared" si="30"/>
        <v>0</v>
      </c>
      <c r="AH26" s="527">
        <f t="shared" si="31"/>
        <v>0</v>
      </c>
      <c r="AI26" s="528" t="b">
        <v>0</v>
      </c>
      <c r="AJ26" s="284">
        <f t="shared" si="32"/>
        <v>0</v>
      </c>
      <c r="AK26" s="1063" t="str">
        <f t="shared" si="33"/>
        <v/>
      </c>
      <c r="AL26" s="1202" t="str">
        <f t="shared" si="34"/>
        <v/>
      </c>
      <c r="AM26" s="1063" t="str">
        <f t="shared" si="35"/>
        <v/>
      </c>
      <c r="AN26" s="1063" t="str">
        <f t="shared" si="36"/>
        <v/>
      </c>
      <c r="AO26" s="1063" t="str">
        <f t="shared" si="37"/>
        <v/>
      </c>
      <c r="AP26" s="1063" t="b">
        <f>IF(ISERROR(AJ26),FALSE,IF(OR(AJ26=0,ISERROR(AL26),ISERROR(AM26),ISERROR(AN26),ISERROR(AO26)),FALSE,IF(AL26&lt;&gt;"",IF(ISERROR(VLOOKUP(SUBSTITUTE(SUBSTITUTE(C26,"R",""),"A",""),TblJoistSize!$A:$A,1,FALSE)),FALSE,TRUE),TRUE)))</f>
        <v>0</v>
      </c>
      <c r="AQ26" s="1305" t="e">
        <f t="shared" si="38"/>
        <v>#N/A</v>
      </c>
      <c r="AR26" s="1305" t="b">
        <f t="shared" si="39"/>
        <v>0</v>
      </c>
      <c r="AS26" s="1305" t="e">
        <f t="shared" si="40"/>
        <v>#N/A</v>
      </c>
      <c r="AT26" s="1305" t="b">
        <f t="shared" si="41"/>
        <v>0</v>
      </c>
      <c r="AU26" s="1203" t="str">
        <f t="shared" si="42"/>
        <v/>
      </c>
      <c r="AV26" s="1063" t="str">
        <f t="shared" si="43"/>
        <v/>
      </c>
      <c r="AW26" s="1063" t="str">
        <f t="shared" si="44"/>
        <v/>
      </c>
      <c r="AX26" s="1063" t="str">
        <f t="shared" si="122"/>
        <v/>
      </c>
      <c r="AY26" s="1306" t="b">
        <f t="shared" si="45"/>
        <v>0</v>
      </c>
      <c r="AZ26" s="1090" t="str">
        <f t="shared" si="46"/>
        <v/>
      </c>
      <c r="BA26" s="674"/>
      <c r="BB26" s="842"/>
      <c r="BC26" s="894"/>
      <c r="BD26" s="926"/>
      <c r="BE26" s="927"/>
      <c r="BF26" s="928"/>
      <c r="BG26" s="901"/>
      <c r="BH26" s="1244"/>
      <c r="BI26" s="1245"/>
      <c r="BJ26" s="929"/>
      <c r="BK26" s="902"/>
      <c r="BL26" s="903"/>
      <c r="BM26" s="904"/>
      <c r="BN26" s="905"/>
      <c r="BO26" s="901"/>
      <c r="BP26" s="902"/>
      <c r="BQ26" s="903"/>
      <c r="BR26" s="929"/>
      <c r="BS26" s="902"/>
      <c r="BT26" s="903"/>
      <c r="BU26" s="904"/>
      <c r="BV26" s="905"/>
      <c r="BW26" s="906"/>
      <c r="BX26" s="930"/>
      <c r="BY26" s="931"/>
      <c r="BZ26" s="932"/>
      <c r="CA26" s="933"/>
      <c r="CB26" s="932"/>
      <c r="CC26" s="933"/>
      <c r="CD26" s="934" t="str">
        <f t="shared" si="47"/>
        <v/>
      </c>
      <c r="CE26" s="935" t="str">
        <f t="shared" si="48"/>
        <v/>
      </c>
      <c r="CF26" s="1149"/>
      <c r="CG26" s="1150"/>
      <c r="CH26" s="738" t="str">
        <f t="shared" si="49"/>
        <v/>
      </c>
      <c r="CI26" s="739" t="str">
        <f t="shared" si="50"/>
        <v/>
      </c>
      <c r="CJ26" s="740" t="str">
        <f t="shared" si="51"/>
        <v/>
      </c>
      <c r="CK26" s="741" t="str">
        <f t="shared" si="52"/>
        <v/>
      </c>
      <c r="CL26" s="742" t="str">
        <f t="shared" si="53"/>
        <v/>
      </c>
      <c r="CM26" s="743" t="str">
        <f t="shared" si="54"/>
        <v/>
      </c>
      <c r="CN26" s="744" t="str">
        <f t="shared" si="55"/>
        <v/>
      </c>
      <c r="CO26" s="745" t="str">
        <f t="shared" si="56"/>
        <v/>
      </c>
      <c r="CP26" s="762" t="str">
        <f t="shared" si="57"/>
        <v/>
      </c>
      <c r="CQ26" s="763" t="str">
        <f t="shared" si="58"/>
        <v/>
      </c>
      <c r="CR26" s="953" t="str">
        <f t="shared" si="59"/>
        <v/>
      </c>
      <c r="CS26" s="954" t="str">
        <f t="shared" si="60"/>
        <v/>
      </c>
      <c r="CU26" s="1048" t="str">
        <f>IF(BG26="","",VLOOKUP(BG26,SectInfo!$B:$N,12,FALSE))</f>
        <v/>
      </c>
      <c r="CV26" s="1046" t="str">
        <f>IF(BG26="","",IF(ISBLANK(BZ26),VLOOKUP(BG26,SectInfo!$B:$N,13,FALSE),BZ26))</f>
        <v/>
      </c>
      <c r="CW26" s="1046" t="str">
        <f>IF(BG26="","",IF(VLOOKUP(BG26,SectInfo!$B:$N,5,FALSE)="","R",UPPER(VLOOKUP(BG26,SectInfo!$B:$N,5,FALSE))))</f>
        <v/>
      </c>
      <c r="CX26" s="1046" t="str">
        <f>IF(BG26="","",IF(ISBLANK(CF26),VLOOKUP(BG26,SectInfo!$B:$N,6,FALSE),CF26))</f>
        <v/>
      </c>
      <c r="CY26" s="1276" t="str">
        <f>IF(BG26="","",IF(VLOOKUP(BG26,SectInfo!$B:$N,10,FALSE)="","",(VLOOKUP(BG26,SectInfo!$B:$N,10,FALSE)*-1)))</f>
        <v/>
      </c>
      <c r="CZ26" s="1443" t="str">
        <f>IF(BG26="","",IF(VLOOKUP(BG26,SectInfo!$B:$N,11,FALSE)="","2",(VLOOKUP(BG26,SectInfo!$B:$N,11,FALSE))))</f>
        <v/>
      </c>
      <c r="DA26" s="1046" t="str">
        <f>IF(BG26="","",IF(VLOOKUP(BG26,SectInfo!$B:$N,7,FALSE)="","",(VLOOKUP(BG26,SectInfo!$B:$N,7,FALSE)*-1)))</f>
        <v/>
      </c>
      <c r="DB26" s="1046" t="str">
        <f>IF(BG26="","",IF(VLOOKUP(BG26,SectInfo!$B:$N,8,FALSE)="",VLOOKUP(AU26,$DF$2:$DN$9,6,FALSE),(VLOOKUP(BG26,SectInfo!$B:$N,8,FALSE))))</f>
        <v/>
      </c>
      <c r="DC26" s="1046" t="str">
        <f>IF(BG26="","",VLOOKUP(BG26,SectInfo!$B:$N,9,FALSE))</f>
        <v/>
      </c>
      <c r="DD26" s="1047">
        <f t="shared" si="61"/>
        <v>0</v>
      </c>
      <c r="DE26" s="1048" t="str">
        <f>IF(BO26="","",VLOOKUP(BO26,SectInfo!$B:$N,12,FALSE))</f>
        <v/>
      </c>
      <c r="DF26" s="1046" t="str">
        <f>IF(BO26="","",IF(ISBLANK(CA26),VLOOKUP(BO26,SectInfo!$B:$N,13,FALSE),CA26))</f>
        <v/>
      </c>
      <c r="DG26" s="1046" t="str">
        <f>IF(BO26="","",IF(VLOOKUP(BO26,SectInfo!$B:$N,5,FALSE)="","R",UPPER(VLOOKUP(BO26,SectInfo!$B:$N,5,FALSE))))</f>
        <v/>
      </c>
      <c r="DH26" s="1046" t="str">
        <f>IF(BO26="","",IF(ISBLANK(CG26),VLOOKUP(BO26,SectInfo!$B:$N,6,FALSE),CG26))</f>
        <v/>
      </c>
      <c r="DI26" s="1046" t="str">
        <f>IF(BO26="","",IF(VLOOKUP(BO26,SectInfo!$B:$N,10,FALSE)="","",(VLOOKUP(BO26,SectInfo!$B:$N,10,FALSE)*-1)))</f>
        <v/>
      </c>
      <c r="DJ26" s="1443" t="str">
        <f>IF(BO26="","",IF(VLOOKUP(BO26,SectInfo!$B:$N,11,FALSE)="","2",(VLOOKUP(BO26,SectInfo!$B:$N,11,FALSE))))</f>
        <v/>
      </c>
      <c r="DK26" s="1046" t="str">
        <f>IF(BO26="","",IF(VLOOKUP(BO26,SectInfo!$B:$N,7,FALSE)="","",(VLOOKUP(BO26,SectInfo!$B:$N,7,FALSE)*-1)))</f>
        <v/>
      </c>
      <c r="DL26" s="1046" t="str">
        <f>IF(BO26="","",IF(VLOOKUP(BO26,SectInfo!$B:$N,8,FALSE)="",VLOOKUP(AU26,$DF$2:$DN$9,6,FALSE),(VLOOKUP(BO26,SectInfo!$B:$N,8,FALSE))))</f>
        <v/>
      </c>
      <c r="DM26" s="1046" t="str">
        <f>IF(BO26="","",VLOOKUP(BO26,SectInfo!$B:$N,9,FALSE))</f>
        <v/>
      </c>
      <c r="DN26" s="1047">
        <f t="shared" si="62"/>
        <v>0</v>
      </c>
      <c r="DO26" s="1049">
        <f t="shared" si="63"/>
        <v>0</v>
      </c>
      <c r="DP26" s="1053" t="str">
        <f t="shared" si="64"/>
        <v/>
      </c>
      <c r="DQ26" s="1053" t="str">
        <f t="shared" si="65"/>
        <v/>
      </c>
      <c r="DR26" s="1053" t="str">
        <f t="shared" si="66"/>
        <v/>
      </c>
      <c r="DS26" s="1052">
        <f t="shared" si="67"/>
        <v>0</v>
      </c>
      <c r="DT26" s="1052">
        <f t="shared" si="68"/>
        <v>0</v>
      </c>
      <c r="DU26" s="1052" t="str">
        <f t="shared" si="69"/>
        <v/>
      </c>
      <c r="DV26" s="1053" t="str">
        <f t="shared" si="70"/>
        <v/>
      </c>
      <c r="DW26" s="1053" t="str">
        <f t="shared" si="71"/>
        <v/>
      </c>
      <c r="DX26" s="1269">
        <f t="shared" si="72"/>
        <v>0</v>
      </c>
      <c r="DY26" s="1053">
        <f t="shared" si="73"/>
        <v>0</v>
      </c>
      <c r="DZ26" s="1052">
        <f t="shared" si="74"/>
        <v>0</v>
      </c>
      <c r="EA26" s="1052" t="str">
        <f t="shared" si="75"/>
        <v/>
      </c>
      <c r="EB26" s="1053" t="str">
        <f t="shared" si="76"/>
        <v/>
      </c>
      <c r="EC26" s="1053" t="str">
        <f t="shared" si="77"/>
        <v/>
      </c>
      <c r="ED26" s="1269">
        <f t="shared" si="78"/>
        <v>0</v>
      </c>
      <c r="EE26" s="1090" t="str">
        <f t="shared" si="79"/>
        <v/>
      </c>
      <c r="EF26" s="1053" t="str">
        <f t="shared" si="80"/>
        <v/>
      </c>
      <c r="EG26" s="1053" t="str">
        <f t="shared" si="81"/>
        <v/>
      </c>
      <c r="EH26" s="1053" t="e">
        <f t="shared" si="82"/>
        <v>#N/A</v>
      </c>
      <c r="EI26" s="1053" t="e">
        <f t="shared" si="83"/>
        <v>#N/A</v>
      </c>
      <c r="EJ26" s="1053" t="str">
        <f t="shared" si="84"/>
        <v/>
      </c>
      <c r="EK26" s="1053" t="str">
        <f t="shared" si="84"/>
        <v/>
      </c>
      <c r="EL26" s="1090" t="str">
        <f t="shared" si="85"/>
        <v/>
      </c>
      <c r="EM26" s="1053" t="str">
        <f t="shared" si="86"/>
        <v/>
      </c>
      <c r="EN26" s="1053" t="str">
        <f t="shared" si="87"/>
        <v/>
      </c>
      <c r="EO26" s="1053" t="e">
        <f t="shared" si="88"/>
        <v>#N/A</v>
      </c>
      <c r="EP26" s="1053" t="e">
        <f t="shared" si="89"/>
        <v>#N/A</v>
      </c>
      <c r="EQ26" s="1053" t="str">
        <f t="shared" si="90"/>
        <v/>
      </c>
      <c r="ER26" s="1053" t="str">
        <f t="shared" si="90"/>
        <v/>
      </c>
      <c r="ES26" s="1053" t="str">
        <f t="shared" si="91"/>
        <v/>
      </c>
      <c r="ET26" s="1053" t="str">
        <f t="shared" si="92"/>
        <v/>
      </c>
      <c r="EU26" s="1061" t="str">
        <f t="shared" si="93"/>
        <v/>
      </c>
      <c r="EV26" s="1055" t="str">
        <f t="shared" si="94"/>
        <v/>
      </c>
      <c r="EW26" s="1061"/>
      <c r="EX26" s="1061" t="str">
        <f>IF(AND(CU26="G", ISBLANK(BK26), ISBLANK(BL26)),VLOOKUP(MIN(BH26:BI26),TblJoistSize!$M$3:$N$10,2),IF(OR(CU26="B",CU26="G"),MIN(BK26:BL26),""))</f>
        <v/>
      </c>
      <c r="EY26" s="1061" t="str">
        <f>IF(AND(CU26="G", ISBLANK(BK26), ISBLANK(BL26)),VLOOKUP(MAX(BH26:BI26),TblJoistSize!$M$3:$N$10,2),IF(OR(CU26="B",CU26="G"),MAX(BK26:BL26),""))</f>
        <v/>
      </c>
      <c r="EZ26" s="1061" t="str">
        <f t="shared" si="95"/>
        <v/>
      </c>
      <c r="FA26" s="1061" t="str">
        <f>IF(AND(DE26="G", ISBLANK(BS26), ISBLANK(BT26)),VLOOKUP(MIN(BP26:BQ26),TblJoistSize!$M$3:$N$10,2),IF(OR(DE26="B", DE26="G"),MIN(BS26:BT26),""))</f>
        <v/>
      </c>
      <c r="FB26" s="1061" t="str">
        <f>IF(AND(DE26="G", ISBLANK(BS26), ISBLANK(BT26)),VLOOKUP(MAX(BP26:BQ26),TblJoistSize!$M$3:$N$10,2),IF(OR(DE26="B", DE26="G"),MAX(BS26:BT26),""))</f>
        <v/>
      </c>
      <c r="FC26" s="1061" t="str">
        <f t="shared" si="96"/>
        <v/>
      </c>
      <c r="FD26" s="1052">
        <f t="shared" si="123"/>
        <v>0</v>
      </c>
      <c r="FE26" s="1052">
        <f t="shared" si="97"/>
        <v>0</v>
      </c>
      <c r="FF26" s="1052">
        <f t="shared" si="98"/>
        <v>0</v>
      </c>
      <c r="FG26" s="1052" t="str">
        <f t="shared" si="99"/>
        <v/>
      </c>
      <c r="FH26" s="1053" t="str">
        <f t="shared" si="100"/>
        <v/>
      </c>
      <c r="FI26" s="1052">
        <f t="shared" si="124"/>
        <v>0</v>
      </c>
      <c r="FJ26" s="1052">
        <f t="shared" si="101"/>
        <v>0</v>
      </c>
      <c r="FK26" s="1052">
        <f t="shared" si="102"/>
        <v>0</v>
      </c>
      <c r="FL26" s="1052" t="str">
        <f t="shared" si="103"/>
        <v/>
      </c>
      <c r="FM26" s="1053" t="str">
        <f t="shared" si="104"/>
        <v/>
      </c>
      <c r="FN26" s="1053" t="e">
        <f t="shared" si="105"/>
        <v>#VALUE!</v>
      </c>
      <c r="FO26" s="1062" t="e">
        <f t="shared" si="106"/>
        <v>#VALUE!</v>
      </c>
      <c r="FP26" s="1062" t="e">
        <f t="shared" si="107"/>
        <v>#VALUE!</v>
      </c>
      <c r="FQ26" s="1063" t="e">
        <f t="shared" si="108"/>
        <v>#VALUE!</v>
      </c>
      <c r="FR26" s="1064" t="e">
        <f t="shared" si="109"/>
        <v>#VALUE!</v>
      </c>
      <c r="FS26" s="1065" t="str">
        <f t="shared" si="110"/>
        <v/>
      </c>
      <c r="FT26" s="1066" t="str">
        <f t="shared" si="111"/>
        <v/>
      </c>
      <c r="FU26" s="1105">
        <f t="shared" si="112"/>
        <v>0</v>
      </c>
      <c r="FV26" s="1106">
        <f t="shared" si="113"/>
        <v>0</v>
      </c>
      <c r="GA26" s="1975" t="str">
        <f t="shared" si="114"/>
        <v/>
      </c>
      <c r="GB26" s="1976" t="str">
        <f t="shared" si="115"/>
        <v/>
      </c>
      <c r="GC26" s="1977" t="str">
        <f t="shared" si="116"/>
        <v/>
      </c>
      <c r="GD26" s="1978" t="str">
        <f t="shared" si="117"/>
        <v/>
      </c>
      <c r="GE26" s="1979" t="str">
        <f t="shared" si="118"/>
        <v/>
      </c>
      <c r="GF26" s="1980" t="str">
        <f t="shared" si="119"/>
        <v/>
      </c>
      <c r="GG26" s="1453"/>
      <c r="GH26" s="1454"/>
      <c r="GI26" s="1453"/>
      <c r="GJ26" s="1454"/>
      <c r="GK26" s="533">
        <f t="shared" si="120"/>
        <v>0</v>
      </c>
      <c r="GL26" s="534" t="e">
        <f t="shared" si="121"/>
        <v>#VALUE!</v>
      </c>
      <c r="GM26" s="535" t="e">
        <f>IF(ABS(GK26-GL26)&gt;='Job Info.'!$L$22,ABS(GK26-GL26),0)</f>
        <v>#VALUE!</v>
      </c>
      <c r="HA26" s="1658"/>
      <c r="HB26" s="1659"/>
      <c r="HC26" s="1659"/>
      <c r="HD26" s="1660"/>
      <c r="HE26" s="1661"/>
      <c r="HF26" s="1659"/>
      <c r="HG26" s="1659"/>
      <c r="HH26" s="1659"/>
      <c r="HI26" s="1662"/>
      <c r="HJ26" s="1659"/>
      <c r="HK26" s="1659"/>
      <c r="HL26" s="1659"/>
      <c r="HM26" s="1659"/>
      <c r="HN26" s="1659"/>
      <c r="HO26" s="1659"/>
      <c r="HP26" s="1659"/>
      <c r="HQ26" s="1662"/>
      <c r="HR26" s="1659"/>
      <c r="HS26" s="1659"/>
      <c r="HT26" s="1659"/>
      <c r="HU26" s="1659"/>
      <c r="HV26" s="1659"/>
      <c r="HW26" s="1661"/>
      <c r="HX26" s="1661"/>
      <c r="HY26" s="1661"/>
      <c r="HZ26" s="1661"/>
      <c r="IA26" s="1661"/>
      <c r="IB26" s="1661"/>
      <c r="IC26" s="1661"/>
      <c r="ID26" s="1661"/>
      <c r="IE26" s="1661"/>
      <c r="IF26" s="1663"/>
    </row>
    <row r="27" spans="1:240" ht="12.6" customHeight="1" x14ac:dyDescent="0.25">
      <c r="A27" s="1471" t="str">
        <f t="shared" si="1"/>
        <v/>
      </c>
      <c r="B27" s="1473" t="str">
        <f t="shared" si="2"/>
        <v/>
      </c>
      <c r="C27" s="1473" t="str">
        <f t="shared" si="3"/>
        <v/>
      </c>
      <c r="D27" s="1909" t="str">
        <f t="shared" si="4"/>
        <v/>
      </c>
      <c r="E27" s="1982" t="str">
        <f t="shared" si="5"/>
        <v/>
      </c>
      <c r="F27" s="1920" t="str">
        <f t="shared" si="6"/>
        <v/>
      </c>
      <c r="G27" s="1910" t="str">
        <f t="shared" si="7"/>
        <v/>
      </c>
      <c r="H27" s="1965" t="str">
        <f t="shared" si="8"/>
        <v/>
      </c>
      <c r="I27" s="1909" t="str">
        <f t="shared" si="9"/>
        <v/>
      </c>
      <c r="J27" s="1910" t="str">
        <f t="shared" si="10"/>
        <v/>
      </c>
      <c r="K27" s="1983" t="str">
        <f t="shared" si="11"/>
        <v/>
      </c>
      <c r="L27" s="1915" t="str">
        <f t="shared" si="12"/>
        <v/>
      </c>
      <c r="M27" s="1961" t="str">
        <f t="shared" si="13"/>
        <v/>
      </c>
      <c r="N27" s="1917" t="str">
        <f t="shared" si="14"/>
        <v/>
      </c>
      <c r="O27" s="1910" t="str">
        <f t="shared" si="15"/>
        <v/>
      </c>
      <c r="P27" s="1908" t="str">
        <f t="shared" si="16"/>
        <v/>
      </c>
      <c r="Q27" s="1909" t="str">
        <f t="shared" si="17"/>
        <v/>
      </c>
      <c r="R27" s="1910" t="str">
        <f t="shared" si="18"/>
        <v/>
      </c>
      <c r="S27" s="1984" t="str">
        <f t="shared" si="19"/>
        <v/>
      </c>
      <c r="T27" s="1920" t="str">
        <f t="shared" si="20"/>
        <v/>
      </c>
      <c r="U27" s="1910" t="str">
        <f t="shared" si="21"/>
        <v/>
      </c>
      <c r="V27" s="1909" t="str">
        <f t="shared" si="22"/>
        <v/>
      </c>
      <c r="W27" s="1910" t="str">
        <f t="shared" si="23"/>
        <v/>
      </c>
      <c r="X27" s="1961">
        <f t="shared" si="24"/>
        <v>0</v>
      </c>
      <c r="Y27" s="1967" t="str">
        <f t="shared" si="25"/>
        <v/>
      </c>
      <c r="Z27" s="1968" t="str">
        <f t="shared" si="26"/>
        <v/>
      </c>
      <c r="AA27" s="1981"/>
      <c r="AC27" s="1226" t="b">
        <v>0</v>
      </c>
      <c r="AD27" s="525">
        <f t="shared" si="27"/>
        <v>0</v>
      </c>
      <c r="AE27" s="526">
        <f t="shared" si="28"/>
        <v>0</v>
      </c>
      <c r="AF27" s="526">
        <f t="shared" si="29"/>
        <v>0</v>
      </c>
      <c r="AG27" s="526">
        <f t="shared" si="30"/>
        <v>0</v>
      </c>
      <c r="AH27" s="527">
        <f t="shared" si="31"/>
        <v>0</v>
      </c>
      <c r="AI27" s="528" t="b">
        <v>0</v>
      </c>
      <c r="AJ27" s="284">
        <f t="shared" si="32"/>
        <v>0</v>
      </c>
      <c r="AK27" s="1063" t="str">
        <f t="shared" si="33"/>
        <v/>
      </c>
      <c r="AL27" s="1202" t="str">
        <f t="shared" si="34"/>
        <v/>
      </c>
      <c r="AM27" s="1063" t="str">
        <f t="shared" si="35"/>
        <v/>
      </c>
      <c r="AN27" s="1063" t="str">
        <f t="shared" si="36"/>
        <v/>
      </c>
      <c r="AO27" s="1063" t="str">
        <f t="shared" si="37"/>
        <v/>
      </c>
      <c r="AP27" s="1063" t="b">
        <f>IF(ISERROR(AJ27),FALSE,IF(OR(AJ27=0,ISERROR(AL27),ISERROR(AM27),ISERROR(AN27),ISERROR(AO27)),FALSE,IF(AL27&lt;&gt;"",IF(ISERROR(VLOOKUP(SUBSTITUTE(SUBSTITUTE(C27,"R",""),"A",""),TblJoistSize!$A:$A,1,FALSE)),FALSE,TRUE),TRUE)))</f>
        <v>0</v>
      </c>
      <c r="AQ27" s="1305" t="e">
        <f t="shared" si="38"/>
        <v>#N/A</v>
      </c>
      <c r="AR27" s="1305" t="b">
        <f t="shared" si="39"/>
        <v>0</v>
      </c>
      <c r="AS27" s="1305" t="e">
        <f t="shared" si="40"/>
        <v>#N/A</v>
      </c>
      <c r="AT27" s="1305" t="b">
        <f t="shared" si="41"/>
        <v>0</v>
      </c>
      <c r="AU27" s="1203" t="str">
        <f t="shared" si="42"/>
        <v/>
      </c>
      <c r="AV27" s="1063" t="str">
        <f t="shared" si="43"/>
        <v/>
      </c>
      <c r="AW27" s="1063" t="str">
        <f t="shared" si="44"/>
        <v/>
      </c>
      <c r="AX27" s="1063" t="str">
        <f t="shared" si="122"/>
        <v/>
      </c>
      <c r="AY27" s="1306" t="b">
        <f t="shared" si="45"/>
        <v>0</v>
      </c>
      <c r="AZ27" s="1090" t="str">
        <f t="shared" si="46"/>
        <v/>
      </c>
      <c r="BA27" s="674"/>
      <c r="BB27" s="842"/>
      <c r="BC27" s="894"/>
      <c r="BD27" s="926"/>
      <c r="BE27" s="927"/>
      <c r="BF27" s="928"/>
      <c r="BG27" s="901"/>
      <c r="BH27" s="1244"/>
      <c r="BI27" s="1245"/>
      <c r="BJ27" s="929"/>
      <c r="BK27" s="902"/>
      <c r="BL27" s="903"/>
      <c r="BM27" s="904"/>
      <c r="BN27" s="905"/>
      <c r="BO27" s="901"/>
      <c r="BP27" s="902"/>
      <c r="BQ27" s="903"/>
      <c r="BR27" s="929"/>
      <c r="BS27" s="902"/>
      <c r="BT27" s="903"/>
      <c r="BU27" s="904"/>
      <c r="BV27" s="905"/>
      <c r="BW27" s="906"/>
      <c r="BX27" s="930"/>
      <c r="BY27" s="931"/>
      <c r="BZ27" s="932"/>
      <c r="CA27" s="933"/>
      <c r="CB27" s="932"/>
      <c r="CC27" s="933"/>
      <c r="CD27" s="934" t="str">
        <f t="shared" si="47"/>
        <v/>
      </c>
      <c r="CE27" s="935" t="str">
        <f t="shared" si="48"/>
        <v/>
      </c>
      <c r="CF27" s="1149"/>
      <c r="CG27" s="1150"/>
      <c r="CH27" s="738" t="str">
        <f t="shared" si="49"/>
        <v/>
      </c>
      <c r="CI27" s="739" t="str">
        <f t="shared" si="50"/>
        <v/>
      </c>
      <c r="CJ27" s="740" t="str">
        <f t="shared" si="51"/>
        <v/>
      </c>
      <c r="CK27" s="741" t="str">
        <f t="shared" si="52"/>
        <v/>
      </c>
      <c r="CL27" s="742" t="str">
        <f t="shared" si="53"/>
        <v/>
      </c>
      <c r="CM27" s="743" t="str">
        <f t="shared" si="54"/>
        <v/>
      </c>
      <c r="CN27" s="744" t="str">
        <f t="shared" si="55"/>
        <v/>
      </c>
      <c r="CO27" s="745" t="str">
        <f t="shared" si="56"/>
        <v/>
      </c>
      <c r="CP27" s="762" t="str">
        <f t="shared" si="57"/>
        <v/>
      </c>
      <c r="CQ27" s="763" t="str">
        <f t="shared" si="58"/>
        <v/>
      </c>
      <c r="CR27" s="953" t="str">
        <f t="shared" si="59"/>
        <v/>
      </c>
      <c r="CS27" s="954" t="str">
        <f t="shared" si="60"/>
        <v/>
      </c>
      <c r="CU27" s="1048" t="str">
        <f>IF(BG27="","",VLOOKUP(BG27,SectInfo!$B:$N,12,FALSE))</f>
        <v/>
      </c>
      <c r="CV27" s="1046" t="str">
        <f>IF(BG27="","",IF(ISBLANK(BZ27),VLOOKUP(BG27,SectInfo!$B:$N,13,FALSE),BZ27))</f>
        <v/>
      </c>
      <c r="CW27" s="1046" t="str">
        <f>IF(BG27="","",IF(VLOOKUP(BG27,SectInfo!$B:$N,5,FALSE)="","R",UPPER(VLOOKUP(BG27,SectInfo!$B:$N,5,FALSE))))</f>
        <v/>
      </c>
      <c r="CX27" s="1046" t="str">
        <f>IF(BG27="","",IF(ISBLANK(CF27),VLOOKUP(BG27,SectInfo!$B:$N,6,FALSE),CF27))</f>
        <v/>
      </c>
      <c r="CY27" s="1276" t="str">
        <f>IF(BG27="","",IF(VLOOKUP(BG27,SectInfo!$B:$N,10,FALSE)="","",(VLOOKUP(BG27,SectInfo!$B:$N,10,FALSE)*-1)))</f>
        <v/>
      </c>
      <c r="CZ27" s="1443" t="str">
        <f>IF(BG27="","",IF(VLOOKUP(BG27,SectInfo!$B:$N,11,FALSE)="","2",(VLOOKUP(BG27,SectInfo!$B:$N,11,FALSE))))</f>
        <v/>
      </c>
      <c r="DA27" s="1046" t="str">
        <f>IF(BG27="","",IF(VLOOKUP(BG27,SectInfo!$B:$N,7,FALSE)="","",(VLOOKUP(BG27,SectInfo!$B:$N,7,FALSE)*-1)))</f>
        <v/>
      </c>
      <c r="DB27" s="1046" t="str">
        <f>IF(BG27="","",IF(VLOOKUP(BG27,SectInfo!$B:$N,8,FALSE)="",VLOOKUP(AU27,$DF$2:$DN$9,6,FALSE),(VLOOKUP(BG27,SectInfo!$B:$N,8,FALSE))))</f>
        <v/>
      </c>
      <c r="DC27" s="1046" t="str">
        <f>IF(BG27="","",VLOOKUP(BG27,SectInfo!$B:$N,9,FALSE))</f>
        <v/>
      </c>
      <c r="DD27" s="1047">
        <f t="shared" si="61"/>
        <v>0</v>
      </c>
      <c r="DE27" s="1048" t="str">
        <f>IF(BO27="","",VLOOKUP(BO27,SectInfo!$B:$N,12,FALSE))</f>
        <v/>
      </c>
      <c r="DF27" s="1046" t="str">
        <f>IF(BO27="","",IF(ISBLANK(CA27),VLOOKUP(BO27,SectInfo!$B:$N,13,FALSE),CA27))</f>
        <v/>
      </c>
      <c r="DG27" s="1046" t="str">
        <f>IF(BO27="","",IF(VLOOKUP(BO27,SectInfo!$B:$N,5,FALSE)="","R",UPPER(VLOOKUP(BO27,SectInfo!$B:$N,5,FALSE))))</f>
        <v/>
      </c>
      <c r="DH27" s="1046" t="str">
        <f>IF(BO27="","",IF(ISBLANK(CG27),VLOOKUP(BO27,SectInfo!$B:$N,6,FALSE),CG27))</f>
        <v/>
      </c>
      <c r="DI27" s="1046" t="str">
        <f>IF(BO27="","",IF(VLOOKUP(BO27,SectInfo!$B:$N,10,FALSE)="","",(VLOOKUP(BO27,SectInfo!$B:$N,10,FALSE)*-1)))</f>
        <v/>
      </c>
      <c r="DJ27" s="1443" t="str">
        <f>IF(BO27="","",IF(VLOOKUP(BO27,SectInfo!$B:$N,11,FALSE)="","2",(VLOOKUP(BO27,SectInfo!$B:$N,11,FALSE))))</f>
        <v/>
      </c>
      <c r="DK27" s="1046" t="str">
        <f>IF(BO27="","",IF(VLOOKUP(BO27,SectInfo!$B:$N,7,FALSE)="","",(VLOOKUP(BO27,SectInfo!$B:$N,7,FALSE)*-1)))</f>
        <v/>
      </c>
      <c r="DL27" s="1046" t="str">
        <f>IF(BO27="","",IF(VLOOKUP(BO27,SectInfo!$B:$N,8,FALSE)="",VLOOKUP(AU27,$DF$2:$DN$9,6,FALSE),(VLOOKUP(BO27,SectInfo!$B:$N,8,FALSE))))</f>
        <v/>
      </c>
      <c r="DM27" s="1046" t="str">
        <f>IF(BO27="","",VLOOKUP(BO27,SectInfo!$B:$N,9,FALSE))</f>
        <v/>
      </c>
      <c r="DN27" s="1047">
        <f t="shared" si="62"/>
        <v>0</v>
      </c>
      <c r="DO27" s="1049">
        <f t="shared" si="63"/>
        <v>0</v>
      </c>
      <c r="DP27" s="1053" t="str">
        <f t="shared" si="64"/>
        <v/>
      </c>
      <c r="DQ27" s="1053" t="str">
        <f t="shared" si="65"/>
        <v/>
      </c>
      <c r="DR27" s="1053" t="str">
        <f t="shared" si="66"/>
        <v/>
      </c>
      <c r="DS27" s="1052">
        <f t="shared" si="67"/>
        <v>0</v>
      </c>
      <c r="DT27" s="1052">
        <f t="shared" si="68"/>
        <v>0</v>
      </c>
      <c r="DU27" s="1052" t="str">
        <f t="shared" si="69"/>
        <v/>
      </c>
      <c r="DV27" s="1053" t="str">
        <f t="shared" si="70"/>
        <v/>
      </c>
      <c r="DW27" s="1053" t="str">
        <f t="shared" si="71"/>
        <v/>
      </c>
      <c r="DX27" s="1269">
        <f t="shared" si="72"/>
        <v>0</v>
      </c>
      <c r="DY27" s="1053">
        <f t="shared" si="73"/>
        <v>0</v>
      </c>
      <c r="DZ27" s="1052">
        <f t="shared" si="74"/>
        <v>0</v>
      </c>
      <c r="EA27" s="1052" t="str">
        <f t="shared" si="75"/>
        <v/>
      </c>
      <c r="EB27" s="1053" t="str">
        <f t="shared" si="76"/>
        <v/>
      </c>
      <c r="EC27" s="1053" t="str">
        <f t="shared" si="77"/>
        <v/>
      </c>
      <c r="ED27" s="1269">
        <f t="shared" si="78"/>
        <v>0</v>
      </c>
      <c r="EE27" s="1090" t="str">
        <f t="shared" si="79"/>
        <v/>
      </c>
      <c r="EF27" s="1053" t="str">
        <f t="shared" si="80"/>
        <v/>
      </c>
      <c r="EG27" s="1053" t="str">
        <f t="shared" si="81"/>
        <v/>
      </c>
      <c r="EH27" s="1053" t="e">
        <f t="shared" si="82"/>
        <v>#N/A</v>
      </c>
      <c r="EI27" s="1053" t="e">
        <f t="shared" si="83"/>
        <v>#N/A</v>
      </c>
      <c r="EJ27" s="1053" t="str">
        <f t="shared" si="84"/>
        <v/>
      </c>
      <c r="EK27" s="1053" t="str">
        <f t="shared" si="84"/>
        <v/>
      </c>
      <c r="EL27" s="1090" t="str">
        <f t="shared" si="85"/>
        <v/>
      </c>
      <c r="EM27" s="1053" t="str">
        <f t="shared" si="86"/>
        <v/>
      </c>
      <c r="EN27" s="1053" t="str">
        <f t="shared" si="87"/>
        <v/>
      </c>
      <c r="EO27" s="1053" t="e">
        <f t="shared" si="88"/>
        <v>#N/A</v>
      </c>
      <c r="EP27" s="1053" t="e">
        <f t="shared" si="89"/>
        <v>#N/A</v>
      </c>
      <c r="EQ27" s="1053" t="str">
        <f t="shared" si="90"/>
        <v/>
      </c>
      <c r="ER27" s="1053" t="str">
        <f t="shared" si="90"/>
        <v/>
      </c>
      <c r="ES27" s="1053" t="str">
        <f t="shared" si="91"/>
        <v/>
      </c>
      <c r="ET27" s="1053" t="str">
        <f t="shared" si="92"/>
        <v/>
      </c>
      <c r="EU27" s="1061" t="str">
        <f t="shared" si="93"/>
        <v/>
      </c>
      <c r="EV27" s="1055" t="str">
        <f t="shared" si="94"/>
        <v/>
      </c>
      <c r="EW27" s="1061"/>
      <c r="EX27" s="1061" t="str">
        <f>IF(AND(CU27="G", ISBLANK(BK27), ISBLANK(BL27)),VLOOKUP(MIN(BH27:BI27),TblJoistSize!$M$3:$N$10,2),IF(OR(CU27="B",CU27="G"),MIN(BK27:BL27),""))</f>
        <v/>
      </c>
      <c r="EY27" s="1061" t="str">
        <f>IF(AND(CU27="G", ISBLANK(BK27), ISBLANK(BL27)),VLOOKUP(MAX(BH27:BI27),TblJoistSize!$M$3:$N$10,2),IF(OR(CU27="B",CU27="G"),MAX(BK27:BL27),""))</f>
        <v/>
      </c>
      <c r="EZ27" s="1061" t="str">
        <f t="shared" si="95"/>
        <v/>
      </c>
      <c r="FA27" s="1061" t="str">
        <f>IF(AND(DE27="G", ISBLANK(BS27), ISBLANK(BT27)),VLOOKUP(MIN(BP27:BQ27),TblJoistSize!$M$3:$N$10,2),IF(OR(DE27="B", DE27="G"),MIN(BS27:BT27),""))</f>
        <v/>
      </c>
      <c r="FB27" s="1061" t="str">
        <f>IF(AND(DE27="G", ISBLANK(BS27), ISBLANK(BT27)),VLOOKUP(MAX(BP27:BQ27),TblJoistSize!$M$3:$N$10,2),IF(OR(DE27="B", DE27="G"),MAX(BS27:BT27),""))</f>
        <v/>
      </c>
      <c r="FC27" s="1061" t="str">
        <f t="shared" si="96"/>
        <v/>
      </c>
      <c r="FD27" s="1052">
        <f t="shared" si="123"/>
        <v>0</v>
      </c>
      <c r="FE27" s="1052">
        <f t="shared" si="97"/>
        <v>0</v>
      </c>
      <c r="FF27" s="1052">
        <f t="shared" si="98"/>
        <v>0</v>
      </c>
      <c r="FG27" s="1052" t="str">
        <f t="shared" si="99"/>
        <v/>
      </c>
      <c r="FH27" s="1053" t="str">
        <f t="shared" si="100"/>
        <v/>
      </c>
      <c r="FI27" s="1052">
        <f t="shared" si="124"/>
        <v>0</v>
      </c>
      <c r="FJ27" s="1052">
        <f t="shared" si="101"/>
        <v>0</v>
      </c>
      <c r="FK27" s="1052">
        <f t="shared" si="102"/>
        <v>0</v>
      </c>
      <c r="FL27" s="1052" t="str">
        <f t="shared" si="103"/>
        <v/>
      </c>
      <c r="FM27" s="1053" t="str">
        <f t="shared" si="104"/>
        <v/>
      </c>
      <c r="FN27" s="1053" t="e">
        <f t="shared" si="105"/>
        <v>#VALUE!</v>
      </c>
      <c r="FO27" s="1062" t="e">
        <f t="shared" si="106"/>
        <v>#VALUE!</v>
      </c>
      <c r="FP27" s="1062" t="e">
        <f t="shared" si="107"/>
        <v>#VALUE!</v>
      </c>
      <c r="FQ27" s="1063" t="e">
        <f t="shared" si="108"/>
        <v>#VALUE!</v>
      </c>
      <c r="FR27" s="1064" t="e">
        <f t="shared" si="109"/>
        <v>#VALUE!</v>
      </c>
      <c r="FS27" s="1065" t="str">
        <f t="shared" si="110"/>
        <v/>
      </c>
      <c r="FT27" s="1066" t="str">
        <f t="shared" si="111"/>
        <v/>
      </c>
      <c r="FU27" s="1105">
        <f t="shared" si="112"/>
        <v>0</v>
      </c>
      <c r="FV27" s="1106">
        <f t="shared" si="113"/>
        <v>0</v>
      </c>
      <c r="GA27" s="1975" t="str">
        <f t="shared" si="114"/>
        <v/>
      </c>
      <c r="GB27" s="1976" t="str">
        <f t="shared" si="115"/>
        <v/>
      </c>
      <c r="GC27" s="1977" t="str">
        <f t="shared" si="116"/>
        <v/>
      </c>
      <c r="GD27" s="1978" t="str">
        <f t="shared" si="117"/>
        <v/>
      </c>
      <c r="GE27" s="1979" t="str">
        <f t="shared" si="118"/>
        <v/>
      </c>
      <c r="GF27" s="1980" t="str">
        <f t="shared" si="119"/>
        <v/>
      </c>
      <c r="GG27" s="1453"/>
      <c r="GH27" s="1454"/>
      <c r="GI27" s="1453"/>
      <c r="GJ27" s="1454"/>
      <c r="GK27" s="533">
        <f t="shared" si="120"/>
        <v>0</v>
      </c>
      <c r="GL27" s="534" t="e">
        <f t="shared" si="121"/>
        <v>#VALUE!</v>
      </c>
      <c r="GM27" s="535" t="e">
        <f>IF(ABS(GK27-GL27)&gt;='Job Info.'!$L$22,ABS(GK27-GL27),0)</f>
        <v>#VALUE!</v>
      </c>
      <c r="HA27" s="1658"/>
      <c r="HB27" s="1659"/>
      <c r="HC27" s="1659"/>
      <c r="HD27" s="1660"/>
      <c r="HE27" s="1661"/>
      <c r="HF27" s="1659"/>
      <c r="HG27" s="1659"/>
      <c r="HH27" s="1659"/>
      <c r="HI27" s="1662"/>
      <c r="HJ27" s="1659"/>
      <c r="HK27" s="1659"/>
      <c r="HL27" s="1659"/>
      <c r="HM27" s="1659"/>
      <c r="HN27" s="1659"/>
      <c r="HO27" s="1659"/>
      <c r="HP27" s="1659"/>
      <c r="HQ27" s="1662"/>
      <c r="HR27" s="1659"/>
      <c r="HS27" s="1659"/>
      <c r="HT27" s="1659"/>
      <c r="HU27" s="1659"/>
      <c r="HV27" s="1659"/>
      <c r="HW27" s="1661"/>
      <c r="HX27" s="1661"/>
      <c r="HY27" s="1661"/>
      <c r="HZ27" s="1661"/>
      <c r="IA27" s="1661"/>
      <c r="IB27" s="1661"/>
      <c r="IC27" s="1661"/>
      <c r="ID27" s="1661"/>
      <c r="IE27" s="1661"/>
      <c r="IF27" s="1663"/>
    </row>
    <row r="28" spans="1:240" ht="12.6" customHeight="1" x14ac:dyDescent="0.25">
      <c r="A28" s="1471" t="str">
        <f t="shared" si="1"/>
        <v/>
      </c>
      <c r="B28" s="1473" t="str">
        <f t="shared" si="2"/>
        <v/>
      </c>
      <c r="C28" s="1473" t="str">
        <f t="shared" si="3"/>
        <v/>
      </c>
      <c r="D28" s="1909" t="str">
        <f t="shared" si="4"/>
        <v/>
      </c>
      <c r="E28" s="1982" t="str">
        <f t="shared" si="5"/>
        <v/>
      </c>
      <c r="F28" s="1920" t="str">
        <f t="shared" si="6"/>
        <v/>
      </c>
      <c r="G28" s="1910" t="str">
        <f t="shared" si="7"/>
        <v/>
      </c>
      <c r="H28" s="1965" t="str">
        <f t="shared" si="8"/>
        <v/>
      </c>
      <c r="I28" s="1909" t="str">
        <f t="shared" si="9"/>
        <v/>
      </c>
      <c r="J28" s="1910" t="str">
        <f t="shared" si="10"/>
        <v/>
      </c>
      <c r="K28" s="1983" t="str">
        <f t="shared" si="11"/>
        <v/>
      </c>
      <c r="L28" s="1915" t="str">
        <f t="shared" si="12"/>
        <v/>
      </c>
      <c r="M28" s="1961" t="str">
        <f t="shared" si="13"/>
        <v/>
      </c>
      <c r="N28" s="1917" t="str">
        <f t="shared" si="14"/>
        <v/>
      </c>
      <c r="O28" s="1910" t="str">
        <f t="shared" si="15"/>
        <v/>
      </c>
      <c r="P28" s="1908" t="str">
        <f t="shared" si="16"/>
        <v/>
      </c>
      <c r="Q28" s="1909" t="str">
        <f t="shared" si="17"/>
        <v/>
      </c>
      <c r="R28" s="1910" t="str">
        <f t="shared" si="18"/>
        <v/>
      </c>
      <c r="S28" s="1984" t="str">
        <f t="shared" si="19"/>
        <v/>
      </c>
      <c r="T28" s="1920" t="str">
        <f t="shared" si="20"/>
        <v/>
      </c>
      <c r="U28" s="1910" t="str">
        <f t="shared" si="21"/>
        <v/>
      </c>
      <c r="V28" s="1909" t="str">
        <f t="shared" si="22"/>
        <v/>
      </c>
      <c r="W28" s="1910" t="str">
        <f t="shared" si="23"/>
        <v/>
      </c>
      <c r="X28" s="1961">
        <f t="shared" si="24"/>
        <v>0</v>
      </c>
      <c r="Y28" s="1967" t="str">
        <f t="shared" si="25"/>
        <v/>
      </c>
      <c r="Z28" s="1968" t="str">
        <f t="shared" si="26"/>
        <v/>
      </c>
      <c r="AA28" s="1981"/>
      <c r="AC28" s="1226" t="b">
        <v>0</v>
      </c>
      <c r="AD28" s="525">
        <f t="shared" si="27"/>
        <v>0</v>
      </c>
      <c r="AE28" s="526">
        <f t="shared" si="28"/>
        <v>0</v>
      </c>
      <c r="AF28" s="526">
        <f t="shared" si="29"/>
        <v>0</v>
      </c>
      <c r="AG28" s="526">
        <f t="shared" si="30"/>
        <v>0</v>
      </c>
      <c r="AH28" s="527">
        <f t="shared" si="31"/>
        <v>0</v>
      </c>
      <c r="AI28" s="528" t="b">
        <v>0</v>
      </c>
      <c r="AJ28" s="284">
        <f t="shared" si="32"/>
        <v>0</v>
      </c>
      <c r="AK28" s="1063" t="str">
        <f t="shared" si="33"/>
        <v/>
      </c>
      <c r="AL28" s="1202" t="str">
        <f t="shared" si="34"/>
        <v/>
      </c>
      <c r="AM28" s="1063" t="str">
        <f t="shared" si="35"/>
        <v/>
      </c>
      <c r="AN28" s="1063" t="str">
        <f t="shared" si="36"/>
        <v/>
      </c>
      <c r="AO28" s="1063" t="str">
        <f t="shared" si="37"/>
        <v/>
      </c>
      <c r="AP28" s="1063" t="b">
        <f>IF(ISERROR(AJ28),FALSE,IF(OR(AJ28=0,ISERROR(AL28),ISERROR(AM28),ISERROR(AN28),ISERROR(AO28)),FALSE,IF(AL28&lt;&gt;"",IF(ISERROR(VLOOKUP(SUBSTITUTE(SUBSTITUTE(C28,"R",""),"A",""),TblJoistSize!$A:$A,1,FALSE)),FALSE,TRUE),TRUE)))</f>
        <v>0</v>
      </c>
      <c r="AQ28" s="1305" t="e">
        <f t="shared" si="38"/>
        <v>#N/A</v>
      </c>
      <c r="AR28" s="1305" t="b">
        <f t="shared" si="39"/>
        <v>0</v>
      </c>
      <c r="AS28" s="1305" t="e">
        <f t="shared" si="40"/>
        <v>#N/A</v>
      </c>
      <c r="AT28" s="1305" t="b">
        <f t="shared" si="41"/>
        <v>0</v>
      </c>
      <c r="AU28" s="1203" t="str">
        <f t="shared" si="42"/>
        <v/>
      </c>
      <c r="AV28" s="1063" t="str">
        <f t="shared" si="43"/>
        <v/>
      </c>
      <c r="AW28" s="1063" t="str">
        <f t="shared" si="44"/>
        <v/>
      </c>
      <c r="AX28" s="1063" t="str">
        <f t="shared" si="122"/>
        <v/>
      </c>
      <c r="AY28" s="1306" t="b">
        <f t="shared" si="45"/>
        <v>0</v>
      </c>
      <c r="AZ28" s="1090" t="str">
        <f t="shared" si="46"/>
        <v/>
      </c>
      <c r="BA28" s="674"/>
      <c r="BB28" s="842"/>
      <c r="BC28" s="894"/>
      <c r="BD28" s="926"/>
      <c r="BE28" s="927"/>
      <c r="BF28" s="928"/>
      <c r="BG28" s="901"/>
      <c r="BH28" s="1244"/>
      <c r="BI28" s="1245"/>
      <c r="BJ28" s="929"/>
      <c r="BK28" s="902"/>
      <c r="BL28" s="903"/>
      <c r="BM28" s="904"/>
      <c r="BN28" s="905"/>
      <c r="BO28" s="901"/>
      <c r="BP28" s="902"/>
      <c r="BQ28" s="903"/>
      <c r="BR28" s="929"/>
      <c r="BS28" s="902"/>
      <c r="BT28" s="903"/>
      <c r="BU28" s="904"/>
      <c r="BV28" s="905"/>
      <c r="BW28" s="906"/>
      <c r="BX28" s="930"/>
      <c r="BY28" s="931"/>
      <c r="BZ28" s="932"/>
      <c r="CA28" s="933"/>
      <c r="CB28" s="932"/>
      <c r="CC28" s="933"/>
      <c r="CD28" s="934" t="str">
        <f t="shared" si="47"/>
        <v/>
      </c>
      <c r="CE28" s="935" t="str">
        <f t="shared" si="48"/>
        <v/>
      </c>
      <c r="CF28" s="1149"/>
      <c r="CG28" s="1150"/>
      <c r="CH28" s="738" t="str">
        <f t="shared" si="49"/>
        <v/>
      </c>
      <c r="CI28" s="739" t="str">
        <f t="shared" si="50"/>
        <v/>
      </c>
      <c r="CJ28" s="740" t="str">
        <f t="shared" si="51"/>
        <v/>
      </c>
      <c r="CK28" s="741" t="str">
        <f t="shared" si="52"/>
        <v/>
      </c>
      <c r="CL28" s="742" t="str">
        <f t="shared" si="53"/>
        <v/>
      </c>
      <c r="CM28" s="743" t="str">
        <f t="shared" si="54"/>
        <v/>
      </c>
      <c r="CN28" s="744" t="str">
        <f t="shared" si="55"/>
        <v/>
      </c>
      <c r="CO28" s="745" t="str">
        <f t="shared" si="56"/>
        <v/>
      </c>
      <c r="CP28" s="762" t="str">
        <f t="shared" si="57"/>
        <v/>
      </c>
      <c r="CQ28" s="763" t="str">
        <f t="shared" si="58"/>
        <v/>
      </c>
      <c r="CR28" s="953" t="str">
        <f t="shared" si="59"/>
        <v/>
      </c>
      <c r="CS28" s="954" t="str">
        <f t="shared" si="60"/>
        <v/>
      </c>
      <c r="CU28" s="1048" t="str">
        <f>IF(BG28="","",VLOOKUP(BG28,SectInfo!$B:$N,12,FALSE))</f>
        <v/>
      </c>
      <c r="CV28" s="1046" t="str">
        <f>IF(BG28="","",IF(ISBLANK(BZ28),VLOOKUP(BG28,SectInfo!$B:$N,13,FALSE),BZ28))</f>
        <v/>
      </c>
      <c r="CW28" s="1046" t="str">
        <f>IF(BG28="","",IF(VLOOKUP(BG28,SectInfo!$B:$N,5,FALSE)="","R",UPPER(VLOOKUP(BG28,SectInfo!$B:$N,5,FALSE))))</f>
        <v/>
      </c>
      <c r="CX28" s="1046" t="str">
        <f>IF(BG28="","",IF(ISBLANK(CF28),VLOOKUP(BG28,SectInfo!$B:$N,6,FALSE),CF28))</f>
        <v/>
      </c>
      <c r="CY28" s="1276" t="str">
        <f>IF(BG28="","",IF(VLOOKUP(BG28,SectInfo!$B:$N,10,FALSE)="","",(VLOOKUP(BG28,SectInfo!$B:$N,10,FALSE)*-1)))</f>
        <v/>
      </c>
      <c r="CZ28" s="1443" t="str">
        <f>IF(BG28="","",IF(VLOOKUP(BG28,SectInfo!$B:$N,11,FALSE)="","2",(VLOOKUP(BG28,SectInfo!$B:$N,11,FALSE))))</f>
        <v/>
      </c>
      <c r="DA28" s="1046" t="str">
        <f>IF(BG28="","",IF(VLOOKUP(BG28,SectInfo!$B:$N,7,FALSE)="","",(VLOOKUP(BG28,SectInfo!$B:$N,7,FALSE)*-1)))</f>
        <v/>
      </c>
      <c r="DB28" s="1046" t="str">
        <f>IF(BG28="","",IF(VLOOKUP(BG28,SectInfo!$B:$N,8,FALSE)="",VLOOKUP(AU28,$DF$2:$DN$9,6,FALSE),(VLOOKUP(BG28,SectInfo!$B:$N,8,FALSE))))</f>
        <v/>
      </c>
      <c r="DC28" s="1046" t="str">
        <f>IF(BG28="","",VLOOKUP(BG28,SectInfo!$B:$N,9,FALSE))</f>
        <v/>
      </c>
      <c r="DD28" s="1047">
        <f t="shared" si="61"/>
        <v>0</v>
      </c>
      <c r="DE28" s="1048" t="str">
        <f>IF(BO28="","",VLOOKUP(BO28,SectInfo!$B:$N,12,FALSE))</f>
        <v/>
      </c>
      <c r="DF28" s="1046" t="str">
        <f>IF(BO28="","",IF(ISBLANK(CA28),VLOOKUP(BO28,SectInfo!$B:$N,13,FALSE),CA28))</f>
        <v/>
      </c>
      <c r="DG28" s="1046" t="str">
        <f>IF(BO28="","",IF(VLOOKUP(BO28,SectInfo!$B:$N,5,FALSE)="","R",UPPER(VLOOKUP(BO28,SectInfo!$B:$N,5,FALSE))))</f>
        <v/>
      </c>
      <c r="DH28" s="1046" t="str">
        <f>IF(BO28="","",IF(ISBLANK(CG28),VLOOKUP(BO28,SectInfo!$B:$N,6,FALSE),CG28))</f>
        <v/>
      </c>
      <c r="DI28" s="1046" t="str">
        <f>IF(BO28="","",IF(VLOOKUP(BO28,SectInfo!$B:$N,10,FALSE)="","",(VLOOKUP(BO28,SectInfo!$B:$N,10,FALSE)*-1)))</f>
        <v/>
      </c>
      <c r="DJ28" s="1443" t="str">
        <f>IF(BO28="","",IF(VLOOKUP(BO28,SectInfo!$B:$N,11,FALSE)="","2",(VLOOKUP(BO28,SectInfo!$B:$N,11,FALSE))))</f>
        <v/>
      </c>
      <c r="DK28" s="1046" t="str">
        <f>IF(BO28="","",IF(VLOOKUP(BO28,SectInfo!$B:$N,7,FALSE)="","",(VLOOKUP(BO28,SectInfo!$B:$N,7,FALSE)*-1)))</f>
        <v/>
      </c>
      <c r="DL28" s="1046" t="str">
        <f>IF(BO28="","",IF(VLOOKUP(BO28,SectInfo!$B:$N,8,FALSE)="",VLOOKUP(AU28,$DF$2:$DN$9,6,FALSE),(VLOOKUP(BO28,SectInfo!$B:$N,8,FALSE))))</f>
        <v/>
      </c>
      <c r="DM28" s="1046" t="str">
        <f>IF(BO28="","",VLOOKUP(BO28,SectInfo!$B:$N,9,FALSE))</f>
        <v/>
      </c>
      <c r="DN28" s="1047">
        <f t="shared" si="62"/>
        <v>0</v>
      </c>
      <c r="DO28" s="1049">
        <f t="shared" si="63"/>
        <v>0</v>
      </c>
      <c r="DP28" s="1053" t="str">
        <f t="shared" si="64"/>
        <v/>
      </c>
      <c r="DQ28" s="1053" t="str">
        <f t="shared" si="65"/>
        <v/>
      </c>
      <c r="DR28" s="1053" t="str">
        <f t="shared" si="66"/>
        <v/>
      </c>
      <c r="DS28" s="1052">
        <f t="shared" si="67"/>
        <v>0</v>
      </c>
      <c r="DT28" s="1052">
        <f t="shared" si="68"/>
        <v>0</v>
      </c>
      <c r="DU28" s="1052" t="str">
        <f t="shared" si="69"/>
        <v/>
      </c>
      <c r="DV28" s="1053" t="str">
        <f t="shared" si="70"/>
        <v/>
      </c>
      <c r="DW28" s="1053" t="str">
        <f t="shared" si="71"/>
        <v/>
      </c>
      <c r="DX28" s="1269">
        <f t="shared" si="72"/>
        <v>0</v>
      </c>
      <c r="DY28" s="1053">
        <f t="shared" si="73"/>
        <v>0</v>
      </c>
      <c r="DZ28" s="1052">
        <f t="shared" si="74"/>
        <v>0</v>
      </c>
      <c r="EA28" s="1052" t="str">
        <f t="shared" si="75"/>
        <v/>
      </c>
      <c r="EB28" s="1053" t="str">
        <f t="shared" si="76"/>
        <v/>
      </c>
      <c r="EC28" s="1053" t="str">
        <f t="shared" si="77"/>
        <v/>
      </c>
      <c r="ED28" s="1269">
        <f t="shared" si="78"/>
        <v>0</v>
      </c>
      <c r="EE28" s="1090" t="str">
        <f t="shared" si="79"/>
        <v/>
      </c>
      <c r="EF28" s="1053" t="str">
        <f t="shared" si="80"/>
        <v/>
      </c>
      <c r="EG28" s="1053" t="str">
        <f t="shared" si="81"/>
        <v/>
      </c>
      <c r="EH28" s="1053" t="e">
        <f t="shared" si="82"/>
        <v>#N/A</v>
      </c>
      <c r="EI28" s="1053" t="e">
        <f t="shared" si="83"/>
        <v>#N/A</v>
      </c>
      <c r="EJ28" s="1053" t="str">
        <f t="shared" si="84"/>
        <v/>
      </c>
      <c r="EK28" s="1053" t="str">
        <f t="shared" si="84"/>
        <v/>
      </c>
      <c r="EL28" s="1090" t="str">
        <f t="shared" si="85"/>
        <v/>
      </c>
      <c r="EM28" s="1053" t="str">
        <f t="shared" si="86"/>
        <v/>
      </c>
      <c r="EN28" s="1053" t="str">
        <f t="shared" si="87"/>
        <v/>
      </c>
      <c r="EO28" s="1053" t="e">
        <f t="shared" si="88"/>
        <v>#N/A</v>
      </c>
      <c r="EP28" s="1053" t="e">
        <f t="shared" si="89"/>
        <v>#N/A</v>
      </c>
      <c r="EQ28" s="1053" t="str">
        <f t="shared" si="90"/>
        <v/>
      </c>
      <c r="ER28" s="1053" t="str">
        <f t="shared" si="90"/>
        <v/>
      </c>
      <c r="ES28" s="1053" t="str">
        <f t="shared" si="91"/>
        <v/>
      </c>
      <c r="ET28" s="1053" t="str">
        <f t="shared" si="92"/>
        <v/>
      </c>
      <c r="EU28" s="1061" t="str">
        <f t="shared" si="93"/>
        <v/>
      </c>
      <c r="EV28" s="1055" t="str">
        <f t="shared" si="94"/>
        <v/>
      </c>
      <c r="EW28" s="1061"/>
      <c r="EX28" s="1061" t="str">
        <f>IF(AND(CU28="G", ISBLANK(BK28), ISBLANK(BL28)),VLOOKUP(MIN(BH28:BI28),TblJoistSize!$M$3:$N$10,2),IF(OR(CU28="B",CU28="G"),MIN(BK28:BL28),""))</f>
        <v/>
      </c>
      <c r="EY28" s="1061" t="str">
        <f>IF(AND(CU28="G", ISBLANK(BK28), ISBLANK(BL28)),VLOOKUP(MAX(BH28:BI28),TblJoistSize!$M$3:$N$10,2),IF(OR(CU28="B",CU28="G"),MAX(BK28:BL28),""))</f>
        <v/>
      </c>
      <c r="EZ28" s="1061" t="str">
        <f t="shared" si="95"/>
        <v/>
      </c>
      <c r="FA28" s="1061" t="str">
        <f>IF(AND(DE28="G", ISBLANK(BS28), ISBLANK(BT28)),VLOOKUP(MIN(BP28:BQ28),TblJoistSize!$M$3:$N$10,2),IF(OR(DE28="B", DE28="G"),MIN(BS28:BT28),""))</f>
        <v/>
      </c>
      <c r="FB28" s="1061" t="str">
        <f>IF(AND(DE28="G", ISBLANK(BS28), ISBLANK(BT28)),VLOOKUP(MAX(BP28:BQ28),TblJoistSize!$M$3:$N$10,2),IF(OR(DE28="B", DE28="G"),MAX(BS28:BT28),""))</f>
        <v/>
      </c>
      <c r="FC28" s="1061" t="str">
        <f t="shared" si="96"/>
        <v/>
      </c>
      <c r="FD28" s="1052">
        <f t="shared" si="123"/>
        <v>0</v>
      </c>
      <c r="FE28" s="1052">
        <f t="shared" si="97"/>
        <v>0</v>
      </c>
      <c r="FF28" s="1052">
        <f t="shared" si="98"/>
        <v>0</v>
      </c>
      <c r="FG28" s="1052" t="str">
        <f t="shared" si="99"/>
        <v/>
      </c>
      <c r="FH28" s="1053" t="str">
        <f t="shared" si="100"/>
        <v/>
      </c>
      <c r="FI28" s="1052">
        <f t="shared" si="124"/>
        <v>0</v>
      </c>
      <c r="FJ28" s="1052">
        <f t="shared" si="101"/>
        <v>0</v>
      </c>
      <c r="FK28" s="1052">
        <f t="shared" si="102"/>
        <v>0</v>
      </c>
      <c r="FL28" s="1052" t="str">
        <f t="shared" si="103"/>
        <v/>
      </c>
      <c r="FM28" s="1053" t="str">
        <f t="shared" si="104"/>
        <v/>
      </c>
      <c r="FN28" s="1053" t="e">
        <f t="shared" si="105"/>
        <v>#VALUE!</v>
      </c>
      <c r="FO28" s="1062" t="e">
        <f t="shared" si="106"/>
        <v>#VALUE!</v>
      </c>
      <c r="FP28" s="1062" t="e">
        <f t="shared" si="107"/>
        <v>#VALUE!</v>
      </c>
      <c r="FQ28" s="1063" t="e">
        <f t="shared" si="108"/>
        <v>#VALUE!</v>
      </c>
      <c r="FR28" s="1064" t="e">
        <f t="shared" si="109"/>
        <v>#VALUE!</v>
      </c>
      <c r="FS28" s="1065" t="str">
        <f t="shared" si="110"/>
        <v/>
      </c>
      <c r="FT28" s="1066" t="str">
        <f t="shared" si="111"/>
        <v/>
      </c>
      <c r="FU28" s="1105">
        <f t="shared" si="112"/>
        <v>0</v>
      </c>
      <c r="FV28" s="1106">
        <f t="shared" si="113"/>
        <v>0</v>
      </c>
      <c r="GA28" s="1975" t="str">
        <f t="shared" si="114"/>
        <v/>
      </c>
      <c r="GB28" s="1976" t="str">
        <f t="shared" si="115"/>
        <v/>
      </c>
      <c r="GC28" s="1977" t="str">
        <f t="shared" si="116"/>
        <v/>
      </c>
      <c r="GD28" s="1978" t="str">
        <f t="shared" si="117"/>
        <v/>
      </c>
      <c r="GE28" s="1979" t="str">
        <f t="shared" si="118"/>
        <v/>
      </c>
      <c r="GF28" s="1980" t="str">
        <f t="shared" si="119"/>
        <v/>
      </c>
      <c r="GG28" s="1453"/>
      <c r="GH28" s="1454"/>
      <c r="GI28" s="1453"/>
      <c r="GJ28" s="1454"/>
      <c r="GK28" s="533">
        <f t="shared" si="120"/>
        <v>0</v>
      </c>
      <c r="GL28" s="534" t="e">
        <f t="shared" si="121"/>
        <v>#VALUE!</v>
      </c>
      <c r="GM28" s="535" t="e">
        <f>IF(ABS(GK28-GL28)&gt;='Job Info.'!$L$22,ABS(GK28-GL28),0)</f>
        <v>#VALUE!</v>
      </c>
      <c r="HA28" s="1658"/>
      <c r="HB28" s="1659"/>
      <c r="HC28" s="1659"/>
      <c r="HD28" s="1660"/>
      <c r="HE28" s="1661"/>
      <c r="HF28" s="1659"/>
      <c r="HG28" s="1659"/>
      <c r="HH28" s="1659"/>
      <c r="HI28" s="1662"/>
      <c r="HJ28" s="1659"/>
      <c r="HK28" s="1659"/>
      <c r="HL28" s="1659"/>
      <c r="HM28" s="1659"/>
      <c r="HN28" s="1659"/>
      <c r="HO28" s="1659"/>
      <c r="HP28" s="1659"/>
      <c r="HQ28" s="1662"/>
      <c r="HR28" s="1659"/>
      <c r="HS28" s="1659"/>
      <c r="HT28" s="1659"/>
      <c r="HU28" s="1659"/>
      <c r="HV28" s="1659"/>
      <c r="HW28" s="1661"/>
      <c r="HX28" s="1661"/>
      <c r="HY28" s="1661"/>
      <c r="HZ28" s="1661"/>
      <c r="IA28" s="1661"/>
      <c r="IB28" s="1661"/>
      <c r="IC28" s="1661"/>
      <c r="ID28" s="1661"/>
      <c r="IE28" s="1661"/>
      <c r="IF28" s="1663"/>
    </row>
    <row r="29" spans="1:240" ht="12.6" customHeight="1" x14ac:dyDescent="0.25">
      <c r="A29" s="1471" t="str">
        <f t="shared" si="1"/>
        <v/>
      </c>
      <c r="B29" s="1473" t="str">
        <f t="shared" si="2"/>
        <v/>
      </c>
      <c r="C29" s="1473" t="str">
        <f t="shared" si="3"/>
        <v/>
      </c>
      <c r="D29" s="1909" t="str">
        <f t="shared" si="4"/>
        <v/>
      </c>
      <c r="E29" s="1982" t="str">
        <f t="shared" si="5"/>
        <v/>
      </c>
      <c r="F29" s="1920" t="str">
        <f t="shared" si="6"/>
        <v/>
      </c>
      <c r="G29" s="1910" t="str">
        <f t="shared" si="7"/>
        <v/>
      </c>
      <c r="H29" s="1965" t="str">
        <f t="shared" si="8"/>
        <v/>
      </c>
      <c r="I29" s="1909" t="str">
        <f t="shared" si="9"/>
        <v/>
      </c>
      <c r="J29" s="1910" t="str">
        <f t="shared" si="10"/>
        <v/>
      </c>
      <c r="K29" s="1983" t="str">
        <f t="shared" si="11"/>
        <v/>
      </c>
      <c r="L29" s="1915" t="str">
        <f t="shared" si="12"/>
        <v/>
      </c>
      <c r="M29" s="1961" t="str">
        <f t="shared" si="13"/>
        <v/>
      </c>
      <c r="N29" s="1917" t="str">
        <f t="shared" si="14"/>
        <v/>
      </c>
      <c r="O29" s="1910" t="str">
        <f t="shared" si="15"/>
        <v/>
      </c>
      <c r="P29" s="1908" t="str">
        <f t="shared" si="16"/>
        <v/>
      </c>
      <c r="Q29" s="1909" t="str">
        <f t="shared" si="17"/>
        <v/>
      </c>
      <c r="R29" s="1910" t="str">
        <f t="shared" si="18"/>
        <v/>
      </c>
      <c r="S29" s="1984" t="str">
        <f t="shared" si="19"/>
        <v/>
      </c>
      <c r="T29" s="1920" t="str">
        <f t="shared" si="20"/>
        <v/>
      </c>
      <c r="U29" s="1910" t="str">
        <f t="shared" si="21"/>
        <v/>
      </c>
      <c r="V29" s="1909" t="str">
        <f t="shared" si="22"/>
        <v/>
      </c>
      <c r="W29" s="1910" t="str">
        <f t="shared" si="23"/>
        <v/>
      </c>
      <c r="X29" s="1961">
        <f t="shared" si="24"/>
        <v>0</v>
      </c>
      <c r="Y29" s="1967" t="str">
        <f t="shared" si="25"/>
        <v/>
      </c>
      <c r="Z29" s="1968" t="str">
        <f t="shared" si="26"/>
        <v/>
      </c>
      <c r="AA29" s="1981"/>
      <c r="AC29" s="1226" t="b">
        <v>0</v>
      </c>
      <c r="AD29" s="525">
        <f t="shared" si="27"/>
        <v>0</v>
      </c>
      <c r="AE29" s="526">
        <f t="shared" si="28"/>
        <v>0</v>
      </c>
      <c r="AF29" s="526">
        <f t="shared" si="29"/>
        <v>0</v>
      </c>
      <c r="AG29" s="526">
        <f t="shared" si="30"/>
        <v>0</v>
      </c>
      <c r="AH29" s="527">
        <f t="shared" si="31"/>
        <v>0</v>
      </c>
      <c r="AI29" s="528" t="b">
        <v>0</v>
      </c>
      <c r="AJ29" s="284">
        <f t="shared" si="32"/>
        <v>0</v>
      </c>
      <c r="AK29" s="1063" t="str">
        <f t="shared" si="33"/>
        <v/>
      </c>
      <c r="AL29" s="1202" t="str">
        <f t="shared" si="34"/>
        <v/>
      </c>
      <c r="AM29" s="1063" t="str">
        <f t="shared" si="35"/>
        <v/>
      </c>
      <c r="AN29" s="1063" t="str">
        <f t="shared" si="36"/>
        <v/>
      </c>
      <c r="AO29" s="1063" t="str">
        <f t="shared" si="37"/>
        <v/>
      </c>
      <c r="AP29" s="1063" t="b">
        <f>IF(ISERROR(AJ29),FALSE,IF(OR(AJ29=0,ISERROR(AL29),ISERROR(AM29),ISERROR(AN29),ISERROR(AO29)),FALSE,IF(AL29&lt;&gt;"",IF(ISERROR(VLOOKUP(SUBSTITUTE(SUBSTITUTE(C29,"R",""),"A",""),TblJoistSize!$A:$A,1,FALSE)),FALSE,TRUE),TRUE)))</f>
        <v>0</v>
      </c>
      <c r="AQ29" s="1305" t="e">
        <f t="shared" si="38"/>
        <v>#N/A</v>
      </c>
      <c r="AR29" s="1305" t="b">
        <f t="shared" si="39"/>
        <v>0</v>
      </c>
      <c r="AS29" s="1305" t="e">
        <f t="shared" si="40"/>
        <v>#N/A</v>
      </c>
      <c r="AT29" s="1305" t="b">
        <f t="shared" si="41"/>
        <v>0</v>
      </c>
      <c r="AU29" s="1203" t="str">
        <f t="shared" si="42"/>
        <v/>
      </c>
      <c r="AV29" s="1063" t="str">
        <f t="shared" si="43"/>
        <v/>
      </c>
      <c r="AW29" s="1063" t="str">
        <f t="shared" si="44"/>
        <v/>
      </c>
      <c r="AX29" s="1063" t="str">
        <f t="shared" si="122"/>
        <v/>
      </c>
      <c r="AY29" s="1306" t="b">
        <f t="shared" si="45"/>
        <v>0</v>
      </c>
      <c r="AZ29" s="1090" t="str">
        <f t="shared" si="46"/>
        <v/>
      </c>
      <c r="BA29" s="674"/>
      <c r="BB29" s="842"/>
      <c r="BC29" s="894"/>
      <c r="BD29" s="926"/>
      <c r="BE29" s="927"/>
      <c r="BF29" s="928"/>
      <c r="BG29" s="901"/>
      <c r="BH29" s="1244"/>
      <c r="BI29" s="1245"/>
      <c r="BJ29" s="929"/>
      <c r="BK29" s="902"/>
      <c r="BL29" s="903"/>
      <c r="BM29" s="904"/>
      <c r="BN29" s="905"/>
      <c r="BO29" s="901"/>
      <c r="BP29" s="902"/>
      <c r="BQ29" s="903"/>
      <c r="BR29" s="929"/>
      <c r="BS29" s="902"/>
      <c r="BT29" s="903"/>
      <c r="BU29" s="904"/>
      <c r="BV29" s="905"/>
      <c r="BW29" s="906"/>
      <c r="BX29" s="930"/>
      <c r="BY29" s="931"/>
      <c r="BZ29" s="932"/>
      <c r="CA29" s="933"/>
      <c r="CB29" s="932"/>
      <c r="CC29" s="933"/>
      <c r="CD29" s="934" t="str">
        <f t="shared" si="47"/>
        <v/>
      </c>
      <c r="CE29" s="935" t="str">
        <f t="shared" si="48"/>
        <v/>
      </c>
      <c r="CF29" s="1149"/>
      <c r="CG29" s="1150"/>
      <c r="CH29" s="738" t="str">
        <f t="shared" si="49"/>
        <v/>
      </c>
      <c r="CI29" s="739" t="str">
        <f t="shared" si="50"/>
        <v/>
      </c>
      <c r="CJ29" s="740" t="str">
        <f t="shared" si="51"/>
        <v/>
      </c>
      <c r="CK29" s="741" t="str">
        <f t="shared" si="52"/>
        <v/>
      </c>
      <c r="CL29" s="742" t="str">
        <f t="shared" si="53"/>
        <v/>
      </c>
      <c r="CM29" s="743" t="str">
        <f t="shared" si="54"/>
        <v/>
      </c>
      <c r="CN29" s="744" t="str">
        <f t="shared" si="55"/>
        <v/>
      </c>
      <c r="CO29" s="745" t="str">
        <f t="shared" si="56"/>
        <v/>
      </c>
      <c r="CP29" s="762" t="str">
        <f t="shared" si="57"/>
        <v/>
      </c>
      <c r="CQ29" s="763" t="str">
        <f t="shared" si="58"/>
        <v/>
      </c>
      <c r="CR29" s="953" t="str">
        <f t="shared" si="59"/>
        <v/>
      </c>
      <c r="CS29" s="954" t="str">
        <f t="shared" si="60"/>
        <v/>
      </c>
      <c r="CU29" s="1048" t="str">
        <f>IF(BG29="","",VLOOKUP(BG29,SectInfo!$B:$N,12,FALSE))</f>
        <v/>
      </c>
      <c r="CV29" s="1046" t="str">
        <f>IF(BG29="","",IF(ISBLANK(BZ29),VLOOKUP(BG29,SectInfo!$B:$N,13,FALSE),BZ29))</f>
        <v/>
      </c>
      <c r="CW29" s="1046" t="str">
        <f>IF(BG29="","",IF(VLOOKUP(BG29,SectInfo!$B:$N,5,FALSE)="","R",UPPER(VLOOKUP(BG29,SectInfo!$B:$N,5,FALSE))))</f>
        <v/>
      </c>
      <c r="CX29" s="1046" t="str">
        <f>IF(BG29="","",IF(ISBLANK(CF29),VLOOKUP(BG29,SectInfo!$B:$N,6,FALSE),CF29))</f>
        <v/>
      </c>
      <c r="CY29" s="1276" t="str">
        <f>IF(BG29="","",IF(VLOOKUP(BG29,SectInfo!$B:$N,10,FALSE)="","",(VLOOKUP(BG29,SectInfo!$B:$N,10,FALSE)*-1)))</f>
        <v/>
      </c>
      <c r="CZ29" s="1443" t="str">
        <f>IF(BG29="","",IF(VLOOKUP(BG29,SectInfo!$B:$N,11,FALSE)="","2",(VLOOKUP(BG29,SectInfo!$B:$N,11,FALSE))))</f>
        <v/>
      </c>
      <c r="DA29" s="1046" t="str">
        <f>IF(BG29="","",IF(VLOOKUP(BG29,SectInfo!$B:$N,7,FALSE)="","",(VLOOKUP(BG29,SectInfo!$B:$N,7,FALSE)*-1)))</f>
        <v/>
      </c>
      <c r="DB29" s="1046" t="str">
        <f>IF(BG29="","",IF(VLOOKUP(BG29,SectInfo!$B:$N,8,FALSE)="",VLOOKUP(AU29,$DF$2:$DN$9,6,FALSE),(VLOOKUP(BG29,SectInfo!$B:$N,8,FALSE))))</f>
        <v/>
      </c>
      <c r="DC29" s="1046" t="str">
        <f>IF(BG29="","",VLOOKUP(BG29,SectInfo!$B:$N,9,FALSE))</f>
        <v/>
      </c>
      <c r="DD29" s="1047">
        <f t="shared" si="61"/>
        <v>0</v>
      </c>
      <c r="DE29" s="1048" t="str">
        <f>IF(BO29="","",VLOOKUP(BO29,SectInfo!$B:$N,12,FALSE))</f>
        <v/>
      </c>
      <c r="DF29" s="1046" t="str">
        <f>IF(BO29="","",IF(ISBLANK(CA29),VLOOKUP(BO29,SectInfo!$B:$N,13,FALSE),CA29))</f>
        <v/>
      </c>
      <c r="DG29" s="1046" t="str">
        <f>IF(BO29="","",IF(VLOOKUP(BO29,SectInfo!$B:$N,5,FALSE)="","R",UPPER(VLOOKUP(BO29,SectInfo!$B:$N,5,FALSE))))</f>
        <v/>
      </c>
      <c r="DH29" s="1046" t="str">
        <f>IF(BO29="","",IF(ISBLANK(CG29),VLOOKUP(BO29,SectInfo!$B:$N,6,FALSE),CG29))</f>
        <v/>
      </c>
      <c r="DI29" s="1046" t="str">
        <f>IF(BO29="","",IF(VLOOKUP(BO29,SectInfo!$B:$N,10,FALSE)="","",(VLOOKUP(BO29,SectInfo!$B:$N,10,FALSE)*-1)))</f>
        <v/>
      </c>
      <c r="DJ29" s="1443" t="str">
        <f>IF(BO29="","",IF(VLOOKUP(BO29,SectInfo!$B:$N,11,FALSE)="","2",(VLOOKUP(BO29,SectInfo!$B:$N,11,FALSE))))</f>
        <v/>
      </c>
      <c r="DK29" s="1046" t="str">
        <f>IF(BO29="","",IF(VLOOKUP(BO29,SectInfo!$B:$N,7,FALSE)="","",(VLOOKUP(BO29,SectInfo!$B:$N,7,FALSE)*-1)))</f>
        <v/>
      </c>
      <c r="DL29" s="1046" t="str">
        <f>IF(BO29="","",IF(VLOOKUP(BO29,SectInfo!$B:$N,8,FALSE)="",VLOOKUP(AU29,$DF$2:$DN$9,6,FALSE),(VLOOKUP(BO29,SectInfo!$B:$N,8,FALSE))))</f>
        <v/>
      </c>
      <c r="DM29" s="1046" t="str">
        <f>IF(BO29="","",VLOOKUP(BO29,SectInfo!$B:$N,9,FALSE))</f>
        <v/>
      </c>
      <c r="DN29" s="1047">
        <f t="shared" si="62"/>
        <v>0</v>
      </c>
      <c r="DO29" s="1049">
        <f t="shared" si="63"/>
        <v>0</v>
      </c>
      <c r="DP29" s="1053" t="str">
        <f t="shared" si="64"/>
        <v/>
      </c>
      <c r="DQ29" s="1053" t="str">
        <f t="shared" si="65"/>
        <v/>
      </c>
      <c r="DR29" s="1053" t="str">
        <f t="shared" si="66"/>
        <v/>
      </c>
      <c r="DS29" s="1052">
        <f t="shared" si="67"/>
        <v>0</v>
      </c>
      <c r="DT29" s="1052">
        <f t="shared" si="68"/>
        <v>0</v>
      </c>
      <c r="DU29" s="1052" t="str">
        <f t="shared" si="69"/>
        <v/>
      </c>
      <c r="DV29" s="1053" t="str">
        <f t="shared" si="70"/>
        <v/>
      </c>
      <c r="DW29" s="1053" t="str">
        <f t="shared" si="71"/>
        <v/>
      </c>
      <c r="DX29" s="1269">
        <f t="shared" si="72"/>
        <v>0</v>
      </c>
      <c r="DY29" s="1053">
        <f t="shared" si="73"/>
        <v>0</v>
      </c>
      <c r="DZ29" s="1052">
        <f t="shared" si="74"/>
        <v>0</v>
      </c>
      <c r="EA29" s="1052" t="str">
        <f t="shared" si="75"/>
        <v/>
      </c>
      <c r="EB29" s="1053" t="str">
        <f t="shared" si="76"/>
        <v/>
      </c>
      <c r="EC29" s="1053" t="str">
        <f t="shared" si="77"/>
        <v/>
      </c>
      <c r="ED29" s="1269">
        <f t="shared" si="78"/>
        <v>0</v>
      </c>
      <c r="EE29" s="1090" t="str">
        <f t="shared" si="79"/>
        <v/>
      </c>
      <c r="EF29" s="1053" t="str">
        <f t="shared" si="80"/>
        <v/>
      </c>
      <c r="EG29" s="1053" t="str">
        <f t="shared" si="81"/>
        <v/>
      </c>
      <c r="EH29" s="1053" t="e">
        <f t="shared" si="82"/>
        <v>#N/A</v>
      </c>
      <c r="EI29" s="1053" t="e">
        <f t="shared" si="83"/>
        <v>#N/A</v>
      </c>
      <c r="EJ29" s="1053" t="str">
        <f t="shared" si="84"/>
        <v/>
      </c>
      <c r="EK29" s="1053" t="str">
        <f t="shared" si="84"/>
        <v/>
      </c>
      <c r="EL29" s="1090" t="str">
        <f t="shared" si="85"/>
        <v/>
      </c>
      <c r="EM29" s="1053" t="str">
        <f t="shared" si="86"/>
        <v/>
      </c>
      <c r="EN29" s="1053" t="str">
        <f t="shared" si="87"/>
        <v/>
      </c>
      <c r="EO29" s="1053" t="e">
        <f t="shared" si="88"/>
        <v>#N/A</v>
      </c>
      <c r="EP29" s="1053" t="e">
        <f t="shared" si="89"/>
        <v>#N/A</v>
      </c>
      <c r="EQ29" s="1053" t="str">
        <f t="shared" si="90"/>
        <v/>
      </c>
      <c r="ER29" s="1053" t="str">
        <f t="shared" si="90"/>
        <v/>
      </c>
      <c r="ES29" s="1053" t="str">
        <f t="shared" si="91"/>
        <v/>
      </c>
      <c r="ET29" s="1053" t="str">
        <f t="shared" si="92"/>
        <v/>
      </c>
      <c r="EU29" s="1061" t="str">
        <f t="shared" si="93"/>
        <v/>
      </c>
      <c r="EV29" s="1055" t="str">
        <f t="shared" si="94"/>
        <v/>
      </c>
      <c r="EW29" s="1061"/>
      <c r="EX29" s="1061" t="str">
        <f>IF(AND(CU29="G", ISBLANK(BK29), ISBLANK(BL29)),VLOOKUP(MIN(BH29:BI29),TblJoistSize!$M$3:$N$10,2),IF(OR(CU29="B",CU29="G"),MIN(BK29:BL29),""))</f>
        <v/>
      </c>
      <c r="EY29" s="1061" t="str">
        <f>IF(AND(CU29="G", ISBLANK(BK29), ISBLANK(BL29)),VLOOKUP(MAX(BH29:BI29),TblJoistSize!$M$3:$N$10,2),IF(OR(CU29="B",CU29="G"),MAX(BK29:BL29),""))</f>
        <v/>
      </c>
      <c r="EZ29" s="1061" t="str">
        <f t="shared" si="95"/>
        <v/>
      </c>
      <c r="FA29" s="1061" t="str">
        <f>IF(AND(DE29="G", ISBLANK(BS29), ISBLANK(BT29)),VLOOKUP(MIN(BP29:BQ29),TblJoistSize!$M$3:$N$10,2),IF(OR(DE29="B", DE29="G"),MIN(BS29:BT29),""))</f>
        <v/>
      </c>
      <c r="FB29" s="1061" t="str">
        <f>IF(AND(DE29="G", ISBLANK(BS29), ISBLANK(BT29)),VLOOKUP(MAX(BP29:BQ29),TblJoistSize!$M$3:$N$10,2),IF(OR(DE29="B", DE29="G"),MAX(BS29:BT29),""))</f>
        <v/>
      </c>
      <c r="FC29" s="1061" t="str">
        <f t="shared" si="96"/>
        <v/>
      </c>
      <c r="FD29" s="1052">
        <f t="shared" si="123"/>
        <v>0</v>
      </c>
      <c r="FE29" s="1052">
        <f t="shared" si="97"/>
        <v>0</v>
      </c>
      <c r="FF29" s="1052">
        <f t="shared" si="98"/>
        <v>0</v>
      </c>
      <c r="FG29" s="1052" t="str">
        <f t="shared" si="99"/>
        <v/>
      </c>
      <c r="FH29" s="1053" t="str">
        <f t="shared" si="100"/>
        <v/>
      </c>
      <c r="FI29" s="1052">
        <f t="shared" si="124"/>
        <v>0</v>
      </c>
      <c r="FJ29" s="1052">
        <f t="shared" si="101"/>
        <v>0</v>
      </c>
      <c r="FK29" s="1052">
        <f t="shared" si="102"/>
        <v>0</v>
      </c>
      <c r="FL29" s="1052" t="str">
        <f t="shared" si="103"/>
        <v/>
      </c>
      <c r="FM29" s="1053" t="str">
        <f t="shared" si="104"/>
        <v/>
      </c>
      <c r="FN29" s="1053" t="e">
        <f t="shared" si="105"/>
        <v>#VALUE!</v>
      </c>
      <c r="FO29" s="1062" t="e">
        <f t="shared" si="106"/>
        <v>#VALUE!</v>
      </c>
      <c r="FP29" s="1062" t="e">
        <f t="shared" si="107"/>
        <v>#VALUE!</v>
      </c>
      <c r="FQ29" s="1063" t="e">
        <f t="shared" si="108"/>
        <v>#VALUE!</v>
      </c>
      <c r="FR29" s="1064" t="e">
        <f t="shared" si="109"/>
        <v>#VALUE!</v>
      </c>
      <c r="FS29" s="1065" t="str">
        <f t="shared" si="110"/>
        <v/>
      </c>
      <c r="FT29" s="1066" t="str">
        <f t="shared" si="111"/>
        <v/>
      </c>
      <c r="FU29" s="1105">
        <f t="shared" si="112"/>
        <v>0</v>
      </c>
      <c r="FV29" s="1106">
        <f t="shared" si="113"/>
        <v>0</v>
      </c>
      <c r="GA29" s="1975" t="str">
        <f t="shared" si="114"/>
        <v/>
      </c>
      <c r="GB29" s="1976" t="str">
        <f t="shared" si="115"/>
        <v/>
      </c>
      <c r="GC29" s="1977" t="str">
        <f t="shared" si="116"/>
        <v/>
      </c>
      <c r="GD29" s="1978" t="str">
        <f t="shared" si="117"/>
        <v/>
      </c>
      <c r="GE29" s="1979" t="str">
        <f t="shared" si="118"/>
        <v/>
      </c>
      <c r="GF29" s="1980" t="str">
        <f t="shared" si="119"/>
        <v/>
      </c>
      <c r="GG29" s="1453"/>
      <c r="GH29" s="1454"/>
      <c r="GI29" s="1453"/>
      <c r="GJ29" s="1454"/>
      <c r="GK29" s="533">
        <f t="shared" si="120"/>
        <v>0</v>
      </c>
      <c r="GL29" s="534" t="e">
        <f t="shared" si="121"/>
        <v>#VALUE!</v>
      </c>
      <c r="GM29" s="535" t="e">
        <f>IF(ABS(GK29-GL29)&gt;='Job Info.'!$L$22,ABS(GK29-GL29),0)</f>
        <v>#VALUE!</v>
      </c>
      <c r="HA29" s="1658"/>
      <c r="HB29" s="1659"/>
      <c r="HC29" s="1659"/>
      <c r="HD29" s="1660"/>
      <c r="HE29" s="1661"/>
      <c r="HF29" s="1659"/>
      <c r="HG29" s="1659"/>
      <c r="HH29" s="1659"/>
      <c r="HI29" s="1662"/>
      <c r="HJ29" s="1659"/>
      <c r="HK29" s="1659"/>
      <c r="HL29" s="1659"/>
      <c r="HM29" s="1659"/>
      <c r="HN29" s="1659"/>
      <c r="HO29" s="1659"/>
      <c r="HP29" s="1659"/>
      <c r="HQ29" s="1662"/>
      <c r="HR29" s="1659"/>
      <c r="HS29" s="1659"/>
      <c r="HT29" s="1659"/>
      <c r="HU29" s="1659"/>
      <c r="HV29" s="1659"/>
      <c r="HW29" s="1661"/>
      <c r="HX29" s="1661"/>
      <c r="HY29" s="1661"/>
      <c r="HZ29" s="1661"/>
      <c r="IA29" s="1661"/>
      <c r="IB29" s="1661"/>
      <c r="IC29" s="1661"/>
      <c r="ID29" s="1661"/>
      <c r="IE29" s="1661"/>
      <c r="IF29" s="1663"/>
    </row>
    <row r="30" spans="1:240" ht="12.6" customHeight="1" x14ac:dyDescent="0.25">
      <c r="A30" s="1471" t="str">
        <f t="shared" si="1"/>
        <v/>
      </c>
      <c r="B30" s="1473" t="str">
        <f t="shared" si="2"/>
        <v/>
      </c>
      <c r="C30" s="1473" t="str">
        <f t="shared" si="3"/>
        <v/>
      </c>
      <c r="D30" s="1909" t="str">
        <f t="shared" si="4"/>
        <v/>
      </c>
      <c r="E30" s="1982" t="str">
        <f t="shared" si="5"/>
        <v/>
      </c>
      <c r="F30" s="1920" t="str">
        <f t="shared" si="6"/>
        <v/>
      </c>
      <c r="G30" s="1910" t="str">
        <f t="shared" si="7"/>
        <v/>
      </c>
      <c r="H30" s="1965" t="str">
        <f t="shared" si="8"/>
        <v/>
      </c>
      <c r="I30" s="1909" t="str">
        <f t="shared" si="9"/>
        <v/>
      </c>
      <c r="J30" s="1910" t="str">
        <f t="shared" si="10"/>
        <v/>
      </c>
      <c r="K30" s="1983" t="str">
        <f t="shared" si="11"/>
        <v/>
      </c>
      <c r="L30" s="1915" t="str">
        <f t="shared" si="12"/>
        <v/>
      </c>
      <c r="M30" s="1961" t="str">
        <f t="shared" si="13"/>
        <v/>
      </c>
      <c r="N30" s="1917" t="str">
        <f t="shared" si="14"/>
        <v/>
      </c>
      <c r="O30" s="1910" t="str">
        <f t="shared" si="15"/>
        <v/>
      </c>
      <c r="P30" s="1908" t="str">
        <f t="shared" si="16"/>
        <v/>
      </c>
      <c r="Q30" s="1909" t="str">
        <f t="shared" si="17"/>
        <v/>
      </c>
      <c r="R30" s="1910" t="str">
        <f t="shared" si="18"/>
        <v/>
      </c>
      <c r="S30" s="1984" t="str">
        <f t="shared" si="19"/>
        <v/>
      </c>
      <c r="T30" s="1920" t="str">
        <f t="shared" si="20"/>
        <v/>
      </c>
      <c r="U30" s="1910" t="str">
        <f t="shared" si="21"/>
        <v/>
      </c>
      <c r="V30" s="1909" t="str">
        <f t="shared" si="22"/>
        <v/>
      </c>
      <c r="W30" s="1910" t="str">
        <f t="shared" si="23"/>
        <v/>
      </c>
      <c r="X30" s="1961">
        <f t="shared" si="24"/>
        <v>0</v>
      </c>
      <c r="Y30" s="1967" t="str">
        <f t="shared" si="25"/>
        <v/>
      </c>
      <c r="Z30" s="1968" t="str">
        <f t="shared" si="26"/>
        <v/>
      </c>
      <c r="AA30" s="1981"/>
      <c r="AC30" s="1226" t="b">
        <v>0</v>
      </c>
      <c r="AD30" s="525">
        <f t="shared" si="27"/>
        <v>0</v>
      </c>
      <c r="AE30" s="526">
        <f t="shared" si="28"/>
        <v>0</v>
      </c>
      <c r="AF30" s="526">
        <f t="shared" si="29"/>
        <v>0</v>
      </c>
      <c r="AG30" s="526">
        <f t="shared" si="30"/>
        <v>0</v>
      </c>
      <c r="AH30" s="527">
        <f t="shared" si="31"/>
        <v>0</v>
      </c>
      <c r="AI30" s="528" t="b">
        <v>0</v>
      </c>
      <c r="AJ30" s="284">
        <f t="shared" si="32"/>
        <v>0</v>
      </c>
      <c r="AK30" s="1063" t="str">
        <f t="shared" si="33"/>
        <v/>
      </c>
      <c r="AL30" s="1202" t="str">
        <f t="shared" si="34"/>
        <v/>
      </c>
      <c r="AM30" s="1063" t="str">
        <f t="shared" si="35"/>
        <v/>
      </c>
      <c r="AN30" s="1063" t="str">
        <f t="shared" si="36"/>
        <v/>
      </c>
      <c r="AO30" s="1063" t="str">
        <f t="shared" si="37"/>
        <v/>
      </c>
      <c r="AP30" s="1063" t="b">
        <f>IF(ISERROR(AJ30),FALSE,IF(OR(AJ30=0,ISERROR(AL30),ISERROR(AM30),ISERROR(AN30),ISERROR(AO30)),FALSE,IF(AL30&lt;&gt;"",IF(ISERROR(VLOOKUP(SUBSTITUTE(SUBSTITUTE(C30,"R",""),"A",""),TblJoistSize!$A:$A,1,FALSE)),FALSE,TRUE),TRUE)))</f>
        <v>0</v>
      </c>
      <c r="AQ30" s="1305" t="e">
        <f t="shared" si="38"/>
        <v>#N/A</v>
      </c>
      <c r="AR30" s="1305" t="b">
        <f t="shared" si="39"/>
        <v>0</v>
      </c>
      <c r="AS30" s="1305" t="e">
        <f t="shared" si="40"/>
        <v>#N/A</v>
      </c>
      <c r="AT30" s="1305" t="b">
        <f t="shared" si="41"/>
        <v>0</v>
      </c>
      <c r="AU30" s="1203" t="str">
        <f t="shared" si="42"/>
        <v/>
      </c>
      <c r="AV30" s="1063" t="str">
        <f t="shared" si="43"/>
        <v/>
      </c>
      <c r="AW30" s="1063" t="str">
        <f t="shared" si="44"/>
        <v/>
      </c>
      <c r="AX30" s="1063" t="str">
        <f t="shared" si="122"/>
        <v/>
      </c>
      <c r="AY30" s="1306" t="b">
        <f t="shared" si="45"/>
        <v>0</v>
      </c>
      <c r="AZ30" s="1090" t="str">
        <f t="shared" si="46"/>
        <v/>
      </c>
      <c r="BA30" s="674"/>
      <c r="BB30" s="842"/>
      <c r="BC30" s="894"/>
      <c r="BD30" s="926"/>
      <c r="BE30" s="927"/>
      <c r="BF30" s="928"/>
      <c r="BG30" s="901"/>
      <c r="BH30" s="1244"/>
      <c r="BI30" s="1245"/>
      <c r="BJ30" s="929"/>
      <c r="BK30" s="902"/>
      <c r="BL30" s="903"/>
      <c r="BM30" s="904"/>
      <c r="BN30" s="905"/>
      <c r="BO30" s="901"/>
      <c r="BP30" s="902"/>
      <c r="BQ30" s="903"/>
      <c r="BR30" s="929"/>
      <c r="BS30" s="902"/>
      <c r="BT30" s="903"/>
      <c r="BU30" s="904"/>
      <c r="BV30" s="905"/>
      <c r="BW30" s="906"/>
      <c r="BX30" s="930"/>
      <c r="BY30" s="931"/>
      <c r="BZ30" s="932"/>
      <c r="CA30" s="933"/>
      <c r="CB30" s="932"/>
      <c r="CC30" s="933"/>
      <c r="CD30" s="934" t="str">
        <f t="shared" si="47"/>
        <v/>
      </c>
      <c r="CE30" s="935" t="str">
        <f t="shared" si="48"/>
        <v/>
      </c>
      <c r="CF30" s="1149"/>
      <c r="CG30" s="1150"/>
      <c r="CH30" s="738" t="str">
        <f t="shared" si="49"/>
        <v/>
      </c>
      <c r="CI30" s="739" t="str">
        <f t="shared" si="50"/>
        <v/>
      </c>
      <c r="CJ30" s="740" t="str">
        <f t="shared" si="51"/>
        <v/>
      </c>
      <c r="CK30" s="741" t="str">
        <f t="shared" si="52"/>
        <v/>
      </c>
      <c r="CL30" s="742" t="str">
        <f t="shared" si="53"/>
        <v/>
      </c>
      <c r="CM30" s="743" t="str">
        <f t="shared" si="54"/>
        <v/>
      </c>
      <c r="CN30" s="744" t="str">
        <f t="shared" si="55"/>
        <v/>
      </c>
      <c r="CO30" s="745" t="str">
        <f t="shared" si="56"/>
        <v/>
      </c>
      <c r="CP30" s="762" t="str">
        <f t="shared" si="57"/>
        <v/>
      </c>
      <c r="CQ30" s="763" t="str">
        <f t="shared" si="58"/>
        <v/>
      </c>
      <c r="CR30" s="953" t="str">
        <f t="shared" si="59"/>
        <v/>
      </c>
      <c r="CS30" s="954" t="str">
        <f t="shared" si="60"/>
        <v/>
      </c>
      <c r="CU30" s="1048" t="str">
        <f>IF(BG30="","",VLOOKUP(BG30,SectInfo!$B:$N,12,FALSE))</f>
        <v/>
      </c>
      <c r="CV30" s="1046" t="str">
        <f>IF(BG30="","",IF(ISBLANK(BZ30),VLOOKUP(BG30,SectInfo!$B:$N,13,FALSE),BZ30))</f>
        <v/>
      </c>
      <c r="CW30" s="1046" t="str">
        <f>IF(BG30="","",IF(VLOOKUP(BG30,SectInfo!$B:$N,5,FALSE)="","R",UPPER(VLOOKUP(BG30,SectInfo!$B:$N,5,FALSE))))</f>
        <v/>
      </c>
      <c r="CX30" s="1046" t="str">
        <f>IF(BG30="","",IF(ISBLANK(CF30),VLOOKUP(BG30,SectInfo!$B:$N,6,FALSE),CF30))</f>
        <v/>
      </c>
      <c r="CY30" s="1276" t="str">
        <f>IF(BG30="","",IF(VLOOKUP(BG30,SectInfo!$B:$N,10,FALSE)="","",(VLOOKUP(BG30,SectInfo!$B:$N,10,FALSE)*-1)))</f>
        <v/>
      </c>
      <c r="CZ30" s="1443" t="str">
        <f>IF(BG30="","",IF(VLOOKUP(BG30,SectInfo!$B:$N,11,FALSE)="","2",(VLOOKUP(BG30,SectInfo!$B:$N,11,FALSE))))</f>
        <v/>
      </c>
      <c r="DA30" s="1046" t="str">
        <f>IF(BG30="","",IF(VLOOKUP(BG30,SectInfo!$B:$N,7,FALSE)="","",(VLOOKUP(BG30,SectInfo!$B:$N,7,FALSE)*-1)))</f>
        <v/>
      </c>
      <c r="DB30" s="1046" t="str">
        <f>IF(BG30="","",IF(VLOOKUP(BG30,SectInfo!$B:$N,8,FALSE)="",VLOOKUP(AU30,$DF$2:$DN$9,6,FALSE),(VLOOKUP(BG30,SectInfo!$B:$N,8,FALSE))))</f>
        <v/>
      </c>
      <c r="DC30" s="1046" t="str">
        <f>IF(BG30="","",VLOOKUP(BG30,SectInfo!$B:$N,9,FALSE))</f>
        <v/>
      </c>
      <c r="DD30" s="1047">
        <f t="shared" si="61"/>
        <v>0</v>
      </c>
      <c r="DE30" s="1048" t="str">
        <f>IF(BO30="","",VLOOKUP(BO30,SectInfo!$B:$N,12,FALSE))</f>
        <v/>
      </c>
      <c r="DF30" s="1046" t="str">
        <f>IF(BO30="","",IF(ISBLANK(CA30),VLOOKUP(BO30,SectInfo!$B:$N,13,FALSE),CA30))</f>
        <v/>
      </c>
      <c r="DG30" s="1046" t="str">
        <f>IF(BO30="","",IF(VLOOKUP(BO30,SectInfo!$B:$N,5,FALSE)="","R",UPPER(VLOOKUP(BO30,SectInfo!$B:$N,5,FALSE))))</f>
        <v/>
      </c>
      <c r="DH30" s="1046" t="str">
        <f>IF(BO30="","",IF(ISBLANK(CG30),VLOOKUP(BO30,SectInfo!$B:$N,6,FALSE),CG30))</f>
        <v/>
      </c>
      <c r="DI30" s="1046" t="str">
        <f>IF(BO30="","",IF(VLOOKUP(BO30,SectInfo!$B:$N,10,FALSE)="","",(VLOOKUP(BO30,SectInfo!$B:$N,10,FALSE)*-1)))</f>
        <v/>
      </c>
      <c r="DJ30" s="1443" t="str">
        <f>IF(BO30="","",IF(VLOOKUP(BO30,SectInfo!$B:$N,11,FALSE)="","2",(VLOOKUP(BO30,SectInfo!$B:$N,11,FALSE))))</f>
        <v/>
      </c>
      <c r="DK30" s="1046" t="str">
        <f>IF(BO30="","",IF(VLOOKUP(BO30,SectInfo!$B:$N,7,FALSE)="","",(VLOOKUP(BO30,SectInfo!$B:$N,7,FALSE)*-1)))</f>
        <v/>
      </c>
      <c r="DL30" s="1046" t="str">
        <f>IF(BO30="","",IF(VLOOKUP(BO30,SectInfo!$B:$N,8,FALSE)="",VLOOKUP(AU30,$DF$2:$DN$9,6,FALSE),(VLOOKUP(BO30,SectInfo!$B:$N,8,FALSE))))</f>
        <v/>
      </c>
      <c r="DM30" s="1046" t="str">
        <f>IF(BO30="","",VLOOKUP(BO30,SectInfo!$B:$N,9,FALSE))</f>
        <v/>
      </c>
      <c r="DN30" s="1047">
        <f t="shared" si="62"/>
        <v>0</v>
      </c>
      <c r="DO30" s="1049">
        <f t="shared" si="63"/>
        <v>0</v>
      </c>
      <c r="DP30" s="1053" t="str">
        <f t="shared" si="64"/>
        <v/>
      </c>
      <c r="DQ30" s="1053" t="str">
        <f t="shared" si="65"/>
        <v/>
      </c>
      <c r="DR30" s="1053" t="str">
        <f t="shared" si="66"/>
        <v/>
      </c>
      <c r="DS30" s="1052">
        <f t="shared" si="67"/>
        <v>0</v>
      </c>
      <c r="DT30" s="1052">
        <f t="shared" si="68"/>
        <v>0</v>
      </c>
      <c r="DU30" s="1052" t="str">
        <f t="shared" si="69"/>
        <v/>
      </c>
      <c r="DV30" s="1053" t="str">
        <f t="shared" si="70"/>
        <v/>
      </c>
      <c r="DW30" s="1053" t="str">
        <f t="shared" si="71"/>
        <v/>
      </c>
      <c r="DX30" s="1269">
        <f t="shared" si="72"/>
        <v>0</v>
      </c>
      <c r="DY30" s="1053">
        <f t="shared" si="73"/>
        <v>0</v>
      </c>
      <c r="DZ30" s="1052">
        <f t="shared" si="74"/>
        <v>0</v>
      </c>
      <c r="EA30" s="1052" t="str">
        <f t="shared" si="75"/>
        <v/>
      </c>
      <c r="EB30" s="1053" t="str">
        <f t="shared" si="76"/>
        <v/>
      </c>
      <c r="EC30" s="1053" t="str">
        <f t="shared" si="77"/>
        <v/>
      </c>
      <c r="ED30" s="1269">
        <f t="shared" si="78"/>
        <v>0</v>
      </c>
      <c r="EE30" s="1090" t="str">
        <f t="shared" si="79"/>
        <v/>
      </c>
      <c r="EF30" s="1053" t="str">
        <f t="shared" si="80"/>
        <v/>
      </c>
      <c r="EG30" s="1053" t="str">
        <f t="shared" si="81"/>
        <v/>
      </c>
      <c r="EH30" s="1053" t="e">
        <f t="shared" si="82"/>
        <v>#N/A</v>
      </c>
      <c r="EI30" s="1053" t="e">
        <f t="shared" si="83"/>
        <v>#N/A</v>
      </c>
      <c r="EJ30" s="1053" t="str">
        <f t="shared" si="84"/>
        <v/>
      </c>
      <c r="EK30" s="1053" t="str">
        <f t="shared" si="84"/>
        <v/>
      </c>
      <c r="EL30" s="1090" t="str">
        <f t="shared" si="85"/>
        <v/>
      </c>
      <c r="EM30" s="1053" t="str">
        <f t="shared" si="86"/>
        <v/>
      </c>
      <c r="EN30" s="1053" t="str">
        <f t="shared" si="87"/>
        <v/>
      </c>
      <c r="EO30" s="1053" t="e">
        <f t="shared" si="88"/>
        <v>#N/A</v>
      </c>
      <c r="EP30" s="1053" t="e">
        <f t="shared" si="89"/>
        <v>#N/A</v>
      </c>
      <c r="EQ30" s="1053" t="str">
        <f t="shared" si="90"/>
        <v/>
      </c>
      <c r="ER30" s="1053" t="str">
        <f t="shared" si="90"/>
        <v/>
      </c>
      <c r="ES30" s="1053" t="str">
        <f t="shared" si="91"/>
        <v/>
      </c>
      <c r="ET30" s="1053" t="str">
        <f t="shared" si="92"/>
        <v/>
      </c>
      <c r="EU30" s="1061" t="str">
        <f t="shared" si="93"/>
        <v/>
      </c>
      <c r="EV30" s="1055" t="str">
        <f t="shared" si="94"/>
        <v/>
      </c>
      <c r="EW30" s="1061"/>
      <c r="EX30" s="1061" t="str">
        <f>IF(AND(CU30="G", ISBLANK(BK30), ISBLANK(BL30)),VLOOKUP(MIN(BH30:BI30),TblJoistSize!$M$3:$N$10,2),IF(OR(CU30="B",CU30="G"),MIN(BK30:BL30),""))</f>
        <v/>
      </c>
      <c r="EY30" s="1061" t="str">
        <f>IF(AND(CU30="G", ISBLANK(BK30), ISBLANK(BL30)),VLOOKUP(MAX(BH30:BI30),TblJoistSize!$M$3:$N$10,2),IF(OR(CU30="B",CU30="G"),MAX(BK30:BL30),""))</f>
        <v/>
      </c>
      <c r="EZ30" s="1061" t="str">
        <f t="shared" si="95"/>
        <v/>
      </c>
      <c r="FA30" s="1061" t="str">
        <f>IF(AND(DE30="G", ISBLANK(BS30), ISBLANK(BT30)),VLOOKUP(MIN(BP30:BQ30),TblJoistSize!$M$3:$N$10,2),IF(OR(DE30="B", DE30="G"),MIN(BS30:BT30),""))</f>
        <v/>
      </c>
      <c r="FB30" s="1061" t="str">
        <f>IF(AND(DE30="G", ISBLANK(BS30), ISBLANK(BT30)),VLOOKUP(MAX(BP30:BQ30),TblJoistSize!$M$3:$N$10,2),IF(OR(DE30="B", DE30="G"),MAX(BS30:BT30),""))</f>
        <v/>
      </c>
      <c r="FC30" s="1061" t="str">
        <f t="shared" si="96"/>
        <v/>
      </c>
      <c r="FD30" s="1052">
        <f t="shared" si="123"/>
        <v>0</v>
      </c>
      <c r="FE30" s="1052">
        <f t="shared" si="97"/>
        <v>0</v>
      </c>
      <c r="FF30" s="1052">
        <f t="shared" si="98"/>
        <v>0</v>
      </c>
      <c r="FG30" s="1052" t="str">
        <f t="shared" si="99"/>
        <v/>
      </c>
      <c r="FH30" s="1053" t="str">
        <f t="shared" si="100"/>
        <v/>
      </c>
      <c r="FI30" s="1052">
        <f t="shared" si="124"/>
        <v>0</v>
      </c>
      <c r="FJ30" s="1052">
        <f t="shared" si="101"/>
        <v>0</v>
      </c>
      <c r="FK30" s="1052">
        <f t="shared" si="102"/>
        <v>0</v>
      </c>
      <c r="FL30" s="1052" t="str">
        <f t="shared" si="103"/>
        <v/>
      </c>
      <c r="FM30" s="1053" t="str">
        <f t="shared" si="104"/>
        <v/>
      </c>
      <c r="FN30" s="1053" t="e">
        <f t="shared" si="105"/>
        <v>#VALUE!</v>
      </c>
      <c r="FO30" s="1062" t="e">
        <f t="shared" si="106"/>
        <v>#VALUE!</v>
      </c>
      <c r="FP30" s="1062" t="e">
        <f t="shared" si="107"/>
        <v>#VALUE!</v>
      </c>
      <c r="FQ30" s="1063" t="e">
        <f t="shared" si="108"/>
        <v>#VALUE!</v>
      </c>
      <c r="FR30" s="1064" t="e">
        <f t="shared" si="109"/>
        <v>#VALUE!</v>
      </c>
      <c r="FS30" s="1065" t="str">
        <f t="shared" si="110"/>
        <v/>
      </c>
      <c r="FT30" s="1066" t="str">
        <f t="shared" si="111"/>
        <v/>
      </c>
      <c r="FU30" s="1105">
        <f t="shared" si="112"/>
        <v>0</v>
      </c>
      <c r="FV30" s="1106">
        <f t="shared" si="113"/>
        <v>0</v>
      </c>
      <c r="GA30" s="1975" t="str">
        <f t="shared" si="114"/>
        <v/>
      </c>
      <c r="GB30" s="1976" t="str">
        <f t="shared" si="115"/>
        <v/>
      </c>
      <c r="GC30" s="1977" t="str">
        <f t="shared" si="116"/>
        <v/>
      </c>
      <c r="GD30" s="1978" t="str">
        <f t="shared" si="117"/>
        <v/>
      </c>
      <c r="GE30" s="1979" t="str">
        <f t="shared" si="118"/>
        <v/>
      </c>
      <c r="GF30" s="1980" t="str">
        <f t="shared" si="119"/>
        <v/>
      </c>
      <c r="GG30" s="1453"/>
      <c r="GH30" s="1454"/>
      <c r="GI30" s="1453"/>
      <c r="GJ30" s="1454"/>
      <c r="GK30" s="533">
        <f t="shared" si="120"/>
        <v>0</v>
      </c>
      <c r="GL30" s="534" t="e">
        <f t="shared" si="121"/>
        <v>#VALUE!</v>
      </c>
      <c r="GM30" s="535" t="e">
        <f>IF(ABS(GK30-GL30)&gt;='Job Info.'!$L$22,ABS(GK30-GL30),0)</f>
        <v>#VALUE!</v>
      </c>
      <c r="HA30" s="1658"/>
      <c r="HB30" s="1659"/>
      <c r="HC30" s="1659"/>
      <c r="HD30" s="1660"/>
      <c r="HE30" s="1661"/>
      <c r="HF30" s="1659"/>
      <c r="HG30" s="1659"/>
      <c r="HH30" s="1659"/>
      <c r="HI30" s="1662"/>
      <c r="HJ30" s="1659"/>
      <c r="HK30" s="1659"/>
      <c r="HL30" s="1659"/>
      <c r="HM30" s="1659"/>
      <c r="HN30" s="1659"/>
      <c r="HO30" s="1659"/>
      <c r="HP30" s="1659"/>
      <c r="HQ30" s="1662"/>
      <c r="HR30" s="1659"/>
      <c r="HS30" s="1659"/>
      <c r="HT30" s="1659"/>
      <c r="HU30" s="1659"/>
      <c r="HV30" s="1659"/>
      <c r="HW30" s="1661"/>
      <c r="HX30" s="1661"/>
      <c r="HY30" s="1661"/>
      <c r="HZ30" s="1661"/>
      <c r="IA30" s="1661"/>
      <c r="IB30" s="1661"/>
      <c r="IC30" s="1661"/>
      <c r="ID30" s="1661"/>
      <c r="IE30" s="1661"/>
      <c r="IF30" s="1663"/>
    </row>
    <row r="31" spans="1:240" ht="12.6" customHeight="1" x14ac:dyDescent="0.25">
      <c r="A31" s="1471" t="str">
        <f t="shared" si="1"/>
        <v/>
      </c>
      <c r="B31" s="1473" t="str">
        <f t="shared" si="2"/>
        <v/>
      </c>
      <c r="C31" s="1473" t="str">
        <f t="shared" si="3"/>
        <v/>
      </c>
      <c r="D31" s="1909" t="str">
        <f t="shared" si="4"/>
        <v/>
      </c>
      <c r="E31" s="1982" t="str">
        <f t="shared" si="5"/>
        <v/>
      </c>
      <c r="F31" s="1920" t="str">
        <f t="shared" si="6"/>
        <v/>
      </c>
      <c r="G31" s="1910" t="str">
        <f t="shared" si="7"/>
        <v/>
      </c>
      <c r="H31" s="1965" t="str">
        <f t="shared" si="8"/>
        <v/>
      </c>
      <c r="I31" s="1909" t="str">
        <f t="shared" si="9"/>
        <v/>
      </c>
      <c r="J31" s="1910" t="str">
        <f t="shared" si="10"/>
        <v/>
      </c>
      <c r="K31" s="1983" t="str">
        <f t="shared" si="11"/>
        <v/>
      </c>
      <c r="L31" s="1915" t="str">
        <f t="shared" si="12"/>
        <v/>
      </c>
      <c r="M31" s="1961" t="str">
        <f t="shared" si="13"/>
        <v/>
      </c>
      <c r="N31" s="1917" t="str">
        <f t="shared" si="14"/>
        <v/>
      </c>
      <c r="O31" s="1910" t="str">
        <f t="shared" si="15"/>
        <v/>
      </c>
      <c r="P31" s="1908" t="str">
        <f t="shared" si="16"/>
        <v/>
      </c>
      <c r="Q31" s="1909" t="str">
        <f t="shared" si="17"/>
        <v/>
      </c>
      <c r="R31" s="1910" t="str">
        <f t="shared" si="18"/>
        <v/>
      </c>
      <c r="S31" s="1984" t="str">
        <f t="shared" si="19"/>
        <v/>
      </c>
      <c r="T31" s="1920" t="str">
        <f t="shared" si="20"/>
        <v/>
      </c>
      <c r="U31" s="1910" t="str">
        <f t="shared" si="21"/>
        <v/>
      </c>
      <c r="V31" s="1909" t="str">
        <f t="shared" si="22"/>
        <v/>
      </c>
      <c r="W31" s="1910" t="str">
        <f t="shared" si="23"/>
        <v/>
      </c>
      <c r="X31" s="1961">
        <f t="shared" si="24"/>
        <v>0</v>
      </c>
      <c r="Y31" s="1967" t="str">
        <f t="shared" si="25"/>
        <v/>
      </c>
      <c r="Z31" s="1968" t="str">
        <f t="shared" si="26"/>
        <v/>
      </c>
      <c r="AA31" s="1981"/>
      <c r="AC31" s="1226" t="b">
        <v>0</v>
      </c>
      <c r="AD31" s="525">
        <f t="shared" si="27"/>
        <v>0</v>
      </c>
      <c r="AE31" s="526">
        <f t="shared" si="28"/>
        <v>0</v>
      </c>
      <c r="AF31" s="526">
        <f t="shared" si="29"/>
        <v>0</v>
      </c>
      <c r="AG31" s="526">
        <f t="shared" si="30"/>
        <v>0</v>
      </c>
      <c r="AH31" s="527">
        <f t="shared" si="31"/>
        <v>0</v>
      </c>
      <c r="AI31" s="528" t="b">
        <v>0</v>
      </c>
      <c r="AJ31" s="284">
        <f t="shared" si="32"/>
        <v>0</v>
      </c>
      <c r="AK31" s="1063" t="str">
        <f t="shared" si="33"/>
        <v/>
      </c>
      <c r="AL31" s="1202" t="str">
        <f t="shared" si="34"/>
        <v/>
      </c>
      <c r="AM31" s="1063" t="str">
        <f t="shared" si="35"/>
        <v/>
      </c>
      <c r="AN31" s="1063" t="str">
        <f t="shared" si="36"/>
        <v/>
      </c>
      <c r="AO31" s="1063" t="str">
        <f t="shared" si="37"/>
        <v/>
      </c>
      <c r="AP31" s="1063" t="b">
        <f>IF(ISERROR(AJ31),FALSE,IF(OR(AJ31=0,ISERROR(AL31),ISERROR(AM31),ISERROR(AN31),ISERROR(AO31)),FALSE,IF(AL31&lt;&gt;"",IF(ISERROR(VLOOKUP(SUBSTITUTE(SUBSTITUTE(C31,"R",""),"A",""),TblJoistSize!$A:$A,1,FALSE)),FALSE,TRUE),TRUE)))</f>
        <v>0</v>
      </c>
      <c r="AQ31" s="1305" t="e">
        <f t="shared" si="38"/>
        <v>#N/A</v>
      </c>
      <c r="AR31" s="1305" t="b">
        <f t="shared" si="39"/>
        <v>0</v>
      </c>
      <c r="AS31" s="1305" t="e">
        <f t="shared" si="40"/>
        <v>#N/A</v>
      </c>
      <c r="AT31" s="1305" t="b">
        <f t="shared" si="41"/>
        <v>0</v>
      </c>
      <c r="AU31" s="1203" t="str">
        <f t="shared" si="42"/>
        <v/>
      </c>
      <c r="AV31" s="1063" t="str">
        <f t="shared" si="43"/>
        <v/>
      </c>
      <c r="AW31" s="1063" t="str">
        <f t="shared" si="44"/>
        <v/>
      </c>
      <c r="AX31" s="1063" t="str">
        <f t="shared" si="122"/>
        <v/>
      </c>
      <c r="AY31" s="1306" t="b">
        <f t="shared" si="45"/>
        <v>0</v>
      </c>
      <c r="AZ31" s="1090" t="str">
        <f t="shared" si="46"/>
        <v/>
      </c>
      <c r="BA31" s="674"/>
      <c r="BB31" s="842"/>
      <c r="BC31" s="894"/>
      <c r="BD31" s="926"/>
      <c r="BE31" s="927"/>
      <c r="BF31" s="928"/>
      <c r="BG31" s="901"/>
      <c r="BH31" s="1244"/>
      <c r="BI31" s="1245"/>
      <c r="BJ31" s="929"/>
      <c r="BK31" s="902"/>
      <c r="BL31" s="903"/>
      <c r="BM31" s="904"/>
      <c r="BN31" s="905"/>
      <c r="BO31" s="901"/>
      <c r="BP31" s="902"/>
      <c r="BQ31" s="903"/>
      <c r="BR31" s="929"/>
      <c r="BS31" s="902"/>
      <c r="BT31" s="903"/>
      <c r="BU31" s="904"/>
      <c r="BV31" s="905"/>
      <c r="BW31" s="906"/>
      <c r="BX31" s="930"/>
      <c r="BY31" s="931"/>
      <c r="BZ31" s="932"/>
      <c r="CA31" s="933"/>
      <c r="CB31" s="932"/>
      <c r="CC31" s="933"/>
      <c r="CD31" s="934" t="str">
        <f t="shared" si="47"/>
        <v/>
      </c>
      <c r="CE31" s="935" t="str">
        <f t="shared" si="48"/>
        <v/>
      </c>
      <c r="CF31" s="1149"/>
      <c r="CG31" s="1150"/>
      <c r="CH31" s="738" t="str">
        <f t="shared" si="49"/>
        <v/>
      </c>
      <c r="CI31" s="739" t="str">
        <f t="shared" si="50"/>
        <v/>
      </c>
      <c r="CJ31" s="740" t="str">
        <f t="shared" si="51"/>
        <v/>
      </c>
      <c r="CK31" s="741" t="str">
        <f t="shared" si="52"/>
        <v/>
      </c>
      <c r="CL31" s="742" t="str">
        <f t="shared" si="53"/>
        <v/>
      </c>
      <c r="CM31" s="743" t="str">
        <f t="shared" si="54"/>
        <v/>
      </c>
      <c r="CN31" s="744" t="str">
        <f t="shared" si="55"/>
        <v/>
      </c>
      <c r="CO31" s="745" t="str">
        <f t="shared" si="56"/>
        <v/>
      </c>
      <c r="CP31" s="762" t="str">
        <f t="shared" si="57"/>
        <v/>
      </c>
      <c r="CQ31" s="763" t="str">
        <f t="shared" si="58"/>
        <v/>
      </c>
      <c r="CR31" s="953" t="str">
        <f t="shared" si="59"/>
        <v/>
      </c>
      <c r="CS31" s="954" t="str">
        <f t="shared" si="60"/>
        <v/>
      </c>
      <c r="CU31" s="1048" t="str">
        <f>IF(BG31="","",VLOOKUP(BG31,SectInfo!$B:$N,12,FALSE))</f>
        <v/>
      </c>
      <c r="CV31" s="1046" t="str">
        <f>IF(BG31="","",IF(ISBLANK(BZ31),VLOOKUP(BG31,SectInfo!$B:$N,13,FALSE),BZ31))</f>
        <v/>
      </c>
      <c r="CW31" s="1046" t="str">
        <f>IF(BG31="","",IF(VLOOKUP(BG31,SectInfo!$B:$N,5,FALSE)="","R",UPPER(VLOOKUP(BG31,SectInfo!$B:$N,5,FALSE))))</f>
        <v/>
      </c>
      <c r="CX31" s="1046" t="str">
        <f>IF(BG31="","",IF(ISBLANK(CF31),VLOOKUP(BG31,SectInfo!$B:$N,6,FALSE),CF31))</f>
        <v/>
      </c>
      <c r="CY31" s="1276" t="str">
        <f>IF(BG31="","",IF(VLOOKUP(BG31,SectInfo!$B:$N,10,FALSE)="","",(VLOOKUP(BG31,SectInfo!$B:$N,10,FALSE)*-1)))</f>
        <v/>
      </c>
      <c r="CZ31" s="1443" t="str">
        <f>IF(BG31="","",IF(VLOOKUP(BG31,SectInfo!$B:$N,11,FALSE)="","2",(VLOOKUP(BG31,SectInfo!$B:$N,11,FALSE))))</f>
        <v/>
      </c>
      <c r="DA31" s="1046" t="str">
        <f>IF(BG31="","",IF(VLOOKUP(BG31,SectInfo!$B:$N,7,FALSE)="","",(VLOOKUP(BG31,SectInfo!$B:$N,7,FALSE)*-1)))</f>
        <v/>
      </c>
      <c r="DB31" s="1046" t="str">
        <f>IF(BG31="","",IF(VLOOKUP(BG31,SectInfo!$B:$N,8,FALSE)="",VLOOKUP(AU31,$DF$2:$DN$9,6,FALSE),(VLOOKUP(BG31,SectInfo!$B:$N,8,FALSE))))</f>
        <v/>
      </c>
      <c r="DC31" s="1046" t="str">
        <f>IF(BG31="","",VLOOKUP(BG31,SectInfo!$B:$N,9,FALSE))</f>
        <v/>
      </c>
      <c r="DD31" s="1047">
        <f t="shared" si="61"/>
        <v>0</v>
      </c>
      <c r="DE31" s="1048" t="str">
        <f>IF(BO31="","",VLOOKUP(BO31,SectInfo!$B:$N,12,FALSE))</f>
        <v/>
      </c>
      <c r="DF31" s="1046" t="str">
        <f>IF(BO31="","",IF(ISBLANK(CA31),VLOOKUP(BO31,SectInfo!$B:$N,13,FALSE),CA31))</f>
        <v/>
      </c>
      <c r="DG31" s="1046" t="str">
        <f>IF(BO31="","",IF(VLOOKUP(BO31,SectInfo!$B:$N,5,FALSE)="","R",UPPER(VLOOKUP(BO31,SectInfo!$B:$N,5,FALSE))))</f>
        <v/>
      </c>
      <c r="DH31" s="1046" t="str">
        <f>IF(BO31="","",IF(ISBLANK(CG31),VLOOKUP(BO31,SectInfo!$B:$N,6,FALSE),CG31))</f>
        <v/>
      </c>
      <c r="DI31" s="1046" t="str">
        <f>IF(BO31="","",IF(VLOOKUP(BO31,SectInfo!$B:$N,10,FALSE)="","",(VLOOKUP(BO31,SectInfo!$B:$N,10,FALSE)*-1)))</f>
        <v/>
      </c>
      <c r="DJ31" s="1443" t="str">
        <f>IF(BO31="","",IF(VLOOKUP(BO31,SectInfo!$B:$N,11,FALSE)="","2",(VLOOKUP(BO31,SectInfo!$B:$N,11,FALSE))))</f>
        <v/>
      </c>
      <c r="DK31" s="1046" t="str">
        <f>IF(BO31="","",IF(VLOOKUP(BO31,SectInfo!$B:$N,7,FALSE)="","",(VLOOKUP(BO31,SectInfo!$B:$N,7,FALSE)*-1)))</f>
        <v/>
      </c>
      <c r="DL31" s="1046" t="str">
        <f>IF(BO31="","",IF(VLOOKUP(BO31,SectInfo!$B:$N,8,FALSE)="",VLOOKUP(AU31,$DF$2:$DN$9,6,FALSE),(VLOOKUP(BO31,SectInfo!$B:$N,8,FALSE))))</f>
        <v/>
      </c>
      <c r="DM31" s="1046" t="str">
        <f>IF(BO31="","",VLOOKUP(BO31,SectInfo!$B:$N,9,FALSE))</f>
        <v/>
      </c>
      <c r="DN31" s="1047">
        <f t="shared" si="62"/>
        <v>0</v>
      </c>
      <c r="DO31" s="1049">
        <f t="shared" si="63"/>
        <v>0</v>
      </c>
      <c r="DP31" s="1053" t="str">
        <f t="shared" si="64"/>
        <v/>
      </c>
      <c r="DQ31" s="1053" t="str">
        <f t="shared" si="65"/>
        <v/>
      </c>
      <c r="DR31" s="1053" t="str">
        <f t="shared" si="66"/>
        <v/>
      </c>
      <c r="DS31" s="1052">
        <f t="shared" si="67"/>
        <v>0</v>
      </c>
      <c r="DT31" s="1052">
        <f t="shared" si="68"/>
        <v>0</v>
      </c>
      <c r="DU31" s="1052" t="str">
        <f t="shared" si="69"/>
        <v/>
      </c>
      <c r="DV31" s="1053" t="str">
        <f t="shared" si="70"/>
        <v/>
      </c>
      <c r="DW31" s="1053" t="str">
        <f t="shared" si="71"/>
        <v/>
      </c>
      <c r="DX31" s="1269">
        <f t="shared" si="72"/>
        <v>0</v>
      </c>
      <c r="DY31" s="1053">
        <f t="shared" si="73"/>
        <v>0</v>
      </c>
      <c r="DZ31" s="1052">
        <f t="shared" si="74"/>
        <v>0</v>
      </c>
      <c r="EA31" s="1052" t="str">
        <f t="shared" si="75"/>
        <v/>
      </c>
      <c r="EB31" s="1053" t="str">
        <f t="shared" si="76"/>
        <v/>
      </c>
      <c r="EC31" s="1053" t="str">
        <f t="shared" si="77"/>
        <v/>
      </c>
      <c r="ED31" s="1269">
        <f t="shared" si="78"/>
        <v>0</v>
      </c>
      <c r="EE31" s="1090" t="str">
        <f t="shared" si="79"/>
        <v/>
      </c>
      <c r="EF31" s="1053" t="str">
        <f t="shared" si="80"/>
        <v/>
      </c>
      <c r="EG31" s="1053" t="str">
        <f t="shared" si="81"/>
        <v/>
      </c>
      <c r="EH31" s="1053" t="e">
        <f t="shared" si="82"/>
        <v>#N/A</v>
      </c>
      <c r="EI31" s="1053" t="e">
        <f t="shared" si="83"/>
        <v>#N/A</v>
      </c>
      <c r="EJ31" s="1053" t="str">
        <f t="shared" si="84"/>
        <v/>
      </c>
      <c r="EK31" s="1053" t="str">
        <f t="shared" si="84"/>
        <v/>
      </c>
      <c r="EL31" s="1090" t="str">
        <f t="shared" si="85"/>
        <v/>
      </c>
      <c r="EM31" s="1053" t="str">
        <f t="shared" si="86"/>
        <v/>
      </c>
      <c r="EN31" s="1053" t="str">
        <f t="shared" si="87"/>
        <v/>
      </c>
      <c r="EO31" s="1053" t="e">
        <f t="shared" si="88"/>
        <v>#N/A</v>
      </c>
      <c r="EP31" s="1053" t="e">
        <f t="shared" si="89"/>
        <v>#N/A</v>
      </c>
      <c r="EQ31" s="1053" t="str">
        <f t="shared" si="90"/>
        <v/>
      </c>
      <c r="ER31" s="1053" t="str">
        <f t="shared" si="90"/>
        <v/>
      </c>
      <c r="ES31" s="1053" t="str">
        <f t="shared" si="91"/>
        <v/>
      </c>
      <c r="ET31" s="1053" t="str">
        <f t="shared" si="92"/>
        <v/>
      </c>
      <c r="EU31" s="1061" t="str">
        <f t="shared" si="93"/>
        <v/>
      </c>
      <c r="EV31" s="1055" t="str">
        <f t="shared" si="94"/>
        <v/>
      </c>
      <c r="EW31" s="1061"/>
      <c r="EX31" s="1061" t="str">
        <f>IF(AND(CU31="G", ISBLANK(BK31), ISBLANK(BL31)),VLOOKUP(MIN(BH31:BI31),TblJoistSize!$M$3:$N$10,2),IF(OR(CU31="B",CU31="G"),MIN(BK31:BL31),""))</f>
        <v/>
      </c>
      <c r="EY31" s="1061" t="str">
        <f>IF(AND(CU31="G", ISBLANK(BK31), ISBLANK(BL31)),VLOOKUP(MAX(BH31:BI31),TblJoistSize!$M$3:$N$10,2),IF(OR(CU31="B",CU31="G"),MAX(BK31:BL31),""))</f>
        <v/>
      </c>
      <c r="EZ31" s="1061" t="str">
        <f t="shared" si="95"/>
        <v/>
      </c>
      <c r="FA31" s="1061" t="str">
        <f>IF(AND(DE31="G", ISBLANK(BS31), ISBLANK(BT31)),VLOOKUP(MIN(BP31:BQ31),TblJoistSize!$M$3:$N$10,2),IF(OR(DE31="B", DE31="G"),MIN(BS31:BT31),""))</f>
        <v/>
      </c>
      <c r="FB31" s="1061" t="str">
        <f>IF(AND(DE31="G", ISBLANK(BS31), ISBLANK(BT31)),VLOOKUP(MAX(BP31:BQ31),TblJoistSize!$M$3:$N$10,2),IF(OR(DE31="B", DE31="G"),MAX(BS31:BT31),""))</f>
        <v/>
      </c>
      <c r="FC31" s="1061" t="str">
        <f t="shared" si="96"/>
        <v/>
      </c>
      <c r="FD31" s="1052">
        <f t="shared" si="123"/>
        <v>0</v>
      </c>
      <c r="FE31" s="1052">
        <f t="shared" si="97"/>
        <v>0</v>
      </c>
      <c r="FF31" s="1052">
        <f t="shared" si="98"/>
        <v>0</v>
      </c>
      <c r="FG31" s="1052" t="str">
        <f t="shared" si="99"/>
        <v/>
      </c>
      <c r="FH31" s="1053" t="str">
        <f t="shared" si="100"/>
        <v/>
      </c>
      <c r="FI31" s="1052">
        <f t="shared" si="124"/>
        <v>0</v>
      </c>
      <c r="FJ31" s="1052">
        <f t="shared" si="101"/>
        <v>0</v>
      </c>
      <c r="FK31" s="1052">
        <f t="shared" si="102"/>
        <v>0</v>
      </c>
      <c r="FL31" s="1052" t="str">
        <f t="shared" si="103"/>
        <v/>
      </c>
      <c r="FM31" s="1053" t="str">
        <f t="shared" si="104"/>
        <v/>
      </c>
      <c r="FN31" s="1053" t="e">
        <f t="shared" si="105"/>
        <v>#VALUE!</v>
      </c>
      <c r="FO31" s="1062" t="e">
        <f t="shared" si="106"/>
        <v>#VALUE!</v>
      </c>
      <c r="FP31" s="1062" t="e">
        <f t="shared" si="107"/>
        <v>#VALUE!</v>
      </c>
      <c r="FQ31" s="1063" t="e">
        <f t="shared" si="108"/>
        <v>#VALUE!</v>
      </c>
      <c r="FR31" s="1064" t="e">
        <f t="shared" si="109"/>
        <v>#VALUE!</v>
      </c>
      <c r="FS31" s="1065" t="str">
        <f t="shared" si="110"/>
        <v/>
      </c>
      <c r="FT31" s="1066" t="str">
        <f t="shared" si="111"/>
        <v/>
      </c>
      <c r="FU31" s="1105">
        <f t="shared" si="112"/>
        <v>0</v>
      </c>
      <c r="FV31" s="1106">
        <f t="shared" si="113"/>
        <v>0</v>
      </c>
      <c r="GA31" s="1975" t="str">
        <f t="shared" si="114"/>
        <v/>
      </c>
      <c r="GB31" s="1976" t="str">
        <f t="shared" si="115"/>
        <v/>
      </c>
      <c r="GC31" s="1977" t="str">
        <f t="shared" si="116"/>
        <v/>
      </c>
      <c r="GD31" s="1978" t="str">
        <f t="shared" si="117"/>
        <v/>
      </c>
      <c r="GE31" s="1979" t="str">
        <f t="shared" si="118"/>
        <v/>
      </c>
      <c r="GF31" s="1980" t="str">
        <f t="shared" si="119"/>
        <v/>
      </c>
      <c r="GG31" s="1453"/>
      <c r="GH31" s="1454"/>
      <c r="GI31" s="1453"/>
      <c r="GJ31" s="1454"/>
      <c r="GK31" s="533">
        <f t="shared" si="120"/>
        <v>0</v>
      </c>
      <c r="GL31" s="534" t="e">
        <f t="shared" si="121"/>
        <v>#VALUE!</v>
      </c>
      <c r="GM31" s="535" t="e">
        <f>IF(ABS(GK31-GL31)&gt;='Job Info.'!$L$22,ABS(GK31-GL31),0)</f>
        <v>#VALUE!</v>
      </c>
      <c r="HA31" s="1658"/>
      <c r="HB31" s="1659"/>
      <c r="HC31" s="1659"/>
      <c r="HD31" s="1660"/>
      <c r="HE31" s="1661"/>
      <c r="HF31" s="1659"/>
      <c r="HG31" s="1659"/>
      <c r="HH31" s="1659"/>
      <c r="HI31" s="1662"/>
      <c r="HJ31" s="1659"/>
      <c r="HK31" s="1659"/>
      <c r="HL31" s="1659"/>
      <c r="HM31" s="1659"/>
      <c r="HN31" s="1659"/>
      <c r="HO31" s="1659"/>
      <c r="HP31" s="1659"/>
      <c r="HQ31" s="1662"/>
      <c r="HR31" s="1659"/>
      <c r="HS31" s="1659"/>
      <c r="HT31" s="1659"/>
      <c r="HU31" s="1659"/>
      <c r="HV31" s="1659"/>
      <c r="HW31" s="1661"/>
      <c r="HX31" s="1661"/>
      <c r="HY31" s="1661"/>
      <c r="HZ31" s="1661"/>
      <c r="IA31" s="1661"/>
      <c r="IB31" s="1661"/>
      <c r="IC31" s="1661"/>
      <c r="ID31" s="1661"/>
      <c r="IE31" s="1661"/>
      <c r="IF31" s="1663"/>
    </row>
    <row r="32" spans="1:240" ht="12.6" customHeight="1" x14ac:dyDescent="0.25">
      <c r="A32" s="1471" t="str">
        <f t="shared" si="1"/>
        <v/>
      </c>
      <c r="B32" s="1473" t="str">
        <f t="shared" si="2"/>
        <v/>
      </c>
      <c r="C32" s="1473" t="str">
        <f t="shared" si="3"/>
        <v/>
      </c>
      <c r="D32" s="1909" t="str">
        <f t="shared" si="4"/>
        <v/>
      </c>
      <c r="E32" s="1982" t="str">
        <f t="shared" si="5"/>
        <v/>
      </c>
      <c r="F32" s="1920" t="str">
        <f t="shared" si="6"/>
        <v/>
      </c>
      <c r="G32" s="1910" t="str">
        <f t="shared" si="7"/>
        <v/>
      </c>
      <c r="H32" s="1965" t="str">
        <f t="shared" si="8"/>
        <v/>
      </c>
      <c r="I32" s="1909" t="str">
        <f t="shared" si="9"/>
        <v/>
      </c>
      <c r="J32" s="1910" t="str">
        <f t="shared" si="10"/>
        <v/>
      </c>
      <c r="K32" s="1983" t="str">
        <f t="shared" si="11"/>
        <v/>
      </c>
      <c r="L32" s="1915" t="str">
        <f t="shared" si="12"/>
        <v/>
      </c>
      <c r="M32" s="1961" t="str">
        <f t="shared" si="13"/>
        <v/>
      </c>
      <c r="N32" s="1917" t="str">
        <f t="shared" si="14"/>
        <v/>
      </c>
      <c r="O32" s="1910" t="str">
        <f t="shared" si="15"/>
        <v/>
      </c>
      <c r="P32" s="1908" t="str">
        <f t="shared" si="16"/>
        <v/>
      </c>
      <c r="Q32" s="1909" t="str">
        <f t="shared" si="17"/>
        <v/>
      </c>
      <c r="R32" s="1910" t="str">
        <f t="shared" si="18"/>
        <v/>
      </c>
      <c r="S32" s="1984" t="str">
        <f t="shared" si="19"/>
        <v/>
      </c>
      <c r="T32" s="1920" t="str">
        <f t="shared" si="20"/>
        <v/>
      </c>
      <c r="U32" s="1910" t="str">
        <f t="shared" si="21"/>
        <v/>
      </c>
      <c r="V32" s="1909" t="str">
        <f t="shared" si="22"/>
        <v/>
      </c>
      <c r="W32" s="1910" t="str">
        <f t="shared" si="23"/>
        <v/>
      </c>
      <c r="X32" s="1961">
        <f t="shared" si="24"/>
        <v>0</v>
      </c>
      <c r="Y32" s="1967" t="str">
        <f t="shared" si="25"/>
        <v/>
      </c>
      <c r="Z32" s="1968" t="str">
        <f t="shared" si="26"/>
        <v/>
      </c>
      <c r="AA32" s="1981"/>
      <c r="AC32" s="1226" t="b">
        <v>0</v>
      </c>
      <c r="AD32" s="525">
        <f t="shared" si="27"/>
        <v>0</v>
      </c>
      <c r="AE32" s="526">
        <f t="shared" si="28"/>
        <v>0</v>
      </c>
      <c r="AF32" s="526">
        <f t="shared" si="29"/>
        <v>0</v>
      </c>
      <c r="AG32" s="526">
        <f t="shared" si="30"/>
        <v>0</v>
      </c>
      <c r="AH32" s="527">
        <f t="shared" si="31"/>
        <v>0</v>
      </c>
      <c r="AI32" s="528" t="b">
        <v>0</v>
      </c>
      <c r="AJ32" s="284">
        <f t="shared" si="32"/>
        <v>0</v>
      </c>
      <c r="AK32" s="1063" t="str">
        <f t="shared" si="33"/>
        <v/>
      </c>
      <c r="AL32" s="1202" t="str">
        <f t="shared" si="34"/>
        <v/>
      </c>
      <c r="AM32" s="1063" t="str">
        <f t="shared" si="35"/>
        <v/>
      </c>
      <c r="AN32" s="1063" t="str">
        <f t="shared" si="36"/>
        <v/>
      </c>
      <c r="AO32" s="1063" t="str">
        <f t="shared" si="37"/>
        <v/>
      </c>
      <c r="AP32" s="1063" t="b">
        <f>IF(ISERROR(AJ32),FALSE,IF(OR(AJ32=0,ISERROR(AL32),ISERROR(AM32),ISERROR(AN32),ISERROR(AO32)),FALSE,IF(AL32&lt;&gt;"",IF(ISERROR(VLOOKUP(SUBSTITUTE(SUBSTITUTE(C32,"R",""),"A",""),TblJoistSize!$A:$A,1,FALSE)),FALSE,TRUE),TRUE)))</f>
        <v>0</v>
      </c>
      <c r="AQ32" s="1305" t="e">
        <f t="shared" si="38"/>
        <v>#N/A</v>
      </c>
      <c r="AR32" s="1305" t="b">
        <f t="shared" si="39"/>
        <v>0</v>
      </c>
      <c r="AS32" s="1305" t="e">
        <f t="shared" si="40"/>
        <v>#N/A</v>
      </c>
      <c r="AT32" s="1305" t="b">
        <f t="shared" si="41"/>
        <v>0</v>
      </c>
      <c r="AU32" s="1203" t="str">
        <f t="shared" si="42"/>
        <v/>
      </c>
      <c r="AV32" s="1063" t="str">
        <f t="shared" si="43"/>
        <v/>
      </c>
      <c r="AW32" s="1063" t="str">
        <f t="shared" si="44"/>
        <v/>
      </c>
      <c r="AX32" s="1063" t="str">
        <f t="shared" si="122"/>
        <v/>
      </c>
      <c r="AY32" s="1306" t="b">
        <f t="shared" si="45"/>
        <v>0</v>
      </c>
      <c r="AZ32" s="1090" t="str">
        <f t="shared" si="46"/>
        <v/>
      </c>
      <c r="BA32" s="674"/>
      <c r="BB32" s="842"/>
      <c r="BC32" s="894"/>
      <c r="BD32" s="926"/>
      <c r="BE32" s="927"/>
      <c r="BF32" s="928"/>
      <c r="BG32" s="901"/>
      <c r="BH32" s="1244"/>
      <c r="BI32" s="1245"/>
      <c r="BJ32" s="929"/>
      <c r="BK32" s="902"/>
      <c r="BL32" s="903"/>
      <c r="BM32" s="904"/>
      <c r="BN32" s="905"/>
      <c r="BO32" s="901"/>
      <c r="BP32" s="902"/>
      <c r="BQ32" s="903"/>
      <c r="BR32" s="929"/>
      <c r="BS32" s="902"/>
      <c r="BT32" s="903"/>
      <c r="BU32" s="904"/>
      <c r="BV32" s="905"/>
      <c r="BW32" s="906"/>
      <c r="BX32" s="930"/>
      <c r="BY32" s="931"/>
      <c r="BZ32" s="932"/>
      <c r="CA32" s="933"/>
      <c r="CB32" s="932"/>
      <c r="CC32" s="933"/>
      <c r="CD32" s="934" t="str">
        <f t="shared" si="47"/>
        <v/>
      </c>
      <c r="CE32" s="935" t="str">
        <f t="shared" si="48"/>
        <v/>
      </c>
      <c r="CF32" s="1149"/>
      <c r="CG32" s="1150"/>
      <c r="CH32" s="738" t="str">
        <f t="shared" si="49"/>
        <v/>
      </c>
      <c r="CI32" s="739" t="str">
        <f t="shared" si="50"/>
        <v/>
      </c>
      <c r="CJ32" s="740" t="str">
        <f t="shared" si="51"/>
        <v/>
      </c>
      <c r="CK32" s="741" t="str">
        <f t="shared" si="52"/>
        <v/>
      </c>
      <c r="CL32" s="742" t="str">
        <f t="shared" si="53"/>
        <v/>
      </c>
      <c r="CM32" s="743" t="str">
        <f t="shared" si="54"/>
        <v/>
      </c>
      <c r="CN32" s="744" t="str">
        <f t="shared" si="55"/>
        <v/>
      </c>
      <c r="CO32" s="745" t="str">
        <f t="shared" si="56"/>
        <v/>
      </c>
      <c r="CP32" s="762" t="str">
        <f t="shared" si="57"/>
        <v/>
      </c>
      <c r="CQ32" s="763" t="str">
        <f t="shared" si="58"/>
        <v/>
      </c>
      <c r="CR32" s="953" t="str">
        <f t="shared" si="59"/>
        <v/>
      </c>
      <c r="CS32" s="954" t="str">
        <f t="shared" si="60"/>
        <v/>
      </c>
      <c r="CU32" s="1048" t="str">
        <f>IF(BG32="","",VLOOKUP(BG32,SectInfo!$B:$N,12,FALSE))</f>
        <v/>
      </c>
      <c r="CV32" s="1046" t="str">
        <f>IF(BG32="","",IF(ISBLANK(BZ32),VLOOKUP(BG32,SectInfo!$B:$N,13,FALSE),BZ32))</f>
        <v/>
      </c>
      <c r="CW32" s="1046" t="str">
        <f>IF(BG32="","",IF(VLOOKUP(BG32,SectInfo!$B:$N,5,FALSE)="","R",UPPER(VLOOKUP(BG32,SectInfo!$B:$N,5,FALSE))))</f>
        <v/>
      </c>
      <c r="CX32" s="1046" t="str">
        <f>IF(BG32="","",IF(ISBLANK(CF32),VLOOKUP(BG32,SectInfo!$B:$N,6,FALSE),CF32))</f>
        <v/>
      </c>
      <c r="CY32" s="1276" t="str">
        <f>IF(BG32="","",IF(VLOOKUP(BG32,SectInfo!$B:$N,10,FALSE)="","",(VLOOKUP(BG32,SectInfo!$B:$N,10,FALSE)*-1)))</f>
        <v/>
      </c>
      <c r="CZ32" s="1443" t="str">
        <f>IF(BG32="","",IF(VLOOKUP(BG32,SectInfo!$B:$N,11,FALSE)="","2",(VLOOKUP(BG32,SectInfo!$B:$N,11,FALSE))))</f>
        <v/>
      </c>
      <c r="DA32" s="1046" t="str">
        <f>IF(BG32="","",IF(VLOOKUP(BG32,SectInfo!$B:$N,7,FALSE)="","",(VLOOKUP(BG32,SectInfo!$B:$N,7,FALSE)*-1)))</f>
        <v/>
      </c>
      <c r="DB32" s="1046" t="str">
        <f>IF(BG32="","",IF(VLOOKUP(BG32,SectInfo!$B:$N,8,FALSE)="",VLOOKUP(AU32,$DF$2:$DN$9,6,FALSE),(VLOOKUP(BG32,SectInfo!$B:$N,8,FALSE))))</f>
        <v/>
      </c>
      <c r="DC32" s="1046" t="str">
        <f>IF(BG32="","",VLOOKUP(BG32,SectInfo!$B:$N,9,FALSE))</f>
        <v/>
      </c>
      <c r="DD32" s="1047">
        <f t="shared" si="61"/>
        <v>0</v>
      </c>
      <c r="DE32" s="1048" t="str">
        <f>IF(BO32="","",VLOOKUP(BO32,SectInfo!$B:$N,12,FALSE))</f>
        <v/>
      </c>
      <c r="DF32" s="1046" t="str">
        <f>IF(BO32="","",IF(ISBLANK(CA32),VLOOKUP(BO32,SectInfo!$B:$N,13,FALSE),CA32))</f>
        <v/>
      </c>
      <c r="DG32" s="1046" t="str">
        <f>IF(BO32="","",IF(VLOOKUP(BO32,SectInfo!$B:$N,5,FALSE)="","R",UPPER(VLOOKUP(BO32,SectInfo!$B:$N,5,FALSE))))</f>
        <v/>
      </c>
      <c r="DH32" s="1046" t="str">
        <f>IF(BO32="","",IF(ISBLANK(CG32),VLOOKUP(BO32,SectInfo!$B:$N,6,FALSE),CG32))</f>
        <v/>
      </c>
      <c r="DI32" s="1046" t="str">
        <f>IF(BO32="","",IF(VLOOKUP(BO32,SectInfo!$B:$N,10,FALSE)="","",(VLOOKUP(BO32,SectInfo!$B:$N,10,FALSE)*-1)))</f>
        <v/>
      </c>
      <c r="DJ32" s="1443" t="str">
        <f>IF(BO32="","",IF(VLOOKUP(BO32,SectInfo!$B:$N,11,FALSE)="","2",(VLOOKUP(BO32,SectInfo!$B:$N,11,FALSE))))</f>
        <v/>
      </c>
      <c r="DK32" s="1046" t="str">
        <f>IF(BO32="","",IF(VLOOKUP(BO32,SectInfo!$B:$N,7,FALSE)="","",(VLOOKUP(BO32,SectInfo!$B:$N,7,FALSE)*-1)))</f>
        <v/>
      </c>
      <c r="DL32" s="1046" t="str">
        <f>IF(BO32="","",IF(VLOOKUP(BO32,SectInfo!$B:$N,8,FALSE)="",VLOOKUP(AU32,$DF$2:$DN$9,6,FALSE),(VLOOKUP(BO32,SectInfo!$B:$N,8,FALSE))))</f>
        <v/>
      </c>
      <c r="DM32" s="1046" t="str">
        <f>IF(BO32="","",VLOOKUP(BO32,SectInfo!$B:$N,9,FALSE))</f>
        <v/>
      </c>
      <c r="DN32" s="1047">
        <f t="shared" si="62"/>
        <v>0</v>
      </c>
      <c r="DO32" s="1049">
        <f t="shared" si="63"/>
        <v>0</v>
      </c>
      <c r="DP32" s="1053" t="str">
        <f t="shared" si="64"/>
        <v/>
      </c>
      <c r="DQ32" s="1053" t="str">
        <f t="shared" si="65"/>
        <v/>
      </c>
      <c r="DR32" s="1053" t="str">
        <f t="shared" si="66"/>
        <v/>
      </c>
      <c r="DS32" s="1052">
        <f t="shared" si="67"/>
        <v>0</v>
      </c>
      <c r="DT32" s="1052">
        <f t="shared" si="68"/>
        <v>0</v>
      </c>
      <c r="DU32" s="1052" t="str">
        <f t="shared" si="69"/>
        <v/>
      </c>
      <c r="DV32" s="1053" t="str">
        <f t="shared" si="70"/>
        <v/>
      </c>
      <c r="DW32" s="1053" t="str">
        <f t="shared" si="71"/>
        <v/>
      </c>
      <c r="DX32" s="1269">
        <f t="shared" si="72"/>
        <v>0</v>
      </c>
      <c r="DY32" s="1053">
        <f t="shared" si="73"/>
        <v>0</v>
      </c>
      <c r="DZ32" s="1052">
        <f t="shared" si="74"/>
        <v>0</v>
      </c>
      <c r="EA32" s="1052" t="str">
        <f t="shared" si="75"/>
        <v/>
      </c>
      <c r="EB32" s="1053" t="str">
        <f t="shared" si="76"/>
        <v/>
      </c>
      <c r="EC32" s="1053" t="str">
        <f t="shared" si="77"/>
        <v/>
      </c>
      <c r="ED32" s="1269">
        <f t="shared" si="78"/>
        <v>0</v>
      </c>
      <c r="EE32" s="1090" t="str">
        <f t="shared" si="79"/>
        <v/>
      </c>
      <c r="EF32" s="1053" t="str">
        <f t="shared" si="80"/>
        <v/>
      </c>
      <c r="EG32" s="1053" t="str">
        <f t="shared" si="81"/>
        <v/>
      </c>
      <c r="EH32" s="1053" t="e">
        <f t="shared" si="82"/>
        <v>#N/A</v>
      </c>
      <c r="EI32" s="1053" t="e">
        <f t="shared" si="83"/>
        <v>#N/A</v>
      </c>
      <c r="EJ32" s="1053" t="str">
        <f t="shared" si="84"/>
        <v/>
      </c>
      <c r="EK32" s="1053" t="str">
        <f t="shared" si="84"/>
        <v/>
      </c>
      <c r="EL32" s="1090" t="str">
        <f t="shared" si="85"/>
        <v/>
      </c>
      <c r="EM32" s="1053" t="str">
        <f t="shared" si="86"/>
        <v/>
      </c>
      <c r="EN32" s="1053" t="str">
        <f t="shared" si="87"/>
        <v/>
      </c>
      <c r="EO32" s="1053" t="e">
        <f t="shared" si="88"/>
        <v>#N/A</v>
      </c>
      <c r="EP32" s="1053" t="e">
        <f t="shared" si="89"/>
        <v>#N/A</v>
      </c>
      <c r="EQ32" s="1053" t="str">
        <f t="shared" si="90"/>
        <v/>
      </c>
      <c r="ER32" s="1053" t="str">
        <f t="shared" si="90"/>
        <v/>
      </c>
      <c r="ES32" s="1053" t="str">
        <f t="shared" si="91"/>
        <v/>
      </c>
      <c r="ET32" s="1053" t="str">
        <f t="shared" si="92"/>
        <v/>
      </c>
      <c r="EU32" s="1061" t="str">
        <f t="shared" si="93"/>
        <v/>
      </c>
      <c r="EV32" s="1055" t="str">
        <f t="shared" si="94"/>
        <v/>
      </c>
      <c r="EW32" s="1061"/>
      <c r="EX32" s="1061" t="str">
        <f>IF(AND(CU32="G", ISBLANK(BK32), ISBLANK(BL32)),VLOOKUP(MIN(BH32:BI32),TblJoistSize!$M$3:$N$10,2),IF(OR(CU32="B",CU32="G"),MIN(BK32:BL32),""))</f>
        <v/>
      </c>
      <c r="EY32" s="1061" t="str">
        <f>IF(AND(CU32="G", ISBLANK(BK32), ISBLANK(BL32)),VLOOKUP(MAX(BH32:BI32),TblJoistSize!$M$3:$N$10,2),IF(OR(CU32="B",CU32="G"),MAX(BK32:BL32),""))</f>
        <v/>
      </c>
      <c r="EZ32" s="1061" t="str">
        <f t="shared" si="95"/>
        <v/>
      </c>
      <c r="FA32" s="1061" t="str">
        <f>IF(AND(DE32="G", ISBLANK(BS32), ISBLANK(BT32)),VLOOKUP(MIN(BP32:BQ32),TblJoistSize!$M$3:$N$10,2),IF(OR(DE32="B", DE32="G"),MIN(BS32:BT32),""))</f>
        <v/>
      </c>
      <c r="FB32" s="1061" t="str">
        <f>IF(AND(DE32="G", ISBLANK(BS32), ISBLANK(BT32)),VLOOKUP(MAX(BP32:BQ32),TblJoistSize!$M$3:$N$10,2),IF(OR(DE32="B", DE32="G"),MAX(BS32:BT32),""))</f>
        <v/>
      </c>
      <c r="FC32" s="1061" t="str">
        <f t="shared" si="96"/>
        <v/>
      </c>
      <c r="FD32" s="1052">
        <f t="shared" si="123"/>
        <v>0</v>
      </c>
      <c r="FE32" s="1052">
        <f t="shared" si="97"/>
        <v>0</v>
      </c>
      <c r="FF32" s="1052">
        <f t="shared" si="98"/>
        <v>0</v>
      </c>
      <c r="FG32" s="1052" t="str">
        <f t="shared" si="99"/>
        <v/>
      </c>
      <c r="FH32" s="1053" t="str">
        <f t="shared" si="100"/>
        <v/>
      </c>
      <c r="FI32" s="1052">
        <f t="shared" si="124"/>
        <v>0</v>
      </c>
      <c r="FJ32" s="1052">
        <f t="shared" si="101"/>
        <v>0</v>
      </c>
      <c r="FK32" s="1052">
        <f t="shared" si="102"/>
        <v>0</v>
      </c>
      <c r="FL32" s="1052" t="str">
        <f t="shared" si="103"/>
        <v/>
      </c>
      <c r="FM32" s="1053" t="str">
        <f t="shared" si="104"/>
        <v/>
      </c>
      <c r="FN32" s="1053" t="e">
        <f t="shared" si="105"/>
        <v>#VALUE!</v>
      </c>
      <c r="FO32" s="1062" t="e">
        <f t="shared" si="106"/>
        <v>#VALUE!</v>
      </c>
      <c r="FP32" s="1062" t="e">
        <f t="shared" si="107"/>
        <v>#VALUE!</v>
      </c>
      <c r="FQ32" s="1063" t="e">
        <f t="shared" si="108"/>
        <v>#VALUE!</v>
      </c>
      <c r="FR32" s="1064" t="e">
        <f t="shared" si="109"/>
        <v>#VALUE!</v>
      </c>
      <c r="FS32" s="1065" t="str">
        <f t="shared" si="110"/>
        <v/>
      </c>
      <c r="FT32" s="1066" t="str">
        <f t="shared" si="111"/>
        <v/>
      </c>
      <c r="FU32" s="1105">
        <f t="shared" si="112"/>
        <v>0</v>
      </c>
      <c r="FV32" s="1106">
        <f t="shared" si="113"/>
        <v>0</v>
      </c>
      <c r="GA32" s="1975" t="str">
        <f t="shared" si="114"/>
        <v/>
      </c>
      <c r="GB32" s="1976" t="str">
        <f t="shared" si="115"/>
        <v/>
      </c>
      <c r="GC32" s="1977" t="str">
        <f t="shared" si="116"/>
        <v/>
      </c>
      <c r="GD32" s="1978" t="str">
        <f t="shared" si="117"/>
        <v/>
      </c>
      <c r="GE32" s="1979" t="str">
        <f t="shared" si="118"/>
        <v/>
      </c>
      <c r="GF32" s="1980" t="str">
        <f t="shared" si="119"/>
        <v/>
      </c>
      <c r="GG32" s="1453"/>
      <c r="GH32" s="1454"/>
      <c r="GI32" s="1453"/>
      <c r="GJ32" s="1454"/>
      <c r="GK32" s="533">
        <f t="shared" si="120"/>
        <v>0</v>
      </c>
      <c r="GL32" s="534" t="e">
        <f t="shared" si="121"/>
        <v>#VALUE!</v>
      </c>
      <c r="GM32" s="535" t="e">
        <f>IF(ABS(GK32-GL32)&gt;='Job Info.'!$L$22,ABS(GK32-GL32),0)</f>
        <v>#VALUE!</v>
      </c>
      <c r="HA32" s="1658"/>
      <c r="HB32" s="1659"/>
      <c r="HC32" s="1659"/>
      <c r="HD32" s="1660"/>
      <c r="HE32" s="1661"/>
      <c r="HF32" s="1659"/>
      <c r="HG32" s="1659"/>
      <c r="HH32" s="1659"/>
      <c r="HI32" s="1662"/>
      <c r="HJ32" s="1659"/>
      <c r="HK32" s="1659"/>
      <c r="HL32" s="1659"/>
      <c r="HM32" s="1659"/>
      <c r="HN32" s="1659"/>
      <c r="HO32" s="1659"/>
      <c r="HP32" s="1659"/>
      <c r="HQ32" s="1662"/>
      <c r="HR32" s="1659"/>
      <c r="HS32" s="1659"/>
      <c r="HT32" s="1659"/>
      <c r="HU32" s="1659"/>
      <c r="HV32" s="1659"/>
      <c r="HW32" s="1661"/>
      <c r="HX32" s="1661"/>
      <c r="HY32" s="1661"/>
      <c r="HZ32" s="1661"/>
      <c r="IA32" s="1661"/>
      <c r="IB32" s="1661"/>
      <c r="IC32" s="1661"/>
      <c r="ID32" s="1661"/>
      <c r="IE32" s="1661"/>
      <c r="IF32" s="1663"/>
    </row>
    <row r="33" spans="1:240" ht="12.6" customHeight="1" x14ac:dyDescent="0.25">
      <c r="A33" s="1471" t="str">
        <f t="shared" si="1"/>
        <v/>
      </c>
      <c r="B33" s="1473" t="str">
        <f t="shared" si="2"/>
        <v/>
      </c>
      <c r="C33" s="1473" t="str">
        <f t="shared" si="3"/>
        <v/>
      </c>
      <c r="D33" s="1909" t="str">
        <f t="shared" si="4"/>
        <v/>
      </c>
      <c r="E33" s="1982" t="str">
        <f t="shared" si="5"/>
        <v/>
      </c>
      <c r="F33" s="1920" t="str">
        <f t="shared" si="6"/>
        <v/>
      </c>
      <c r="G33" s="1910" t="str">
        <f t="shared" si="7"/>
        <v/>
      </c>
      <c r="H33" s="1965" t="str">
        <f t="shared" si="8"/>
        <v/>
      </c>
      <c r="I33" s="1909" t="str">
        <f t="shared" si="9"/>
        <v/>
      </c>
      <c r="J33" s="1910" t="str">
        <f t="shared" si="10"/>
        <v/>
      </c>
      <c r="K33" s="1983" t="str">
        <f t="shared" si="11"/>
        <v/>
      </c>
      <c r="L33" s="1915" t="str">
        <f t="shared" si="12"/>
        <v/>
      </c>
      <c r="M33" s="1961" t="str">
        <f t="shared" si="13"/>
        <v/>
      </c>
      <c r="N33" s="1917" t="str">
        <f t="shared" si="14"/>
        <v/>
      </c>
      <c r="O33" s="1910" t="str">
        <f t="shared" si="15"/>
        <v/>
      </c>
      <c r="P33" s="1908" t="str">
        <f t="shared" si="16"/>
        <v/>
      </c>
      <c r="Q33" s="1909" t="str">
        <f t="shared" si="17"/>
        <v/>
      </c>
      <c r="R33" s="1910" t="str">
        <f t="shared" si="18"/>
        <v/>
      </c>
      <c r="S33" s="1984" t="str">
        <f t="shared" si="19"/>
        <v/>
      </c>
      <c r="T33" s="1920" t="str">
        <f t="shared" si="20"/>
        <v/>
      </c>
      <c r="U33" s="1910" t="str">
        <f t="shared" si="21"/>
        <v/>
      </c>
      <c r="V33" s="1909" t="str">
        <f t="shared" si="22"/>
        <v/>
      </c>
      <c r="W33" s="1910" t="str">
        <f t="shared" si="23"/>
        <v/>
      </c>
      <c r="X33" s="1961">
        <f t="shared" si="24"/>
        <v>0</v>
      </c>
      <c r="Y33" s="1967" t="str">
        <f t="shared" si="25"/>
        <v/>
      </c>
      <c r="Z33" s="1968" t="str">
        <f t="shared" si="26"/>
        <v/>
      </c>
      <c r="AA33" s="1981"/>
      <c r="AC33" s="1226" t="b">
        <v>0</v>
      </c>
      <c r="AD33" s="525">
        <f t="shared" si="27"/>
        <v>0</v>
      </c>
      <c r="AE33" s="526">
        <f t="shared" si="28"/>
        <v>0</v>
      </c>
      <c r="AF33" s="526">
        <f t="shared" si="29"/>
        <v>0</v>
      </c>
      <c r="AG33" s="526">
        <f t="shared" si="30"/>
        <v>0</v>
      </c>
      <c r="AH33" s="527">
        <f t="shared" si="31"/>
        <v>0</v>
      </c>
      <c r="AI33" s="528" t="b">
        <v>0</v>
      </c>
      <c r="AJ33" s="284">
        <f t="shared" si="32"/>
        <v>0</v>
      </c>
      <c r="AK33" s="1063" t="str">
        <f t="shared" si="33"/>
        <v/>
      </c>
      <c r="AL33" s="1202" t="str">
        <f t="shared" si="34"/>
        <v/>
      </c>
      <c r="AM33" s="1063" t="str">
        <f t="shared" si="35"/>
        <v/>
      </c>
      <c r="AN33" s="1063" t="str">
        <f t="shared" si="36"/>
        <v/>
      </c>
      <c r="AO33" s="1063" t="str">
        <f t="shared" si="37"/>
        <v/>
      </c>
      <c r="AP33" s="1063" t="b">
        <f>IF(ISERROR(AJ33),FALSE,IF(OR(AJ33=0,ISERROR(AL33),ISERROR(AM33),ISERROR(AN33),ISERROR(AO33)),FALSE,IF(AL33&lt;&gt;"",IF(ISERROR(VLOOKUP(SUBSTITUTE(SUBSTITUTE(C33,"R",""),"A",""),TblJoistSize!$A:$A,1,FALSE)),FALSE,TRUE),TRUE)))</f>
        <v>0</v>
      </c>
      <c r="AQ33" s="1305" t="e">
        <f t="shared" si="38"/>
        <v>#N/A</v>
      </c>
      <c r="AR33" s="1305" t="b">
        <f t="shared" si="39"/>
        <v>0</v>
      </c>
      <c r="AS33" s="1305" t="e">
        <f t="shared" si="40"/>
        <v>#N/A</v>
      </c>
      <c r="AT33" s="1305" t="b">
        <f t="shared" si="41"/>
        <v>0</v>
      </c>
      <c r="AU33" s="1203" t="str">
        <f t="shared" si="42"/>
        <v/>
      </c>
      <c r="AV33" s="1063" t="str">
        <f t="shared" si="43"/>
        <v/>
      </c>
      <c r="AW33" s="1063" t="str">
        <f t="shared" si="44"/>
        <v/>
      </c>
      <c r="AX33" s="1063" t="str">
        <f t="shared" si="122"/>
        <v/>
      </c>
      <c r="AY33" s="1306" t="b">
        <f t="shared" si="45"/>
        <v>0</v>
      </c>
      <c r="AZ33" s="1090" t="str">
        <f t="shared" si="46"/>
        <v/>
      </c>
      <c r="BA33" s="674"/>
      <c r="BB33" s="842"/>
      <c r="BC33" s="894"/>
      <c r="BD33" s="926"/>
      <c r="BE33" s="927"/>
      <c r="BF33" s="928"/>
      <c r="BG33" s="901"/>
      <c r="BH33" s="1244"/>
      <c r="BI33" s="1245"/>
      <c r="BJ33" s="929"/>
      <c r="BK33" s="902"/>
      <c r="BL33" s="903"/>
      <c r="BM33" s="904"/>
      <c r="BN33" s="905"/>
      <c r="BO33" s="901"/>
      <c r="BP33" s="902"/>
      <c r="BQ33" s="903"/>
      <c r="BR33" s="929"/>
      <c r="BS33" s="902"/>
      <c r="BT33" s="903"/>
      <c r="BU33" s="904"/>
      <c r="BV33" s="905"/>
      <c r="BW33" s="906"/>
      <c r="BX33" s="930"/>
      <c r="BY33" s="931"/>
      <c r="BZ33" s="932"/>
      <c r="CA33" s="933"/>
      <c r="CB33" s="932"/>
      <c r="CC33" s="933"/>
      <c r="CD33" s="934" t="str">
        <f t="shared" si="47"/>
        <v/>
      </c>
      <c r="CE33" s="935" t="str">
        <f t="shared" si="48"/>
        <v/>
      </c>
      <c r="CF33" s="1149"/>
      <c r="CG33" s="1150"/>
      <c r="CH33" s="738" t="str">
        <f t="shared" si="49"/>
        <v/>
      </c>
      <c r="CI33" s="739" t="str">
        <f t="shared" si="50"/>
        <v/>
      </c>
      <c r="CJ33" s="740" t="str">
        <f t="shared" si="51"/>
        <v/>
      </c>
      <c r="CK33" s="741" t="str">
        <f t="shared" si="52"/>
        <v/>
      </c>
      <c r="CL33" s="742" t="str">
        <f t="shared" si="53"/>
        <v/>
      </c>
      <c r="CM33" s="743" t="str">
        <f t="shared" si="54"/>
        <v/>
      </c>
      <c r="CN33" s="744" t="str">
        <f t="shared" si="55"/>
        <v/>
      </c>
      <c r="CO33" s="745" t="str">
        <f t="shared" si="56"/>
        <v/>
      </c>
      <c r="CP33" s="762" t="str">
        <f t="shared" si="57"/>
        <v/>
      </c>
      <c r="CQ33" s="763" t="str">
        <f t="shared" si="58"/>
        <v/>
      </c>
      <c r="CR33" s="953" t="str">
        <f t="shared" si="59"/>
        <v/>
      </c>
      <c r="CS33" s="954" t="str">
        <f t="shared" si="60"/>
        <v/>
      </c>
      <c r="CU33" s="1048" t="str">
        <f>IF(BG33="","",VLOOKUP(BG33,SectInfo!$B:$N,12,FALSE))</f>
        <v/>
      </c>
      <c r="CV33" s="1046" t="str">
        <f>IF(BG33="","",IF(ISBLANK(BZ33),VLOOKUP(BG33,SectInfo!$B:$N,13,FALSE),BZ33))</f>
        <v/>
      </c>
      <c r="CW33" s="1046" t="str">
        <f>IF(BG33="","",IF(VLOOKUP(BG33,SectInfo!$B:$N,5,FALSE)="","R",UPPER(VLOOKUP(BG33,SectInfo!$B:$N,5,FALSE))))</f>
        <v/>
      </c>
      <c r="CX33" s="1046" t="str">
        <f>IF(BG33="","",IF(ISBLANK(CF33),VLOOKUP(BG33,SectInfo!$B:$N,6,FALSE),CF33))</f>
        <v/>
      </c>
      <c r="CY33" s="1276" t="str">
        <f>IF(BG33="","",IF(VLOOKUP(BG33,SectInfo!$B:$N,10,FALSE)="","",(VLOOKUP(BG33,SectInfo!$B:$N,10,FALSE)*-1)))</f>
        <v/>
      </c>
      <c r="CZ33" s="1443" t="str">
        <f>IF(BG33="","",IF(VLOOKUP(BG33,SectInfo!$B:$N,11,FALSE)="","2",(VLOOKUP(BG33,SectInfo!$B:$N,11,FALSE))))</f>
        <v/>
      </c>
      <c r="DA33" s="1046" t="str">
        <f>IF(BG33="","",IF(VLOOKUP(BG33,SectInfo!$B:$N,7,FALSE)="","",(VLOOKUP(BG33,SectInfo!$B:$N,7,FALSE)*-1)))</f>
        <v/>
      </c>
      <c r="DB33" s="1046" t="str">
        <f>IF(BG33="","",IF(VLOOKUP(BG33,SectInfo!$B:$N,8,FALSE)="",VLOOKUP(AU33,$DF$2:$DN$9,6,FALSE),(VLOOKUP(BG33,SectInfo!$B:$N,8,FALSE))))</f>
        <v/>
      </c>
      <c r="DC33" s="1046" t="str">
        <f>IF(BG33="","",VLOOKUP(BG33,SectInfo!$B:$N,9,FALSE))</f>
        <v/>
      </c>
      <c r="DD33" s="1047">
        <f t="shared" si="61"/>
        <v>0</v>
      </c>
      <c r="DE33" s="1048" t="str">
        <f>IF(BO33="","",VLOOKUP(BO33,SectInfo!$B:$N,12,FALSE))</f>
        <v/>
      </c>
      <c r="DF33" s="1046" t="str">
        <f>IF(BO33="","",IF(ISBLANK(CA33),VLOOKUP(BO33,SectInfo!$B:$N,13,FALSE),CA33))</f>
        <v/>
      </c>
      <c r="DG33" s="1046" t="str">
        <f>IF(BO33="","",IF(VLOOKUP(BO33,SectInfo!$B:$N,5,FALSE)="","R",UPPER(VLOOKUP(BO33,SectInfo!$B:$N,5,FALSE))))</f>
        <v/>
      </c>
      <c r="DH33" s="1046" t="str">
        <f>IF(BO33="","",IF(ISBLANK(CG33),VLOOKUP(BO33,SectInfo!$B:$N,6,FALSE),CG33))</f>
        <v/>
      </c>
      <c r="DI33" s="1046" t="str">
        <f>IF(BO33="","",IF(VLOOKUP(BO33,SectInfo!$B:$N,10,FALSE)="","",(VLOOKUP(BO33,SectInfo!$B:$N,10,FALSE)*-1)))</f>
        <v/>
      </c>
      <c r="DJ33" s="1443" t="str">
        <f>IF(BO33="","",IF(VLOOKUP(BO33,SectInfo!$B:$N,11,FALSE)="","2",(VLOOKUP(BO33,SectInfo!$B:$N,11,FALSE))))</f>
        <v/>
      </c>
      <c r="DK33" s="1046" t="str">
        <f>IF(BO33="","",IF(VLOOKUP(BO33,SectInfo!$B:$N,7,FALSE)="","",(VLOOKUP(BO33,SectInfo!$B:$N,7,FALSE)*-1)))</f>
        <v/>
      </c>
      <c r="DL33" s="1046" t="str">
        <f>IF(BO33="","",IF(VLOOKUP(BO33,SectInfo!$B:$N,8,FALSE)="",VLOOKUP(AU33,$DF$2:$DN$9,6,FALSE),(VLOOKUP(BO33,SectInfo!$B:$N,8,FALSE))))</f>
        <v/>
      </c>
      <c r="DM33" s="1046" t="str">
        <f>IF(BO33="","",VLOOKUP(BO33,SectInfo!$B:$N,9,FALSE))</f>
        <v/>
      </c>
      <c r="DN33" s="1047">
        <f t="shared" si="62"/>
        <v>0</v>
      </c>
      <c r="DO33" s="1049">
        <f t="shared" si="63"/>
        <v>0</v>
      </c>
      <c r="DP33" s="1053" t="str">
        <f t="shared" si="64"/>
        <v/>
      </c>
      <c r="DQ33" s="1053" t="str">
        <f t="shared" si="65"/>
        <v/>
      </c>
      <c r="DR33" s="1053" t="str">
        <f t="shared" si="66"/>
        <v/>
      </c>
      <c r="DS33" s="1052">
        <f t="shared" si="67"/>
        <v>0</v>
      </c>
      <c r="DT33" s="1052">
        <f t="shared" si="68"/>
        <v>0</v>
      </c>
      <c r="DU33" s="1052" t="str">
        <f t="shared" si="69"/>
        <v/>
      </c>
      <c r="DV33" s="1053" t="str">
        <f t="shared" si="70"/>
        <v/>
      </c>
      <c r="DW33" s="1053" t="str">
        <f t="shared" si="71"/>
        <v/>
      </c>
      <c r="DX33" s="1269">
        <f t="shared" si="72"/>
        <v>0</v>
      </c>
      <c r="DY33" s="1053">
        <f t="shared" si="73"/>
        <v>0</v>
      </c>
      <c r="DZ33" s="1052">
        <f t="shared" si="74"/>
        <v>0</v>
      </c>
      <c r="EA33" s="1052" t="str">
        <f t="shared" si="75"/>
        <v/>
      </c>
      <c r="EB33" s="1053" t="str">
        <f t="shared" si="76"/>
        <v/>
      </c>
      <c r="EC33" s="1053" t="str">
        <f t="shared" si="77"/>
        <v/>
      </c>
      <c r="ED33" s="1269">
        <f t="shared" si="78"/>
        <v>0</v>
      </c>
      <c r="EE33" s="1090" t="str">
        <f t="shared" si="79"/>
        <v/>
      </c>
      <c r="EF33" s="1053" t="str">
        <f t="shared" si="80"/>
        <v/>
      </c>
      <c r="EG33" s="1053" t="str">
        <f t="shared" si="81"/>
        <v/>
      </c>
      <c r="EH33" s="1053" t="e">
        <f t="shared" si="82"/>
        <v>#N/A</v>
      </c>
      <c r="EI33" s="1053" t="e">
        <f t="shared" si="83"/>
        <v>#N/A</v>
      </c>
      <c r="EJ33" s="1053" t="str">
        <f t="shared" si="84"/>
        <v/>
      </c>
      <c r="EK33" s="1053" t="str">
        <f t="shared" si="84"/>
        <v/>
      </c>
      <c r="EL33" s="1090" t="str">
        <f t="shared" si="85"/>
        <v/>
      </c>
      <c r="EM33" s="1053" t="str">
        <f t="shared" si="86"/>
        <v/>
      </c>
      <c r="EN33" s="1053" t="str">
        <f t="shared" si="87"/>
        <v/>
      </c>
      <c r="EO33" s="1053" t="e">
        <f t="shared" si="88"/>
        <v>#N/A</v>
      </c>
      <c r="EP33" s="1053" t="e">
        <f t="shared" si="89"/>
        <v>#N/A</v>
      </c>
      <c r="EQ33" s="1053" t="str">
        <f t="shared" si="90"/>
        <v/>
      </c>
      <c r="ER33" s="1053" t="str">
        <f t="shared" si="90"/>
        <v/>
      </c>
      <c r="ES33" s="1053" t="str">
        <f t="shared" si="91"/>
        <v/>
      </c>
      <c r="ET33" s="1053" t="str">
        <f t="shared" si="92"/>
        <v/>
      </c>
      <c r="EU33" s="1061" t="str">
        <f t="shared" si="93"/>
        <v/>
      </c>
      <c r="EV33" s="1055" t="str">
        <f t="shared" si="94"/>
        <v/>
      </c>
      <c r="EW33" s="1061"/>
      <c r="EX33" s="1061" t="str">
        <f>IF(AND(CU33="G", ISBLANK(BK33), ISBLANK(BL33)),VLOOKUP(MIN(BH33:BI33),TblJoistSize!$M$3:$N$10,2),IF(OR(CU33="B",CU33="G"),MIN(BK33:BL33),""))</f>
        <v/>
      </c>
      <c r="EY33" s="1061" t="str">
        <f>IF(AND(CU33="G", ISBLANK(BK33), ISBLANK(BL33)),VLOOKUP(MAX(BH33:BI33),TblJoistSize!$M$3:$N$10,2),IF(OR(CU33="B",CU33="G"),MAX(BK33:BL33),""))</f>
        <v/>
      </c>
      <c r="EZ33" s="1061" t="str">
        <f t="shared" si="95"/>
        <v/>
      </c>
      <c r="FA33" s="1061" t="str">
        <f>IF(AND(DE33="G", ISBLANK(BS33), ISBLANK(BT33)),VLOOKUP(MIN(BP33:BQ33),TblJoistSize!$M$3:$N$10,2),IF(OR(DE33="B", DE33="G"),MIN(BS33:BT33),""))</f>
        <v/>
      </c>
      <c r="FB33" s="1061" t="str">
        <f>IF(AND(DE33="G", ISBLANK(BS33), ISBLANK(BT33)),VLOOKUP(MAX(BP33:BQ33),TblJoistSize!$M$3:$N$10,2),IF(OR(DE33="B", DE33="G"),MAX(BS33:BT33),""))</f>
        <v/>
      </c>
      <c r="FC33" s="1061" t="str">
        <f t="shared" si="96"/>
        <v/>
      </c>
      <c r="FD33" s="1052">
        <f t="shared" si="123"/>
        <v>0</v>
      </c>
      <c r="FE33" s="1052">
        <f t="shared" si="97"/>
        <v>0</v>
      </c>
      <c r="FF33" s="1052">
        <f t="shared" si="98"/>
        <v>0</v>
      </c>
      <c r="FG33" s="1052" t="str">
        <f t="shared" si="99"/>
        <v/>
      </c>
      <c r="FH33" s="1053" t="str">
        <f t="shared" si="100"/>
        <v/>
      </c>
      <c r="FI33" s="1052">
        <f t="shared" si="124"/>
        <v>0</v>
      </c>
      <c r="FJ33" s="1052">
        <f t="shared" si="101"/>
        <v>0</v>
      </c>
      <c r="FK33" s="1052">
        <f t="shared" si="102"/>
        <v>0</v>
      </c>
      <c r="FL33" s="1052" t="str">
        <f t="shared" si="103"/>
        <v/>
      </c>
      <c r="FM33" s="1053" t="str">
        <f t="shared" si="104"/>
        <v/>
      </c>
      <c r="FN33" s="1053" t="e">
        <f t="shared" si="105"/>
        <v>#VALUE!</v>
      </c>
      <c r="FO33" s="1062" t="e">
        <f t="shared" si="106"/>
        <v>#VALUE!</v>
      </c>
      <c r="FP33" s="1062" t="e">
        <f t="shared" si="107"/>
        <v>#VALUE!</v>
      </c>
      <c r="FQ33" s="1063" t="e">
        <f t="shared" si="108"/>
        <v>#VALUE!</v>
      </c>
      <c r="FR33" s="1064" t="e">
        <f t="shared" si="109"/>
        <v>#VALUE!</v>
      </c>
      <c r="FS33" s="1065" t="str">
        <f t="shared" si="110"/>
        <v/>
      </c>
      <c r="FT33" s="1066" t="str">
        <f t="shared" si="111"/>
        <v/>
      </c>
      <c r="FU33" s="1105">
        <f t="shared" si="112"/>
        <v>0</v>
      </c>
      <c r="FV33" s="1106">
        <f t="shared" si="113"/>
        <v>0</v>
      </c>
      <c r="GA33" s="1975" t="str">
        <f t="shared" si="114"/>
        <v/>
      </c>
      <c r="GB33" s="1976" t="str">
        <f t="shared" si="115"/>
        <v/>
      </c>
      <c r="GC33" s="1977" t="str">
        <f t="shared" si="116"/>
        <v/>
      </c>
      <c r="GD33" s="1978" t="str">
        <f t="shared" si="117"/>
        <v/>
      </c>
      <c r="GE33" s="1979" t="str">
        <f t="shared" si="118"/>
        <v/>
      </c>
      <c r="GF33" s="1980" t="str">
        <f t="shared" si="119"/>
        <v/>
      </c>
      <c r="GG33" s="1453"/>
      <c r="GH33" s="1454"/>
      <c r="GI33" s="1453"/>
      <c r="GJ33" s="1454"/>
      <c r="GK33" s="533">
        <f t="shared" si="120"/>
        <v>0</v>
      </c>
      <c r="GL33" s="534" t="e">
        <f t="shared" si="121"/>
        <v>#VALUE!</v>
      </c>
      <c r="GM33" s="535" t="e">
        <f>IF(ABS(GK33-GL33)&gt;='Job Info.'!$L$22,ABS(GK33-GL33),0)</f>
        <v>#VALUE!</v>
      </c>
      <c r="HA33" s="1658"/>
      <c r="HB33" s="1659"/>
      <c r="HC33" s="1659"/>
      <c r="HD33" s="1660"/>
      <c r="HE33" s="1661"/>
      <c r="HF33" s="1659"/>
      <c r="HG33" s="1659"/>
      <c r="HH33" s="1659"/>
      <c r="HI33" s="1662"/>
      <c r="HJ33" s="1659"/>
      <c r="HK33" s="1659"/>
      <c r="HL33" s="1659"/>
      <c r="HM33" s="1659"/>
      <c r="HN33" s="1659"/>
      <c r="HO33" s="1659"/>
      <c r="HP33" s="1659"/>
      <c r="HQ33" s="1662"/>
      <c r="HR33" s="1659"/>
      <c r="HS33" s="1659"/>
      <c r="HT33" s="1659"/>
      <c r="HU33" s="1659"/>
      <c r="HV33" s="1659"/>
      <c r="HW33" s="1661"/>
      <c r="HX33" s="1661"/>
      <c r="HY33" s="1661"/>
      <c r="HZ33" s="1661"/>
      <c r="IA33" s="1661"/>
      <c r="IB33" s="1661"/>
      <c r="IC33" s="1661"/>
      <c r="ID33" s="1661"/>
      <c r="IE33" s="1661"/>
      <c r="IF33" s="1663"/>
    </row>
    <row r="34" spans="1:240" ht="12.6" customHeight="1" x14ac:dyDescent="0.25">
      <c r="A34" s="1471" t="str">
        <f t="shared" si="1"/>
        <v/>
      </c>
      <c r="B34" s="1473" t="str">
        <f t="shared" si="2"/>
        <v/>
      </c>
      <c r="C34" s="1473" t="str">
        <f t="shared" si="3"/>
        <v/>
      </c>
      <c r="D34" s="1909" t="str">
        <f t="shared" si="4"/>
        <v/>
      </c>
      <c r="E34" s="1982" t="str">
        <f t="shared" si="5"/>
        <v/>
      </c>
      <c r="F34" s="1920" t="str">
        <f t="shared" si="6"/>
        <v/>
      </c>
      <c r="G34" s="1910" t="str">
        <f t="shared" si="7"/>
        <v/>
      </c>
      <c r="H34" s="1965" t="str">
        <f t="shared" si="8"/>
        <v/>
      </c>
      <c r="I34" s="1909" t="str">
        <f t="shared" si="9"/>
        <v/>
      </c>
      <c r="J34" s="1910" t="str">
        <f t="shared" si="10"/>
        <v/>
      </c>
      <c r="K34" s="1983" t="str">
        <f t="shared" si="11"/>
        <v/>
      </c>
      <c r="L34" s="1915" t="str">
        <f t="shared" si="12"/>
        <v/>
      </c>
      <c r="M34" s="1961" t="str">
        <f t="shared" si="13"/>
        <v/>
      </c>
      <c r="N34" s="1917" t="str">
        <f t="shared" si="14"/>
        <v/>
      </c>
      <c r="O34" s="1910" t="str">
        <f t="shared" si="15"/>
        <v/>
      </c>
      <c r="P34" s="1908" t="str">
        <f t="shared" si="16"/>
        <v/>
      </c>
      <c r="Q34" s="1909" t="str">
        <f t="shared" si="17"/>
        <v/>
      </c>
      <c r="R34" s="1910" t="str">
        <f t="shared" si="18"/>
        <v/>
      </c>
      <c r="S34" s="1984" t="str">
        <f t="shared" si="19"/>
        <v/>
      </c>
      <c r="T34" s="1920" t="str">
        <f t="shared" si="20"/>
        <v/>
      </c>
      <c r="U34" s="1910" t="str">
        <f t="shared" si="21"/>
        <v/>
      </c>
      <c r="V34" s="1909" t="str">
        <f t="shared" si="22"/>
        <v/>
      </c>
      <c r="W34" s="1910" t="str">
        <f t="shared" si="23"/>
        <v/>
      </c>
      <c r="X34" s="1961">
        <f t="shared" si="24"/>
        <v>0</v>
      </c>
      <c r="Y34" s="1967" t="str">
        <f t="shared" si="25"/>
        <v/>
      </c>
      <c r="Z34" s="1968" t="str">
        <f t="shared" si="26"/>
        <v/>
      </c>
      <c r="AA34" s="1981"/>
      <c r="AC34" s="1226" t="b">
        <v>0</v>
      </c>
      <c r="AD34" s="525">
        <f t="shared" si="27"/>
        <v>0</v>
      </c>
      <c r="AE34" s="526">
        <f t="shared" si="28"/>
        <v>0</v>
      </c>
      <c r="AF34" s="526">
        <f t="shared" si="29"/>
        <v>0</v>
      </c>
      <c r="AG34" s="526">
        <f t="shared" si="30"/>
        <v>0</v>
      </c>
      <c r="AH34" s="527">
        <f t="shared" si="31"/>
        <v>0</v>
      </c>
      <c r="AI34" s="528" t="b">
        <v>0</v>
      </c>
      <c r="AJ34" s="284">
        <f t="shared" si="32"/>
        <v>0</v>
      </c>
      <c r="AK34" s="1063" t="str">
        <f t="shared" si="33"/>
        <v/>
      </c>
      <c r="AL34" s="1202" t="str">
        <f t="shared" si="34"/>
        <v/>
      </c>
      <c r="AM34" s="1063" t="str">
        <f t="shared" si="35"/>
        <v/>
      </c>
      <c r="AN34" s="1063" t="str">
        <f t="shared" si="36"/>
        <v/>
      </c>
      <c r="AO34" s="1063" t="str">
        <f t="shared" si="37"/>
        <v/>
      </c>
      <c r="AP34" s="1063" t="b">
        <f>IF(ISERROR(AJ34),FALSE,IF(OR(AJ34=0,ISERROR(AL34),ISERROR(AM34),ISERROR(AN34),ISERROR(AO34)),FALSE,IF(AL34&lt;&gt;"",IF(ISERROR(VLOOKUP(SUBSTITUTE(SUBSTITUTE(C34,"R",""),"A",""),TblJoistSize!$A:$A,1,FALSE)),FALSE,TRUE),TRUE)))</f>
        <v>0</v>
      </c>
      <c r="AQ34" s="1305" t="e">
        <f t="shared" si="38"/>
        <v>#N/A</v>
      </c>
      <c r="AR34" s="1305" t="b">
        <f t="shared" si="39"/>
        <v>0</v>
      </c>
      <c r="AS34" s="1305" t="e">
        <f t="shared" si="40"/>
        <v>#N/A</v>
      </c>
      <c r="AT34" s="1305" t="b">
        <f t="shared" si="41"/>
        <v>0</v>
      </c>
      <c r="AU34" s="1203" t="str">
        <f t="shared" si="42"/>
        <v/>
      </c>
      <c r="AV34" s="1063" t="str">
        <f t="shared" si="43"/>
        <v/>
      </c>
      <c r="AW34" s="1063" t="str">
        <f t="shared" si="44"/>
        <v/>
      </c>
      <c r="AX34" s="1063" t="str">
        <f t="shared" si="122"/>
        <v/>
      </c>
      <c r="AY34" s="1306" t="b">
        <f t="shared" si="45"/>
        <v>0</v>
      </c>
      <c r="AZ34" s="1090" t="str">
        <f t="shared" si="46"/>
        <v/>
      </c>
      <c r="BA34" s="674"/>
      <c r="BB34" s="842"/>
      <c r="BC34" s="894"/>
      <c r="BD34" s="926"/>
      <c r="BE34" s="927"/>
      <c r="BF34" s="928"/>
      <c r="BG34" s="901"/>
      <c r="BH34" s="1244"/>
      <c r="BI34" s="1245"/>
      <c r="BJ34" s="929"/>
      <c r="BK34" s="902"/>
      <c r="BL34" s="903"/>
      <c r="BM34" s="904"/>
      <c r="BN34" s="905"/>
      <c r="BO34" s="901"/>
      <c r="BP34" s="902"/>
      <c r="BQ34" s="903"/>
      <c r="BR34" s="929"/>
      <c r="BS34" s="902"/>
      <c r="BT34" s="903"/>
      <c r="BU34" s="904"/>
      <c r="BV34" s="905"/>
      <c r="BW34" s="906"/>
      <c r="BX34" s="930"/>
      <c r="BY34" s="931"/>
      <c r="BZ34" s="932"/>
      <c r="CA34" s="933"/>
      <c r="CB34" s="932"/>
      <c r="CC34" s="933"/>
      <c r="CD34" s="934" t="str">
        <f t="shared" si="47"/>
        <v/>
      </c>
      <c r="CE34" s="935" t="str">
        <f t="shared" si="48"/>
        <v/>
      </c>
      <c r="CF34" s="1149"/>
      <c r="CG34" s="1150"/>
      <c r="CH34" s="738" t="str">
        <f t="shared" si="49"/>
        <v/>
      </c>
      <c r="CI34" s="739" t="str">
        <f t="shared" si="50"/>
        <v/>
      </c>
      <c r="CJ34" s="740" t="str">
        <f t="shared" si="51"/>
        <v/>
      </c>
      <c r="CK34" s="741" t="str">
        <f t="shared" si="52"/>
        <v/>
      </c>
      <c r="CL34" s="742" t="str">
        <f t="shared" si="53"/>
        <v/>
      </c>
      <c r="CM34" s="743" t="str">
        <f t="shared" si="54"/>
        <v/>
      </c>
      <c r="CN34" s="744" t="str">
        <f t="shared" si="55"/>
        <v/>
      </c>
      <c r="CO34" s="745" t="str">
        <f t="shared" si="56"/>
        <v/>
      </c>
      <c r="CP34" s="762" t="str">
        <f t="shared" si="57"/>
        <v/>
      </c>
      <c r="CQ34" s="763" t="str">
        <f t="shared" si="58"/>
        <v/>
      </c>
      <c r="CR34" s="953" t="str">
        <f t="shared" si="59"/>
        <v/>
      </c>
      <c r="CS34" s="954" t="str">
        <f t="shared" si="60"/>
        <v/>
      </c>
      <c r="CU34" s="1048" t="str">
        <f>IF(BG34="","",VLOOKUP(BG34,SectInfo!$B:$N,12,FALSE))</f>
        <v/>
      </c>
      <c r="CV34" s="1046" t="str">
        <f>IF(BG34="","",IF(ISBLANK(BZ34),VLOOKUP(BG34,SectInfo!$B:$N,13,FALSE),BZ34))</f>
        <v/>
      </c>
      <c r="CW34" s="1046" t="str">
        <f>IF(BG34="","",IF(VLOOKUP(BG34,SectInfo!$B:$N,5,FALSE)="","R",UPPER(VLOOKUP(BG34,SectInfo!$B:$N,5,FALSE))))</f>
        <v/>
      </c>
      <c r="CX34" s="1046" t="str">
        <f>IF(BG34="","",IF(ISBLANK(CF34),VLOOKUP(BG34,SectInfo!$B:$N,6,FALSE),CF34))</f>
        <v/>
      </c>
      <c r="CY34" s="1276" t="str">
        <f>IF(BG34="","",IF(VLOOKUP(BG34,SectInfo!$B:$N,10,FALSE)="","",(VLOOKUP(BG34,SectInfo!$B:$N,10,FALSE)*-1)))</f>
        <v/>
      </c>
      <c r="CZ34" s="1443" t="str">
        <f>IF(BG34="","",IF(VLOOKUP(BG34,SectInfo!$B:$N,11,FALSE)="","2",(VLOOKUP(BG34,SectInfo!$B:$N,11,FALSE))))</f>
        <v/>
      </c>
      <c r="DA34" s="1046" t="str">
        <f>IF(BG34="","",IF(VLOOKUP(BG34,SectInfo!$B:$N,7,FALSE)="","",(VLOOKUP(BG34,SectInfo!$B:$N,7,FALSE)*-1)))</f>
        <v/>
      </c>
      <c r="DB34" s="1046" t="str">
        <f>IF(BG34="","",IF(VLOOKUP(BG34,SectInfo!$B:$N,8,FALSE)="",VLOOKUP(AU34,$DF$2:$DN$9,6,FALSE),(VLOOKUP(BG34,SectInfo!$B:$N,8,FALSE))))</f>
        <v/>
      </c>
      <c r="DC34" s="1046" t="str">
        <f>IF(BG34="","",VLOOKUP(BG34,SectInfo!$B:$N,9,FALSE))</f>
        <v/>
      </c>
      <c r="DD34" s="1047">
        <f t="shared" si="61"/>
        <v>0</v>
      </c>
      <c r="DE34" s="1048" t="str">
        <f>IF(BO34="","",VLOOKUP(BO34,SectInfo!$B:$N,12,FALSE))</f>
        <v/>
      </c>
      <c r="DF34" s="1046" t="str">
        <f>IF(BO34="","",IF(ISBLANK(CA34),VLOOKUP(BO34,SectInfo!$B:$N,13,FALSE),CA34))</f>
        <v/>
      </c>
      <c r="DG34" s="1046" t="str">
        <f>IF(BO34="","",IF(VLOOKUP(BO34,SectInfo!$B:$N,5,FALSE)="","R",UPPER(VLOOKUP(BO34,SectInfo!$B:$N,5,FALSE))))</f>
        <v/>
      </c>
      <c r="DH34" s="1046" t="str">
        <f>IF(BO34="","",IF(ISBLANK(CG34),VLOOKUP(BO34,SectInfo!$B:$N,6,FALSE),CG34))</f>
        <v/>
      </c>
      <c r="DI34" s="1046" t="str">
        <f>IF(BO34="","",IF(VLOOKUP(BO34,SectInfo!$B:$N,10,FALSE)="","",(VLOOKUP(BO34,SectInfo!$B:$N,10,FALSE)*-1)))</f>
        <v/>
      </c>
      <c r="DJ34" s="1443" t="str">
        <f>IF(BO34="","",IF(VLOOKUP(BO34,SectInfo!$B:$N,11,FALSE)="","2",(VLOOKUP(BO34,SectInfo!$B:$N,11,FALSE))))</f>
        <v/>
      </c>
      <c r="DK34" s="1046" t="str">
        <f>IF(BO34="","",IF(VLOOKUP(BO34,SectInfo!$B:$N,7,FALSE)="","",(VLOOKUP(BO34,SectInfo!$B:$N,7,FALSE)*-1)))</f>
        <v/>
      </c>
      <c r="DL34" s="1046" t="str">
        <f>IF(BO34="","",IF(VLOOKUP(BO34,SectInfo!$B:$N,8,FALSE)="",VLOOKUP(AU34,$DF$2:$DN$9,6,FALSE),(VLOOKUP(BO34,SectInfo!$B:$N,8,FALSE))))</f>
        <v/>
      </c>
      <c r="DM34" s="1046" t="str">
        <f>IF(BO34="","",VLOOKUP(BO34,SectInfo!$B:$N,9,FALSE))</f>
        <v/>
      </c>
      <c r="DN34" s="1047">
        <f t="shared" si="62"/>
        <v>0</v>
      </c>
      <c r="DO34" s="1049">
        <f t="shared" si="63"/>
        <v>0</v>
      </c>
      <c r="DP34" s="1053" t="str">
        <f t="shared" si="64"/>
        <v/>
      </c>
      <c r="DQ34" s="1053" t="str">
        <f t="shared" si="65"/>
        <v/>
      </c>
      <c r="DR34" s="1053" t="str">
        <f t="shared" si="66"/>
        <v/>
      </c>
      <c r="DS34" s="1052">
        <f t="shared" si="67"/>
        <v>0</v>
      </c>
      <c r="DT34" s="1052">
        <f t="shared" si="68"/>
        <v>0</v>
      </c>
      <c r="DU34" s="1052" t="str">
        <f t="shared" si="69"/>
        <v/>
      </c>
      <c r="DV34" s="1053" t="str">
        <f t="shared" si="70"/>
        <v/>
      </c>
      <c r="DW34" s="1053" t="str">
        <f t="shared" si="71"/>
        <v/>
      </c>
      <c r="DX34" s="1269">
        <f t="shared" si="72"/>
        <v>0</v>
      </c>
      <c r="DY34" s="1053">
        <f t="shared" si="73"/>
        <v>0</v>
      </c>
      <c r="DZ34" s="1052">
        <f t="shared" si="74"/>
        <v>0</v>
      </c>
      <c r="EA34" s="1052" t="str">
        <f t="shared" si="75"/>
        <v/>
      </c>
      <c r="EB34" s="1053" t="str">
        <f t="shared" si="76"/>
        <v/>
      </c>
      <c r="EC34" s="1053" t="str">
        <f t="shared" si="77"/>
        <v/>
      </c>
      <c r="ED34" s="1269">
        <f t="shared" si="78"/>
        <v>0</v>
      </c>
      <c r="EE34" s="1090" t="str">
        <f t="shared" si="79"/>
        <v/>
      </c>
      <c r="EF34" s="1053" t="str">
        <f t="shared" si="80"/>
        <v/>
      </c>
      <c r="EG34" s="1053" t="str">
        <f t="shared" si="81"/>
        <v/>
      </c>
      <c r="EH34" s="1053" t="e">
        <f t="shared" si="82"/>
        <v>#N/A</v>
      </c>
      <c r="EI34" s="1053" t="e">
        <f t="shared" si="83"/>
        <v>#N/A</v>
      </c>
      <c r="EJ34" s="1053" t="str">
        <f t="shared" si="84"/>
        <v/>
      </c>
      <c r="EK34" s="1053" t="str">
        <f t="shared" si="84"/>
        <v/>
      </c>
      <c r="EL34" s="1090" t="str">
        <f t="shared" si="85"/>
        <v/>
      </c>
      <c r="EM34" s="1053" t="str">
        <f t="shared" si="86"/>
        <v/>
      </c>
      <c r="EN34" s="1053" t="str">
        <f t="shared" si="87"/>
        <v/>
      </c>
      <c r="EO34" s="1053" t="e">
        <f t="shared" si="88"/>
        <v>#N/A</v>
      </c>
      <c r="EP34" s="1053" t="e">
        <f t="shared" si="89"/>
        <v>#N/A</v>
      </c>
      <c r="EQ34" s="1053" t="str">
        <f t="shared" si="90"/>
        <v/>
      </c>
      <c r="ER34" s="1053" t="str">
        <f t="shared" si="90"/>
        <v/>
      </c>
      <c r="ES34" s="1053" t="str">
        <f t="shared" si="91"/>
        <v/>
      </c>
      <c r="ET34" s="1053" t="str">
        <f t="shared" si="92"/>
        <v/>
      </c>
      <c r="EU34" s="1061" t="str">
        <f t="shared" si="93"/>
        <v/>
      </c>
      <c r="EV34" s="1055" t="str">
        <f t="shared" si="94"/>
        <v/>
      </c>
      <c r="EW34" s="1061"/>
      <c r="EX34" s="1061" t="str">
        <f>IF(AND(CU34="G", ISBLANK(BK34), ISBLANK(BL34)),VLOOKUP(MIN(BH34:BI34),TblJoistSize!$M$3:$N$10,2),IF(OR(CU34="B",CU34="G"),MIN(BK34:BL34),""))</f>
        <v/>
      </c>
      <c r="EY34" s="1061" t="str">
        <f>IF(AND(CU34="G", ISBLANK(BK34), ISBLANK(BL34)),VLOOKUP(MAX(BH34:BI34),TblJoistSize!$M$3:$N$10,2),IF(OR(CU34="B",CU34="G"),MAX(BK34:BL34),""))</f>
        <v/>
      </c>
      <c r="EZ34" s="1061" t="str">
        <f t="shared" si="95"/>
        <v/>
      </c>
      <c r="FA34" s="1061" t="str">
        <f>IF(AND(DE34="G", ISBLANK(BS34), ISBLANK(BT34)),VLOOKUP(MIN(BP34:BQ34),TblJoistSize!$M$3:$N$10,2),IF(OR(DE34="B", DE34="G"),MIN(BS34:BT34),""))</f>
        <v/>
      </c>
      <c r="FB34" s="1061" t="str">
        <f>IF(AND(DE34="G", ISBLANK(BS34), ISBLANK(BT34)),VLOOKUP(MAX(BP34:BQ34),TblJoistSize!$M$3:$N$10,2),IF(OR(DE34="B", DE34="G"),MAX(BS34:BT34),""))</f>
        <v/>
      </c>
      <c r="FC34" s="1061" t="str">
        <f t="shared" si="96"/>
        <v/>
      </c>
      <c r="FD34" s="1052">
        <f t="shared" si="123"/>
        <v>0</v>
      </c>
      <c r="FE34" s="1052">
        <f t="shared" si="97"/>
        <v>0</v>
      </c>
      <c r="FF34" s="1052">
        <f t="shared" si="98"/>
        <v>0</v>
      </c>
      <c r="FG34" s="1052" t="str">
        <f t="shared" si="99"/>
        <v/>
      </c>
      <c r="FH34" s="1053" t="str">
        <f t="shared" si="100"/>
        <v/>
      </c>
      <c r="FI34" s="1052">
        <f t="shared" si="124"/>
        <v>0</v>
      </c>
      <c r="FJ34" s="1052">
        <f t="shared" si="101"/>
        <v>0</v>
      </c>
      <c r="FK34" s="1052">
        <f t="shared" si="102"/>
        <v>0</v>
      </c>
      <c r="FL34" s="1052" t="str">
        <f t="shared" si="103"/>
        <v/>
      </c>
      <c r="FM34" s="1053" t="str">
        <f t="shared" si="104"/>
        <v/>
      </c>
      <c r="FN34" s="1053" t="e">
        <f t="shared" si="105"/>
        <v>#VALUE!</v>
      </c>
      <c r="FO34" s="1062" t="e">
        <f t="shared" si="106"/>
        <v>#VALUE!</v>
      </c>
      <c r="FP34" s="1062" t="e">
        <f t="shared" si="107"/>
        <v>#VALUE!</v>
      </c>
      <c r="FQ34" s="1063" t="e">
        <f t="shared" si="108"/>
        <v>#VALUE!</v>
      </c>
      <c r="FR34" s="1064" t="e">
        <f t="shared" si="109"/>
        <v>#VALUE!</v>
      </c>
      <c r="FS34" s="1065" t="str">
        <f t="shared" si="110"/>
        <v/>
      </c>
      <c r="FT34" s="1066" t="str">
        <f t="shared" si="111"/>
        <v/>
      </c>
      <c r="FU34" s="1105">
        <f t="shared" si="112"/>
        <v>0</v>
      </c>
      <c r="FV34" s="1106">
        <f t="shared" si="113"/>
        <v>0</v>
      </c>
      <c r="GA34" s="1975" t="str">
        <f t="shared" si="114"/>
        <v/>
      </c>
      <c r="GB34" s="1976" t="str">
        <f t="shared" si="115"/>
        <v/>
      </c>
      <c r="GC34" s="1977" t="str">
        <f t="shared" si="116"/>
        <v/>
      </c>
      <c r="GD34" s="1978" t="str">
        <f t="shared" si="117"/>
        <v/>
      </c>
      <c r="GE34" s="1979" t="str">
        <f t="shared" si="118"/>
        <v/>
      </c>
      <c r="GF34" s="1980" t="str">
        <f t="shared" si="119"/>
        <v/>
      </c>
      <c r="GG34" s="1453"/>
      <c r="GH34" s="1454"/>
      <c r="GI34" s="1453"/>
      <c r="GJ34" s="1454"/>
      <c r="GK34" s="533">
        <f t="shared" si="120"/>
        <v>0</v>
      </c>
      <c r="GL34" s="534" t="e">
        <f t="shared" si="121"/>
        <v>#VALUE!</v>
      </c>
      <c r="GM34" s="535" t="e">
        <f>IF(ABS(GK34-GL34)&gt;='Job Info.'!$L$22,ABS(GK34-GL34),0)</f>
        <v>#VALUE!</v>
      </c>
      <c r="HA34" s="1658"/>
      <c r="HB34" s="1659"/>
      <c r="HC34" s="1659"/>
      <c r="HD34" s="1660"/>
      <c r="HE34" s="1661"/>
      <c r="HF34" s="1659"/>
      <c r="HG34" s="1659"/>
      <c r="HH34" s="1659"/>
      <c r="HI34" s="1662"/>
      <c r="HJ34" s="1659"/>
      <c r="HK34" s="1659"/>
      <c r="HL34" s="1659"/>
      <c r="HM34" s="1659"/>
      <c r="HN34" s="1659"/>
      <c r="HO34" s="1659"/>
      <c r="HP34" s="1659"/>
      <c r="HQ34" s="1662"/>
      <c r="HR34" s="1659"/>
      <c r="HS34" s="1659"/>
      <c r="HT34" s="1659"/>
      <c r="HU34" s="1659"/>
      <c r="HV34" s="1659"/>
      <c r="HW34" s="1661"/>
      <c r="HX34" s="1661"/>
      <c r="HY34" s="1661"/>
      <c r="HZ34" s="1661"/>
      <c r="IA34" s="1661"/>
      <c r="IB34" s="1661"/>
      <c r="IC34" s="1661"/>
      <c r="ID34" s="1661"/>
      <c r="IE34" s="1661"/>
      <c r="IF34" s="1663"/>
    </row>
    <row r="35" spans="1:240" ht="12.6" customHeight="1" x14ac:dyDescent="0.25">
      <c r="A35" s="1471" t="str">
        <f t="shared" si="1"/>
        <v/>
      </c>
      <c r="B35" s="1473" t="str">
        <f t="shared" si="2"/>
        <v/>
      </c>
      <c r="C35" s="1473" t="str">
        <f t="shared" si="3"/>
        <v/>
      </c>
      <c r="D35" s="1909" t="str">
        <f t="shared" si="4"/>
        <v/>
      </c>
      <c r="E35" s="1982" t="str">
        <f t="shared" si="5"/>
        <v/>
      </c>
      <c r="F35" s="1920" t="str">
        <f t="shared" si="6"/>
        <v/>
      </c>
      <c r="G35" s="1910" t="str">
        <f t="shared" si="7"/>
        <v/>
      </c>
      <c r="H35" s="1965" t="str">
        <f t="shared" si="8"/>
        <v/>
      </c>
      <c r="I35" s="1909" t="str">
        <f t="shared" si="9"/>
        <v/>
      </c>
      <c r="J35" s="1910" t="str">
        <f t="shared" si="10"/>
        <v/>
      </c>
      <c r="K35" s="1983" t="str">
        <f t="shared" si="11"/>
        <v/>
      </c>
      <c r="L35" s="1915" t="str">
        <f t="shared" si="12"/>
        <v/>
      </c>
      <c r="M35" s="1961" t="str">
        <f t="shared" si="13"/>
        <v/>
      </c>
      <c r="N35" s="1917" t="str">
        <f t="shared" si="14"/>
        <v/>
      </c>
      <c r="O35" s="1910" t="str">
        <f t="shared" si="15"/>
        <v/>
      </c>
      <c r="P35" s="1908" t="str">
        <f t="shared" si="16"/>
        <v/>
      </c>
      <c r="Q35" s="1909" t="str">
        <f t="shared" si="17"/>
        <v/>
      </c>
      <c r="R35" s="1910" t="str">
        <f t="shared" si="18"/>
        <v/>
      </c>
      <c r="S35" s="1984" t="str">
        <f t="shared" si="19"/>
        <v/>
      </c>
      <c r="T35" s="1920" t="str">
        <f t="shared" si="20"/>
        <v/>
      </c>
      <c r="U35" s="1910" t="str">
        <f t="shared" si="21"/>
        <v/>
      </c>
      <c r="V35" s="1909" t="str">
        <f t="shared" si="22"/>
        <v/>
      </c>
      <c r="W35" s="1910" t="str">
        <f t="shared" si="23"/>
        <v/>
      </c>
      <c r="X35" s="1961">
        <f t="shared" si="24"/>
        <v>0</v>
      </c>
      <c r="Y35" s="1967" t="str">
        <f t="shared" si="25"/>
        <v/>
      </c>
      <c r="Z35" s="1968" t="str">
        <f t="shared" si="26"/>
        <v/>
      </c>
      <c r="AA35" s="1981"/>
      <c r="AC35" s="1226" t="b">
        <v>0</v>
      </c>
      <c r="AD35" s="525">
        <f t="shared" si="27"/>
        <v>0</v>
      </c>
      <c r="AE35" s="526">
        <f t="shared" si="28"/>
        <v>0</v>
      </c>
      <c r="AF35" s="526">
        <f t="shared" si="29"/>
        <v>0</v>
      </c>
      <c r="AG35" s="526">
        <f t="shared" si="30"/>
        <v>0</v>
      </c>
      <c r="AH35" s="527">
        <f t="shared" si="31"/>
        <v>0</v>
      </c>
      <c r="AI35" s="528" t="b">
        <v>0</v>
      </c>
      <c r="AJ35" s="284">
        <f t="shared" si="32"/>
        <v>0</v>
      </c>
      <c r="AK35" s="1063" t="str">
        <f t="shared" si="33"/>
        <v/>
      </c>
      <c r="AL35" s="1202" t="str">
        <f t="shared" si="34"/>
        <v/>
      </c>
      <c r="AM35" s="1063" t="str">
        <f t="shared" si="35"/>
        <v/>
      </c>
      <c r="AN35" s="1063" t="str">
        <f t="shared" si="36"/>
        <v/>
      </c>
      <c r="AO35" s="1063" t="str">
        <f t="shared" si="37"/>
        <v/>
      </c>
      <c r="AP35" s="1063" t="b">
        <f>IF(ISERROR(AJ35),FALSE,IF(OR(AJ35=0,ISERROR(AL35),ISERROR(AM35),ISERROR(AN35),ISERROR(AO35)),FALSE,IF(AL35&lt;&gt;"",IF(ISERROR(VLOOKUP(SUBSTITUTE(SUBSTITUTE(C35,"R",""),"A",""),TblJoistSize!$A:$A,1,FALSE)),FALSE,TRUE),TRUE)))</f>
        <v>0</v>
      </c>
      <c r="AQ35" s="1305" t="e">
        <f t="shared" si="38"/>
        <v>#N/A</v>
      </c>
      <c r="AR35" s="1305" t="b">
        <f t="shared" si="39"/>
        <v>0</v>
      </c>
      <c r="AS35" s="1305" t="e">
        <f t="shared" si="40"/>
        <v>#N/A</v>
      </c>
      <c r="AT35" s="1305" t="b">
        <f t="shared" si="41"/>
        <v>0</v>
      </c>
      <c r="AU35" s="1203" t="str">
        <f t="shared" si="42"/>
        <v/>
      </c>
      <c r="AV35" s="1063" t="str">
        <f t="shared" si="43"/>
        <v/>
      </c>
      <c r="AW35" s="1063" t="str">
        <f t="shared" si="44"/>
        <v/>
      </c>
      <c r="AX35" s="1063" t="str">
        <f t="shared" si="122"/>
        <v/>
      </c>
      <c r="AY35" s="1306" t="b">
        <f t="shared" si="45"/>
        <v>0</v>
      </c>
      <c r="AZ35" s="1090" t="str">
        <f t="shared" si="46"/>
        <v/>
      </c>
      <c r="BA35" s="674"/>
      <c r="BB35" s="842"/>
      <c r="BC35" s="894"/>
      <c r="BD35" s="926"/>
      <c r="BE35" s="927"/>
      <c r="BF35" s="928"/>
      <c r="BG35" s="901"/>
      <c r="BH35" s="1244"/>
      <c r="BI35" s="1245"/>
      <c r="BJ35" s="929"/>
      <c r="BK35" s="902"/>
      <c r="BL35" s="903"/>
      <c r="BM35" s="904"/>
      <c r="BN35" s="905"/>
      <c r="BO35" s="901"/>
      <c r="BP35" s="902"/>
      <c r="BQ35" s="903"/>
      <c r="BR35" s="929"/>
      <c r="BS35" s="902"/>
      <c r="BT35" s="903"/>
      <c r="BU35" s="904"/>
      <c r="BV35" s="905"/>
      <c r="BW35" s="906"/>
      <c r="BX35" s="930"/>
      <c r="BY35" s="931"/>
      <c r="BZ35" s="932"/>
      <c r="CA35" s="933"/>
      <c r="CB35" s="932"/>
      <c r="CC35" s="933"/>
      <c r="CD35" s="934" t="str">
        <f t="shared" si="47"/>
        <v/>
      </c>
      <c r="CE35" s="935" t="str">
        <f t="shared" si="48"/>
        <v/>
      </c>
      <c r="CF35" s="1149"/>
      <c r="CG35" s="1150"/>
      <c r="CH35" s="738" t="str">
        <f t="shared" si="49"/>
        <v/>
      </c>
      <c r="CI35" s="739" t="str">
        <f t="shared" si="50"/>
        <v/>
      </c>
      <c r="CJ35" s="740" t="str">
        <f t="shared" si="51"/>
        <v/>
      </c>
      <c r="CK35" s="741" t="str">
        <f t="shared" si="52"/>
        <v/>
      </c>
      <c r="CL35" s="742" t="str">
        <f t="shared" si="53"/>
        <v/>
      </c>
      <c r="CM35" s="743" t="str">
        <f t="shared" si="54"/>
        <v/>
      </c>
      <c r="CN35" s="744" t="str">
        <f t="shared" si="55"/>
        <v/>
      </c>
      <c r="CO35" s="745" t="str">
        <f t="shared" si="56"/>
        <v/>
      </c>
      <c r="CP35" s="762" t="str">
        <f t="shared" si="57"/>
        <v/>
      </c>
      <c r="CQ35" s="763" t="str">
        <f t="shared" si="58"/>
        <v/>
      </c>
      <c r="CR35" s="953" t="str">
        <f t="shared" si="59"/>
        <v/>
      </c>
      <c r="CS35" s="954" t="str">
        <f t="shared" si="60"/>
        <v/>
      </c>
      <c r="CU35" s="1048" t="str">
        <f>IF(BG35="","",VLOOKUP(BG35,SectInfo!$B:$N,12,FALSE))</f>
        <v/>
      </c>
      <c r="CV35" s="1046" t="str">
        <f>IF(BG35="","",IF(ISBLANK(BZ35),VLOOKUP(BG35,SectInfo!$B:$N,13,FALSE),BZ35))</f>
        <v/>
      </c>
      <c r="CW35" s="1046" t="str">
        <f>IF(BG35="","",IF(VLOOKUP(BG35,SectInfo!$B:$N,5,FALSE)="","R",UPPER(VLOOKUP(BG35,SectInfo!$B:$N,5,FALSE))))</f>
        <v/>
      </c>
      <c r="CX35" s="1046" t="str">
        <f>IF(BG35="","",IF(ISBLANK(CF35),VLOOKUP(BG35,SectInfo!$B:$N,6,FALSE),CF35))</f>
        <v/>
      </c>
      <c r="CY35" s="1276" t="str">
        <f>IF(BG35="","",IF(VLOOKUP(BG35,SectInfo!$B:$N,10,FALSE)="","",(VLOOKUP(BG35,SectInfo!$B:$N,10,FALSE)*-1)))</f>
        <v/>
      </c>
      <c r="CZ35" s="1443" t="str">
        <f>IF(BG35="","",IF(VLOOKUP(BG35,SectInfo!$B:$N,11,FALSE)="","2",(VLOOKUP(BG35,SectInfo!$B:$N,11,FALSE))))</f>
        <v/>
      </c>
      <c r="DA35" s="1046" t="str">
        <f>IF(BG35="","",IF(VLOOKUP(BG35,SectInfo!$B:$N,7,FALSE)="","",(VLOOKUP(BG35,SectInfo!$B:$N,7,FALSE)*-1)))</f>
        <v/>
      </c>
      <c r="DB35" s="1046" t="str">
        <f>IF(BG35="","",IF(VLOOKUP(BG35,SectInfo!$B:$N,8,FALSE)="",VLOOKUP(AU35,$DF$2:$DN$9,6,FALSE),(VLOOKUP(BG35,SectInfo!$B:$N,8,FALSE))))</f>
        <v/>
      </c>
      <c r="DC35" s="1046" t="str">
        <f>IF(BG35="","",VLOOKUP(BG35,SectInfo!$B:$N,9,FALSE))</f>
        <v/>
      </c>
      <c r="DD35" s="1047">
        <f t="shared" si="61"/>
        <v>0</v>
      </c>
      <c r="DE35" s="1048" t="str">
        <f>IF(BO35="","",VLOOKUP(BO35,SectInfo!$B:$N,12,FALSE))</f>
        <v/>
      </c>
      <c r="DF35" s="1046" t="str">
        <f>IF(BO35="","",IF(ISBLANK(CA35),VLOOKUP(BO35,SectInfo!$B:$N,13,FALSE),CA35))</f>
        <v/>
      </c>
      <c r="DG35" s="1046" t="str">
        <f>IF(BO35="","",IF(VLOOKUP(BO35,SectInfo!$B:$N,5,FALSE)="","R",UPPER(VLOOKUP(BO35,SectInfo!$B:$N,5,FALSE))))</f>
        <v/>
      </c>
      <c r="DH35" s="1046" t="str">
        <f>IF(BO35="","",IF(ISBLANK(CG35),VLOOKUP(BO35,SectInfo!$B:$N,6,FALSE),CG35))</f>
        <v/>
      </c>
      <c r="DI35" s="1046" t="str">
        <f>IF(BO35="","",IF(VLOOKUP(BO35,SectInfo!$B:$N,10,FALSE)="","",(VLOOKUP(BO35,SectInfo!$B:$N,10,FALSE)*-1)))</f>
        <v/>
      </c>
      <c r="DJ35" s="1443" t="str">
        <f>IF(BO35="","",IF(VLOOKUP(BO35,SectInfo!$B:$N,11,FALSE)="","2",(VLOOKUP(BO35,SectInfo!$B:$N,11,FALSE))))</f>
        <v/>
      </c>
      <c r="DK35" s="1046" t="str">
        <f>IF(BO35="","",IF(VLOOKUP(BO35,SectInfo!$B:$N,7,FALSE)="","",(VLOOKUP(BO35,SectInfo!$B:$N,7,FALSE)*-1)))</f>
        <v/>
      </c>
      <c r="DL35" s="1046" t="str">
        <f>IF(BO35="","",IF(VLOOKUP(BO35,SectInfo!$B:$N,8,FALSE)="",VLOOKUP(AU35,$DF$2:$DN$9,6,FALSE),(VLOOKUP(BO35,SectInfo!$B:$N,8,FALSE))))</f>
        <v/>
      </c>
      <c r="DM35" s="1046" t="str">
        <f>IF(BO35="","",VLOOKUP(BO35,SectInfo!$B:$N,9,FALSE))</f>
        <v/>
      </c>
      <c r="DN35" s="1047">
        <f t="shared" si="62"/>
        <v>0</v>
      </c>
      <c r="DO35" s="1049">
        <f t="shared" si="63"/>
        <v>0</v>
      </c>
      <c r="DP35" s="1053" t="str">
        <f t="shared" si="64"/>
        <v/>
      </c>
      <c r="DQ35" s="1053" t="str">
        <f t="shared" si="65"/>
        <v/>
      </c>
      <c r="DR35" s="1053" t="str">
        <f t="shared" si="66"/>
        <v/>
      </c>
      <c r="DS35" s="1052">
        <f t="shared" si="67"/>
        <v>0</v>
      </c>
      <c r="DT35" s="1052">
        <f t="shared" si="68"/>
        <v>0</v>
      </c>
      <c r="DU35" s="1052" t="str">
        <f t="shared" si="69"/>
        <v/>
      </c>
      <c r="DV35" s="1053" t="str">
        <f t="shared" si="70"/>
        <v/>
      </c>
      <c r="DW35" s="1053" t="str">
        <f t="shared" si="71"/>
        <v/>
      </c>
      <c r="DX35" s="1269">
        <f t="shared" si="72"/>
        <v>0</v>
      </c>
      <c r="DY35" s="1053">
        <f t="shared" si="73"/>
        <v>0</v>
      </c>
      <c r="DZ35" s="1052">
        <f t="shared" si="74"/>
        <v>0</v>
      </c>
      <c r="EA35" s="1052" t="str">
        <f t="shared" si="75"/>
        <v/>
      </c>
      <c r="EB35" s="1053" t="str">
        <f t="shared" si="76"/>
        <v/>
      </c>
      <c r="EC35" s="1053" t="str">
        <f t="shared" si="77"/>
        <v/>
      </c>
      <c r="ED35" s="1269">
        <f t="shared" si="78"/>
        <v>0</v>
      </c>
      <c r="EE35" s="1090" t="str">
        <f t="shared" si="79"/>
        <v/>
      </c>
      <c r="EF35" s="1053" t="str">
        <f t="shared" si="80"/>
        <v/>
      </c>
      <c r="EG35" s="1053" t="str">
        <f t="shared" si="81"/>
        <v/>
      </c>
      <c r="EH35" s="1053" t="e">
        <f t="shared" si="82"/>
        <v>#N/A</v>
      </c>
      <c r="EI35" s="1053" t="e">
        <f t="shared" si="83"/>
        <v>#N/A</v>
      </c>
      <c r="EJ35" s="1053" t="str">
        <f t="shared" si="84"/>
        <v/>
      </c>
      <c r="EK35" s="1053" t="str">
        <f t="shared" si="84"/>
        <v/>
      </c>
      <c r="EL35" s="1090" t="str">
        <f t="shared" si="85"/>
        <v/>
      </c>
      <c r="EM35" s="1053" t="str">
        <f t="shared" si="86"/>
        <v/>
      </c>
      <c r="EN35" s="1053" t="str">
        <f t="shared" si="87"/>
        <v/>
      </c>
      <c r="EO35" s="1053" t="e">
        <f t="shared" si="88"/>
        <v>#N/A</v>
      </c>
      <c r="EP35" s="1053" t="e">
        <f t="shared" si="89"/>
        <v>#N/A</v>
      </c>
      <c r="EQ35" s="1053" t="str">
        <f t="shared" si="90"/>
        <v/>
      </c>
      <c r="ER35" s="1053" t="str">
        <f t="shared" si="90"/>
        <v/>
      </c>
      <c r="ES35" s="1053" t="str">
        <f t="shared" si="91"/>
        <v/>
      </c>
      <c r="ET35" s="1053" t="str">
        <f t="shared" si="92"/>
        <v/>
      </c>
      <c r="EU35" s="1061" t="str">
        <f t="shared" si="93"/>
        <v/>
      </c>
      <c r="EV35" s="1055" t="str">
        <f t="shared" si="94"/>
        <v/>
      </c>
      <c r="EW35" s="1061"/>
      <c r="EX35" s="1061" t="str">
        <f>IF(AND(CU35="G", ISBLANK(BK35), ISBLANK(BL35)),VLOOKUP(MIN(BH35:BI35),TblJoistSize!$M$3:$N$10,2),IF(OR(CU35="B",CU35="G"),MIN(BK35:BL35),""))</f>
        <v/>
      </c>
      <c r="EY35" s="1061" t="str">
        <f>IF(AND(CU35="G", ISBLANK(BK35), ISBLANK(BL35)),VLOOKUP(MAX(BH35:BI35),TblJoistSize!$M$3:$N$10,2),IF(OR(CU35="B",CU35="G"),MAX(BK35:BL35),""))</f>
        <v/>
      </c>
      <c r="EZ35" s="1061" t="str">
        <f t="shared" si="95"/>
        <v/>
      </c>
      <c r="FA35" s="1061" t="str">
        <f>IF(AND(DE35="G", ISBLANK(BS35), ISBLANK(BT35)),VLOOKUP(MIN(BP35:BQ35),TblJoistSize!$M$3:$N$10,2),IF(OR(DE35="B", DE35="G"),MIN(BS35:BT35),""))</f>
        <v/>
      </c>
      <c r="FB35" s="1061" t="str">
        <f>IF(AND(DE35="G", ISBLANK(BS35), ISBLANK(BT35)),VLOOKUP(MAX(BP35:BQ35),TblJoistSize!$M$3:$N$10,2),IF(OR(DE35="B", DE35="G"),MAX(BS35:BT35),""))</f>
        <v/>
      </c>
      <c r="FC35" s="1061" t="str">
        <f t="shared" si="96"/>
        <v/>
      </c>
      <c r="FD35" s="1052">
        <f t="shared" si="123"/>
        <v>0</v>
      </c>
      <c r="FE35" s="1052">
        <f t="shared" si="97"/>
        <v>0</v>
      </c>
      <c r="FF35" s="1052">
        <f t="shared" si="98"/>
        <v>0</v>
      </c>
      <c r="FG35" s="1052" t="str">
        <f t="shared" si="99"/>
        <v/>
      </c>
      <c r="FH35" s="1053" t="str">
        <f t="shared" si="100"/>
        <v/>
      </c>
      <c r="FI35" s="1052">
        <f t="shared" si="124"/>
        <v>0</v>
      </c>
      <c r="FJ35" s="1052">
        <f t="shared" si="101"/>
        <v>0</v>
      </c>
      <c r="FK35" s="1052">
        <f t="shared" si="102"/>
        <v>0</v>
      </c>
      <c r="FL35" s="1052" t="str">
        <f t="shared" si="103"/>
        <v/>
      </c>
      <c r="FM35" s="1053" t="str">
        <f t="shared" si="104"/>
        <v/>
      </c>
      <c r="FN35" s="1053" t="e">
        <f t="shared" si="105"/>
        <v>#VALUE!</v>
      </c>
      <c r="FO35" s="1062" t="e">
        <f t="shared" si="106"/>
        <v>#VALUE!</v>
      </c>
      <c r="FP35" s="1062" t="e">
        <f t="shared" si="107"/>
        <v>#VALUE!</v>
      </c>
      <c r="FQ35" s="1063" t="e">
        <f t="shared" si="108"/>
        <v>#VALUE!</v>
      </c>
      <c r="FR35" s="1064" t="e">
        <f t="shared" si="109"/>
        <v>#VALUE!</v>
      </c>
      <c r="FS35" s="1065" t="str">
        <f t="shared" si="110"/>
        <v/>
      </c>
      <c r="FT35" s="1066" t="str">
        <f t="shared" si="111"/>
        <v/>
      </c>
      <c r="FU35" s="1105">
        <f t="shared" si="112"/>
        <v>0</v>
      </c>
      <c r="FV35" s="1106">
        <f t="shared" si="113"/>
        <v>0</v>
      </c>
      <c r="GA35" s="1975" t="str">
        <f t="shared" si="114"/>
        <v/>
      </c>
      <c r="GB35" s="1976" t="str">
        <f t="shared" si="115"/>
        <v/>
      </c>
      <c r="GC35" s="1977" t="str">
        <f t="shared" si="116"/>
        <v/>
      </c>
      <c r="GD35" s="1978" t="str">
        <f t="shared" si="117"/>
        <v/>
      </c>
      <c r="GE35" s="1979" t="str">
        <f t="shared" si="118"/>
        <v/>
      </c>
      <c r="GF35" s="1980" t="str">
        <f t="shared" si="119"/>
        <v/>
      </c>
      <c r="GG35" s="1453"/>
      <c r="GH35" s="1454"/>
      <c r="GI35" s="1453"/>
      <c r="GJ35" s="1454"/>
      <c r="GK35" s="533">
        <f t="shared" si="120"/>
        <v>0</v>
      </c>
      <c r="GL35" s="534" t="e">
        <f t="shared" si="121"/>
        <v>#VALUE!</v>
      </c>
      <c r="GM35" s="535" t="e">
        <f>IF(ABS(GK35-GL35)&gt;='Job Info.'!$L$22,ABS(GK35-GL35),0)</f>
        <v>#VALUE!</v>
      </c>
      <c r="HA35" s="1658"/>
      <c r="HB35" s="1659"/>
      <c r="HC35" s="1659"/>
      <c r="HD35" s="1660"/>
      <c r="HE35" s="1661"/>
      <c r="HF35" s="1659"/>
      <c r="HG35" s="1659"/>
      <c r="HH35" s="1659"/>
      <c r="HI35" s="1662"/>
      <c r="HJ35" s="1659"/>
      <c r="HK35" s="1659"/>
      <c r="HL35" s="1659"/>
      <c r="HM35" s="1659"/>
      <c r="HN35" s="1659"/>
      <c r="HO35" s="1659"/>
      <c r="HP35" s="1659"/>
      <c r="HQ35" s="1662"/>
      <c r="HR35" s="1659"/>
      <c r="HS35" s="1659"/>
      <c r="HT35" s="1659"/>
      <c r="HU35" s="1659"/>
      <c r="HV35" s="1659"/>
      <c r="HW35" s="1661"/>
      <c r="HX35" s="1661"/>
      <c r="HY35" s="1661"/>
      <c r="HZ35" s="1661"/>
      <c r="IA35" s="1661"/>
      <c r="IB35" s="1661"/>
      <c r="IC35" s="1661"/>
      <c r="ID35" s="1661"/>
      <c r="IE35" s="1661"/>
      <c r="IF35" s="1663"/>
    </row>
    <row r="36" spans="1:240" ht="12.6" customHeight="1" x14ac:dyDescent="0.25">
      <c r="A36" s="1471" t="str">
        <f t="shared" si="1"/>
        <v/>
      </c>
      <c r="B36" s="1473" t="str">
        <f t="shared" si="2"/>
        <v/>
      </c>
      <c r="C36" s="1473" t="str">
        <f t="shared" si="3"/>
        <v/>
      </c>
      <c r="D36" s="1909" t="str">
        <f t="shared" si="4"/>
        <v/>
      </c>
      <c r="E36" s="1982" t="str">
        <f t="shared" si="5"/>
        <v/>
      </c>
      <c r="F36" s="1920" t="str">
        <f t="shared" si="6"/>
        <v/>
      </c>
      <c r="G36" s="1910" t="str">
        <f t="shared" si="7"/>
        <v/>
      </c>
      <c r="H36" s="1965" t="str">
        <f t="shared" si="8"/>
        <v/>
      </c>
      <c r="I36" s="1909" t="str">
        <f t="shared" si="9"/>
        <v/>
      </c>
      <c r="J36" s="1910" t="str">
        <f t="shared" si="10"/>
        <v/>
      </c>
      <c r="K36" s="1983" t="str">
        <f t="shared" si="11"/>
        <v/>
      </c>
      <c r="L36" s="1915" t="str">
        <f t="shared" si="12"/>
        <v/>
      </c>
      <c r="M36" s="1961" t="str">
        <f t="shared" si="13"/>
        <v/>
      </c>
      <c r="N36" s="1917" t="str">
        <f t="shared" si="14"/>
        <v/>
      </c>
      <c r="O36" s="1910" t="str">
        <f t="shared" si="15"/>
        <v/>
      </c>
      <c r="P36" s="1908" t="str">
        <f t="shared" si="16"/>
        <v/>
      </c>
      <c r="Q36" s="1909" t="str">
        <f t="shared" si="17"/>
        <v/>
      </c>
      <c r="R36" s="1910" t="str">
        <f t="shared" si="18"/>
        <v/>
      </c>
      <c r="S36" s="1984" t="str">
        <f t="shared" si="19"/>
        <v/>
      </c>
      <c r="T36" s="1920" t="str">
        <f t="shared" si="20"/>
        <v/>
      </c>
      <c r="U36" s="1910" t="str">
        <f t="shared" si="21"/>
        <v/>
      </c>
      <c r="V36" s="1909" t="str">
        <f t="shared" si="22"/>
        <v/>
      </c>
      <c r="W36" s="1910" t="str">
        <f t="shared" si="23"/>
        <v/>
      </c>
      <c r="X36" s="1961">
        <f t="shared" si="24"/>
        <v>0</v>
      </c>
      <c r="Y36" s="1967" t="str">
        <f t="shared" si="25"/>
        <v/>
      </c>
      <c r="Z36" s="1968" t="str">
        <f t="shared" si="26"/>
        <v/>
      </c>
      <c r="AA36" s="1981"/>
      <c r="AC36" s="1226" t="b">
        <v>0</v>
      </c>
      <c r="AD36" s="525">
        <f t="shared" si="27"/>
        <v>0</v>
      </c>
      <c r="AE36" s="526">
        <f t="shared" si="28"/>
        <v>0</v>
      </c>
      <c r="AF36" s="526">
        <f t="shared" si="29"/>
        <v>0</v>
      </c>
      <c r="AG36" s="526">
        <f t="shared" si="30"/>
        <v>0</v>
      </c>
      <c r="AH36" s="527">
        <f t="shared" si="31"/>
        <v>0</v>
      </c>
      <c r="AI36" s="528" t="b">
        <v>0</v>
      </c>
      <c r="AJ36" s="284">
        <f t="shared" si="32"/>
        <v>0</v>
      </c>
      <c r="AK36" s="1063" t="str">
        <f t="shared" si="33"/>
        <v/>
      </c>
      <c r="AL36" s="1202" t="str">
        <f t="shared" si="34"/>
        <v/>
      </c>
      <c r="AM36" s="1063" t="str">
        <f t="shared" si="35"/>
        <v/>
      </c>
      <c r="AN36" s="1063" t="str">
        <f t="shared" si="36"/>
        <v/>
      </c>
      <c r="AO36" s="1063" t="str">
        <f t="shared" si="37"/>
        <v/>
      </c>
      <c r="AP36" s="1063" t="b">
        <f>IF(ISERROR(AJ36),FALSE,IF(OR(AJ36=0,ISERROR(AL36),ISERROR(AM36),ISERROR(AN36),ISERROR(AO36)),FALSE,IF(AL36&lt;&gt;"",IF(ISERROR(VLOOKUP(SUBSTITUTE(SUBSTITUTE(C36,"R",""),"A",""),TblJoistSize!$A:$A,1,FALSE)),FALSE,TRUE),TRUE)))</f>
        <v>0</v>
      </c>
      <c r="AQ36" s="1305" t="e">
        <f t="shared" si="38"/>
        <v>#N/A</v>
      </c>
      <c r="AR36" s="1305" t="b">
        <f t="shared" si="39"/>
        <v>0</v>
      </c>
      <c r="AS36" s="1305" t="e">
        <f t="shared" si="40"/>
        <v>#N/A</v>
      </c>
      <c r="AT36" s="1305" t="b">
        <f t="shared" si="41"/>
        <v>0</v>
      </c>
      <c r="AU36" s="1203" t="str">
        <f t="shared" si="42"/>
        <v/>
      </c>
      <c r="AV36" s="1063" t="str">
        <f t="shared" si="43"/>
        <v/>
      </c>
      <c r="AW36" s="1063" t="str">
        <f t="shared" si="44"/>
        <v/>
      </c>
      <c r="AX36" s="1063" t="str">
        <f t="shared" si="122"/>
        <v/>
      </c>
      <c r="AY36" s="1306" t="b">
        <f t="shared" si="45"/>
        <v>0</v>
      </c>
      <c r="AZ36" s="1090" t="str">
        <f t="shared" si="46"/>
        <v/>
      </c>
      <c r="BA36" s="674"/>
      <c r="BB36" s="842"/>
      <c r="BC36" s="894"/>
      <c r="BD36" s="926"/>
      <c r="BE36" s="927"/>
      <c r="BF36" s="928"/>
      <c r="BG36" s="901"/>
      <c r="BH36" s="1244"/>
      <c r="BI36" s="1245"/>
      <c r="BJ36" s="929"/>
      <c r="BK36" s="902"/>
      <c r="BL36" s="903"/>
      <c r="BM36" s="904"/>
      <c r="BN36" s="905"/>
      <c r="BO36" s="901"/>
      <c r="BP36" s="902"/>
      <c r="BQ36" s="903"/>
      <c r="BR36" s="929"/>
      <c r="BS36" s="902"/>
      <c r="BT36" s="903"/>
      <c r="BU36" s="904"/>
      <c r="BV36" s="905"/>
      <c r="BW36" s="906"/>
      <c r="BX36" s="930"/>
      <c r="BY36" s="931"/>
      <c r="BZ36" s="932"/>
      <c r="CA36" s="933"/>
      <c r="CB36" s="932"/>
      <c r="CC36" s="933"/>
      <c r="CD36" s="934" t="str">
        <f t="shared" si="47"/>
        <v/>
      </c>
      <c r="CE36" s="935" t="str">
        <f t="shared" si="48"/>
        <v/>
      </c>
      <c r="CF36" s="1149"/>
      <c r="CG36" s="1150"/>
      <c r="CH36" s="738" t="str">
        <f t="shared" si="49"/>
        <v/>
      </c>
      <c r="CI36" s="739" t="str">
        <f t="shared" si="50"/>
        <v/>
      </c>
      <c r="CJ36" s="740" t="str">
        <f t="shared" si="51"/>
        <v/>
      </c>
      <c r="CK36" s="741" t="str">
        <f t="shared" si="52"/>
        <v/>
      </c>
      <c r="CL36" s="742" t="str">
        <f t="shared" si="53"/>
        <v/>
      </c>
      <c r="CM36" s="743" t="str">
        <f t="shared" si="54"/>
        <v/>
      </c>
      <c r="CN36" s="744" t="str">
        <f t="shared" si="55"/>
        <v/>
      </c>
      <c r="CO36" s="745" t="str">
        <f t="shared" si="56"/>
        <v/>
      </c>
      <c r="CP36" s="762" t="str">
        <f t="shared" si="57"/>
        <v/>
      </c>
      <c r="CQ36" s="763" t="str">
        <f t="shared" si="58"/>
        <v/>
      </c>
      <c r="CR36" s="953" t="str">
        <f t="shared" si="59"/>
        <v/>
      </c>
      <c r="CS36" s="954" t="str">
        <f t="shared" si="60"/>
        <v/>
      </c>
      <c r="CU36" s="1048" t="str">
        <f>IF(BG36="","",VLOOKUP(BG36,SectInfo!$B:$N,12,FALSE))</f>
        <v/>
      </c>
      <c r="CV36" s="1046" t="str">
        <f>IF(BG36="","",IF(ISBLANK(BZ36),VLOOKUP(BG36,SectInfo!$B:$N,13,FALSE),BZ36))</f>
        <v/>
      </c>
      <c r="CW36" s="1046" t="str">
        <f>IF(BG36="","",IF(VLOOKUP(BG36,SectInfo!$B:$N,5,FALSE)="","R",UPPER(VLOOKUP(BG36,SectInfo!$B:$N,5,FALSE))))</f>
        <v/>
      </c>
      <c r="CX36" s="1046" t="str">
        <f>IF(BG36="","",IF(ISBLANK(CF36),VLOOKUP(BG36,SectInfo!$B:$N,6,FALSE),CF36))</f>
        <v/>
      </c>
      <c r="CY36" s="1276" t="str">
        <f>IF(BG36="","",IF(VLOOKUP(BG36,SectInfo!$B:$N,10,FALSE)="","",(VLOOKUP(BG36,SectInfo!$B:$N,10,FALSE)*-1)))</f>
        <v/>
      </c>
      <c r="CZ36" s="1443" t="str">
        <f>IF(BG36="","",IF(VLOOKUP(BG36,SectInfo!$B:$N,11,FALSE)="","2",(VLOOKUP(BG36,SectInfo!$B:$N,11,FALSE))))</f>
        <v/>
      </c>
      <c r="DA36" s="1046" t="str">
        <f>IF(BG36="","",IF(VLOOKUP(BG36,SectInfo!$B:$N,7,FALSE)="","",(VLOOKUP(BG36,SectInfo!$B:$N,7,FALSE)*-1)))</f>
        <v/>
      </c>
      <c r="DB36" s="1046" t="str">
        <f>IF(BG36="","",IF(VLOOKUP(BG36,SectInfo!$B:$N,8,FALSE)="",VLOOKUP(AU36,$DF$2:$DN$9,6,FALSE),(VLOOKUP(BG36,SectInfo!$B:$N,8,FALSE))))</f>
        <v/>
      </c>
      <c r="DC36" s="1046" t="str">
        <f>IF(BG36="","",VLOOKUP(BG36,SectInfo!$B:$N,9,FALSE))</f>
        <v/>
      </c>
      <c r="DD36" s="1047">
        <f t="shared" si="61"/>
        <v>0</v>
      </c>
      <c r="DE36" s="1048" t="str">
        <f>IF(BO36="","",VLOOKUP(BO36,SectInfo!$B:$N,12,FALSE))</f>
        <v/>
      </c>
      <c r="DF36" s="1046" t="str">
        <f>IF(BO36="","",IF(ISBLANK(CA36),VLOOKUP(BO36,SectInfo!$B:$N,13,FALSE),CA36))</f>
        <v/>
      </c>
      <c r="DG36" s="1046" t="str">
        <f>IF(BO36="","",IF(VLOOKUP(BO36,SectInfo!$B:$N,5,FALSE)="","R",UPPER(VLOOKUP(BO36,SectInfo!$B:$N,5,FALSE))))</f>
        <v/>
      </c>
      <c r="DH36" s="1046" t="str">
        <f>IF(BO36="","",IF(ISBLANK(CG36),VLOOKUP(BO36,SectInfo!$B:$N,6,FALSE),CG36))</f>
        <v/>
      </c>
      <c r="DI36" s="1046" t="str">
        <f>IF(BO36="","",IF(VLOOKUP(BO36,SectInfo!$B:$N,10,FALSE)="","",(VLOOKUP(BO36,SectInfo!$B:$N,10,FALSE)*-1)))</f>
        <v/>
      </c>
      <c r="DJ36" s="1443" t="str">
        <f>IF(BO36="","",IF(VLOOKUP(BO36,SectInfo!$B:$N,11,FALSE)="","2",(VLOOKUP(BO36,SectInfo!$B:$N,11,FALSE))))</f>
        <v/>
      </c>
      <c r="DK36" s="1046" t="str">
        <f>IF(BO36="","",IF(VLOOKUP(BO36,SectInfo!$B:$N,7,FALSE)="","",(VLOOKUP(BO36,SectInfo!$B:$N,7,FALSE)*-1)))</f>
        <v/>
      </c>
      <c r="DL36" s="1046" t="str">
        <f>IF(BO36="","",IF(VLOOKUP(BO36,SectInfo!$B:$N,8,FALSE)="",VLOOKUP(AU36,$DF$2:$DN$9,6,FALSE),(VLOOKUP(BO36,SectInfo!$B:$N,8,FALSE))))</f>
        <v/>
      </c>
      <c r="DM36" s="1046" t="str">
        <f>IF(BO36="","",VLOOKUP(BO36,SectInfo!$B:$N,9,FALSE))</f>
        <v/>
      </c>
      <c r="DN36" s="1047">
        <f t="shared" si="62"/>
        <v>0</v>
      </c>
      <c r="DO36" s="1049">
        <f t="shared" si="63"/>
        <v>0</v>
      </c>
      <c r="DP36" s="1053" t="str">
        <f t="shared" si="64"/>
        <v/>
      </c>
      <c r="DQ36" s="1053" t="str">
        <f t="shared" si="65"/>
        <v/>
      </c>
      <c r="DR36" s="1053" t="str">
        <f t="shared" si="66"/>
        <v/>
      </c>
      <c r="DS36" s="1052">
        <f t="shared" si="67"/>
        <v>0</v>
      </c>
      <c r="DT36" s="1052">
        <f t="shared" si="68"/>
        <v>0</v>
      </c>
      <c r="DU36" s="1052" t="str">
        <f t="shared" si="69"/>
        <v/>
      </c>
      <c r="DV36" s="1053" t="str">
        <f t="shared" si="70"/>
        <v/>
      </c>
      <c r="DW36" s="1053" t="str">
        <f t="shared" si="71"/>
        <v/>
      </c>
      <c r="DX36" s="1269">
        <f t="shared" si="72"/>
        <v>0</v>
      </c>
      <c r="DY36" s="1053">
        <f t="shared" si="73"/>
        <v>0</v>
      </c>
      <c r="DZ36" s="1052">
        <f t="shared" si="74"/>
        <v>0</v>
      </c>
      <c r="EA36" s="1052" t="str">
        <f t="shared" si="75"/>
        <v/>
      </c>
      <c r="EB36" s="1053" t="str">
        <f t="shared" si="76"/>
        <v/>
      </c>
      <c r="EC36" s="1053" t="str">
        <f t="shared" si="77"/>
        <v/>
      </c>
      <c r="ED36" s="1269">
        <f t="shared" si="78"/>
        <v>0</v>
      </c>
      <c r="EE36" s="1090" t="str">
        <f t="shared" si="79"/>
        <v/>
      </c>
      <c r="EF36" s="1053" t="str">
        <f t="shared" si="80"/>
        <v/>
      </c>
      <c r="EG36" s="1053" t="str">
        <f t="shared" si="81"/>
        <v/>
      </c>
      <c r="EH36" s="1053" t="e">
        <f t="shared" si="82"/>
        <v>#N/A</v>
      </c>
      <c r="EI36" s="1053" t="e">
        <f t="shared" si="83"/>
        <v>#N/A</v>
      </c>
      <c r="EJ36" s="1053" t="str">
        <f t="shared" si="84"/>
        <v/>
      </c>
      <c r="EK36" s="1053" t="str">
        <f t="shared" si="84"/>
        <v/>
      </c>
      <c r="EL36" s="1090" t="str">
        <f t="shared" si="85"/>
        <v/>
      </c>
      <c r="EM36" s="1053" t="str">
        <f t="shared" si="86"/>
        <v/>
      </c>
      <c r="EN36" s="1053" t="str">
        <f t="shared" si="87"/>
        <v/>
      </c>
      <c r="EO36" s="1053" t="e">
        <f t="shared" si="88"/>
        <v>#N/A</v>
      </c>
      <c r="EP36" s="1053" t="e">
        <f t="shared" si="89"/>
        <v>#N/A</v>
      </c>
      <c r="EQ36" s="1053" t="str">
        <f t="shared" si="90"/>
        <v/>
      </c>
      <c r="ER36" s="1053" t="str">
        <f t="shared" si="90"/>
        <v/>
      </c>
      <c r="ES36" s="1053" t="str">
        <f t="shared" si="91"/>
        <v/>
      </c>
      <c r="ET36" s="1053" t="str">
        <f t="shared" si="92"/>
        <v/>
      </c>
      <c r="EU36" s="1061" t="str">
        <f t="shared" si="93"/>
        <v/>
      </c>
      <c r="EV36" s="1055" t="str">
        <f t="shared" si="94"/>
        <v/>
      </c>
      <c r="EW36" s="1061"/>
      <c r="EX36" s="1061" t="str">
        <f>IF(AND(CU36="G", ISBLANK(BK36), ISBLANK(BL36)),VLOOKUP(MIN(BH36:BI36),TblJoistSize!$M$3:$N$10,2),IF(OR(CU36="B",CU36="G"),MIN(BK36:BL36),""))</f>
        <v/>
      </c>
      <c r="EY36" s="1061" t="str">
        <f>IF(AND(CU36="G", ISBLANK(BK36), ISBLANK(BL36)),VLOOKUP(MAX(BH36:BI36),TblJoistSize!$M$3:$N$10,2),IF(OR(CU36="B",CU36="G"),MAX(BK36:BL36),""))</f>
        <v/>
      </c>
      <c r="EZ36" s="1061" t="str">
        <f t="shared" si="95"/>
        <v/>
      </c>
      <c r="FA36" s="1061" t="str">
        <f>IF(AND(DE36="G", ISBLANK(BS36), ISBLANK(BT36)),VLOOKUP(MIN(BP36:BQ36),TblJoistSize!$M$3:$N$10,2),IF(OR(DE36="B", DE36="G"),MIN(BS36:BT36),""))</f>
        <v/>
      </c>
      <c r="FB36" s="1061" t="str">
        <f>IF(AND(DE36="G", ISBLANK(BS36), ISBLANK(BT36)),VLOOKUP(MAX(BP36:BQ36),TblJoistSize!$M$3:$N$10,2),IF(OR(DE36="B", DE36="G"),MAX(BS36:BT36),""))</f>
        <v/>
      </c>
      <c r="FC36" s="1061" t="str">
        <f t="shared" si="96"/>
        <v/>
      </c>
      <c r="FD36" s="1052">
        <f t="shared" si="123"/>
        <v>0</v>
      </c>
      <c r="FE36" s="1052">
        <f t="shared" si="97"/>
        <v>0</v>
      </c>
      <c r="FF36" s="1052">
        <f t="shared" si="98"/>
        <v>0</v>
      </c>
      <c r="FG36" s="1052" t="str">
        <f t="shared" si="99"/>
        <v/>
      </c>
      <c r="FH36" s="1053" t="str">
        <f t="shared" si="100"/>
        <v/>
      </c>
      <c r="FI36" s="1052">
        <f t="shared" si="124"/>
        <v>0</v>
      </c>
      <c r="FJ36" s="1052">
        <f t="shared" si="101"/>
        <v>0</v>
      </c>
      <c r="FK36" s="1052">
        <f t="shared" si="102"/>
        <v>0</v>
      </c>
      <c r="FL36" s="1052" t="str">
        <f t="shared" si="103"/>
        <v/>
      </c>
      <c r="FM36" s="1053" t="str">
        <f t="shared" si="104"/>
        <v/>
      </c>
      <c r="FN36" s="1053" t="e">
        <f t="shared" si="105"/>
        <v>#VALUE!</v>
      </c>
      <c r="FO36" s="1062" t="e">
        <f t="shared" si="106"/>
        <v>#VALUE!</v>
      </c>
      <c r="FP36" s="1062" t="e">
        <f t="shared" si="107"/>
        <v>#VALUE!</v>
      </c>
      <c r="FQ36" s="1063" t="e">
        <f t="shared" si="108"/>
        <v>#VALUE!</v>
      </c>
      <c r="FR36" s="1064" t="e">
        <f t="shared" si="109"/>
        <v>#VALUE!</v>
      </c>
      <c r="FS36" s="1065" t="str">
        <f t="shared" si="110"/>
        <v/>
      </c>
      <c r="FT36" s="1066" t="str">
        <f t="shared" si="111"/>
        <v/>
      </c>
      <c r="FU36" s="1105">
        <f t="shared" si="112"/>
        <v>0</v>
      </c>
      <c r="FV36" s="1106">
        <f t="shared" si="113"/>
        <v>0</v>
      </c>
      <c r="GA36" s="1975" t="str">
        <f t="shared" si="114"/>
        <v/>
      </c>
      <c r="GB36" s="1976" t="str">
        <f t="shared" si="115"/>
        <v/>
      </c>
      <c r="GC36" s="1977" t="str">
        <f t="shared" si="116"/>
        <v/>
      </c>
      <c r="GD36" s="1978" t="str">
        <f t="shared" si="117"/>
        <v/>
      </c>
      <c r="GE36" s="1979" t="str">
        <f t="shared" si="118"/>
        <v/>
      </c>
      <c r="GF36" s="1980" t="str">
        <f t="shared" si="119"/>
        <v/>
      </c>
      <c r="GG36" s="1453"/>
      <c r="GH36" s="1454"/>
      <c r="GI36" s="1453"/>
      <c r="GJ36" s="1454"/>
      <c r="GK36" s="533">
        <f t="shared" si="120"/>
        <v>0</v>
      </c>
      <c r="GL36" s="534" t="e">
        <f t="shared" si="121"/>
        <v>#VALUE!</v>
      </c>
      <c r="GM36" s="535" t="e">
        <f>IF(ABS(GK36-GL36)&gt;='Job Info.'!$L$22,ABS(GK36-GL36),0)</f>
        <v>#VALUE!</v>
      </c>
      <c r="HA36" s="1658"/>
      <c r="HB36" s="1659"/>
      <c r="HC36" s="1659"/>
      <c r="HD36" s="1660"/>
      <c r="HE36" s="1661"/>
      <c r="HF36" s="1659"/>
      <c r="HG36" s="1659"/>
      <c r="HH36" s="1659"/>
      <c r="HI36" s="1662"/>
      <c r="HJ36" s="1659"/>
      <c r="HK36" s="1659"/>
      <c r="HL36" s="1659"/>
      <c r="HM36" s="1659"/>
      <c r="HN36" s="1659"/>
      <c r="HO36" s="1659"/>
      <c r="HP36" s="1659"/>
      <c r="HQ36" s="1662"/>
      <c r="HR36" s="1659"/>
      <c r="HS36" s="1659"/>
      <c r="HT36" s="1659"/>
      <c r="HU36" s="1659"/>
      <c r="HV36" s="1659"/>
      <c r="HW36" s="1661"/>
      <c r="HX36" s="1661"/>
      <c r="HY36" s="1661"/>
      <c r="HZ36" s="1661"/>
      <c r="IA36" s="1661"/>
      <c r="IB36" s="1661"/>
      <c r="IC36" s="1661"/>
      <c r="ID36" s="1661"/>
      <c r="IE36" s="1661"/>
      <c r="IF36" s="1663"/>
    </row>
    <row r="37" spans="1:240" ht="12.6" customHeight="1" x14ac:dyDescent="0.25">
      <c r="A37" s="1471" t="str">
        <f t="shared" si="1"/>
        <v/>
      </c>
      <c r="B37" s="1473" t="str">
        <f t="shared" si="2"/>
        <v/>
      </c>
      <c r="C37" s="1473" t="str">
        <f t="shared" si="3"/>
        <v/>
      </c>
      <c r="D37" s="1909" t="str">
        <f t="shared" si="4"/>
        <v/>
      </c>
      <c r="E37" s="1982" t="str">
        <f t="shared" si="5"/>
        <v/>
      </c>
      <c r="F37" s="1920" t="str">
        <f t="shared" si="6"/>
        <v/>
      </c>
      <c r="G37" s="1910" t="str">
        <f t="shared" si="7"/>
        <v/>
      </c>
      <c r="H37" s="1965" t="str">
        <f t="shared" si="8"/>
        <v/>
      </c>
      <c r="I37" s="1909" t="str">
        <f t="shared" si="9"/>
        <v/>
      </c>
      <c r="J37" s="1910" t="str">
        <f t="shared" si="10"/>
        <v/>
      </c>
      <c r="K37" s="1983" t="str">
        <f t="shared" si="11"/>
        <v/>
      </c>
      <c r="L37" s="1915" t="str">
        <f t="shared" si="12"/>
        <v/>
      </c>
      <c r="M37" s="1961" t="str">
        <f t="shared" si="13"/>
        <v/>
      </c>
      <c r="N37" s="1917" t="str">
        <f t="shared" si="14"/>
        <v/>
      </c>
      <c r="O37" s="1910" t="str">
        <f t="shared" si="15"/>
        <v/>
      </c>
      <c r="P37" s="1908" t="str">
        <f t="shared" si="16"/>
        <v/>
      </c>
      <c r="Q37" s="1909" t="str">
        <f t="shared" si="17"/>
        <v/>
      </c>
      <c r="R37" s="1910" t="str">
        <f t="shared" si="18"/>
        <v/>
      </c>
      <c r="S37" s="1984" t="str">
        <f t="shared" si="19"/>
        <v/>
      </c>
      <c r="T37" s="1920" t="str">
        <f t="shared" si="20"/>
        <v/>
      </c>
      <c r="U37" s="1910" t="str">
        <f t="shared" si="21"/>
        <v/>
      </c>
      <c r="V37" s="1909" t="str">
        <f t="shared" si="22"/>
        <v/>
      </c>
      <c r="W37" s="1910" t="str">
        <f t="shared" si="23"/>
        <v/>
      </c>
      <c r="X37" s="1961">
        <f t="shared" si="24"/>
        <v>0</v>
      </c>
      <c r="Y37" s="1967" t="str">
        <f t="shared" si="25"/>
        <v/>
      </c>
      <c r="Z37" s="1968" t="str">
        <f t="shared" si="26"/>
        <v/>
      </c>
      <c r="AA37" s="1981"/>
      <c r="AC37" s="1226" t="b">
        <v>0</v>
      </c>
      <c r="AD37" s="525">
        <f t="shared" si="27"/>
        <v>0</v>
      </c>
      <c r="AE37" s="526">
        <f t="shared" si="28"/>
        <v>0</v>
      </c>
      <c r="AF37" s="526">
        <f t="shared" si="29"/>
        <v>0</v>
      </c>
      <c r="AG37" s="526">
        <f t="shared" si="30"/>
        <v>0</v>
      </c>
      <c r="AH37" s="527">
        <f t="shared" si="31"/>
        <v>0</v>
      </c>
      <c r="AI37" s="528" t="b">
        <v>0</v>
      </c>
      <c r="AJ37" s="284">
        <f t="shared" si="32"/>
        <v>0</v>
      </c>
      <c r="AK37" s="1063" t="str">
        <f t="shared" si="33"/>
        <v/>
      </c>
      <c r="AL37" s="1202" t="str">
        <f t="shared" si="34"/>
        <v/>
      </c>
      <c r="AM37" s="1063" t="str">
        <f t="shared" si="35"/>
        <v/>
      </c>
      <c r="AN37" s="1063" t="str">
        <f t="shared" si="36"/>
        <v/>
      </c>
      <c r="AO37" s="1063" t="str">
        <f t="shared" si="37"/>
        <v/>
      </c>
      <c r="AP37" s="1063" t="b">
        <f>IF(ISERROR(AJ37),FALSE,IF(OR(AJ37=0,ISERROR(AL37),ISERROR(AM37),ISERROR(AN37),ISERROR(AO37)),FALSE,IF(AL37&lt;&gt;"",IF(ISERROR(VLOOKUP(SUBSTITUTE(SUBSTITUTE(C37,"R",""),"A",""),TblJoistSize!$A:$A,1,FALSE)),FALSE,TRUE),TRUE)))</f>
        <v>0</v>
      </c>
      <c r="AQ37" s="1305" t="e">
        <f t="shared" si="38"/>
        <v>#N/A</v>
      </c>
      <c r="AR37" s="1305" t="b">
        <f t="shared" si="39"/>
        <v>0</v>
      </c>
      <c r="AS37" s="1305" t="e">
        <f t="shared" si="40"/>
        <v>#N/A</v>
      </c>
      <c r="AT37" s="1305" t="b">
        <f t="shared" si="41"/>
        <v>0</v>
      </c>
      <c r="AU37" s="1203" t="str">
        <f t="shared" si="42"/>
        <v/>
      </c>
      <c r="AV37" s="1063" t="str">
        <f t="shared" si="43"/>
        <v/>
      </c>
      <c r="AW37" s="1063" t="str">
        <f t="shared" si="44"/>
        <v/>
      </c>
      <c r="AX37" s="1063" t="str">
        <f t="shared" si="122"/>
        <v/>
      </c>
      <c r="AY37" s="1306" t="b">
        <f t="shared" si="45"/>
        <v>0</v>
      </c>
      <c r="AZ37" s="1090" t="str">
        <f t="shared" si="46"/>
        <v/>
      </c>
      <c r="BA37" s="674"/>
      <c r="BB37" s="842"/>
      <c r="BC37" s="894"/>
      <c r="BD37" s="926"/>
      <c r="BE37" s="927"/>
      <c r="BF37" s="928"/>
      <c r="BG37" s="901"/>
      <c r="BH37" s="1244"/>
      <c r="BI37" s="1245"/>
      <c r="BJ37" s="929"/>
      <c r="BK37" s="902"/>
      <c r="BL37" s="903"/>
      <c r="BM37" s="904"/>
      <c r="BN37" s="905"/>
      <c r="BO37" s="901"/>
      <c r="BP37" s="902"/>
      <c r="BQ37" s="903"/>
      <c r="BR37" s="929"/>
      <c r="BS37" s="902"/>
      <c r="BT37" s="903"/>
      <c r="BU37" s="904"/>
      <c r="BV37" s="905"/>
      <c r="BW37" s="906"/>
      <c r="BX37" s="930"/>
      <c r="BY37" s="931"/>
      <c r="BZ37" s="932"/>
      <c r="CA37" s="933"/>
      <c r="CB37" s="932"/>
      <c r="CC37" s="933"/>
      <c r="CD37" s="934" t="str">
        <f t="shared" si="47"/>
        <v/>
      </c>
      <c r="CE37" s="935" t="str">
        <f t="shared" si="48"/>
        <v/>
      </c>
      <c r="CF37" s="1149"/>
      <c r="CG37" s="1150"/>
      <c r="CH37" s="738" t="str">
        <f t="shared" si="49"/>
        <v/>
      </c>
      <c r="CI37" s="739" t="str">
        <f t="shared" si="50"/>
        <v/>
      </c>
      <c r="CJ37" s="740" t="str">
        <f t="shared" si="51"/>
        <v/>
      </c>
      <c r="CK37" s="741" t="str">
        <f t="shared" si="52"/>
        <v/>
      </c>
      <c r="CL37" s="742" t="str">
        <f t="shared" si="53"/>
        <v/>
      </c>
      <c r="CM37" s="743" t="str">
        <f t="shared" si="54"/>
        <v/>
      </c>
      <c r="CN37" s="744" t="str">
        <f t="shared" si="55"/>
        <v/>
      </c>
      <c r="CO37" s="745" t="str">
        <f t="shared" si="56"/>
        <v/>
      </c>
      <c r="CP37" s="762" t="str">
        <f t="shared" si="57"/>
        <v/>
      </c>
      <c r="CQ37" s="763" t="str">
        <f t="shared" si="58"/>
        <v/>
      </c>
      <c r="CR37" s="953" t="str">
        <f t="shared" si="59"/>
        <v/>
      </c>
      <c r="CS37" s="954" t="str">
        <f t="shared" si="60"/>
        <v/>
      </c>
      <c r="CU37" s="1048" t="str">
        <f>IF(BG37="","",VLOOKUP(BG37,SectInfo!$B:$N,12,FALSE))</f>
        <v/>
      </c>
      <c r="CV37" s="1046" t="str">
        <f>IF(BG37="","",IF(ISBLANK(BZ37),VLOOKUP(BG37,SectInfo!$B:$N,13,FALSE),BZ37))</f>
        <v/>
      </c>
      <c r="CW37" s="1046" t="str">
        <f>IF(BG37="","",IF(VLOOKUP(BG37,SectInfo!$B:$N,5,FALSE)="","R",UPPER(VLOOKUP(BG37,SectInfo!$B:$N,5,FALSE))))</f>
        <v/>
      </c>
      <c r="CX37" s="1046" t="str">
        <f>IF(BG37="","",IF(ISBLANK(CF37),VLOOKUP(BG37,SectInfo!$B:$N,6,FALSE),CF37))</f>
        <v/>
      </c>
      <c r="CY37" s="1276" t="str">
        <f>IF(BG37="","",IF(VLOOKUP(BG37,SectInfo!$B:$N,10,FALSE)="","",(VLOOKUP(BG37,SectInfo!$B:$N,10,FALSE)*-1)))</f>
        <v/>
      </c>
      <c r="CZ37" s="1443" t="str">
        <f>IF(BG37="","",IF(VLOOKUP(BG37,SectInfo!$B:$N,11,FALSE)="","2",(VLOOKUP(BG37,SectInfo!$B:$N,11,FALSE))))</f>
        <v/>
      </c>
      <c r="DA37" s="1046" t="str">
        <f>IF(BG37="","",IF(VLOOKUP(BG37,SectInfo!$B:$N,7,FALSE)="","",(VLOOKUP(BG37,SectInfo!$B:$N,7,FALSE)*-1)))</f>
        <v/>
      </c>
      <c r="DB37" s="1046" t="str">
        <f>IF(BG37="","",IF(VLOOKUP(BG37,SectInfo!$B:$N,8,FALSE)="",VLOOKUP(AU37,$DF$2:$DN$9,6,FALSE),(VLOOKUP(BG37,SectInfo!$B:$N,8,FALSE))))</f>
        <v/>
      </c>
      <c r="DC37" s="1046" t="str">
        <f>IF(BG37="","",VLOOKUP(BG37,SectInfo!$B:$N,9,FALSE))</f>
        <v/>
      </c>
      <c r="DD37" s="1047">
        <f t="shared" si="61"/>
        <v>0</v>
      </c>
      <c r="DE37" s="1048" t="str">
        <f>IF(BO37="","",VLOOKUP(BO37,SectInfo!$B:$N,12,FALSE))</f>
        <v/>
      </c>
      <c r="DF37" s="1046" t="str">
        <f>IF(BO37="","",IF(ISBLANK(CA37),VLOOKUP(BO37,SectInfo!$B:$N,13,FALSE),CA37))</f>
        <v/>
      </c>
      <c r="DG37" s="1046" t="str">
        <f>IF(BO37="","",IF(VLOOKUP(BO37,SectInfo!$B:$N,5,FALSE)="","R",UPPER(VLOOKUP(BO37,SectInfo!$B:$N,5,FALSE))))</f>
        <v/>
      </c>
      <c r="DH37" s="1046" t="str">
        <f>IF(BO37="","",IF(ISBLANK(CG37),VLOOKUP(BO37,SectInfo!$B:$N,6,FALSE),CG37))</f>
        <v/>
      </c>
      <c r="DI37" s="1046" t="str">
        <f>IF(BO37="","",IF(VLOOKUP(BO37,SectInfo!$B:$N,10,FALSE)="","",(VLOOKUP(BO37,SectInfo!$B:$N,10,FALSE)*-1)))</f>
        <v/>
      </c>
      <c r="DJ37" s="1443" t="str">
        <f>IF(BO37="","",IF(VLOOKUP(BO37,SectInfo!$B:$N,11,FALSE)="","2",(VLOOKUP(BO37,SectInfo!$B:$N,11,FALSE))))</f>
        <v/>
      </c>
      <c r="DK37" s="1046" t="str">
        <f>IF(BO37="","",IF(VLOOKUP(BO37,SectInfo!$B:$N,7,FALSE)="","",(VLOOKUP(BO37,SectInfo!$B:$N,7,FALSE)*-1)))</f>
        <v/>
      </c>
      <c r="DL37" s="1046" t="str">
        <f>IF(BO37="","",IF(VLOOKUP(BO37,SectInfo!$B:$N,8,FALSE)="",VLOOKUP(AU37,$DF$2:$DN$9,6,FALSE),(VLOOKUP(BO37,SectInfo!$B:$N,8,FALSE))))</f>
        <v/>
      </c>
      <c r="DM37" s="1046" t="str">
        <f>IF(BO37="","",VLOOKUP(BO37,SectInfo!$B:$N,9,FALSE))</f>
        <v/>
      </c>
      <c r="DN37" s="1047">
        <f t="shared" si="62"/>
        <v>0</v>
      </c>
      <c r="DO37" s="1049">
        <f t="shared" si="63"/>
        <v>0</v>
      </c>
      <c r="DP37" s="1053" t="str">
        <f t="shared" si="64"/>
        <v/>
      </c>
      <c r="DQ37" s="1053" t="str">
        <f t="shared" si="65"/>
        <v/>
      </c>
      <c r="DR37" s="1053" t="str">
        <f t="shared" si="66"/>
        <v/>
      </c>
      <c r="DS37" s="1052">
        <f t="shared" si="67"/>
        <v>0</v>
      </c>
      <c r="DT37" s="1052">
        <f t="shared" si="68"/>
        <v>0</v>
      </c>
      <c r="DU37" s="1052" t="str">
        <f t="shared" si="69"/>
        <v/>
      </c>
      <c r="DV37" s="1053" t="str">
        <f t="shared" si="70"/>
        <v/>
      </c>
      <c r="DW37" s="1053" t="str">
        <f t="shared" si="71"/>
        <v/>
      </c>
      <c r="DX37" s="1269">
        <f t="shared" si="72"/>
        <v>0</v>
      </c>
      <c r="DY37" s="1053">
        <f t="shared" si="73"/>
        <v>0</v>
      </c>
      <c r="DZ37" s="1052">
        <f t="shared" si="74"/>
        <v>0</v>
      </c>
      <c r="EA37" s="1052" t="str">
        <f t="shared" si="75"/>
        <v/>
      </c>
      <c r="EB37" s="1053" t="str">
        <f t="shared" si="76"/>
        <v/>
      </c>
      <c r="EC37" s="1053" t="str">
        <f t="shared" si="77"/>
        <v/>
      </c>
      <c r="ED37" s="1269">
        <f t="shared" si="78"/>
        <v>0</v>
      </c>
      <c r="EE37" s="1090" t="str">
        <f t="shared" si="79"/>
        <v/>
      </c>
      <c r="EF37" s="1053" t="str">
        <f t="shared" si="80"/>
        <v/>
      </c>
      <c r="EG37" s="1053" t="str">
        <f t="shared" si="81"/>
        <v/>
      </c>
      <c r="EH37" s="1053" t="e">
        <f t="shared" si="82"/>
        <v>#N/A</v>
      </c>
      <c r="EI37" s="1053" t="e">
        <f t="shared" si="83"/>
        <v>#N/A</v>
      </c>
      <c r="EJ37" s="1053" t="str">
        <f t="shared" si="84"/>
        <v/>
      </c>
      <c r="EK37" s="1053" t="str">
        <f t="shared" si="84"/>
        <v/>
      </c>
      <c r="EL37" s="1090" t="str">
        <f t="shared" si="85"/>
        <v/>
      </c>
      <c r="EM37" s="1053" t="str">
        <f t="shared" si="86"/>
        <v/>
      </c>
      <c r="EN37" s="1053" t="str">
        <f t="shared" si="87"/>
        <v/>
      </c>
      <c r="EO37" s="1053" t="e">
        <f t="shared" si="88"/>
        <v>#N/A</v>
      </c>
      <c r="EP37" s="1053" t="e">
        <f t="shared" si="89"/>
        <v>#N/A</v>
      </c>
      <c r="EQ37" s="1053" t="str">
        <f t="shared" si="90"/>
        <v/>
      </c>
      <c r="ER37" s="1053" t="str">
        <f t="shared" si="90"/>
        <v/>
      </c>
      <c r="ES37" s="1053" t="str">
        <f t="shared" si="91"/>
        <v/>
      </c>
      <c r="ET37" s="1053" t="str">
        <f t="shared" si="92"/>
        <v/>
      </c>
      <c r="EU37" s="1061" t="str">
        <f t="shared" si="93"/>
        <v/>
      </c>
      <c r="EV37" s="1055" t="str">
        <f t="shared" si="94"/>
        <v/>
      </c>
      <c r="EW37" s="1061"/>
      <c r="EX37" s="1061" t="str">
        <f>IF(AND(CU37="G", ISBLANK(BK37), ISBLANK(BL37)),VLOOKUP(MIN(BH37:BI37),TblJoistSize!$M$3:$N$10,2),IF(OR(CU37="B",CU37="G"),MIN(BK37:BL37),""))</f>
        <v/>
      </c>
      <c r="EY37" s="1061" t="str">
        <f>IF(AND(CU37="G", ISBLANK(BK37), ISBLANK(BL37)),VLOOKUP(MAX(BH37:BI37),TblJoistSize!$M$3:$N$10,2),IF(OR(CU37="B",CU37="G"),MAX(BK37:BL37),""))</f>
        <v/>
      </c>
      <c r="EZ37" s="1061" t="str">
        <f t="shared" si="95"/>
        <v/>
      </c>
      <c r="FA37" s="1061" t="str">
        <f>IF(AND(DE37="G", ISBLANK(BS37), ISBLANK(BT37)),VLOOKUP(MIN(BP37:BQ37),TblJoistSize!$M$3:$N$10,2),IF(OR(DE37="B", DE37="G"),MIN(BS37:BT37),""))</f>
        <v/>
      </c>
      <c r="FB37" s="1061" t="str">
        <f>IF(AND(DE37="G", ISBLANK(BS37), ISBLANK(BT37)),VLOOKUP(MAX(BP37:BQ37),TblJoistSize!$M$3:$N$10,2),IF(OR(DE37="B", DE37="G"),MAX(BS37:BT37),""))</f>
        <v/>
      </c>
      <c r="FC37" s="1061" t="str">
        <f t="shared" si="96"/>
        <v/>
      </c>
      <c r="FD37" s="1052">
        <f t="shared" si="123"/>
        <v>0</v>
      </c>
      <c r="FE37" s="1052">
        <f t="shared" si="97"/>
        <v>0</v>
      </c>
      <c r="FF37" s="1052">
        <f t="shared" si="98"/>
        <v>0</v>
      </c>
      <c r="FG37" s="1052" t="str">
        <f t="shared" si="99"/>
        <v/>
      </c>
      <c r="FH37" s="1053" t="str">
        <f t="shared" si="100"/>
        <v/>
      </c>
      <c r="FI37" s="1052">
        <f t="shared" si="124"/>
        <v>0</v>
      </c>
      <c r="FJ37" s="1052">
        <f t="shared" si="101"/>
        <v>0</v>
      </c>
      <c r="FK37" s="1052">
        <f t="shared" si="102"/>
        <v>0</v>
      </c>
      <c r="FL37" s="1052" t="str">
        <f t="shared" si="103"/>
        <v/>
      </c>
      <c r="FM37" s="1053" t="str">
        <f t="shared" si="104"/>
        <v/>
      </c>
      <c r="FN37" s="1053" t="e">
        <f t="shared" si="105"/>
        <v>#VALUE!</v>
      </c>
      <c r="FO37" s="1062" t="e">
        <f t="shared" si="106"/>
        <v>#VALUE!</v>
      </c>
      <c r="FP37" s="1062" t="e">
        <f t="shared" si="107"/>
        <v>#VALUE!</v>
      </c>
      <c r="FQ37" s="1063" t="e">
        <f t="shared" si="108"/>
        <v>#VALUE!</v>
      </c>
      <c r="FR37" s="1064" t="e">
        <f t="shared" si="109"/>
        <v>#VALUE!</v>
      </c>
      <c r="FS37" s="1065" t="str">
        <f t="shared" si="110"/>
        <v/>
      </c>
      <c r="FT37" s="1066" t="str">
        <f t="shared" si="111"/>
        <v/>
      </c>
      <c r="FU37" s="1105">
        <f t="shared" si="112"/>
        <v>0</v>
      </c>
      <c r="FV37" s="1106">
        <f t="shared" si="113"/>
        <v>0</v>
      </c>
      <c r="GA37" s="1975" t="str">
        <f t="shared" si="114"/>
        <v/>
      </c>
      <c r="GB37" s="1976" t="str">
        <f t="shared" si="115"/>
        <v/>
      </c>
      <c r="GC37" s="1977" t="str">
        <f t="shared" si="116"/>
        <v/>
      </c>
      <c r="GD37" s="1978" t="str">
        <f t="shared" si="117"/>
        <v/>
      </c>
      <c r="GE37" s="1979" t="str">
        <f t="shared" si="118"/>
        <v/>
      </c>
      <c r="GF37" s="1980" t="str">
        <f t="shared" si="119"/>
        <v/>
      </c>
      <c r="GG37" s="1453"/>
      <c r="GH37" s="1454"/>
      <c r="GI37" s="1453"/>
      <c r="GJ37" s="1454"/>
      <c r="GK37" s="533">
        <f t="shared" si="120"/>
        <v>0</v>
      </c>
      <c r="GL37" s="534" t="e">
        <f t="shared" si="121"/>
        <v>#VALUE!</v>
      </c>
      <c r="GM37" s="535" t="e">
        <f>IF(ABS(GK37-GL37)&gt;='Job Info.'!$L$22,ABS(GK37-GL37),0)</f>
        <v>#VALUE!</v>
      </c>
      <c r="HA37" s="1658"/>
      <c r="HB37" s="1659"/>
      <c r="HC37" s="1659"/>
      <c r="HD37" s="1660"/>
      <c r="HE37" s="1661"/>
      <c r="HF37" s="1659"/>
      <c r="HG37" s="1659"/>
      <c r="HH37" s="1659"/>
      <c r="HI37" s="1662"/>
      <c r="HJ37" s="1659"/>
      <c r="HK37" s="1659"/>
      <c r="HL37" s="1659"/>
      <c r="HM37" s="1659"/>
      <c r="HN37" s="1659"/>
      <c r="HO37" s="1659"/>
      <c r="HP37" s="1659"/>
      <c r="HQ37" s="1662"/>
      <c r="HR37" s="1659"/>
      <c r="HS37" s="1659"/>
      <c r="HT37" s="1659"/>
      <c r="HU37" s="1659"/>
      <c r="HV37" s="1659"/>
      <c r="HW37" s="1661"/>
      <c r="HX37" s="1661"/>
      <c r="HY37" s="1661"/>
      <c r="HZ37" s="1661"/>
      <c r="IA37" s="1661"/>
      <c r="IB37" s="1661"/>
      <c r="IC37" s="1661"/>
      <c r="ID37" s="1661"/>
      <c r="IE37" s="1661"/>
      <c r="IF37" s="1663"/>
    </row>
    <row r="38" spans="1:240" ht="12.6" customHeight="1" x14ac:dyDescent="0.25">
      <c r="A38" s="1471" t="str">
        <f t="shared" si="1"/>
        <v/>
      </c>
      <c r="B38" s="1473" t="str">
        <f t="shared" si="2"/>
        <v/>
      </c>
      <c r="C38" s="1473" t="str">
        <f t="shared" si="3"/>
        <v/>
      </c>
      <c r="D38" s="1909" t="str">
        <f t="shared" si="4"/>
        <v/>
      </c>
      <c r="E38" s="1982" t="str">
        <f t="shared" si="5"/>
        <v/>
      </c>
      <c r="F38" s="1920" t="str">
        <f t="shared" si="6"/>
        <v/>
      </c>
      <c r="G38" s="1910" t="str">
        <f t="shared" si="7"/>
        <v/>
      </c>
      <c r="H38" s="1965" t="str">
        <f t="shared" si="8"/>
        <v/>
      </c>
      <c r="I38" s="1909" t="str">
        <f t="shared" si="9"/>
        <v/>
      </c>
      <c r="J38" s="1910" t="str">
        <f t="shared" si="10"/>
        <v/>
      </c>
      <c r="K38" s="1983" t="str">
        <f t="shared" si="11"/>
        <v/>
      </c>
      <c r="L38" s="1915" t="str">
        <f t="shared" si="12"/>
        <v/>
      </c>
      <c r="M38" s="1961" t="str">
        <f t="shared" si="13"/>
        <v/>
      </c>
      <c r="N38" s="1917" t="str">
        <f t="shared" si="14"/>
        <v/>
      </c>
      <c r="O38" s="1910" t="str">
        <f t="shared" si="15"/>
        <v/>
      </c>
      <c r="P38" s="1908" t="str">
        <f t="shared" si="16"/>
        <v/>
      </c>
      <c r="Q38" s="1909" t="str">
        <f t="shared" si="17"/>
        <v/>
      </c>
      <c r="R38" s="1910" t="str">
        <f t="shared" si="18"/>
        <v/>
      </c>
      <c r="S38" s="1984" t="str">
        <f t="shared" si="19"/>
        <v/>
      </c>
      <c r="T38" s="1920" t="str">
        <f t="shared" si="20"/>
        <v/>
      </c>
      <c r="U38" s="1910" t="str">
        <f t="shared" si="21"/>
        <v/>
      </c>
      <c r="V38" s="1909" t="str">
        <f t="shared" si="22"/>
        <v/>
      </c>
      <c r="W38" s="1910" t="str">
        <f t="shared" si="23"/>
        <v/>
      </c>
      <c r="X38" s="1961">
        <f t="shared" si="24"/>
        <v>0</v>
      </c>
      <c r="Y38" s="1967" t="str">
        <f t="shared" si="25"/>
        <v/>
      </c>
      <c r="Z38" s="1968" t="str">
        <f t="shared" si="26"/>
        <v/>
      </c>
      <c r="AA38" s="1981"/>
      <c r="AC38" s="1226" t="b">
        <v>0</v>
      </c>
      <c r="AD38" s="525">
        <f t="shared" si="27"/>
        <v>0</v>
      </c>
      <c r="AE38" s="526">
        <f t="shared" si="28"/>
        <v>0</v>
      </c>
      <c r="AF38" s="526">
        <f t="shared" si="29"/>
        <v>0</v>
      </c>
      <c r="AG38" s="526">
        <f t="shared" si="30"/>
        <v>0</v>
      </c>
      <c r="AH38" s="527">
        <f t="shared" si="31"/>
        <v>0</v>
      </c>
      <c r="AI38" s="528" t="b">
        <v>0</v>
      </c>
      <c r="AJ38" s="284">
        <f t="shared" si="32"/>
        <v>0</v>
      </c>
      <c r="AK38" s="1063" t="str">
        <f t="shared" si="33"/>
        <v/>
      </c>
      <c r="AL38" s="1202" t="str">
        <f t="shared" si="34"/>
        <v/>
      </c>
      <c r="AM38" s="1063" t="str">
        <f t="shared" si="35"/>
        <v/>
      </c>
      <c r="AN38" s="1063" t="str">
        <f t="shared" si="36"/>
        <v/>
      </c>
      <c r="AO38" s="1063" t="str">
        <f t="shared" si="37"/>
        <v/>
      </c>
      <c r="AP38" s="1063" t="b">
        <f>IF(ISERROR(AJ38),FALSE,IF(OR(AJ38=0,ISERROR(AL38),ISERROR(AM38),ISERROR(AN38),ISERROR(AO38)),FALSE,IF(AL38&lt;&gt;"",IF(ISERROR(VLOOKUP(SUBSTITUTE(SUBSTITUTE(C38,"R",""),"A",""),TblJoistSize!$A:$A,1,FALSE)),FALSE,TRUE),TRUE)))</f>
        <v>0</v>
      </c>
      <c r="AQ38" s="1305" t="e">
        <f t="shared" si="38"/>
        <v>#N/A</v>
      </c>
      <c r="AR38" s="1305" t="b">
        <f t="shared" si="39"/>
        <v>0</v>
      </c>
      <c r="AS38" s="1305" t="e">
        <f t="shared" si="40"/>
        <v>#N/A</v>
      </c>
      <c r="AT38" s="1305" t="b">
        <f t="shared" si="41"/>
        <v>0</v>
      </c>
      <c r="AU38" s="1203" t="str">
        <f t="shared" si="42"/>
        <v/>
      </c>
      <c r="AV38" s="1063" t="str">
        <f t="shared" si="43"/>
        <v/>
      </c>
      <c r="AW38" s="1063" t="str">
        <f t="shared" si="44"/>
        <v/>
      </c>
      <c r="AX38" s="1063" t="str">
        <f t="shared" si="122"/>
        <v/>
      </c>
      <c r="AY38" s="1306" t="b">
        <f t="shared" si="45"/>
        <v>0</v>
      </c>
      <c r="AZ38" s="1090" t="str">
        <f t="shared" si="46"/>
        <v/>
      </c>
      <c r="BA38" s="674"/>
      <c r="BB38" s="842"/>
      <c r="BC38" s="894"/>
      <c r="BD38" s="926"/>
      <c r="BE38" s="927"/>
      <c r="BF38" s="928"/>
      <c r="BG38" s="901"/>
      <c r="BH38" s="1244"/>
      <c r="BI38" s="1245"/>
      <c r="BJ38" s="929"/>
      <c r="BK38" s="902"/>
      <c r="BL38" s="903"/>
      <c r="BM38" s="904"/>
      <c r="BN38" s="905"/>
      <c r="BO38" s="901"/>
      <c r="BP38" s="902"/>
      <c r="BQ38" s="903"/>
      <c r="BR38" s="929"/>
      <c r="BS38" s="902"/>
      <c r="BT38" s="903"/>
      <c r="BU38" s="904"/>
      <c r="BV38" s="905"/>
      <c r="BW38" s="906"/>
      <c r="BX38" s="930"/>
      <c r="BY38" s="931"/>
      <c r="BZ38" s="932"/>
      <c r="CA38" s="933"/>
      <c r="CB38" s="932"/>
      <c r="CC38" s="933"/>
      <c r="CD38" s="934" t="str">
        <f t="shared" si="47"/>
        <v/>
      </c>
      <c r="CE38" s="935" t="str">
        <f t="shared" si="48"/>
        <v/>
      </c>
      <c r="CF38" s="1149"/>
      <c r="CG38" s="1150"/>
      <c r="CH38" s="738" t="str">
        <f t="shared" si="49"/>
        <v/>
      </c>
      <c r="CI38" s="739" t="str">
        <f t="shared" si="50"/>
        <v/>
      </c>
      <c r="CJ38" s="740" t="str">
        <f t="shared" si="51"/>
        <v/>
      </c>
      <c r="CK38" s="741" t="str">
        <f t="shared" si="52"/>
        <v/>
      </c>
      <c r="CL38" s="742" t="str">
        <f t="shared" si="53"/>
        <v/>
      </c>
      <c r="CM38" s="743" t="str">
        <f t="shared" si="54"/>
        <v/>
      </c>
      <c r="CN38" s="744" t="str">
        <f t="shared" si="55"/>
        <v/>
      </c>
      <c r="CO38" s="745" t="str">
        <f t="shared" si="56"/>
        <v/>
      </c>
      <c r="CP38" s="762" t="str">
        <f t="shared" si="57"/>
        <v/>
      </c>
      <c r="CQ38" s="763" t="str">
        <f t="shared" si="58"/>
        <v/>
      </c>
      <c r="CR38" s="953" t="str">
        <f t="shared" si="59"/>
        <v/>
      </c>
      <c r="CS38" s="954" t="str">
        <f t="shared" si="60"/>
        <v/>
      </c>
      <c r="CU38" s="1048" t="str">
        <f>IF(BG38="","",VLOOKUP(BG38,SectInfo!$B:$N,12,FALSE))</f>
        <v/>
      </c>
      <c r="CV38" s="1046" t="str">
        <f>IF(BG38="","",IF(ISBLANK(BZ38),VLOOKUP(BG38,SectInfo!$B:$N,13,FALSE),BZ38))</f>
        <v/>
      </c>
      <c r="CW38" s="1046" t="str">
        <f>IF(BG38="","",IF(VLOOKUP(BG38,SectInfo!$B:$N,5,FALSE)="","R",UPPER(VLOOKUP(BG38,SectInfo!$B:$N,5,FALSE))))</f>
        <v/>
      </c>
      <c r="CX38" s="1046" t="str">
        <f>IF(BG38="","",IF(ISBLANK(CF38),VLOOKUP(BG38,SectInfo!$B:$N,6,FALSE),CF38))</f>
        <v/>
      </c>
      <c r="CY38" s="1276" t="str">
        <f>IF(BG38="","",IF(VLOOKUP(BG38,SectInfo!$B:$N,10,FALSE)="","",(VLOOKUP(BG38,SectInfo!$B:$N,10,FALSE)*-1)))</f>
        <v/>
      </c>
      <c r="CZ38" s="1443" t="str">
        <f>IF(BG38="","",IF(VLOOKUP(BG38,SectInfo!$B:$N,11,FALSE)="","2",(VLOOKUP(BG38,SectInfo!$B:$N,11,FALSE))))</f>
        <v/>
      </c>
      <c r="DA38" s="1046" t="str">
        <f>IF(BG38="","",IF(VLOOKUP(BG38,SectInfo!$B:$N,7,FALSE)="","",(VLOOKUP(BG38,SectInfo!$B:$N,7,FALSE)*-1)))</f>
        <v/>
      </c>
      <c r="DB38" s="1046" t="str">
        <f>IF(BG38="","",IF(VLOOKUP(BG38,SectInfo!$B:$N,8,FALSE)="",VLOOKUP(AU38,$DF$2:$DN$9,6,FALSE),(VLOOKUP(BG38,SectInfo!$B:$N,8,FALSE))))</f>
        <v/>
      </c>
      <c r="DC38" s="1046" t="str">
        <f>IF(BG38="","",VLOOKUP(BG38,SectInfo!$B:$N,9,FALSE))</f>
        <v/>
      </c>
      <c r="DD38" s="1047">
        <f t="shared" si="61"/>
        <v>0</v>
      </c>
      <c r="DE38" s="1048" t="str">
        <f>IF(BO38="","",VLOOKUP(BO38,SectInfo!$B:$N,12,FALSE))</f>
        <v/>
      </c>
      <c r="DF38" s="1046" t="str">
        <f>IF(BO38="","",IF(ISBLANK(CA38),VLOOKUP(BO38,SectInfo!$B:$N,13,FALSE),CA38))</f>
        <v/>
      </c>
      <c r="DG38" s="1046" t="str">
        <f>IF(BO38="","",IF(VLOOKUP(BO38,SectInfo!$B:$N,5,FALSE)="","R",UPPER(VLOOKUP(BO38,SectInfo!$B:$N,5,FALSE))))</f>
        <v/>
      </c>
      <c r="DH38" s="1046" t="str">
        <f>IF(BO38="","",IF(ISBLANK(CG38),VLOOKUP(BO38,SectInfo!$B:$N,6,FALSE),CG38))</f>
        <v/>
      </c>
      <c r="DI38" s="1046" t="str">
        <f>IF(BO38="","",IF(VLOOKUP(BO38,SectInfo!$B:$N,10,FALSE)="","",(VLOOKUP(BO38,SectInfo!$B:$N,10,FALSE)*-1)))</f>
        <v/>
      </c>
      <c r="DJ38" s="1443" t="str">
        <f>IF(BO38="","",IF(VLOOKUP(BO38,SectInfo!$B:$N,11,FALSE)="","2",(VLOOKUP(BO38,SectInfo!$B:$N,11,FALSE))))</f>
        <v/>
      </c>
      <c r="DK38" s="1046" t="str">
        <f>IF(BO38="","",IF(VLOOKUP(BO38,SectInfo!$B:$N,7,FALSE)="","",(VLOOKUP(BO38,SectInfo!$B:$N,7,FALSE)*-1)))</f>
        <v/>
      </c>
      <c r="DL38" s="1046" t="str">
        <f>IF(BO38="","",IF(VLOOKUP(BO38,SectInfo!$B:$N,8,FALSE)="",VLOOKUP(AU38,$DF$2:$DN$9,6,FALSE),(VLOOKUP(BO38,SectInfo!$B:$N,8,FALSE))))</f>
        <v/>
      </c>
      <c r="DM38" s="1046" t="str">
        <f>IF(BO38="","",VLOOKUP(BO38,SectInfo!$B:$N,9,FALSE))</f>
        <v/>
      </c>
      <c r="DN38" s="1047">
        <f t="shared" si="62"/>
        <v>0</v>
      </c>
      <c r="DO38" s="1049">
        <f t="shared" si="63"/>
        <v>0</v>
      </c>
      <c r="DP38" s="1053" t="str">
        <f t="shared" si="64"/>
        <v/>
      </c>
      <c r="DQ38" s="1053" t="str">
        <f t="shared" si="65"/>
        <v/>
      </c>
      <c r="DR38" s="1053" t="str">
        <f t="shared" si="66"/>
        <v/>
      </c>
      <c r="DS38" s="1052">
        <f t="shared" si="67"/>
        <v>0</v>
      </c>
      <c r="DT38" s="1052">
        <f t="shared" si="68"/>
        <v>0</v>
      </c>
      <c r="DU38" s="1052" t="str">
        <f t="shared" si="69"/>
        <v/>
      </c>
      <c r="DV38" s="1053" t="str">
        <f t="shared" si="70"/>
        <v/>
      </c>
      <c r="DW38" s="1053" t="str">
        <f t="shared" si="71"/>
        <v/>
      </c>
      <c r="DX38" s="1269">
        <f t="shared" si="72"/>
        <v>0</v>
      </c>
      <c r="DY38" s="1053">
        <f t="shared" si="73"/>
        <v>0</v>
      </c>
      <c r="DZ38" s="1052">
        <f t="shared" si="74"/>
        <v>0</v>
      </c>
      <c r="EA38" s="1052" t="str">
        <f t="shared" si="75"/>
        <v/>
      </c>
      <c r="EB38" s="1053" t="str">
        <f t="shared" si="76"/>
        <v/>
      </c>
      <c r="EC38" s="1053" t="str">
        <f t="shared" si="77"/>
        <v/>
      </c>
      <c r="ED38" s="1269">
        <f t="shared" si="78"/>
        <v>0</v>
      </c>
      <c r="EE38" s="1090" t="str">
        <f t="shared" si="79"/>
        <v/>
      </c>
      <c r="EF38" s="1053" t="str">
        <f t="shared" si="80"/>
        <v/>
      </c>
      <c r="EG38" s="1053" t="str">
        <f t="shared" si="81"/>
        <v/>
      </c>
      <c r="EH38" s="1053" t="e">
        <f t="shared" si="82"/>
        <v>#N/A</v>
      </c>
      <c r="EI38" s="1053" t="e">
        <f t="shared" si="83"/>
        <v>#N/A</v>
      </c>
      <c r="EJ38" s="1053" t="str">
        <f t="shared" si="84"/>
        <v/>
      </c>
      <c r="EK38" s="1053" t="str">
        <f t="shared" si="84"/>
        <v/>
      </c>
      <c r="EL38" s="1090" t="str">
        <f t="shared" si="85"/>
        <v/>
      </c>
      <c r="EM38" s="1053" t="str">
        <f t="shared" si="86"/>
        <v/>
      </c>
      <c r="EN38" s="1053" t="str">
        <f t="shared" si="87"/>
        <v/>
      </c>
      <c r="EO38" s="1053" t="e">
        <f t="shared" si="88"/>
        <v>#N/A</v>
      </c>
      <c r="EP38" s="1053" t="e">
        <f t="shared" si="89"/>
        <v>#N/A</v>
      </c>
      <c r="EQ38" s="1053" t="str">
        <f t="shared" si="90"/>
        <v/>
      </c>
      <c r="ER38" s="1053" t="str">
        <f t="shared" si="90"/>
        <v/>
      </c>
      <c r="ES38" s="1053" t="str">
        <f t="shared" si="91"/>
        <v/>
      </c>
      <c r="ET38" s="1053" t="str">
        <f t="shared" si="92"/>
        <v/>
      </c>
      <c r="EU38" s="1061" t="str">
        <f t="shared" si="93"/>
        <v/>
      </c>
      <c r="EV38" s="1055" t="str">
        <f t="shared" si="94"/>
        <v/>
      </c>
      <c r="EW38" s="1061"/>
      <c r="EX38" s="1061" t="str">
        <f>IF(AND(CU38="G", ISBLANK(BK38), ISBLANK(BL38)),VLOOKUP(MIN(BH38:BI38),TblJoistSize!$M$3:$N$10,2),IF(OR(CU38="B",CU38="G"),MIN(BK38:BL38),""))</f>
        <v/>
      </c>
      <c r="EY38" s="1061" t="str">
        <f>IF(AND(CU38="G", ISBLANK(BK38), ISBLANK(BL38)),VLOOKUP(MAX(BH38:BI38),TblJoistSize!$M$3:$N$10,2),IF(OR(CU38="B",CU38="G"),MAX(BK38:BL38),""))</f>
        <v/>
      </c>
      <c r="EZ38" s="1061" t="str">
        <f t="shared" si="95"/>
        <v/>
      </c>
      <c r="FA38" s="1061" t="str">
        <f>IF(AND(DE38="G", ISBLANK(BS38), ISBLANK(BT38)),VLOOKUP(MIN(BP38:BQ38),TblJoistSize!$M$3:$N$10,2),IF(OR(DE38="B", DE38="G"),MIN(BS38:BT38),""))</f>
        <v/>
      </c>
      <c r="FB38" s="1061" t="str">
        <f>IF(AND(DE38="G", ISBLANK(BS38), ISBLANK(BT38)),VLOOKUP(MAX(BP38:BQ38),TblJoistSize!$M$3:$N$10,2),IF(OR(DE38="B", DE38="G"),MAX(BS38:BT38),""))</f>
        <v/>
      </c>
      <c r="FC38" s="1061" t="str">
        <f t="shared" si="96"/>
        <v/>
      </c>
      <c r="FD38" s="1052">
        <f t="shared" si="123"/>
        <v>0</v>
      </c>
      <c r="FE38" s="1052">
        <f t="shared" si="97"/>
        <v>0</v>
      </c>
      <c r="FF38" s="1052">
        <f t="shared" si="98"/>
        <v>0</v>
      </c>
      <c r="FG38" s="1052" t="str">
        <f t="shared" si="99"/>
        <v/>
      </c>
      <c r="FH38" s="1053" t="str">
        <f t="shared" si="100"/>
        <v/>
      </c>
      <c r="FI38" s="1052">
        <f t="shared" si="124"/>
        <v>0</v>
      </c>
      <c r="FJ38" s="1052">
        <f t="shared" si="101"/>
        <v>0</v>
      </c>
      <c r="FK38" s="1052">
        <f t="shared" si="102"/>
        <v>0</v>
      </c>
      <c r="FL38" s="1052" t="str">
        <f t="shared" si="103"/>
        <v/>
      </c>
      <c r="FM38" s="1053" t="str">
        <f t="shared" si="104"/>
        <v/>
      </c>
      <c r="FN38" s="1053" t="e">
        <f t="shared" si="105"/>
        <v>#VALUE!</v>
      </c>
      <c r="FO38" s="1062" t="e">
        <f t="shared" si="106"/>
        <v>#VALUE!</v>
      </c>
      <c r="FP38" s="1062" t="e">
        <f t="shared" si="107"/>
        <v>#VALUE!</v>
      </c>
      <c r="FQ38" s="1063" t="e">
        <f t="shared" si="108"/>
        <v>#VALUE!</v>
      </c>
      <c r="FR38" s="1064" t="e">
        <f t="shared" si="109"/>
        <v>#VALUE!</v>
      </c>
      <c r="FS38" s="1065" t="str">
        <f t="shared" si="110"/>
        <v/>
      </c>
      <c r="FT38" s="1066" t="str">
        <f t="shared" si="111"/>
        <v/>
      </c>
      <c r="FU38" s="1105">
        <f t="shared" si="112"/>
        <v>0</v>
      </c>
      <c r="FV38" s="1106">
        <f t="shared" si="113"/>
        <v>0</v>
      </c>
      <c r="GA38" s="1975" t="str">
        <f t="shared" si="114"/>
        <v/>
      </c>
      <c r="GB38" s="1976" t="str">
        <f t="shared" si="115"/>
        <v/>
      </c>
      <c r="GC38" s="1977" t="str">
        <f t="shared" si="116"/>
        <v/>
      </c>
      <c r="GD38" s="1978" t="str">
        <f t="shared" si="117"/>
        <v/>
      </c>
      <c r="GE38" s="1979" t="str">
        <f t="shared" si="118"/>
        <v/>
      </c>
      <c r="GF38" s="1980" t="str">
        <f t="shared" si="119"/>
        <v/>
      </c>
      <c r="GG38" s="1453"/>
      <c r="GH38" s="1454"/>
      <c r="GI38" s="1453"/>
      <c r="GJ38" s="1454"/>
      <c r="GK38" s="533">
        <f t="shared" si="120"/>
        <v>0</v>
      </c>
      <c r="GL38" s="534" t="e">
        <f t="shared" si="121"/>
        <v>#VALUE!</v>
      </c>
      <c r="GM38" s="535" t="e">
        <f>IF(ABS(GK38-GL38)&gt;='Job Info.'!$L$22,ABS(GK38-GL38),0)</f>
        <v>#VALUE!</v>
      </c>
      <c r="HA38" s="1658"/>
      <c r="HB38" s="1659"/>
      <c r="HC38" s="1659"/>
      <c r="HD38" s="1660"/>
      <c r="HE38" s="1661"/>
      <c r="HF38" s="1659"/>
      <c r="HG38" s="1659"/>
      <c r="HH38" s="1659"/>
      <c r="HI38" s="1662"/>
      <c r="HJ38" s="1659"/>
      <c r="HK38" s="1659"/>
      <c r="HL38" s="1659"/>
      <c r="HM38" s="1659"/>
      <c r="HN38" s="1659"/>
      <c r="HO38" s="1659"/>
      <c r="HP38" s="1659"/>
      <c r="HQ38" s="1662"/>
      <c r="HR38" s="1659"/>
      <c r="HS38" s="1659"/>
      <c r="HT38" s="1659"/>
      <c r="HU38" s="1659"/>
      <c r="HV38" s="1659"/>
      <c r="HW38" s="1661"/>
      <c r="HX38" s="1661"/>
      <c r="HY38" s="1661"/>
      <c r="HZ38" s="1661"/>
      <c r="IA38" s="1661"/>
      <c r="IB38" s="1661"/>
      <c r="IC38" s="1661"/>
      <c r="ID38" s="1661"/>
      <c r="IE38" s="1661"/>
      <c r="IF38" s="1663"/>
    </row>
    <row r="39" spans="1:240" ht="12.6" customHeight="1" x14ac:dyDescent="0.25">
      <c r="A39" s="1471" t="str">
        <f t="shared" si="1"/>
        <v/>
      </c>
      <c r="B39" s="1473" t="str">
        <f t="shared" si="2"/>
        <v/>
      </c>
      <c r="C39" s="1473" t="str">
        <f t="shared" si="3"/>
        <v/>
      </c>
      <c r="D39" s="1909" t="str">
        <f t="shared" si="4"/>
        <v/>
      </c>
      <c r="E39" s="1982" t="str">
        <f t="shared" si="5"/>
        <v/>
      </c>
      <c r="F39" s="1920" t="str">
        <f t="shared" si="6"/>
        <v/>
      </c>
      <c r="G39" s="1910" t="str">
        <f t="shared" si="7"/>
        <v/>
      </c>
      <c r="H39" s="1965" t="str">
        <f t="shared" si="8"/>
        <v/>
      </c>
      <c r="I39" s="1909" t="str">
        <f t="shared" si="9"/>
        <v/>
      </c>
      <c r="J39" s="1910" t="str">
        <f t="shared" si="10"/>
        <v/>
      </c>
      <c r="K39" s="1983" t="str">
        <f t="shared" si="11"/>
        <v/>
      </c>
      <c r="L39" s="1915" t="str">
        <f t="shared" si="12"/>
        <v/>
      </c>
      <c r="M39" s="1961" t="str">
        <f t="shared" si="13"/>
        <v/>
      </c>
      <c r="N39" s="1917" t="str">
        <f t="shared" si="14"/>
        <v/>
      </c>
      <c r="O39" s="1910" t="str">
        <f t="shared" si="15"/>
        <v/>
      </c>
      <c r="P39" s="1908" t="str">
        <f t="shared" si="16"/>
        <v/>
      </c>
      <c r="Q39" s="1909" t="str">
        <f t="shared" si="17"/>
        <v/>
      </c>
      <c r="R39" s="1910" t="str">
        <f t="shared" si="18"/>
        <v/>
      </c>
      <c r="S39" s="1984" t="str">
        <f t="shared" si="19"/>
        <v/>
      </c>
      <c r="T39" s="1920" t="str">
        <f t="shared" si="20"/>
        <v/>
      </c>
      <c r="U39" s="1910" t="str">
        <f t="shared" si="21"/>
        <v/>
      </c>
      <c r="V39" s="1909" t="str">
        <f t="shared" si="22"/>
        <v/>
      </c>
      <c r="W39" s="1910" t="str">
        <f t="shared" si="23"/>
        <v/>
      </c>
      <c r="X39" s="1961">
        <f t="shared" si="24"/>
        <v>0</v>
      </c>
      <c r="Y39" s="1967" t="str">
        <f t="shared" si="25"/>
        <v/>
      </c>
      <c r="Z39" s="1968" t="str">
        <f t="shared" si="26"/>
        <v/>
      </c>
      <c r="AA39" s="1981"/>
      <c r="AC39" s="1226" t="b">
        <v>0</v>
      </c>
      <c r="AD39" s="525">
        <f t="shared" si="27"/>
        <v>0</v>
      </c>
      <c r="AE39" s="526">
        <f t="shared" si="28"/>
        <v>0</v>
      </c>
      <c r="AF39" s="526">
        <f t="shared" si="29"/>
        <v>0</v>
      </c>
      <c r="AG39" s="526">
        <f t="shared" si="30"/>
        <v>0</v>
      </c>
      <c r="AH39" s="527">
        <f t="shared" si="31"/>
        <v>0</v>
      </c>
      <c r="AI39" s="528" t="b">
        <v>0</v>
      </c>
      <c r="AJ39" s="284">
        <f t="shared" si="32"/>
        <v>0</v>
      </c>
      <c r="AK39" s="1063" t="str">
        <f t="shared" si="33"/>
        <v/>
      </c>
      <c r="AL39" s="1202" t="str">
        <f t="shared" si="34"/>
        <v/>
      </c>
      <c r="AM39" s="1063" t="str">
        <f t="shared" si="35"/>
        <v/>
      </c>
      <c r="AN39" s="1063" t="str">
        <f t="shared" si="36"/>
        <v/>
      </c>
      <c r="AO39" s="1063" t="str">
        <f t="shared" si="37"/>
        <v/>
      </c>
      <c r="AP39" s="1063" t="b">
        <f>IF(ISERROR(AJ39),FALSE,IF(OR(AJ39=0,ISERROR(AL39),ISERROR(AM39),ISERROR(AN39),ISERROR(AO39)),FALSE,IF(AL39&lt;&gt;"",IF(ISERROR(VLOOKUP(SUBSTITUTE(SUBSTITUTE(C39,"R",""),"A",""),TblJoistSize!$A:$A,1,FALSE)),FALSE,TRUE),TRUE)))</f>
        <v>0</v>
      </c>
      <c r="AQ39" s="1305" t="e">
        <f t="shared" si="38"/>
        <v>#N/A</v>
      </c>
      <c r="AR39" s="1305" t="b">
        <f t="shared" si="39"/>
        <v>0</v>
      </c>
      <c r="AS39" s="1305" t="e">
        <f t="shared" si="40"/>
        <v>#N/A</v>
      </c>
      <c r="AT39" s="1305" t="b">
        <f t="shared" si="41"/>
        <v>0</v>
      </c>
      <c r="AU39" s="1203" t="str">
        <f t="shared" si="42"/>
        <v/>
      </c>
      <c r="AV39" s="1063" t="str">
        <f t="shared" si="43"/>
        <v/>
      </c>
      <c r="AW39" s="1063" t="str">
        <f t="shared" si="44"/>
        <v/>
      </c>
      <c r="AX39" s="1063" t="str">
        <f t="shared" si="122"/>
        <v/>
      </c>
      <c r="AY39" s="1306" t="b">
        <f t="shared" si="45"/>
        <v>0</v>
      </c>
      <c r="AZ39" s="1090" t="str">
        <f t="shared" si="46"/>
        <v/>
      </c>
      <c r="BA39" s="674"/>
      <c r="BB39" s="842"/>
      <c r="BC39" s="894"/>
      <c r="BD39" s="926"/>
      <c r="BE39" s="927"/>
      <c r="BF39" s="928"/>
      <c r="BG39" s="901"/>
      <c r="BH39" s="1244"/>
      <c r="BI39" s="1245"/>
      <c r="BJ39" s="929"/>
      <c r="BK39" s="902"/>
      <c r="BL39" s="903"/>
      <c r="BM39" s="904"/>
      <c r="BN39" s="905"/>
      <c r="BO39" s="901"/>
      <c r="BP39" s="902"/>
      <c r="BQ39" s="903"/>
      <c r="BR39" s="929"/>
      <c r="BS39" s="902"/>
      <c r="BT39" s="903"/>
      <c r="BU39" s="904"/>
      <c r="BV39" s="905"/>
      <c r="BW39" s="906"/>
      <c r="BX39" s="930"/>
      <c r="BY39" s="931"/>
      <c r="BZ39" s="932"/>
      <c r="CA39" s="933"/>
      <c r="CB39" s="932"/>
      <c r="CC39" s="933"/>
      <c r="CD39" s="934" t="str">
        <f t="shared" si="47"/>
        <v/>
      </c>
      <c r="CE39" s="935" t="str">
        <f t="shared" si="48"/>
        <v/>
      </c>
      <c r="CF39" s="1149"/>
      <c r="CG39" s="1150"/>
      <c r="CH39" s="738" t="str">
        <f t="shared" si="49"/>
        <v/>
      </c>
      <c r="CI39" s="739" t="str">
        <f t="shared" si="50"/>
        <v/>
      </c>
      <c r="CJ39" s="740" t="str">
        <f t="shared" si="51"/>
        <v/>
      </c>
      <c r="CK39" s="741" t="str">
        <f t="shared" si="52"/>
        <v/>
      </c>
      <c r="CL39" s="742" t="str">
        <f t="shared" si="53"/>
        <v/>
      </c>
      <c r="CM39" s="743" t="str">
        <f t="shared" si="54"/>
        <v/>
      </c>
      <c r="CN39" s="744" t="str">
        <f t="shared" si="55"/>
        <v/>
      </c>
      <c r="CO39" s="745" t="str">
        <f t="shared" si="56"/>
        <v/>
      </c>
      <c r="CP39" s="762" t="str">
        <f t="shared" si="57"/>
        <v/>
      </c>
      <c r="CQ39" s="763" t="str">
        <f t="shared" si="58"/>
        <v/>
      </c>
      <c r="CR39" s="953" t="str">
        <f t="shared" si="59"/>
        <v/>
      </c>
      <c r="CS39" s="954" t="str">
        <f t="shared" si="60"/>
        <v/>
      </c>
      <c r="CU39" s="1048" t="str">
        <f>IF(BG39="","",VLOOKUP(BG39,SectInfo!$B:$N,12,FALSE))</f>
        <v/>
      </c>
      <c r="CV39" s="1046" t="str">
        <f>IF(BG39="","",IF(ISBLANK(BZ39),VLOOKUP(BG39,SectInfo!$B:$N,13,FALSE),BZ39))</f>
        <v/>
      </c>
      <c r="CW39" s="1046" t="str">
        <f>IF(BG39="","",IF(VLOOKUP(BG39,SectInfo!$B:$N,5,FALSE)="","R",UPPER(VLOOKUP(BG39,SectInfo!$B:$N,5,FALSE))))</f>
        <v/>
      </c>
      <c r="CX39" s="1046" t="str">
        <f>IF(BG39="","",IF(ISBLANK(CF39),VLOOKUP(BG39,SectInfo!$B:$N,6,FALSE),CF39))</f>
        <v/>
      </c>
      <c r="CY39" s="1276" t="str">
        <f>IF(BG39="","",IF(VLOOKUP(BG39,SectInfo!$B:$N,10,FALSE)="","",(VLOOKUP(BG39,SectInfo!$B:$N,10,FALSE)*-1)))</f>
        <v/>
      </c>
      <c r="CZ39" s="1443" t="str">
        <f>IF(BG39="","",IF(VLOOKUP(BG39,SectInfo!$B:$N,11,FALSE)="","2",(VLOOKUP(BG39,SectInfo!$B:$N,11,FALSE))))</f>
        <v/>
      </c>
      <c r="DA39" s="1046" t="str">
        <f>IF(BG39="","",IF(VLOOKUP(BG39,SectInfo!$B:$N,7,FALSE)="","",(VLOOKUP(BG39,SectInfo!$B:$N,7,FALSE)*-1)))</f>
        <v/>
      </c>
      <c r="DB39" s="1046" t="str">
        <f>IF(BG39="","",IF(VLOOKUP(BG39,SectInfo!$B:$N,8,FALSE)="",VLOOKUP(AU39,$DF$2:$DN$9,6,FALSE),(VLOOKUP(BG39,SectInfo!$B:$N,8,FALSE))))</f>
        <v/>
      </c>
      <c r="DC39" s="1046" t="str">
        <f>IF(BG39="","",VLOOKUP(BG39,SectInfo!$B:$N,9,FALSE))</f>
        <v/>
      </c>
      <c r="DD39" s="1047">
        <f t="shared" si="61"/>
        <v>0</v>
      </c>
      <c r="DE39" s="1048" t="str">
        <f>IF(BO39="","",VLOOKUP(BO39,SectInfo!$B:$N,12,FALSE))</f>
        <v/>
      </c>
      <c r="DF39" s="1046" t="str">
        <f>IF(BO39="","",IF(ISBLANK(CA39),VLOOKUP(BO39,SectInfo!$B:$N,13,FALSE),CA39))</f>
        <v/>
      </c>
      <c r="DG39" s="1046" t="str">
        <f>IF(BO39="","",IF(VLOOKUP(BO39,SectInfo!$B:$N,5,FALSE)="","R",UPPER(VLOOKUP(BO39,SectInfo!$B:$N,5,FALSE))))</f>
        <v/>
      </c>
      <c r="DH39" s="1046" t="str">
        <f>IF(BO39="","",IF(ISBLANK(CG39),VLOOKUP(BO39,SectInfo!$B:$N,6,FALSE),CG39))</f>
        <v/>
      </c>
      <c r="DI39" s="1046" t="str">
        <f>IF(BO39="","",IF(VLOOKUP(BO39,SectInfo!$B:$N,10,FALSE)="","",(VLOOKUP(BO39,SectInfo!$B:$N,10,FALSE)*-1)))</f>
        <v/>
      </c>
      <c r="DJ39" s="1443" t="str">
        <f>IF(BO39="","",IF(VLOOKUP(BO39,SectInfo!$B:$N,11,FALSE)="","2",(VLOOKUP(BO39,SectInfo!$B:$N,11,FALSE))))</f>
        <v/>
      </c>
      <c r="DK39" s="1046" t="str">
        <f>IF(BO39="","",IF(VLOOKUP(BO39,SectInfo!$B:$N,7,FALSE)="","",(VLOOKUP(BO39,SectInfo!$B:$N,7,FALSE)*-1)))</f>
        <v/>
      </c>
      <c r="DL39" s="1046" t="str">
        <f>IF(BO39="","",IF(VLOOKUP(BO39,SectInfo!$B:$N,8,FALSE)="",VLOOKUP(AU39,$DF$2:$DN$9,6,FALSE),(VLOOKUP(BO39,SectInfo!$B:$N,8,FALSE))))</f>
        <v/>
      </c>
      <c r="DM39" s="1046" t="str">
        <f>IF(BO39="","",VLOOKUP(BO39,SectInfo!$B:$N,9,FALSE))</f>
        <v/>
      </c>
      <c r="DN39" s="1047">
        <f t="shared" si="62"/>
        <v>0</v>
      </c>
      <c r="DO39" s="1049">
        <f t="shared" si="63"/>
        <v>0</v>
      </c>
      <c r="DP39" s="1053" t="str">
        <f t="shared" si="64"/>
        <v/>
      </c>
      <c r="DQ39" s="1053" t="str">
        <f t="shared" si="65"/>
        <v/>
      </c>
      <c r="DR39" s="1053" t="str">
        <f t="shared" si="66"/>
        <v/>
      </c>
      <c r="DS39" s="1052">
        <f t="shared" si="67"/>
        <v>0</v>
      </c>
      <c r="DT39" s="1052">
        <f t="shared" si="68"/>
        <v>0</v>
      </c>
      <c r="DU39" s="1052" t="str">
        <f t="shared" si="69"/>
        <v/>
      </c>
      <c r="DV39" s="1053" t="str">
        <f t="shared" si="70"/>
        <v/>
      </c>
      <c r="DW39" s="1053" t="str">
        <f t="shared" si="71"/>
        <v/>
      </c>
      <c r="DX39" s="1269">
        <f t="shared" si="72"/>
        <v>0</v>
      </c>
      <c r="DY39" s="1053">
        <f t="shared" si="73"/>
        <v>0</v>
      </c>
      <c r="DZ39" s="1052">
        <f t="shared" si="74"/>
        <v>0</v>
      </c>
      <c r="EA39" s="1052" t="str">
        <f t="shared" si="75"/>
        <v/>
      </c>
      <c r="EB39" s="1053" t="str">
        <f t="shared" si="76"/>
        <v/>
      </c>
      <c r="EC39" s="1053" t="str">
        <f t="shared" si="77"/>
        <v/>
      </c>
      <c r="ED39" s="1269">
        <f t="shared" si="78"/>
        <v>0</v>
      </c>
      <c r="EE39" s="1090" t="str">
        <f t="shared" si="79"/>
        <v/>
      </c>
      <c r="EF39" s="1053" t="str">
        <f t="shared" si="80"/>
        <v/>
      </c>
      <c r="EG39" s="1053" t="str">
        <f t="shared" si="81"/>
        <v/>
      </c>
      <c r="EH39" s="1053" t="e">
        <f t="shared" si="82"/>
        <v>#N/A</v>
      </c>
      <c r="EI39" s="1053" t="e">
        <f t="shared" si="83"/>
        <v>#N/A</v>
      </c>
      <c r="EJ39" s="1053" t="str">
        <f t="shared" si="84"/>
        <v/>
      </c>
      <c r="EK39" s="1053" t="str">
        <f t="shared" si="84"/>
        <v/>
      </c>
      <c r="EL39" s="1090" t="str">
        <f t="shared" si="85"/>
        <v/>
      </c>
      <c r="EM39" s="1053" t="str">
        <f t="shared" si="86"/>
        <v/>
      </c>
      <c r="EN39" s="1053" t="str">
        <f t="shared" si="87"/>
        <v/>
      </c>
      <c r="EO39" s="1053" t="e">
        <f t="shared" si="88"/>
        <v>#N/A</v>
      </c>
      <c r="EP39" s="1053" t="e">
        <f t="shared" si="89"/>
        <v>#N/A</v>
      </c>
      <c r="EQ39" s="1053" t="str">
        <f t="shared" si="90"/>
        <v/>
      </c>
      <c r="ER39" s="1053" t="str">
        <f t="shared" si="90"/>
        <v/>
      </c>
      <c r="ES39" s="1053" t="str">
        <f t="shared" si="91"/>
        <v/>
      </c>
      <c r="ET39" s="1053" t="str">
        <f t="shared" si="92"/>
        <v/>
      </c>
      <c r="EU39" s="1061" t="str">
        <f t="shared" si="93"/>
        <v/>
      </c>
      <c r="EV39" s="1055" t="str">
        <f t="shared" si="94"/>
        <v/>
      </c>
      <c r="EW39" s="1061"/>
      <c r="EX39" s="1061" t="str">
        <f>IF(AND(CU39="G", ISBLANK(BK39), ISBLANK(BL39)),VLOOKUP(MIN(BH39:BI39),TblJoistSize!$M$3:$N$10,2),IF(OR(CU39="B",CU39="G"),MIN(BK39:BL39),""))</f>
        <v/>
      </c>
      <c r="EY39" s="1061" t="str">
        <f>IF(AND(CU39="G", ISBLANK(BK39), ISBLANK(BL39)),VLOOKUP(MAX(BH39:BI39),TblJoistSize!$M$3:$N$10,2),IF(OR(CU39="B",CU39="G"),MAX(BK39:BL39),""))</f>
        <v/>
      </c>
      <c r="EZ39" s="1061" t="str">
        <f t="shared" si="95"/>
        <v/>
      </c>
      <c r="FA39" s="1061" t="str">
        <f>IF(AND(DE39="G", ISBLANK(BS39), ISBLANK(BT39)),VLOOKUP(MIN(BP39:BQ39),TblJoistSize!$M$3:$N$10,2),IF(OR(DE39="B", DE39="G"),MIN(BS39:BT39),""))</f>
        <v/>
      </c>
      <c r="FB39" s="1061" t="str">
        <f>IF(AND(DE39="G", ISBLANK(BS39), ISBLANK(BT39)),VLOOKUP(MAX(BP39:BQ39),TblJoistSize!$M$3:$N$10,2),IF(OR(DE39="B", DE39="G"),MAX(BS39:BT39),""))</f>
        <v/>
      </c>
      <c r="FC39" s="1061" t="str">
        <f t="shared" si="96"/>
        <v/>
      </c>
      <c r="FD39" s="1052">
        <f t="shared" si="123"/>
        <v>0</v>
      </c>
      <c r="FE39" s="1052">
        <f t="shared" si="97"/>
        <v>0</v>
      </c>
      <c r="FF39" s="1052">
        <f t="shared" si="98"/>
        <v>0</v>
      </c>
      <c r="FG39" s="1052" t="str">
        <f t="shared" si="99"/>
        <v/>
      </c>
      <c r="FH39" s="1053" t="str">
        <f t="shared" si="100"/>
        <v/>
      </c>
      <c r="FI39" s="1052">
        <f t="shared" si="124"/>
        <v>0</v>
      </c>
      <c r="FJ39" s="1052">
        <f t="shared" si="101"/>
        <v>0</v>
      </c>
      <c r="FK39" s="1052">
        <f t="shared" si="102"/>
        <v>0</v>
      </c>
      <c r="FL39" s="1052" t="str">
        <f t="shared" si="103"/>
        <v/>
      </c>
      <c r="FM39" s="1053" t="str">
        <f t="shared" si="104"/>
        <v/>
      </c>
      <c r="FN39" s="1053" t="e">
        <f t="shared" si="105"/>
        <v>#VALUE!</v>
      </c>
      <c r="FO39" s="1062" t="e">
        <f t="shared" si="106"/>
        <v>#VALUE!</v>
      </c>
      <c r="FP39" s="1062" t="e">
        <f t="shared" si="107"/>
        <v>#VALUE!</v>
      </c>
      <c r="FQ39" s="1063" t="e">
        <f t="shared" si="108"/>
        <v>#VALUE!</v>
      </c>
      <c r="FR39" s="1064" t="e">
        <f t="shared" si="109"/>
        <v>#VALUE!</v>
      </c>
      <c r="FS39" s="1065" t="str">
        <f t="shared" si="110"/>
        <v/>
      </c>
      <c r="FT39" s="1066" t="str">
        <f t="shared" si="111"/>
        <v/>
      </c>
      <c r="FU39" s="1105">
        <f t="shared" si="112"/>
        <v>0</v>
      </c>
      <c r="FV39" s="1106">
        <f t="shared" si="113"/>
        <v>0</v>
      </c>
      <c r="GA39" s="1975" t="str">
        <f t="shared" si="114"/>
        <v/>
      </c>
      <c r="GB39" s="1976" t="str">
        <f t="shared" si="115"/>
        <v/>
      </c>
      <c r="GC39" s="1977" t="str">
        <f t="shared" si="116"/>
        <v/>
      </c>
      <c r="GD39" s="1978" t="str">
        <f t="shared" si="117"/>
        <v/>
      </c>
      <c r="GE39" s="1979" t="str">
        <f t="shared" si="118"/>
        <v/>
      </c>
      <c r="GF39" s="1980" t="str">
        <f t="shared" si="119"/>
        <v/>
      </c>
      <c r="GG39" s="1453"/>
      <c r="GH39" s="1454"/>
      <c r="GI39" s="1453"/>
      <c r="GJ39" s="1454"/>
      <c r="GK39" s="533">
        <f t="shared" si="120"/>
        <v>0</v>
      </c>
      <c r="GL39" s="534" t="e">
        <f t="shared" si="121"/>
        <v>#VALUE!</v>
      </c>
      <c r="GM39" s="535" t="e">
        <f>IF(ABS(GK39-GL39)&gt;='Job Info.'!$L$22,ABS(GK39-GL39),0)</f>
        <v>#VALUE!</v>
      </c>
      <c r="HA39" s="1658"/>
      <c r="HB39" s="1659"/>
      <c r="HC39" s="1659"/>
      <c r="HD39" s="1660"/>
      <c r="HE39" s="1661"/>
      <c r="HF39" s="1659"/>
      <c r="HG39" s="1659"/>
      <c r="HH39" s="1659"/>
      <c r="HI39" s="1662"/>
      <c r="HJ39" s="1659"/>
      <c r="HK39" s="1659"/>
      <c r="HL39" s="1659"/>
      <c r="HM39" s="1659"/>
      <c r="HN39" s="1659"/>
      <c r="HO39" s="1659"/>
      <c r="HP39" s="1659"/>
      <c r="HQ39" s="1662"/>
      <c r="HR39" s="1659"/>
      <c r="HS39" s="1659"/>
      <c r="HT39" s="1659"/>
      <c r="HU39" s="1659"/>
      <c r="HV39" s="1659"/>
      <c r="HW39" s="1661"/>
      <c r="HX39" s="1661"/>
      <c r="HY39" s="1661"/>
      <c r="HZ39" s="1661"/>
      <c r="IA39" s="1661"/>
      <c r="IB39" s="1661"/>
      <c r="IC39" s="1661"/>
      <c r="ID39" s="1661"/>
      <c r="IE39" s="1661"/>
      <c r="IF39" s="1663"/>
    </row>
    <row r="40" spans="1:240" ht="12.6" customHeight="1" x14ac:dyDescent="0.25">
      <c r="A40" s="1471" t="str">
        <f t="shared" si="1"/>
        <v/>
      </c>
      <c r="B40" s="1473" t="str">
        <f t="shared" si="2"/>
        <v/>
      </c>
      <c r="C40" s="1473" t="str">
        <f t="shared" si="3"/>
        <v/>
      </c>
      <c r="D40" s="1909" t="str">
        <f t="shared" si="4"/>
        <v/>
      </c>
      <c r="E40" s="1982" t="str">
        <f t="shared" si="5"/>
        <v/>
      </c>
      <c r="F40" s="1920" t="str">
        <f t="shared" si="6"/>
        <v/>
      </c>
      <c r="G40" s="1910" t="str">
        <f t="shared" si="7"/>
        <v/>
      </c>
      <c r="H40" s="1965" t="str">
        <f t="shared" si="8"/>
        <v/>
      </c>
      <c r="I40" s="1909" t="str">
        <f t="shared" si="9"/>
        <v/>
      </c>
      <c r="J40" s="1910" t="str">
        <f t="shared" si="10"/>
        <v/>
      </c>
      <c r="K40" s="1983" t="str">
        <f t="shared" si="11"/>
        <v/>
      </c>
      <c r="L40" s="1915" t="str">
        <f t="shared" si="12"/>
        <v/>
      </c>
      <c r="M40" s="1961" t="str">
        <f t="shared" si="13"/>
        <v/>
      </c>
      <c r="N40" s="1917" t="str">
        <f t="shared" si="14"/>
        <v/>
      </c>
      <c r="O40" s="1910" t="str">
        <f t="shared" si="15"/>
        <v/>
      </c>
      <c r="P40" s="1908" t="str">
        <f t="shared" si="16"/>
        <v/>
      </c>
      <c r="Q40" s="1909" t="str">
        <f t="shared" si="17"/>
        <v/>
      </c>
      <c r="R40" s="1910" t="str">
        <f t="shared" si="18"/>
        <v/>
      </c>
      <c r="S40" s="1984" t="str">
        <f t="shared" si="19"/>
        <v/>
      </c>
      <c r="T40" s="1920" t="str">
        <f t="shared" si="20"/>
        <v/>
      </c>
      <c r="U40" s="1910" t="str">
        <f t="shared" si="21"/>
        <v/>
      </c>
      <c r="V40" s="1909" t="str">
        <f t="shared" si="22"/>
        <v/>
      </c>
      <c r="W40" s="1910" t="str">
        <f t="shared" si="23"/>
        <v/>
      </c>
      <c r="X40" s="1961">
        <f t="shared" si="24"/>
        <v>0</v>
      </c>
      <c r="Y40" s="1967" t="str">
        <f t="shared" si="25"/>
        <v/>
      </c>
      <c r="Z40" s="1968" t="str">
        <f t="shared" si="26"/>
        <v/>
      </c>
      <c r="AA40" s="1981"/>
      <c r="AC40" s="1226" t="b">
        <v>0</v>
      </c>
      <c r="AD40" s="525">
        <f t="shared" si="27"/>
        <v>0</v>
      </c>
      <c r="AE40" s="526">
        <f t="shared" si="28"/>
        <v>0</v>
      </c>
      <c r="AF40" s="526">
        <f t="shared" si="29"/>
        <v>0</v>
      </c>
      <c r="AG40" s="526">
        <f t="shared" si="30"/>
        <v>0</v>
      </c>
      <c r="AH40" s="527">
        <f t="shared" si="31"/>
        <v>0</v>
      </c>
      <c r="AI40" s="528" t="b">
        <v>0</v>
      </c>
      <c r="AJ40" s="284">
        <f t="shared" si="32"/>
        <v>0</v>
      </c>
      <c r="AK40" s="1063" t="str">
        <f t="shared" si="33"/>
        <v/>
      </c>
      <c r="AL40" s="1202" t="str">
        <f t="shared" si="34"/>
        <v/>
      </c>
      <c r="AM40" s="1063" t="str">
        <f t="shared" si="35"/>
        <v/>
      </c>
      <c r="AN40" s="1063" t="str">
        <f t="shared" si="36"/>
        <v/>
      </c>
      <c r="AO40" s="1063" t="str">
        <f t="shared" si="37"/>
        <v/>
      </c>
      <c r="AP40" s="1063" t="b">
        <f>IF(ISERROR(AJ40),FALSE,IF(OR(AJ40=0,ISERROR(AL40),ISERROR(AM40),ISERROR(AN40),ISERROR(AO40)),FALSE,IF(AL40&lt;&gt;"",IF(ISERROR(VLOOKUP(SUBSTITUTE(SUBSTITUTE(C40,"R",""),"A",""),TblJoistSize!$A:$A,1,FALSE)),FALSE,TRUE),TRUE)))</f>
        <v>0</v>
      </c>
      <c r="AQ40" s="1305" t="e">
        <f t="shared" si="38"/>
        <v>#N/A</v>
      </c>
      <c r="AR40" s="1305" t="b">
        <f t="shared" si="39"/>
        <v>0</v>
      </c>
      <c r="AS40" s="1305" t="e">
        <f t="shared" si="40"/>
        <v>#N/A</v>
      </c>
      <c r="AT40" s="1305" t="b">
        <f t="shared" si="41"/>
        <v>0</v>
      </c>
      <c r="AU40" s="1203" t="str">
        <f t="shared" si="42"/>
        <v/>
      </c>
      <c r="AV40" s="1063" t="str">
        <f t="shared" si="43"/>
        <v/>
      </c>
      <c r="AW40" s="1063" t="str">
        <f t="shared" si="44"/>
        <v/>
      </c>
      <c r="AX40" s="1063" t="str">
        <f t="shared" si="122"/>
        <v/>
      </c>
      <c r="AY40" s="1306" t="b">
        <f t="shared" si="45"/>
        <v>0</v>
      </c>
      <c r="AZ40" s="1090" t="str">
        <f t="shared" si="46"/>
        <v/>
      </c>
      <c r="BA40" s="674"/>
      <c r="BB40" s="842"/>
      <c r="BC40" s="894"/>
      <c r="BD40" s="926"/>
      <c r="BE40" s="927"/>
      <c r="BF40" s="928"/>
      <c r="BG40" s="901"/>
      <c r="BH40" s="1244"/>
      <c r="BI40" s="1245"/>
      <c r="BJ40" s="929"/>
      <c r="BK40" s="902"/>
      <c r="BL40" s="903"/>
      <c r="BM40" s="904"/>
      <c r="BN40" s="905"/>
      <c r="BO40" s="901"/>
      <c r="BP40" s="902"/>
      <c r="BQ40" s="903"/>
      <c r="BR40" s="929"/>
      <c r="BS40" s="902"/>
      <c r="BT40" s="903"/>
      <c r="BU40" s="904"/>
      <c r="BV40" s="905"/>
      <c r="BW40" s="906"/>
      <c r="BX40" s="930"/>
      <c r="BY40" s="931"/>
      <c r="BZ40" s="932"/>
      <c r="CA40" s="933"/>
      <c r="CB40" s="932"/>
      <c r="CC40" s="933"/>
      <c r="CD40" s="934" t="str">
        <f t="shared" si="47"/>
        <v/>
      </c>
      <c r="CE40" s="935" t="str">
        <f t="shared" si="48"/>
        <v/>
      </c>
      <c r="CF40" s="1149"/>
      <c r="CG40" s="1150"/>
      <c r="CH40" s="738" t="str">
        <f t="shared" si="49"/>
        <v/>
      </c>
      <c r="CI40" s="739" t="str">
        <f t="shared" si="50"/>
        <v/>
      </c>
      <c r="CJ40" s="740" t="str">
        <f t="shared" si="51"/>
        <v/>
      </c>
      <c r="CK40" s="741" t="str">
        <f t="shared" si="52"/>
        <v/>
      </c>
      <c r="CL40" s="742" t="str">
        <f t="shared" si="53"/>
        <v/>
      </c>
      <c r="CM40" s="743" t="str">
        <f t="shared" si="54"/>
        <v/>
      </c>
      <c r="CN40" s="744" t="str">
        <f t="shared" si="55"/>
        <v/>
      </c>
      <c r="CO40" s="745" t="str">
        <f t="shared" si="56"/>
        <v/>
      </c>
      <c r="CP40" s="762" t="str">
        <f t="shared" si="57"/>
        <v/>
      </c>
      <c r="CQ40" s="763" t="str">
        <f t="shared" si="58"/>
        <v/>
      </c>
      <c r="CR40" s="953" t="str">
        <f t="shared" si="59"/>
        <v/>
      </c>
      <c r="CS40" s="954" t="str">
        <f t="shared" si="60"/>
        <v/>
      </c>
      <c r="CU40" s="1048" t="str">
        <f>IF(BG40="","",VLOOKUP(BG40,SectInfo!$B:$N,12,FALSE))</f>
        <v/>
      </c>
      <c r="CV40" s="1046" t="str">
        <f>IF(BG40="","",IF(ISBLANK(BZ40),VLOOKUP(BG40,SectInfo!$B:$N,13,FALSE),BZ40))</f>
        <v/>
      </c>
      <c r="CW40" s="1046" t="str">
        <f>IF(BG40="","",IF(VLOOKUP(BG40,SectInfo!$B:$N,5,FALSE)="","R",UPPER(VLOOKUP(BG40,SectInfo!$B:$N,5,FALSE))))</f>
        <v/>
      </c>
      <c r="CX40" s="1046" t="str">
        <f>IF(BG40="","",IF(ISBLANK(CF40),VLOOKUP(BG40,SectInfo!$B:$N,6,FALSE),CF40))</f>
        <v/>
      </c>
      <c r="CY40" s="1276" t="str">
        <f>IF(BG40="","",IF(VLOOKUP(BG40,SectInfo!$B:$N,10,FALSE)="","",(VLOOKUP(BG40,SectInfo!$B:$N,10,FALSE)*-1)))</f>
        <v/>
      </c>
      <c r="CZ40" s="1443" t="str">
        <f>IF(BG40="","",IF(VLOOKUP(BG40,SectInfo!$B:$N,11,FALSE)="","2",(VLOOKUP(BG40,SectInfo!$B:$N,11,FALSE))))</f>
        <v/>
      </c>
      <c r="DA40" s="1046" t="str">
        <f>IF(BG40="","",IF(VLOOKUP(BG40,SectInfo!$B:$N,7,FALSE)="","",(VLOOKUP(BG40,SectInfo!$B:$N,7,FALSE)*-1)))</f>
        <v/>
      </c>
      <c r="DB40" s="1046" t="str">
        <f>IF(BG40="","",IF(VLOOKUP(BG40,SectInfo!$B:$N,8,FALSE)="",VLOOKUP(AU40,$DF$2:$DN$9,6,FALSE),(VLOOKUP(BG40,SectInfo!$B:$N,8,FALSE))))</f>
        <v/>
      </c>
      <c r="DC40" s="1046" t="str">
        <f>IF(BG40="","",VLOOKUP(BG40,SectInfo!$B:$N,9,FALSE))</f>
        <v/>
      </c>
      <c r="DD40" s="1047">
        <f t="shared" si="61"/>
        <v>0</v>
      </c>
      <c r="DE40" s="1048" t="str">
        <f>IF(BO40="","",VLOOKUP(BO40,SectInfo!$B:$N,12,FALSE))</f>
        <v/>
      </c>
      <c r="DF40" s="1046" t="str">
        <f>IF(BO40="","",IF(ISBLANK(CA40),VLOOKUP(BO40,SectInfo!$B:$N,13,FALSE),CA40))</f>
        <v/>
      </c>
      <c r="DG40" s="1046" t="str">
        <f>IF(BO40="","",IF(VLOOKUP(BO40,SectInfo!$B:$N,5,FALSE)="","R",UPPER(VLOOKUP(BO40,SectInfo!$B:$N,5,FALSE))))</f>
        <v/>
      </c>
      <c r="DH40" s="1046" t="str">
        <f>IF(BO40="","",IF(ISBLANK(CG40),VLOOKUP(BO40,SectInfo!$B:$N,6,FALSE),CG40))</f>
        <v/>
      </c>
      <c r="DI40" s="1046" t="str">
        <f>IF(BO40="","",IF(VLOOKUP(BO40,SectInfo!$B:$N,10,FALSE)="","",(VLOOKUP(BO40,SectInfo!$B:$N,10,FALSE)*-1)))</f>
        <v/>
      </c>
      <c r="DJ40" s="1443" t="str">
        <f>IF(BO40="","",IF(VLOOKUP(BO40,SectInfo!$B:$N,11,FALSE)="","2",(VLOOKUP(BO40,SectInfo!$B:$N,11,FALSE))))</f>
        <v/>
      </c>
      <c r="DK40" s="1046" t="str">
        <f>IF(BO40="","",IF(VLOOKUP(BO40,SectInfo!$B:$N,7,FALSE)="","",(VLOOKUP(BO40,SectInfo!$B:$N,7,FALSE)*-1)))</f>
        <v/>
      </c>
      <c r="DL40" s="1046" t="str">
        <f>IF(BO40="","",IF(VLOOKUP(BO40,SectInfo!$B:$N,8,FALSE)="",VLOOKUP(AU40,$DF$2:$DN$9,6,FALSE),(VLOOKUP(BO40,SectInfo!$B:$N,8,FALSE))))</f>
        <v/>
      </c>
      <c r="DM40" s="1046" t="str">
        <f>IF(BO40="","",VLOOKUP(BO40,SectInfo!$B:$N,9,FALSE))</f>
        <v/>
      </c>
      <c r="DN40" s="1047">
        <f t="shared" si="62"/>
        <v>0</v>
      </c>
      <c r="DO40" s="1049">
        <f t="shared" si="63"/>
        <v>0</v>
      </c>
      <c r="DP40" s="1053" t="str">
        <f t="shared" si="64"/>
        <v/>
      </c>
      <c r="DQ40" s="1053" t="str">
        <f t="shared" si="65"/>
        <v/>
      </c>
      <c r="DR40" s="1053" t="str">
        <f t="shared" si="66"/>
        <v/>
      </c>
      <c r="DS40" s="1052">
        <f t="shared" si="67"/>
        <v>0</v>
      </c>
      <c r="DT40" s="1052">
        <f t="shared" si="68"/>
        <v>0</v>
      </c>
      <c r="DU40" s="1052" t="str">
        <f t="shared" si="69"/>
        <v/>
      </c>
      <c r="DV40" s="1053" t="str">
        <f t="shared" si="70"/>
        <v/>
      </c>
      <c r="DW40" s="1053" t="str">
        <f t="shared" si="71"/>
        <v/>
      </c>
      <c r="DX40" s="1269">
        <f t="shared" si="72"/>
        <v>0</v>
      </c>
      <c r="DY40" s="1053">
        <f t="shared" si="73"/>
        <v>0</v>
      </c>
      <c r="DZ40" s="1052">
        <f t="shared" si="74"/>
        <v>0</v>
      </c>
      <c r="EA40" s="1052" t="str">
        <f t="shared" si="75"/>
        <v/>
      </c>
      <c r="EB40" s="1053" t="str">
        <f t="shared" si="76"/>
        <v/>
      </c>
      <c r="EC40" s="1053" t="str">
        <f t="shared" si="77"/>
        <v/>
      </c>
      <c r="ED40" s="1269">
        <f t="shared" si="78"/>
        <v>0</v>
      </c>
      <c r="EE40" s="1090" t="str">
        <f t="shared" si="79"/>
        <v/>
      </c>
      <c r="EF40" s="1053" t="str">
        <f t="shared" si="80"/>
        <v/>
      </c>
      <c r="EG40" s="1053" t="str">
        <f t="shared" si="81"/>
        <v/>
      </c>
      <c r="EH40" s="1053" t="e">
        <f t="shared" si="82"/>
        <v>#N/A</v>
      </c>
      <c r="EI40" s="1053" t="e">
        <f t="shared" si="83"/>
        <v>#N/A</v>
      </c>
      <c r="EJ40" s="1053" t="str">
        <f t="shared" si="84"/>
        <v/>
      </c>
      <c r="EK40" s="1053" t="str">
        <f t="shared" si="84"/>
        <v/>
      </c>
      <c r="EL40" s="1090" t="str">
        <f t="shared" si="85"/>
        <v/>
      </c>
      <c r="EM40" s="1053" t="str">
        <f t="shared" si="86"/>
        <v/>
      </c>
      <c r="EN40" s="1053" t="str">
        <f t="shared" si="87"/>
        <v/>
      </c>
      <c r="EO40" s="1053" t="e">
        <f t="shared" si="88"/>
        <v>#N/A</v>
      </c>
      <c r="EP40" s="1053" t="e">
        <f t="shared" si="89"/>
        <v>#N/A</v>
      </c>
      <c r="EQ40" s="1053" t="str">
        <f t="shared" si="90"/>
        <v/>
      </c>
      <c r="ER40" s="1053" t="str">
        <f t="shared" si="90"/>
        <v/>
      </c>
      <c r="ES40" s="1053" t="str">
        <f t="shared" si="91"/>
        <v/>
      </c>
      <c r="ET40" s="1053" t="str">
        <f t="shared" si="92"/>
        <v/>
      </c>
      <c r="EU40" s="1061" t="str">
        <f t="shared" si="93"/>
        <v/>
      </c>
      <c r="EV40" s="1055" t="str">
        <f t="shared" si="94"/>
        <v/>
      </c>
      <c r="EW40" s="1061"/>
      <c r="EX40" s="1061" t="str">
        <f>IF(AND(CU40="G", ISBLANK(BK40), ISBLANK(BL40)),VLOOKUP(MIN(BH40:BI40),TblJoistSize!$M$3:$N$10,2),IF(OR(CU40="B",CU40="G"),MIN(BK40:BL40),""))</f>
        <v/>
      </c>
      <c r="EY40" s="1061" t="str">
        <f>IF(AND(CU40="G", ISBLANK(BK40), ISBLANK(BL40)),VLOOKUP(MAX(BH40:BI40),TblJoistSize!$M$3:$N$10,2),IF(OR(CU40="B",CU40="G"),MAX(BK40:BL40),""))</f>
        <v/>
      </c>
      <c r="EZ40" s="1061" t="str">
        <f t="shared" si="95"/>
        <v/>
      </c>
      <c r="FA40" s="1061" t="str">
        <f>IF(AND(DE40="G", ISBLANK(BS40), ISBLANK(BT40)),VLOOKUP(MIN(BP40:BQ40),TblJoistSize!$M$3:$N$10,2),IF(OR(DE40="B", DE40="G"),MIN(BS40:BT40),""))</f>
        <v/>
      </c>
      <c r="FB40" s="1061" t="str">
        <f>IF(AND(DE40="G", ISBLANK(BS40), ISBLANK(BT40)),VLOOKUP(MAX(BP40:BQ40),TblJoistSize!$M$3:$N$10,2),IF(OR(DE40="B", DE40="G"),MAX(BS40:BT40),""))</f>
        <v/>
      </c>
      <c r="FC40" s="1061" t="str">
        <f t="shared" si="96"/>
        <v/>
      </c>
      <c r="FD40" s="1052">
        <f t="shared" si="123"/>
        <v>0</v>
      </c>
      <c r="FE40" s="1052">
        <f t="shared" si="97"/>
        <v>0</v>
      </c>
      <c r="FF40" s="1052">
        <f t="shared" si="98"/>
        <v>0</v>
      </c>
      <c r="FG40" s="1052" t="str">
        <f t="shared" si="99"/>
        <v/>
      </c>
      <c r="FH40" s="1053" t="str">
        <f t="shared" si="100"/>
        <v/>
      </c>
      <c r="FI40" s="1052">
        <f t="shared" si="124"/>
        <v>0</v>
      </c>
      <c r="FJ40" s="1052">
        <f t="shared" si="101"/>
        <v>0</v>
      </c>
      <c r="FK40" s="1052">
        <f t="shared" si="102"/>
        <v>0</v>
      </c>
      <c r="FL40" s="1052" t="str">
        <f t="shared" si="103"/>
        <v/>
      </c>
      <c r="FM40" s="1053" t="str">
        <f t="shared" si="104"/>
        <v/>
      </c>
      <c r="FN40" s="1053" t="e">
        <f t="shared" si="105"/>
        <v>#VALUE!</v>
      </c>
      <c r="FO40" s="1062" t="e">
        <f t="shared" si="106"/>
        <v>#VALUE!</v>
      </c>
      <c r="FP40" s="1062" t="e">
        <f t="shared" si="107"/>
        <v>#VALUE!</v>
      </c>
      <c r="FQ40" s="1063" t="e">
        <f t="shared" si="108"/>
        <v>#VALUE!</v>
      </c>
      <c r="FR40" s="1064" t="e">
        <f t="shared" si="109"/>
        <v>#VALUE!</v>
      </c>
      <c r="FS40" s="1065" t="str">
        <f t="shared" si="110"/>
        <v/>
      </c>
      <c r="FT40" s="1066" t="str">
        <f t="shared" si="111"/>
        <v/>
      </c>
      <c r="FU40" s="1105">
        <f t="shared" si="112"/>
        <v>0</v>
      </c>
      <c r="FV40" s="1106">
        <f t="shared" si="113"/>
        <v>0</v>
      </c>
      <c r="GA40" s="1975" t="str">
        <f t="shared" si="114"/>
        <v/>
      </c>
      <c r="GB40" s="1976" t="str">
        <f t="shared" si="115"/>
        <v/>
      </c>
      <c r="GC40" s="1977" t="str">
        <f t="shared" si="116"/>
        <v/>
      </c>
      <c r="GD40" s="1978" t="str">
        <f t="shared" si="117"/>
        <v/>
      </c>
      <c r="GE40" s="1979" t="str">
        <f t="shared" si="118"/>
        <v/>
      </c>
      <c r="GF40" s="1980" t="str">
        <f t="shared" si="119"/>
        <v/>
      </c>
      <c r="GG40" s="1453"/>
      <c r="GH40" s="1454"/>
      <c r="GI40" s="1453"/>
      <c r="GJ40" s="1454"/>
      <c r="GK40" s="533">
        <f t="shared" si="120"/>
        <v>0</v>
      </c>
      <c r="GL40" s="534" t="e">
        <f t="shared" si="121"/>
        <v>#VALUE!</v>
      </c>
      <c r="GM40" s="535" t="e">
        <f>IF(ABS(GK40-GL40)&gt;='Job Info.'!$L$22,ABS(GK40-GL40),0)</f>
        <v>#VALUE!</v>
      </c>
      <c r="HA40" s="1658"/>
      <c r="HB40" s="1659"/>
      <c r="HC40" s="1659"/>
      <c r="HD40" s="1660"/>
      <c r="HE40" s="1661"/>
      <c r="HF40" s="1659"/>
      <c r="HG40" s="1659"/>
      <c r="HH40" s="1659"/>
      <c r="HI40" s="1662"/>
      <c r="HJ40" s="1659"/>
      <c r="HK40" s="1659"/>
      <c r="HL40" s="1659"/>
      <c r="HM40" s="1659"/>
      <c r="HN40" s="1659"/>
      <c r="HO40" s="1659"/>
      <c r="HP40" s="1659"/>
      <c r="HQ40" s="1662"/>
      <c r="HR40" s="1659"/>
      <c r="HS40" s="1659"/>
      <c r="HT40" s="1659"/>
      <c r="HU40" s="1659"/>
      <c r="HV40" s="1659"/>
      <c r="HW40" s="1661"/>
      <c r="HX40" s="1661"/>
      <c r="HY40" s="1661"/>
      <c r="HZ40" s="1661"/>
      <c r="IA40" s="1661"/>
      <c r="IB40" s="1661"/>
      <c r="IC40" s="1661"/>
      <c r="ID40" s="1661"/>
      <c r="IE40" s="1661"/>
      <c r="IF40" s="1663"/>
    </row>
    <row r="41" spans="1:240" ht="12.6" customHeight="1" x14ac:dyDescent="0.25">
      <c r="A41" s="1471" t="str">
        <f t="shared" si="1"/>
        <v/>
      </c>
      <c r="B41" s="1473" t="str">
        <f t="shared" si="2"/>
        <v/>
      </c>
      <c r="C41" s="1473" t="str">
        <f t="shared" si="3"/>
        <v/>
      </c>
      <c r="D41" s="1909" t="str">
        <f t="shared" si="4"/>
        <v/>
      </c>
      <c r="E41" s="1982" t="str">
        <f t="shared" si="5"/>
        <v/>
      </c>
      <c r="F41" s="1920" t="str">
        <f t="shared" si="6"/>
        <v/>
      </c>
      <c r="G41" s="1910" t="str">
        <f t="shared" si="7"/>
        <v/>
      </c>
      <c r="H41" s="1965" t="str">
        <f t="shared" si="8"/>
        <v/>
      </c>
      <c r="I41" s="1909" t="str">
        <f t="shared" si="9"/>
        <v/>
      </c>
      <c r="J41" s="1910" t="str">
        <f t="shared" si="10"/>
        <v/>
      </c>
      <c r="K41" s="1983" t="str">
        <f t="shared" si="11"/>
        <v/>
      </c>
      <c r="L41" s="1915" t="str">
        <f t="shared" si="12"/>
        <v/>
      </c>
      <c r="M41" s="1961" t="str">
        <f t="shared" si="13"/>
        <v/>
      </c>
      <c r="N41" s="1917" t="str">
        <f t="shared" si="14"/>
        <v/>
      </c>
      <c r="O41" s="1910" t="str">
        <f t="shared" si="15"/>
        <v/>
      </c>
      <c r="P41" s="1908" t="str">
        <f t="shared" si="16"/>
        <v/>
      </c>
      <c r="Q41" s="1909" t="str">
        <f t="shared" si="17"/>
        <v/>
      </c>
      <c r="R41" s="1910" t="str">
        <f t="shared" si="18"/>
        <v/>
      </c>
      <c r="S41" s="1984" t="str">
        <f t="shared" si="19"/>
        <v/>
      </c>
      <c r="T41" s="1920" t="str">
        <f t="shared" si="20"/>
        <v/>
      </c>
      <c r="U41" s="1910" t="str">
        <f t="shared" si="21"/>
        <v/>
      </c>
      <c r="V41" s="1909" t="str">
        <f t="shared" si="22"/>
        <v/>
      </c>
      <c r="W41" s="1910" t="str">
        <f t="shared" si="23"/>
        <v/>
      </c>
      <c r="X41" s="1961">
        <f t="shared" si="24"/>
        <v>0</v>
      </c>
      <c r="Y41" s="1967" t="str">
        <f t="shared" si="25"/>
        <v/>
      </c>
      <c r="Z41" s="1968" t="str">
        <f t="shared" si="26"/>
        <v/>
      </c>
      <c r="AA41" s="1981"/>
      <c r="AC41" s="1226" t="b">
        <v>0</v>
      </c>
      <c r="AD41" s="525">
        <f t="shared" si="27"/>
        <v>0</v>
      </c>
      <c r="AE41" s="526">
        <f t="shared" si="28"/>
        <v>0</v>
      </c>
      <c r="AF41" s="526">
        <f t="shared" si="29"/>
        <v>0</v>
      </c>
      <c r="AG41" s="526">
        <f t="shared" si="30"/>
        <v>0</v>
      </c>
      <c r="AH41" s="527">
        <f t="shared" si="31"/>
        <v>0</v>
      </c>
      <c r="AI41" s="528" t="b">
        <v>0</v>
      </c>
      <c r="AJ41" s="284">
        <f t="shared" si="32"/>
        <v>0</v>
      </c>
      <c r="AK41" s="1063" t="str">
        <f t="shared" si="33"/>
        <v/>
      </c>
      <c r="AL41" s="1202" t="str">
        <f t="shared" si="34"/>
        <v/>
      </c>
      <c r="AM41" s="1063" t="str">
        <f t="shared" si="35"/>
        <v/>
      </c>
      <c r="AN41" s="1063" t="str">
        <f t="shared" si="36"/>
        <v/>
      </c>
      <c r="AO41" s="1063" t="str">
        <f t="shared" si="37"/>
        <v/>
      </c>
      <c r="AP41" s="1063" t="b">
        <f>IF(ISERROR(AJ41),FALSE,IF(OR(AJ41=0,ISERROR(AL41),ISERROR(AM41),ISERROR(AN41),ISERROR(AO41)),FALSE,IF(AL41&lt;&gt;"",IF(ISERROR(VLOOKUP(SUBSTITUTE(SUBSTITUTE(C41,"R",""),"A",""),TblJoistSize!$A:$A,1,FALSE)),FALSE,TRUE),TRUE)))</f>
        <v>0</v>
      </c>
      <c r="AQ41" s="1305" t="e">
        <f t="shared" si="38"/>
        <v>#N/A</v>
      </c>
      <c r="AR41" s="1305" t="b">
        <f t="shared" si="39"/>
        <v>0</v>
      </c>
      <c r="AS41" s="1305" t="e">
        <f t="shared" si="40"/>
        <v>#N/A</v>
      </c>
      <c r="AT41" s="1305" t="b">
        <f t="shared" si="41"/>
        <v>0</v>
      </c>
      <c r="AU41" s="1203" t="str">
        <f t="shared" si="42"/>
        <v/>
      </c>
      <c r="AV41" s="1063" t="str">
        <f t="shared" si="43"/>
        <v/>
      </c>
      <c r="AW41" s="1063" t="str">
        <f t="shared" si="44"/>
        <v/>
      </c>
      <c r="AX41" s="1063" t="str">
        <f t="shared" si="122"/>
        <v/>
      </c>
      <c r="AY41" s="1306" t="b">
        <f t="shared" si="45"/>
        <v>0</v>
      </c>
      <c r="AZ41" s="1090" t="str">
        <f t="shared" si="46"/>
        <v/>
      </c>
      <c r="BA41" s="674"/>
      <c r="BB41" s="842"/>
      <c r="BC41" s="894"/>
      <c r="BD41" s="926"/>
      <c r="BE41" s="927"/>
      <c r="BF41" s="928"/>
      <c r="BG41" s="901"/>
      <c r="BH41" s="1244"/>
      <c r="BI41" s="1245"/>
      <c r="BJ41" s="929"/>
      <c r="BK41" s="902"/>
      <c r="BL41" s="903"/>
      <c r="BM41" s="904"/>
      <c r="BN41" s="905"/>
      <c r="BO41" s="901"/>
      <c r="BP41" s="902"/>
      <c r="BQ41" s="903"/>
      <c r="BR41" s="929"/>
      <c r="BS41" s="902"/>
      <c r="BT41" s="903"/>
      <c r="BU41" s="904"/>
      <c r="BV41" s="905"/>
      <c r="BW41" s="906"/>
      <c r="BX41" s="930"/>
      <c r="BY41" s="931"/>
      <c r="BZ41" s="932"/>
      <c r="CA41" s="933"/>
      <c r="CB41" s="932"/>
      <c r="CC41" s="933"/>
      <c r="CD41" s="934" t="str">
        <f t="shared" si="47"/>
        <v/>
      </c>
      <c r="CE41" s="935" t="str">
        <f t="shared" si="48"/>
        <v/>
      </c>
      <c r="CF41" s="1149"/>
      <c r="CG41" s="1150"/>
      <c r="CH41" s="738" t="str">
        <f t="shared" si="49"/>
        <v/>
      </c>
      <c r="CI41" s="739" t="str">
        <f t="shared" si="50"/>
        <v/>
      </c>
      <c r="CJ41" s="740" t="str">
        <f t="shared" si="51"/>
        <v/>
      </c>
      <c r="CK41" s="741" t="str">
        <f t="shared" si="52"/>
        <v/>
      </c>
      <c r="CL41" s="742" t="str">
        <f t="shared" si="53"/>
        <v/>
      </c>
      <c r="CM41" s="743" t="str">
        <f t="shared" si="54"/>
        <v/>
      </c>
      <c r="CN41" s="744" t="str">
        <f t="shared" si="55"/>
        <v/>
      </c>
      <c r="CO41" s="745" t="str">
        <f t="shared" si="56"/>
        <v/>
      </c>
      <c r="CP41" s="762" t="str">
        <f t="shared" si="57"/>
        <v/>
      </c>
      <c r="CQ41" s="763" t="str">
        <f t="shared" si="58"/>
        <v/>
      </c>
      <c r="CR41" s="953" t="str">
        <f t="shared" si="59"/>
        <v/>
      </c>
      <c r="CS41" s="954" t="str">
        <f t="shared" si="60"/>
        <v/>
      </c>
      <c r="CU41" s="1048" t="str">
        <f>IF(BG41="","",VLOOKUP(BG41,SectInfo!$B:$N,12,FALSE))</f>
        <v/>
      </c>
      <c r="CV41" s="1046" t="str">
        <f>IF(BG41="","",IF(ISBLANK(BZ41),VLOOKUP(BG41,SectInfo!$B:$N,13,FALSE),BZ41))</f>
        <v/>
      </c>
      <c r="CW41" s="1046" t="str">
        <f>IF(BG41="","",IF(VLOOKUP(BG41,SectInfo!$B:$N,5,FALSE)="","R",UPPER(VLOOKUP(BG41,SectInfo!$B:$N,5,FALSE))))</f>
        <v/>
      </c>
      <c r="CX41" s="1046" t="str">
        <f>IF(BG41="","",IF(ISBLANK(CF41),VLOOKUP(BG41,SectInfo!$B:$N,6,FALSE),CF41))</f>
        <v/>
      </c>
      <c r="CY41" s="1276" t="str">
        <f>IF(BG41="","",IF(VLOOKUP(BG41,SectInfo!$B:$N,10,FALSE)="","",(VLOOKUP(BG41,SectInfo!$B:$N,10,FALSE)*-1)))</f>
        <v/>
      </c>
      <c r="CZ41" s="1443" t="str">
        <f>IF(BG41="","",IF(VLOOKUP(BG41,SectInfo!$B:$N,11,FALSE)="","2",(VLOOKUP(BG41,SectInfo!$B:$N,11,FALSE))))</f>
        <v/>
      </c>
      <c r="DA41" s="1046" t="str">
        <f>IF(BG41="","",IF(VLOOKUP(BG41,SectInfo!$B:$N,7,FALSE)="","",(VLOOKUP(BG41,SectInfo!$B:$N,7,FALSE)*-1)))</f>
        <v/>
      </c>
      <c r="DB41" s="1046" t="str">
        <f>IF(BG41="","",IF(VLOOKUP(BG41,SectInfo!$B:$N,8,FALSE)="",VLOOKUP(AU41,$DF$2:$DN$9,6,FALSE),(VLOOKUP(BG41,SectInfo!$B:$N,8,FALSE))))</f>
        <v/>
      </c>
      <c r="DC41" s="1046" t="str">
        <f>IF(BG41="","",VLOOKUP(BG41,SectInfo!$B:$N,9,FALSE))</f>
        <v/>
      </c>
      <c r="DD41" s="1047">
        <f t="shared" si="61"/>
        <v>0</v>
      </c>
      <c r="DE41" s="1048" t="str">
        <f>IF(BO41="","",VLOOKUP(BO41,SectInfo!$B:$N,12,FALSE))</f>
        <v/>
      </c>
      <c r="DF41" s="1046" t="str">
        <f>IF(BO41="","",IF(ISBLANK(CA41),VLOOKUP(BO41,SectInfo!$B:$N,13,FALSE),CA41))</f>
        <v/>
      </c>
      <c r="DG41" s="1046" t="str">
        <f>IF(BO41="","",IF(VLOOKUP(BO41,SectInfo!$B:$N,5,FALSE)="","R",UPPER(VLOOKUP(BO41,SectInfo!$B:$N,5,FALSE))))</f>
        <v/>
      </c>
      <c r="DH41" s="1046" t="str">
        <f>IF(BO41="","",IF(ISBLANK(CG41),VLOOKUP(BO41,SectInfo!$B:$N,6,FALSE),CG41))</f>
        <v/>
      </c>
      <c r="DI41" s="1046" t="str">
        <f>IF(BO41="","",IF(VLOOKUP(BO41,SectInfo!$B:$N,10,FALSE)="","",(VLOOKUP(BO41,SectInfo!$B:$N,10,FALSE)*-1)))</f>
        <v/>
      </c>
      <c r="DJ41" s="1443" t="str">
        <f>IF(BO41="","",IF(VLOOKUP(BO41,SectInfo!$B:$N,11,FALSE)="","2",(VLOOKUP(BO41,SectInfo!$B:$N,11,FALSE))))</f>
        <v/>
      </c>
      <c r="DK41" s="1046" t="str">
        <f>IF(BO41="","",IF(VLOOKUP(BO41,SectInfo!$B:$N,7,FALSE)="","",(VLOOKUP(BO41,SectInfo!$B:$N,7,FALSE)*-1)))</f>
        <v/>
      </c>
      <c r="DL41" s="1046" t="str">
        <f>IF(BO41="","",IF(VLOOKUP(BO41,SectInfo!$B:$N,8,FALSE)="",VLOOKUP(AU41,$DF$2:$DN$9,6,FALSE),(VLOOKUP(BO41,SectInfo!$B:$N,8,FALSE))))</f>
        <v/>
      </c>
      <c r="DM41" s="1046" t="str">
        <f>IF(BO41="","",VLOOKUP(BO41,SectInfo!$B:$N,9,FALSE))</f>
        <v/>
      </c>
      <c r="DN41" s="1047">
        <f t="shared" si="62"/>
        <v>0</v>
      </c>
      <c r="DO41" s="1049">
        <f t="shared" si="63"/>
        <v>0</v>
      </c>
      <c r="DP41" s="1053" t="str">
        <f t="shared" si="64"/>
        <v/>
      </c>
      <c r="DQ41" s="1053" t="str">
        <f t="shared" si="65"/>
        <v/>
      </c>
      <c r="DR41" s="1053" t="str">
        <f t="shared" si="66"/>
        <v/>
      </c>
      <c r="DS41" s="1052">
        <f t="shared" si="67"/>
        <v>0</v>
      </c>
      <c r="DT41" s="1052">
        <f t="shared" si="68"/>
        <v>0</v>
      </c>
      <c r="DU41" s="1052" t="str">
        <f t="shared" si="69"/>
        <v/>
      </c>
      <c r="DV41" s="1053" t="str">
        <f t="shared" si="70"/>
        <v/>
      </c>
      <c r="DW41" s="1053" t="str">
        <f t="shared" si="71"/>
        <v/>
      </c>
      <c r="DX41" s="1269">
        <f t="shared" si="72"/>
        <v>0</v>
      </c>
      <c r="DY41" s="1053">
        <f t="shared" si="73"/>
        <v>0</v>
      </c>
      <c r="DZ41" s="1052">
        <f t="shared" si="74"/>
        <v>0</v>
      </c>
      <c r="EA41" s="1052" t="str">
        <f t="shared" si="75"/>
        <v/>
      </c>
      <c r="EB41" s="1053" t="str">
        <f t="shared" si="76"/>
        <v/>
      </c>
      <c r="EC41" s="1053" t="str">
        <f t="shared" si="77"/>
        <v/>
      </c>
      <c r="ED41" s="1269">
        <f t="shared" si="78"/>
        <v>0</v>
      </c>
      <c r="EE41" s="1090" t="str">
        <f t="shared" si="79"/>
        <v/>
      </c>
      <c r="EF41" s="1053" t="str">
        <f t="shared" si="80"/>
        <v/>
      </c>
      <c r="EG41" s="1053" t="str">
        <f t="shared" si="81"/>
        <v/>
      </c>
      <c r="EH41" s="1053" t="e">
        <f t="shared" si="82"/>
        <v>#N/A</v>
      </c>
      <c r="EI41" s="1053" t="e">
        <f t="shared" si="83"/>
        <v>#N/A</v>
      </c>
      <c r="EJ41" s="1053" t="str">
        <f t="shared" si="84"/>
        <v/>
      </c>
      <c r="EK41" s="1053" t="str">
        <f t="shared" si="84"/>
        <v/>
      </c>
      <c r="EL41" s="1090" t="str">
        <f t="shared" si="85"/>
        <v/>
      </c>
      <c r="EM41" s="1053" t="str">
        <f t="shared" si="86"/>
        <v/>
      </c>
      <c r="EN41" s="1053" t="str">
        <f t="shared" si="87"/>
        <v/>
      </c>
      <c r="EO41" s="1053" t="e">
        <f t="shared" si="88"/>
        <v>#N/A</v>
      </c>
      <c r="EP41" s="1053" t="e">
        <f t="shared" si="89"/>
        <v>#N/A</v>
      </c>
      <c r="EQ41" s="1053" t="str">
        <f t="shared" si="90"/>
        <v/>
      </c>
      <c r="ER41" s="1053" t="str">
        <f t="shared" si="90"/>
        <v/>
      </c>
      <c r="ES41" s="1053" t="str">
        <f t="shared" si="91"/>
        <v/>
      </c>
      <c r="ET41" s="1053" t="str">
        <f t="shared" si="92"/>
        <v/>
      </c>
      <c r="EU41" s="1061" t="str">
        <f t="shared" si="93"/>
        <v/>
      </c>
      <c r="EV41" s="1055" t="str">
        <f t="shared" si="94"/>
        <v/>
      </c>
      <c r="EW41" s="1061"/>
      <c r="EX41" s="1061" t="str">
        <f>IF(AND(CU41="G", ISBLANK(BK41), ISBLANK(BL41)),VLOOKUP(MIN(BH41:BI41),TblJoistSize!$M$3:$N$10,2),IF(OR(CU41="B",CU41="G"),MIN(BK41:BL41),""))</f>
        <v/>
      </c>
      <c r="EY41" s="1061" t="str">
        <f>IF(AND(CU41="G", ISBLANK(BK41), ISBLANK(BL41)),VLOOKUP(MAX(BH41:BI41),TblJoistSize!$M$3:$N$10,2),IF(OR(CU41="B",CU41="G"),MAX(BK41:BL41),""))</f>
        <v/>
      </c>
      <c r="EZ41" s="1061" t="str">
        <f t="shared" si="95"/>
        <v/>
      </c>
      <c r="FA41" s="1061" t="str">
        <f>IF(AND(DE41="G", ISBLANK(BS41), ISBLANK(BT41)),VLOOKUP(MIN(BP41:BQ41),TblJoistSize!$M$3:$N$10,2),IF(OR(DE41="B", DE41="G"),MIN(BS41:BT41),""))</f>
        <v/>
      </c>
      <c r="FB41" s="1061" t="str">
        <f>IF(AND(DE41="G", ISBLANK(BS41), ISBLANK(BT41)),VLOOKUP(MAX(BP41:BQ41),TblJoistSize!$M$3:$N$10,2),IF(OR(DE41="B", DE41="G"),MAX(BS41:BT41),""))</f>
        <v/>
      </c>
      <c r="FC41" s="1061" t="str">
        <f t="shared" si="96"/>
        <v/>
      </c>
      <c r="FD41" s="1052">
        <f t="shared" si="123"/>
        <v>0</v>
      </c>
      <c r="FE41" s="1052">
        <f t="shared" si="97"/>
        <v>0</v>
      </c>
      <c r="FF41" s="1052">
        <f t="shared" si="98"/>
        <v>0</v>
      </c>
      <c r="FG41" s="1052" t="str">
        <f t="shared" si="99"/>
        <v/>
      </c>
      <c r="FH41" s="1053" t="str">
        <f t="shared" si="100"/>
        <v/>
      </c>
      <c r="FI41" s="1052">
        <f t="shared" si="124"/>
        <v>0</v>
      </c>
      <c r="FJ41" s="1052">
        <f t="shared" si="101"/>
        <v>0</v>
      </c>
      <c r="FK41" s="1052">
        <f t="shared" si="102"/>
        <v>0</v>
      </c>
      <c r="FL41" s="1052" t="str">
        <f t="shared" si="103"/>
        <v/>
      </c>
      <c r="FM41" s="1053" t="str">
        <f t="shared" si="104"/>
        <v/>
      </c>
      <c r="FN41" s="1053" t="e">
        <f t="shared" si="105"/>
        <v>#VALUE!</v>
      </c>
      <c r="FO41" s="1062" t="e">
        <f t="shared" si="106"/>
        <v>#VALUE!</v>
      </c>
      <c r="FP41" s="1062" t="e">
        <f t="shared" si="107"/>
        <v>#VALUE!</v>
      </c>
      <c r="FQ41" s="1063" t="e">
        <f t="shared" si="108"/>
        <v>#VALUE!</v>
      </c>
      <c r="FR41" s="1064" t="e">
        <f t="shared" si="109"/>
        <v>#VALUE!</v>
      </c>
      <c r="FS41" s="1065" t="str">
        <f t="shared" si="110"/>
        <v/>
      </c>
      <c r="FT41" s="1066" t="str">
        <f t="shared" si="111"/>
        <v/>
      </c>
      <c r="FU41" s="1105">
        <f t="shared" si="112"/>
        <v>0</v>
      </c>
      <c r="FV41" s="1106">
        <f t="shared" si="113"/>
        <v>0</v>
      </c>
      <c r="GA41" s="1975" t="str">
        <f t="shared" si="114"/>
        <v/>
      </c>
      <c r="GB41" s="1976" t="str">
        <f t="shared" si="115"/>
        <v/>
      </c>
      <c r="GC41" s="1977" t="str">
        <f t="shared" si="116"/>
        <v/>
      </c>
      <c r="GD41" s="1978" t="str">
        <f t="shared" si="117"/>
        <v/>
      </c>
      <c r="GE41" s="1979" t="str">
        <f t="shared" si="118"/>
        <v/>
      </c>
      <c r="GF41" s="1980" t="str">
        <f t="shared" si="119"/>
        <v/>
      </c>
      <c r="GG41" s="1453"/>
      <c r="GH41" s="1454"/>
      <c r="GI41" s="1453"/>
      <c r="GJ41" s="1454"/>
      <c r="GK41" s="533">
        <f t="shared" si="120"/>
        <v>0</v>
      </c>
      <c r="GL41" s="534" t="e">
        <f t="shared" si="121"/>
        <v>#VALUE!</v>
      </c>
      <c r="GM41" s="535" t="e">
        <f>IF(ABS(GK41-GL41)&gt;='Job Info.'!$L$22,ABS(GK41-GL41),0)</f>
        <v>#VALUE!</v>
      </c>
      <c r="HA41" s="1658"/>
      <c r="HB41" s="1659"/>
      <c r="HC41" s="1659"/>
      <c r="HD41" s="1660"/>
      <c r="HE41" s="1661"/>
      <c r="HF41" s="1659"/>
      <c r="HG41" s="1659"/>
      <c r="HH41" s="1659"/>
      <c r="HI41" s="1662"/>
      <c r="HJ41" s="1659"/>
      <c r="HK41" s="1659"/>
      <c r="HL41" s="1659"/>
      <c r="HM41" s="1659"/>
      <c r="HN41" s="1659"/>
      <c r="HO41" s="1659"/>
      <c r="HP41" s="1659"/>
      <c r="HQ41" s="1662"/>
      <c r="HR41" s="1659"/>
      <c r="HS41" s="1659"/>
      <c r="HT41" s="1659"/>
      <c r="HU41" s="1659"/>
      <c r="HV41" s="1659"/>
      <c r="HW41" s="1661"/>
      <c r="HX41" s="1661"/>
      <c r="HY41" s="1661"/>
      <c r="HZ41" s="1661"/>
      <c r="IA41" s="1661"/>
      <c r="IB41" s="1661"/>
      <c r="IC41" s="1661"/>
      <c r="ID41" s="1661"/>
      <c r="IE41" s="1661"/>
      <c r="IF41" s="1663"/>
    </row>
    <row r="42" spans="1:240" ht="12.6" customHeight="1" x14ac:dyDescent="0.25">
      <c r="A42" s="1471" t="str">
        <f t="shared" si="1"/>
        <v/>
      </c>
      <c r="B42" s="1473" t="str">
        <f t="shared" si="2"/>
        <v/>
      </c>
      <c r="C42" s="1473" t="str">
        <f t="shared" si="3"/>
        <v/>
      </c>
      <c r="D42" s="1909" t="str">
        <f t="shared" si="4"/>
        <v/>
      </c>
      <c r="E42" s="1982" t="str">
        <f t="shared" si="5"/>
        <v/>
      </c>
      <c r="F42" s="1920" t="str">
        <f t="shared" si="6"/>
        <v/>
      </c>
      <c r="G42" s="1910" t="str">
        <f t="shared" si="7"/>
        <v/>
      </c>
      <c r="H42" s="1965" t="str">
        <f t="shared" si="8"/>
        <v/>
      </c>
      <c r="I42" s="1909" t="str">
        <f t="shared" si="9"/>
        <v/>
      </c>
      <c r="J42" s="1910" t="str">
        <f t="shared" si="10"/>
        <v/>
      </c>
      <c r="K42" s="1983" t="str">
        <f t="shared" si="11"/>
        <v/>
      </c>
      <c r="L42" s="1915" t="str">
        <f t="shared" si="12"/>
        <v/>
      </c>
      <c r="M42" s="1961" t="str">
        <f t="shared" si="13"/>
        <v/>
      </c>
      <c r="N42" s="1917" t="str">
        <f t="shared" si="14"/>
        <v/>
      </c>
      <c r="O42" s="1910" t="str">
        <f t="shared" si="15"/>
        <v/>
      </c>
      <c r="P42" s="1908" t="str">
        <f t="shared" si="16"/>
        <v/>
      </c>
      <c r="Q42" s="1909" t="str">
        <f t="shared" si="17"/>
        <v/>
      </c>
      <c r="R42" s="1910" t="str">
        <f t="shared" si="18"/>
        <v/>
      </c>
      <c r="S42" s="1984" t="str">
        <f t="shared" si="19"/>
        <v/>
      </c>
      <c r="T42" s="1920" t="str">
        <f t="shared" si="20"/>
        <v/>
      </c>
      <c r="U42" s="1910" t="str">
        <f t="shared" si="21"/>
        <v/>
      </c>
      <c r="V42" s="1909" t="str">
        <f t="shared" si="22"/>
        <v/>
      </c>
      <c r="W42" s="1910" t="str">
        <f t="shared" si="23"/>
        <v/>
      </c>
      <c r="X42" s="1961">
        <f t="shared" si="24"/>
        <v>0</v>
      </c>
      <c r="Y42" s="1967" t="str">
        <f t="shared" si="25"/>
        <v/>
      </c>
      <c r="Z42" s="1968" t="str">
        <f t="shared" si="26"/>
        <v/>
      </c>
      <c r="AA42" s="1981"/>
      <c r="AC42" s="1226" t="b">
        <v>0</v>
      </c>
      <c r="AD42" s="525">
        <f t="shared" si="27"/>
        <v>0</v>
      </c>
      <c r="AE42" s="526">
        <f t="shared" si="28"/>
        <v>0</v>
      </c>
      <c r="AF42" s="526">
        <f t="shared" si="29"/>
        <v>0</v>
      </c>
      <c r="AG42" s="526">
        <f t="shared" si="30"/>
        <v>0</v>
      </c>
      <c r="AH42" s="527">
        <f t="shared" si="31"/>
        <v>0</v>
      </c>
      <c r="AI42" s="528" t="b">
        <v>0</v>
      </c>
      <c r="AJ42" s="284">
        <f t="shared" si="32"/>
        <v>0</v>
      </c>
      <c r="AK42" s="1063" t="str">
        <f t="shared" si="33"/>
        <v/>
      </c>
      <c r="AL42" s="1202" t="str">
        <f t="shared" si="34"/>
        <v/>
      </c>
      <c r="AM42" s="1063" t="str">
        <f t="shared" si="35"/>
        <v/>
      </c>
      <c r="AN42" s="1063" t="str">
        <f t="shared" si="36"/>
        <v/>
      </c>
      <c r="AO42" s="1063" t="str">
        <f t="shared" si="37"/>
        <v/>
      </c>
      <c r="AP42" s="1063" t="b">
        <f>IF(ISERROR(AJ42),FALSE,IF(OR(AJ42=0,ISERROR(AL42),ISERROR(AM42),ISERROR(AN42),ISERROR(AO42)),FALSE,IF(AL42&lt;&gt;"",IF(ISERROR(VLOOKUP(SUBSTITUTE(SUBSTITUTE(C42,"R",""),"A",""),TblJoistSize!$A:$A,1,FALSE)),FALSE,TRUE),TRUE)))</f>
        <v>0</v>
      </c>
      <c r="AQ42" s="1305" t="e">
        <f t="shared" si="38"/>
        <v>#N/A</v>
      </c>
      <c r="AR42" s="1305" t="b">
        <f t="shared" si="39"/>
        <v>0</v>
      </c>
      <c r="AS42" s="1305" t="e">
        <f t="shared" si="40"/>
        <v>#N/A</v>
      </c>
      <c r="AT42" s="1305" t="b">
        <f t="shared" si="41"/>
        <v>0</v>
      </c>
      <c r="AU42" s="1203" t="str">
        <f t="shared" si="42"/>
        <v/>
      </c>
      <c r="AV42" s="1063" t="str">
        <f t="shared" si="43"/>
        <v/>
      </c>
      <c r="AW42" s="1063" t="str">
        <f t="shared" si="44"/>
        <v/>
      </c>
      <c r="AX42" s="1063" t="str">
        <f t="shared" si="122"/>
        <v/>
      </c>
      <c r="AY42" s="1306" t="b">
        <f t="shared" si="45"/>
        <v>0</v>
      </c>
      <c r="AZ42" s="1090" t="str">
        <f t="shared" si="46"/>
        <v/>
      </c>
      <c r="BA42" s="674"/>
      <c r="BB42" s="842"/>
      <c r="BC42" s="894"/>
      <c r="BD42" s="926"/>
      <c r="BE42" s="927"/>
      <c r="BF42" s="928"/>
      <c r="BG42" s="901"/>
      <c r="BH42" s="1244"/>
      <c r="BI42" s="1245"/>
      <c r="BJ42" s="929"/>
      <c r="BK42" s="902"/>
      <c r="BL42" s="903"/>
      <c r="BM42" s="904"/>
      <c r="BN42" s="905"/>
      <c r="BO42" s="901"/>
      <c r="BP42" s="902"/>
      <c r="BQ42" s="903"/>
      <c r="BR42" s="929"/>
      <c r="BS42" s="902"/>
      <c r="BT42" s="903"/>
      <c r="BU42" s="904"/>
      <c r="BV42" s="905"/>
      <c r="BW42" s="906"/>
      <c r="BX42" s="930"/>
      <c r="BY42" s="931"/>
      <c r="BZ42" s="932"/>
      <c r="CA42" s="933"/>
      <c r="CB42" s="932"/>
      <c r="CC42" s="933"/>
      <c r="CD42" s="934" t="str">
        <f t="shared" si="47"/>
        <v/>
      </c>
      <c r="CE42" s="935" t="str">
        <f t="shared" si="48"/>
        <v/>
      </c>
      <c r="CF42" s="1149"/>
      <c r="CG42" s="1150"/>
      <c r="CH42" s="738" t="str">
        <f t="shared" si="49"/>
        <v/>
      </c>
      <c r="CI42" s="739" t="str">
        <f t="shared" si="50"/>
        <v/>
      </c>
      <c r="CJ42" s="740" t="str">
        <f t="shared" si="51"/>
        <v/>
      </c>
      <c r="CK42" s="741" t="str">
        <f t="shared" si="52"/>
        <v/>
      </c>
      <c r="CL42" s="742" t="str">
        <f t="shared" si="53"/>
        <v/>
      </c>
      <c r="CM42" s="743" t="str">
        <f t="shared" si="54"/>
        <v/>
      </c>
      <c r="CN42" s="744" t="str">
        <f t="shared" si="55"/>
        <v/>
      </c>
      <c r="CO42" s="745" t="str">
        <f t="shared" si="56"/>
        <v/>
      </c>
      <c r="CP42" s="762" t="str">
        <f t="shared" si="57"/>
        <v/>
      </c>
      <c r="CQ42" s="763" t="str">
        <f t="shared" si="58"/>
        <v/>
      </c>
      <c r="CR42" s="953" t="str">
        <f t="shared" si="59"/>
        <v/>
      </c>
      <c r="CS42" s="954" t="str">
        <f t="shared" si="60"/>
        <v/>
      </c>
      <c r="CU42" s="1048" t="str">
        <f>IF(BG42="","",VLOOKUP(BG42,SectInfo!$B:$N,12,FALSE))</f>
        <v/>
      </c>
      <c r="CV42" s="1046" t="str">
        <f>IF(BG42="","",IF(ISBLANK(BZ42),VLOOKUP(BG42,SectInfo!$B:$N,13,FALSE),BZ42))</f>
        <v/>
      </c>
      <c r="CW42" s="1046" t="str">
        <f>IF(BG42="","",IF(VLOOKUP(BG42,SectInfo!$B:$N,5,FALSE)="","R",UPPER(VLOOKUP(BG42,SectInfo!$B:$N,5,FALSE))))</f>
        <v/>
      </c>
      <c r="CX42" s="1046" t="str">
        <f>IF(BG42="","",IF(ISBLANK(CF42),VLOOKUP(BG42,SectInfo!$B:$N,6,FALSE),CF42))</f>
        <v/>
      </c>
      <c r="CY42" s="1276" t="str">
        <f>IF(BG42="","",IF(VLOOKUP(BG42,SectInfo!$B:$N,10,FALSE)="","",(VLOOKUP(BG42,SectInfo!$B:$N,10,FALSE)*-1)))</f>
        <v/>
      </c>
      <c r="CZ42" s="1443" t="str">
        <f>IF(BG42="","",IF(VLOOKUP(BG42,SectInfo!$B:$N,11,FALSE)="","2",(VLOOKUP(BG42,SectInfo!$B:$N,11,FALSE))))</f>
        <v/>
      </c>
      <c r="DA42" s="1046" t="str">
        <f>IF(BG42="","",IF(VLOOKUP(BG42,SectInfo!$B:$N,7,FALSE)="","",(VLOOKUP(BG42,SectInfo!$B:$N,7,FALSE)*-1)))</f>
        <v/>
      </c>
      <c r="DB42" s="1046" t="str">
        <f>IF(BG42="","",IF(VLOOKUP(BG42,SectInfo!$B:$N,8,FALSE)="",VLOOKUP(AU42,$DF$2:$DN$9,6,FALSE),(VLOOKUP(BG42,SectInfo!$B:$N,8,FALSE))))</f>
        <v/>
      </c>
      <c r="DC42" s="1046" t="str">
        <f>IF(BG42="","",VLOOKUP(BG42,SectInfo!$B:$N,9,FALSE))</f>
        <v/>
      </c>
      <c r="DD42" s="1047">
        <f t="shared" si="61"/>
        <v>0</v>
      </c>
      <c r="DE42" s="1048" t="str">
        <f>IF(BO42="","",VLOOKUP(BO42,SectInfo!$B:$N,12,FALSE))</f>
        <v/>
      </c>
      <c r="DF42" s="1046" t="str">
        <f>IF(BO42="","",IF(ISBLANK(CA42),VLOOKUP(BO42,SectInfo!$B:$N,13,FALSE),CA42))</f>
        <v/>
      </c>
      <c r="DG42" s="1046" t="str">
        <f>IF(BO42="","",IF(VLOOKUP(BO42,SectInfo!$B:$N,5,FALSE)="","R",UPPER(VLOOKUP(BO42,SectInfo!$B:$N,5,FALSE))))</f>
        <v/>
      </c>
      <c r="DH42" s="1046" t="str">
        <f>IF(BO42="","",IF(ISBLANK(CG42),VLOOKUP(BO42,SectInfo!$B:$N,6,FALSE),CG42))</f>
        <v/>
      </c>
      <c r="DI42" s="1046" t="str">
        <f>IF(BO42="","",IF(VLOOKUP(BO42,SectInfo!$B:$N,10,FALSE)="","",(VLOOKUP(BO42,SectInfo!$B:$N,10,FALSE)*-1)))</f>
        <v/>
      </c>
      <c r="DJ42" s="1443" t="str">
        <f>IF(BO42="","",IF(VLOOKUP(BO42,SectInfo!$B:$N,11,FALSE)="","2",(VLOOKUP(BO42,SectInfo!$B:$N,11,FALSE))))</f>
        <v/>
      </c>
      <c r="DK42" s="1046" t="str">
        <f>IF(BO42="","",IF(VLOOKUP(BO42,SectInfo!$B:$N,7,FALSE)="","",(VLOOKUP(BO42,SectInfo!$B:$N,7,FALSE)*-1)))</f>
        <v/>
      </c>
      <c r="DL42" s="1046" t="str">
        <f>IF(BO42="","",IF(VLOOKUP(BO42,SectInfo!$B:$N,8,FALSE)="",VLOOKUP(AU42,$DF$2:$DN$9,6,FALSE),(VLOOKUP(BO42,SectInfo!$B:$N,8,FALSE))))</f>
        <v/>
      </c>
      <c r="DM42" s="1046" t="str">
        <f>IF(BO42="","",VLOOKUP(BO42,SectInfo!$B:$N,9,FALSE))</f>
        <v/>
      </c>
      <c r="DN42" s="1047">
        <f t="shared" si="62"/>
        <v>0</v>
      </c>
      <c r="DO42" s="1049">
        <f t="shared" si="63"/>
        <v>0</v>
      </c>
      <c r="DP42" s="1053" t="str">
        <f t="shared" si="64"/>
        <v/>
      </c>
      <c r="DQ42" s="1053" t="str">
        <f t="shared" si="65"/>
        <v/>
      </c>
      <c r="DR42" s="1053" t="str">
        <f t="shared" si="66"/>
        <v/>
      </c>
      <c r="DS42" s="1052">
        <f t="shared" si="67"/>
        <v>0</v>
      </c>
      <c r="DT42" s="1052">
        <f t="shared" si="68"/>
        <v>0</v>
      </c>
      <c r="DU42" s="1052" t="str">
        <f t="shared" si="69"/>
        <v/>
      </c>
      <c r="DV42" s="1053" t="str">
        <f t="shared" si="70"/>
        <v/>
      </c>
      <c r="DW42" s="1053" t="str">
        <f t="shared" si="71"/>
        <v/>
      </c>
      <c r="DX42" s="1269">
        <f t="shared" si="72"/>
        <v>0</v>
      </c>
      <c r="DY42" s="1053">
        <f t="shared" si="73"/>
        <v>0</v>
      </c>
      <c r="DZ42" s="1052">
        <f t="shared" si="74"/>
        <v>0</v>
      </c>
      <c r="EA42" s="1052" t="str">
        <f t="shared" si="75"/>
        <v/>
      </c>
      <c r="EB42" s="1053" t="str">
        <f t="shared" si="76"/>
        <v/>
      </c>
      <c r="EC42" s="1053" t="str">
        <f t="shared" si="77"/>
        <v/>
      </c>
      <c r="ED42" s="1269">
        <f t="shared" si="78"/>
        <v>0</v>
      </c>
      <c r="EE42" s="1090" t="str">
        <f t="shared" si="79"/>
        <v/>
      </c>
      <c r="EF42" s="1053" t="str">
        <f t="shared" si="80"/>
        <v/>
      </c>
      <c r="EG42" s="1053" t="str">
        <f t="shared" si="81"/>
        <v/>
      </c>
      <c r="EH42" s="1053" t="e">
        <f t="shared" si="82"/>
        <v>#N/A</v>
      </c>
      <c r="EI42" s="1053" t="e">
        <f t="shared" si="83"/>
        <v>#N/A</v>
      </c>
      <c r="EJ42" s="1053" t="str">
        <f t="shared" si="84"/>
        <v/>
      </c>
      <c r="EK42" s="1053" t="str">
        <f t="shared" si="84"/>
        <v/>
      </c>
      <c r="EL42" s="1090" t="str">
        <f t="shared" si="85"/>
        <v/>
      </c>
      <c r="EM42" s="1053" t="str">
        <f t="shared" si="86"/>
        <v/>
      </c>
      <c r="EN42" s="1053" t="str">
        <f t="shared" si="87"/>
        <v/>
      </c>
      <c r="EO42" s="1053" t="e">
        <f t="shared" si="88"/>
        <v>#N/A</v>
      </c>
      <c r="EP42" s="1053" t="e">
        <f t="shared" si="89"/>
        <v>#N/A</v>
      </c>
      <c r="EQ42" s="1053" t="str">
        <f t="shared" si="90"/>
        <v/>
      </c>
      <c r="ER42" s="1053" t="str">
        <f t="shared" si="90"/>
        <v/>
      </c>
      <c r="ES42" s="1053" t="str">
        <f t="shared" si="91"/>
        <v/>
      </c>
      <c r="ET42" s="1053" t="str">
        <f t="shared" si="92"/>
        <v/>
      </c>
      <c r="EU42" s="1061" t="str">
        <f t="shared" si="93"/>
        <v/>
      </c>
      <c r="EV42" s="1055" t="str">
        <f t="shared" si="94"/>
        <v/>
      </c>
      <c r="EW42" s="1061"/>
      <c r="EX42" s="1061" t="str">
        <f>IF(AND(CU42="G", ISBLANK(BK42), ISBLANK(BL42)),VLOOKUP(MIN(BH42:BI42),TblJoistSize!$M$3:$N$10,2),IF(OR(CU42="B",CU42="G"),MIN(BK42:BL42),""))</f>
        <v/>
      </c>
      <c r="EY42" s="1061" t="str">
        <f>IF(AND(CU42="G", ISBLANK(BK42), ISBLANK(BL42)),VLOOKUP(MAX(BH42:BI42),TblJoistSize!$M$3:$N$10,2),IF(OR(CU42="B",CU42="G"),MAX(BK42:BL42),""))</f>
        <v/>
      </c>
      <c r="EZ42" s="1061" t="str">
        <f t="shared" si="95"/>
        <v/>
      </c>
      <c r="FA42" s="1061" t="str">
        <f>IF(AND(DE42="G", ISBLANK(BS42), ISBLANK(BT42)),VLOOKUP(MIN(BP42:BQ42),TblJoistSize!$M$3:$N$10,2),IF(OR(DE42="B", DE42="G"),MIN(BS42:BT42),""))</f>
        <v/>
      </c>
      <c r="FB42" s="1061" t="str">
        <f>IF(AND(DE42="G", ISBLANK(BS42), ISBLANK(BT42)),VLOOKUP(MAX(BP42:BQ42),TblJoistSize!$M$3:$N$10,2),IF(OR(DE42="B", DE42="G"),MAX(BS42:BT42),""))</f>
        <v/>
      </c>
      <c r="FC42" s="1061" t="str">
        <f t="shared" si="96"/>
        <v/>
      </c>
      <c r="FD42" s="1052">
        <f t="shared" si="123"/>
        <v>0</v>
      </c>
      <c r="FE42" s="1052">
        <f t="shared" si="97"/>
        <v>0</v>
      </c>
      <c r="FF42" s="1052">
        <f t="shared" si="98"/>
        <v>0</v>
      </c>
      <c r="FG42" s="1052" t="str">
        <f t="shared" si="99"/>
        <v/>
      </c>
      <c r="FH42" s="1053" t="str">
        <f t="shared" si="100"/>
        <v/>
      </c>
      <c r="FI42" s="1052">
        <f t="shared" si="124"/>
        <v>0</v>
      </c>
      <c r="FJ42" s="1052">
        <f t="shared" si="101"/>
        <v>0</v>
      </c>
      <c r="FK42" s="1052">
        <f t="shared" si="102"/>
        <v>0</v>
      </c>
      <c r="FL42" s="1052" t="str">
        <f t="shared" si="103"/>
        <v/>
      </c>
      <c r="FM42" s="1053" t="str">
        <f t="shared" si="104"/>
        <v/>
      </c>
      <c r="FN42" s="1053" t="e">
        <f t="shared" si="105"/>
        <v>#VALUE!</v>
      </c>
      <c r="FO42" s="1062" t="e">
        <f t="shared" si="106"/>
        <v>#VALUE!</v>
      </c>
      <c r="FP42" s="1062" t="e">
        <f t="shared" si="107"/>
        <v>#VALUE!</v>
      </c>
      <c r="FQ42" s="1063" t="e">
        <f t="shared" si="108"/>
        <v>#VALUE!</v>
      </c>
      <c r="FR42" s="1064" t="e">
        <f t="shared" si="109"/>
        <v>#VALUE!</v>
      </c>
      <c r="FS42" s="1065" t="str">
        <f t="shared" si="110"/>
        <v/>
      </c>
      <c r="FT42" s="1066" t="str">
        <f t="shared" si="111"/>
        <v/>
      </c>
      <c r="FU42" s="1105">
        <f t="shared" si="112"/>
        <v>0</v>
      </c>
      <c r="FV42" s="1106">
        <f t="shared" si="113"/>
        <v>0</v>
      </c>
      <c r="GA42" s="1975" t="str">
        <f t="shared" si="114"/>
        <v/>
      </c>
      <c r="GB42" s="1976" t="str">
        <f t="shared" si="115"/>
        <v/>
      </c>
      <c r="GC42" s="1977" t="str">
        <f t="shared" si="116"/>
        <v/>
      </c>
      <c r="GD42" s="1978" t="str">
        <f t="shared" si="117"/>
        <v/>
      </c>
      <c r="GE42" s="1979" t="str">
        <f t="shared" si="118"/>
        <v/>
      </c>
      <c r="GF42" s="1980" t="str">
        <f t="shared" si="119"/>
        <v/>
      </c>
      <c r="GG42" s="1453"/>
      <c r="GH42" s="1454"/>
      <c r="GI42" s="1453"/>
      <c r="GJ42" s="1454"/>
      <c r="GK42" s="533">
        <f t="shared" si="120"/>
        <v>0</v>
      </c>
      <c r="GL42" s="534" t="e">
        <f t="shared" si="121"/>
        <v>#VALUE!</v>
      </c>
      <c r="GM42" s="535" t="e">
        <f>IF(ABS(GK42-GL42)&gt;='Job Info.'!$L$22,ABS(GK42-GL42),0)</f>
        <v>#VALUE!</v>
      </c>
      <c r="HA42" s="1658"/>
      <c r="HB42" s="1659"/>
      <c r="HC42" s="1659"/>
      <c r="HD42" s="1660"/>
      <c r="HE42" s="1661"/>
      <c r="HF42" s="1659"/>
      <c r="HG42" s="1659"/>
      <c r="HH42" s="1659"/>
      <c r="HI42" s="1662"/>
      <c r="HJ42" s="1659"/>
      <c r="HK42" s="1659"/>
      <c r="HL42" s="1659"/>
      <c r="HM42" s="1659"/>
      <c r="HN42" s="1659"/>
      <c r="HO42" s="1659"/>
      <c r="HP42" s="1659"/>
      <c r="HQ42" s="1662"/>
      <c r="HR42" s="1659"/>
      <c r="HS42" s="1659"/>
      <c r="HT42" s="1659"/>
      <c r="HU42" s="1659"/>
      <c r="HV42" s="1659"/>
      <c r="HW42" s="1661"/>
      <c r="HX42" s="1661"/>
      <c r="HY42" s="1661"/>
      <c r="HZ42" s="1661"/>
      <c r="IA42" s="1661"/>
      <c r="IB42" s="1661"/>
      <c r="IC42" s="1661"/>
      <c r="ID42" s="1661"/>
      <c r="IE42" s="1661"/>
      <c r="IF42" s="1663"/>
    </row>
    <row r="43" spans="1:240" ht="12.6" customHeight="1" x14ac:dyDescent="0.25">
      <c r="A43" s="1471" t="str">
        <f t="shared" si="1"/>
        <v/>
      </c>
      <c r="B43" s="1473" t="str">
        <f t="shared" si="2"/>
        <v/>
      </c>
      <c r="C43" s="1473" t="str">
        <f t="shared" si="3"/>
        <v/>
      </c>
      <c r="D43" s="1909" t="str">
        <f t="shared" si="4"/>
        <v/>
      </c>
      <c r="E43" s="1982" t="str">
        <f t="shared" si="5"/>
        <v/>
      </c>
      <c r="F43" s="1920" t="str">
        <f t="shared" si="6"/>
        <v/>
      </c>
      <c r="G43" s="1910" t="str">
        <f t="shared" si="7"/>
        <v/>
      </c>
      <c r="H43" s="1965" t="str">
        <f t="shared" si="8"/>
        <v/>
      </c>
      <c r="I43" s="1909" t="str">
        <f t="shared" si="9"/>
        <v/>
      </c>
      <c r="J43" s="1910" t="str">
        <f t="shared" si="10"/>
        <v/>
      </c>
      <c r="K43" s="1983" t="str">
        <f t="shared" si="11"/>
        <v/>
      </c>
      <c r="L43" s="1915" t="str">
        <f t="shared" si="12"/>
        <v/>
      </c>
      <c r="M43" s="1961" t="str">
        <f t="shared" si="13"/>
        <v/>
      </c>
      <c r="N43" s="1917" t="str">
        <f t="shared" si="14"/>
        <v/>
      </c>
      <c r="O43" s="1910" t="str">
        <f t="shared" si="15"/>
        <v/>
      </c>
      <c r="P43" s="1908" t="str">
        <f t="shared" si="16"/>
        <v/>
      </c>
      <c r="Q43" s="1909" t="str">
        <f t="shared" si="17"/>
        <v/>
      </c>
      <c r="R43" s="1910" t="str">
        <f t="shared" si="18"/>
        <v/>
      </c>
      <c r="S43" s="1984" t="str">
        <f t="shared" si="19"/>
        <v/>
      </c>
      <c r="T43" s="1920" t="str">
        <f t="shared" si="20"/>
        <v/>
      </c>
      <c r="U43" s="1910" t="str">
        <f t="shared" si="21"/>
        <v/>
      </c>
      <c r="V43" s="1909" t="str">
        <f t="shared" si="22"/>
        <v/>
      </c>
      <c r="W43" s="1910" t="str">
        <f t="shared" si="23"/>
        <v/>
      </c>
      <c r="X43" s="1961">
        <f t="shared" si="24"/>
        <v>0</v>
      </c>
      <c r="Y43" s="1967" t="str">
        <f t="shared" si="25"/>
        <v/>
      </c>
      <c r="Z43" s="1968" t="str">
        <f t="shared" si="26"/>
        <v/>
      </c>
      <c r="AA43" s="1981"/>
      <c r="AC43" s="1226" t="b">
        <v>0</v>
      </c>
      <c r="AD43" s="525">
        <f t="shared" si="27"/>
        <v>0</v>
      </c>
      <c r="AE43" s="526">
        <f t="shared" si="28"/>
        <v>0</v>
      </c>
      <c r="AF43" s="526">
        <f t="shared" si="29"/>
        <v>0</v>
      </c>
      <c r="AG43" s="526">
        <f t="shared" si="30"/>
        <v>0</v>
      </c>
      <c r="AH43" s="527">
        <f t="shared" si="31"/>
        <v>0</v>
      </c>
      <c r="AI43" s="528" t="b">
        <v>0</v>
      </c>
      <c r="AJ43" s="284">
        <f t="shared" si="32"/>
        <v>0</v>
      </c>
      <c r="AK43" s="1063" t="str">
        <f t="shared" si="33"/>
        <v/>
      </c>
      <c r="AL43" s="1202" t="str">
        <f t="shared" si="34"/>
        <v/>
      </c>
      <c r="AM43" s="1063" t="str">
        <f t="shared" si="35"/>
        <v/>
      </c>
      <c r="AN43" s="1063" t="str">
        <f t="shared" si="36"/>
        <v/>
      </c>
      <c r="AO43" s="1063" t="str">
        <f t="shared" si="37"/>
        <v/>
      </c>
      <c r="AP43" s="1063" t="b">
        <f>IF(ISERROR(AJ43),FALSE,IF(OR(AJ43=0,ISERROR(AL43),ISERROR(AM43),ISERROR(AN43),ISERROR(AO43)),FALSE,IF(AL43&lt;&gt;"",IF(ISERROR(VLOOKUP(SUBSTITUTE(SUBSTITUTE(C43,"R",""),"A",""),TblJoistSize!$A:$A,1,FALSE)),FALSE,TRUE),TRUE)))</f>
        <v>0</v>
      </c>
      <c r="AQ43" s="1305" t="e">
        <f t="shared" si="38"/>
        <v>#N/A</v>
      </c>
      <c r="AR43" s="1305" t="b">
        <f t="shared" si="39"/>
        <v>0</v>
      </c>
      <c r="AS43" s="1305" t="e">
        <f t="shared" si="40"/>
        <v>#N/A</v>
      </c>
      <c r="AT43" s="1305" t="b">
        <f t="shared" si="41"/>
        <v>0</v>
      </c>
      <c r="AU43" s="1203" t="str">
        <f t="shared" si="42"/>
        <v/>
      </c>
      <c r="AV43" s="1063" t="str">
        <f t="shared" si="43"/>
        <v/>
      </c>
      <c r="AW43" s="1063" t="str">
        <f t="shared" si="44"/>
        <v/>
      </c>
      <c r="AX43" s="1063" t="str">
        <f t="shared" si="122"/>
        <v/>
      </c>
      <c r="AY43" s="1306" t="b">
        <f t="shared" si="45"/>
        <v>0</v>
      </c>
      <c r="AZ43" s="1090" t="str">
        <f t="shared" si="46"/>
        <v/>
      </c>
      <c r="BA43" s="674"/>
      <c r="BB43" s="842"/>
      <c r="BC43" s="894"/>
      <c r="BD43" s="926"/>
      <c r="BE43" s="927"/>
      <c r="BF43" s="928"/>
      <c r="BG43" s="901"/>
      <c r="BH43" s="1244"/>
      <c r="BI43" s="1245"/>
      <c r="BJ43" s="929"/>
      <c r="BK43" s="902"/>
      <c r="BL43" s="903"/>
      <c r="BM43" s="904"/>
      <c r="BN43" s="905"/>
      <c r="BO43" s="901"/>
      <c r="BP43" s="902"/>
      <c r="BQ43" s="903"/>
      <c r="BR43" s="929"/>
      <c r="BS43" s="902"/>
      <c r="BT43" s="903"/>
      <c r="BU43" s="904"/>
      <c r="BV43" s="905"/>
      <c r="BW43" s="906"/>
      <c r="BX43" s="930"/>
      <c r="BY43" s="931"/>
      <c r="BZ43" s="932"/>
      <c r="CA43" s="933"/>
      <c r="CB43" s="932"/>
      <c r="CC43" s="933"/>
      <c r="CD43" s="934" t="str">
        <f t="shared" si="47"/>
        <v/>
      </c>
      <c r="CE43" s="935" t="str">
        <f t="shared" si="48"/>
        <v/>
      </c>
      <c r="CF43" s="1149"/>
      <c r="CG43" s="1150"/>
      <c r="CH43" s="738" t="str">
        <f t="shared" si="49"/>
        <v/>
      </c>
      <c r="CI43" s="739" t="str">
        <f t="shared" si="50"/>
        <v/>
      </c>
      <c r="CJ43" s="740" t="str">
        <f t="shared" si="51"/>
        <v/>
      </c>
      <c r="CK43" s="741" t="str">
        <f t="shared" si="52"/>
        <v/>
      </c>
      <c r="CL43" s="742" t="str">
        <f t="shared" si="53"/>
        <v/>
      </c>
      <c r="CM43" s="743" t="str">
        <f t="shared" si="54"/>
        <v/>
      </c>
      <c r="CN43" s="744" t="str">
        <f t="shared" si="55"/>
        <v/>
      </c>
      <c r="CO43" s="745" t="str">
        <f t="shared" si="56"/>
        <v/>
      </c>
      <c r="CP43" s="762" t="str">
        <f t="shared" si="57"/>
        <v/>
      </c>
      <c r="CQ43" s="763" t="str">
        <f t="shared" si="58"/>
        <v/>
      </c>
      <c r="CR43" s="953" t="str">
        <f t="shared" si="59"/>
        <v/>
      </c>
      <c r="CS43" s="954" t="str">
        <f t="shared" si="60"/>
        <v/>
      </c>
      <c r="CU43" s="1048" t="str">
        <f>IF(BG43="","",VLOOKUP(BG43,SectInfo!$B:$N,12,FALSE))</f>
        <v/>
      </c>
      <c r="CV43" s="1046" t="str">
        <f>IF(BG43="","",IF(ISBLANK(BZ43),VLOOKUP(BG43,SectInfo!$B:$N,13,FALSE),BZ43))</f>
        <v/>
      </c>
      <c r="CW43" s="1046" t="str">
        <f>IF(BG43="","",IF(VLOOKUP(BG43,SectInfo!$B:$N,5,FALSE)="","R",UPPER(VLOOKUP(BG43,SectInfo!$B:$N,5,FALSE))))</f>
        <v/>
      </c>
      <c r="CX43" s="1046" t="str">
        <f>IF(BG43="","",IF(ISBLANK(CF43),VLOOKUP(BG43,SectInfo!$B:$N,6,FALSE),CF43))</f>
        <v/>
      </c>
      <c r="CY43" s="1276" t="str">
        <f>IF(BG43="","",IF(VLOOKUP(BG43,SectInfo!$B:$N,10,FALSE)="","",(VLOOKUP(BG43,SectInfo!$B:$N,10,FALSE)*-1)))</f>
        <v/>
      </c>
      <c r="CZ43" s="1443" t="str">
        <f>IF(BG43="","",IF(VLOOKUP(BG43,SectInfo!$B:$N,11,FALSE)="","2",(VLOOKUP(BG43,SectInfo!$B:$N,11,FALSE))))</f>
        <v/>
      </c>
      <c r="DA43" s="1046" t="str">
        <f>IF(BG43="","",IF(VLOOKUP(BG43,SectInfo!$B:$N,7,FALSE)="","",(VLOOKUP(BG43,SectInfo!$B:$N,7,FALSE)*-1)))</f>
        <v/>
      </c>
      <c r="DB43" s="1046" t="str">
        <f>IF(BG43="","",IF(VLOOKUP(BG43,SectInfo!$B:$N,8,FALSE)="",VLOOKUP(AU43,$DF$2:$DN$9,6,FALSE),(VLOOKUP(BG43,SectInfo!$B:$N,8,FALSE))))</f>
        <v/>
      </c>
      <c r="DC43" s="1046" t="str">
        <f>IF(BG43="","",VLOOKUP(BG43,SectInfo!$B:$N,9,FALSE))</f>
        <v/>
      </c>
      <c r="DD43" s="1047">
        <f t="shared" si="61"/>
        <v>0</v>
      </c>
      <c r="DE43" s="1048" t="str">
        <f>IF(BO43="","",VLOOKUP(BO43,SectInfo!$B:$N,12,FALSE))</f>
        <v/>
      </c>
      <c r="DF43" s="1046" t="str">
        <f>IF(BO43="","",IF(ISBLANK(CA43),VLOOKUP(BO43,SectInfo!$B:$N,13,FALSE),CA43))</f>
        <v/>
      </c>
      <c r="DG43" s="1046" t="str">
        <f>IF(BO43="","",IF(VLOOKUP(BO43,SectInfo!$B:$N,5,FALSE)="","R",UPPER(VLOOKUP(BO43,SectInfo!$B:$N,5,FALSE))))</f>
        <v/>
      </c>
      <c r="DH43" s="1046" t="str">
        <f>IF(BO43="","",IF(ISBLANK(CG43),VLOOKUP(BO43,SectInfo!$B:$N,6,FALSE),CG43))</f>
        <v/>
      </c>
      <c r="DI43" s="1046" t="str">
        <f>IF(BO43="","",IF(VLOOKUP(BO43,SectInfo!$B:$N,10,FALSE)="","",(VLOOKUP(BO43,SectInfo!$B:$N,10,FALSE)*-1)))</f>
        <v/>
      </c>
      <c r="DJ43" s="1443" t="str">
        <f>IF(BO43="","",IF(VLOOKUP(BO43,SectInfo!$B:$N,11,FALSE)="","2",(VLOOKUP(BO43,SectInfo!$B:$N,11,FALSE))))</f>
        <v/>
      </c>
      <c r="DK43" s="1046" t="str">
        <f>IF(BO43="","",IF(VLOOKUP(BO43,SectInfo!$B:$N,7,FALSE)="","",(VLOOKUP(BO43,SectInfo!$B:$N,7,FALSE)*-1)))</f>
        <v/>
      </c>
      <c r="DL43" s="1046" t="str">
        <f>IF(BO43="","",IF(VLOOKUP(BO43,SectInfo!$B:$N,8,FALSE)="",VLOOKUP(AU43,$DF$2:$DN$9,6,FALSE),(VLOOKUP(BO43,SectInfo!$B:$N,8,FALSE))))</f>
        <v/>
      </c>
      <c r="DM43" s="1046" t="str">
        <f>IF(BO43="","",VLOOKUP(BO43,SectInfo!$B:$N,9,FALSE))</f>
        <v/>
      </c>
      <c r="DN43" s="1047">
        <f t="shared" si="62"/>
        <v>0</v>
      </c>
      <c r="DO43" s="1049">
        <f t="shared" si="63"/>
        <v>0</v>
      </c>
      <c r="DP43" s="1053" t="str">
        <f t="shared" si="64"/>
        <v/>
      </c>
      <c r="DQ43" s="1053" t="str">
        <f t="shared" si="65"/>
        <v/>
      </c>
      <c r="DR43" s="1053" t="str">
        <f t="shared" si="66"/>
        <v/>
      </c>
      <c r="DS43" s="1052">
        <f t="shared" si="67"/>
        <v>0</v>
      </c>
      <c r="DT43" s="1052">
        <f t="shared" si="68"/>
        <v>0</v>
      </c>
      <c r="DU43" s="1052" t="str">
        <f t="shared" si="69"/>
        <v/>
      </c>
      <c r="DV43" s="1053" t="str">
        <f t="shared" si="70"/>
        <v/>
      </c>
      <c r="DW43" s="1053" t="str">
        <f t="shared" si="71"/>
        <v/>
      </c>
      <c r="DX43" s="1269">
        <f t="shared" si="72"/>
        <v>0</v>
      </c>
      <c r="DY43" s="1053">
        <f t="shared" si="73"/>
        <v>0</v>
      </c>
      <c r="DZ43" s="1052">
        <f t="shared" si="74"/>
        <v>0</v>
      </c>
      <c r="EA43" s="1052" t="str">
        <f t="shared" si="75"/>
        <v/>
      </c>
      <c r="EB43" s="1053" t="str">
        <f t="shared" si="76"/>
        <v/>
      </c>
      <c r="EC43" s="1053" t="str">
        <f t="shared" si="77"/>
        <v/>
      </c>
      <c r="ED43" s="1269">
        <f t="shared" si="78"/>
        <v>0</v>
      </c>
      <c r="EE43" s="1090" t="str">
        <f t="shared" si="79"/>
        <v/>
      </c>
      <c r="EF43" s="1053" t="str">
        <f t="shared" si="80"/>
        <v/>
      </c>
      <c r="EG43" s="1053" t="str">
        <f t="shared" si="81"/>
        <v/>
      </c>
      <c r="EH43" s="1053" t="e">
        <f t="shared" si="82"/>
        <v>#N/A</v>
      </c>
      <c r="EI43" s="1053" t="e">
        <f t="shared" si="83"/>
        <v>#N/A</v>
      </c>
      <c r="EJ43" s="1053" t="str">
        <f t="shared" si="84"/>
        <v/>
      </c>
      <c r="EK43" s="1053" t="str">
        <f t="shared" si="84"/>
        <v/>
      </c>
      <c r="EL43" s="1090" t="str">
        <f t="shared" si="85"/>
        <v/>
      </c>
      <c r="EM43" s="1053" t="str">
        <f t="shared" si="86"/>
        <v/>
      </c>
      <c r="EN43" s="1053" t="str">
        <f t="shared" si="87"/>
        <v/>
      </c>
      <c r="EO43" s="1053" t="e">
        <f t="shared" si="88"/>
        <v>#N/A</v>
      </c>
      <c r="EP43" s="1053" t="e">
        <f t="shared" si="89"/>
        <v>#N/A</v>
      </c>
      <c r="EQ43" s="1053" t="str">
        <f t="shared" si="90"/>
        <v/>
      </c>
      <c r="ER43" s="1053" t="str">
        <f t="shared" si="90"/>
        <v/>
      </c>
      <c r="ES43" s="1053" t="str">
        <f t="shared" si="91"/>
        <v/>
      </c>
      <c r="ET43" s="1053" t="str">
        <f t="shared" si="92"/>
        <v/>
      </c>
      <c r="EU43" s="1061" t="str">
        <f t="shared" si="93"/>
        <v/>
      </c>
      <c r="EV43" s="1055" t="str">
        <f t="shared" si="94"/>
        <v/>
      </c>
      <c r="EW43" s="1061"/>
      <c r="EX43" s="1061" t="str">
        <f>IF(AND(CU43="G", ISBLANK(BK43), ISBLANK(BL43)),VLOOKUP(MIN(BH43:BI43),TblJoistSize!$M$3:$N$10,2),IF(OR(CU43="B",CU43="G"),MIN(BK43:BL43),""))</f>
        <v/>
      </c>
      <c r="EY43" s="1061" t="str">
        <f>IF(AND(CU43="G", ISBLANK(BK43), ISBLANK(BL43)),VLOOKUP(MAX(BH43:BI43),TblJoistSize!$M$3:$N$10,2),IF(OR(CU43="B",CU43="G"),MAX(BK43:BL43),""))</f>
        <v/>
      </c>
      <c r="EZ43" s="1061" t="str">
        <f t="shared" si="95"/>
        <v/>
      </c>
      <c r="FA43" s="1061" t="str">
        <f>IF(AND(DE43="G", ISBLANK(BS43), ISBLANK(BT43)),VLOOKUP(MIN(BP43:BQ43),TblJoistSize!$M$3:$N$10,2),IF(OR(DE43="B", DE43="G"),MIN(BS43:BT43),""))</f>
        <v/>
      </c>
      <c r="FB43" s="1061" t="str">
        <f>IF(AND(DE43="G", ISBLANK(BS43), ISBLANK(BT43)),VLOOKUP(MAX(BP43:BQ43),TblJoistSize!$M$3:$N$10,2),IF(OR(DE43="B", DE43="G"),MAX(BS43:BT43),""))</f>
        <v/>
      </c>
      <c r="FC43" s="1061" t="str">
        <f t="shared" si="96"/>
        <v/>
      </c>
      <c r="FD43" s="1052">
        <f t="shared" si="123"/>
        <v>0</v>
      </c>
      <c r="FE43" s="1052">
        <f t="shared" si="97"/>
        <v>0</v>
      </c>
      <c r="FF43" s="1052">
        <f t="shared" si="98"/>
        <v>0</v>
      </c>
      <c r="FG43" s="1052" t="str">
        <f t="shared" si="99"/>
        <v/>
      </c>
      <c r="FH43" s="1053" t="str">
        <f t="shared" si="100"/>
        <v/>
      </c>
      <c r="FI43" s="1052">
        <f t="shared" si="124"/>
        <v>0</v>
      </c>
      <c r="FJ43" s="1052">
        <f t="shared" si="101"/>
        <v>0</v>
      </c>
      <c r="FK43" s="1052">
        <f t="shared" si="102"/>
        <v>0</v>
      </c>
      <c r="FL43" s="1052" t="str">
        <f t="shared" si="103"/>
        <v/>
      </c>
      <c r="FM43" s="1053" t="str">
        <f t="shared" si="104"/>
        <v/>
      </c>
      <c r="FN43" s="1053" t="e">
        <f t="shared" si="105"/>
        <v>#VALUE!</v>
      </c>
      <c r="FO43" s="1062" t="e">
        <f t="shared" si="106"/>
        <v>#VALUE!</v>
      </c>
      <c r="FP43" s="1062" t="e">
        <f t="shared" si="107"/>
        <v>#VALUE!</v>
      </c>
      <c r="FQ43" s="1063" t="e">
        <f t="shared" si="108"/>
        <v>#VALUE!</v>
      </c>
      <c r="FR43" s="1064" t="e">
        <f t="shared" si="109"/>
        <v>#VALUE!</v>
      </c>
      <c r="FS43" s="1065" t="str">
        <f t="shared" si="110"/>
        <v/>
      </c>
      <c r="FT43" s="1066" t="str">
        <f t="shared" si="111"/>
        <v/>
      </c>
      <c r="FU43" s="1105">
        <f t="shared" si="112"/>
        <v>0</v>
      </c>
      <c r="FV43" s="1106">
        <f t="shared" si="113"/>
        <v>0</v>
      </c>
      <c r="GA43" s="1975" t="str">
        <f t="shared" si="114"/>
        <v/>
      </c>
      <c r="GB43" s="1976" t="str">
        <f t="shared" si="115"/>
        <v/>
      </c>
      <c r="GC43" s="1977" t="str">
        <f t="shared" si="116"/>
        <v/>
      </c>
      <c r="GD43" s="1978" t="str">
        <f t="shared" si="117"/>
        <v/>
      </c>
      <c r="GE43" s="1979" t="str">
        <f t="shared" si="118"/>
        <v/>
      </c>
      <c r="GF43" s="1980" t="str">
        <f t="shared" si="119"/>
        <v/>
      </c>
      <c r="GG43" s="1453"/>
      <c r="GH43" s="1454"/>
      <c r="GI43" s="1453"/>
      <c r="GJ43" s="1454"/>
      <c r="GK43" s="533">
        <f t="shared" si="120"/>
        <v>0</v>
      </c>
      <c r="GL43" s="534" t="e">
        <f t="shared" si="121"/>
        <v>#VALUE!</v>
      </c>
      <c r="GM43" s="535" t="e">
        <f>IF(ABS(GK43-GL43)&gt;='Job Info.'!$L$22,ABS(GK43-GL43),0)</f>
        <v>#VALUE!</v>
      </c>
      <c r="HA43" s="1658"/>
      <c r="HB43" s="1659"/>
      <c r="HC43" s="1659"/>
      <c r="HD43" s="1660"/>
      <c r="HE43" s="1661"/>
      <c r="HF43" s="1659"/>
      <c r="HG43" s="1659"/>
      <c r="HH43" s="1659"/>
      <c r="HI43" s="1662"/>
      <c r="HJ43" s="1659"/>
      <c r="HK43" s="1659"/>
      <c r="HL43" s="1659"/>
      <c r="HM43" s="1659"/>
      <c r="HN43" s="1659"/>
      <c r="HO43" s="1659"/>
      <c r="HP43" s="1659"/>
      <c r="HQ43" s="1662"/>
      <c r="HR43" s="1659"/>
      <c r="HS43" s="1659"/>
      <c r="HT43" s="1659"/>
      <c r="HU43" s="1659"/>
      <c r="HV43" s="1659"/>
      <c r="HW43" s="1661"/>
      <c r="HX43" s="1661"/>
      <c r="HY43" s="1661"/>
      <c r="HZ43" s="1661"/>
      <c r="IA43" s="1661"/>
      <c r="IB43" s="1661"/>
      <c r="IC43" s="1661"/>
      <c r="ID43" s="1661"/>
      <c r="IE43" s="1661"/>
      <c r="IF43" s="1663"/>
    </row>
    <row r="44" spans="1:240" ht="12.6" customHeight="1" x14ac:dyDescent="0.25">
      <c r="A44" s="1471" t="str">
        <f t="shared" si="1"/>
        <v/>
      </c>
      <c r="B44" s="1473" t="str">
        <f t="shared" si="2"/>
        <v/>
      </c>
      <c r="C44" s="1473" t="str">
        <f t="shared" si="3"/>
        <v/>
      </c>
      <c r="D44" s="1909" t="str">
        <f t="shared" si="4"/>
        <v/>
      </c>
      <c r="E44" s="1982" t="str">
        <f t="shared" si="5"/>
        <v/>
      </c>
      <c r="F44" s="1920" t="str">
        <f t="shared" si="6"/>
        <v/>
      </c>
      <c r="G44" s="1910" t="str">
        <f t="shared" si="7"/>
        <v/>
      </c>
      <c r="H44" s="1965" t="str">
        <f t="shared" si="8"/>
        <v/>
      </c>
      <c r="I44" s="1909" t="str">
        <f t="shared" si="9"/>
        <v/>
      </c>
      <c r="J44" s="1910" t="str">
        <f t="shared" si="10"/>
        <v/>
      </c>
      <c r="K44" s="1983" t="str">
        <f t="shared" si="11"/>
        <v/>
      </c>
      <c r="L44" s="1915" t="str">
        <f t="shared" si="12"/>
        <v/>
      </c>
      <c r="M44" s="1961" t="str">
        <f t="shared" si="13"/>
        <v/>
      </c>
      <c r="N44" s="1917" t="str">
        <f t="shared" si="14"/>
        <v/>
      </c>
      <c r="O44" s="1910" t="str">
        <f t="shared" si="15"/>
        <v/>
      </c>
      <c r="P44" s="1908" t="str">
        <f t="shared" si="16"/>
        <v/>
      </c>
      <c r="Q44" s="1909" t="str">
        <f t="shared" si="17"/>
        <v/>
      </c>
      <c r="R44" s="1910" t="str">
        <f t="shared" si="18"/>
        <v/>
      </c>
      <c r="S44" s="1984" t="str">
        <f t="shared" si="19"/>
        <v/>
      </c>
      <c r="T44" s="1920" t="str">
        <f t="shared" si="20"/>
        <v/>
      </c>
      <c r="U44" s="1910" t="str">
        <f t="shared" si="21"/>
        <v/>
      </c>
      <c r="V44" s="1909" t="str">
        <f t="shared" si="22"/>
        <v/>
      </c>
      <c r="W44" s="1910" t="str">
        <f t="shared" si="23"/>
        <v/>
      </c>
      <c r="X44" s="1961">
        <f t="shared" si="24"/>
        <v>0</v>
      </c>
      <c r="Y44" s="1967" t="str">
        <f t="shared" si="25"/>
        <v/>
      </c>
      <c r="Z44" s="1968" t="str">
        <f t="shared" si="26"/>
        <v/>
      </c>
      <c r="AA44" s="1981"/>
      <c r="AC44" s="1226" t="b">
        <v>0</v>
      </c>
      <c r="AD44" s="525">
        <f t="shared" si="27"/>
        <v>0</v>
      </c>
      <c r="AE44" s="526">
        <f t="shared" si="28"/>
        <v>0</v>
      </c>
      <c r="AF44" s="526">
        <f t="shared" si="29"/>
        <v>0</v>
      </c>
      <c r="AG44" s="526">
        <f t="shared" si="30"/>
        <v>0</v>
      </c>
      <c r="AH44" s="527">
        <f t="shared" si="31"/>
        <v>0</v>
      </c>
      <c r="AI44" s="528" t="b">
        <v>0</v>
      </c>
      <c r="AJ44" s="284">
        <f t="shared" si="32"/>
        <v>0</v>
      </c>
      <c r="AK44" s="1063" t="str">
        <f t="shared" si="33"/>
        <v/>
      </c>
      <c r="AL44" s="1202" t="str">
        <f t="shared" si="34"/>
        <v/>
      </c>
      <c r="AM44" s="1063" t="str">
        <f t="shared" si="35"/>
        <v/>
      </c>
      <c r="AN44" s="1063" t="str">
        <f t="shared" si="36"/>
        <v/>
      </c>
      <c r="AO44" s="1063" t="str">
        <f t="shared" si="37"/>
        <v/>
      </c>
      <c r="AP44" s="1063" t="b">
        <f>IF(ISERROR(AJ44),FALSE,IF(OR(AJ44=0,ISERROR(AL44),ISERROR(AM44),ISERROR(AN44),ISERROR(AO44)),FALSE,IF(AL44&lt;&gt;"",IF(ISERROR(VLOOKUP(SUBSTITUTE(SUBSTITUTE(C44,"R",""),"A",""),TblJoistSize!$A:$A,1,FALSE)),FALSE,TRUE),TRUE)))</f>
        <v>0</v>
      </c>
      <c r="AQ44" s="1305" t="e">
        <f t="shared" si="38"/>
        <v>#N/A</v>
      </c>
      <c r="AR44" s="1305" t="b">
        <f t="shared" si="39"/>
        <v>0</v>
      </c>
      <c r="AS44" s="1305" t="e">
        <f t="shared" si="40"/>
        <v>#N/A</v>
      </c>
      <c r="AT44" s="1305" t="b">
        <f t="shared" si="41"/>
        <v>0</v>
      </c>
      <c r="AU44" s="1203" t="str">
        <f t="shared" si="42"/>
        <v/>
      </c>
      <c r="AV44" s="1063" t="str">
        <f t="shared" si="43"/>
        <v/>
      </c>
      <c r="AW44" s="1063" t="str">
        <f t="shared" si="44"/>
        <v/>
      </c>
      <c r="AX44" s="1063" t="str">
        <f t="shared" si="122"/>
        <v/>
      </c>
      <c r="AY44" s="1306" t="b">
        <f t="shared" si="45"/>
        <v>0</v>
      </c>
      <c r="AZ44" s="1090" t="str">
        <f t="shared" si="46"/>
        <v/>
      </c>
      <c r="BA44" s="674"/>
      <c r="BB44" s="842"/>
      <c r="BC44" s="894"/>
      <c r="BD44" s="926"/>
      <c r="BE44" s="927"/>
      <c r="BF44" s="928"/>
      <c r="BG44" s="901"/>
      <c r="BH44" s="1244"/>
      <c r="BI44" s="1245"/>
      <c r="BJ44" s="929"/>
      <c r="BK44" s="902"/>
      <c r="BL44" s="903"/>
      <c r="BM44" s="904"/>
      <c r="BN44" s="905"/>
      <c r="BO44" s="901"/>
      <c r="BP44" s="902"/>
      <c r="BQ44" s="903"/>
      <c r="BR44" s="929"/>
      <c r="BS44" s="902"/>
      <c r="BT44" s="903"/>
      <c r="BU44" s="904"/>
      <c r="BV44" s="905"/>
      <c r="BW44" s="906"/>
      <c r="BX44" s="930"/>
      <c r="BY44" s="931"/>
      <c r="BZ44" s="932"/>
      <c r="CA44" s="933"/>
      <c r="CB44" s="932"/>
      <c r="CC44" s="933"/>
      <c r="CD44" s="934" t="str">
        <f t="shared" si="47"/>
        <v/>
      </c>
      <c r="CE44" s="935" t="str">
        <f t="shared" si="48"/>
        <v/>
      </c>
      <c r="CF44" s="1149"/>
      <c r="CG44" s="1150"/>
      <c r="CH44" s="738" t="str">
        <f t="shared" si="49"/>
        <v/>
      </c>
      <c r="CI44" s="739" t="str">
        <f t="shared" si="50"/>
        <v/>
      </c>
      <c r="CJ44" s="740" t="str">
        <f t="shared" si="51"/>
        <v/>
      </c>
      <c r="CK44" s="741" t="str">
        <f t="shared" si="52"/>
        <v/>
      </c>
      <c r="CL44" s="742" t="str">
        <f t="shared" si="53"/>
        <v/>
      </c>
      <c r="CM44" s="743" t="str">
        <f t="shared" si="54"/>
        <v/>
      </c>
      <c r="CN44" s="744" t="str">
        <f t="shared" si="55"/>
        <v/>
      </c>
      <c r="CO44" s="745" t="str">
        <f t="shared" si="56"/>
        <v/>
      </c>
      <c r="CP44" s="762" t="str">
        <f t="shared" si="57"/>
        <v/>
      </c>
      <c r="CQ44" s="763" t="str">
        <f t="shared" si="58"/>
        <v/>
      </c>
      <c r="CR44" s="953" t="str">
        <f t="shared" si="59"/>
        <v/>
      </c>
      <c r="CS44" s="954" t="str">
        <f t="shared" si="60"/>
        <v/>
      </c>
      <c r="CU44" s="1048" t="str">
        <f>IF(BG44="","",VLOOKUP(BG44,SectInfo!$B:$N,12,FALSE))</f>
        <v/>
      </c>
      <c r="CV44" s="1046" t="str">
        <f>IF(BG44="","",IF(ISBLANK(BZ44),VLOOKUP(BG44,SectInfo!$B:$N,13,FALSE),BZ44))</f>
        <v/>
      </c>
      <c r="CW44" s="1046" t="str">
        <f>IF(BG44="","",IF(VLOOKUP(BG44,SectInfo!$B:$N,5,FALSE)="","R",UPPER(VLOOKUP(BG44,SectInfo!$B:$N,5,FALSE))))</f>
        <v/>
      </c>
      <c r="CX44" s="1046" t="str">
        <f>IF(BG44="","",IF(ISBLANK(CF44),VLOOKUP(BG44,SectInfo!$B:$N,6,FALSE),CF44))</f>
        <v/>
      </c>
      <c r="CY44" s="1276" t="str">
        <f>IF(BG44="","",IF(VLOOKUP(BG44,SectInfo!$B:$N,10,FALSE)="","",(VLOOKUP(BG44,SectInfo!$B:$N,10,FALSE)*-1)))</f>
        <v/>
      </c>
      <c r="CZ44" s="1443" t="str">
        <f>IF(BG44="","",IF(VLOOKUP(BG44,SectInfo!$B:$N,11,FALSE)="","2",(VLOOKUP(BG44,SectInfo!$B:$N,11,FALSE))))</f>
        <v/>
      </c>
      <c r="DA44" s="1046" t="str">
        <f>IF(BG44="","",IF(VLOOKUP(BG44,SectInfo!$B:$N,7,FALSE)="","",(VLOOKUP(BG44,SectInfo!$B:$N,7,FALSE)*-1)))</f>
        <v/>
      </c>
      <c r="DB44" s="1046" t="str">
        <f>IF(BG44="","",IF(VLOOKUP(BG44,SectInfo!$B:$N,8,FALSE)="",VLOOKUP(AU44,$DF$2:$DN$9,6,FALSE),(VLOOKUP(BG44,SectInfo!$B:$N,8,FALSE))))</f>
        <v/>
      </c>
      <c r="DC44" s="1046" t="str">
        <f>IF(BG44="","",VLOOKUP(BG44,SectInfo!$B:$N,9,FALSE))</f>
        <v/>
      </c>
      <c r="DD44" s="1047">
        <f t="shared" si="61"/>
        <v>0</v>
      </c>
      <c r="DE44" s="1048" t="str">
        <f>IF(BO44="","",VLOOKUP(BO44,SectInfo!$B:$N,12,FALSE))</f>
        <v/>
      </c>
      <c r="DF44" s="1046" t="str">
        <f>IF(BO44="","",IF(ISBLANK(CA44),VLOOKUP(BO44,SectInfo!$B:$N,13,FALSE),CA44))</f>
        <v/>
      </c>
      <c r="DG44" s="1046" t="str">
        <f>IF(BO44="","",IF(VLOOKUP(BO44,SectInfo!$B:$N,5,FALSE)="","R",UPPER(VLOOKUP(BO44,SectInfo!$B:$N,5,FALSE))))</f>
        <v/>
      </c>
      <c r="DH44" s="1046" t="str">
        <f>IF(BO44="","",IF(ISBLANK(CG44),VLOOKUP(BO44,SectInfo!$B:$N,6,FALSE),CG44))</f>
        <v/>
      </c>
      <c r="DI44" s="1046" t="str">
        <f>IF(BO44="","",IF(VLOOKUP(BO44,SectInfo!$B:$N,10,FALSE)="","",(VLOOKUP(BO44,SectInfo!$B:$N,10,FALSE)*-1)))</f>
        <v/>
      </c>
      <c r="DJ44" s="1443" t="str">
        <f>IF(BO44="","",IF(VLOOKUP(BO44,SectInfo!$B:$N,11,FALSE)="","2",(VLOOKUP(BO44,SectInfo!$B:$N,11,FALSE))))</f>
        <v/>
      </c>
      <c r="DK44" s="1046" t="str">
        <f>IF(BO44="","",IF(VLOOKUP(BO44,SectInfo!$B:$N,7,FALSE)="","",(VLOOKUP(BO44,SectInfo!$B:$N,7,FALSE)*-1)))</f>
        <v/>
      </c>
      <c r="DL44" s="1046" t="str">
        <f>IF(BO44="","",IF(VLOOKUP(BO44,SectInfo!$B:$N,8,FALSE)="",VLOOKUP(AU44,$DF$2:$DN$9,6,FALSE),(VLOOKUP(BO44,SectInfo!$B:$N,8,FALSE))))</f>
        <v/>
      </c>
      <c r="DM44" s="1046" t="str">
        <f>IF(BO44="","",VLOOKUP(BO44,SectInfo!$B:$N,9,FALSE))</f>
        <v/>
      </c>
      <c r="DN44" s="1047">
        <f t="shared" si="62"/>
        <v>0</v>
      </c>
      <c r="DO44" s="1049">
        <f t="shared" si="63"/>
        <v>0</v>
      </c>
      <c r="DP44" s="1053" t="str">
        <f t="shared" si="64"/>
        <v/>
      </c>
      <c r="DQ44" s="1053" t="str">
        <f t="shared" si="65"/>
        <v/>
      </c>
      <c r="DR44" s="1053" t="str">
        <f t="shared" si="66"/>
        <v/>
      </c>
      <c r="DS44" s="1052">
        <f t="shared" si="67"/>
        <v>0</v>
      </c>
      <c r="DT44" s="1052">
        <f t="shared" si="68"/>
        <v>0</v>
      </c>
      <c r="DU44" s="1052" t="str">
        <f t="shared" si="69"/>
        <v/>
      </c>
      <c r="DV44" s="1053" t="str">
        <f t="shared" si="70"/>
        <v/>
      </c>
      <c r="DW44" s="1053" t="str">
        <f t="shared" si="71"/>
        <v/>
      </c>
      <c r="DX44" s="1269">
        <f t="shared" si="72"/>
        <v>0</v>
      </c>
      <c r="DY44" s="1053">
        <f t="shared" si="73"/>
        <v>0</v>
      </c>
      <c r="DZ44" s="1052">
        <f t="shared" si="74"/>
        <v>0</v>
      </c>
      <c r="EA44" s="1052" t="str">
        <f t="shared" si="75"/>
        <v/>
      </c>
      <c r="EB44" s="1053" t="str">
        <f t="shared" si="76"/>
        <v/>
      </c>
      <c r="EC44" s="1053" t="str">
        <f t="shared" si="77"/>
        <v/>
      </c>
      <c r="ED44" s="1269">
        <f t="shared" si="78"/>
        <v>0</v>
      </c>
      <c r="EE44" s="1090" t="str">
        <f t="shared" si="79"/>
        <v/>
      </c>
      <c r="EF44" s="1053" t="str">
        <f t="shared" si="80"/>
        <v/>
      </c>
      <c r="EG44" s="1053" t="str">
        <f t="shared" si="81"/>
        <v/>
      </c>
      <c r="EH44" s="1053" t="e">
        <f t="shared" si="82"/>
        <v>#N/A</v>
      </c>
      <c r="EI44" s="1053" t="e">
        <f t="shared" si="83"/>
        <v>#N/A</v>
      </c>
      <c r="EJ44" s="1053" t="str">
        <f t="shared" si="84"/>
        <v/>
      </c>
      <c r="EK44" s="1053" t="str">
        <f t="shared" si="84"/>
        <v/>
      </c>
      <c r="EL44" s="1090" t="str">
        <f t="shared" si="85"/>
        <v/>
      </c>
      <c r="EM44" s="1053" t="str">
        <f t="shared" si="86"/>
        <v/>
      </c>
      <c r="EN44" s="1053" t="str">
        <f t="shared" si="87"/>
        <v/>
      </c>
      <c r="EO44" s="1053" t="e">
        <f t="shared" si="88"/>
        <v>#N/A</v>
      </c>
      <c r="EP44" s="1053" t="e">
        <f t="shared" si="89"/>
        <v>#N/A</v>
      </c>
      <c r="EQ44" s="1053" t="str">
        <f t="shared" si="90"/>
        <v/>
      </c>
      <c r="ER44" s="1053" t="str">
        <f t="shared" si="90"/>
        <v/>
      </c>
      <c r="ES44" s="1053" t="str">
        <f t="shared" si="91"/>
        <v/>
      </c>
      <c r="ET44" s="1053" t="str">
        <f t="shared" si="92"/>
        <v/>
      </c>
      <c r="EU44" s="1061" t="str">
        <f t="shared" si="93"/>
        <v/>
      </c>
      <c r="EV44" s="1055" t="str">
        <f t="shared" si="94"/>
        <v/>
      </c>
      <c r="EW44" s="1061"/>
      <c r="EX44" s="1061" t="str">
        <f>IF(AND(CU44="G", ISBLANK(BK44), ISBLANK(BL44)),VLOOKUP(MIN(BH44:BI44),TblJoistSize!$M$3:$N$10,2),IF(OR(CU44="B",CU44="G"),MIN(BK44:BL44),""))</f>
        <v/>
      </c>
      <c r="EY44" s="1061" t="str">
        <f>IF(AND(CU44="G", ISBLANK(BK44), ISBLANK(BL44)),VLOOKUP(MAX(BH44:BI44),TblJoistSize!$M$3:$N$10,2),IF(OR(CU44="B",CU44="G"),MAX(BK44:BL44),""))</f>
        <v/>
      </c>
      <c r="EZ44" s="1061" t="str">
        <f t="shared" si="95"/>
        <v/>
      </c>
      <c r="FA44" s="1061" t="str">
        <f>IF(AND(DE44="G", ISBLANK(BS44), ISBLANK(BT44)),VLOOKUP(MIN(BP44:BQ44),TblJoistSize!$M$3:$N$10,2),IF(OR(DE44="B", DE44="G"),MIN(BS44:BT44),""))</f>
        <v/>
      </c>
      <c r="FB44" s="1061" t="str">
        <f>IF(AND(DE44="G", ISBLANK(BS44), ISBLANK(BT44)),VLOOKUP(MAX(BP44:BQ44),TblJoistSize!$M$3:$N$10,2),IF(OR(DE44="B", DE44="G"),MAX(BS44:BT44),""))</f>
        <v/>
      </c>
      <c r="FC44" s="1061" t="str">
        <f t="shared" si="96"/>
        <v/>
      </c>
      <c r="FD44" s="1052">
        <f t="shared" si="123"/>
        <v>0</v>
      </c>
      <c r="FE44" s="1052">
        <f t="shared" si="97"/>
        <v>0</v>
      </c>
      <c r="FF44" s="1052">
        <f t="shared" si="98"/>
        <v>0</v>
      </c>
      <c r="FG44" s="1052" t="str">
        <f t="shared" si="99"/>
        <v/>
      </c>
      <c r="FH44" s="1053" t="str">
        <f t="shared" si="100"/>
        <v/>
      </c>
      <c r="FI44" s="1052">
        <f t="shared" si="124"/>
        <v>0</v>
      </c>
      <c r="FJ44" s="1052">
        <f t="shared" si="101"/>
        <v>0</v>
      </c>
      <c r="FK44" s="1052">
        <f t="shared" si="102"/>
        <v>0</v>
      </c>
      <c r="FL44" s="1052" t="str">
        <f t="shared" si="103"/>
        <v/>
      </c>
      <c r="FM44" s="1053" t="str">
        <f t="shared" si="104"/>
        <v/>
      </c>
      <c r="FN44" s="1053" t="e">
        <f t="shared" si="105"/>
        <v>#VALUE!</v>
      </c>
      <c r="FO44" s="1062" t="e">
        <f t="shared" si="106"/>
        <v>#VALUE!</v>
      </c>
      <c r="FP44" s="1062" t="e">
        <f t="shared" si="107"/>
        <v>#VALUE!</v>
      </c>
      <c r="FQ44" s="1063" t="e">
        <f t="shared" si="108"/>
        <v>#VALUE!</v>
      </c>
      <c r="FR44" s="1064" t="e">
        <f t="shared" si="109"/>
        <v>#VALUE!</v>
      </c>
      <c r="FS44" s="1065" t="str">
        <f t="shared" si="110"/>
        <v/>
      </c>
      <c r="FT44" s="1066" t="str">
        <f t="shared" si="111"/>
        <v/>
      </c>
      <c r="FU44" s="1105">
        <f t="shared" si="112"/>
        <v>0</v>
      </c>
      <c r="FV44" s="1106">
        <f t="shared" si="113"/>
        <v>0</v>
      </c>
      <c r="GA44" s="1975" t="str">
        <f t="shared" si="114"/>
        <v/>
      </c>
      <c r="GB44" s="1976" t="str">
        <f t="shared" si="115"/>
        <v/>
      </c>
      <c r="GC44" s="1977" t="str">
        <f t="shared" si="116"/>
        <v/>
      </c>
      <c r="GD44" s="1978" t="str">
        <f t="shared" si="117"/>
        <v/>
      </c>
      <c r="GE44" s="1979" t="str">
        <f t="shared" si="118"/>
        <v/>
      </c>
      <c r="GF44" s="1980" t="str">
        <f t="shared" si="119"/>
        <v/>
      </c>
      <c r="GG44" s="1453"/>
      <c r="GH44" s="1454"/>
      <c r="GI44" s="1453"/>
      <c r="GJ44" s="1454"/>
      <c r="GK44" s="533">
        <f t="shared" si="120"/>
        <v>0</v>
      </c>
      <c r="GL44" s="534" t="e">
        <f t="shared" si="121"/>
        <v>#VALUE!</v>
      </c>
      <c r="GM44" s="535" t="e">
        <f>IF(ABS(GK44-GL44)&gt;='Job Info.'!$L$22,ABS(GK44-GL44),0)</f>
        <v>#VALUE!</v>
      </c>
      <c r="HA44" s="1658"/>
      <c r="HB44" s="1659"/>
      <c r="HC44" s="1659"/>
      <c r="HD44" s="1660"/>
      <c r="HE44" s="1661"/>
      <c r="HF44" s="1659"/>
      <c r="HG44" s="1659"/>
      <c r="HH44" s="1659"/>
      <c r="HI44" s="1662"/>
      <c r="HJ44" s="1659"/>
      <c r="HK44" s="1659"/>
      <c r="HL44" s="1659"/>
      <c r="HM44" s="1659"/>
      <c r="HN44" s="1659"/>
      <c r="HO44" s="1659"/>
      <c r="HP44" s="1659"/>
      <c r="HQ44" s="1662"/>
      <c r="HR44" s="1659"/>
      <c r="HS44" s="1659"/>
      <c r="HT44" s="1659"/>
      <c r="HU44" s="1659"/>
      <c r="HV44" s="1659"/>
      <c r="HW44" s="1661"/>
      <c r="HX44" s="1661"/>
      <c r="HY44" s="1661"/>
      <c r="HZ44" s="1661"/>
      <c r="IA44" s="1661"/>
      <c r="IB44" s="1661"/>
      <c r="IC44" s="1661"/>
      <c r="ID44" s="1661"/>
      <c r="IE44" s="1661"/>
      <c r="IF44" s="1663"/>
    </row>
    <row r="45" spans="1:240" ht="12.6" customHeight="1" thickBot="1" x14ac:dyDescent="0.3">
      <c r="A45" s="1472" t="str">
        <f>IF(BB45="","",UPPER(BB45))</f>
        <v/>
      </c>
      <c r="B45" s="1474" t="str">
        <f>IF(BC45="","",BC45)</f>
        <v/>
      </c>
      <c r="C45" s="1474" t="str">
        <f>IF(BD45="","",UPPER(BD45))</f>
        <v/>
      </c>
      <c r="D45" s="1922" t="str">
        <f>IF(DP45="","",TRUNC(DP45/12))</f>
        <v/>
      </c>
      <c r="E45" s="1985" t="str">
        <f>IF(DP45="","",DP45-(D45*12))</f>
        <v/>
      </c>
      <c r="F45" s="1933" t="str">
        <f>IF(DX45=0,"",TRUNC(DX45/12))</f>
        <v/>
      </c>
      <c r="G45" s="1923" t="str">
        <f>IF(DX45=0,"",DX45-(F45*12))</f>
        <v/>
      </c>
      <c r="H45" s="1970" t="str">
        <f>IF(DX45=0,"",CW45)</f>
        <v/>
      </c>
      <c r="I45" s="1922" t="str">
        <f>IF(ED45=0,"",TRUNC(ED45/12))</f>
        <v/>
      </c>
      <c r="J45" s="1923" t="str">
        <f>IF(ED45=0,"",ED45-(I45*12))</f>
        <v/>
      </c>
      <c r="K45" s="1986" t="str">
        <f>IF(ED45=0,"",DG45)</f>
        <v/>
      </c>
      <c r="L45" s="1928" t="str">
        <f>DQ45</f>
        <v/>
      </c>
      <c r="M45" s="1963" t="str">
        <f>DR45</f>
        <v/>
      </c>
      <c r="N45" s="1930" t="str">
        <f>IF(ES45="","",IF(AND(ES45&lt;0,ES45&gt;-12),TRUNC(ES45/12)-0.0000001,TRUNC(ES45/12)))</f>
        <v/>
      </c>
      <c r="O45" s="1923" t="str">
        <f>IF(ES45="","",IF(AND(ES45-(N45*12)=0,ES45&lt;0),-0.000001,ES45-(N45*12)))</f>
        <v/>
      </c>
      <c r="P45" s="1921" t="str">
        <f>IF(ES45="","",CZ45)</f>
        <v/>
      </c>
      <c r="Q45" s="1922" t="str">
        <f>IF(ET45="","",IF(AND(ET45&lt;0,ET45&gt;-12),TRUNC(ET45/12)-0.0000001,TRUNC(ET45/12)))</f>
        <v/>
      </c>
      <c r="R45" s="1923" t="str">
        <f>IF(ET45="","",IF(AND(ET45-(Q45*12)=0,ET45&lt;0),-0.000001,ET45-(Q45*12)))</f>
        <v/>
      </c>
      <c r="S45" s="1987" t="str">
        <f>IF(ET45="","",DJ45)</f>
        <v/>
      </c>
      <c r="T45" s="1933" t="str">
        <f>IF(CH45="ERR","",IF(EK45="","",IF(EK45="ERR",TRUNC(EJ45/12),TRUNC(EK45/12))))</f>
        <v/>
      </c>
      <c r="U45" s="1923" t="str">
        <f>IF(CH45="ERR","",IF(EK45="","",IF(EK45="ERR",EJ45-(T45*12),EK45-(T45*12))))</f>
        <v/>
      </c>
      <c r="V45" s="1922" t="str">
        <f>IF(CI45="ERR","",IF(ER45="","",IF(ER45="ERR",TRUNC(EQ45/12),TRUNC(ER45/12))))</f>
        <v/>
      </c>
      <c r="W45" s="1923" t="str">
        <f>IF(CI45="ERR","",IF(ER45="","",IF(ER45="ERR",EQ45-(V45*12),ER45-(V45*12))))</f>
        <v/>
      </c>
      <c r="X45" s="1963">
        <f>IF(EV45="",0,EV45)</f>
        <v>0</v>
      </c>
      <c r="Y45" s="1972" t="str">
        <f>FG45</f>
        <v/>
      </c>
      <c r="Z45" s="1973" t="str">
        <f>FL45</f>
        <v/>
      </c>
      <c r="AA45" s="1981"/>
      <c r="AC45" s="1226" t="b">
        <v>0</v>
      </c>
      <c r="AD45" s="525">
        <f t="shared" si="27"/>
        <v>0</v>
      </c>
      <c r="AE45" s="526">
        <f t="shared" si="28"/>
        <v>0</v>
      </c>
      <c r="AF45" s="526">
        <f t="shared" si="29"/>
        <v>0</v>
      </c>
      <c r="AG45" s="526">
        <f t="shared" si="30"/>
        <v>0</v>
      </c>
      <c r="AH45" s="527">
        <f t="shared" si="31"/>
        <v>0</v>
      </c>
      <c r="AI45" s="528" t="b">
        <v>0</v>
      </c>
      <c r="AJ45" s="284">
        <f t="shared" si="32"/>
        <v>0</v>
      </c>
      <c r="AK45" s="1063" t="str">
        <f t="shared" si="33"/>
        <v/>
      </c>
      <c r="AL45" s="1202" t="str">
        <f t="shared" si="34"/>
        <v/>
      </c>
      <c r="AM45" s="1063" t="str">
        <f t="shared" si="35"/>
        <v/>
      </c>
      <c r="AN45" s="1063" t="str">
        <f t="shared" si="36"/>
        <v/>
      </c>
      <c r="AO45" s="1063" t="str">
        <f t="shared" si="37"/>
        <v/>
      </c>
      <c r="AP45" s="1063" t="b">
        <f>IF(ISERROR(AJ45),FALSE,IF(OR(AJ45=0,ISERROR(AL45),ISERROR(AM45),ISERROR(AN45),ISERROR(AO45)),FALSE,IF(AL45&lt;&gt;"",IF(ISERROR(VLOOKUP(SUBSTITUTE(SUBSTITUTE(C45,"R",""),"A",""),TblJoistSize!$A:$A,1,FALSE)),FALSE,TRUE),TRUE)))</f>
        <v>0</v>
      </c>
      <c r="AQ45" s="1305" t="e">
        <f t="shared" si="38"/>
        <v>#N/A</v>
      </c>
      <c r="AR45" s="1305" t="b">
        <f t="shared" si="39"/>
        <v>0</v>
      </c>
      <c r="AS45" s="1305" t="e">
        <f t="shared" si="40"/>
        <v>#N/A</v>
      </c>
      <c r="AT45" s="1305" t="b">
        <f t="shared" si="41"/>
        <v>0</v>
      </c>
      <c r="AU45" s="1203" t="str">
        <f t="shared" si="42"/>
        <v/>
      </c>
      <c r="AV45" s="1063" t="str">
        <f t="shared" si="43"/>
        <v/>
      </c>
      <c r="AW45" s="1063" t="str">
        <f t="shared" si="44"/>
        <v/>
      </c>
      <c r="AX45" s="1063" t="str">
        <f t="shared" si="122"/>
        <v/>
      </c>
      <c r="AY45" s="1306" t="b">
        <f t="shared" si="45"/>
        <v>0</v>
      </c>
      <c r="AZ45" s="1090" t="str">
        <f t="shared" si="46"/>
        <v/>
      </c>
      <c r="BA45" s="674"/>
      <c r="BB45" s="854"/>
      <c r="BC45" s="895"/>
      <c r="BD45" s="1038"/>
      <c r="BE45" s="1039"/>
      <c r="BF45" s="1040"/>
      <c r="BG45" s="907"/>
      <c r="BH45" s="1247"/>
      <c r="BI45" s="1248"/>
      <c r="BJ45" s="936"/>
      <c r="BK45" s="908"/>
      <c r="BL45" s="909"/>
      <c r="BM45" s="910"/>
      <c r="BN45" s="911"/>
      <c r="BO45" s="907"/>
      <c r="BP45" s="908"/>
      <c r="BQ45" s="909"/>
      <c r="BR45" s="936"/>
      <c r="BS45" s="908"/>
      <c r="BT45" s="909"/>
      <c r="BU45" s="910"/>
      <c r="BV45" s="911"/>
      <c r="BW45" s="912"/>
      <c r="BX45" s="937"/>
      <c r="BY45" s="938"/>
      <c r="BZ45" s="939"/>
      <c r="CA45" s="940"/>
      <c r="CB45" s="939"/>
      <c r="CC45" s="940"/>
      <c r="CD45" s="941" t="str">
        <f t="shared" si="47"/>
        <v/>
      </c>
      <c r="CE45" s="942" t="str">
        <f t="shared" si="48"/>
        <v/>
      </c>
      <c r="CF45" s="1151"/>
      <c r="CG45" s="1152"/>
      <c r="CH45" s="748" t="str">
        <f t="shared" si="49"/>
        <v/>
      </c>
      <c r="CI45" s="749" t="str">
        <f t="shared" si="50"/>
        <v/>
      </c>
      <c r="CJ45" s="750" t="str">
        <f t="shared" si="51"/>
        <v/>
      </c>
      <c r="CK45" s="751" t="str">
        <f t="shared" si="52"/>
        <v/>
      </c>
      <c r="CL45" s="752" t="str">
        <f t="shared" si="53"/>
        <v/>
      </c>
      <c r="CM45" s="753" t="str">
        <f t="shared" si="54"/>
        <v/>
      </c>
      <c r="CN45" s="754" t="str">
        <f t="shared" si="55"/>
        <v/>
      </c>
      <c r="CO45" s="755" t="str">
        <f t="shared" si="56"/>
        <v/>
      </c>
      <c r="CP45" s="764" t="str">
        <f t="shared" si="57"/>
        <v/>
      </c>
      <c r="CQ45" s="765" t="str">
        <f t="shared" si="58"/>
        <v/>
      </c>
      <c r="CR45" s="955" t="str">
        <f t="shared" si="59"/>
        <v/>
      </c>
      <c r="CS45" s="956" t="str">
        <f t="shared" si="60"/>
        <v/>
      </c>
      <c r="CU45" s="1048" t="str">
        <f>IF(BG45="","",VLOOKUP(BG45,SectInfo!$B:$N,12,FALSE))</f>
        <v/>
      </c>
      <c r="CV45" s="1046" t="str">
        <f>IF(BG45="","",IF(ISBLANK(BZ45),VLOOKUP(BG45,SectInfo!$B:$N,13,FALSE),BZ45))</f>
        <v/>
      </c>
      <c r="CW45" s="1046" t="str">
        <f>IF(BG45="","",IF(VLOOKUP(BG45,SectInfo!$B:$N,5,FALSE)="","R",UPPER(VLOOKUP(BG45,SectInfo!$B:$N,5,FALSE))))</f>
        <v/>
      </c>
      <c r="CX45" s="1046" t="str">
        <f>IF(BG45="","",IF(ISBLANK(CF45),VLOOKUP(BG45,SectInfo!$B:$N,6,FALSE),CF45))</f>
        <v/>
      </c>
      <c r="CY45" s="1276" t="str">
        <f>IF(BG45="","",IF(VLOOKUP(BG45,SectInfo!$B:$N,10,FALSE)="","",(VLOOKUP(BG45,SectInfo!$B:$N,10,FALSE)*-1)))</f>
        <v/>
      </c>
      <c r="CZ45" s="1443" t="str">
        <f>IF(BG45="","",IF(VLOOKUP(BG45,SectInfo!$B:$N,11,FALSE)="","2",(VLOOKUP(BG45,SectInfo!$B:$N,11,FALSE))))</f>
        <v/>
      </c>
      <c r="DA45" s="1046" t="str">
        <f>IF(BG45="","",IF(VLOOKUP(BG45,SectInfo!$B:$N,7,FALSE)="","",(VLOOKUP(BG45,SectInfo!$B:$N,7,FALSE)*-1)))</f>
        <v/>
      </c>
      <c r="DB45" s="1046" t="str">
        <f>IF(BG45="","",IF(VLOOKUP(BG45,SectInfo!$B:$N,8,FALSE)="",VLOOKUP(AU45,$DF$2:$DN$9,6,FALSE),(VLOOKUP(BG45,SectInfo!$B:$N,8,FALSE))))</f>
        <v/>
      </c>
      <c r="DC45" s="1046" t="str">
        <f>IF(BG45="","",VLOOKUP(BG45,SectInfo!$B:$N,9,FALSE))</f>
        <v/>
      </c>
      <c r="DD45" s="1047">
        <f t="shared" si="61"/>
        <v>0</v>
      </c>
      <c r="DE45" s="1048" t="str">
        <f>IF(BO45="","",VLOOKUP(BO45,SectInfo!$B:$N,12,FALSE))</f>
        <v/>
      </c>
      <c r="DF45" s="1046" t="str">
        <f>IF(BO45="","",IF(ISBLANK(CA45),VLOOKUP(BO45,SectInfo!$B:$N,13,FALSE),CA45))</f>
        <v/>
      </c>
      <c r="DG45" s="1046" t="str">
        <f>IF(BO45="","",IF(VLOOKUP(BO45,SectInfo!$B:$N,5,FALSE)="","R",UPPER(VLOOKUP(BO45,SectInfo!$B:$N,5,FALSE))))</f>
        <v/>
      </c>
      <c r="DH45" s="1046" t="str">
        <f>IF(BO45="","",IF(ISBLANK(CG45),VLOOKUP(BO45,SectInfo!$B:$N,6,FALSE),CG45))</f>
        <v/>
      </c>
      <c r="DI45" s="1046" t="str">
        <f>IF(BO45="","",IF(VLOOKUP(BO45,SectInfo!$B:$N,10,FALSE)="","",(VLOOKUP(BO45,SectInfo!$B:$N,10,FALSE)*-1)))</f>
        <v/>
      </c>
      <c r="DJ45" s="1443" t="str">
        <f>IF(BO45="","",IF(VLOOKUP(BO45,SectInfo!$B:$N,11,FALSE)="","2",(VLOOKUP(BO45,SectInfo!$B:$N,11,FALSE))))</f>
        <v/>
      </c>
      <c r="DK45" s="1046" t="str">
        <f>IF(BO45="","",IF(VLOOKUP(BO45,SectInfo!$B:$N,7,FALSE)="","",(VLOOKUP(BO45,SectInfo!$B:$N,7,FALSE)*-1)))</f>
        <v/>
      </c>
      <c r="DL45" s="1046" t="str">
        <f>IF(BO45="","",IF(VLOOKUP(BO45,SectInfo!$B:$N,8,FALSE)="",VLOOKUP(AU45,$DF$2:$DN$9,6,FALSE),(VLOOKUP(BO45,SectInfo!$B:$N,8,FALSE))))</f>
        <v/>
      </c>
      <c r="DM45" s="1046" t="str">
        <f>IF(BO45="","",VLOOKUP(BO45,SectInfo!$B:$N,9,FALSE))</f>
        <v/>
      </c>
      <c r="DN45" s="1047">
        <f t="shared" si="62"/>
        <v>0</v>
      </c>
      <c r="DO45" s="1049">
        <f t="shared" si="63"/>
        <v>0</v>
      </c>
      <c r="DP45" s="1053" t="str">
        <f t="shared" si="64"/>
        <v/>
      </c>
      <c r="DQ45" s="1053" t="str">
        <f t="shared" si="65"/>
        <v/>
      </c>
      <c r="DR45" s="1053" t="str">
        <f t="shared" si="66"/>
        <v/>
      </c>
      <c r="DS45" s="1052">
        <f t="shared" si="67"/>
        <v>0</v>
      </c>
      <c r="DT45" s="1052">
        <f t="shared" si="68"/>
        <v>0</v>
      </c>
      <c r="DU45" s="1052" t="str">
        <f t="shared" si="69"/>
        <v/>
      </c>
      <c r="DV45" s="1053" t="str">
        <f t="shared" si="70"/>
        <v/>
      </c>
      <c r="DW45" s="1053" t="str">
        <f t="shared" si="71"/>
        <v/>
      </c>
      <c r="DX45" s="1269">
        <f t="shared" si="72"/>
        <v>0</v>
      </c>
      <c r="DY45" s="1053">
        <f t="shared" si="73"/>
        <v>0</v>
      </c>
      <c r="DZ45" s="1052">
        <f t="shared" si="74"/>
        <v>0</v>
      </c>
      <c r="EA45" s="1052" t="str">
        <f t="shared" si="75"/>
        <v/>
      </c>
      <c r="EB45" s="1053" t="str">
        <f t="shared" si="76"/>
        <v/>
      </c>
      <c r="EC45" s="1053" t="str">
        <f t="shared" si="77"/>
        <v/>
      </c>
      <c r="ED45" s="1269">
        <f t="shared" si="78"/>
        <v>0</v>
      </c>
      <c r="EE45" s="1090" t="str">
        <f t="shared" si="79"/>
        <v/>
      </c>
      <c r="EF45" s="1053" t="str">
        <f t="shared" si="80"/>
        <v/>
      </c>
      <c r="EG45" s="1053" t="str">
        <f t="shared" si="81"/>
        <v/>
      </c>
      <c r="EH45" s="1053" t="e">
        <f t="shared" si="82"/>
        <v>#N/A</v>
      </c>
      <c r="EI45" s="1053" t="e">
        <f t="shared" si="83"/>
        <v>#N/A</v>
      </c>
      <c r="EJ45" s="1053" t="str">
        <f t="shared" si="84"/>
        <v/>
      </c>
      <c r="EK45" s="1053" t="str">
        <f t="shared" si="84"/>
        <v/>
      </c>
      <c r="EL45" s="1090" t="str">
        <f t="shared" si="85"/>
        <v/>
      </c>
      <c r="EM45" s="1053" t="str">
        <f t="shared" si="86"/>
        <v/>
      </c>
      <c r="EN45" s="1053" t="str">
        <f t="shared" si="87"/>
        <v/>
      </c>
      <c r="EO45" s="1053" t="e">
        <f t="shared" si="88"/>
        <v>#N/A</v>
      </c>
      <c r="EP45" s="1053" t="e">
        <f t="shared" si="89"/>
        <v>#N/A</v>
      </c>
      <c r="EQ45" s="1053" t="str">
        <f t="shared" si="90"/>
        <v/>
      </c>
      <c r="ER45" s="1053" t="str">
        <f t="shared" si="90"/>
        <v/>
      </c>
      <c r="ES45" s="1053" t="str">
        <f t="shared" si="91"/>
        <v/>
      </c>
      <c r="ET45" s="1053" t="str">
        <f t="shared" si="92"/>
        <v/>
      </c>
      <c r="EU45" s="1061" t="str">
        <f t="shared" si="93"/>
        <v/>
      </c>
      <c r="EV45" s="1055" t="str">
        <f t="shared" si="94"/>
        <v/>
      </c>
      <c r="EW45" s="1061"/>
      <c r="EX45" s="1061" t="str">
        <f>IF(AND(CU45="G", ISBLANK(BK45), ISBLANK(BL45)),VLOOKUP(MIN(BH45:BI45),TblJoistSize!$M$3:$N$10,2),IF(OR(CU45="B",CU45="G"),MIN(BK45:BL45),""))</f>
        <v/>
      </c>
      <c r="EY45" s="1061" t="str">
        <f>IF(AND(CU45="G", ISBLANK(BK45), ISBLANK(BL45)),VLOOKUP(MAX(BH45:BI45),TblJoistSize!$M$3:$N$10,2),IF(OR(CU45="B",CU45="G"),MAX(BK45:BL45),""))</f>
        <v/>
      </c>
      <c r="EZ45" s="1061" t="str">
        <f t="shared" si="95"/>
        <v/>
      </c>
      <c r="FA45" s="1061" t="str">
        <f>IF(AND(DE45="G", ISBLANK(BS45), ISBLANK(BT45)),VLOOKUP(MIN(BP45:BQ45),TblJoistSize!$M$3:$N$10,2),IF(OR(DE45="B", DE45="G"),MIN(BS45:BT45),""))</f>
        <v/>
      </c>
      <c r="FB45" s="1061" t="str">
        <f>IF(AND(DE45="G", ISBLANK(BS45), ISBLANK(BT45)),VLOOKUP(MAX(BP45:BQ45),TblJoistSize!$M$3:$N$10,2),IF(OR(DE45="B", DE45="G"),MAX(BS45:BT45),""))</f>
        <v/>
      </c>
      <c r="FC45" s="1061" t="str">
        <f t="shared" si="96"/>
        <v/>
      </c>
      <c r="FD45" s="1052">
        <f t="shared" si="123"/>
        <v>0</v>
      </c>
      <c r="FE45" s="1052">
        <f t="shared" si="97"/>
        <v>0</v>
      </c>
      <c r="FF45" s="1052">
        <f t="shared" si="98"/>
        <v>0</v>
      </c>
      <c r="FG45" s="1052" t="str">
        <f t="shared" si="99"/>
        <v/>
      </c>
      <c r="FH45" s="1053" t="str">
        <f t="shared" si="100"/>
        <v/>
      </c>
      <c r="FI45" s="1052">
        <f t="shared" si="124"/>
        <v>0</v>
      </c>
      <c r="FJ45" s="1052">
        <f t="shared" si="101"/>
        <v>0</v>
      </c>
      <c r="FK45" s="1052">
        <f t="shared" si="102"/>
        <v>0</v>
      </c>
      <c r="FL45" s="1052" t="str">
        <f t="shared" si="103"/>
        <v/>
      </c>
      <c r="FM45" s="1053" t="str">
        <f t="shared" si="104"/>
        <v/>
      </c>
      <c r="FN45" s="1053" t="e">
        <f t="shared" si="105"/>
        <v>#VALUE!</v>
      </c>
      <c r="FO45" s="1062" t="e">
        <f t="shared" si="106"/>
        <v>#VALUE!</v>
      </c>
      <c r="FP45" s="1062" t="e">
        <f t="shared" si="107"/>
        <v>#VALUE!</v>
      </c>
      <c r="FQ45" s="1063" t="e">
        <f t="shared" si="108"/>
        <v>#VALUE!</v>
      </c>
      <c r="FR45" s="1064" t="e">
        <f t="shared" si="109"/>
        <v>#VALUE!</v>
      </c>
      <c r="FS45" s="1065" t="str">
        <f t="shared" si="110"/>
        <v/>
      </c>
      <c r="FT45" s="1066" t="str">
        <f t="shared" si="111"/>
        <v/>
      </c>
      <c r="FU45" s="1105">
        <f t="shared" si="112"/>
        <v>0</v>
      </c>
      <c r="FV45" s="1106">
        <f t="shared" si="113"/>
        <v>0</v>
      </c>
      <c r="GA45" s="1975" t="str">
        <f t="shared" si="114"/>
        <v/>
      </c>
      <c r="GB45" s="1976" t="str">
        <f t="shared" si="115"/>
        <v/>
      </c>
      <c r="GC45" s="1977" t="str">
        <f t="shared" si="116"/>
        <v/>
      </c>
      <c r="GD45" s="1978" t="str">
        <f t="shared" si="117"/>
        <v/>
      </c>
      <c r="GE45" s="1979" t="str">
        <f t="shared" si="118"/>
        <v/>
      </c>
      <c r="GF45" s="1980" t="str">
        <f t="shared" si="119"/>
        <v/>
      </c>
      <c r="GG45" s="1455"/>
      <c r="GH45" s="1456"/>
      <c r="GI45" s="1455"/>
      <c r="GJ45" s="1456"/>
      <c r="GK45" s="533">
        <f t="shared" si="120"/>
        <v>0</v>
      </c>
      <c r="GL45" s="534" t="e">
        <f t="shared" si="121"/>
        <v>#VALUE!</v>
      </c>
      <c r="GM45" s="535" t="e">
        <f>IF(ABS(GK45-GL45)&gt;='Job Info.'!$L$22,ABS(GK45-GL45),0)</f>
        <v>#VALUE!</v>
      </c>
      <c r="HA45" s="1664"/>
      <c r="HB45" s="1665"/>
      <c r="HC45" s="1665"/>
      <c r="HD45" s="1666"/>
      <c r="HE45" s="1667"/>
      <c r="HF45" s="1665"/>
      <c r="HG45" s="1665"/>
      <c r="HH45" s="1665"/>
      <c r="HI45" s="1668"/>
      <c r="HJ45" s="1665"/>
      <c r="HK45" s="1665"/>
      <c r="HL45" s="1665"/>
      <c r="HM45" s="1665"/>
      <c r="HN45" s="1665"/>
      <c r="HO45" s="1665"/>
      <c r="HP45" s="1665"/>
      <c r="HQ45" s="1668"/>
      <c r="HR45" s="1665"/>
      <c r="HS45" s="1665"/>
      <c r="HT45" s="1665"/>
      <c r="HU45" s="1665"/>
      <c r="HV45" s="1665"/>
      <c r="HW45" s="1667"/>
      <c r="HX45" s="1667"/>
      <c r="HY45" s="1667"/>
      <c r="HZ45" s="1667"/>
      <c r="IA45" s="1667"/>
      <c r="IB45" s="1667"/>
      <c r="IC45" s="1667"/>
      <c r="ID45" s="1667"/>
      <c r="IE45" s="1667"/>
      <c r="IF45" s="1669"/>
    </row>
    <row r="46" spans="1:240" ht="15" customHeight="1" thickTop="1" thickBot="1" x14ac:dyDescent="0.25">
      <c r="AA46" s="1470"/>
      <c r="AD46" s="539">
        <f>SUM(AD16:AD45)</f>
        <v>0</v>
      </c>
      <c r="AE46" s="540">
        <f>SUM(AE16:AE45)</f>
        <v>0</v>
      </c>
      <c r="AF46" s="540">
        <f>SUM(AF16:AF45)</f>
        <v>0</v>
      </c>
      <c r="AG46" s="540">
        <f>SUM(AG16:AG45)</f>
        <v>0</v>
      </c>
      <c r="AH46" s="541">
        <f>SUM(AH16:AH45)</f>
        <v>0</v>
      </c>
      <c r="BG46" s="449"/>
      <c r="CF46" s="1153"/>
      <c r="CG46" s="1153"/>
      <c r="CN46" s="296"/>
      <c r="CO46" s="296"/>
      <c r="GA46" s="542"/>
      <c r="GB46" s="542"/>
      <c r="GC46" s="542"/>
      <c r="GD46" s="542"/>
      <c r="GE46" s="542"/>
      <c r="GF46" s="542"/>
    </row>
    <row r="47" spans="1:240" ht="15" customHeight="1" thickBot="1" x14ac:dyDescent="0.25">
      <c r="A47" s="1145" t="s">
        <v>761</v>
      </c>
      <c r="AD47" s="1144">
        <f>SUM(AD46:AH46)</f>
        <v>0</v>
      </c>
      <c r="AK47" s="543"/>
      <c r="AL47" s="544"/>
      <c r="AM47" s="544"/>
      <c r="AN47" s="544"/>
    </row>
    <row r="48" spans="1:240" s="690" customFormat="1" ht="15" hidden="1" customHeight="1" x14ac:dyDescent="0.2">
      <c r="AA48" s="978"/>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68"/>
    </row>
    <row r="57" spans="1:192" ht="15" hidden="1" customHeight="1" x14ac:dyDescent="0.25">
      <c r="A57" s="1264" t="str">
        <f>IF(BB57="","",UPPER(BB57))</f>
        <v/>
      </c>
      <c r="B57" s="1265" t="str">
        <f>IF(BC57="","",BC57)</f>
        <v/>
      </c>
      <c r="C57" s="1265" t="str">
        <f>IF(BD57="","",UPPER(BD57))</f>
        <v/>
      </c>
      <c r="D57" s="1261" t="str">
        <f>IF(DP57="","",TRUNC(DP57/12))</f>
        <v/>
      </c>
      <c r="E57" s="1366" t="str">
        <f>IF(DP57="","",DP57-(D57*12))</f>
        <v/>
      </c>
      <c r="F57" s="1328" t="str">
        <f>IF(DX57=0,"",TRUNC(DX57/12))</f>
        <v/>
      </c>
      <c r="G57" s="1262" t="str">
        <f>IF(DX57=0,"",DX57-(F57*12))</f>
        <v/>
      </c>
      <c r="H57" s="1266" t="str">
        <f>IF(DX57=0,"",CW57)</f>
        <v/>
      </c>
      <c r="I57" s="1261" t="str">
        <f>IF(ED57=0,"",TRUNC(ED57/12))</f>
        <v/>
      </c>
      <c r="J57" s="1262" t="str">
        <f>IF(ED57=0,"",ED57-(I57*12))</f>
        <v/>
      </c>
      <c r="K57" s="1370" t="str">
        <f>IF(ED57=0,"",DG57)</f>
        <v/>
      </c>
      <c r="L57" s="1327">
        <f>DQ57</f>
        <v>0</v>
      </c>
      <c r="M57" s="1329">
        <f>DR57</f>
        <v>0</v>
      </c>
      <c r="N57" s="1263" t="str">
        <f>IF(ES57="","",IF(AND(ES57&lt;0,ES57&gt;-12),TRUNC(ES57/12)-0.0000001,TRUNC(ES57/12)))</f>
        <v/>
      </c>
      <c r="O57" s="1262" t="str">
        <f>IF(ES57="","",IF(AND(ES57-(N57*12)=0,ES57&lt;0),-0.000001,ES57-(N57*12)))</f>
        <v/>
      </c>
      <c r="P57" s="1260" t="str">
        <f>IF(ES57="","",CZ57)</f>
        <v/>
      </c>
      <c r="Q57" s="1261" t="str">
        <f>IF(ET57="","",IF(AND(ET57&lt;0,ET57&gt;-12),TRUNC(ET57/12)-0.0000001,TRUNC(ET57/12)))</f>
        <v/>
      </c>
      <c r="R57" s="1262" t="str">
        <f>IF(ET57="","",IF(AND(ET57-(Q57*12)=0,ET57&lt;0),-0.000001,ET57-(Q57*12)))</f>
        <v/>
      </c>
      <c r="S57" s="1375" t="str">
        <f>IF(ET57="","",DJ57)</f>
        <v/>
      </c>
      <c r="T57" s="1328" t="str">
        <f>IF(CH57="ERR","",IF(EK57="","",IF(EK57="ERR",TRUNC(EJ57/12),TRUNC(EK57/12))))</f>
        <v/>
      </c>
      <c r="U57" s="1262" t="str">
        <f>IF(CH57="ERR","",IF(EK57="","",IF(EK57="ERR",EJ57-(T57*12),EK57-(T57*12))))</f>
        <v/>
      </c>
      <c r="V57" s="1261" t="str">
        <f>IF(CI57="ERR","",IF(ER57="","",IF(ER57="ERR",TRUNC(EQ57/12),TRUNC(ER57/12))))</f>
        <v/>
      </c>
      <c r="W57" s="1262" t="str">
        <f>IF(CI57="ERR","",IF(ER57="","",IF(ER57="ERR",EQ57-(V57*12),ER57-(V57*12))))</f>
        <v/>
      </c>
      <c r="X57" s="1329">
        <f>IF(EV57="",0,EV57)</f>
        <v>0</v>
      </c>
      <c r="Y57" s="1377">
        <f>FG57</f>
        <v>0</v>
      </c>
      <c r="Z57" s="1378">
        <f>FL57</f>
        <v>0</v>
      </c>
      <c r="AA57" s="1376" t="str">
        <f>CONCATENATE(IF(BY57="","",CONCATENATE("[",SUBSTITUTE(BY57," ",""),"]")),IF(BX57="","",CONCATENATE("(",SUBSTITUTE(BX57," ",""),") ")))</f>
        <v/>
      </c>
      <c r="AH57" s="316" t="s">
        <v>1178</v>
      </c>
      <c r="AI57" s="528" t="b">
        <v>0</v>
      </c>
      <c r="AJ57" s="284">
        <f>IF(OR(ISERROR(VALUE(LEFT(C57,SEARCH(AK57,C57)-1))),AK57=""),0,VALUE(LEFT(C57,SEARCH(AK57,C57)-1)))</f>
        <v>0</v>
      </c>
      <c r="AK57" s="1063" t="str">
        <f>IF(AV57="",AW57,AV57)</f>
        <v/>
      </c>
      <c r="AL57" s="1063" t="str">
        <f>IF(AK57="","",IF(ISERROR(SEARCH("/",C57)),IF(VALUE(MID(C57,SEARCH(AK57,C57)+LEN(AK57),LEN(C57)))&gt;25,"",VALUE(MID(C57,SEARCH(AK57,C57)+LEN(AK57),LEN(C57)))),""))</f>
        <v/>
      </c>
      <c r="AM57" s="1063" t="str">
        <f>IF(AK57="","",IF(ISERROR(SEARCH("/",C57)),IF(VALUE(MID(C57,SEARCH(AK57,C57)+LEN(AK57),LEN(C57)))&lt;26,"",VALUE(MID(C57,SEARCH(AK57,C57)+LEN(AK57),LEN(C57)))),VALUE(MID(C57,SEARCH(AK57,C57)+LEN(AK57),SEARCH("/",C57)-SEARCH(AK57,C57)-LEN(AK57)))))</f>
        <v/>
      </c>
      <c r="AN57" s="1063" t="str">
        <f>IF(AK57="","",IF(AK57="CJ",MID(MID(C57,SEARCH("/",C57)+1,LEN(C57)),1,SEARCH("/",MID(C57,SEARCH("/",C57)+1,LEN(C57)))-1),IF(ISERROR(SEARCH("/",C57)),"",VALUE(MID(C57,SEARCH("/",C57)+1,LEN(C57))))))</f>
        <v/>
      </c>
      <c r="AO57" s="1063" t="str">
        <f>IF(AK57="CJ",VALUE(MID(MID(C57,SEARCH("/",C57)+1,LEN(C57)),SEARCH("/",MID(C57,SEARCH("/",C57)+1,LEN(C57)))+1,LEN(MID(C57,SEARCH("/",C57)+1,LEN(C57))))),"")</f>
        <v/>
      </c>
      <c r="AP57" s="1063" t="b">
        <f>IF(ISERROR(AJ57),FALSE,IF(OR(AJ57=0,ISERROR(AL57),ISERROR(AM57),ISERROR(AN57),ISERROR(AO57)),FALSE,IF(AL57&lt;&gt;"",IF(ISERROR(VLOOKUP(SUBSTITUTE(SUBSTITUTE(C57,"R",""),"A",""),TblJoistSize!$A:$A,1,FALSE)),FALSE,TRUE),TRUE)))</f>
        <v>0</v>
      </c>
      <c r="AQ57" s="1305" t="e">
        <f>VLOOKUP(AK57,$DF$2:$DN$9,4,FALSE)+IF(LEFT(H57,1)="R",IF(ISNUMBER(F57),F57*12,0)+IF(ISNUMBER(G57),G57,0),0)</f>
        <v>#N/A</v>
      </c>
      <c r="AR57" s="1305" t="b">
        <f>IF(IF(ISNUMBER(T57),T57*12,0)+IF(ISNUMBER(U57),U57,0)&gt;0,IF(AND((IF(ISNUMBER(T57),T57*12,0)+IF(ISNUMBER(U57),U57,0))&gt;=1,(IF(ISNUMBER(T57),T57*12,0)+IF(ISNUMBER(U57),U57,0))&lt;=(AQ57-1)+IF(H57="X",2,0)),TRUE,FALSE),FALSE)</f>
        <v>0</v>
      </c>
      <c r="AS57" s="1305" t="e">
        <f>VLOOKUP(AK57,$DF$2:$DN$9,4,FALSE)+IF(LEFT(K57,1)="R",(IF(ISNUMBER(I57),I57*12,0)+IF(ISNUMBER(J57),J57,0)),0)</f>
        <v>#N/A</v>
      </c>
      <c r="AT57" s="1305" t="b">
        <f>IF(IF(ISNUMBER(V57),V57*12,0)+IF(ISNUMBER(W57),W57,0)&gt;0,IF(AND((IF(ISNUMBER(V57),V57*12,0)+IF(ISNUMBER(W57),W57,0))&gt;=1,(IF(ISNUMBER(V57),V57*12,0)+IF(ISNUMBER(W57),W57,0))&lt;=(AS57-1)+IF(K57="X",2,0)),TRUE,FALSE),FALSE)</f>
        <v>0</v>
      </c>
      <c r="AU57" s="1063" t="str">
        <f>IF(ISERROR(AJ57),IF(AK57&lt;&gt;"HDR","",AK57),IF(AND(AJ57=2.5,AK57="K"),"JS",IF(OR(AK57="KCSR",AK57="KCSA",AK57="KCS"),"KCS",IF(OR(AK57="KR",AK57="KA",AK57="K"),"K",IF(AND(AK57="LH",AL57&lt;7),"LH&lt;7",AK57)))))</f>
        <v/>
      </c>
      <c r="AV57" s="1063" t="str">
        <f>IF(NOT(ISERROR(SEARCH("KCSR",C57))),"KCSR",IF(NOT(ISERROR(SEARCH("KCSA",C57))),"KCSA",IF(NOT(ISERROR(SEARCH("KCS",C57))),"KCS",IF(NOT(ISERROR(SEARCH("KR",C57))),"KR",IF(NOT(ISERROR(SEARCH("KA",C57))),"KA",IF(NOT(ISERROR(SEARCH("K",C57))),"K",IF(NOT(ISERROR(SEARCH("CJ",C57))),"CJ","")))))))</f>
        <v/>
      </c>
      <c r="AW57" s="1063" t="str">
        <f>IF(NOT(ISERROR(SEARCH("HDR",C57))),"HDR",IF(NOT(ISERROR(SEARCH("JS",C57))),"JS",IF(NOT(ISERROR(SEARCH("SLH",C57))),"SLH",IF(NOT(ISERROR(SEARCH("DLH",C57))),"DLH",IF(NOT(ISERROR(SEARCH("LH",C57))),"LH","")))))</f>
        <v/>
      </c>
      <c r="AX57" s="1063" t="str">
        <f>IF(AND(OR(ISBLANK(A57),A57=""),AA57&lt;&gt;""),AX56,IF(OR(ISBLANK(A57),A57=""),"",A57))</f>
        <v/>
      </c>
      <c r="AY57" s="1306" t="b">
        <f>IF($AE$1,IF(AX57=AX56,AY56,IF(AND(AX57&lt;&gt;"",OR(B57=0,B57="")),TRUE,FALSE)),FALSE)</f>
        <v>0</v>
      </c>
      <c r="AZ57" s="1053" t="str">
        <f>IF(AP57,((IF(D57="",0,D57)*12+IF(E57="",0,E57))-(IF(F57="",0,F57)*12+IF(G57="",0,G57))-(IF(I57="",0,I57)*12+IF(J57="",0,J57)))&gt;AJ57*24,"")</f>
        <v/>
      </c>
      <c r="CP57" s="2747"/>
      <c r="CQ57" s="2748"/>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53"/>
      <c r="GH57" s="1454"/>
      <c r="GI57" s="1453"/>
      <c r="GJ57" s="1454"/>
    </row>
    <row r="58" spans="1:192" ht="15" hidden="1" customHeight="1" x14ac:dyDescent="0.2">
      <c r="AA58" s="1469"/>
    </row>
    <row r="59" spans="1:192" ht="15" hidden="1" customHeight="1" x14ac:dyDescent="0.2"/>
    <row r="60" spans="1:192" ht="15" hidden="1" customHeight="1" x14ac:dyDescent="0.2">
      <c r="A60" s="1128" t="s">
        <v>1223</v>
      </c>
    </row>
    <row r="61" spans="1:192" ht="15" hidden="1" customHeight="1" x14ac:dyDescent="0.2">
      <c r="A61" s="1130"/>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45" t="s">
        <v>762</v>
      </c>
      <c r="EL71" s="2707" t="s">
        <v>561</v>
      </c>
      <c r="EM71" s="2708"/>
      <c r="EN71" s="2708"/>
      <c r="EO71" s="2709"/>
    </row>
    <row r="72" spans="1:145" ht="15" customHeight="1" thickBot="1" x14ac:dyDescent="0.25">
      <c r="EL72" s="2856" t="s">
        <v>572</v>
      </c>
      <c r="EM72" s="2859" t="s">
        <v>573</v>
      </c>
      <c r="EN72" s="2859" t="s">
        <v>574</v>
      </c>
      <c r="EO72" s="2862" t="s">
        <v>575</v>
      </c>
    </row>
    <row r="73" spans="1:145" ht="15" customHeight="1" thickBot="1" x14ac:dyDescent="0.25">
      <c r="BG73" s="1294"/>
      <c r="EJ73" s="2863" t="s">
        <v>581</v>
      </c>
      <c r="EL73" s="2857"/>
      <c r="EM73" s="2860"/>
      <c r="EN73" s="2860"/>
      <c r="EO73" s="2766"/>
    </row>
    <row r="74" spans="1:145" ht="15" customHeight="1" thickBot="1" x14ac:dyDescent="0.25">
      <c r="BG74" s="1294"/>
      <c r="EJ74" s="2864"/>
      <c r="EL74" s="2858"/>
      <c r="EM74" s="2861"/>
      <c r="EN74" s="2861"/>
      <c r="EO74" s="2767"/>
    </row>
    <row r="75" spans="1:145" ht="15" customHeight="1" thickTop="1" x14ac:dyDescent="0.2">
      <c r="EJ75" s="609" t="str">
        <f t="shared" ref="EJ75:EJ95" si="125">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6">IF(BD16="","",IF(EL75="-","-",IF(EO75="No",0,IF(AZ16/12&lt;60,1,IF(AZ16/12&lt;100,2,EL75)))))</f>
        <v/>
      </c>
      <c r="EN75" s="531" t="str">
        <f>IF(BD16="","",IF(ISERROR(VLOOKUP(BD16,TblJoistSize!$A$1:$G$274,2,FALSE)),"-",VLOOKUP(BD16,TblJoistSize!$A$1:$G$274,2,FALSE)))</f>
        <v/>
      </c>
      <c r="EO75" s="532" t="str">
        <f t="shared" ref="EO75:EO104" si="127">IF(BD16="","",IF(EN75="-","-",IF(EN75="NM","No",IF(EN75&lt;=AZ16/12,"Yes","No"))))</f>
        <v/>
      </c>
    </row>
    <row r="76" spans="1:145" ht="15" customHeight="1" x14ac:dyDescent="0.2">
      <c r="EJ76" s="609" t="str">
        <f t="shared" si="125"/>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6"/>
        <v/>
      </c>
      <c r="EN76" s="531" t="str">
        <f>IF(BD17="","",IF(ISERROR(VLOOKUP(BD17,TblJoistSize!$A$1:$G$274,2,FALSE)),"-",VLOOKUP(BD17,TblJoistSize!$A$1:$G$274,2,FALSE)))</f>
        <v/>
      </c>
      <c r="EO76" s="532" t="str">
        <f t="shared" si="127"/>
        <v/>
      </c>
    </row>
    <row r="77" spans="1:145" ht="15" customHeight="1" x14ac:dyDescent="0.2">
      <c r="EJ77" s="609" t="str">
        <f t="shared" si="125"/>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6"/>
        <v/>
      </c>
      <c r="EN77" s="531" t="str">
        <f>IF(BD18="","",IF(ISERROR(VLOOKUP(BD18,TblJoistSize!$A$1:$G$274,2,FALSE)),"-",VLOOKUP(BD18,TblJoistSize!$A$1:$G$274,2,FALSE)))</f>
        <v/>
      </c>
      <c r="EO77" s="532" t="str">
        <f t="shared" si="127"/>
        <v/>
      </c>
    </row>
    <row r="78" spans="1:145" ht="15" customHeight="1" x14ac:dyDescent="0.2">
      <c r="EJ78" s="609" t="str">
        <f t="shared" si="125"/>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6"/>
        <v/>
      </c>
      <c r="EN78" s="531" t="str">
        <f>IF(BD19="","",IF(ISERROR(VLOOKUP(BD19,TblJoistSize!$A$1:$G$274,2,FALSE)),"-",VLOOKUP(BD19,TblJoistSize!$A$1:$G$274,2,FALSE)))</f>
        <v/>
      </c>
      <c r="EO78" s="532" t="str">
        <f t="shared" si="127"/>
        <v/>
      </c>
    </row>
    <row r="79" spans="1:145" ht="15" customHeight="1" x14ac:dyDescent="0.2">
      <c r="EJ79" s="609" t="str">
        <f t="shared" si="125"/>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6"/>
        <v/>
      </c>
      <c r="EN79" s="531" t="str">
        <f>IF(BD20="","",IF(ISERROR(VLOOKUP(BD20,TblJoistSize!$A$1:$G$274,2,FALSE)),"-",VLOOKUP(BD20,TblJoistSize!$A$1:$G$274,2,FALSE)))</f>
        <v/>
      </c>
      <c r="EO79" s="532" t="str">
        <f t="shared" si="127"/>
        <v/>
      </c>
    </row>
    <row r="80" spans="1:145" ht="15" customHeight="1" x14ac:dyDescent="0.2">
      <c r="EJ80" s="609" t="str">
        <f t="shared" si="125"/>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6"/>
        <v/>
      </c>
      <c r="EN80" s="531" t="str">
        <f>IF(BD21="","",IF(ISERROR(VLOOKUP(BD21,TblJoistSize!$A$1:$G$274,2,FALSE)),"-",VLOOKUP(BD21,TblJoistSize!$A$1:$G$274,2,FALSE)))</f>
        <v/>
      </c>
      <c r="EO80" s="532" t="str">
        <f t="shared" si="127"/>
        <v/>
      </c>
    </row>
    <row r="81" spans="140:145" ht="15" customHeight="1" x14ac:dyDescent="0.2">
      <c r="EJ81" s="609" t="str">
        <f t="shared" si="125"/>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6"/>
        <v/>
      </c>
      <c r="EN81" s="531" t="str">
        <f>IF(BD22="","",IF(ISERROR(VLOOKUP(BD22,TblJoistSize!$A$1:$G$274,2,FALSE)),"-",VLOOKUP(BD22,TblJoistSize!$A$1:$G$274,2,FALSE)))</f>
        <v/>
      </c>
      <c r="EO81" s="532" t="str">
        <f t="shared" si="127"/>
        <v/>
      </c>
    </row>
    <row r="82" spans="140:145" ht="15" customHeight="1" x14ac:dyDescent="0.2">
      <c r="EJ82" s="609" t="str">
        <f t="shared" si="125"/>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6"/>
        <v/>
      </c>
      <c r="EN82" s="531" t="str">
        <f>IF(BD23="","",IF(ISERROR(VLOOKUP(BD23,TblJoistSize!$A$1:$G$274,2,FALSE)),"-",VLOOKUP(BD23,TblJoistSize!$A$1:$G$274,2,FALSE)))</f>
        <v/>
      </c>
      <c r="EO82" s="532" t="str">
        <f t="shared" si="127"/>
        <v/>
      </c>
    </row>
    <row r="83" spans="140:145" ht="15" customHeight="1" x14ac:dyDescent="0.2">
      <c r="EJ83" s="609" t="str">
        <f t="shared" si="125"/>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6"/>
        <v/>
      </c>
      <c r="EN83" s="531" t="str">
        <f>IF(BD24="","",IF(ISERROR(VLOOKUP(BD24,TblJoistSize!$A$1:$G$274,2,FALSE)),"-",VLOOKUP(BD24,TblJoistSize!$A$1:$G$274,2,FALSE)))</f>
        <v/>
      </c>
      <c r="EO83" s="532" t="str">
        <f t="shared" si="127"/>
        <v/>
      </c>
    </row>
    <row r="84" spans="140:145" ht="15" customHeight="1" x14ac:dyDescent="0.2">
      <c r="EJ84" s="609" t="str">
        <f t="shared" si="125"/>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6"/>
        <v/>
      </c>
      <c r="EN84" s="531" t="str">
        <f>IF(BD25="","",IF(ISERROR(VLOOKUP(BD25,TblJoistSize!$A$1:$G$274,2,FALSE)),"-",VLOOKUP(BD25,TblJoistSize!$A$1:$G$274,2,FALSE)))</f>
        <v/>
      </c>
      <c r="EO84" s="532" t="str">
        <f t="shared" si="127"/>
        <v/>
      </c>
    </row>
    <row r="85" spans="140:145" ht="15" customHeight="1" x14ac:dyDescent="0.2">
      <c r="EJ85" s="609" t="str">
        <f t="shared" si="125"/>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6"/>
        <v/>
      </c>
      <c r="EN85" s="531" t="str">
        <f>IF(BD26="","",IF(ISERROR(VLOOKUP(BD26,TblJoistSize!$A$1:$G$274,2,FALSE)),"-",VLOOKUP(BD26,TblJoistSize!$A$1:$G$274,2,FALSE)))</f>
        <v/>
      </c>
      <c r="EO85" s="532" t="str">
        <f t="shared" si="127"/>
        <v/>
      </c>
    </row>
    <row r="86" spans="140:145" ht="15" customHeight="1" x14ac:dyDescent="0.2">
      <c r="EJ86" s="609" t="str">
        <f t="shared" si="125"/>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6"/>
        <v/>
      </c>
      <c r="EN86" s="531" t="str">
        <f>IF(BD27="","",IF(ISERROR(VLOOKUP(BD27,TblJoistSize!$A$1:$G$274,2,FALSE)),"-",VLOOKUP(BD27,TblJoistSize!$A$1:$G$274,2,FALSE)))</f>
        <v/>
      </c>
      <c r="EO86" s="532" t="str">
        <f t="shared" si="127"/>
        <v/>
      </c>
    </row>
    <row r="87" spans="140:145" ht="15" customHeight="1" x14ac:dyDescent="0.2">
      <c r="EJ87" s="609" t="str">
        <f t="shared" si="125"/>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6"/>
        <v/>
      </c>
      <c r="EN87" s="531" t="str">
        <f>IF(BD28="","",IF(ISERROR(VLOOKUP(BD28,TblJoistSize!$A$1:$G$274,2,FALSE)),"-",VLOOKUP(BD28,TblJoistSize!$A$1:$G$274,2,FALSE)))</f>
        <v/>
      </c>
      <c r="EO87" s="532" t="str">
        <f t="shared" si="127"/>
        <v/>
      </c>
    </row>
    <row r="88" spans="140:145" ht="15" customHeight="1" x14ac:dyDescent="0.2">
      <c r="EJ88" s="609" t="str">
        <f t="shared" si="125"/>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6"/>
        <v/>
      </c>
      <c r="EN88" s="531" t="str">
        <f>IF(BD29="","",IF(ISERROR(VLOOKUP(BD29,TblJoistSize!$A$1:$G$274,2,FALSE)),"-",VLOOKUP(BD29,TblJoistSize!$A$1:$G$274,2,FALSE)))</f>
        <v/>
      </c>
      <c r="EO88" s="532" t="str">
        <f t="shared" si="127"/>
        <v/>
      </c>
    </row>
    <row r="89" spans="140:145" ht="15" customHeight="1" x14ac:dyDescent="0.2">
      <c r="EJ89" s="609" t="str">
        <f t="shared" si="125"/>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6"/>
        <v/>
      </c>
      <c r="EN89" s="531" t="str">
        <f>IF(BD30="","",IF(ISERROR(VLOOKUP(BD30,TblJoistSize!$A$1:$G$274,2,FALSE)),"-",VLOOKUP(BD30,TblJoistSize!$A$1:$G$274,2,FALSE)))</f>
        <v/>
      </c>
      <c r="EO89" s="532" t="str">
        <f t="shared" si="127"/>
        <v/>
      </c>
    </row>
    <row r="90" spans="140:145" ht="15" customHeight="1" x14ac:dyDescent="0.2">
      <c r="EJ90" s="609" t="str">
        <f t="shared" si="125"/>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6"/>
        <v/>
      </c>
      <c r="EN90" s="531" t="str">
        <f>IF(BD31="","",IF(ISERROR(VLOOKUP(BD31,TblJoistSize!$A$1:$G$274,2,FALSE)),"-",VLOOKUP(BD31,TblJoistSize!$A$1:$G$274,2,FALSE)))</f>
        <v/>
      </c>
      <c r="EO90" s="532" t="str">
        <f t="shared" si="127"/>
        <v/>
      </c>
    </row>
    <row r="91" spans="140:145" ht="15" customHeight="1" x14ac:dyDescent="0.2">
      <c r="EJ91" s="609" t="str">
        <f t="shared" si="125"/>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6"/>
        <v/>
      </c>
      <c r="EN91" s="531" t="str">
        <f>IF(BD32="","",IF(ISERROR(VLOOKUP(BD32,TblJoistSize!$A$1:$G$274,2,FALSE)),"-",VLOOKUP(BD32,TblJoistSize!$A$1:$G$274,2,FALSE)))</f>
        <v/>
      </c>
      <c r="EO91" s="532" t="str">
        <f t="shared" si="127"/>
        <v/>
      </c>
    </row>
    <row r="92" spans="140:145" ht="15" customHeight="1" x14ac:dyDescent="0.2">
      <c r="EJ92" s="609" t="str">
        <f t="shared" si="125"/>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6"/>
        <v/>
      </c>
      <c r="EN92" s="531" t="str">
        <f>IF(BD33="","",IF(ISERROR(VLOOKUP(BD33,TblJoistSize!$A$1:$G$274,2,FALSE)),"-",VLOOKUP(BD33,TblJoistSize!$A$1:$G$274,2,FALSE)))</f>
        <v/>
      </c>
      <c r="EO92" s="532" t="str">
        <f t="shared" si="127"/>
        <v/>
      </c>
    </row>
    <row r="93" spans="140:145" ht="15" customHeight="1" x14ac:dyDescent="0.2">
      <c r="EJ93" s="609" t="str">
        <f t="shared" si="125"/>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6"/>
        <v/>
      </c>
      <c r="EN93" s="531" t="str">
        <f>IF(BD34="","",IF(ISERROR(VLOOKUP(BD34,TblJoistSize!$A$1:$G$274,2,FALSE)),"-",VLOOKUP(BD34,TblJoistSize!$A$1:$G$274,2,FALSE)))</f>
        <v/>
      </c>
      <c r="EO93" s="532" t="str">
        <f t="shared" si="127"/>
        <v/>
      </c>
    </row>
    <row r="94" spans="140:145" ht="15" customHeight="1" x14ac:dyDescent="0.2">
      <c r="EJ94" s="609" t="str">
        <f t="shared" si="125"/>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6"/>
        <v/>
      </c>
      <c r="EN94" s="531" t="str">
        <f>IF(BD35="","",IF(ISERROR(VLOOKUP(BD35,TblJoistSize!$A$1:$G$274,2,FALSE)),"-",VLOOKUP(BD35,TblJoistSize!$A$1:$G$274,2,FALSE)))</f>
        <v/>
      </c>
      <c r="EO94" s="532" t="str">
        <f t="shared" si="127"/>
        <v/>
      </c>
    </row>
    <row r="95" spans="140:145" ht="15" customHeight="1" x14ac:dyDescent="0.2">
      <c r="EJ95" s="609" t="str">
        <f t="shared" si="125"/>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6"/>
        <v/>
      </c>
      <c r="EN95" s="531" t="str">
        <f>IF(BD36="","",IF(ISERROR(VLOOKUP(BD36,TblJoistSize!$A$1:$G$274,2,FALSE)),"-",VLOOKUP(BD36,TblJoistSize!$A$1:$G$274,2,FALSE)))</f>
        <v/>
      </c>
      <c r="EO95" s="532" t="str">
        <f t="shared" si="127"/>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6"/>
        <v/>
      </c>
      <c r="EN96" s="531" t="str">
        <f>IF(BD37="","",IF(ISERROR(VLOOKUP(BD37,TblJoistSize!$A$1:$G$274,2,FALSE)),"-",VLOOKUP(BD37,TblJoistSize!$A$1:$G$274,2,FALSE)))</f>
        <v/>
      </c>
      <c r="EO96" s="532" t="str">
        <f t="shared" si="127"/>
        <v/>
      </c>
    </row>
    <row r="97" spans="140:145" ht="15" customHeight="1" x14ac:dyDescent="0.2">
      <c r="EJ97" s="609" t="str">
        <f t="shared" ref="EJ97:EJ104" si="128">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6"/>
        <v/>
      </c>
      <c r="EN97" s="531" t="str">
        <f>IF(BD38="","",IF(ISERROR(VLOOKUP(BD38,TblJoistSize!$A$1:$G$274,2,FALSE)),"-",VLOOKUP(BD38,TblJoistSize!$A$1:$G$274,2,FALSE)))</f>
        <v/>
      </c>
      <c r="EO97" s="532" t="str">
        <f t="shared" si="127"/>
        <v/>
      </c>
    </row>
    <row r="98" spans="140:145" ht="15" customHeight="1" x14ac:dyDescent="0.2">
      <c r="EJ98" s="609" t="str">
        <f t="shared" si="128"/>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6"/>
        <v/>
      </c>
      <c r="EN98" s="531" t="str">
        <f>IF(BD39="","",IF(ISERROR(VLOOKUP(BD39,TblJoistSize!$A$1:$G$274,2,FALSE)),"-",VLOOKUP(BD39,TblJoistSize!$A$1:$G$274,2,FALSE)))</f>
        <v/>
      </c>
      <c r="EO98" s="532" t="str">
        <f t="shared" si="127"/>
        <v/>
      </c>
    </row>
    <row r="99" spans="140:145" ht="15" customHeight="1" x14ac:dyDescent="0.2">
      <c r="EJ99" s="609" t="str">
        <f t="shared" si="128"/>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6"/>
        <v/>
      </c>
      <c r="EN99" s="531" t="str">
        <f>IF(BD40="","",IF(ISERROR(VLOOKUP(BD40,TblJoistSize!$A$1:$G$274,2,FALSE)),"-",VLOOKUP(BD40,TblJoistSize!$A$1:$G$274,2,FALSE)))</f>
        <v/>
      </c>
      <c r="EO99" s="532" t="str">
        <f t="shared" si="127"/>
        <v/>
      </c>
    </row>
    <row r="100" spans="140:145" ht="15" customHeight="1" x14ac:dyDescent="0.2">
      <c r="EJ100" s="609" t="str">
        <f t="shared" si="128"/>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6"/>
        <v/>
      </c>
      <c r="EN100" s="531" t="str">
        <f>IF(BD41="","",IF(ISERROR(VLOOKUP(BD41,TblJoistSize!$A$1:$G$274,2,FALSE)),"-",VLOOKUP(BD41,TblJoistSize!$A$1:$G$274,2,FALSE)))</f>
        <v/>
      </c>
      <c r="EO100" s="532" t="str">
        <f t="shared" si="127"/>
        <v/>
      </c>
    </row>
    <row r="101" spans="140:145" x14ac:dyDescent="0.2">
      <c r="EJ101" s="609" t="str">
        <f t="shared" si="128"/>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6"/>
        <v/>
      </c>
      <c r="EN101" s="531" t="str">
        <f>IF(BD42="","",IF(ISERROR(VLOOKUP(BD42,TblJoistSize!$A$1:$G$274,2,FALSE)),"-",VLOOKUP(BD42,TblJoistSize!$A$1:$G$274,2,FALSE)))</f>
        <v/>
      </c>
      <c r="EO101" s="532" t="str">
        <f t="shared" si="127"/>
        <v/>
      </c>
    </row>
    <row r="102" spans="140:145" x14ac:dyDescent="0.2">
      <c r="EJ102" s="609" t="str">
        <f t="shared" si="128"/>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6"/>
        <v/>
      </c>
      <c r="EN102" s="531" t="str">
        <f>IF(BD43="","",IF(ISERROR(VLOOKUP(BD43,TblJoistSize!$A$1:$G$274,2,FALSE)),"-",VLOOKUP(BD43,TblJoistSize!$A$1:$G$274,2,FALSE)))</f>
        <v/>
      </c>
      <c r="EO102" s="532" t="str">
        <f t="shared" si="127"/>
        <v/>
      </c>
    </row>
    <row r="103" spans="140:145" x14ac:dyDescent="0.2">
      <c r="EJ103" s="609" t="str">
        <f t="shared" si="128"/>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6"/>
        <v/>
      </c>
      <c r="EN103" s="531" t="str">
        <f>IF(BD44="","",IF(ISERROR(VLOOKUP(BD44,TblJoistSize!$A$1:$G$274,2,FALSE)),"-",VLOOKUP(BD44,TblJoistSize!$A$1:$G$274,2,FALSE)))</f>
        <v/>
      </c>
      <c r="EO103" s="532" t="str">
        <f t="shared" si="127"/>
        <v/>
      </c>
    </row>
    <row r="104" spans="140:145" x14ac:dyDescent="0.2">
      <c r="EJ104" s="609" t="str">
        <f t="shared" si="128"/>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6"/>
        <v/>
      </c>
      <c r="EN104" s="531" t="str">
        <f>IF(BD45="","",IF(ISERROR(VLOOKUP(BD45,TblJoistSize!$A$1:$G$274,2,FALSE)),"-",VLOOKUP(BD45,TblJoistSize!$A$1:$G$274,2,FALSE)))</f>
        <v/>
      </c>
      <c r="EO104" s="532" t="str">
        <f t="shared" si="127"/>
        <v/>
      </c>
    </row>
  </sheetData>
  <sheetProtection selectLockedCells="1"/>
  <dataConsolidate/>
  <mergeCells count="190">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FF12:FF15"/>
    <mergeCell ref="FB12:FB15"/>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s>
  <phoneticPr fontId="0" type="noConversion"/>
  <conditionalFormatting sqref="GA57:GB57">
    <cfRule type="expression" dxfId="1715" priority="614" stopIfTrue="1">
      <formula>GM57&gt;=0.125</formula>
    </cfRule>
  </conditionalFormatting>
  <conditionalFormatting sqref="EF57">
    <cfRule type="cellIs" dxfId="1714" priority="616" stopIfTrue="1" operator="notEqual">
      <formula>$EG57</formula>
    </cfRule>
  </conditionalFormatting>
  <conditionalFormatting sqref="EM57">
    <cfRule type="cellIs" dxfId="1713" priority="617" stopIfTrue="1" operator="notEqual">
      <formula>$EN57</formula>
    </cfRule>
  </conditionalFormatting>
  <conditionalFormatting sqref="CD16:CD45">
    <cfRule type="expression" dxfId="1712" priority="218">
      <formula>AND(CD16="X",CY16="")</formula>
    </cfRule>
    <cfRule type="expression" dxfId="1711" priority="636">
      <formula>AND(CD16="",CY16&lt;&gt;"")</formula>
    </cfRule>
  </conditionalFormatting>
  <conditionalFormatting sqref="CE16:CE45">
    <cfRule type="expression" dxfId="1710" priority="637">
      <formula>AND(CE16="X",DI16="")</formula>
    </cfRule>
    <cfRule type="expression" dxfId="1709" priority="638">
      <formula>AND(CE16="",DI16&lt;&gt;"")</formula>
    </cfRule>
  </conditionalFormatting>
  <conditionalFormatting sqref="P2:S4">
    <cfRule type="cellIs" dxfId="1708" priority="726" stopIfTrue="1" operator="equal">
      <formula>""</formula>
    </cfRule>
  </conditionalFormatting>
  <conditionalFormatting sqref="EF16:EF45">
    <cfRule type="cellIs" dxfId="1707" priority="576" stopIfTrue="1" operator="notEqual">
      <formula>$EG16</formula>
    </cfRule>
  </conditionalFormatting>
  <conditionalFormatting sqref="EM16:EM45">
    <cfRule type="cellIs" dxfId="1706" priority="575" stopIfTrue="1" operator="notEqual">
      <formula>$EN16</formula>
    </cfRule>
  </conditionalFormatting>
  <conditionalFormatting sqref="CC12">
    <cfRule type="expression" dxfId="1705" priority="340" stopIfTrue="1">
      <formula>ISBLANK($CC$12)</formula>
    </cfRule>
  </conditionalFormatting>
  <conditionalFormatting sqref="CC11">
    <cfRule type="expression" dxfId="1704" priority="339" stopIfTrue="1">
      <formula>ISBLANK($CC$11)</formula>
    </cfRule>
  </conditionalFormatting>
  <conditionalFormatting sqref="M7">
    <cfRule type="expression" dxfId="1703" priority="337" stopIfTrue="1">
      <formula>OR(ISBLANK($M$7),$M$7="")</formula>
    </cfRule>
    <cfRule type="expression" dxfId="1702" priority="338" stopIfTrue="1">
      <formula>AND(LOWER($M$7)&lt;&gt;"std gray primer: one shop coat",LOWER($M$7)&lt;&gt;"gray",$M$7&lt;&gt;"")</formula>
    </cfRule>
  </conditionalFormatting>
  <conditionalFormatting sqref="BV16:BV45">
    <cfRule type="expression" dxfId="1701" priority="196">
      <formula>AND(NOT($AY16),AND(ISBLANK(BV16),AND(NOT(ISBLANK(BU16)),$BW16&lt;&gt;0)))</formula>
    </cfRule>
  </conditionalFormatting>
  <conditionalFormatting sqref="BD16:BD45">
    <cfRule type="expression" dxfId="1700" priority="217">
      <formula>AND(NOT($AY16),NOT($AP16))</formula>
    </cfRule>
  </conditionalFormatting>
  <conditionalFormatting sqref="U16:U45">
    <cfRule type="expression" dxfId="1699" priority="193">
      <formula>AND(NOT($AY16),NOT(AR16))</formula>
    </cfRule>
  </conditionalFormatting>
  <conditionalFormatting sqref="W16:W45">
    <cfRule type="expression" dxfId="1698" priority="195">
      <formula>AND(NOT($AY16),NOT(AT16))</formula>
    </cfRule>
  </conditionalFormatting>
  <conditionalFormatting sqref="T16:T45">
    <cfRule type="expression" dxfId="1697" priority="191">
      <formula>AND(NOT($AY16),NOT(AR16))</formula>
    </cfRule>
  </conditionalFormatting>
  <conditionalFormatting sqref="V16:V45">
    <cfRule type="expression" dxfId="1696" priority="194">
      <formula>AND(NOT($AY16),NOT(AT16))</formula>
    </cfRule>
  </conditionalFormatting>
  <conditionalFormatting sqref="C16:C45">
    <cfRule type="expression" dxfId="1695" priority="152">
      <formula>AND(NOT($AY16),NOT($AP16))</formula>
    </cfRule>
  </conditionalFormatting>
  <conditionalFormatting sqref="X16:X45">
    <cfRule type="expression" dxfId="1694" priority="19">
      <formula>$X16=0</formula>
    </cfRule>
  </conditionalFormatting>
  <conditionalFormatting sqref="CB16:CB45">
    <cfRule type="expression" dxfId="1693" priority="151">
      <formula>OR(CB16&gt;CV16,CB16&lt;0)</formula>
    </cfRule>
  </conditionalFormatting>
  <conditionalFormatting sqref="CC16:CC45">
    <cfRule type="expression" dxfId="1692" priority="123">
      <formula>OR(CC16&gt;DF16,CC16&lt;0)</formula>
    </cfRule>
  </conditionalFormatting>
  <conditionalFormatting sqref="BY16:BY45">
    <cfRule type="expression" dxfId="1691" priority="639">
      <formula>OR(CH16&lt;&gt;"",CI16&lt;&gt;"",CJ16&lt;&gt;"",CK16&lt;&gt;"",CL16&lt;&gt;"",CM16&lt;&gt;"")</formula>
    </cfRule>
  </conditionalFormatting>
  <conditionalFormatting sqref="BE16:BF45">
    <cfRule type="expression" dxfId="1690" priority="951">
      <formula>AND(NOT($AY16),AND($AZ16,AND($AK16&lt;&gt;"HDR",$AK16&lt;&gt;"JS",$AJ16&gt;=8)))</formula>
    </cfRule>
  </conditionalFormatting>
  <conditionalFormatting sqref="D16:E45">
    <cfRule type="expression" dxfId="1689" priority="189">
      <formula>AND(NOT($AY16),AND($AZ16,AND($AK16&lt;&gt;"HDR",$AK16&lt;&gt;"JS",$AJ16&gt;=8)))</formula>
    </cfRule>
  </conditionalFormatting>
  <conditionalFormatting sqref="AA12">
    <cfRule type="expression" dxfId="1688" priority="125">
      <formula>OR(ISBLANK(AA12),AA12="")</formula>
    </cfRule>
  </conditionalFormatting>
  <conditionalFormatting sqref="A16:Z45 BB16:CG45">
    <cfRule type="expression" dxfId="1687" priority="1113">
      <formula>$AC16</formula>
    </cfRule>
  </conditionalFormatting>
  <conditionalFormatting sqref="BN16:BN45">
    <cfRule type="expression" dxfId="1686" priority="33">
      <formula>AND(NOT($AY16),AND(ISBLANK(BN16),AND(NOT(ISBLANK(BM16)),$BW16&lt;&gt;0)))</formula>
    </cfRule>
  </conditionalFormatting>
  <conditionalFormatting sqref="BO16:BO45">
    <cfRule type="expression" dxfId="1685" priority="32">
      <formula>AND(NOT($AY16),ISERROR(DE16))</formula>
    </cfRule>
    <cfRule type="expression" dxfId="1684" priority="59">
      <formula>AND(NOT($AY16),OR(DE16="", CQ16&lt;&gt;""))</formula>
    </cfRule>
  </conditionalFormatting>
  <conditionalFormatting sqref="BG16:BG45">
    <cfRule type="expression" dxfId="1683" priority="20">
      <formula>AND(NOT($AY16),ISERROR(CU16))</formula>
    </cfRule>
    <cfRule type="expression" dxfId="1682" priority="58">
      <formula>AND(NOT($AY16),OR(CP16&lt;&gt;"", CU16=""))</formula>
    </cfRule>
  </conditionalFormatting>
  <conditionalFormatting sqref="BH16:BH45">
    <cfRule type="expression" dxfId="1681" priority="46">
      <formula>AND(NOT($AY16),OR($CU16="M",$CU16="C",AND($CU16="B",$DC16&gt;0)))</formula>
    </cfRule>
    <cfRule type="expression" dxfId="1680" priority="47">
      <formula>AND(NOT($AY16),AND(BH16="",BI16="",OR($CU16="B",$CU16="G")))</formula>
    </cfRule>
    <cfRule type="expression" dxfId="1679" priority="48">
      <formula>AND(NOT($AY16),(BH16/2)/COS(RADIANS(BM16))+CV16-DW16&lt;VLOOKUP(AU16,$DF$2:$DJ$9,5,FALSE))</formula>
    </cfRule>
  </conditionalFormatting>
  <conditionalFormatting sqref="BI16:BI45">
    <cfRule type="expression" dxfId="1678" priority="55">
      <formula>AND(NOT($AY16),OR($CU16="M",$CU16="C",AND($CU16="B",$DC16&gt;0)))</formula>
    </cfRule>
    <cfRule type="expression" dxfId="1677" priority="56">
      <formula>AND(NOT($AY16),AND(BH16="",BI16="",OR($CU16="B",$CU16="G")))</formula>
    </cfRule>
    <cfRule type="expression" dxfId="1676" priority="57">
      <formula>AND(NOT($AY16),(BI16/2)/COS(RADIANS(BM16))+CV16-DW16&lt;VLOOKUP(AU16,$DF$2:$DJ$9,5,FALSE))</formula>
    </cfRule>
  </conditionalFormatting>
  <conditionalFormatting sqref="BK16:BK45">
    <cfRule type="expression" dxfId="1675" priority="34">
      <formula>AND(NOT($AY16),OR($CU16="M",$CU16="C",AND($CU16="B",$DA16&lt;&gt;"")))</formula>
    </cfRule>
    <cfRule type="expression" dxfId="1674" priority="35">
      <formula>AND(NOT($AY16),AND(BJ16="X",BK16="",BL16=""))</formula>
    </cfRule>
    <cfRule type="expression" dxfId="1673" priority="36">
      <formula>AND(NOT($AY16),EZ16="ERR")</formula>
    </cfRule>
  </conditionalFormatting>
  <conditionalFormatting sqref="BL16:BL45">
    <cfRule type="expression" dxfId="1672" priority="37">
      <formula>AND(NOT($AY16),OR($CU16="M",$CU16="C",AND($CU16="B",$DA16&lt;&gt;"")))</formula>
    </cfRule>
    <cfRule type="expression" dxfId="1671" priority="38">
      <formula>AND(NOT($AY16),AND(BJ16="X",BK16="",BL16=""))</formula>
    </cfRule>
    <cfRule type="expression" dxfId="1670" priority="39">
      <formula>AND(NOT($AY16),EZ16="ERR")</formula>
    </cfRule>
  </conditionalFormatting>
  <conditionalFormatting sqref="BS16:BS45">
    <cfRule type="expression" dxfId="1669" priority="40">
      <formula>AND(NOT($AY16),OR($DE16="M",$DE16="C",AND($DE16="B",$DK16&lt;&gt;"")))</formula>
    </cfRule>
    <cfRule type="expression" dxfId="1668" priority="41">
      <formula>AND(NOT($AY16),AND(BR16="X",BS16="",BT16=""))</formula>
    </cfRule>
    <cfRule type="expression" dxfId="1667" priority="42">
      <formula>AND(NOT($AY16),FC16="ERR")</formula>
    </cfRule>
  </conditionalFormatting>
  <conditionalFormatting sqref="BT16:BT45">
    <cfRule type="expression" dxfId="1666" priority="43">
      <formula>AND(NOT($AY16),OR($DE16="M",$DE16="C",AND($DE16="B",$DK16&lt;&gt;"")))</formula>
    </cfRule>
    <cfRule type="expression" dxfId="1665" priority="44">
      <formula>AND(NOT($AY16),AND(BR16="X",BS16="",BT16=""))</formula>
    </cfRule>
    <cfRule type="expression" dxfId="1664" priority="45">
      <formula>AND(NOT($AY16),FC16="ERR")</formula>
    </cfRule>
  </conditionalFormatting>
  <conditionalFormatting sqref="BP16:BP45">
    <cfRule type="expression" dxfId="1663" priority="49">
      <formula>AND(NOT($AY16),OR($DE16="M",$DE16="C",AND($DE16="B",$DM16&gt;0)))</formula>
    </cfRule>
    <cfRule type="expression" dxfId="1662" priority="50">
      <formula>AND(NOT($AY16),AND(BP16="",BQ16="",OR($DE16="B",$DE16="G")))</formula>
    </cfRule>
    <cfRule type="expression" dxfId="1661" priority="51">
      <formula>AND(NOT($AY16),(BP16/2)/COS(RADIANS(BU16))+DF16-EC16&lt;VLOOKUP(AU16,$DF$2:$DJ$9,5,FALSE))</formula>
    </cfRule>
  </conditionalFormatting>
  <conditionalFormatting sqref="BQ16:BQ45">
    <cfRule type="expression" dxfId="1660" priority="52">
      <formula>AND(NOT($AY16),OR($DE16="M",$DE16="C",AND($DE16="B",$DM16&gt;0)))</formula>
    </cfRule>
    <cfRule type="expression" dxfId="1659" priority="53">
      <formula>AND(NOT($AY16),AND(BP16="",BQ16="",OR($DE16="B",$DE16="G")))</formula>
    </cfRule>
    <cfRule type="expression" dxfId="1658" priority="54">
      <formula>AND(NOT($AY16),(BQ16/2)/COS(RADIANS(BU16))+DF16-EC16&lt;VLOOKUP(AU16,$DF$2:$DJ$9,5,FALSE))</formula>
    </cfRule>
  </conditionalFormatting>
  <conditionalFormatting sqref="BJ16:BJ45">
    <cfRule type="expression" dxfId="1657" priority="60">
      <formula>AND(NOT($AY16),OR($CU16="C",AND($CU16="M",$DA16&gt;0)))</formula>
    </cfRule>
    <cfRule type="expression" dxfId="1656" priority="61">
      <formula>AND(NOT($AY16),OR(NOT(IF(AND(OR(MID($BB16,1,1)="T",($BE16+$BF16/12)/IF(ABS($BW16)&gt;$DQ$1,COS($DO16),1)&gt;=40),OR($CU16="B",$CU16="G")),"X","")="X"),$EZ16="ERR"))</formula>
    </cfRule>
    <cfRule type="expression" dxfId="1655" priority="62">
      <formula>AND(NOT($AY16),$BJ16&lt;&gt;"X",$BJ16&lt;&gt;IF(AND(OR(MID(BB16,1,1)="T",($BE16+$BF16/12)/IF(ABS($BW16)&gt;$DQ$1,COS($DO16),1)&gt;=40),OR($CU16="B",$CU16="G")),"X",""))</formula>
    </cfRule>
  </conditionalFormatting>
  <conditionalFormatting sqref="BR16:BR45">
    <cfRule type="expression" dxfId="1654" priority="63">
      <formula>AND(NOT($AY16),OR($DE16="C",AND($DE16="M",$DK16&gt;0)))</formula>
    </cfRule>
    <cfRule type="expression" dxfId="1653" priority="64">
      <formula>AND(NOT($AY16),OR(NOT(IF(AND(OR(MID($BB16,1,1)="T",($BE16+$BF16/12)/IF(ABS($BW16)&gt;$DQ$1,COS($DO16),1)&gt;=40),OR($DE16="B",$DE16="G")),"X","")="X"),$FC16="ERR"))</formula>
    </cfRule>
    <cfRule type="expression" dxfId="1652" priority="65">
      <formula>AND(NOT($AY16),$BR16&lt;&gt;"X",$BR16&lt;&gt;IF(AND(OR(MID(BB16,1,1)="T",($BE16+$BF16/12)/IF(ABS($BW16)&gt;$DQ$1,COS($DO16),1)&gt;=40),OR($DE16="B",$DE16="G")),"X",""))</formula>
    </cfRule>
  </conditionalFormatting>
  <conditionalFormatting sqref="A16:B45 BB16:BC45">
    <cfRule type="expression" dxfId="1651" priority="71">
      <formula>AND(NOT($AE$1),$B16=0,$AD$1="M")</formula>
    </cfRule>
  </conditionalFormatting>
  <conditionalFormatting sqref="U57">
    <cfRule type="expression" dxfId="1650" priority="14" stopIfTrue="1">
      <formula>AND(NOT($AY57),NOT(AR57))</formula>
    </cfRule>
  </conditionalFormatting>
  <conditionalFormatting sqref="W57">
    <cfRule type="expression" dxfId="1649" priority="16" stopIfTrue="1">
      <formula>AND(NOT($AY57),NOT(AT57))</formula>
    </cfRule>
  </conditionalFormatting>
  <conditionalFormatting sqref="T57">
    <cfRule type="expression" dxfId="1648" priority="13" stopIfTrue="1">
      <formula>AND(NOT($AY57),NOT(AR57))</formula>
    </cfRule>
  </conditionalFormatting>
  <conditionalFormatting sqref="V57">
    <cfRule type="expression" dxfId="1647" priority="15" stopIfTrue="1">
      <formula>AND(NOT($AY57),NOT(AT57))</formula>
    </cfRule>
  </conditionalFormatting>
  <conditionalFormatting sqref="C57">
    <cfRule type="expression" dxfId="1646" priority="11" stopIfTrue="1">
      <formula>AND(NOT($AY57),NOT($AP57))</formula>
    </cfRule>
  </conditionalFormatting>
  <conditionalFormatting sqref="X57">
    <cfRule type="expression" dxfId="1645" priority="7">
      <formula>$X57=0</formula>
    </cfRule>
  </conditionalFormatting>
  <conditionalFormatting sqref="D57:E57">
    <cfRule type="expression" dxfId="1644" priority="12" stopIfTrue="1">
      <formula>AND(NOT($AY57),AND($AZ57,AND($AK57&lt;&gt;"HDR",$AK57&lt;&gt;"JS",$AJ57&gt;=8)))</formula>
    </cfRule>
  </conditionalFormatting>
  <conditionalFormatting sqref="A57:AA57">
    <cfRule type="expression" dxfId="1643" priority="8">
      <formula>$AC57</formula>
    </cfRule>
  </conditionalFormatting>
  <conditionalFormatting sqref="AA57">
    <cfRule type="expression" dxfId="1642" priority="9" stopIfTrue="1">
      <formula>AND(NOT($AY57),LEN(AA57)&gt;31)</formula>
    </cfRule>
  </conditionalFormatting>
  <conditionalFormatting sqref="A57:B57">
    <cfRule type="expression" dxfId="1641" priority="10">
      <formula>AND(NOT($AE$1),$B57=0,$AD$1="M")</formula>
    </cfRule>
  </conditionalFormatting>
  <conditionalFormatting sqref="AA16:AA45">
    <cfRule type="expression" dxfId="1640" priority="2">
      <formula>$AC16</formula>
    </cfRule>
  </conditionalFormatting>
  <conditionalFormatting sqref="AA16:AA45">
    <cfRule type="expression" dxfId="1639" priority="3" stopIfTrue="1">
      <formula>AND(NOT($AY16),LEN(AA16)&gt;31)</formula>
    </cfRule>
  </conditionalFormatting>
  <conditionalFormatting sqref="GA16:GB45">
    <cfRule type="expression" dxfId="1638" priority="1" stopIfTrue="1">
      <formula>GM16&gt;=0.125</formula>
    </cfRule>
  </conditionalFormatting>
  <dataValidations count="7">
    <dataValidation type="list" allowBlank="1" showInputMessage="1" sqref="CC11:CF11 M7:S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formula1>0</formula1>
    </dataValidation>
    <dataValidation type="decimal" allowBlank="1" showInputMessage="1" showErrorMessage="1" errorTitle="Dimensional Error" error="&quot;Inches&quot; must be a number from 0 to 11.875." sqref="BF16:BF45 G16:G45 J16:J45 U16:U45 W16:W45 E16:E45 G57 J57 U57 W57 E57">
      <formula1>0</formula1>
      <formula2>11.875</formula2>
    </dataValidation>
    <dataValidation type="decimal" operator="greaterThanOrEqual" allowBlank="1" showInputMessage="1" showErrorMessage="1" errorTitle="Dimensional Error" error="&quot;Inches&quot; must be a number." sqref="BH16:BI45 BK16:BL45 BP16:BQ45 BS16:BT45">
      <formula1>0</formula1>
    </dataValidation>
    <dataValidation type="decimal" operator="notEqual" allowBlank="1" showInputMessage="1" showErrorMessage="1" errorTitle="input Error" error="Enter + or - Numbers Only._x000a_Do NOT use &quot;&lt;&quot; or &quot;&gt;&quot;." sqref="Y16:Z45 Y57:Z57">
      <formula1>0</formula1>
    </dataValidation>
    <dataValidation type="decimal" operator="greaterThan" allowBlank="1" showInputMessage="1" showErrorMessage="1" errorTitle="Dimensional Error" error="Only positive numeric values can be entered here." sqref="L16:M45 L57:M57">
      <formula1>0</formula1>
    </dataValidation>
    <dataValidation type="whole" operator="greaterThanOrEqual" allowBlank="1" showInputMessage="1" showErrorMessage="1" sqref="B16:B45 B57">
      <formula1>0</formula1>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indexed="41"/>
  </sheetPr>
  <dimension ref="A1:IC301"/>
  <sheetViews>
    <sheetView showGridLines="0" zoomScaleNormal="100" zoomScaleSheetLayoutView="105" workbookViewId="0">
      <selection activeCell="A27" sqref="A2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227" t="str">
        <f>IF(R1="","",VLOOKUP(R1,'Job Info.'!X:AA,4,FALSE))</f>
        <v>Master</v>
      </c>
      <c r="K1" s="2227"/>
      <c r="L1" s="2227"/>
      <c r="M1" s="444"/>
      <c r="N1" s="563" t="s">
        <v>96</v>
      </c>
      <c r="O1" s="556"/>
      <c r="P1" s="564" t="str">
        <f ca="1">'Job Info.'!D12</f>
        <v>775-428-0600</v>
      </c>
      <c r="Q1" s="578" t="s">
        <v>766</v>
      </c>
      <c r="R1" s="448" t="str">
        <f>'Job Info.'!Q30</f>
        <v>M</v>
      </c>
      <c r="S1" s="448" t="b">
        <f>'Job Info.'!Q32</f>
        <v>0</v>
      </c>
      <c r="T1" s="975"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228" t="str">
        <f>IF(R1="","",IF(VLOOKUP(R1,'Job Info.'!X:Z,2,FALSE),"Released for Fabrication",""))</f>
        <v/>
      </c>
      <c r="K2" s="2229"/>
      <c r="L2" s="2230"/>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231"/>
      <c r="K3" s="2232"/>
      <c r="L3" s="2233"/>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234" t="str">
        <f>IF(R1="","",IF(VLOOKUP(R1,'Job Info.'!X:Z,2,FALSE),VLOOKUP(R1,'Job Info.'!X:Z,3,FALSE),""))</f>
        <v/>
      </c>
      <c r="K4" s="2235"/>
      <c r="L4" s="2236"/>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450" t="str">
        <f ca="1">'Job Info.'!D11</f>
        <v>8200 Woolery Way | Fallon, NV 89406 | www.newmill.com</v>
      </c>
      <c r="B5" s="2790"/>
      <c r="C5" s="2790"/>
      <c r="D5" s="2790"/>
      <c r="E5" s="2790"/>
      <c r="F5" s="2790"/>
      <c r="G5" s="2890"/>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417" t="s">
        <v>20</v>
      </c>
      <c r="O6" s="2901">
        <f>IF(ISBLANK('Job Info.'!D8),"",'Job Info.'!D8)</f>
        <v>43406</v>
      </c>
      <c r="P6" s="2901"/>
      <c r="R6" s="1392"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417" t="s">
        <v>26</v>
      </c>
      <c r="I7" s="2898"/>
      <c r="J7" s="2899"/>
      <c r="K7" s="2899"/>
      <c r="L7" s="2432"/>
      <c r="M7" s="557"/>
      <c r="N7" s="1418" t="s">
        <v>21</v>
      </c>
      <c r="O7" s="1525" t="str">
        <f>CONCATENATE(R7, " of ",IF(ISBLANK('Job Info.'!D9),"",'Job Info.'!D9))</f>
        <v xml:space="preserve"> of 42</v>
      </c>
      <c r="P7" s="827"/>
      <c r="R7" s="1393"/>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896" t="str">
        <f>IF(I7="NO PAINT - GALV","GALV. BOLTS","")</f>
        <v/>
      </c>
      <c r="J8" s="2896"/>
      <c r="K8" s="2896"/>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416" t="s">
        <v>1</v>
      </c>
      <c r="B9" s="285"/>
      <c r="C9" s="2225" t="str">
        <f>IF(ISBLANK('Job Info.'!D3),"",'Job Info.'!D3)</f>
        <v>SUNPOINT CROSSING</v>
      </c>
      <c r="D9" s="2225"/>
      <c r="E9" s="2225"/>
      <c r="F9" s="2225"/>
      <c r="G9" s="2891"/>
      <c r="H9" s="559"/>
      <c r="I9" s="1413" t="s">
        <v>2</v>
      </c>
      <c r="J9" s="2225" t="str">
        <f>IF(ISBLANK('Job Info.'!D5),"",'Job Info.'!D5)</f>
        <v>9118-0062</v>
      </c>
      <c r="K9" s="2225"/>
      <c r="L9" s="2225"/>
      <c r="M9" s="2225"/>
      <c r="N9" s="2225"/>
      <c r="O9" s="2225"/>
      <c r="P9" s="2226"/>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416" t="s">
        <v>3</v>
      </c>
      <c r="B10" s="285"/>
      <c r="C10" s="2225" t="str">
        <f>IF(ISBLANK('Job Info.'!D4),"",'Job Info.'!D4)</f>
        <v>LAS VEGAS, NV</v>
      </c>
      <c r="D10" s="2225"/>
      <c r="E10" s="2225"/>
      <c r="F10" s="2225"/>
      <c r="G10" s="2891"/>
      <c r="H10" s="559"/>
      <c r="I10" s="1416" t="s">
        <v>22</v>
      </c>
      <c r="J10" s="2225" t="str">
        <f>IF(ISBLANK('Job Info.'!D6),"",'Job Info.'!D6)</f>
        <v>CJA</v>
      </c>
      <c r="K10" s="2225"/>
      <c r="L10" s="2226"/>
      <c r="M10" s="560"/>
      <c r="N10" s="1413" t="s">
        <v>23</v>
      </c>
      <c r="O10" s="2225" t="str">
        <f>IF(ISBLANK('Job Info.'!D7),"",'Job Info.'!D7)</f>
        <v>LS</v>
      </c>
      <c r="P10" s="2226"/>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894"/>
      <c r="B12" s="2894"/>
      <c r="C12" s="2894"/>
      <c r="D12" s="2894"/>
      <c r="E12" s="2894"/>
      <c r="F12" s="1430"/>
      <c r="G12" s="1429"/>
      <c r="H12" s="27"/>
      <c r="I12" s="27"/>
      <c r="J12" s="27"/>
      <c r="K12" s="27"/>
      <c r="L12" s="28"/>
      <c r="M12" s="2894"/>
      <c r="N12" s="2894"/>
      <c r="O12" s="28"/>
      <c r="P12" s="21"/>
      <c r="GZ12" s="295"/>
      <c r="HY12" s="295"/>
      <c r="HZ12" s="295"/>
      <c r="IA12" s="295"/>
      <c r="IB12" s="295"/>
      <c r="IC12" s="295"/>
    </row>
    <row r="13" spans="1:237" ht="12.6" customHeight="1" x14ac:dyDescent="0.25">
      <c r="A13" s="29"/>
      <c r="B13" s="29"/>
      <c r="C13" s="29"/>
      <c r="D13" s="1430"/>
      <c r="E13" s="1430"/>
      <c r="F13" s="1430"/>
      <c r="G13" s="1430"/>
      <c r="H13" s="1430"/>
      <c r="I13" s="1430"/>
      <c r="J13" s="1430"/>
      <c r="K13" s="1430"/>
      <c r="L13" s="28"/>
      <c r="M13" s="28"/>
      <c r="N13" s="28"/>
      <c r="O13" s="28"/>
      <c r="P13" s="21"/>
      <c r="GZ13" s="295"/>
      <c r="HY13" s="295"/>
      <c r="HZ13" s="295"/>
      <c r="IA13" s="295"/>
      <c r="IB13" s="295"/>
      <c r="IC13" s="295"/>
    </row>
    <row r="14" spans="1:237" ht="12.6" customHeight="1" x14ac:dyDescent="0.25">
      <c r="A14" s="28"/>
      <c r="B14" s="29"/>
      <c r="C14" s="29"/>
      <c r="D14" s="1430"/>
      <c r="E14" s="1430"/>
      <c r="F14" s="1430"/>
      <c r="G14" s="1430"/>
      <c r="H14" s="1430"/>
      <c r="I14" s="1430"/>
      <c r="J14" s="1430"/>
      <c r="K14" s="1430"/>
      <c r="L14" s="28"/>
      <c r="M14" s="28"/>
      <c r="N14" s="28"/>
      <c r="O14" s="28"/>
      <c r="P14" s="21"/>
      <c r="GZ14" s="295"/>
      <c r="IC14" s="295"/>
    </row>
    <row r="15" spans="1:237" ht="12.6" customHeight="1" x14ac:dyDescent="0.25">
      <c r="A15" s="29"/>
      <c r="B15" s="29"/>
      <c r="C15" s="29"/>
      <c r="D15" s="28"/>
      <c r="E15" s="1430"/>
      <c r="F15" s="1430"/>
      <c r="G15" s="1430"/>
      <c r="H15" s="1430"/>
      <c r="I15" s="1430"/>
      <c r="J15" s="1430"/>
      <c r="K15" s="1430"/>
      <c r="L15" s="28"/>
      <c r="M15" s="28"/>
      <c r="N15" s="28"/>
      <c r="O15" s="28"/>
      <c r="P15" s="21"/>
      <c r="GZ15" s="295"/>
      <c r="IC15" s="295"/>
    </row>
    <row r="16" spans="1:237" ht="12.6" customHeight="1" x14ac:dyDescent="0.25">
      <c r="A16" s="29"/>
      <c r="B16" s="29"/>
      <c r="C16" s="29"/>
      <c r="D16" s="1430"/>
      <c r="E16" s="1430"/>
      <c r="F16" s="1430"/>
      <c r="G16" s="1430"/>
      <c r="H16" s="1430"/>
      <c r="I16" s="1430"/>
      <c r="J16" s="1430"/>
      <c r="K16" s="1430"/>
      <c r="L16" s="28"/>
      <c r="M16" s="28"/>
      <c r="N16" s="28"/>
      <c r="O16" s="28"/>
      <c r="P16" s="21"/>
      <c r="GZ16" s="295"/>
      <c r="IC16" s="295"/>
    </row>
    <row r="17" spans="1:225" ht="12.6" customHeight="1" x14ac:dyDescent="0.25">
      <c r="A17" s="29"/>
      <c r="B17" s="29"/>
      <c r="C17" s="29"/>
      <c r="D17" s="28"/>
      <c r="E17" s="28"/>
      <c r="F17" s="1430"/>
      <c r="G17" s="1430"/>
      <c r="H17" s="1430"/>
      <c r="I17" s="1430"/>
      <c r="J17" s="1430"/>
      <c r="K17" s="1430"/>
      <c r="L17" s="28"/>
      <c r="M17" s="28"/>
      <c r="N17" s="28"/>
      <c r="O17" s="28"/>
      <c r="P17" s="21"/>
    </row>
    <row r="18" spans="1:225" ht="12.6" customHeight="1" x14ac:dyDescent="0.25">
      <c r="A18" s="29"/>
      <c r="B18" s="29"/>
      <c r="C18" s="29"/>
      <c r="D18" s="2895"/>
      <c r="E18" s="2895"/>
      <c r="F18" s="28"/>
      <c r="G18" s="1430"/>
      <c r="H18" s="1430"/>
      <c r="I18" s="1430"/>
      <c r="J18" s="1430"/>
      <c r="K18" s="1430"/>
      <c r="L18" s="28"/>
      <c r="M18" s="28"/>
      <c r="N18" s="28"/>
      <c r="O18" s="28"/>
      <c r="P18" s="21"/>
    </row>
    <row r="19" spans="1:225" ht="12.6" customHeight="1" x14ac:dyDescent="0.2">
      <c r="A19" s="28"/>
      <c r="B19" s="28"/>
      <c r="C19" s="28"/>
      <c r="D19" s="28"/>
      <c r="E19" s="28"/>
      <c r="F19" s="1430"/>
      <c r="G19" s="28"/>
      <c r="H19" s="28"/>
      <c r="I19" s="28"/>
      <c r="J19" s="28"/>
      <c r="K19" s="28"/>
      <c r="L19" s="28"/>
      <c r="M19" s="28"/>
      <c r="N19" s="28"/>
      <c r="O19" s="28"/>
      <c r="P19" s="21"/>
    </row>
    <row r="20" spans="1:225" ht="12.6" customHeight="1" x14ac:dyDescent="0.2">
      <c r="A20" s="28"/>
      <c r="B20" s="28"/>
      <c r="C20" s="28"/>
      <c r="D20" s="28"/>
      <c r="E20" s="28"/>
      <c r="F20" s="1430"/>
      <c r="G20" s="28"/>
      <c r="H20" s="28"/>
      <c r="I20" s="28"/>
      <c r="J20" s="28"/>
      <c r="K20" s="28"/>
      <c r="L20" s="28"/>
      <c r="M20" s="28"/>
      <c r="N20" s="28"/>
      <c r="O20" s="28"/>
      <c r="P20" s="21"/>
    </row>
    <row r="21" spans="1:225" ht="12.6" customHeight="1" x14ac:dyDescent="0.2">
      <c r="A21" s="2893"/>
      <c r="B21" s="2893"/>
      <c r="C21" s="2893"/>
      <c r="D21" s="1434"/>
      <c r="E21" s="32"/>
      <c r="F21" s="33"/>
      <c r="G21" s="32"/>
      <c r="H21" s="32"/>
      <c r="I21" s="32"/>
      <c r="J21" s="32"/>
      <c r="K21" s="32"/>
      <c r="L21" s="32"/>
      <c r="M21" s="32"/>
      <c r="N21" s="32"/>
      <c r="O21" s="32"/>
      <c r="P21" s="21"/>
    </row>
    <row r="22" spans="1:225" ht="12.6" customHeight="1" thickBot="1" x14ac:dyDescent="0.25">
      <c r="A22" s="2892"/>
      <c r="B22" s="2892"/>
      <c r="C22" s="2892"/>
      <c r="D22" s="1433"/>
      <c r="E22" s="32"/>
      <c r="F22" s="32"/>
      <c r="G22" s="143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892"/>
      <c r="B23" s="2892"/>
      <c r="C23" s="2892"/>
      <c r="D23" s="1433"/>
      <c r="E23" s="32"/>
      <c r="F23" s="32"/>
      <c r="G23" s="1433"/>
      <c r="H23" s="32"/>
      <c r="I23" s="32"/>
      <c r="J23" s="32"/>
      <c r="K23" s="32"/>
      <c r="L23" s="32"/>
      <c r="M23" s="32"/>
      <c r="N23" s="32"/>
      <c r="O23" s="32"/>
      <c r="P23" s="21"/>
      <c r="HA23" s="2869" t="s">
        <v>661</v>
      </c>
      <c r="HB23" s="2565"/>
      <c r="HC23" s="2565"/>
      <c r="HD23" s="2565"/>
      <c r="HE23" s="2565"/>
      <c r="HF23" s="2565"/>
      <c r="HG23" s="2565"/>
      <c r="HH23" s="2565"/>
      <c r="HI23" s="2565"/>
      <c r="HJ23" s="2565"/>
      <c r="HK23" s="2565"/>
      <c r="HL23" s="2565"/>
      <c r="HM23" s="2565"/>
      <c r="HN23" s="2565"/>
      <c r="HO23" s="2565"/>
      <c r="HP23" s="2566"/>
    </row>
    <row r="24" spans="1:225" ht="12.6" customHeight="1" thickBot="1" x14ac:dyDescent="0.3">
      <c r="A24" s="1435"/>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570"/>
      <c r="HB24" s="2571"/>
      <c r="HC24" s="2571"/>
      <c r="HD24" s="2571"/>
      <c r="HE24" s="2571"/>
      <c r="HF24" s="2571"/>
      <c r="HG24" s="2571"/>
      <c r="HH24" s="2571"/>
      <c r="HI24" s="2571"/>
      <c r="HJ24" s="2571"/>
      <c r="HK24" s="2571"/>
      <c r="HL24" s="2571"/>
      <c r="HM24" s="2571"/>
      <c r="HN24" s="2571"/>
      <c r="HO24" s="2571"/>
      <c r="HP24" s="2572"/>
    </row>
    <row r="25" spans="1:225" s="26" customFormat="1" ht="12.6" customHeight="1" thickTop="1" thickBot="1" x14ac:dyDescent="0.25">
      <c r="A25" s="2881" t="s">
        <v>40</v>
      </c>
      <c r="B25" s="2882"/>
      <c r="C25" s="2885" t="s">
        <v>131</v>
      </c>
      <c r="D25" s="2345" t="s">
        <v>714</v>
      </c>
      <c r="E25" s="2453" t="s">
        <v>715</v>
      </c>
      <c r="F25" s="2878" t="s">
        <v>36</v>
      </c>
      <c r="G25" s="2795" t="s">
        <v>80</v>
      </c>
      <c r="H25" s="2792"/>
      <c r="I25" s="2880" t="s">
        <v>716</v>
      </c>
      <c r="J25" s="2792"/>
      <c r="K25" s="2453" t="s">
        <v>108</v>
      </c>
      <c r="L25" s="2900"/>
      <c r="M25" s="2897" t="s">
        <v>109</v>
      </c>
      <c r="N25" s="2885" t="s">
        <v>110</v>
      </c>
      <c r="O25" s="2878" t="s">
        <v>111</v>
      </c>
      <c r="P25" s="1373" t="s">
        <v>717</v>
      </c>
      <c r="R25" s="510"/>
      <c r="S25" s="510"/>
      <c r="T25" s="510"/>
      <c r="U25" s="510">
        <f>COUNTA(U27:U300)</f>
        <v>13</v>
      </c>
      <c r="V25" s="2904" t="s">
        <v>839</v>
      </c>
      <c r="W25" s="510">
        <f>COUNTA(W27:W300)</f>
        <v>9</v>
      </c>
      <c r="X25" s="2902" t="s">
        <v>989</v>
      </c>
      <c r="Y25" s="2903"/>
      <c r="Z25" s="2903"/>
      <c r="AA25" s="2903"/>
      <c r="AB25" s="510"/>
      <c r="AC25" s="2888" t="s">
        <v>1185</v>
      </c>
      <c r="AD25" s="2889"/>
      <c r="AE25" s="510">
        <f>COUNTA(AE27:AE300)</f>
        <v>166</v>
      </c>
      <c r="HA25" s="2870" t="s">
        <v>673</v>
      </c>
      <c r="HB25" s="2872" t="s">
        <v>1196</v>
      </c>
      <c r="HC25" s="2872" t="s">
        <v>1182</v>
      </c>
      <c r="HD25" s="2867" t="s">
        <v>1192</v>
      </c>
      <c r="HE25" s="2867" t="s">
        <v>701</v>
      </c>
      <c r="HF25" s="2874" t="s">
        <v>718</v>
      </c>
      <c r="HG25" s="2874" t="s">
        <v>1197</v>
      </c>
      <c r="HH25" s="2874" t="s">
        <v>1198</v>
      </c>
      <c r="HI25" s="2874" t="s">
        <v>1199</v>
      </c>
      <c r="HJ25" s="2874" t="s">
        <v>1200</v>
      </c>
      <c r="HK25" s="2874" t="s">
        <v>1201</v>
      </c>
      <c r="HL25" s="2874" t="s">
        <v>1202</v>
      </c>
      <c r="HM25" s="2874" t="s">
        <v>1193</v>
      </c>
      <c r="HN25" s="2867" t="s">
        <v>1194</v>
      </c>
      <c r="HO25" s="2867" t="s">
        <v>1195</v>
      </c>
      <c r="HP25" s="2876" t="s">
        <v>517</v>
      </c>
    </row>
    <row r="26" spans="1:225" s="26" customFormat="1" ht="12.6" customHeight="1" thickTop="1" thickBot="1" x14ac:dyDescent="0.25">
      <c r="A26" s="2883"/>
      <c r="B26" s="2884"/>
      <c r="C26" s="2886"/>
      <c r="D26" s="2346"/>
      <c r="E26" s="2454"/>
      <c r="F26" s="2887"/>
      <c r="G26" s="1432" t="s">
        <v>673</v>
      </c>
      <c r="H26" s="1372" t="s">
        <v>172</v>
      </c>
      <c r="I26" s="1379" t="s">
        <v>673</v>
      </c>
      <c r="J26" s="1431" t="s">
        <v>172</v>
      </c>
      <c r="K26" s="2883"/>
      <c r="L26" s="2879"/>
      <c r="M26" s="2341"/>
      <c r="N26" s="2884"/>
      <c r="O26" s="2879"/>
      <c r="P26" s="1374" t="s">
        <v>58</v>
      </c>
      <c r="Q26" s="1223" t="s">
        <v>1147</v>
      </c>
      <c r="R26" s="442" t="s">
        <v>171</v>
      </c>
      <c r="S26" s="442" t="s">
        <v>830</v>
      </c>
      <c r="T26" s="442" t="s">
        <v>1184</v>
      </c>
      <c r="U26" s="510" t="s">
        <v>836</v>
      </c>
      <c r="V26" s="2905"/>
      <c r="W26" s="510" t="s">
        <v>701</v>
      </c>
      <c r="X26" s="510" t="s">
        <v>702</v>
      </c>
      <c r="Y26" s="510" t="s">
        <v>703</v>
      </c>
      <c r="Z26" s="510" t="s">
        <v>704</v>
      </c>
      <c r="AA26" s="510" t="s">
        <v>705</v>
      </c>
      <c r="AB26" s="510" t="s">
        <v>718</v>
      </c>
      <c r="AC26" s="510" t="s">
        <v>1186</v>
      </c>
      <c r="AD26" s="510" t="s">
        <v>1187</v>
      </c>
      <c r="AE26" s="510" t="s">
        <v>861</v>
      </c>
      <c r="AF26" s="510" t="s">
        <v>1183</v>
      </c>
      <c r="HA26" s="2871"/>
      <c r="HB26" s="2873"/>
      <c r="HC26" s="2873"/>
      <c r="HD26" s="2868"/>
      <c r="HE26" s="2868"/>
      <c r="HF26" s="2875"/>
      <c r="HG26" s="2875"/>
      <c r="HH26" s="2875"/>
      <c r="HI26" s="2875"/>
      <c r="HJ26" s="2875"/>
      <c r="HK26" s="2875"/>
      <c r="HL26" s="2875"/>
      <c r="HM26" s="2875"/>
      <c r="HN26" s="2868"/>
      <c r="HO26" s="2868"/>
      <c r="HP26" s="2877"/>
    </row>
    <row r="27" spans="1:225" ht="12.6" customHeight="1" thickTop="1" x14ac:dyDescent="0.25">
      <c r="A27" s="1471"/>
      <c r="B27" s="1473"/>
      <c r="C27" s="1473"/>
      <c r="D27" s="1494"/>
      <c r="E27" s="1471"/>
      <c r="F27" s="1495"/>
      <c r="G27" s="1471"/>
      <c r="H27" s="1554"/>
      <c r="I27" s="1175"/>
      <c r="J27" s="1556"/>
      <c r="K27" s="1550"/>
      <c r="L27" s="1552"/>
      <c r="M27" s="1558"/>
      <c r="N27" s="1559"/>
      <c r="O27" s="1560"/>
      <c r="P27" s="1496"/>
      <c r="Q27" s="1224"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46">
        <v>1.66</v>
      </c>
      <c r="AD27" s="1446">
        <v>2.38</v>
      </c>
      <c r="AE27" s="775" t="s">
        <v>852</v>
      </c>
      <c r="AF27" s="1447">
        <v>1.1563000000000001</v>
      </c>
      <c r="HA27" s="1475"/>
      <c r="HB27" s="1476"/>
      <c r="HC27" s="1476"/>
      <c r="HD27" s="1481"/>
      <c r="HE27" s="1482"/>
      <c r="HF27" s="1476"/>
      <c r="HG27" s="1476"/>
      <c r="HH27" s="1476"/>
      <c r="HI27" s="1483"/>
      <c r="HJ27" s="1476"/>
      <c r="HK27" s="1476"/>
      <c r="HL27" s="1476"/>
      <c r="HM27" s="1476"/>
      <c r="HN27" s="1476"/>
      <c r="HO27" s="1476"/>
      <c r="HP27" s="1484"/>
      <c r="HQ27" s="1523"/>
    </row>
    <row r="28" spans="1:225" ht="12.6" customHeight="1" x14ac:dyDescent="0.25">
      <c r="A28" s="1471"/>
      <c r="B28" s="1473"/>
      <c r="C28" s="1473"/>
      <c r="D28" s="1494"/>
      <c r="E28" s="1471"/>
      <c r="F28" s="1495"/>
      <c r="G28" s="1471"/>
      <c r="H28" s="1554"/>
      <c r="I28" s="1175"/>
      <c r="J28" s="1556"/>
      <c r="K28" s="1550"/>
      <c r="L28" s="1552"/>
      <c r="M28" s="1558"/>
      <c r="N28" s="1559"/>
      <c r="O28" s="1560"/>
      <c r="P28" s="1496"/>
      <c r="Q28" s="1224"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46">
        <v>2.2200000000000002</v>
      </c>
      <c r="AD28" s="1446">
        <v>3.1</v>
      </c>
      <c r="AE28" s="775" t="s">
        <v>853</v>
      </c>
      <c r="AF28" s="1447">
        <v>1.1563000000000001</v>
      </c>
      <c r="HA28" s="1477"/>
      <c r="HB28" s="1478"/>
      <c r="HC28" s="1478"/>
      <c r="HD28" s="1485"/>
      <c r="HE28" s="1486"/>
      <c r="HF28" s="1478"/>
      <c r="HG28" s="1478"/>
      <c r="HH28" s="1478"/>
      <c r="HI28" s="1487"/>
      <c r="HJ28" s="1478"/>
      <c r="HK28" s="1478"/>
      <c r="HL28" s="1478"/>
      <c r="HM28" s="1478"/>
      <c r="HN28" s="1478"/>
      <c r="HO28" s="1478"/>
      <c r="HP28" s="1488"/>
      <c r="HQ28" s="1523"/>
    </row>
    <row r="29" spans="1:225" ht="12.6" customHeight="1" x14ac:dyDescent="0.25">
      <c r="A29" s="1471"/>
      <c r="B29" s="1473"/>
      <c r="C29" s="1473"/>
      <c r="D29" s="1494"/>
      <c r="E29" s="1471"/>
      <c r="F29" s="1495"/>
      <c r="G29" s="1471"/>
      <c r="H29" s="1554"/>
      <c r="I29" s="1175"/>
      <c r="J29" s="1556"/>
      <c r="K29" s="1550"/>
      <c r="L29" s="1552"/>
      <c r="M29" s="1558"/>
      <c r="N29" s="1559"/>
      <c r="O29" s="1560"/>
      <c r="P29" s="1496"/>
      <c r="Q29" s="1224"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46">
        <v>2.2200000000000002</v>
      </c>
      <c r="AD29" s="1446">
        <v>3.1</v>
      </c>
      <c r="AE29" s="775" t="s">
        <v>854</v>
      </c>
      <c r="AF29" s="1447">
        <v>1.109</v>
      </c>
      <c r="HA29" s="1477"/>
      <c r="HB29" s="1478"/>
      <c r="HC29" s="1478"/>
      <c r="HD29" s="1485"/>
      <c r="HE29" s="1486"/>
      <c r="HF29" s="1478"/>
      <c r="HG29" s="1478"/>
      <c r="HH29" s="1478"/>
      <c r="HI29" s="1487"/>
      <c r="HJ29" s="1478"/>
      <c r="HK29" s="1478"/>
      <c r="HL29" s="1478"/>
      <c r="HM29" s="1478"/>
      <c r="HN29" s="1478"/>
      <c r="HO29" s="1478"/>
      <c r="HP29" s="1488"/>
      <c r="HQ29" s="1523"/>
    </row>
    <row r="30" spans="1:225" ht="12.6" customHeight="1" x14ac:dyDescent="0.25">
      <c r="A30" s="1471"/>
      <c r="B30" s="1473"/>
      <c r="C30" s="1473"/>
      <c r="D30" s="1494"/>
      <c r="E30" s="1471"/>
      <c r="F30" s="1495"/>
      <c r="G30" s="1471"/>
      <c r="H30" s="1554"/>
      <c r="I30" s="1175"/>
      <c r="J30" s="1556"/>
      <c r="K30" s="1550"/>
      <c r="L30" s="1552"/>
      <c r="M30" s="1558"/>
      <c r="N30" s="1559"/>
      <c r="O30" s="1560"/>
      <c r="P30" s="1496"/>
      <c r="Q30" s="1224"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46">
        <v>1.75</v>
      </c>
      <c r="AD30" s="1446">
        <v>3</v>
      </c>
      <c r="AE30" s="775" t="s">
        <v>855</v>
      </c>
      <c r="AF30" s="1447">
        <v>1.125</v>
      </c>
      <c r="HA30" s="1477"/>
      <c r="HB30" s="1478"/>
      <c r="HC30" s="1478"/>
      <c r="HD30" s="1485"/>
      <c r="HE30" s="1486"/>
      <c r="HF30" s="1478"/>
      <c r="HG30" s="1478"/>
      <c r="HH30" s="1478"/>
      <c r="HI30" s="1487"/>
      <c r="HJ30" s="1478"/>
      <c r="HK30" s="1478"/>
      <c r="HL30" s="1478"/>
      <c r="HM30" s="1478"/>
      <c r="HN30" s="1478"/>
      <c r="HO30" s="1478"/>
      <c r="HP30" s="1488"/>
      <c r="HQ30" s="1523"/>
    </row>
    <row r="31" spans="1:225" ht="12.6" customHeight="1" x14ac:dyDescent="0.25">
      <c r="A31" s="1471"/>
      <c r="B31" s="1473"/>
      <c r="C31" s="1473"/>
      <c r="D31" s="1494"/>
      <c r="E31" s="1471"/>
      <c r="F31" s="1495"/>
      <c r="G31" s="1471"/>
      <c r="H31" s="1554"/>
      <c r="I31" s="1175"/>
      <c r="J31" s="1556"/>
      <c r="K31" s="1550"/>
      <c r="L31" s="1552"/>
      <c r="M31" s="1558"/>
      <c r="N31" s="1559"/>
      <c r="O31" s="1560"/>
      <c r="P31" s="1496"/>
      <c r="Q31" s="1224" t="b">
        <v>0</v>
      </c>
      <c r="R31" s="561" t="b">
        <v>0</v>
      </c>
      <c r="S31" s="554" t="b">
        <f t="shared" si="1"/>
        <v>0</v>
      </c>
      <c r="T31" s="554" t="b">
        <f t="shared" si="2"/>
        <v>0</v>
      </c>
      <c r="U31" s="775" t="s">
        <v>852</v>
      </c>
      <c r="V31" s="475"/>
      <c r="W31" s="475" t="s">
        <v>769</v>
      </c>
      <c r="X31" s="475" t="b">
        <v>1</v>
      </c>
      <c r="Y31" s="475" t="b">
        <v>1</v>
      </c>
      <c r="Z31" s="475" t="b">
        <v>0</v>
      </c>
      <c r="AA31" s="475" t="b">
        <v>1</v>
      </c>
      <c r="AB31" s="475" t="s">
        <v>712</v>
      </c>
      <c r="AC31" s="1446">
        <v>1.75</v>
      </c>
      <c r="AD31" s="1446">
        <v>3</v>
      </c>
      <c r="AE31" s="775" t="s">
        <v>856</v>
      </c>
      <c r="AF31" s="1447">
        <v>1.119</v>
      </c>
      <c r="HA31" s="1477"/>
      <c r="HB31" s="1478"/>
      <c r="HC31" s="1478"/>
      <c r="HD31" s="1485"/>
      <c r="HE31" s="1486"/>
      <c r="HF31" s="1478"/>
      <c r="HG31" s="1478"/>
      <c r="HH31" s="1478"/>
      <c r="HI31" s="1487"/>
      <c r="HJ31" s="1478"/>
      <c r="HK31" s="1478"/>
      <c r="HL31" s="1478"/>
      <c r="HM31" s="1478"/>
      <c r="HN31" s="1478"/>
      <c r="HO31" s="1478"/>
      <c r="HP31" s="1488"/>
      <c r="HQ31" s="1523"/>
    </row>
    <row r="32" spans="1:225" ht="12.6" customHeight="1" x14ac:dyDescent="0.25">
      <c r="A32" s="1471"/>
      <c r="B32" s="1473"/>
      <c r="C32" s="1473"/>
      <c r="D32" s="1494"/>
      <c r="E32" s="1471"/>
      <c r="F32" s="1495"/>
      <c r="G32" s="1471"/>
      <c r="H32" s="1554"/>
      <c r="I32" s="1175"/>
      <c r="J32" s="1556"/>
      <c r="K32" s="1550"/>
      <c r="L32" s="1552"/>
      <c r="M32" s="1558"/>
      <c r="N32" s="1559"/>
      <c r="O32" s="1560"/>
      <c r="P32" s="1496"/>
      <c r="Q32" s="1224" t="b">
        <v>0</v>
      </c>
      <c r="R32" s="561" t="b">
        <v>0</v>
      </c>
      <c r="S32" s="554" t="b">
        <f t="shared" si="1"/>
        <v>0</v>
      </c>
      <c r="T32" s="554" t="b">
        <f t="shared" si="2"/>
        <v>0</v>
      </c>
      <c r="U32" s="775" t="s">
        <v>853</v>
      </c>
      <c r="V32" s="475"/>
      <c r="W32" s="475" t="s">
        <v>770</v>
      </c>
      <c r="X32" s="475" t="b">
        <v>1</v>
      </c>
      <c r="Y32" s="475" t="b">
        <v>1</v>
      </c>
      <c r="Z32" s="475" t="b">
        <v>1</v>
      </c>
      <c r="AA32" s="475" t="b">
        <v>1</v>
      </c>
      <c r="AB32" s="475" t="s">
        <v>713</v>
      </c>
      <c r="AC32" s="1446">
        <v>1.75</v>
      </c>
      <c r="AD32" s="1446">
        <v>3</v>
      </c>
      <c r="AE32" s="775" t="s">
        <v>862</v>
      </c>
      <c r="AF32" s="1447">
        <v>1.375</v>
      </c>
      <c r="HA32" s="1477"/>
      <c r="HB32" s="1478"/>
      <c r="HC32" s="1478"/>
      <c r="HD32" s="1485"/>
      <c r="HE32" s="1486"/>
      <c r="HF32" s="1478"/>
      <c r="HG32" s="1478"/>
      <c r="HH32" s="1478"/>
      <c r="HI32" s="1487"/>
      <c r="HJ32" s="1478"/>
      <c r="HK32" s="1478"/>
      <c r="HL32" s="1478"/>
      <c r="HM32" s="1478"/>
      <c r="HN32" s="1478"/>
      <c r="HO32" s="1478"/>
      <c r="HP32" s="1488"/>
      <c r="HQ32" s="1523"/>
    </row>
    <row r="33" spans="1:225" ht="12.6" customHeight="1" x14ac:dyDescent="0.25">
      <c r="A33" s="1471"/>
      <c r="B33" s="1473"/>
      <c r="C33" s="1473"/>
      <c r="D33" s="1494"/>
      <c r="E33" s="1471"/>
      <c r="F33" s="1495"/>
      <c r="G33" s="1471"/>
      <c r="H33" s="1554"/>
      <c r="I33" s="1175"/>
      <c r="J33" s="1556"/>
      <c r="K33" s="1550"/>
      <c r="L33" s="1552"/>
      <c r="M33" s="1558"/>
      <c r="N33" s="1559"/>
      <c r="O33" s="1560"/>
      <c r="P33" s="1496"/>
      <c r="Q33" s="1224"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47">
        <v>0</v>
      </c>
      <c r="AD33" s="1447">
        <v>0</v>
      </c>
      <c r="AE33" s="775" t="s">
        <v>863</v>
      </c>
      <c r="AF33" s="1447">
        <v>1.375</v>
      </c>
      <c r="HA33" s="1477"/>
      <c r="HB33" s="1478"/>
      <c r="HC33" s="1478"/>
      <c r="HD33" s="1485"/>
      <c r="HE33" s="1486"/>
      <c r="HF33" s="1478"/>
      <c r="HG33" s="1478"/>
      <c r="HH33" s="1478"/>
      <c r="HI33" s="1487"/>
      <c r="HJ33" s="1478"/>
      <c r="HK33" s="1478"/>
      <c r="HL33" s="1478"/>
      <c r="HM33" s="1478"/>
      <c r="HN33" s="1478"/>
      <c r="HO33" s="1478"/>
      <c r="HP33" s="1488"/>
      <c r="HQ33" s="1523"/>
    </row>
    <row r="34" spans="1:225" ht="12.6" customHeight="1" x14ac:dyDescent="0.25">
      <c r="A34" s="1471"/>
      <c r="B34" s="1473"/>
      <c r="C34" s="1473"/>
      <c r="D34" s="1494"/>
      <c r="E34" s="1471"/>
      <c r="F34" s="1495"/>
      <c r="G34" s="1471"/>
      <c r="H34" s="1554"/>
      <c r="I34" s="1175"/>
      <c r="J34" s="1556"/>
      <c r="K34" s="1550"/>
      <c r="L34" s="1552"/>
      <c r="M34" s="1558"/>
      <c r="N34" s="1559"/>
      <c r="O34" s="1560"/>
      <c r="P34" s="1496"/>
      <c r="Q34" s="1224"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47">
        <v>0</v>
      </c>
      <c r="AD34" s="1447">
        <v>0</v>
      </c>
      <c r="AE34" s="775" t="s">
        <v>864</v>
      </c>
      <c r="AF34" s="1447">
        <v>1.4375</v>
      </c>
      <c r="HA34" s="1477"/>
      <c r="HB34" s="1478"/>
      <c r="HC34" s="1478"/>
      <c r="HD34" s="1485"/>
      <c r="HE34" s="1486"/>
      <c r="HF34" s="1478"/>
      <c r="HG34" s="1478"/>
      <c r="HH34" s="1478"/>
      <c r="HI34" s="1487"/>
      <c r="HJ34" s="1478"/>
      <c r="HK34" s="1478"/>
      <c r="HL34" s="1478"/>
      <c r="HM34" s="1478"/>
      <c r="HN34" s="1478"/>
      <c r="HO34" s="1478"/>
      <c r="HP34" s="1488"/>
      <c r="HQ34" s="1523"/>
    </row>
    <row r="35" spans="1:225" ht="12.6" customHeight="1" x14ac:dyDescent="0.25">
      <c r="A35" s="1471"/>
      <c r="B35" s="1473"/>
      <c r="C35" s="1473"/>
      <c r="D35" s="1494"/>
      <c r="E35" s="1471"/>
      <c r="F35" s="1495"/>
      <c r="G35" s="1471"/>
      <c r="H35" s="1554"/>
      <c r="I35" s="1175"/>
      <c r="J35" s="1556"/>
      <c r="K35" s="1550"/>
      <c r="L35" s="1552"/>
      <c r="M35" s="1558"/>
      <c r="N35" s="1559"/>
      <c r="O35" s="1560"/>
      <c r="P35" s="1496"/>
      <c r="Q35" s="1224"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47">
        <v>1.375</v>
      </c>
      <c r="HA35" s="1477"/>
      <c r="HB35" s="1478"/>
      <c r="HC35" s="1478"/>
      <c r="HD35" s="1485"/>
      <c r="HE35" s="1486"/>
      <c r="HF35" s="1478"/>
      <c r="HG35" s="1478"/>
      <c r="HH35" s="1478"/>
      <c r="HI35" s="1487"/>
      <c r="HJ35" s="1478"/>
      <c r="HK35" s="1478"/>
      <c r="HL35" s="1478"/>
      <c r="HM35" s="1478"/>
      <c r="HN35" s="1478"/>
      <c r="HO35" s="1478"/>
      <c r="HP35" s="1488"/>
      <c r="HQ35" s="1523"/>
    </row>
    <row r="36" spans="1:225" ht="12.6" customHeight="1" x14ac:dyDescent="0.25">
      <c r="A36" s="1471"/>
      <c r="B36" s="1473"/>
      <c r="C36" s="1473"/>
      <c r="D36" s="1494"/>
      <c r="E36" s="1471"/>
      <c r="F36" s="1495"/>
      <c r="G36" s="1471"/>
      <c r="H36" s="1554"/>
      <c r="I36" s="1175"/>
      <c r="J36" s="1556"/>
      <c r="K36" s="1550"/>
      <c r="L36" s="1552"/>
      <c r="M36" s="1558"/>
      <c r="N36" s="1559"/>
      <c r="O36" s="1560"/>
      <c r="P36" s="1496"/>
      <c r="Q36" s="1224" t="b">
        <v>0</v>
      </c>
      <c r="R36" s="561" t="b">
        <v>0</v>
      </c>
      <c r="S36" s="554" t="b">
        <f t="shared" si="1"/>
        <v>0</v>
      </c>
      <c r="T36" s="554" t="b">
        <f t="shared" si="2"/>
        <v>0</v>
      </c>
      <c r="U36" s="775" t="s">
        <v>857</v>
      </c>
      <c r="V36" s="475"/>
      <c r="W36" s="475"/>
      <c r="X36" s="475"/>
      <c r="Y36" s="475"/>
      <c r="Z36" s="475"/>
      <c r="AA36" s="475"/>
      <c r="AB36" s="475"/>
      <c r="AC36" s="475"/>
      <c r="AD36" s="475"/>
      <c r="AE36" s="775" t="s">
        <v>866</v>
      </c>
      <c r="AF36" s="1447">
        <v>1.5</v>
      </c>
      <c r="HA36" s="1477"/>
      <c r="HB36" s="1478"/>
      <c r="HC36" s="1478"/>
      <c r="HD36" s="1485"/>
      <c r="HE36" s="1486"/>
      <c r="HF36" s="1478"/>
      <c r="HG36" s="1478"/>
      <c r="HH36" s="1478"/>
      <c r="HI36" s="1487"/>
      <c r="HJ36" s="1478"/>
      <c r="HK36" s="1478"/>
      <c r="HL36" s="1478"/>
      <c r="HM36" s="1478"/>
      <c r="HN36" s="1478"/>
      <c r="HO36" s="1478"/>
      <c r="HP36" s="1488"/>
      <c r="HQ36" s="1523"/>
    </row>
    <row r="37" spans="1:225" ht="12.6" customHeight="1" x14ac:dyDescent="0.25">
      <c r="A37" s="1471"/>
      <c r="B37" s="1473"/>
      <c r="C37" s="1473"/>
      <c r="D37" s="1494"/>
      <c r="E37" s="1471"/>
      <c r="F37" s="1495"/>
      <c r="G37" s="1471"/>
      <c r="H37" s="1554"/>
      <c r="I37" s="1175"/>
      <c r="J37" s="1556"/>
      <c r="K37" s="1550"/>
      <c r="L37" s="1552"/>
      <c r="M37" s="1558"/>
      <c r="N37" s="1559"/>
      <c r="O37" s="1560"/>
      <c r="P37" s="1496"/>
      <c r="Q37" s="1224" t="b">
        <v>0</v>
      </c>
      <c r="R37" s="561" t="b">
        <v>0</v>
      </c>
      <c r="S37" s="554" t="b">
        <f t="shared" si="1"/>
        <v>0</v>
      </c>
      <c r="T37" s="554" t="b">
        <f t="shared" si="2"/>
        <v>0</v>
      </c>
      <c r="U37" s="775" t="s">
        <v>858</v>
      </c>
      <c r="V37" s="475"/>
      <c r="W37" s="475"/>
      <c r="X37" s="475"/>
      <c r="Y37" s="475"/>
      <c r="Z37" s="475"/>
      <c r="AA37" s="475"/>
      <c r="AB37" s="475"/>
      <c r="AC37" s="475"/>
      <c r="AD37" s="475"/>
      <c r="AE37" s="775" t="s">
        <v>867</v>
      </c>
      <c r="AF37" s="1447">
        <v>1.4370000000000001</v>
      </c>
      <c r="HA37" s="1477"/>
      <c r="HB37" s="1478"/>
      <c r="HC37" s="1478"/>
      <c r="HD37" s="1485"/>
      <c r="HE37" s="1486"/>
      <c r="HF37" s="1478"/>
      <c r="HG37" s="1478"/>
      <c r="HH37" s="1478"/>
      <c r="HI37" s="1487"/>
      <c r="HJ37" s="1478"/>
      <c r="HK37" s="1478"/>
      <c r="HL37" s="1478"/>
      <c r="HM37" s="1478"/>
      <c r="HN37" s="1478"/>
      <c r="HO37" s="1478"/>
      <c r="HP37" s="1488"/>
      <c r="HQ37" s="1523"/>
    </row>
    <row r="38" spans="1:225" ht="12.6" customHeight="1" x14ac:dyDescent="0.25">
      <c r="A38" s="1471"/>
      <c r="B38" s="1473"/>
      <c r="C38" s="1473"/>
      <c r="D38" s="1494"/>
      <c r="E38" s="1471"/>
      <c r="F38" s="1495"/>
      <c r="G38" s="1471"/>
      <c r="H38" s="1554"/>
      <c r="I38" s="1175"/>
      <c r="J38" s="1556"/>
      <c r="K38" s="1550"/>
      <c r="L38" s="1552"/>
      <c r="M38" s="1558"/>
      <c r="N38" s="1559"/>
      <c r="O38" s="1560"/>
      <c r="P38" s="1496"/>
      <c r="Q38" s="1224" t="b">
        <v>0</v>
      </c>
      <c r="R38" s="561" t="b">
        <v>0</v>
      </c>
      <c r="S38" s="554" t="b">
        <f t="shared" si="1"/>
        <v>0</v>
      </c>
      <c r="T38" s="554" t="b">
        <f t="shared" si="2"/>
        <v>0</v>
      </c>
      <c r="U38" s="775" t="s">
        <v>859</v>
      </c>
      <c r="V38" s="475"/>
      <c r="W38" s="475"/>
      <c r="X38" s="475"/>
      <c r="Y38" s="475"/>
      <c r="Z38" s="475"/>
      <c r="AA38" s="475"/>
      <c r="AB38" s="475"/>
      <c r="AC38" s="475"/>
      <c r="AD38" s="475"/>
      <c r="AE38" s="775" t="s">
        <v>868</v>
      </c>
      <c r="AF38" s="1447">
        <v>1.5</v>
      </c>
      <c r="HA38" s="1477"/>
      <c r="HB38" s="1478"/>
      <c r="HC38" s="1478"/>
      <c r="HD38" s="1485"/>
      <c r="HE38" s="1486"/>
      <c r="HF38" s="1478"/>
      <c r="HG38" s="1478"/>
      <c r="HH38" s="1478"/>
      <c r="HI38" s="1487"/>
      <c r="HJ38" s="1478"/>
      <c r="HK38" s="1478"/>
      <c r="HL38" s="1478"/>
      <c r="HM38" s="1478"/>
      <c r="HN38" s="1478"/>
      <c r="HO38" s="1478"/>
      <c r="HP38" s="1488"/>
      <c r="HQ38" s="1523"/>
    </row>
    <row r="39" spans="1:225" ht="12.6" customHeight="1" x14ac:dyDescent="0.25">
      <c r="A39" s="1471"/>
      <c r="B39" s="1473"/>
      <c r="C39" s="1473"/>
      <c r="D39" s="1494"/>
      <c r="E39" s="1471"/>
      <c r="F39" s="1495"/>
      <c r="G39" s="1471"/>
      <c r="H39" s="1554"/>
      <c r="I39" s="1175"/>
      <c r="J39" s="1556"/>
      <c r="K39" s="1550"/>
      <c r="L39" s="1552"/>
      <c r="M39" s="1558"/>
      <c r="N39" s="1559"/>
      <c r="O39" s="1560"/>
      <c r="P39" s="1496"/>
      <c r="Q39" s="1224" t="b">
        <v>0</v>
      </c>
      <c r="R39" s="561" t="b">
        <v>0</v>
      </c>
      <c r="S39" s="554" t="b">
        <f t="shared" si="1"/>
        <v>0</v>
      </c>
      <c r="T39" s="554" t="b">
        <f t="shared" si="2"/>
        <v>0</v>
      </c>
      <c r="U39" s="775" t="s">
        <v>860</v>
      </c>
      <c r="V39" s="475"/>
      <c r="W39" s="475"/>
      <c r="X39" s="475"/>
      <c r="Y39" s="475"/>
      <c r="Z39" s="475"/>
      <c r="AA39" s="475"/>
      <c r="AB39" s="475"/>
      <c r="AC39" s="475"/>
      <c r="AD39" s="475"/>
      <c r="AE39" s="775" t="s">
        <v>869</v>
      </c>
      <c r="AF39" s="1447">
        <v>1.5</v>
      </c>
      <c r="HA39" s="1477"/>
      <c r="HB39" s="1478"/>
      <c r="HC39" s="1478"/>
      <c r="HD39" s="1485"/>
      <c r="HE39" s="1486"/>
      <c r="HF39" s="1478"/>
      <c r="HG39" s="1478"/>
      <c r="HH39" s="1478"/>
      <c r="HI39" s="1487"/>
      <c r="HJ39" s="1478"/>
      <c r="HK39" s="1478"/>
      <c r="HL39" s="1478"/>
      <c r="HM39" s="1478"/>
      <c r="HN39" s="1478"/>
      <c r="HO39" s="1478"/>
      <c r="HP39" s="1488"/>
      <c r="HQ39" s="1523"/>
    </row>
    <row r="40" spans="1:225" ht="12.6" customHeight="1" x14ac:dyDescent="0.25">
      <c r="A40" s="1471"/>
      <c r="B40" s="1473"/>
      <c r="C40" s="1473"/>
      <c r="D40" s="1494"/>
      <c r="E40" s="1471"/>
      <c r="F40" s="1495"/>
      <c r="G40" s="1471"/>
      <c r="H40" s="1554"/>
      <c r="I40" s="1175"/>
      <c r="J40" s="1556"/>
      <c r="K40" s="1550"/>
      <c r="L40" s="1552"/>
      <c r="M40" s="1558"/>
      <c r="N40" s="1559"/>
      <c r="O40" s="1560"/>
      <c r="P40" s="1496"/>
      <c r="Q40" s="1224" t="b">
        <v>0</v>
      </c>
      <c r="R40" s="561" t="b">
        <v>0</v>
      </c>
      <c r="S40" s="554" t="b">
        <f t="shared" si="1"/>
        <v>0</v>
      </c>
      <c r="T40" s="554" t="b">
        <f t="shared" si="2"/>
        <v>0</v>
      </c>
      <c r="U40" s="675"/>
      <c r="V40" s="475"/>
      <c r="W40" s="475"/>
      <c r="X40" s="475"/>
      <c r="Y40" s="475"/>
      <c r="Z40" s="475"/>
      <c r="AA40" s="475"/>
      <c r="AB40" s="475"/>
      <c r="AC40" s="475"/>
      <c r="AD40" s="475"/>
      <c r="AE40" s="775" t="s">
        <v>870</v>
      </c>
      <c r="AF40" s="1447">
        <v>1.5938000000000001</v>
      </c>
      <c r="HA40" s="1477"/>
      <c r="HB40" s="1478"/>
      <c r="HC40" s="1478"/>
      <c r="HD40" s="1485"/>
      <c r="HE40" s="1486"/>
      <c r="HF40" s="1478"/>
      <c r="HG40" s="1478"/>
      <c r="HH40" s="1478"/>
      <c r="HI40" s="1487"/>
      <c r="HJ40" s="1478"/>
      <c r="HK40" s="1478"/>
      <c r="HL40" s="1478"/>
      <c r="HM40" s="1478"/>
      <c r="HN40" s="1478"/>
      <c r="HO40" s="1478"/>
      <c r="HP40" s="1488"/>
      <c r="HQ40" s="1523"/>
    </row>
    <row r="41" spans="1:225" ht="12.6" customHeight="1" x14ac:dyDescent="0.25">
      <c r="A41" s="1471"/>
      <c r="B41" s="1473"/>
      <c r="C41" s="1473"/>
      <c r="D41" s="1494"/>
      <c r="E41" s="1471"/>
      <c r="F41" s="1495"/>
      <c r="G41" s="1471"/>
      <c r="H41" s="1554"/>
      <c r="I41" s="1175"/>
      <c r="J41" s="1556"/>
      <c r="K41" s="1550"/>
      <c r="L41" s="1552"/>
      <c r="M41" s="1558"/>
      <c r="N41" s="1559"/>
      <c r="O41" s="1560"/>
      <c r="P41" s="1496"/>
      <c r="Q41" s="1224" t="b">
        <v>0</v>
      </c>
      <c r="R41" s="561" t="b">
        <v>0</v>
      </c>
      <c r="S41" s="554" t="b">
        <f t="shared" si="1"/>
        <v>0</v>
      </c>
      <c r="T41" s="554" t="b">
        <f t="shared" si="2"/>
        <v>0</v>
      </c>
      <c r="U41" s="675"/>
      <c r="V41" s="475"/>
      <c r="W41" s="475"/>
      <c r="X41" s="475"/>
      <c r="Y41" s="475"/>
      <c r="Z41" s="475"/>
      <c r="AA41" s="475"/>
      <c r="AB41" s="475"/>
      <c r="AC41" s="475"/>
      <c r="AD41" s="475"/>
      <c r="AE41" s="775" t="s">
        <v>871</v>
      </c>
      <c r="AF41" s="1447">
        <v>1.5940000000000001</v>
      </c>
      <c r="HA41" s="1477"/>
      <c r="HB41" s="1478"/>
      <c r="HC41" s="1478"/>
      <c r="HD41" s="1485"/>
      <c r="HE41" s="1486"/>
      <c r="HF41" s="1478"/>
      <c r="HG41" s="1478"/>
      <c r="HH41" s="1478"/>
      <c r="HI41" s="1487"/>
      <c r="HJ41" s="1478"/>
      <c r="HK41" s="1478"/>
      <c r="HL41" s="1478"/>
      <c r="HM41" s="1478"/>
      <c r="HN41" s="1478"/>
      <c r="HO41" s="1478"/>
      <c r="HP41" s="1488"/>
      <c r="HQ41" s="1523"/>
    </row>
    <row r="42" spans="1:225" ht="12.6" customHeight="1" thickBot="1" x14ac:dyDescent="0.3">
      <c r="A42" s="1472"/>
      <c r="B42" s="1474"/>
      <c r="C42" s="1474"/>
      <c r="D42" s="1497"/>
      <c r="E42" s="1472"/>
      <c r="F42" s="1498"/>
      <c r="G42" s="1472"/>
      <c r="H42" s="1555"/>
      <c r="I42" s="1499"/>
      <c r="J42" s="1557"/>
      <c r="K42" s="1551"/>
      <c r="L42" s="1553"/>
      <c r="M42" s="1561"/>
      <c r="N42" s="1562"/>
      <c r="O42" s="1563"/>
      <c r="P42" s="1500"/>
      <c r="Q42" s="1224" t="b">
        <v>0</v>
      </c>
      <c r="R42" s="561" t="b">
        <v>0</v>
      </c>
      <c r="S42" s="554" t="b">
        <f t="shared" si="1"/>
        <v>0</v>
      </c>
      <c r="T42" s="554" t="b">
        <f t="shared" si="2"/>
        <v>0</v>
      </c>
      <c r="U42" s="675"/>
      <c r="V42" s="475"/>
      <c r="W42" s="475"/>
      <c r="X42" s="475"/>
      <c r="Y42" s="475"/>
      <c r="Z42" s="475"/>
      <c r="AA42" s="475"/>
      <c r="AB42" s="475"/>
      <c r="AC42" s="475"/>
      <c r="AD42" s="475"/>
      <c r="AE42" s="775" t="s">
        <v>872</v>
      </c>
      <c r="AF42" s="1447">
        <v>1.6563000000000001</v>
      </c>
      <c r="HA42" s="1479"/>
      <c r="HB42" s="1480"/>
      <c r="HC42" s="1480"/>
      <c r="HD42" s="1489"/>
      <c r="HE42" s="1490"/>
      <c r="HF42" s="1480"/>
      <c r="HG42" s="1480"/>
      <c r="HH42" s="1480"/>
      <c r="HI42" s="1491"/>
      <c r="HJ42" s="1480"/>
      <c r="HK42" s="1480"/>
      <c r="HL42" s="1480"/>
      <c r="HM42" s="1480"/>
      <c r="HN42" s="1480"/>
      <c r="HO42" s="1480"/>
      <c r="HP42" s="1492"/>
      <c r="HQ42" s="1523"/>
    </row>
    <row r="43" spans="1:225" ht="12.6" customHeight="1" thickTop="1" x14ac:dyDescent="0.2">
      <c r="AE43" s="775" t="s">
        <v>873</v>
      </c>
      <c r="AF43" s="1447">
        <v>1.6559999999999999</v>
      </c>
    </row>
    <row r="44" spans="1:225" ht="12.6" customHeight="1" x14ac:dyDescent="0.2">
      <c r="AE44" s="775" t="s">
        <v>874</v>
      </c>
      <c r="AF44" s="1447">
        <v>1.75</v>
      </c>
    </row>
    <row r="45" spans="1:225" ht="12.6" customHeight="1" x14ac:dyDescent="0.2">
      <c r="AE45" s="775" t="s">
        <v>875</v>
      </c>
      <c r="AF45" s="1447">
        <v>1.7350000000000001</v>
      </c>
    </row>
    <row r="46" spans="1:225" ht="12.6" customHeight="1" x14ac:dyDescent="0.2">
      <c r="A46" s="1145" t="s">
        <v>1062</v>
      </c>
      <c r="AE46" s="775" t="s">
        <v>876</v>
      </c>
      <c r="AF46" s="1447">
        <v>1.8125</v>
      </c>
    </row>
    <row r="47" spans="1:225" ht="12.6" hidden="1" customHeight="1" x14ac:dyDescent="0.2">
      <c r="C47" s="97">
        <f>SUM(C27:C42)</f>
        <v>0</v>
      </c>
      <c r="E47" s="38" t="b">
        <f>SUMIF(E27:E42,"BA*",C27:C42)&gt;0</f>
        <v>0</v>
      </c>
      <c r="AE47" s="775" t="s">
        <v>877</v>
      </c>
      <c r="AF47" s="1447">
        <v>1.7969999999999999</v>
      </c>
    </row>
    <row r="48" spans="1:225" ht="12.6" hidden="1" customHeight="1" x14ac:dyDescent="0.2">
      <c r="AE48" s="775" t="s">
        <v>878</v>
      </c>
      <c r="AF48" s="1447">
        <v>1.875</v>
      </c>
    </row>
    <row r="49" spans="1:32" ht="12.6" hidden="1" customHeight="1" x14ac:dyDescent="0.2">
      <c r="AE49" s="775" t="s">
        <v>879</v>
      </c>
      <c r="AF49" s="1447">
        <v>1.9059999999999999</v>
      </c>
    </row>
    <row r="50" spans="1:32" ht="12.6" hidden="1" customHeight="1" x14ac:dyDescent="0.2">
      <c r="AE50" s="775" t="s">
        <v>880</v>
      </c>
      <c r="AF50" s="1447">
        <v>1.9313</v>
      </c>
    </row>
    <row r="51" spans="1:32" ht="12.6" hidden="1" customHeight="1" x14ac:dyDescent="0.2">
      <c r="AE51" s="775" t="s">
        <v>881</v>
      </c>
      <c r="AF51" s="1447">
        <v>1.9375</v>
      </c>
    </row>
    <row r="52" spans="1:32" ht="12.6" hidden="1" customHeight="1" x14ac:dyDescent="0.2">
      <c r="AE52" s="775" t="s">
        <v>882</v>
      </c>
      <c r="AF52" s="1447">
        <v>1.9379999999999999</v>
      </c>
    </row>
    <row r="53" spans="1:32" ht="12.6" hidden="1" customHeight="1" x14ac:dyDescent="0.2">
      <c r="AE53" s="775" t="s">
        <v>883</v>
      </c>
      <c r="AF53" s="1447">
        <v>2.0937999999999999</v>
      </c>
    </row>
    <row r="54" spans="1:32" ht="12.6" hidden="1" customHeight="1" x14ac:dyDescent="0.2">
      <c r="AE54" s="775" t="s">
        <v>884</v>
      </c>
      <c r="AF54" s="1447">
        <v>2.0779999999999998</v>
      </c>
    </row>
    <row r="55" spans="1:32" ht="12.6" hidden="1" customHeight="1" x14ac:dyDescent="0.2">
      <c r="AE55" s="775" t="s">
        <v>885</v>
      </c>
      <c r="AF55" s="1447">
        <v>2.0779999999999998</v>
      </c>
    </row>
    <row r="56" spans="1:32" ht="12.6" hidden="1" customHeight="1" x14ac:dyDescent="0.2">
      <c r="AE56" s="775" t="s">
        <v>886</v>
      </c>
      <c r="AF56" s="1447">
        <v>2.2187999999999999</v>
      </c>
    </row>
    <row r="57" spans="1:32" ht="12.6" hidden="1" customHeight="1" x14ac:dyDescent="0.2">
      <c r="AE57" s="775" t="s">
        <v>887</v>
      </c>
      <c r="AF57" s="1447">
        <v>2.2189999999999999</v>
      </c>
    </row>
    <row r="58" spans="1:32" ht="12.6" hidden="1" customHeight="1" x14ac:dyDescent="0.2">
      <c r="AE58" s="775" t="s">
        <v>888</v>
      </c>
      <c r="AF58" s="1447">
        <v>2.375</v>
      </c>
    </row>
    <row r="59" spans="1:32" ht="12.6" hidden="1" customHeight="1" x14ac:dyDescent="0.2">
      <c r="AE59" s="775" t="s">
        <v>889</v>
      </c>
      <c r="AF59" s="1447">
        <v>2.2360000000000002</v>
      </c>
    </row>
    <row r="60" spans="1:32" ht="12.6" hidden="1" customHeight="1" x14ac:dyDescent="0.2">
      <c r="A60" s="1128" t="s">
        <v>1222</v>
      </c>
      <c r="AE60" s="775" t="s">
        <v>890</v>
      </c>
      <c r="AF60" s="1447">
        <v>2.375</v>
      </c>
    </row>
    <row r="61" spans="1:32" ht="12.6" hidden="1" customHeight="1" x14ac:dyDescent="0.2">
      <c r="A61" s="1130"/>
      <c r="AE61" s="775" t="s">
        <v>891</v>
      </c>
      <c r="AF61" s="1447">
        <v>2.3769999999999998</v>
      </c>
    </row>
    <row r="62" spans="1:32" ht="12.6" hidden="1" customHeight="1" x14ac:dyDescent="0.2">
      <c r="AE62" s="775" t="s">
        <v>892</v>
      </c>
      <c r="AF62" s="1447">
        <v>2.375</v>
      </c>
    </row>
    <row r="63" spans="1:32" ht="12.6" hidden="1" customHeight="1" x14ac:dyDescent="0.2">
      <c r="AE63" s="775" t="s">
        <v>893</v>
      </c>
      <c r="AF63" s="1447">
        <v>2.625</v>
      </c>
    </row>
    <row r="64" spans="1:32" ht="12.6" hidden="1" customHeight="1" x14ac:dyDescent="0.2">
      <c r="AE64" s="775" t="s">
        <v>894</v>
      </c>
      <c r="AF64" s="1447">
        <v>2.375</v>
      </c>
    </row>
    <row r="65" spans="1:32" ht="12.6" customHeight="1" x14ac:dyDescent="0.2">
      <c r="A65" s="1145" t="s">
        <v>1063</v>
      </c>
      <c r="AE65" s="775" t="s">
        <v>895</v>
      </c>
      <c r="AF65" s="1447">
        <v>2.375</v>
      </c>
    </row>
    <row r="66" spans="1:32" ht="12.6" customHeight="1" x14ac:dyDescent="0.2">
      <c r="AE66" s="775" t="s">
        <v>896</v>
      </c>
      <c r="AF66" s="1447">
        <v>2.875</v>
      </c>
    </row>
    <row r="67" spans="1:32" ht="12.6" customHeight="1" x14ac:dyDescent="0.2">
      <c r="AE67" s="775" t="s">
        <v>897</v>
      </c>
      <c r="AF67" s="1447">
        <v>2.375</v>
      </c>
    </row>
    <row r="68" spans="1:32" ht="12.6" customHeight="1" x14ac:dyDescent="0.2">
      <c r="AE68" s="775" t="s">
        <v>898</v>
      </c>
      <c r="AF68" s="1447">
        <v>2.5939000000000001</v>
      </c>
    </row>
    <row r="69" spans="1:32" ht="12.6" customHeight="1" x14ac:dyDescent="0.2">
      <c r="AE69" s="775" t="s">
        <v>899</v>
      </c>
      <c r="AF69" s="1447">
        <v>3.0625</v>
      </c>
    </row>
    <row r="70" spans="1:32" ht="12.6" customHeight="1" x14ac:dyDescent="0.2">
      <c r="AE70" s="775" t="s">
        <v>900</v>
      </c>
      <c r="AF70" s="1447">
        <v>3.0939000000000001</v>
      </c>
    </row>
    <row r="71" spans="1:32" ht="12.6" customHeight="1" x14ac:dyDescent="0.2">
      <c r="AE71" s="775" t="s">
        <v>901</v>
      </c>
      <c r="AF71" s="1447">
        <v>3.0937999999999999</v>
      </c>
    </row>
    <row r="72" spans="1:32" ht="12.6" customHeight="1" x14ac:dyDescent="0.2">
      <c r="AE72" s="775" t="s">
        <v>902</v>
      </c>
      <c r="AF72" s="1447">
        <v>2.5647000000000002</v>
      </c>
    </row>
    <row r="73" spans="1:32" ht="12.6" customHeight="1" x14ac:dyDescent="0.2">
      <c r="AE73" s="775" t="s">
        <v>903</v>
      </c>
      <c r="AF73" s="1447">
        <v>2.3439999999999999</v>
      </c>
    </row>
    <row r="74" spans="1:32" ht="12.6" customHeight="1" x14ac:dyDescent="0.2">
      <c r="AE74" s="775" t="s">
        <v>904</v>
      </c>
      <c r="AF74" s="1447">
        <v>1.8305</v>
      </c>
    </row>
    <row r="75" spans="1:32" ht="12.6" customHeight="1" x14ac:dyDescent="0.2">
      <c r="AE75" s="775" t="s">
        <v>905</v>
      </c>
      <c r="AF75" s="1447">
        <v>1.8848</v>
      </c>
    </row>
    <row r="76" spans="1:32" ht="12.6" customHeight="1" x14ac:dyDescent="0.2">
      <c r="AE76" s="775" t="s">
        <v>906</v>
      </c>
      <c r="AF76" s="1447">
        <v>2</v>
      </c>
    </row>
    <row r="77" spans="1:32" ht="12.6" customHeight="1" x14ac:dyDescent="0.2">
      <c r="AE77" s="775" t="s">
        <v>907</v>
      </c>
      <c r="AF77" s="1447">
        <v>2.75</v>
      </c>
    </row>
    <row r="78" spans="1:32" ht="12.6" customHeight="1" x14ac:dyDescent="0.2">
      <c r="AE78" s="775" t="s">
        <v>908</v>
      </c>
      <c r="AF78" s="1447">
        <v>2</v>
      </c>
    </row>
    <row r="79" spans="1:32" ht="12.6" customHeight="1" x14ac:dyDescent="0.2">
      <c r="AE79" s="775" t="s">
        <v>857</v>
      </c>
      <c r="AF79" s="1447">
        <v>1</v>
      </c>
    </row>
    <row r="80" spans="1:32" ht="12.6" customHeight="1" x14ac:dyDescent="0.2">
      <c r="AE80" s="775" t="s">
        <v>858</v>
      </c>
      <c r="AF80" s="1447">
        <v>1</v>
      </c>
    </row>
    <row r="81" spans="31:32" ht="12.6" customHeight="1" x14ac:dyDescent="0.2">
      <c r="AE81" s="775" t="s">
        <v>859</v>
      </c>
      <c r="AF81" s="1447">
        <v>1</v>
      </c>
    </row>
    <row r="82" spans="31:32" ht="12.6" customHeight="1" x14ac:dyDescent="0.2">
      <c r="AE82" s="775" t="s">
        <v>860</v>
      </c>
      <c r="AF82" s="1447">
        <v>1</v>
      </c>
    </row>
    <row r="83" spans="31:32" ht="12.6" customHeight="1" x14ac:dyDescent="0.2">
      <c r="AE83" s="775" t="s">
        <v>909</v>
      </c>
      <c r="AF83" s="1447">
        <v>1.25</v>
      </c>
    </row>
    <row r="84" spans="31:32" ht="12.6" customHeight="1" x14ac:dyDescent="0.2">
      <c r="AE84" s="775" t="s">
        <v>910</v>
      </c>
      <c r="AF84" s="1447">
        <v>1.25</v>
      </c>
    </row>
    <row r="85" spans="31:32" ht="12.6" customHeight="1" x14ac:dyDescent="0.2">
      <c r="AE85" s="775" t="s">
        <v>911</v>
      </c>
      <c r="AF85" s="1447">
        <v>1.25</v>
      </c>
    </row>
    <row r="86" spans="31:32" ht="12.6" customHeight="1" x14ac:dyDescent="0.2">
      <c r="AE86" s="775" t="s">
        <v>912</v>
      </c>
      <c r="AF86" s="1447">
        <v>1.25</v>
      </c>
    </row>
    <row r="87" spans="31:32" ht="12.6" customHeight="1" x14ac:dyDescent="0.2">
      <c r="AE87" s="775" t="s">
        <v>913</v>
      </c>
      <c r="AF87" s="1447">
        <v>1.5</v>
      </c>
    </row>
    <row r="88" spans="31:32" ht="12.6" customHeight="1" x14ac:dyDescent="0.2">
      <c r="AE88" s="775" t="s">
        <v>914</v>
      </c>
      <c r="AF88" s="1447">
        <v>1.5</v>
      </c>
    </row>
    <row r="89" spans="31:32" ht="12.6" customHeight="1" x14ac:dyDescent="0.2">
      <c r="AE89" s="775" t="s">
        <v>915</v>
      </c>
      <c r="AF89" s="1447">
        <v>1.5</v>
      </c>
    </row>
    <row r="90" spans="31:32" ht="12.6" customHeight="1" x14ac:dyDescent="0.2">
      <c r="AE90" s="775">
        <v>15125</v>
      </c>
      <c r="AF90" s="1447">
        <v>1.5</v>
      </c>
    </row>
    <row r="91" spans="31:32" ht="12.6" customHeight="1" x14ac:dyDescent="0.2">
      <c r="AE91" s="775">
        <v>15130</v>
      </c>
      <c r="AF91" s="1447">
        <v>1.5</v>
      </c>
    </row>
    <row r="92" spans="31:32" ht="12.6" customHeight="1" x14ac:dyDescent="0.2">
      <c r="AE92" s="775" t="s">
        <v>916</v>
      </c>
      <c r="AF92" s="1447">
        <v>1.5</v>
      </c>
    </row>
    <row r="93" spans="31:32" ht="12.6" customHeight="1" x14ac:dyDescent="0.2">
      <c r="AE93" s="775" t="s">
        <v>917</v>
      </c>
      <c r="AF93" s="1447">
        <v>1.5</v>
      </c>
    </row>
    <row r="94" spans="31:32" ht="12.6" customHeight="1" x14ac:dyDescent="0.2">
      <c r="AE94" s="775" t="s">
        <v>918</v>
      </c>
      <c r="AF94" s="1447">
        <v>1.5</v>
      </c>
    </row>
    <row r="95" spans="31:32" ht="12.6" customHeight="1" x14ac:dyDescent="0.2">
      <c r="AE95" s="775">
        <v>15156</v>
      </c>
      <c r="AF95" s="1447">
        <v>1.5</v>
      </c>
    </row>
    <row r="96" spans="31:32" ht="12.6" customHeight="1" x14ac:dyDescent="0.2">
      <c r="AE96" s="775" t="s">
        <v>919</v>
      </c>
      <c r="AF96" s="1447">
        <v>1.5</v>
      </c>
    </row>
    <row r="97" spans="31:32" ht="12.6" customHeight="1" x14ac:dyDescent="0.2">
      <c r="AE97" s="775">
        <v>15172</v>
      </c>
      <c r="AF97" s="1447">
        <v>1.5</v>
      </c>
    </row>
    <row r="98" spans="31:32" ht="12.6" customHeight="1" x14ac:dyDescent="0.2">
      <c r="AE98" s="775" t="s">
        <v>920</v>
      </c>
      <c r="AF98" s="1447">
        <v>1.5</v>
      </c>
    </row>
    <row r="99" spans="31:32" ht="12.6" customHeight="1" x14ac:dyDescent="0.2">
      <c r="AE99" s="775" t="s">
        <v>921</v>
      </c>
      <c r="AF99" s="1447">
        <v>1.5</v>
      </c>
    </row>
    <row r="100" spans="31:32" ht="12.6" customHeight="1" x14ac:dyDescent="0.2">
      <c r="AE100" s="775" t="s">
        <v>922</v>
      </c>
      <c r="AF100" s="1447">
        <v>1.75</v>
      </c>
    </row>
    <row r="101" spans="31:32" ht="12.6" customHeight="1" x14ac:dyDescent="0.2">
      <c r="AE101" s="775" t="s">
        <v>923</v>
      </c>
      <c r="AF101" s="1447">
        <v>1.75</v>
      </c>
    </row>
    <row r="102" spans="31:32" ht="12.6" customHeight="1" x14ac:dyDescent="0.2">
      <c r="AE102" s="775">
        <v>17141</v>
      </c>
      <c r="AF102" s="1447">
        <v>1.75</v>
      </c>
    </row>
    <row r="103" spans="31:32" ht="12.6" customHeight="1" x14ac:dyDescent="0.2">
      <c r="AE103" s="775" t="s">
        <v>924</v>
      </c>
      <c r="AF103" s="1447">
        <v>1.75</v>
      </c>
    </row>
    <row r="104" spans="31:32" ht="12.6" customHeight="1" x14ac:dyDescent="0.2">
      <c r="AE104" s="775" t="s">
        <v>925</v>
      </c>
      <c r="AF104" s="1447">
        <v>1.75</v>
      </c>
    </row>
    <row r="105" spans="31:32" ht="12.6" customHeight="1" x14ac:dyDescent="0.2">
      <c r="AE105" s="775">
        <v>17156</v>
      </c>
      <c r="AF105" s="1447">
        <v>1.75</v>
      </c>
    </row>
    <row r="106" spans="31:32" ht="12.6" customHeight="1" x14ac:dyDescent="0.2">
      <c r="AE106" s="775" t="s">
        <v>926</v>
      </c>
      <c r="AF106" s="1447">
        <v>1.75</v>
      </c>
    </row>
    <row r="107" spans="31:32" ht="12.6" customHeight="1" x14ac:dyDescent="0.2">
      <c r="AE107" s="775" t="s">
        <v>927</v>
      </c>
      <c r="AF107" s="1447">
        <v>1.75</v>
      </c>
    </row>
    <row r="108" spans="31:32" ht="12.6" customHeight="1" x14ac:dyDescent="0.2">
      <c r="AE108" s="775" t="s">
        <v>928</v>
      </c>
      <c r="AF108" s="1447">
        <v>1.75</v>
      </c>
    </row>
    <row r="109" spans="31:32" ht="12.6" customHeight="1" x14ac:dyDescent="0.2">
      <c r="AE109" s="775" t="s">
        <v>929</v>
      </c>
      <c r="AF109" s="1447">
        <v>2</v>
      </c>
    </row>
    <row r="110" spans="31:32" ht="12.6" customHeight="1" x14ac:dyDescent="0.2">
      <c r="AE110" s="775" t="s">
        <v>930</v>
      </c>
      <c r="AF110" s="1447">
        <v>2</v>
      </c>
    </row>
    <row r="111" spans="31:32" ht="12.6" customHeight="1" x14ac:dyDescent="0.2">
      <c r="AE111" s="775" t="s">
        <v>931</v>
      </c>
      <c r="AF111" s="1447">
        <v>2</v>
      </c>
    </row>
    <row r="112" spans="31:32" ht="12.6" customHeight="1" x14ac:dyDescent="0.2">
      <c r="AE112" s="775" t="s">
        <v>932</v>
      </c>
      <c r="AF112" s="1447">
        <v>2</v>
      </c>
    </row>
    <row r="113" spans="31:32" ht="12.6" customHeight="1" x14ac:dyDescent="0.2">
      <c r="AE113" s="775" t="s">
        <v>933</v>
      </c>
      <c r="AF113" s="1447">
        <v>2</v>
      </c>
    </row>
    <row r="114" spans="31:32" ht="12.6" customHeight="1" x14ac:dyDescent="0.2">
      <c r="AE114" s="236">
        <v>20184</v>
      </c>
      <c r="AF114" s="1447">
        <v>2</v>
      </c>
    </row>
    <row r="115" spans="31:32" ht="12.6" customHeight="1" x14ac:dyDescent="0.2">
      <c r="AE115" s="236" t="s">
        <v>934</v>
      </c>
      <c r="AF115" s="1447">
        <v>2</v>
      </c>
    </row>
    <row r="116" spans="31:32" ht="12.6" customHeight="1" x14ac:dyDescent="0.2">
      <c r="AE116" s="236">
        <v>252018</v>
      </c>
      <c r="AF116" s="1447">
        <v>10</v>
      </c>
    </row>
    <row r="117" spans="31:32" ht="12.6" customHeight="1" x14ac:dyDescent="0.2">
      <c r="AE117" s="236">
        <v>302018</v>
      </c>
      <c r="AF117" s="1447">
        <v>10</v>
      </c>
    </row>
    <row r="118" spans="31:32" ht="12.6" customHeight="1" x14ac:dyDescent="0.2">
      <c r="AE118" s="236" t="s">
        <v>935</v>
      </c>
      <c r="AF118" s="1447">
        <v>2</v>
      </c>
    </row>
    <row r="119" spans="31:32" ht="12.6" customHeight="1" x14ac:dyDescent="0.2">
      <c r="AE119" s="236" t="s">
        <v>936</v>
      </c>
      <c r="AF119" s="1447">
        <v>2</v>
      </c>
    </row>
    <row r="120" spans="31:32" ht="12.6" customHeight="1" x14ac:dyDescent="0.2">
      <c r="AE120" s="236">
        <v>20219</v>
      </c>
      <c r="AF120" s="1447">
        <v>2</v>
      </c>
    </row>
    <row r="121" spans="31:32" ht="12.6" customHeight="1" x14ac:dyDescent="0.2">
      <c r="AE121" s="236" t="s">
        <v>937</v>
      </c>
      <c r="AF121" s="1447">
        <v>2</v>
      </c>
    </row>
    <row r="122" spans="31:32" ht="12.6" customHeight="1" x14ac:dyDescent="0.2">
      <c r="AE122" s="236">
        <v>20232</v>
      </c>
      <c r="AF122" s="1447">
        <v>2</v>
      </c>
    </row>
    <row r="123" spans="31:32" ht="12.6" customHeight="1" x14ac:dyDescent="0.2">
      <c r="AE123" s="236" t="s">
        <v>938</v>
      </c>
      <c r="AF123" s="1447">
        <v>2</v>
      </c>
    </row>
    <row r="124" spans="31:32" ht="12.6" customHeight="1" x14ac:dyDescent="0.2">
      <c r="AE124" s="236" t="s">
        <v>939</v>
      </c>
      <c r="AF124" s="1447">
        <v>2</v>
      </c>
    </row>
    <row r="125" spans="31:32" ht="12.6" customHeight="1" x14ac:dyDescent="0.2">
      <c r="AE125" s="236">
        <v>302025</v>
      </c>
      <c r="AF125" s="1447">
        <v>10</v>
      </c>
    </row>
    <row r="126" spans="31:32" ht="12.6" customHeight="1" x14ac:dyDescent="0.2">
      <c r="AE126" s="236" t="s">
        <v>940</v>
      </c>
      <c r="AF126" s="1447">
        <v>2</v>
      </c>
    </row>
    <row r="127" spans="31:32" ht="12.6" customHeight="1" x14ac:dyDescent="0.2">
      <c r="AE127" s="236" t="s">
        <v>941</v>
      </c>
      <c r="AF127" s="1447">
        <v>2</v>
      </c>
    </row>
    <row r="128" spans="31:32" ht="12.6" customHeight="1" x14ac:dyDescent="0.2">
      <c r="AE128" s="236">
        <v>302037</v>
      </c>
      <c r="AF128" s="1447">
        <v>10</v>
      </c>
    </row>
    <row r="129" spans="31:32" ht="12.6" customHeight="1" x14ac:dyDescent="0.2">
      <c r="AE129" s="236" t="s">
        <v>942</v>
      </c>
      <c r="AF129" s="1447">
        <v>2.5</v>
      </c>
    </row>
    <row r="130" spans="31:32" ht="12.6" customHeight="1" x14ac:dyDescent="0.2">
      <c r="AE130" s="236">
        <v>202518</v>
      </c>
      <c r="AF130" s="1447">
        <v>10</v>
      </c>
    </row>
    <row r="131" spans="31:32" ht="12.6" customHeight="1" x14ac:dyDescent="0.2">
      <c r="AE131" s="236" t="s">
        <v>943</v>
      </c>
      <c r="AF131" s="1447">
        <v>2.5</v>
      </c>
    </row>
    <row r="132" spans="31:32" ht="12.6" customHeight="1" x14ac:dyDescent="0.2">
      <c r="AE132" s="236" t="s">
        <v>944</v>
      </c>
      <c r="AF132" s="1447">
        <v>2.5</v>
      </c>
    </row>
    <row r="133" spans="31:32" ht="12.6" customHeight="1" x14ac:dyDescent="0.2">
      <c r="AE133" s="236" t="s">
        <v>945</v>
      </c>
      <c r="AF133" s="1447">
        <v>2.5</v>
      </c>
    </row>
    <row r="134" spans="31:32" ht="12.6" customHeight="1" x14ac:dyDescent="0.2">
      <c r="AE134" s="236" t="s">
        <v>946</v>
      </c>
      <c r="AF134" s="1447">
        <v>2.5</v>
      </c>
    </row>
    <row r="135" spans="31:32" ht="12.6" customHeight="1" x14ac:dyDescent="0.2">
      <c r="AE135" s="236" t="s">
        <v>947</v>
      </c>
      <c r="AF135" s="1447">
        <v>2.5</v>
      </c>
    </row>
    <row r="136" spans="31:32" ht="12.6" customHeight="1" x14ac:dyDescent="0.2">
      <c r="AE136" s="236" t="s">
        <v>948</v>
      </c>
      <c r="AF136" s="1447">
        <v>3</v>
      </c>
    </row>
    <row r="137" spans="31:32" ht="12.6" customHeight="1" x14ac:dyDescent="0.2">
      <c r="AE137" s="236">
        <v>203018</v>
      </c>
      <c r="AF137" s="1447">
        <v>10</v>
      </c>
    </row>
    <row r="138" spans="31:32" ht="12.6" customHeight="1" x14ac:dyDescent="0.2">
      <c r="AE138" s="236" t="s">
        <v>949</v>
      </c>
      <c r="AF138" s="1447">
        <v>3</v>
      </c>
    </row>
    <row r="139" spans="31:32" ht="12.6" customHeight="1" x14ac:dyDescent="0.2">
      <c r="AE139" s="236" t="s">
        <v>950</v>
      </c>
      <c r="AF139" s="1447">
        <v>3</v>
      </c>
    </row>
    <row r="140" spans="31:32" ht="12.6" customHeight="1" x14ac:dyDescent="0.2">
      <c r="AE140" s="236">
        <v>203025</v>
      </c>
      <c r="AF140" s="1447">
        <v>10</v>
      </c>
    </row>
    <row r="141" spans="31:32" ht="12.6" customHeight="1" x14ac:dyDescent="0.2">
      <c r="AE141" s="236">
        <v>403025</v>
      </c>
      <c r="AF141" s="1447">
        <v>10</v>
      </c>
    </row>
    <row r="142" spans="31:32" ht="12.6" customHeight="1" x14ac:dyDescent="0.2">
      <c r="AE142" s="236">
        <v>503025</v>
      </c>
      <c r="AF142" s="1447">
        <v>10</v>
      </c>
    </row>
    <row r="143" spans="31:32" ht="12.6" customHeight="1" x14ac:dyDescent="0.2">
      <c r="AE143" s="236" t="s">
        <v>951</v>
      </c>
      <c r="AF143" s="1447">
        <v>3</v>
      </c>
    </row>
    <row r="144" spans="31:32" ht="12.6" customHeight="1" x14ac:dyDescent="0.2">
      <c r="AE144" s="236" t="s">
        <v>952</v>
      </c>
      <c r="AF144" s="1447">
        <v>3</v>
      </c>
    </row>
    <row r="145" spans="31:32" ht="12.6" customHeight="1" x14ac:dyDescent="0.2">
      <c r="AE145" s="236" t="s">
        <v>953</v>
      </c>
      <c r="AF145" s="1447">
        <v>3</v>
      </c>
    </row>
    <row r="146" spans="31:32" ht="12.6" customHeight="1" x14ac:dyDescent="0.2">
      <c r="AE146" s="236" t="s">
        <v>954</v>
      </c>
      <c r="AF146" s="1447">
        <v>3</v>
      </c>
    </row>
    <row r="147" spans="31:32" ht="12.6" customHeight="1" x14ac:dyDescent="0.2">
      <c r="AE147" s="236">
        <v>203037</v>
      </c>
      <c r="AF147" s="1447">
        <v>10</v>
      </c>
    </row>
    <row r="148" spans="31:32" ht="12.6" customHeight="1" x14ac:dyDescent="0.2">
      <c r="AE148" s="236">
        <v>403037</v>
      </c>
      <c r="AF148" s="1447">
        <v>10</v>
      </c>
    </row>
    <row r="149" spans="31:32" ht="12.6" customHeight="1" x14ac:dyDescent="0.2">
      <c r="AE149" s="236">
        <v>503037</v>
      </c>
      <c r="AF149" s="1447">
        <v>10</v>
      </c>
    </row>
    <row r="150" spans="31:32" ht="12.6" customHeight="1" x14ac:dyDescent="0.2">
      <c r="AE150" s="236">
        <v>3231</v>
      </c>
      <c r="AF150" s="1447">
        <v>3.25</v>
      </c>
    </row>
    <row r="151" spans="31:32" ht="12.6" customHeight="1" x14ac:dyDescent="0.2">
      <c r="AE151" s="236" t="s">
        <v>955</v>
      </c>
      <c r="AF151" s="1447">
        <v>3.5</v>
      </c>
    </row>
    <row r="152" spans="31:32" ht="12.6" customHeight="1" x14ac:dyDescent="0.2">
      <c r="AE152" s="236" t="s">
        <v>956</v>
      </c>
      <c r="AF152" s="1447">
        <v>3.5</v>
      </c>
    </row>
    <row r="153" spans="31:32" ht="12.6" customHeight="1" x14ac:dyDescent="0.2">
      <c r="AE153" s="236" t="s">
        <v>957</v>
      </c>
      <c r="AF153" s="1447">
        <v>3.5</v>
      </c>
    </row>
    <row r="154" spans="31:32" ht="12.6" customHeight="1" x14ac:dyDescent="0.2">
      <c r="AE154" s="236" t="s">
        <v>958</v>
      </c>
      <c r="AF154" s="1447">
        <v>3.5</v>
      </c>
    </row>
    <row r="155" spans="31:32" ht="12.6" customHeight="1" x14ac:dyDescent="0.2">
      <c r="AE155" s="236">
        <v>503537</v>
      </c>
      <c r="AF155" s="1447">
        <v>10</v>
      </c>
    </row>
    <row r="156" spans="31:32" ht="12.6" customHeight="1" x14ac:dyDescent="0.2">
      <c r="AE156" s="236">
        <v>503550</v>
      </c>
      <c r="AF156" s="1447">
        <v>10</v>
      </c>
    </row>
    <row r="157" spans="31:32" ht="12.6" customHeight="1" x14ac:dyDescent="0.2">
      <c r="AE157" s="236" t="s">
        <v>959</v>
      </c>
      <c r="AF157" s="1447">
        <v>4</v>
      </c>
    </row>
    <row r="158" spans="31:32" ht="12.6" customHeight="1" x14ac:dyDescent="0.2">
      <c r="AE158" s="236">
        <v>304025</v>
      </c>
      <c r="AF158" s="1447">
        <v>10</v>
      </c>
    </row>
    <row r="159" spans="31:32" ht="12.6" customHeight="1" x14ac:dyDescent="0.2">
      <c r="AE159" s="236" t="s">
        <v>960</v>
      </c>
      <c r="AF159" s="1447">
        <v>4</v>
      </c>
    </row>
    <row r="160" spans="31:32" ht="12.6" customHeight="1" x14ac:dyDescent="0.2">
      <c r="AE160" s="236" t="s">
        <v>961</v>
      </c>
      <c r="AF160" s="1447">
        <v>4</v>
      </c>
    </row>
    <row r="161" spans="31:32" ht="12.6" customHeight="1" x14ac:dyDescent="0.2">
      <c r="AE161" s="236" t="s">
        <v>962</v>
      </c>
      <c r="AF161" s="1447">
        <v>4</v>
      </c>
    </row>
    <row r="162" spans="31:32" ht="12.6" customHeight="1" x14ac:dyDescent="0.2">
      <c r="AE162" s="236">
        <v>304037</v>
      </c>
      <c r="AF162" s="1447">
        <v>10</v>
      </c>
    </row>
    <row r="163" spans="31:32" ht="12.6" customHeight="1" x14ac:dyDescent="0.2">
      <c r="AE163" s="236">
        <v>604037</v>
      </c>
      <c r="AF163" s="1447">
        <v>10</v>
      </c>
    </row>
    <row r="164" spans="31:32" ht="12.6" customHeight="1" x14ac:dyDescent="0.2">
      <c r="AE164" s="236">
        <v>704037</v>
      </c>
      <c r="AF164" s="1447">
        <v>10</v>
      </c>
    </row>
    <row r="165" spans="31:32" ht="12.6" customHeight="1" x14ac:dyDescent="0.2">
      <c r="AE165" s="236" t="s">
        <v>963</v>
      </c>
      <c r="AF165" s="1447">
        <v>4</v>
      </c>
    </row>
    <row r="166" spans="31:32" ht="12.6" customHeight="1" x14ac:dyDescent="0.2">
      <c r="AE166" s="236" t="s">
        <v>964</v>
      </c>
      <c r="AF166" s="1447">
        <v>4</v>
      </c>
    </row>
    <row r="167" spans="31:32" ht="12.6" customHeight="1" x14ac:dyDescent="0.2">
      <c r="AE167" s="236">
        <v>704050</v>
      </c>
      <c r="AF167" s="1447">
        <v>10</v>
      </c>
    </row>
    <row r="168" spans="31:32" ht="12.6" customHeight="1" x14ac:dyDescent="0.2">
      <c r="AE168" s="236">
        <v>305025</v>
      </c>
      <c r="AF168" s="1447">
        <v>10</v>
      </c>
    </row>
    <row r="169" spans="31:32" ht="12.6" customHeight="1" x14ac:dyDescent="0.2">
      <c r="AE169" s="236">
        <v>305037</v>
      </c>
      <c r="AF169" s="1447">
        <v>10</v>
      </c>
    </row>
    <row r="170" spans="31:32" ht="12.6" customHeight="1" x14ac:dyDescent="0.2">
      <c r="AE170" s="236">
        <v>355037</v>
      </c>
      <c r="AF170" s="1447">
        <v>10</v>
      </c>
    </row>
    <row r="171" spans="31:32" ht="12.6" customHeight="1" x14ac:dyDescent="0.2">
      <c r="AE171" s="236" t="s">
        <v>965</v>
      </c>
      <c r="AF171" s="1447">
        <v>5</v>
      </c>
    </row>
    <row r="172" spans="31:32" ht="12.6" customHeight="1" x14ac:dyDescent="0.2">
      <c r="AE172" s="236" t="s">
        <v>966</v>
      </c>
      <c r="AF172" s="1447">
        <v>5</v>
      </c>
    </row>
    <row r="173" spans="31:32" ht="12.6" customHeight="1" x14ac:dyDescent="0.2">
      <c r="AE173" s="236">
        <v>355050</v>
      </c>
      <c r="AF173" s="1447">
        <v>10</v>
      </c>
    </row>
    <row r="174" spans="31:32" ht="12.6" customHeight="1" x14ac:dyDescent="0.2">
      <c r="AE174" s="236">
        <v>406037</v>
      </c>
      <c r="AF174" s="1447">
        <v>10</v>
      </c>
    </row>
    <row r="175" spans="31:32" ht="12.6" customHeight="1" x14ac:dyDescent="0.2">
      <c r="AE175" s="236" t="s">
        <v>967</v>
      </c>
      <c r="AF175" s="1447">
        <v>6</v>
      </c>
    </row>
    <row r="176" spans="31:32" ht="12.6" customHeight="1" x14ac:dyDescent="0.2">
      <c r="AE176" s="236" t="s">
        <v>968</v>
      </c>
      <c r="AF176" s="1447">
        <v>6</v>
      </c>
    </row>
    <row r="177" spans="31:32" ht="12.6" customHeight="1" x14ac:dyDescent="0.2">
      <c r="AE177" s="236" t="s">
        <v>969</v>
      </c>
      <c r="AF177" s="1447">
        <v>6</v>
      </c>
    </row>
    <row r="178" spans="31:32" ht="12.6" customHeight="1" x14ac:dyDescent="0.2">
      <c r="AE178" s="236" t="s">
        <v>970</v>
      </c>
      <c r="AF178" s="1447">
        <v>6</v>
      </c>
    </row>
    <row r="179" spans="31:32" ht="12.6" customHeight="1" x14ac:dyDescent="0.2">
      <c r="AE179" s="236">
        <v>806062</v>
      </c>
      <c r="AF179" s="1447">
        <v>10</v>
      </c>
    </row>
    <row r="180" spans="31:32" ht="12.6" customHeight="1" x14ac:dyDescent="0.2">
      <c r="AE180" s="236" t="s">
        <v>971</v>
      </c>
      <c r="AF180" s="1447">
        <v>6</v>
      </c>
    </row>
    <row r="181" spans="31:32" ht="12.6" customHeight="1" x14ac:dyDescent="0.2">
      <c r="AE181" s="236" t="s">
        <v>972</v>
      </c>
      <c r="AF181" s="1447">
        <v>6</v>
      </c>
    </row>
    <row r="182" spans="31:32" ht="12.6" customHeight="1" x14ac:dyDescent="0.2">
      <c r="AE182" s="236">
        <v>407037</v>
      </c>
      <c r="AF182" s="1447">
        <v>10</v>
      </c>
    </row>
    <row r="183" spans="31:32" ht="12.6" customHeight="1" x14ac:dyDescent="0.2">
      <c r="AE183" s="236">
        <v>407050</v>
      </c>
      <c r="AF183" s="1447">
        <v>10</v>
      </c>
    </row>
    <row r="184" spans="31:32" ht="12.6" customHeight="1" x14ac:dyDescent="0.2">
      <c r="AE184" s="236" t="s">
        <v>973</v>
      </c>
      <c r="AF184" s="1447">
        <v>8</v>
      </c>
    </row>
    <row r="185" spans="31:32" ht="12.6" customHeight="1" x14ac:dyDescent="0.2">
      <c r="AE185" s="236">
        <v>8054</v>
      </c>
      <c r="AF185" s="1447">
        <v>8</v>
      </c>
    </row>
    <row r="186" spans="31:32" ht="12.6" customHeight="1" x14ac:dyDescent="0.2">
      <c r="AE186" s="236" t="s">
        <v>974</v>
      </c>
      <c r="AF186" s="1447">
        <v>8</v>
      </c>
    </row>
    <row r="187" spans="31:32" ht="12.6" customHeight="1" x14ac:dyDescent="0.2">
      <c r="AE187" s="236">
        <v>608062</v>
      </c>
      <c r="AF187" s="1447">
        <v>10</v>
      </c>
    </row>
    <row r="188" spans="31:32" ht="12.6" customHeight="1" x14ac:dyDescent="0.2">
      <c r="AE188" s="236" t="s">
        <v>975</v>
      </c>
      <c r="AF188" s="1447">
        <v>8</v>
      </c>
    </row>
    <row r="189" spans="31:32" ht="12.6" customHeight="1" x14ac:dyDescent="0.2">
      <c r="AE189" s="236" t="s">
        <v>976</v>
      </c>
      <c r="AF189" s="1447">
        <v>8</v>
      </c>
    </row>
    <row r="190" spans="31:32" ht="12.6" customHeight="1" x14ac:dyDescent="0.2">
      <c r="AE190" s="236" t="s">
        <v>977</v>
      </c>
      <c r="AF190" s="1447">
        <v>8</v>
      </c>
    </row>
    <row r="191" spans="31:32" ht="12.6" customHeight="1" x14ac:dyDescent="0.2">
      <c r="AE191" s="236" t="s">
        <v>978</v>
      </c>
      <c r="AF191" s="1447">
        <v>10</v>
      </c>
    </row>
    <row r="192" spans="31:32" ht="12.6" customHeight="1" x14ac:dyDescent="0.2">
      <c r="AE192" s="236" t="s">
        <v>979</v>
      </c>
      <c r="AF192" s="1447">
        <v>10</v>
      </c>
    </row>
    <row r="301" spans="31:31" ht="12.6" customHeight="1" x14ac:dyDescent="0.2">
      <c r="AE301" s="783" t="s">
        <v>980</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1637" priority="65" stopIfTrue="1" operator="equal">
      <formula>""</formula>
    </cfRule>
  </conditionalFormatting>
  <conditionalFormatting sqref="G7">
    <cfRule type="cellIs" dxfId="1636" priority="66" stopIfTrue="1" operator="equal">
      <formula>"NO PAINT"</formula>
    </cfRule>
  </conditionalFormatting>
  <conditionalFormatting sqref="I7:K7">
    <cfRule type="expression" dxfId="1635" priority="67" stopIfTrue="1">
      <formula>LOWER($I$7)&lt;&gt;"std gray primer: one shop coat"</formula>
    </cfRule>
  </conditionalFormatting>
  <conditionalFormatting sqref="C27:C42 A27:A35">
    <cfRule type="expression" dxfId="1634" priority="4">
      <formula>AND(NOT($S$1),$C27=0,OR($R$1="",$R$1="M"))</formula>
    </cfRule>
  </conditionalFormatting>
  <conditionalFormatting sqref="F27:F42">
    <cfRule type="expression" dxfId="1633" priority="19">
      <formula>OR(ISERROR(VLOOKUP(E27,$V$27:$V$42,1,FALSE)),ISERROR(VLOOKUP(F27,$AB$27:$AB$42,1,FALSE)))</formula>
    </cfRule>
  </conditionalFormatting>
  <conditionalFormatting sqref="G27:G42">
    <cfRule type="expression" dxfId="1632" priority="22">
      <formula>NOT(VLOOKUP($E27,$W$27:$AA$42,2,FALSE))</formula>
    </cfRule>
  </conditionalFormatting>
  <conditionalFormatting sqref="H27:H42">
    <cfRule type="expression" dxfId="1631" priority="25">
      <formula>NOT(VLOOKUP($E27,$W$27:$AA$42,3,FALSE))</formula>
    </cfRule>
  </conditionalFormatting>
  <conditionalFormatting sqref="I27:I42">
    <cfRule type="expression" dxfId="1630" priority="28">
      <formula>NOT(VLOOKUP($E27,$W$27:$AA$42,4,FALSE))</formula>
    </cfRule>
  </conditionalFormatting>
  <conditionalFormatting sqref="J27:J42">
    <cfRule type="expression" dxfId="1629" priority="31">
      <formula>NOT(VLOOKUP($E27,$W$27:$AA$42,5,FALSE))</formula>
    </cfRule>
  </conditionalFormatting>
  <conditionalFormatting sqref="D27:D42">
    <cfRule type="expression" dxfId="1628" priority="8">
      <formula>OR(ISERROR(VLOOKUP(TRIM(D27),$AE$27:$AE$300,1,FALSE)),AND(NOT(ISERROR(VLOOKUP(E27,$V$27:$V$300,1,FALSE))),NOT(ISERROR(VLOOKUP(TRIM(D27),$U$27:$U$300,1,FALSE)))))</formula>
    </cfRule>
  </conditionalFormatting>
  <conditionalFormatting sqref="E27:E42">
    <cfRule type="expression" dxfId="1627" priority="11">
      <formula>OR(ISERROR(VLOOKUP(E27,$W$27:$W$42,1,FALSE)),AND(NOT(ISERROR(VLOOKUP(E27,$V$27:$V$300,1,FALSE))),NOT(ISERROR(VLOOKUP(D27,$U$27:$U$300,1,FALSE)))))</formula>
    </cfRule>
  </conditionalFormatting>
  <conditionalFormatting sqref="I7:L7">
    <cfRule type="cellIs" dxfId="1626" priority="5" operator="equal">
      <formula>0</formula>
    </cfRule>
  </conditionalFormatting>
  <conditionalFormatting sqref="A27:P35 B36:P42">
    <cfRule type="expression" dxfId="1625" priority="34">
      <formula>$Q27</formula>
    </cfRule>
  </conditionalFormatting>
  <conditionalFormatting sqref="A36:A42">
    <cfRule type="expression" dxfId="1624" priority="1">
      <formula>AND(NOT($S$1),$C36=0,OR($R$1="",$R$1="M"))</formula>
    </cfRule>
  </conditionalFormatting>
  <conditionalFormatting sqref="A36:A42">
    <cfRule type="expression" dxfId="1623" priority="2">
      <formula>$Q36</formula>
    </cfRule>
  </conditionalFormatting>
  <dataValidations count="5">
    <dataValidation type="list" allowBlank="1" showInputMessage="1" sqref="F27:F42">
      <formula1>$AB$27:$AB$34</formula1>
    </dataValidation>
    <dataValidation type="list" allowBlank="1" errorTitle="Invalid Bridging Type" error="You MUST use a bridging type provided in the list." sqref="E27:E42">
      <formula1>OFFSET($W$27,0,0,$W$25)</formula1>
    </dataValidation>
    <dataValidation type="whole" operator="greaterThanOrEqual" allowBlank="1" showErrorMessage="1" errorTitle="Dimensional Error" error="&quot;Feet&quot; can only be whole numbers." sqref="K27:K42">
      <formula1>0</formula1>
    </dataValidation>
    <dataValidation type="decimal" allowBlank="1" showInputMessage="1" showErrorMessage="1" errorTitle="Dimensional Error" error="&quot;Inches&quot; must be a number from 0 to 11.875." sqref="L27:L42">
      <formula1>0</formula1>
      <formula2>11.875</formula2>
    </dataValidation>
    <dataValidation type="list" allowBlank="1" showInputMessage="1" sqref="I7:L7">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41"/>
  </sheetPr>
  <dimension ref="A1:HR301"/>
  <sheetViews>
    <sheetView showGridLines="0" zoomScaleNormal="100" zoomScaleSheetLayoutView="100" workbookViewId="0">
      <selection activeCell="A14" sqref="A14"/>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9" width="5.7109375" style="2" hidden="1" customWidth="1"/>
    <col min="20" max="20" width="7.7109375" style="2" hidden="1" customWidth="1"/>
    <col min="21" max="28" width="5.7109375" style="2" hidden="1" customWidth="1"/>
    <col min="29" max="30" width="6.7109375" style="2" hidden="1" customWidth="1"/>
    <col min="31" max="31" width="6.140625" style="236" hidden="1" customWidth="1"/>
    <col min="32" max="32" width="7.7109375" style="236" hidden="1" customWidth="1"/>
    <col min="33" max="33" width="5.7109375" style="2"/>
    <col min="34" max="52" width="0" style="2" hidden="1" customWidth="1"/>
    <col min="53"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26" s="19" customFormat="1" ht="14.45" customHeight="1" thickBot="1" x14ac:dyDescent="0.25">
      <c r="A1" s="444"/>
      <c r="B1" s="444"/>
      <c r="C1" s="444"/>
      <c r="D1" s="444"/>
      <c r="E1" s="443"/>
      <c r="F1" s="443"/>
      <c r="G1" s="443"/>
      <c r="H1" s="443"/>
      <c r="I1" s="557"/>
      <c r="J1" s="2227" t="str">
        <f>IF(R1="","",VLOOKUP(R1,'Job Info.'!X:AA,4,FALSE))</f>
        <v>Master</v>
      </c>
      <c r="K1" s="2227"/>
      <c r="L1" s="2227"/>
      <c r="M1" s="444"/>
      <c r="N1" s="563" t="s">
        <v>96</v>
      </c>
      <c r="O1" s="556"/>
      <c r="P1" s="564" t="str">
        <f ca="1">'Job Info.'!D12</f>
        <v>775-428-0600</v>
      </c>
      <c r="Q1" s="578" t="s">
        <v>766</v>
      </c>
      <c r="R1" s="448" t="str">
        <f>'Job Info.'!Q30</f>
        <v>M</v>
      </c>
      <c r="S1" s="448" t="b">
        <f>'Job Info.'!Q32</f>
        <v>0</v>
      </c>
      <c r="T1" s="975"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5" customHeight="1" thickTop="1" x14ac:dyDescent="0.2">
      <c r="A2" s="444"/>
      <c r="B2" s="444"/>
      <c r="C2" s="444"/>
      <c r="D2" s="444"/>
      <c r="E2" s="454"/>
      <c r="F2" s="454"/>
      <c r="G2" s="454"/>
      <c r="H2" s="454"/>
      <c r="I2" s="557"/>
      <c r="J2" s="2228" t="str">
        <f>IF(R1="","",IF(VLOOKUP(R1,'Job Info.'!X:Z,2,FALSE),"Released for Fabrication",""))</f>
        <v/>
      </c>
      <c r="K2" s="2229"/>
      <c r="L2" s="2230"/>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5" customHeight="1" x14ac:dyDescent="0.2">
      <c r="A3" s="444"/>
      <c r="B3" s="444"/>
      <c r="C3" s="444"/>
      <c r="D3" s="444"/>
      <c r="E3" s="443"/>
      <c r="F3" s="444"/>
      <c r="G3" s="444"/>
      <c r="H3" s="444"/>
      <c r="I3" s="557"/>
      <c r="J3" s="2231"/>
      <c r="K3" s="2232"/>
      <c r="L3" s="2233"/>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5" customHeight="1" thickBot="1" x14ac:dyDescent="0.25">
      <c r="A4" s="444"/>
      <c r="B4" s="444"/>
      <c r="C4" s="444"/>
      <c r="D4" s="444"/>
      <c r="E4" s="444"/>
      <c r="F4" s="444"/>
      <c r="G4" s="444"/>
      <c r="H4" s="444"/>
      <c r="I4" s="557"/>
      <c r="J4" s="2234" t="str">
        <f>IF(R1="","",IF(VLOOKUP(R1,'Job Info.'!X:Z,2,FALSE),VLOOKUP(R1,'Job Info.'!X:Z,3,FALSE),""))</f>
        <v/>
      </c>
      <c r="K4" s="2235"/>
      <c r="L4" s="2236"/>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5" customHeight="1" thickTop="1" x14ac:dyDescent="0.2">
      <c r="A5" s="2450" t="str">
        <f ca="1">'Job Info.'!D11</f>
        <v>8200 Woolery Way | Fallon, NV 89406 | www.newmill.com</v>
      </c>
      <c r="B5" s="2790"/>
      <c r="C5" s="2790"/>
      <c r="D5" s="2790"/>
      <c r="E5" s="2790"/>
      <c r="F5" s="2790"/>
      <c r="G5" s="2890"/>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5" customHeight="1" x14ac:dyDescent="0.2">
      <c r="A6" s="444"/>
      <c r="B6" s="444"/>
      <c r="C6" s="444"/>
      <c r="D6" s="444"/>
      <c r="E6" s="443"/>
      <c r="F6" s="444"/>
      <c r="G6" s="444"/>
      <c r="H6" s="444"/>
      <c r="I6" s="444"/>
      <c r="J6" s="444"/>
      <c r="K6" s="557"/>
      <c r="L6" s="557"/>
      <c r="M6" s="557"/>
      <c r="N6" s="1417" t="s">
        <v>20</v>
      </c>
      <c r="O6" s="2901">
        <f>IF(ISBLANK('Job Info.'!D8),"",'Job Info.'!D8)</f>
        <v>43406</v>
      </c>
      <c r="P6" s="2901"/>
      <c r="R6" s="1392" t="s">
        <v>1180</v>
      </c>
      <c r="AE6" s="782"/>
      <c r="AF6" s="782"/>
      <c r="GZ6" s="295"/>
      <c r="HA6" s="295"/>
      <c r="HB6" s="295"/>
      <c r="HC6" s="295"/>
      <c r="HD6" s="297"/>
      <c r="HE6" s="453"/>
      <c r="HF6" s="295"/>
      <c r="HG6" s="295"/>
      <c r="HH6" s="295"/>
      <c r="HI6" s="295"/>
      <c r="HJ6" s="295"/>
      <c r="HK6" s="295"/>
      <c r="HL6" s="295"/>
      <c r="HM6" s="295"/>
      <c r="HN6" s="295"/>
      <c r="HO6" s="295"/>
      <c r="HP6" s="295"/>
      <c r="HQ6" s="295"/>
    </row>
    <row r="7" spans="1:226" ht="12.95" customHeight="1" x14ac:dyDescent="0.2">
      <c r="A7" s="472" t="s">
        <v>39</v>
      </c>
      <c r="B7" s="473"/>
      <c r="C7" s="473"/>
      <c r="D7" s="473"/>
      <c r="E7" s="473"/>
      <c r="F7" s="473"/>
      <c r="G7" s="558"/>
      <c r="H7" s="1417" t="s">
        <v>26</v>
      </c>
      <c r="I7" s="2898"/>
      <c r="J7" s="2899"/>
      <c r="K7" s="2899"/>
      <c r="L7" s="2432"/>
      <c r="M7" s="557"/>
      <c r="N7" s="1418" t="s">
        <v>21</v>
      </c>
      <c r="O7" s="1525" t="str">
        <f>CONCATENATE(R7, " of ",IF(ISBLANK('Job Info.'!D9),"",'Job Info.'!D9))</f>
        <v xml:space="preserve"> of 42</v>
      </c>
      <c r="P7" s="827"/>
      <c r="R7" s="1393"/>
      <c r="GZ7" s="295"/>
      <c r="HA7" s="295"/>
      <c r="HB7" s="295"/>
      <c r="HC7" s="295"/>
      <c r="HD7" s="297"/>
      <c r="HE7" s="453"/>
      <c r="HF7" s="295"/>
      <c r="HG7" s="295"/>
      <c r="HH7" s="295"/>
      <c r="HI7" s="295"/>
      <c r="HJ7" s="295"/>
      <c r="HK7" s="295"/>
      <c r="HL7" s="295"/>
      <c r="HM7" s="295"/>
      <c r="HN7" s="295"/>
      <c r="HO7" s="295"/>
      <c r="HP7" s="295"/>
      <c r="HQ7" s="295"/>
    </row>
    <row r="8" spans="1:226" ht="2.85" customHeight="1" x14ac:dyDescent="0.2">
      <c r="A8" s="473"/>
      <c r="B8" s="473"/>
      <c r="C8" s="473"/>
      <c r="D8" s="473"/>
      <c r="E8" s="473"/>
      <c r="F8" s="473"/>
      <c r="G8" s="473"/>
      <c r="H8" s="473"/>
      <c r="I8" s="2896" t="str">
        <f>IF(I7="NO PAINT - GALV","GALV. BOLTS","")</f>
        <v/>
      </c>
      <c r="J8" s="2896"/>
      <c r="K8" s="2896"/>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2" customHeight="1" x14ac:dyDescent="0.2">
      <c r="A9" s="1416" t="s">
        <v>1</v>
      </c>
      <c r="B9" s="285"/>
      <c r="C9" s="2225" t="str">
        <f>IF(ISBLANK('Job Info.'!D3),"",'Job Info.'!D3)</f>
        <v>SUNPOINT CROSSING</v>
      </c>
      <c r="D9" s="2225"/>
      <c r="E9" s="2225"/>
      <c r="F9" s="2225"/>
      <c r="G9" s="2891"/>
      <c r="H9" s="559"/>
      <c r="I9" s="1413" t="s">
        <v>2</v>
      </c>
      <c r="J9" s="2225" t="str">
        <f>IF(ISBLANK('Job Info.'!D5),"",'Job Info.'!D5)</f>
        <v>9118-0062</v>
      </c>
      <c r="K9" s="2225"/>
      <c r="L9" s="2225"/>
      <c r="M9" s="2225"/>
      <c r="N9" s="2225"/>
      <c r="O9" s="2225"/>
      <c r="P9" s="2226"/>
      <c r="GZ9" s="295"/>
      <c r="HA9" s="295"/>
      <c r="HB9" s="295"/>
      <c r="HC9" s="295"/>
      <c r="HD9" s="297"/>
      <c r="HE9" s="453"/>
      <c r="HF9" s="295"/>
      <c r="HG9" s="295"/>
      <c r="HH9" s="295"/>
      <c r="HI9" s="295"/>
      <c r="HJ9" s="295"/>
      <c r="HK9" s="295"/>
      <c r="HL9" s="295"/>
      <c r="HM9" s="295"/>
      <c r="HN9" s="295"/>
      <c r="HO9" s="295"/>
      <c r="HP9" s="295"/>
      <c r="HQ9" s="295"/>
    </row>
    <row r="10" spans="1:226" ht="12.2" customHeight="1" thickBot="1" x14ac:dyDescent="0.25">
      <c r="A10" s="1416" t="s">
        <v>3</v>
      </c>
      <c r="B10" s="285"/>
      <c r="C10" s="2225" t="str">
        <f>IF(ISBLANK('Job Info.'!D4),"",'Job Info.'!D4)</f>
        <v>LAS VEGAS, NV</v>
      </c>
      <c r="D10" s="2225"/>
      <c r="E10" s="2225"/>
      <c r="F10" s="2225"/>
      <c r="G10" s="2891"/>
      <c r="H10" s="559"/>
      <c r="I10" s="1416" t="s">
        <v>22</v>
      </c>
      <c r="J10" s="2225" t="str">
        <f>IF(ISBLANK('Job Info.'!D6),"",'Job Info.'!D6)</f>
        <v>CJA</v>
      </c>
      <c r="K10" s="2225"/>
      <c r="L10" s="2226"/>
      <c r="M10" s="560"/>
      <c r="N10" s="1413" t="s">
        <v>23</v>
      </c>
      <c r="O10" s="2225" t="str">
        <f>IF(ISBLANK('Job Info.'!D7),"",'Job Info.'!D7)</f>
        <v>LS</v>
      </c>
      <c r="P10" s="2226"/>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25">
      <c r="A11" s="21"/>
      <c r="B11" s="21"/>
      <c r="C11" s="21"/>
      <c r="D11" s="21"/>
      <c r="E11" s="21"/>
      <c r="F11" s="21"/>
      <c r="G11" s="21"/>
      <c r="H11" s="21"/>
      <c r="I11" s="21"/>
      <c r="J11" s="21"/>
      <c r="K11" s="21"/>
      <c r="L11" s="21"/>
      <c r="M11" s="21"/>
      <c r="N11" s="21"/>
      <c r="O11" s="21"/>
      <c r="P11" s="21"/>
      <c r="GZ11" s="295"/>
      <c r="HA11" s="2906" t="s">
        <v>661</v>
      </c>
      <c r="HB11" s="2907"/>
      <c r="HC11" s="2907"/>
      <c r="HD11" s="2907"/>
      <c r="HE11" s="2907"/>
      <c r="HF11" s="2907"/>
      <c r="HG11" s="2907"/>
      <c r="HH11" s="2907"/>
      <c r="HI11" s="2907"/>
      <c r="HJ11" s="2907"/>
      <c r="HK11" s="2907"/>
      <c r="HL11" s="2907"/>
      <c r="HM11" s="2907"/>
      <c r="HN11" s="2907"/>
      <c r="HO11" s="2907"/>
      <c r="HP11" s="2908"/>
    </row>
    <row r="12" spans="1:226" ht="12.6" customHeight="1" thickTop="1" thickBot="1" x14ac:dyDescent="0.25">
      <c r="A12" s="2881" t="s">
        <v>40</v>
      </c>
      <c r="B12" s="2882"/>
      <c r="C12" s="2885" t="s">
        <v>131</v>
      </c>
      <c r="D12" s="2345" t="s">
        <v>714</v>
      </c>
      <c r="E12" s="2453" t="s">
        <v>715</v>
      </c>
      <c r="F12" s="2878" t="s">
        <v>36</v>
      </c>
      <c r="G12" s="2453" t="s">
        <v>80</v>
      </c>
      <c r="H12" s="2878"/>
      <c r="I12" s="2897" t="s">
        <v>716</v>
      </c>
      <c r="J12" s="2345"/>
      <c r="K12" s="2453" t="s">
        <v>108</v>
      </c>
      <c r="L12" s="2900"/>
      <c r="M12" s="2897" t="s">
        <v>109</v>
      </c>
      <c r="N12" s="2885" t="s">
        <v>110</v>
      </c>
      <c r="O12" s="2345" t="s">
        <v>111</v>
      </c>
      <c r="P12" s="1363" t="s">
        <v>717</v>
      </c>
      <c r="GZ12" s="295"/>
      <c r="HA12" s="2870" t="s">
        <v>673</v>
      </c>
      <c r="HB12" s="2872" t="s">
        <v>1196</v>
      </c>
      <c r="HC12" s="2872" t="s">
        <v>1182</v>
      </c>
      <c r="HD12" s="2867" t="s">
        <v>1192</v>
      </c>
      <c r="HE12" s="2867" t="s">
        <v>701</v>
      </c>
      <c r="HF12" s="2874" t="s">
        <v>718</v>
      </c>
      <c r="HG12" s="2874" t="s">
        <v>1197</v>
      </c>
      <c r="HH12" s="2874" t="s">
        <v>1198</v>
      </c>
      <c r="HI12" s="2874" t="s">
        <v>1199</v>
      </c>
      <c r="HJ12" s="2874" t="s">
        <v>1200</v>
      </c>
      <c r="HK12" s="2874" t="s">
        <v>1201</v>
      </c>
      <c r="HL12" s="2874" t="s">
        <v>1202</v>
      </c>
      <c r="HM12" s="2874" t="s">
        <v>1193</v>
      </c>
      <c r="HN12" s="2867" t="s">
        <v>1194</v>
      </c>
      <c r="HO12" s="2867" t="s">
        <v>1195</v>
      </c>
      <c r="HP12" s="2876" t="s">
        <v>517</v>
      </c>
    </row>
    <row r="13" spans="1:226" ht="12.6" customHeight="1" thickTop="1" thickBot="1" x14ac:dyDescent="0.25">
      <c r="A13" s="2883"/>
      <c r="B13" s="2884"/>
      <c r="C13" s="2886"/>
      <c r="D13" s="2346"/>
      <c r="E13" s="2454"/>
      <c r="F13" s="2887"/>
      <c r="G13" s="1368" t="s">
        <v>673</v>
      </c>
      <c r="H13" s="1369" t="s">
        <v>172</v>
      </c>
      <c r="I13" s="1367" t="s">
        <v>673</v>
      </c>
      <c r="J13" s="1365" t="s">
        <v>172</v>
      </c>
      <c r="K13" s="2883"/>
      <c r="L13" s="2879"/>
      <c r="M13" s="2341"/>
      <c r="N13" s="2884"/>
      <c r="O13" s="2340"/>
      <c r="P13" s="1364" t="s">
        <v>58</v>
      </c>
      <c r="Q13" s="1223" t="s">
        <v>1147</v>
      </c>
      <c r="R13" s="442" t="s">
        <v>171</v>
      </c>
      <c r="S13" s="442" t="s">
        <v>830</v>
      </c>
      <c r="T13" s="442" t="s">
        <v>1184</v>
      </c>
      <c r="GZ13" s="295"/>
      <c r="HA13" s="2871"/>
      <c r="HB13" s="2873"/>
      <c r="HC13" s="2873"/>
      <c r="HD13" s="2868"/>
      <c r="HE13" s="2868"/>
      <c r="HF13" s="2875"/>
      <c r="HG13" s="2875"/>
      <c r="HH13" s="2875"/>
      <c r="HI13" s="2875"/>
      <c r="HJ13" s="2875"/>
      <c r="HK13" s="2875"/>
      <c r="HL13" s="2875"/>
      <c r="HM13" s="2875"/>
      <c r="HN13" s="2868"/>
      <c r="HO13" s="2868"/>
      <c r="HP13" s="2877"/>
    </row>
    <row r="14" spans="1:226" ht="12.6" customHeight="1" thickTop="1" x14ac:dyDescent="0.25">
      <c r="A14" s="1471"/>
      <c r="B14" s="1473"/>
      <c r="C14" s="1501"/>
      <c r="D14" s="1502"/>
      <c r="E14" s="1503"/>
      <c r="F14" s="1504"/>
      <c r="G14" s="1471"/>
      <c r="H14" s="1554"/>
      <c r="I14" s="1175"/>
      <c r="J14" s="1556"/>
      <c r="K14" s="1550"/>
      <c r="L14" s="1552"/>
      <c r="M14" s="1558"/>
      <c r="N14" s="1559"/>
      <c r="O14" s="1564"/>
      <c r="P14" s="1505"/>
      <c r="Q14" s="1224"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75"/>
      <c r="HB14" s="1476"/>
      <c r="HC14" s="1476"/>
      <c r="HD14" s="1481"/>
      <c r="HE14" s="1482"/>
      <c r="HF14" s="1476"/>
      <c r="HG14" s="1476"/>
      <c r="HH14" s="1476"/>
      <c r="HI14" s="1483"/>
      <c r="HJ14" s="1476"/>
      <c r="HK14" s="1476"/>
      <c r="HL14" s="1476"/>
      <c r="HM14" s="1476"/>
      <c r="HN14" s="1476"/>
      <c r="HO14" s="1476"/>
      <c r="HP14" s="1484"/>
      <c r="HQ14" s="1523"/>
    </row>
    <row r="15" spans="1:226" ht="12.6" customHeight="1" x14ac:dyDescent="0.25">
      <c r="A15" s="1471"/>
      <c r="B15" s="1473"/>
      <c r="C15" s="1473"/>
      <c r="D15" s="1494"/>
      <c r="E15" s="1471"/>
      <c r="F15" s="1495"/>
      <c r="G15" s="1471"/>
      <c r="H15" s="1554"/>
      <c r="I15" s="1175"/>
      <c r="J15" s="1556"/>
      <c r="K15" s="1550"/>
      <c r="L15" s="1552"/>
      <c r="M15" s="1558"/>
      <c r="N15" s="1559"/>
      <c r="O15" s="1564"/>
      <c r="P15" s="1505"/>
      <c r="Q15" s="1224"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77"/>
      <c r="HB15" s="1478"/>
      <c r="HC15" s="1478"/>
      <c r="HD15" s="1485"/>
      <c r="HE15" s="1486"/>
      <c r="HF15" s="1478"/>
      <c r="HG15" s="1478"/>
      <c r="HH15" s="1478"/>
      <c r="HI15" s="1487"/>
      <c r="HJ15" s="1478"/>
      <c r="HK15" s="1478"/>
      <c r="HL15" s="1478"/>
      <c r="HM15" s="1478"/>
      <c r="HN15" s="1478"/>
      <c r="HO15" s="1478"/>
      <c r="HP15" s="1488"/>
      <c r="HQ15" s="1523"/>
    </row>
    <row r="16" spans="1:226" ht="12.6" customHeight="1" x14ac:dyDescent="0.25">
      <c r="A16" s="1471"/>
      <c r="B16" s="1473"/>
      <c r="C16" s="1473"/>
      <c r="D16" s="1494"/>
      <c r="E16" s="1471"/>
      <c r="F16" s="1495"/>
      <c r="G16" s="1471"/>
      <c r="H16" s="1554"/>
      <c r="I16" s="1175"/>
      <c r="J16" s="1556"/>
      <c r="K16" s="1550"/>
      <c r="L16" s="1552"/>
      <c r="M16" s="1558"/>
      <c r="N16" s="1559"/>
      <c r="O16" s="1564"/>
      <c r="P16" s="1505"/>
      <c r="Q16" s="1224" t="b">
        <v>0</v>
      </c>
      <c r="R16" s="561" t="b">
        <v>0</v>
      </c>
      <c r="S16" s="554" t="b">
        <f t="shared" si="1"/>
        <v>0</v>
      </c>
      <c r="T16" s="554" t="b">
        <f t="shared" si="2"/>
        <v>0</v>
      </c>
      <c r="GZ16" s="295"/>
      <c r="HA16" s="1477"/>
      <c r="HB16" s="1478"/>
      <c r="HC16" s="1478"/>
      <c r="HD16" s="1485"/>
      <c r="HE16" s="1486"/>
      <c r="HF16" s="1478"/>
      <c r="HG16" s="1478"/>
      <c r="HH16" s="1478"/>
      <c r="HI16" s="1487"/>
      <c r="HJ16" s="1478"/>
      <c r="HK16" s="1478"/>
      <c r="HL16" s="1478"/>
      <c r="HM16" s="1478"/>
      <c r="HN16" s="1478"/>
      <c r="HO16" s="1478"/>
      <c r="HP16" s="1488"/>
      <c r="HQ16" s="1523"/>
    </row>
    <row r="17" spans="1:225" ht="12.6" customHeight="1" x14ac:dyDescent="0.25">
      <c r="A17" s="1471"/>
      <c r="B17" s="1473"/>
      <c r="C17" s="1473"/>
      <c r="D17" s="1494"/>
      <c r="E17" s="1471"/>
      <c r="F17" s="1495"/>
      <c r="G17" s="1471"/>
      <c r="H17" s="1554"/>
      <c r="I17" s="1175"/>
      <c r="J17" s="1556"/>
      <c r="K17" s="1550"/>
      <c r="L17" s="1552"/>
      <c r="M17" s="1558"/>
      <c r="N17" s="1559"/>
      <c r="O17" s="1564"/>
      <c r="P17" s="1505"/>
      <c r="Q17" s="1224" t="b">
        <v>0</v>
      </c>
      <c r="R17" s="561" t="b">
        <v>0</v>
      </c>
      <c r="S17" s="554" t="b">
        <f t="shared" si="1"/>
        <v>0</v>
      </c>
      <c r="T17" s="554" t="b">
        <f t="shared" si="2"/>
        <v>0</v>
      </c>
      <c r="HA17" s="1477"/>
      <c r="HB17" s="1478"/>
      <c r="HC17" s="1478"/>
      <c r="HD17" s="1485"/>
      <c r="HE17" s="1486"/>
      <c r="HF17" s="1478"/>
      <c r="HG17" s="1478"/>
      <c r="HH17" s="1478"/>
      <c r="HI17" s="1487"/>
      <c r="HJ17" s="1478"/>
      <c r="HK17" s="1478"/>
      <c r="HL17" s="1478"/>
      <c r="HM17" s="1478"/>
      <c r="HN17" s="1478"/>
      <c r="HO17" s="1478"/>
      <c r="HP17" s="1488"/>
      <c r="HQ17" s="1523"/>
    </row>
    <row r="18" spans="1:225" ht="12.6" customHeight="1" x14ac:dyDescent="0.25">
      <c r="A18" s="1471"/>
      <c r="B18" s="1473"/>
      <c r="C18" s="1473"/>
      <c r="D18" s="1494"/>
      <c r="E18" s="1471"/>
      <c r="F18" s="1495"/>
      <c r="G18" s="1471"/>
      <c r="H18" s="1554"/>
      <c r="I18" s="1175"/>
      <c r="J18" s="1556"/>
      <c r="K18" s="1550"/>
      <c r="L18" s="1552"/>
      <c r="M18" s="1558"/>
      <c r="N18" s="1559"/>
      <c r="O18" s="1564"/>
      <c r="P18" s="1505"/>
      <c r="Q18" s="1224" t="b">
        <v>0</v>
      </c>
      <c r="R18" s="561" t="b">
        <v>0</v>
      </c>
      <c r="S18" s="554" t="b">
        <f t="shared" si="1"/>
        <v>0</v>
      </c>
      <c r="T18" s="554" t="b">
        <f t="shared" si="2"/>
        <v>0</v>
      </c>
      <c r="HA18" s="1477"/>
      <c r="HB18" s="1478"/>
      <c r="HC18" s="1478"/>
      <c r="HD18" s="1485"/>
      <c r="HE18" s="1486"/>
      <c r="HF18" s="1478"/>
      <c r="HG18" s="1478"/>
      <c r="HH18" s="1478"/>
      <c r="HI18" s="1487"/>
      <c r="HJ18" s="1478"/>
      <c r="HK18" s="1478"/>
      <c r="HL18" s="1478"/>
      <c r="HM18" s="1478"/>
      <c r="HN18" s="1478"/>
      <c r="HO18" s="1478"/>
      <c r="HP18" s="1488"/>
      <c r="HQ18" s="1523"/>
    </row>
    <row r="19" spans="1:225" ht="12.6" customHeight="1" x14ac:dyDescent="0.25">
      <c r="A19" s="1471"/>
      <c r="B19" s="1473"/>
      <c r="C19" s="1473"/>
      <c r="D19" s="1494"/>
      <c r="E19" s="1471"/>
      <c r="F19" s="1495"/>
      <c r="G19" s="1471"/>
      <c r="H19" s="1554"/>
      <c r="I19" s="1175"/>
      <c r="J19" s="1556"/>
      <c r="K19" s="1550"/>
      <c r="L19" s="1552"/>
      <c r="M19" s="1558"/>
      <c r="N19" s="1559"/>
      <c r="O19" s="1564"/>
      <c r="P19" s="1505"/>
      <c r="Q19" s="1224" t="b">
        <v>0</v>
      </c>
      <c r="R19" s="561" t="b">
        <v>0</v>
      </c>
      <c r="S19" s="554" t="b">
        <f t="shared" si="1"/>
        <v>0</v>
      </c>
      <c r="T19" s="554" t="b">
        <f t="shared" si="2"/>
        <v>0</v>
      </c>
      <c r="HA19" s="1477"/>
      <c r="HB19" s="1478"/>
      <c r="HC19" s="1478"/>
      <c r="HD19" s="1485"/>
      <c r="HE19" s="1486"/>
      <c r="HF19" s="1478"/>
      <c r="HG19" s="1478"/>
      <c r="HH19" s="1478"/>
      <c r="HI19" s="1487"/>
      <c r="HJ19" s="1478"/>
      <c r="HK19" s="1478"/>
      <c r="HL19" s="1478"/>
      <c r="HM19" s="1478"/>
      <c r="HN19" s="1478"/>
      <c r="HO19" s="1478"/>
      <c r="HP19" s="1488"/>
      <c r="HQ19" s="1523"/>
    </row>
    <row r="20" spans="1:225" ht="12.6" customHeight="1" x14ac:dyDescent="0.25">
      <c r="A20" s="1471"/>
      <c r="B20" s="1473"/>
      <c r="C20" s="1473"/>
      <c r="D20" s="1494"/>
      <c r="E20" s="1471"/>
      <c r="F20" s="1495"/>
      <c r="G20" s="1471"/>
      <c r="H20" s="1554"/>
      <c r="I20" s="1175"/>
      <c r="J20" s="1556"/>
      <c r="K20" s="1550"/>
      <c r="L20" s="1552"/>
      <c r="M20" s="1558"/>
      <c r="N20" s="1559"/>
      <c r="O20" s="1564"/>
      <c r="P20" s="1505"/>
      <c r="Q20" s="1224" t="b">
        <v>0</v>
      </c>
      <c r="R20" s="561" t="b">
        <v>0</v>
      </c>
      <c r="S20" s="554" t="b">
        <f t="shared" si="1"/>
        <v>0</v>
      </c>
      <c r="T20" s="554" t="b">
        <f t="shared" si="2"/>
        <v>0</v>
      </c>
      <c r="HA20" s="1477"/>
      <c r="HB20" s="1478"/>
      <c r="HC20" s="1478"/>
      <c r="HD20" s="1485"/>
      <c r="HE20" s="1486"/>
      <c r="HF20" s="1478"/>
      <c r="HG20" s="1478"/>
      <c r="HH20" s="1478"/>
      <c r="HI20" s="1487"/>
      <c r="HJ20" s="1478"/>
      <c r="HK20" s="1478"/>
      <c r="HL20" s="1478"/>
      <c r="HM20" s="1478"/>
      <c r="HN20" s="1478"/>
      <c r="HO20" s="1478"/>
      <c r="HP20" s="1488"/>
      <c r="HQ20" s="1523"/>
    </row>
    <row r="21" spans="1:225" ht="12.6" customHeight="1" x14ac:dyDescent="0.25">
      <c r="A21" s="1471"/>
      <c r="B21" s="1473"/>
      <c r="C21" s="1473"/>
      <c r="D21" s="1494"/>
      <c r="E21" s="1471"/>
      <c r="F21" s="1495"/>
      <c r="G21" s="1471"/>
      <c r="H21" s="1554"/>
      <c r="I21" s="1175"/>
      <c r="J21" s="1556"/>
      <c r="K21" s="1550"/>
      <c r="L21" s="1552"/>
      <c r="M21" s="1558"/>
      <c r="N21" s="1559"/>
      <c r="O21" s="1564"/>
      <c r="P21" s="1505"/>
      <c r="Q21" s="1224" t="b">
        <v>0</v>
      </c>
      <c r="R21" s="561" t="b">
        <v>0</v>
      </c>
      <c r="S21" s="554" t="b">
        <f t="shared" si="1"/>
        <v>0</v>
      </c>
      <c r="T21" s="554" t="b">
        <f t="shared" si="2"/>
        <v>0</v>
      </c>
      <c r="HA21" s="1477"/>
      <c r="HB21" s="1478"/>
      <c r="HC21" s="1478"/>
      <c r="HD21" s="1485"/>
      <c r="HE21" s="1486"/>
      <c r="HF21" s="1478"/>
      <c r="HG21" s="1478"/>
      <c r="HH21" s="1478"/>
      <c r="HI21" s="1487"/>
      <c r="HJ21" s="1478"/>
      <c r="HK21" s="1478"/>
      <c r="HL21" s="1478"/>
      <c r="HM21" s="1478"/>
      <c r="HN21" s="1478"/>
      <c r="HO21" s="1478"/>
      <c r="HP21" s="1488"/>
      <c r="HQ21" s="1523"/>
    </row>
    <row r="22" spans="1:225" ht="12.6" customHeight="1" x14ac:dyDescent="0.25">
      <c r="A22" s="1471"/>
      <c r="B22" s="1473"/>
      <c r="C22" s="1473"/>
      <c r="D22" s="1494"/>
      <c r="E22" s="1471"/>
      <c r="F22" s="1495"/>
      <c r="G22" s="1471"/>
      <c r="H22" s="1554"/>
      <c r="I22" s="1175"/>
      <c r="J22" s="1556"/>
      <c r="K22" s="1550"/>
      <c r="L22" s="1552"/>
      <c r="M22" s="1558"/>
      <c r="N22" s="1559"/>
      <c r="O22" s="1564"/>
      <c r="P22" s="1505"/>
      <c r="Q22" s="1224" t="b">
        <v>0</v>
      </c>
      <c r="R22" s="561" t="b">
        <v>0</v>
      </c>
      <c r="S22" s="554" t="b">
        <f t="shared" si="1"/>
        <v>0</v>
      </c>
      <c r="T22" s="554" t="b">
        <f t="shared" si="2"/>
        <v>0</v>
      </c>
      <c r="HA22" s="1477"/>
      <c r="HB22" s="1478"/>
      <c r="HC22" s="1478"/>
      <c r="HD22" s="1485"/>
      <c r="HE22" s="1486"/>
      <c r="HF22" s="1478"/>
      <c r="HG22" s="1478"/>
      <c r="HH22" s="1478"/>
      <c r="HI22" s="1487"/>
      <c r="HJ22" s="1478"/>
      <c r="HK22" s="1478"/>
      <c r="HL22" s="1478"/>
      <c r="HM22" s="1478"/>
      <c r="HN22" s="1478"/>
      <c r="HO22" s="1478"/>
      <c r="HP22" s="1488"/>
      <c r="HQ22" s="1523"/>
    </row>
    <row r="23" spans="1:225" ht="12.6" customHeight="1" x14ac:dyDescent="0.25">
      <c r="A23" s="1471"/>
      <c r="B23" s="1473"/>
      <c r="C23" s="1473"/>
      <c r="D23" s="1494"/>
      <c r="E23" s="1471"/>
      <c r="F23" s="1495"/>
      <c r="G23" s="1471"/>
      <c r="H23" s="1554"/>
      <c r="I23" s="1175"/>
      <c r="J23" s="1556"/>
      <c r="K23" s="1550"/>
      <c r="L23" s="1552"/>
      <c r="M23" s="1558"/>
      <c r="N23" s="1559"/>
      <c r="O23" s="1564"/>
      <c r="P23" s="1505"/>
      <c r="Q23" s="1224" t="b">
        <v>0</v>
      </c>
      <c r="R23" s="561" t="b">
        <v>0</v>
      </c>
      <c r="S23" s="554" t="b">
        <f t="shared" si="1"/>
        <v>0</v>
      </c>
      <c r="T23" s="554" t="b">
        <f t="shared" si="2"/>
        <v>0</v>
      </c>
      <c r="HA23" s="1477"/>
      <c r="HB23" s="1478"/>
      <c r="HC23" s="1478"/>
      <c r="HD23" s="1485"/>
      <c r="HE23" s="1486"/>
      <c r="HF23" s="1478"/>
      <c r="HG23" s="1478"/>
      <c r="HH23" s="1478"/>
      <c r="HI23" s="1487"/>
      <c r="HJ23" s="1478"/>
      <c r="HK23" s="1478"/>
      <c r="HL23" s="1478"/>
      <c r="HM23" s="1478"/>
      <c r="HN23" s="1478"/>
      <c r="HO23" s="1478"/>
      <c r="HP23" s="1488"/>
      <c r="HQ23" s="1523"/>
    </row>
    <row r="24" spans="1:225" ht="12.6" customHeight="1" x14ac:dyDescent="0.25">
      <c r="A24" s="1471"/>
      <c r="B24" s="1473"/>
      <c r="C24" s="1473"/>
      <c r="D24" s="1494"/>
      <c r="E24" s="1471"/>
      <c r="F24" s="1495"/>
      <c r="G24" s="1471"/>
      <c r="H24" s="1554"/>
      <c r="I24" s="1175"/>
      <c r="J24" s="1556"/>
      <c r="K24" s="1550"/>
      <c r="L24" s="1552"/>
      <c r="M24" s="1558"/>
      <c r="N24" s="1559"/>
      <c r="O24" s="1564"/>
      <c r="P24" s="1505"/>
      <c r="Q24" s="1224" t="b">
        <v>0</v>
      </c>
      <c r="R24" s="561" t="b">
        <v>0</v>
      </c>
      <c r="S24" s="554" t="b">
        <f t="shared" si="1"/>
        <v>0</v>
      </c>
      <c r="T24" s="554" t="b">
        <f t="shared" si="2"/>
        <v>0</v>
      </c>
      <c r="U24" s="295"/>
      <c r="V24" s="295"/>
      <c r="W24" s="295"/>
      <c r="X24" s="295"/>
      <c r="Y24" s="295"/>
      <c r="Z24" s="295"/>
      <c r="AA24" s="295"/>
      <c r="HA24" s="1477"/>
      <c r="HB24" s="1478"/>
      <c r="HC24" s="1478"/>
      <c r="HD24" s="1485"/>
      <c r="HE24" s="1486"/>
      <c r="HF24" s="1478"/>
      <c r="HG24" s="1478"/>
      <c r="HH24" s="1478"/>
      <c r="HI24" s="1487"/>
      <c r="HJ24" s="1478"/>
      <c r="HK24" s="1478"/>
      <c r="HL24" s="1478"/>
      <c r="HM24" s="1478"/>
      <c r="HN24" s="1478"/>
      <c r="HO24" s="1478"/>
      <c r="HP24" s="1488"/>
      <c r="HQ24" s="1523"/>
    </row>
    <row r="25" spans="1:225" s="26" customFormat="1" ht="12.6" customHeight="1" thickBot="1" x14ac:dyDescent="0.3">
      <c r="A25" s="1471"/>
      <c r="B25" s="1473"/>
      <c r="C25" s="1473"/>
      <c r="D25" s="1494"/>
      <c r="E25" s="1471"/>
      <c r="F25" s="1495"/>
      <c r="G25" s="1471"/>
      <c r="H25" s="1554"/>
      <c r="I25" s="1175"/>
      <c r="J25" s="1556"/>
      <c r="K25" s="1550"/>
      <c r="L25" s="1552"/>
      <c r="M25" s="1558"/>
      <c r="N25" s="1559"/>
      <c r="O25" s="1564"/>
      <c r="P25" s="1505"/>
      <c r="Q25" s="1224" t="b">
        <v>0</v>
      </c>
      <c r="R25" s="561" t="b">
        <v>0</v>
      </c>
      <c r="S25" s="554" t="b">
        <f t="shared" si="1"/>
        <v>0</v>
      </c>
      <c r="T25" s="554" t="b">
        <f t="shared" si="2"/>
        <v>0</v>
      </c>
      <c r="U25" s="510">
        <f>COUNTA(U27:U300)</f>
        <v>13</v>
      </c>
      <c r="V25" s="2904" t="s">
        <v>839</v>
      </c>
      <c r="W25" s="510">
        <f>COUNTA(W27:W300)</f>
        <v>9</v>
      </c>
      <c r="X25" s="2902" t="s">
        <v>989</v>
      </c>
      <c r="Y25" s="2903"/>
      <c r="Z25" s="2903"/>
      <c r="AA25" s="2903"/>
      <c r="AB25" s="510"/>
      <c r="AC25" s="2888" t="s">
        <v>1185</v>
      </c>
      <c r="AD25" s="2889"/>
      <c r="AE25" s="510">
        <f>COUNTA(AE27:AE300)</f>
        <v>166</v>
      </c>
      <c r="AF25" s="1445"/>
      <c r="HA25" s="1477"/>
      <c r="HB25" s="1478"/>
      <c r="HC25" s="1478"/>
      <c r="HD25" s="1485"/>
      <c r="HE25" s="1486"/>
      <c r="HF25" s="1478"/>
      <c r="HG25" s="1478"/>
      <c r="HH25" s="1478"/>
      <c r="HI25" s="1487"/>
      <c r="HJ25" s="1478"/>
      <c r="HK25" s="1478"/>
      <c r="HL25" s="1478"/>
      <c r="HM25" s="1478"/>
      <c r="HN25" s="1478"/>
      <c r="HO25" s="1478"/>
      <c r="HP25" s="1488"/>
      <c r="HQ25" s="1524"/>
    </row>
    <row r="26" spans="1:225" s="26" customFormat="1" ht="12.6" customHeight="1" thickTop="1" x14ac:dyDescent="0.25">
      <c r="A26" s="1471"/>
      <c r="B26" s="1473"/>
      <c r="C26" s="1473"/>
      <c r="D26" s="1494"/>
      <c r="E26" s="1471"/>
      <c r="F26" s="1495"/>
      <c r="G26" s="1471"/>
      <c r="H26" s="1554"/>
      <c r="I26" s="1175"/>
      <c r="J26" s="1556"/>
      <c r="K26" s="1550"/>
      <c r="L26" s="1552"/>
      <c r="M26" s="1558"/>
      <c r="N26" s="1559"/>
      <c r="O26" s="1564"/>
      <c r="P26" s="1505"/>
      <c r="Q26" s="1224" t="b">
        <v>0</v>
      </c>
      <c r="R26" s="561" t="b">
        <v>0</v>
      </c>
      <c r="S26" s="554" t="b">
        <f t="shared" si="1"/>
        <v>0</v>
      </c>
      <c r="T26" s="554" t="b">
        <f t="shared" si="2"/>
        <v>0</v>
      </c>
      <c r="U26" s="510" t="s">
        <v>836</v>
      </c>
      <c r="V26" s="2905"/>
      <c r="W26" s="510" t="s">
        <v>701</v>
      </c>
      <c r="X26" s="510" t="s">
        <v>702</v>
      </c>
      <c r="Y26" s="510" t="s">
        <v>703</v>
      </c>
      <c r="Z26" s="510" t="s">
        <v>704</v>
      </c>
      <c r="AA26" s="510" t="s">
        <v>705</v>
      </c>
      <c r="AB26" s="510" t="s">
        <v>718</v>
      </c>
      <c r="AC26" s="1445" t="s">
        <v>1186</v>
      </c>
      <c r="AD26" s="1445" t="s">
        <v>1187</v>
      </c>
      <c r="AE26" s="510" t="s">
        <v>861</v>
      </c>
      <c r="AF26" s="1445" t="s">
        <v>1183</v>
      </c>
      <c r="HA26" s="1477"/>
      <c r="HB26" s="1478"/>
      <c r="HC26" s="1478"/>
      <c r="HD26" s="1485"/>
      <c r="HE26" s="1486"/>
      <c r="HF26" s="1478"/>
      <c r="HG26" s="1478"/>
      <c r="HH26" s="1478"/>
      <c r="HI26" s="1487"/>
      <c r="HJ26" s="1478"/>
      <c r="HK26" s="1478"/>
      <c r="HL26" s="1478"/>
      <c r="HM26" s="1478"/>
      <c r="HN26" s="1478"/>
      <c r="HO26" s="1478"/>
      <c r="HP26" s="1488"/>
      <c r="HQ26" s="1524"/>
    </row>
    <row r="27" spans="1:225" ht="12.6" customHeight="1" x14ac:dyDescent="0.25">
      <c r="A27" s="1471"/>
      <c r="B27" s="1473"/>
      <c r="C27" s="1473"/>
      <c r="D27" s="1494"/>
      <c r="E27" s="1471"/>
      <c r="F27" s="1495"/>
      <c r="G27" s="1471"/>
      <c r="H27" s="1554"/>
      <c r="I27" s="1175"/>
      <c r="J27" s="1556"/>
      <c r="K27" s="1550"/>
      <c r="L27" s="1552"/>
      <c r="M27" s="1558"/>
      <c r="N27" s="1559"/>
      <c r="O27" s="1564"/>
      <c r="P27" s="1505"/>
      <c r="Q27" s="1224"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46">
        <v>1.66</v>
      </c>
      <c r="AD27" s="1446">
        <v>2.38</v>
      </c>
      <c r="AE27" s="775" t="s">
        <v>852</v>
      </c>
      <c r="AF27" s="1447">
        <v>1.1563000000000001</v>
      </c>
      <c r="HA27" s="1477"/>
      <c r="HB27" s="1478"/>
      <c r="HC27" s="1478"/>
      <c r="HD27" s="1485"/>
      <c r="HE27" s="1486"/>
      <c r="HF27" s="1478"/>
      <c r="HG27" s="1478"/>
      <c r="HH27" s="1478"/>
      <c r="HI27" s="1487"/>
      <c r="HJ27" s="1478"/>
      <c r="HK27" s="1478"/>
      <c r="HL27" s="1478"/>
      <c r="HM27" s="1478"/>
      <c r="HN27" s="1478"/>
      <c r="HO27" s="1478"/>
      <c r="HP27" s="1488"/>
      <c r="HQ27" s="1523"/>
    </row>
    <row r="28" spans="1:225" ht="12.6" customHeight="1" x14ac:dyDescent="0.25">
      <c r="A28" s="1471"/>
      <c r="B28" s="1473"/>
      <c r="C28" s="1473"/>
      <c r="D28" s="1494"/>
      <c r="E28" s="1471"/>
      <c r="F28" s="1495"/>
      <c r="G28" s="1471"/>
      <c r="H28" s="1554"/>
      <c r="I28" s="1175"/>
      <c r="J28" s="1556"/>
      <c r="K28" s="1550"/>
      <c r="L28" s="1552"/>
      <c r="M28" s="1558"/>
      <c r="N28" s="1559"/>
      <c r="O28" s="1564"/>
      <c r="P28" s="1505"/>
      <c r="Q28" s="1224"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46">
        <v>2.2200000000000002</v>
      </c>
      <c r="AD28" s="1446">
        <v>3.1</v>
      </c>
      <c r="AE28" s="775" t="s">
        <v>853</v>
      </c>
      <c r="AF28" s="1447">
        <v>1.1563000000000001</v>
      </c>
      <c r="HA28" s="1477"/>
      <c r="HB28" s="1478"/>
      <c r="HC28" s="1478"/>
      <c r="HD28" s="1485"/>
      <c r="HE28" s="1486"/>
      <c r="HF28" s="1478"/>
      <c r="HG28" s="1478"/>
      <c r="HH28" s="1478"/>
      <c r="HI28" s="1487"/>
      <c r="HJ28" s="1478"/>
      <c r="HK28" s="1478"/>
      <c r="HL28" s="1478"/>
      <c r="HM28" s="1478"/>
      <c r="HN28" s="1478"/>
      <c r="HO28" s="1478"/>
      <c r="HP28" s="1488"/>
      <c r="HQ28" s="1523"/>
    </row>
    <row r="29" spans="1:225" ht="12.6" customHeight="1" x14ac:dyDescent="0.25">
      <c r="A29" s="1471"/>
      <c r="B29" s="1473"/>
      <c r="C29" s="1473"/>
      <c r="D29" s="1494"/>
      <c r="E29" s="1471"/>
      <c r="F29" s="1495"/>
      <c r="G29" s="1471"/>
      <c r="H29" s="1554"/>
      <c r="I29" s="1175"/>
      <c r="J29" s="1556"/>
      <c r="K29" s="1550"/>
      <c r="L29" s="1552"/>
      <c r="M29" s="1558"/>
      <c r="N29" s="1559"/>
      <c r="O29" s="1564"/>
      <c r="P29" s="1505"/>
      <c r="Q29" s="1224"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46">
        <v>2.2200000000000002</v>
      </c>
      <c r="AD29" s="1446">
        <v>3.1</v>
      </c>
      <c r="AE29" s="775" t="s">
        <v>854</v>
      </c>
      <c r="AF29" s="1447">
        <v>1.109</v>
      </c>
      <c r="HA29" s="1477"/>
      <c r="HB29" s="1478"/>
      <c r="HC29" s="1478"/>
      <c r="HD29" s="1485"/>
      <c r="HE29" s="1486"/>
      <c r="HF29" s="1478"/>
      <c r="HG29" s="1478"/>
      <c r="HH29" s="1478"/>
      <c r="HI29" s="1487"/>
      <c r="HJ29" s="1478"/>
      <c r="HK29" s="1478"/>
      <c r="HL29" s="1478"/>
      <c r="HM29" s="1478"/>
      <c r="HN29" s="1478"/>
      <c r="HO29" s="1478"/>
      <c r="HP29" s="1488"/>
      <c r="HQ29" s="1523"/>
    </row>
    <row r="30" spans="1:225" ht="12.6" customHeight="1" x14ac:dyDescent="0.25">
      <c r="A30" s="1471"/>
      <c r="B30" s="1473"/>
      <c r="C30" s="1473"/>
      <c r="D30" s="1494"/>
      <c r="E30" s="1471"/>
      <c r="F30" s="1495"/>
      <c r="G30" s="1471"/>
      <c r="H30" s="1554"/>
      <c r="I30" s="1175"/>
      <c r="J30" s="1556"/>
      <c r="K30" s="1550"/>
      <c r="L30" s="1552"/>
      <c r="M30" s="1558"/>
      <c r="N30" s="1559"/>
      <c r="O30" s="1564"/>
      <c r="P30" s="1505"/>
      <c r="Q30" s="1224"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46">
        <v>1.75</v>
      </c>
      <c r="AD30" s="1446">
        <v>3</v>
      </c>
      <c r="AE30" s="775" t="s">
        <v>855</v>
      </c>
      <c r="AF30" s="1447">
        <v>1.125</v>
      </c>
      <c r="HA30" s="1477"/>
      <c r="HB30" s="1478"/>
      <c r="HC30" s="1478"/>
      <c r="HD30" s="1485"/>
      <c r="HE30" s="1486"/>
      <c r="HF30" s="1478"/>
      <c r="HG30" s="1478"/>
      <c r="HH30" s="1478"/>
      <c r="HI30" s="1487"/>
      <c r="HJ30" s="1478"/>
      <c r="HK30" s="1478"/>
      <c r="HL30" s="1478"/>
      <c r="HM30" s="1478"/>
      <c r="HN30" s="1478"/>
      <c r="HO30" s="1478"/>
      <c r="HP30" s="1488"/>
      <c r="HQ30" s="1523"/>
    </row>
    <row r="31" spans="1:225" ht="12.6" customHeight="1" x14ac:dyDescent="0.25">
      <c r="A31" s="1471"/>
      <c r="B31" s="1473"/>
      <c r="C31" s="1473"/>
      <c r="D31" s="1494"/>
      <c r="E31" s="1471"/>
      <c r="F31" s="1495"/>
      <c r="G31" s="1471"/>
      <c r="H31" s="1554"/>
      <c r="I31" s="1175"/>
      <c r="J31" s="1556"/>
      <c r="K31" s="1550"/>
      <c r="L31" s="1552"/>
      <c r="M31" s="1558"/>
      <c r="N31" s="1559"/>
      <c r="O31" s="1564"/>
      <c r="P31" s="1505"/>
      <c r="Q31" s="1224" t="b">
        <v>0</v>
      </c>
      <c r="R31" s="561" t="b">
        <v>0</v>
      </c>
      <c r="S31" s="554" t="b">
        <f t="shared" si="1"/>
        <v>0</v>
      </c>
      <c r="T31" s="554" t="b">
        <f t="shared" si="2"/>
        <v>0</v>
      </c>
      <c r="U31" s="775" t="s">
        <v>852</v>
      </c>
      <c r="V31" s="475"/>
      <c r="W31" s="475" t="s">
        <v>769</v>
      </c>
      <c r="X31" s="475" t="b">
        <v>1</v>
      </c>
      <c r="Y31" s="475" t="b">
        <v>1</v>
      </c>
      <c r="Z31" s="475" t="b">
        <v>0</v>
      </c>
      <c r="AA31" s="475" t="b">
        <v>1</v>
      </c>
      <c r="AB31" s="475" t="s">
        <v>712</v>
      </c>
      <c r="AC31" s="1446">
        <v>1.75</v>
      </c>
      <c r="AD31" s="1446">
        <v>3</v>
      </c>
      <c r="AE31" s="775" t="s">
        <v>856</v>
      </c>
      <c r="AF31" s="1447">
        <v>1.119</v>
      </c>
      <c r="HA31" s="1477"/>
      <c r="HB31" s="1478"/>
      <c r="HC31" s="1478"/>
      <c r="HD31" s="1485"/>
      <c r="HE31" s="1486"/>
      <c r="HF31" s="1478"/>
      <c r="HG31" s="1478"/>
      <c r="HH31" s="1478"/>
      <c r="HI31" s="1487"/>
      <c r="HJ31" s="1478"/>
      <c r="HK31" s="1478"/>
      <c r="HL31" s="1478"/>
      <c r="HM31" s="1478"/>
      <c r="HN31" s="1478"/>
      <c r="HO31" s="1478"/>
      <c r="HP31" s="1488"/>
      <c r="HQ31" s="1523"/>
    </row>
    <row r="32" spans="1:225" ht="12.6" customHeight="1" x14ac:dyDescent="0.25">
      <c r="A32" s="1471"/>
      <c r="B32" s="1473"/>
      <c r="C32" s="1473"/>
      <c r="D32" s="1494"/>
      <c r="E32" s="1471"/>
      <c r="F32" s="1495"/>
      <c r="G32" s="1471"/>
      <c r="H32" s="1554"/>
      <c r="I32" s="1175"/>
      <c r="J32" s="1556"/>
      <c r="K32" s="1550"/>
      <c r="L32" s="1552"/>
      <c r="M32" s="1558"/>
      <c r="N32" s="1559"/>
      <c r="O32" s="1564"/>
      <c r="P32" s="1505"/>
      <c r="Q32" s="1224" t="b">
        <v>0</v>
      </c>
      <c r="R32" s="561" t="b">
        <v>0</v>
      </c>
      <c r="S32" s="554" t="b">
        <f t="shared" si="1"/>
        <v>0</v>
      </c>
      <c r="T32" s="554" t="b">
        <f t="shared" si="2"/>
        <v>0</v>
      </c>
      <c r="U32" s="775" t="s">
        <v>853</v>
      </c>
      <c r="V32" s="475"/>
      <c r="W32" s="475" t="s">
        <v>770</v>
      </c>
      <c r="X32" s="475" t="b">
        <v>1</v>
      </c>
      <c r="Y32" s="475" t="b">
        <v>1</v>
      </c>
      <c r="Z32" s="475" t="b">
        <v>1</v>
      </c>
      <c r="AA32" s="475" t="b">
        <v>1</v>
      </c>
      <c r="AB32" s="475" t="s">
        <v>713</v>
      </c>
      <c r="AC32" s="1446">
        <v>1.75</v>
      </c>
      <c r="AD32" s="1446">
        <v>3</v>
      </c>
      <c r="AE32" s="775" t="s">
        <v>862</v>
      </c>
      <c r="AF32" s="1447">
        <v>1.375</v>
      </c>
      <c r="HA32" s="1477"/>
      <c r="HB32" s="1478"/>
      <c r="HC32" s="1478"/>
      <c r="HD32" s="1485"/>
      <c r="HE32" s="1486"/>
      <c r="HF32" s="1478"/>
      <c r="HG32" s="1478"/>
      <c r="HH32" s="1478"/>
      <c r="HI32" s="1487"/>
      <c r="HJ32" s="1478"/>
      <c r="HK32" s="1478"/>
      <c r="HL32" s="1478"/>
      <c r="HM32" s="1478"/>
      <c r="HN32" s="1478"/>
      <c r="HO32" s="1478"/>
      <c r="HP32" s="1488"/>
      <c r="HQ32" s="1523"/>
    </row>
    <row r="33" spans="1:225" ht="12.6" customHeight="1" x14ac:dyDescent="0.25">
      <c r="A33" s="1471"/>
      <c r="B33" s="1473"/>
      <c r="C33" s="1473"/>
      <c r="D33" s="1494"/>
      <c r="E33" s="1471"/>
      <c r="F33" s="1495"/>
      <c r="G33" s="1471"/>
      <c r="H33" s="1554"/>
      <c r="I33" s="1175"/>
      <c r="J33" s="1556"/>
      <c r="K33" s="1550"/>
      <c r="L33" s="1552"/>
      <c r="M33" s="1558"/>
      <c r="N33" s="1559"/>
      <c r="O33" s="1564"/>
      <c r="P33" s="1505"/>
      <c r="Q33" s="1224"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47">
        <v>0</v>
      </c>
      <c r="AD33" s="1447">
        <v>0</v>
      </c>
      <c r="AE33" s="775" t="s">
        <v>863</v>
      </c>
      <c r="AF33" s="1447">
        <v>1.375</v>
      </c>
      <c r="HA33" s="1477"/>
      <c r="HB33" s="1478"/>
      <c r="HC33" s="1478"/>
      <c r="HD33" s="1485"/>
      <c r="HE33" s="1486"/>
      <c r="HF33" s="1478"/>
      <c r="HG33" s="1478"/>
      <c r="HH33" s="1478"/>
      <c r="HI33" s="1487"/>
      <c r="HJ33" s="1478"/>
      <c r="HK33" s="1478"/>
      <c r="HL33" s="1478"/>
      <c r="HM33" s="1478"/>
      <c r="HN33" s="1478"/>
      <c r="HO33" s="1478"/>
      <c r="HP33" s="1488"/>
      <c r="HQ33" s="1523"/>
    </row>
    <row r="34" spans="1:225" ht="12.6" customHeight="1" x14ac:dyDescent="0.25">
      <c r="A34" s="1471"/>
      <c r="B34" s="1473"/>
      <c r="C34" s="1473"/>
      <c r="D34" s="1494"/>
      <c r="E34" s="1471"/>
      <c r="F34" s="1495"/>
      <c r="G34" s="1471"/>
      <c r="H34" s="1554"/>
      <c r="I34" s="1175"/>
      <c r="J34" s="1556"/>
      <c r="K34" s="1550"/>
      <c r="L34" s="1552"/>
      <c r="M34" s="1558"/>
      <c r="N34" s="1559"/>
      <c r="O34" s="1564"/>
      <c r="P34" s="1505"/>
      <c r="Q34" s="1224"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47">
        <v>0</v>
      </c>
      <c r="AD34" s="1447">
        <v>0</v>
      </c>
      <c r="AE34" s="775" t="s">
        <v>864</v>
      </c>
      <c r="AF34" s="1447">
        <v>1.4375</v>
      </c>
      <c r="HA34" s="1477"/>
      <c r="HB34" s="1478"/>
      <c r="HC34" s="1478"/>
      <c r="HD34" s="1485"/>
      <c r="HE34" s="1486"/>
      <c r="HF34" s="1478"/>
      <c r="HG34" s="1478"/>
      <c r="HH34" s="1478"/>
      <c r="HI34" s="1487"/>
      <c r="HJ34" s="1478"/>
      <c r="HK34" s="1478"/>
      <c r="HL34" s="1478"/>
      <c r="HM34" s="1478"/>
      <c r="HN34" s="1478"/>
      <c r="HO34" s="1478"/>
      <c r="HP34" s="1488"/>
      <c r="HQ34" s="1523"/>
    </row>
    <row r="35" spans="1:225" ht="12.6" customHeight="1" x14ac:dyDescent="0.25">
      <c r="A35" s="1471"/>
      <c r="B35" s="1473"/>
      <c r="C35" s="1473"/>
      <c r="D35" s="1494"/>
      <c r="E35" s="1471"/>
      <c r="F35" s="1495"/>
      <c r="G35" s="1471"/>
      <c r="H35" s="1554"/>
      <c r="I35" s="1175"/>
      <c r="J35" s="1556"/>
      <c r="K35" s="1550"/>
      <c r="L35" s="1552"/>
      <c r="M35" s="1558"/>
      <c r="N35" s="1559"/>
      <c r="O35" s="1564"/>
      <c r="P35" s="1505"/>
      <c r="Q35" s="1224"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47">
        <v>1.375</v>
      </c>
      <c r="HA35" s="1477"/>
      <c r="HB35" s="1478"/>
      <c r="HC35" s="1478"/>
      <c r="HD35" s="1485"/>
      <c r="HE35" s="1486"/>
      <c r="HF35" s="1478"/>
      <c r="HG35" s="1478"/>
      <c r="HH35" s="1478"/>
      <c r="HI35" s="1487"/>
      <c r="HJ35" s="1478"/>
      <c r="HK35" s="1478"/>
      <c r="HL35" s="1478"/>
      <c r="HM35" s="1478"/>
      <c r="HN35" s="1478"/>
      <c r="HO35" s="1478"/>
      <c r="HP35" s="1488"/>
      <c r="HQ35" s="1523"/>
    </row>
    <row r="36" spans="1:225" ht="12.6" customHeight="1" x14ac:dyDescent="0.25">
      <c r="A36" s="1471"/>
      <c r="B36" s="1473"/>
      <c r="C36" s="1473"/>
      <c r="D36" s="1494"/>
      <c r="E36" s="1471"/>
      <c r="F36" s="1495"/>
      <c r="G36" s="1471"/>
      <c r="H36" s="1554"/>
      <c r="I36" s="1175"/>
      <c r="J36" s="1556"/>
      <c r="K36" s="1550"/>
      <c r="L36" s="1552"/>
      <c r="M36" s="1558"/>
      <c r="N36" s="1559"/>
      <c r="O36" s="1564"/>
      <c r="P36" s="1505"/>
      <c r="Q36" s="1224" t="b">
        <v>0</v>
      </c>
      <c r="R36" s="561" t="b">
        <v>0</v>
      </c>
      <c r="S36" s="554" t="b">
        <f t="shared" si="1"/>
        <v>0</v>
      </c>
      <c r="T36" s="554" t="b">
        <f t="shared" si="2"/>
        <v>0</v>
      </c>
      <c r="U36" s="775" t="s">
        <v>857</v>
      </c>
      <c r="V36" s="475"/>
      <c r="W36" s="475"/>
      <c r="X36" s="475"/>
      <c r="Y36" s="475"/>
      <c r="Z36" s="475"/>
      <c r="AA36" s="475"/>
      <c r="AB36" s="475"/>
      <c r="AC36" s="475"/>
      <c r="AD36" s="475"/>
      <c r="AE36" s="775" t="s">
        <v>866</v>
      </c>
      <c r="AF36" s="1447">
        <v>1.5</v>
      </c>
      <c r="HA36" s="1477"/>
      <c r="HB36" s="1478"/>
      <c r="HC36" s="1478"/>
      <c r="HD36" s="1485"/>
      <c r="HE36" s="1486"/>
      <c r="HF36" s="1478"/>
      <c r="HG36" s="1478"/>
      <c r="HH36" s="1478"/>
      <c r="HI36" s="1487"/>
      <c r="HJ36" s="1478"/>
      <c r="HK36" s="1478"/>
      <c r="HL36" s="1478"/>
      <c r="HM36" s="1478"/>
      <c r="HN36" s="1478"/>
      <c r="HO36" s="1478"/>
      <c r="HP36" s="1488"/>
      <c r="HQ36" s="1523"/>
    </row>
    <row r="37" spans="1:225" ht="12.6" customHeight="1" x14ac:dyDescent="0.25">
      <c r="A37" s="1471"/>
      <c r="B37" s="1473"/>
      <c r="C37" s="1473"/>
      <c r="D37" s="1494"/>
      <c r="E37" s="1471"/>
      <c r="F37" s="1495"/>
      <c r="G37" s="1471"/>
      <c r="H37" s="1554"/>
      <c r="I37" s="1175"/>
      <c r="J37" s="1556"/>
      <c r="K37" s="1550"/>
      <c r="L37" s="1552"/>
      <c r="M37" s="1558"/>
      <c r="N37" s="1559"/>
      <c r="O37" s="1564"/>
      <c r="P37" s="1505"/>
      <c r="Q37" s="1224" t="b">
        <v>0</v>
      </c>
      <c r="R37" s="561" t="b">
        <v>0</v>
      </c>
      <c r="S37" s="554" t="b">
        <f t="shared" si="1"/>
        <v>0</v>
      </c>
      <c r="T37" s="554" t="b">
        <f t="shared" si="2"/>
        <v>0</v>
      </c>
      <c r="U37" s="775" t="s">
        <v>858</v>
      </c>
      <c r="V37" s="475"/>
      <c r="W37" s="475"/>
      <c r="X37" s="475"/>
      <c r="Y37" s="475"/>
      <c r="Z37" s="475"/>
      <c r="AA37" s="475"/>
      <c r="AB37" s="475"/>
      <c r="AC37" s="475"/>
      <c r="AD37" s="475"/>
      <c r="AE37" s="775" t="s">
        <v>867</v>
      </c>
      <c r="AF37" s="1447">
        <v>1.4370000000000001</v>
      </c>
      <c r="HA37" s="1477"/>
      <c r="HB37" s="1478"/>
      <c r="HC37" s="1478"/>
      <c r="HD37" s="1485"/>
      <c r="HE37" s="1486"/>
      <c r="HF37" s="1478"/>
      <c r="HG37" s="1478"/>
      <c r="HH37" s="1478"/>
      <c r="HI37" s="1487"/>
      <c r="HJ37" s="1478"/>
      <c r="HK37" s="1478"/>
      <c r="HL37" s="1478"/>
      <c r="HM37" s="1478"/>
      <c r="HN37" s="1478"/>
      <c r="HO37" s="1478"/>
      <c r="HP37" s="1488"/>
      <c r="HQ37" s="1523"/>
    </row>
    <row r="38" spans="1:225" ht="12.6" customHeight="1" x14ac:dyDescent="0.25">
      <c r="A38" s="1471"/>
      <c r="B38" s="1473"/>
      <c r="C38" s="1473"/>
      <c r="D38" s="1494"/>
      <c r="E38" s="1471"/>
      <c r="F38" s="1495"/>
      <c r="G38" s="1471"/>
      <c r="H38" s="1554"/>
      <c r="I38" s="1175"/>
      <c r="J38" s="1556"/>
      <c r="K38" s="1550"/>
      <c r="L38" s="1552"/>
      <c r="M38" s="1558"/>
      <c r="N38" s="1559"/>
      <c r="O38" s="1564"/>
      <c r="P38" s="1505"/>
      <c r="Q38" s="1224" t="b">
        <v>0</v>
      </c>
      <c r="R38" s="561" t="b">
        <v>0</v>
      </c>
      <c r="S38" s="554" t="b">
        <f t="shared" si="1"/>
        <v>0</v>
      </c>
      <c r="T38" s="554" t="b">
        <f t="shared" si="2"/>
        <v>0</v>
      </c>
      <c r="U38" s="775" t="s">
        <v>859</v>
      </c>
      <c r="V38" s="475"/>
      <c r="W38" s="475"/>
      <c r="X38" s="475"/>
      <c r="Y38" s="475"/>
      <c r="Z38" s="475"/>
      <c r="AA38" s="475"/>
      <c r="AB38" s="475"/>
      <c r="AC38" s="475"/>
      <c r="AD38" s="475"/>
      <c r="AE38" s="775" t="s">
        <v>868</v>
      </c>
      <c r="AF38" s="1447">
        <v>1.5</v>
      </c>
      <c r="HA38" s="1477"/>
      <c r="HB38" s="1478"/>
      <c r="HC38" s="1478"/>
      <c r="HD38" s="1485"/>
      <c r="HE38" s="1486"/>
      <c r="HF38" s="1478"/>
      <c r="HG38" s="1478"/>
      <c r="HH38" s="1478"/>
      <c r="HI38" s="1487"/>
      <c r="HJ38" s="1478"/>
      <c r="HK38" s="1478"/>
      <c r="HL38" s="1478"/>
      <c r="HM38" s="1478"/>
      <c r="HN38" s="1478"/>
      <c r="HO38" s="1478"/>
      <c r="HP38" s="1488"/>
      <c r="HQ38" s="1523"/>
    </row>
    <row r="39" spans="1:225" ht="12.6" customHeight="1" x14ac:dyDescent="0.25">
      <c r="A39" s="1471"/>
      <c r="B39" s="1473"/>
      <c r="C39" s="1473"/>
      <c r="D39" s="1494"/>
      <c r="E39" s="1471"/>
      <c r="F39" s="1495"/>
      <c r="G39" s="1471"/>
      <c r="H39" s="1554"/>
      <c r="I39" s="1175"/>
      <c r="J39" s="1556"/>
      <c r="K39" s="1550"/>
      <c r="L39" s="1552"/>
      <c r="M39" s="1558"/>
      <c r="N39" s="1559"/>
      <c r="O39" s="1564"/>
      <c r="P39" s="1505"/>
      <c r="Q39" s="1224" t="b">
        <v>0</v>
      </c>
      <c r="R39" s="561" t="b">
        <v>0</v>
      </c>
      <c r="S39" s="554" t="b">
        <f t="shared" si="1"/>
        <v>0</v>
      </c>
      <c r="T39" s="554" t="b">
        <f t="shared" si="2"/>
        <v>0</v>
      </c>
      <c r="U39" s="775" t="s">
        <v>860</v>
      </c>
      <c r="V39" s="475"/>
      <c r="W39" s="475"/>
      <c r="X39" s="475"/>
      <c r="Y39" s="475"/>
      <c r="Z39" s="475"/>
      <c r="AA39" s="475"/>
      <c r="AB39" s="475"/>
      <c r="AC39" s="475"/>
      <c r="AD39" s="475"/>
      <c r="AE39" s="775" t="s">
        <v>869</v>
      </c>
      <c r="AF39" s="1447">
        <v>1.5</v>
      </c>
      <c r="HA39" s="1477"/>
      <c r="HB39" s="1478"/>
      <c r="HC39" s="1478"/>
      <c r="HD39" s="1485"/>
      <c r="HE39" s="1486"/>
      <c r="HF39" s="1478"/>
      <c r="HG39" s="1478"/>
      <c r="HH39" s="1478"/>
      <c r="HI39" s="1487"/>
      <c r="HJ39" s="1478"/>
      <c r="HK39" s="1478"/>
      <c r="HL39" s="1478"/>
      <c r="HM39" s="1478"/>
      <c r="HN39" s="1478"/>
      <c r="HO39" s="1478"/>
      <c r="HP39" s="1488"/>
      <c r="HQ39" s="1523"/>
    </row>
    <row r="40" spans="1:225" ht="12.6" customHeight="1" x14ac:dyDescent="0.25">
      <c r="A40" s="1471"/>
      <c r="B40" s="1473"/>
      <c r="C40" s="1473"/>
      <c r="D40" s="1494"/>
      <c r="E40" s="1471"/>
      <c r="F40" s="1495"/>
      <c r="G40" s="1471"/>
      <c r="H40" s="1554"/>
      <c r="I40" s="1175"/>
      <c r="J40" s="1556"/>
      <c r="K40" s="1550"/>
      <c r="L40" s="1552"/>
      <c r="M40" s="1558"/>
      <c r="N40" s="1559"/>
      <c r="O40" s="1564"/>
      <c r="P40" s="1505"/>
      <c r="Q40" s="1224"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47">
        <v>1.5938000000000001</v>
      </c>
      <c r="HA40" s="1477"/>
      <c r="HB40" s="1478"/>
      <c r="HC40" s="1478"/>
      <c r="HD40" s="1485"/>
      <c r="HE40" s="1486"/>
      <c r="HF40" s="1478"/>
      <c r="HG40" s="1478"/>
      <c r="HH40" s="1478"/>
      <c r="HI40" s="1487"/>
      <c r="HJ40" s="1478"/>
      <c r="HK40" s="1478"/>
      <c r="HL40" s="1478"/>
      <c r="HM40" s="1478"/>
      <c r="HN40" s="1478"/>
      <c r="HO40" s="1478"/>
      <c r="HP40" s="1488"/>
      <c r="HQ40" s="1523"/>
    </row>
    <row r="41" spans="1:225" ht="12.6" customHeight="1" x14ac:dyDescent="0.25">
      <c r="A41" s="1471"/>
      <c r="B41" s="1473"/>
      <c r="C41" s="1473"/>
      <c r="D41" s="1494"/>
      <c r="E41" s="1471"/>
      <c r="F41" s="1495"/>
      <c r="G41" s="1471"/>
      <c r="H41" s="1554"/>
      <c r="I41" s="1175"/>
      <c r="J41" s="1556"/>
      <c r="K41" s="1550"/>
      <c r="L41" s="1552"/>
      <c r="M41" s="1558"/>
      <c r="N41" s="1559"/>
      <c r="O41" s="1564"/>
      <c r="P41" s="1505"/>
      <c r="Q41" s="1224" t="b">
        <v>0</v>
      </c>
      <c r="R41" s="561" t="b">
        <v>0</v>
      </c>
      <c r="S41" s="554" t="b">
        <f t="shared" si="1"/>
        <v>0</v>
      </c>
      <c r="T41" s="554" t="b">
        <f t="shared" si="2"/>
        <v>0</v>
      </c>
      <c r="U41" s="675"/>
      <c r="V41" s="475"/>
      <c r="W41" s="475"/>
      <c r="X41" s="475"/>
      <c r="Y41" s="475"/>
      <c r="Z41" s="475"/>
      <c r="AA41" s="475"/>
      <c r="AB41" s="475"/>
      <c r="AC41" s="475"/>
      <c r="AD41" s="475"/>
      <c r="AE41" s="775" t="s">
        <v>871</v>
      </c>
      <c r="AF41" s="1447">
        <v>1.5940000000000001</v>
      </c>
      <c r="HA41" s="1477"/>
      <c r="HB41" s="1478"/>
      <c r="HC41" s="1478"/>
      <c r="HD41" s="1485"/>
      <c r="HE41" s="1486"/>
      <c r="HF41" s="1478"/>
      <c r="HG41" s="1478"/>
      <c r="HH41" s="1478"/>
      <c r="HI41" s="1487"/>
      <c r="HJ41" s="1478"/>
      <c r="HK41" s="1478"/>
      <c r="HL41" s="1478"/>
      <c r="HM41" s="1478"/>
      <c r="HN41" s="1478"/>
      <c r="HO41" s="1478"/>
      <c r="HP41" s="1488"/>
      <c r="HQ41" s="1523"/>
    </row>
    <row r="42" spans="1:225" ht="12.6" customHeight="1" thickBot="1" x14ac:dyDescent="0.3">
      <c r="A42" s="1472"/>
      <c r="B42" s="1474"/>
      <c r="C42" s="1474"/>
      <c r="D42" s="1497"/>
      <c r="E42" s="1472"/>
      <c r="F42" s="1498"/>
      <c r="G42" s="1472"/>
      <c r="H42" s="1555"/>
      <c r="I42" s="1499"/>
      <c r="J42" s="1557"/>
      <c r="K42" s="1551"/>
      <c r="L42" s="1553"/>
      <c r="M42" s="1561"/>
      <c r="N42" s="1562"/>
      <c r="O42" s="1565"/>
      <c r="P42" s="1506"/>
      <c r="Q42" s="1224" t="b">
        <v>0</v>
      </c>
      <c r="R42" s="561" t="b">
        <v>0</v>
      </c>
      <c r="S42" s="554" t="b">
        <f t="shared" si="1"/>
        <v>0</v>
      </c>
      <c r="T42" s="554" t="b">
        <f t="shared" si="2"/>
        <v>0</v>
      </c>
      <c r="U42" s="675"/>
      <c r="V42" s="475"/>
      <c r="W42" s="475"/>
      <c r="X42" s="475"/>
      <c r="Y42" s="475"/>
      <c r="Z42" s="475"/>
      <c r="AA42" s="475"/>
      <c r="AB42" s="475"/>
      <c r="AC42" s="475"/>
      <c r="AD42" s="475"/>
      <c r="AE42" s="775" t="s">
        <v>872</v>
      </c>
      <c r="AF42" s="1447">
        <v>1.6563000000000001</v>
      </c>
      <c r="HA42" s="1479"/>
      <c r="HB42" s="1480"/>
      <c r="HC42" s="1480"/>
      <c r="HD42" s="1489"/>
      <c r="HE42" s="1490"/>
      <c r="HF42" s="1480"/>
      <c r="HG42" s="1480"/>
      <c r="HH42" s="1480"/>
      <c r="HI42" s="1491"/>
      <c r="HJ42" s="1480"/>
      <c r="HK42" s="1480"/>
      <c r="HL42" s="1480"/>
      <c r="HM42" s="1480"/>
      <c r="HN42" s="1480"/>
      <c r="HO42" s="1480"/>
      <c r="HP42" s="1492"/>
      <c r="HQ42" s="1523"/>
    </row>
    <row r="43" spans="1:225" ht="12.6" customHeight="1" thickTop="1" x14ac:dyDescent="0.2">
      <c r="AE43" s="775" t="s">
        <v>873</v>
      </c>
      <c r="AF43" s="1447">
        <v>1.6559999999999999</v>
      </c>
    </row>
    <row r="44" spans="1:225" ht="12.6" customHeight="1" x14ac:dyDescent="0.2">
      <c r="AE44" s="775" t="s">
        <v>874</v>
      </c>
      <c r="AF44" s="1447">
        <v>1.75</v>
      </c>
    </row>
    <row r="45" spans="1:225" ht="12.6" customHeight="1" x14ac:dyDescent="0.2">
      <c r="AE45" s="775" t="s">
        <v>875</v>
      </c>
      <c r="AF45" s="1447">
        <v>1.7350000000000001</v>
      </c>
    </row>
    <row r="46" spans="1:225" ht="12.6" customHeight="1" x14ac:dyDescent="0.2">
      <c r="A46" s="1145" t="s">
        <v>1062</v>
      </c>
      <c r="AE46" s="775" t="s">
        <v>876</v>
      </c>
      <c r="AF46" s="1447">
        <v>1.8125</v>
      </c>
    </row>
    <row r="47" spans="1:225" ht="12.6" hidden="1" customHeight="1" x14ac:dyDescent="0.2">
      <c r="C47" s="97">
        <f>SUM(C14:C42)</f>
        <v>0</v>
      </c>
      <c r="E47" s="38" t="b">
        <f>SUMIF(E14:E42,"BA*",C14:C42)&gt;0</f>
        <v>0</v>
      </c>
      <c r="AE47" s="775" t="s">
        <v>877</v>
      </c>
      <c r="AF47" s="1447">
        <v>1.7969999999999999</v>
      </c>
    </row>
    <row r="48" spans="1:225" ht="12.6" hidden="1" customHeight="1" x14ac:dyDescent="0.2">
      <c r="AE48" s="775" t="s">
        <v>878</v>
      </c>
      <c r="AF48" s="1447">
        <v>1.875</v>
      </c>
    </row>
    <row r="49" spans="1:32" ht="12.6" hidden="1" customHeight="1" x14ac:dyDescent="0.2">
      <c r="AE49" s="775" t="s">
        <v>879</v>
      </c>
      <c r="AF49" s="1447">
        <v>1.9059999999999999</v>
      </c>
    </row>
    <row r="50" spans="1:32" ht="12.6" hidden="1" customHeight="1" x14ac:dyDescent="0.2">
      <c r="AE50" s="775" t="s">
        <v>880</v>
      </c>
      <c r="AF50" s="1447">
        <v>1.9313</v>
      </c>
    </row>
    <row r="51" spans="1:32" ht="12.6" hidden="1" customHeight="1" x14ac:dyDescent="0.2">
      <c r="AE51" s="775" t="s">
        <v>881</v>
      </c>
      <c r="AF51" s="1447">
        <v>1.9375</v>
      </c>
    </row>
    <row r="52" spans="1:32" ht="12.6" hidden="1" customHeight="1" x14ac:dyDescent="0.2">
      <c r="AE52" s="775" t="s">
        <v>882</v>
      </c>
      <c r="AF52" s="1447">
        <v>1.9379999999999999</v>
      </c>
    </row>
    <row r="53" spans="1:32" ht="12.6" hidden="1" customHeight="1" x14ac:dyDescent="0.2">
      <c r="AE53" s="775" t="s">
        <v>883</v>
      </c>
      <c r="AF53" s="1447">
        <v>2.0937999999999999</v>
      </c>
    </row>
    <row r="54" spans="1:32" ht="12.6" hidden="1" customHeight="1" x14ac:dyDescent="0.2">
      <c r="AE54" s="775" t="s">
        <v>884</v>
      </c>
      <c r="AF54" s="1447">
        <v>2.0779999999999998</v>
      </c>
    </row>
    <row r="55" spans="1:32" ht="12.6" hidden="1" customHeight="1" x14ac:dyDescent="0.2">
      <c r="AE55" s="775" t="s">
        <v>885</v>
      </c>
      <c r="AF55" s="1447">
        <v>2.0779999999999998</v>
      </c>
    </row>
    <row r="56" spans="1:32" ht="12.6" hidden="1" customHeight="1" x14ac:dyDescent="0.2">
      <c r="AE56" s="775" t="s">
        <v>886</v>
      </c>
      <c r="AF56" s="1447">
        <v>2.2187999999999999</v>
      </c>
    </row>
    <row r="57" spans="1:32" ht="12.6" hidden="1" customHeight="1" x14ac:dyDescent="0.2">
      <c r="AE57" s="775" t="s">
        <v>887</v>
      </c>
      <c r="AF57" s="1447">
        <v>2.2189999999999999</v>
      </c>
    </row>
    <row r="58" spans="1:32" ht="12.6" hidden="1" customHeight="1" x14ac:dyDescent="0.2">
      <c r="AE58" s="775" t="s">
        <v>888</v>
      </c>
      <c r="AF58" s="1447">
        <v>2.375</v>
      </c>
    </row>
    <row r="59" spans="1:32" ht="12.6" hidden="1" customHeight="1" x14ac:dyDescent="0.2">
      <c r="AE59" s="775" t="s">
        <v>889</v>
      </c>
      <c r="AF59" s="1447">
        <v>2.2360000000000002</v>
      </c>
    </row>
    <row r="60" spans="1:32" ht="12.6" hidden="1" customHeight="1" x14ac:dyDescent="0.2">
      <c r="A60" s="1129" t="s">
        <v>1218</v>
      </c>
      <c r="AE60" s="775" t="s">
        <v>890</v>
      </c>
      <c r="AF60" s="1447">
        <v>2.375</v>
      </c>
    </row>
    <row r="61" spans="1:32" ht="12.6" hidden="1" customHeight="1" x14ac:dyDescent="0.2">
      <c r="A61" s="1130"/>
      <c r="AE61" s="775" t="s">
        <v>891</v>
      </c>
      <c r="AF61" s="1447">
        <v>2.3769999999999998</v>
      </c>
    </row>
    <row r="62" spans="1:32" ht="12.6" hidden="1" customHeight="1" x14ac:dyDescent="0.2">
      <c r="AE62" s="775" t="s">
        <v>892</v>
      </c>
      <c r="AF62" s="1447">
        <v>2.375</v>
      </c>
    </row>
    <row r="63" spans="1:32" ht="12.6" hidden="1" customHeight="1" x14ac:dyDescent="0.2">
      <c r="AE63" s="775" t="s">
        <v>893</v>
      </c>
      <c r="AF63" s="1447">
        <v>2.625</v>
      </c>
    </row>
    <row r="64" spans="1:32" ht="12.6" hidden="1" customHeight="1" x14ac:dyDescent="0.2">
      <c r="AE64" s="775" t="s">
        <v>894</v>
      </c>
      <c r="AF64" s="1447">
        <v>2.375</v>
      </c>
    </row>
    <row r="65" spans="1:32" ht="12.6" customHeight="1" x14ac:dyDescent="0.2">
      <c r="A65" s="1145" t="s">
        <v>1063</v>
      </c>
      <c r="AE65" s="775" t="s">
        <v>895</v>
      </c>
      <c r="AF65" s="1447">
        <v>2.375</v>
      </c>
    </row>
    <row r="66" spans="1:32" ht="12.6" customHeight="1" x14ac:dyDescent="0.2">
      <c r="AE66" s="775" t="s">
        <v>896</v>
      </c>
      <c r="AF66" s="1447">
        <v>2.875</v>
      </c>
    </row>
    <row r="67" spans="1:32" ht="12.6" customHeight="1" x14ac:dyDescent="0.2">
      <c r="AE67" s="775" t="s">
        <v>897</v>
      </c>
      <c r="AF67" s="1447">
        <v>2.375</v>
      </c>
    </row>
    <row r="68" spans="1:32" ht="12.6" customHeight="1" x14ac:dyDescent="0.2">
      <c r="AE68" s="775" t="s">
        <v>898</v>
      </c>
      <c r="AF68" s="1447">
        <v>2.5939000000000001</v>
      </c>
    </row>
    <row r="69" spans="1:32" ht="12.6" customHeight="1" x14ac:dyDescent="0.2">
      <c r="AE69" s="775" t="s">
        <v>899</v>
      </c>
      <c r="AF69" s="1447">
        <v>3.0625</v>
      </c>
    </row>
    <row r="70" spans="1:32" ht="12.6" customHeight="1" x14ac:dyDescent="0.2">
      <c r="AE70" s="775" t="s">
        <v>900</v>
      </c>
      <c r="AF70" s="1447">
        <v>3.0939000000000001</v>
      </c>
    </row>
    <row r="71" spans="1:32" ht="12.6" customHeight="1" x14ac:dyDescent="0.2">
      <c r="AE71" s="775" t="s">
        <v>901</v>
      </c>
      <c r="AF71" s="1447">
        <v>3.0937999999999999</v>
      </c>
    </row>
    <row r="72" spans="1:32" ht="12.6" customHeight="1" x14ac:dyDescent="0.2">
      <c r="AE72" s="775" t="s">
        <v>902</v>
      </c>
      <c r="AF72" s="1447">
        <v>2.5647000000000002</v>
      </c>
    </row>
    <row r="73" spans="1:32" ht="12.6" customHeight="1" x14ac:dyDescent="0.2">
      <c r="AE73" s="775" t="s">
        <v>903</v>
      </c>
      <c r="AF73" s="1447">
        <v>2.3439999999999999</v>
      </c>
    </row>
    <row r="74" spans="1:32" ht="12.6" customHeight="1" x14ac:dyDescent="0.2">
      <c r="AE74" s="775" t="s">
        <v>904</v>
      </c>
      <c r="AF74" s="1447">
        <v>1.8305</v>
      </c>
    </row>
    <row r="75" spans="1:32" ht="12.6" customHeight="1" x14ac:dyDescent="0.2">
      <c r="AE75" s="775" t="s">
        <v>905</v>
      </c>
      <c r="AF75" s="1447">
        <v>1.8848</v>
      </c>
    </row>
    <row r="76" spans="1:32" ht="12.6" customHeight="1" x14ac:dyDescent="0.2">
      <c r="AE76" s="775" t="s">
        <v>906</v>
      </c>
      <c r="AF76" s="1447">
        <v>2</v>
      </c>
    </row>
    <row r="77" spans="1:32" ht="12.6" customHeight="1" x14ac:dyDescent="0.2">
      <c r="AE77" s="775" t="s">
        <v>907</v>
      </c>
      <c r="AF77" s="1447">
        <v>2.75</v>
      </c>
    </row>
    <row r="78" spans="1:32" ht="12.6" customHeight="1" x14ac:dyDescent="0.2">
      <c r="AE78" s="775" t="s">
        <v>908</v>
      </c>
      <c r="AF78" s="1447">
        <v>2</v>
      </c>
    </row>
    <row r="79" spans="1:32" ht="12.6" customHeight="1" x14ac:dyDescent="0.2">
      <c r="AE79" s="775" t="s">
        <v>857</v>
      </c>
      <c r="AF79" s="1447">
        <v>1</v>
      </c>
    </row>
    <row r="80" spans="1:32" ht="12.6" customHeight="1" x14ac:dyDescent="0.2">
      <c r="AE80" s="775" t="s">
        <v>858</v>
      </c>
      <c r="AF80" s="1447">
        <v>1</v>
      </c>
    </row>
    <row r="81" spans="31:32" ht="12.6" customHeight="1" x14ac:dyDescent="0.2">
      <c r="AE81" s="775" t="s">
        <v>859</v>
      </c>
      <c r="AF81" s="1447">
        <v>1</v>
      </c>
    </row>
    <row r="82" spans="31:32" ht="12.6" customHeight="1" x14ac:dyDescent="0.2">
      <c r="AE82" s="775" t="s">
        <v>860</v>
      </c>
      <c r="AF82" s="1447">
        <v>1</v>
      </c>
    </row>
    <row r="83" spans="31:32" ht="12.6" customHeight="1" x14ac:dyDescent="0.2">
      <c r="AE83" s="775" t="s">
        <v>909</v>
      </c>
      <c r="AF83" s="1447">
        <v>1.25</v>
      </c>
    </row>
    <row r="84" spans="31:32" ht="12.6" customHeight="1" x14ac:dyDescent="0.2">
      <c r="AE84" s="775" t="s">
        <v>910</v>
      </c>
      <c r="AF84" s="1447">
        <v>1.25</v>
      </c>
    </row>
    <row r="85" spans="31:32" ht="12.6" customHeight="1" x14ac:dyDescent="0.2">
      <c r="AE85" s="775" t="s">
        <v>911</v>
      </c>
      <c r="AF85" s="1447">
        <v>1.25</v>
      </c>
    </row>
    <row r="86" spans="31:32" ht="12.6" customHeight="1" x14ac:dyDescent="0.2">
      <c r="AE86" s="775" t="s">
        <v>912</v>
      </c>
      <c r="AF86" s="1447">
        <v>1.25</v>
      </c>
    </row>
    <row r="87" spans="31:32" ht="12.6" customHeight="1" x14ac:dyDescent="0.2">
      <c r="AE87" s="775" t="s">
        <v>913</v>
      </c>
      <c r="AF87" s="1447">
        <v>1.5</v>
      </c>
    </row>
    <row r="88" spans="31:32" ht="12.6" customHeight="1" x14ac:dyDescent="0.2">
      <c r="AE88" s="775" t="s">
        <v>914</v>
      </c>
      <c r="AF88" s="1447">
        <v>1.5</v>
      </c>
    </row>
    <row r="89" spans="31:32" ht="12.6" customHeight="1" x14ac:dyDescent="0.2">
      <c r="AE89" s="775" t="s">
        <v>915</v>
      </c>
      <c r="AF89" s="1447">
        <v>1.5</v>
      </c>
    </row>
    <row r="90" spans="31:32" ht="12.6" customHeight="1" x14ac:dyDescent="0.2">
      <c r="AE90" s="775">
        <v>15125</v>
      </c>
      <c r="AF90" s="1447">
        <v>1.5</v>
      </c>
    </row>
    <row r="91" spans="31:32" ht="12.6" customHeight="1" x14ac:dyDescent="0.2">
      <c r="AE91" s="775">
        <v>15130</v>
      </c>
      <c r="AF91" s="1447">
        <v>1.5</v>
      </c>
    </row>
    <row r="92" spans="31:32" ht="12.6" customHeight="1" x14ac:dyDescent="0.2">
      <c r="AE92" s="775" t="s">
        <v>916</v>
      </c>
      <c r="AF92" s="1447">
        <v>1.5</v>
      </c>
    </row>
    <row r="93" spans="31:32" ht="12.6" customHeight="1" x14ac:dyDescent="0.2">
      <c r="AE93" s="775" t="s">
        <v>917</v>
      </c>
      <c r="AF93" s="1447">
        <v>1.5</v>
      </c>
    </row>
    <row r="94" spans="31:32" ht="12.6" customHeight="1" x14ac:dyDescent="0.2">
      <c r="AE94" s="775" t="s">
        <v>918</v>
      </c>
      <c r="AF94" s="1447">
        <v>1.5</v>
      </c>
    </row>
    <row r="95" spans="31:32" ht="12.6" customHeight="1" x14ac:dyDescent="0.2">
      <c r="AE95" s="775">
        <v>15156</v>
      </c>
      <c r="AF95" s="1447">
        <v>1.5</v>
      </c>
    </row>
    <row r="96" spans="31:32" ht="12.6" customHeight="1" x14ac:dyDescent="0.2">
      <c r="AE96" s="775" t="s">
        <v>919</v>
      </c>
      <c r="AF96" s="1447">
        <v>1.5</v>
      </c>
    </row>
    <row r="97" spans="31:32" ht="12.6" customHeight="1" x14ac:dyDescent="0.2">
      <c r="AE97" s="775">
        <v>15172</v>
      </c>
      <c r="AF97" s="1447">
        <v>1.5</v>
      </c>
    </row>
    <row r="98" spans="31:32" ht="12.6" customHeight="1" x14ac:dyDescent="0.2">
      <c r="AE98" s="775" t="s">
        <v>920</v>
      </c>
      <c r="AF98" s="1447">
        <v>1.5</v>
      </c>
    </row>
    <row r="99" spans="31:32" ht="12.6" customHeight="1" x14ac:dyDescent="0.2">
      <c r="AE99" s="775" t="s">
        <v>921</v>
      </c>
      <c r="AF99" s="1447">
        <v>1.5</v>
      </c>
    </row>
    <row r="100" spans="31:32" ht="12.6" customHeight="1" x14ac:dyDescent="0.2">
      <c r="AE100" s="775" t="s">
        <v>922</v>
      </c>
      <c r="AF100" s="1447">
        <v>1.75</v>
      </c>
    </row>
    <row r="101" spans="31:32" ht="12.6" customHeight="1" x14ac:dyDescent="0.2">
      <c r="AE101" s="775" t="s">
        <v>923</v>
      </c>
      <c r="AF101" s="1447">
        <v>1.75</v>
      </c>
    </row>
    <row r="102" spans="31:32" ht="12.6" customHeight="1" x14ac:dyDescent="0.2">
      <c r="AE102" s="775">
        <v>17141</v>
      </c>
      <c r="AF102" s="1447">
        <v>1.75</v>
      </c>
    </row>
    <row r="103" spans="31:32" ht="12.6" customHeight="1" x14ac:dyDescent="0.2">
      <c r="AE103" s="775" t="s">
        <v>924</v>
      </c>
      <c r="AF103" s="1447">
        <v>1.75</v>
      </c>
    </row>
    <row r="104" spans="31:32" ht="12.6" customHeight="1" x14ac:dyDescent="0.2">
      <c r="AE104" s="775" t="s">
        <v>925</v>
      </c>
      <c r="AF104" s="1447">
        <v>1.75</v>
      </c>
    </row>
    <row r="105" spans="31:32" ht="12.6" customHeight="1" x14ac:dyDescent="0.2">
      <c r="AE105" s="775">
        <v>17156</v>
      </c>
      <c r="AF105" s="1447">
        <v>1.75</v>
      </c>
    </row>
    <row r="106" spans="31:32" ht="12.6" customHeight="1" x14ac:dyDescent="0.2">
      <c r="AE106" s="775" t="s">
        <v>926</v>
      </c>
      <c r="AF106" s="1447">
        <v>1.75</v>
      </c>
    </row>
    <row r="107" spans="31:32" ht="12.6" customHeight="1" x14ac:dyDescent="0.2">
      <c r="AE107" s="775" t="s">
        <v>927</v>
      </c>
      <c r="AF107" s="1447">
        <v>1.75</v>
      </c>
    </row>
    <row r="108" spans="31:32" ht="12.6" customHeight="1" x14ac:dyDescent="0.2">
      <c r="AE108" s="775" t="s">
        <v>928</v>
      </c>
      <c r="AF108" s="1447">
        <v>1.75</v>
      </c>
    </row>
    <row r="109" spans="31:32" ht="12.6" customHeight="1" x14ac:dyDescent="0.2">
      <c r="AE109" s="775" t="s">
        <v>929</v>
      </c>
      <c r="AF109" s="1447">
        <v>2</v>
      </c>
    </row>
    <row r="110" spans="31:32" ht="12.6" customHeight="1" x14ac:dyDescent="0.2">
      <c r="AE110" s="775" t="s">
        <v>930</v>
      </c>
      <c r="AF110" s="1447">
        <v>2</v>
      </c>
    </row>
    <row r="111" spans="31:32" ht="12.6" customHeight="1" x14ac:dyDescent="0.2">
      <c r="AE111" s="775" t="s">
        <v>931</v>
      </c>
      <c r="AF111" s="1447">
        <v>2</v>
      </c>
    </row>
    <row r="112" spans="31:32" ht="12.6" customHeight="1" x14ac:dyDescent="0.2">
      <c r="AE112" s="775" t="s">
        <v>932</v>
      </c>
      <c r="AF112" s="1447">
        <v>2</v>
      </c>
    </row>
    <row r="113" spans="31:32" ht="12.6" customHeight="1" x14ac:dyDescent="0.2">
      <c r="AE113" s="775" t="s">
        <v>933</v>
      </c>
      <c r="AF113" s="1447">
        <v>2</v>
      </c>
    </row>
    <row r="114" spans="31:32" ht="12.6" customHeight="1" x14ac:dyDescent="0.2">
      <c r="AE114" s="236">
        <v>20184</v>
      </c>
      <c r="AF114" s="1447">
        <v>2</v>
      </c>
    </row>
    <row r="115" spans="31:32" ht="12.6" customHeight="1" x14ac:dyDescent="0.2">
      <c r="AE115" s="236" t="s">
        <v>934</v>
      </c>
      <c r="AF115" s="1447">
        <v>2</v>
      </c>
    </row>
    <row r="116" spans="31:32" ht="12.6" customHeight="1" x14ac:dyDescent="0.2">
      <c r="AE116" s="236">
        <v>252018</v>
      </c>
      <c r="AF116" s="1447">
        <v>10</v>
      </c>
    </row>
    <row r="117" spans="31:32" ht="12.6" customHeight="1" x14ac:dyDescent="0.2">
      <c r="AE117" s="236">
        <v>302018</v>
      </c>
      <c r="AF117" s="1447">
        <v>10</v>
      </c>
    </row>
    <row r="118" spans="31:32" ht="12.6" customHeight="1" x14ac:dyDescent="0.2">
      <c r="AE118" s="236" t="s">
        <v>935</v>
      </c>
      <c r="AF118" s="1447">
        <v>2</v>
      </c>
    </row>
    <row r="119" spans="31:32" ht="12.6" customHeight="1" x14ac:dyDescent="0.2">
      <c r="AE119" s="236" t="s">
        <v>936</v>
      </c>
      <c r="AF119" s="1447">
        <v>2</v>
      </c>
    </row>
    <row r="120" spans="31:32" ht="12.6" customHeight="1" x14ac:dyDescent="0.2">
      <c r="AE120" s="236">
        <v>20219</v>
      </c>
      <c r="AF120" s="1447">
        <v>2</v>
      </c>
    </row>
    <row r="121" spans="31:32" ht="12.6" customHeight="1" x14ac:dyDescent="0.2">
      <c r="AE121" s="236" t="s">
        <v>937</v>
      </c>
      <c r="AF121" s="1447">
        <v>2</v>
      </c>
    </row>
    <row r="122" spans="31:32" ht="12.6" customHeight="1" x14ac:dyDescent="0.2">
      <c r="AE122" s="236">
        <v>20232</v>
      </c>
      <c r="AF122" s="1447">
        <v>2</v>
      </c>
    </row>
    <row r="123" spans="31:32" ht="12.6" customHeight="1" x14ac:dyDescent="0.2">
      <c r="AE123" s="236" t="s">
        <v>938</v>
      </c>
      <c r="AF123" s="1447">
        <v>2</v>
      </c>
    </row>
    <row r="124" spans="31:32" ht="12.6" customHeight="1" x14ac:dyDescent="0.2">
      <c r="AE124" s="236" t="s">
        <v>939</v>
      </c>
      <c r="AF124" s="1447">
        <v>2</v>
      </c>
    </row>
    <row r="125" spans="31:32" ht="12.6" customHeight="1" x14ac:dyDescent="0.2">
      <c r="AE125" s="236">
        <v>302025</v>
      </c>
      <c r="AF125" s="1447">
        <v>10</v>
      </c>
    </row>
    <row r="126" spans="31:32" ht="12.6" customHeight="1" x14ac:dyDescent="0.2">
      <c r="AE126" s="236" t="s">
        <v>940</v>
      </c>
      <c r="AF126" s="1447">
        <v>2</v>
      </c>
    </row>
    <row r="127" spans="31:32" ht="12.6" customHeight="1" x14ac:dyDescent="0.2">
      <c r="AE127" s="236" t="s">
        <v>941</v>
      </c>
      <c r="AF127" s="1447">
        <v>2</v>
      </c>
    </row>
    <row r="128" spans="31:32" ht="12.6" customHeight="1" x14ac:dyDescent="0.2">
      <c r="AE128" s="236">
        <v>302037</v>
      </c>
      <c r="AF128" s="1447">
        <v>10</v>
      </c>
    </row>
    <row r="129" spans="31:32" ht="12.6" customHeight="1" x14ac:dyDescent="0.2">
      <c r="AE129" s="236" t="s">
        <v>942</v>
      </c>
      <c r="AF129" s="1447">
        <v>2.5</v>
      </c>
    </row>
    <row r="130" spans="31:32" ht="12.6" customHeight="1" x14ac:dyDescent="0.2">
      <c r="AE130" s="236">
        <v>202518</v>
      </c>
      <c r="AF130" s="1447">
        <v>10</v>
      </c>
    </row>
    <row r="131" spans="31:32" ht="12.6" customHeight="1" x14ac:dyDescent="0.2">
      <c r="AE131" s="236" t="s">
        <v>943</v>
      </c>
      <c r="AF131" s="1447">
        <v>2.5</v>
      </c>
    </row>
    <row r="132" spans="31:32" ht="12.6" customHeight="1" x14ac:dyDescent="0.2">
      <c r="AE132" s="236" t="s">
        <v>944</v>
      </c>
      <c r="AF132" s="1447">
        <v>2.5</v>
      </c>
    </row>
    <row r="133" spans="31:32" ht="12.6" customHeight="1" x14ac:dyDescent="0.2">
      <c r="AE133" s="236" t="s">
        <v>945</v>
      </c>
      <c r="AF133" s="1447">
        <v>2.5</v>
      </c>
    </row>
    <row r="134" spans="31:32" ht="12.6" customHeight="1" x14ac:dyDescent="0.2">
      <c r="AE134" s="236" t="s">
        <v>946</v>
      </c>
      <c r="AF134" s="1447">
        <v>2.5</v>
      </c>
    </row>
    <row r="135" spans="31:32" ht="12.6" customHeight="1" x14ac:dyDescent="0.2">
      <c r="AE135" s="236" t="s">
        <v>947</v>
      </c>
      <c r="AF135" s="1447">
        <v>2.5</v>
      </c>
    </row>
    <row r="136" spans="31:32" ht="12.6" customHeight="1" x14ac:dyDescent="0.2">
      <c r="AE136" s="236" t="s">
        <v>948</v>
      </c>
      <c r="AF136" s="1447">
        <v>3</v>
      </c>
    </row>
    <row r="137" spans="31:32" ht="12.6" customHeight="1" x14ac:dyDescent="0.2">
      <c r="AE137" s="236">
        <v>203018</v>
      </c>
      <c r="AF137" s="1447">
        <v>10</v>
      </c>
    </row>
    <row r="138" spans="31:32" ht="12.6" customHeight="1" x14ac:dyDescent="0.2">
      <c r="AE138" s="236" t="s">
        <v>949</v>
      </c>
      <c r="AF138" s="1447">
        <v>3</v>
      </c>
    </row>
    <row r="139" spans="31:32" ht="12.6" customHeight="1" x14ac:dyDescent="0.2">
      <c r="AE139" s="236" t="s">
        <v>950</v>
      </c>
      <c r="AF139" s="1447">
        <v>3</v>
      </c>
    </row>
    <row r="140" spans="31:32" ht="12.6" customHeight="1" x14ac:dyDescent="0.2">
      <c r="AE140" s="236">
        <v>203025</v>
      </c>
      <c r="AF140" s="1447">
        <v>10</v>
      </c>
    </row>
    <row r="141" spans="31:32" ht="12.6" customHeight="1" x14ac:dyDescent="0.2">
      <c r="AE141" s="236">
        <v>403025</v>
      </c>
      <c r="AF141" s="1447">
        <v>10</v>
      </c>
    </row>
    <row r="142" spans="31:32" ht="12.6" customHeight="1" x14ac:dyDescent="0.2">
      <c r="AE142" s="236">
        <v>503025</v>
      </c>
      <c r="AF142" s="1447">
        <v>10</v>
      </c>
    </row>
    <row r="143" spans="31:32" ht="12.6" customHeight="1" x14ac:dyDescent="0.2">
      <c r="AE143" s="236" t="s">
        <v>951</v>
      </c>
      <c r="AF143" s="1447">
        <v>3</v>
      </c>
    </row>
    <row r="144" spans="31:32" ht="12.6" customHeight="1" x14ac:dyDescent="0.2">
      <c r="AE144" s="236" t="s">
        <v>952</v>
      </c>
      <c r="AF144" s="1447">
        <v>3</v>
      </c>
    </row>
    <row r="145" spans="31:32" ht="12.6" customHeight="1" x14ac:dyDescent="0.2">
      <c r="AE145" s="236" t="s">
        <v>953</v>
      </c>
      <c r="AF145" s="1447">
        <v>3</v>
      </c>
    </row>
    <row r="146" spans="31:32" ht="12.6" customHeight="1" x14ac:dyDescent="0.2">
      <c r="AE146" s="236" t="s">
        <v>954</v>
      </c>
      <c r="AF146" s="1447">
        <v>3</v>
      </c>
    </row>
    <row r="147" spans="31:32" ht="12.6" customHeight="1" x14ac:dyDescent="0.2">
      <c r="AE147" s="236">
        <v>203037</v>
      </c>
      <c r="AF147" s="1447">
        <v>10</v>
      </c>
    </row>
    <row r="148" spans="31:32" ht="12.6" customHeight="1" x14ac:dyDescent="0.2">
      <c r="AE148" s="236">
        <v>403037</v>
      </c>
      <c r="AF148" s="1447">
        <v>10</v>
      </c>
    </row>
    <row r="149" spans="31:32" ht="12.6" customHeight="1" x14ac:dyDescent="0.2">
      <c r="AE149" s="236">
        <v>503037</v>
      </c>
      <c r="AF149" s="1447">
        <v>10</v>
      </c>
    </row>
    <row r="150" spans="31:32" ht="12.6" customHeight="1" x14ac:dyDescent="0.2">
      <c r="AE150" s="236">
        <v>3231</v>
      </c>
      <c r="AF150" s="1447">
        <v>3.25</v>
      </c>
    </row>
    <row r="151" spans="31:32" ht="12.6" customHeight="1" x14ac:dyDescent="0.2">
      <c r="AE151" s="236" t="s">
        <v>955</v>
      </c>
      <c r="AF151" s="1447">
        <v>3.5</v>
      </c>
    </row>
    <row r="152" spans="31:32" ht="12.6" customHeight="1" x14ac:dyDescent="0.2">
      <c r="AE152" s="236" t="s">
        <v>956</v>
      </c>
      <c r="AF152" s="1447">
        <v>3.5</v>
      </c>
    </row>
    <row r="153" spans="31:32" ht="12.6" customHeight="1" x14ac:dyDescent="0.2">
      <c r="AE153" s="236" t="s">
        <v>957</v>
      </c>
      <c r="AF153" s="1447">
        <v>3.5</v>
      </c>
    </row>
    <row r="154" spans="31:32" ht="12.6" customHeight="1" x14ac:dyDescent="0.2">
      <c r="AE154" s="236" t="s">
        <v>958</v>
      </c>
      <c r="AF154" s="1447">
        <v>3.5</v>
      </c>
    </row>
    <row r="155" spans="31:32" ht="12.6" customHeight="1" x14ac:dyDescent="0.2">
      <c r="AE155" s="236">
        <v>503537</v>
      </c>
      <c r="AF155" s="1447">
        <v>10</v>
      </c>
    </row>
    <row r="156" spans="31:32" ht="12.6" customHeight="1" x14ac:dyDescent="0.2">
      <c r="AE156" s="236">
        <v>503550</v>
      </c>
      <c r="AF156" s="1447">
        <v>10</v>
      </c>
    </row>
    <row r="157" spans="31:32" ht="12.6" customHeight="1" x14ac:dyDescent="0.2">
      <c r="AE157" s="236" t="s">
        <v>959</v>
      </c>
      <c r="AF157" s="1447">
        <v>4</v>
      </c>
    </row>
    <row r="158" spans="31:32" ht="12.6" customHeight="1" x14ac:dyDescent="0.2">
      <c r="AE158" s="236">
        <v>304025</v>
      </c>
      <c r="AF158" s="1447">
        <v>10</v>
      </c>
    </row>
    <row r="159" spans="31:32" ht="12.6" customHeight="1" x14ac:dyDescent="0.2">
      <c r="AE159" s="236" t="s">
        <v>960</v>
      </c>
      <c r="AF159" s="1447">
        <v>4</v>
      </c>
    </row>
    <row r="160" spans="31:32" ht="12.6" customHeight="1" x14ac:dyDescent="0.2">
      <c r="AE160" s="236" t="s">
        <v>961</v>
      </c>
      <c r="AF160" s="1447">
        <v>4</v>
      </c>
    </row>
    <row r="161" spans="31:32" ht="12.6" customHeight="1" x14ac:dyDescent="0.2">
      <c r="AE161" s="236" t="s">
        <v>962</v>
      </c>
      <c r="AF161" s="1447">
        <v>4</v>
      </c>
    </row>
    <row r="162" spans="31:32" ht="12.6" customHeight="1" x14ac:dyDescent="0.2">
      <c r="AE162" s="236">
        <v>304037</v>
      </c>
      <c r="AF162" s="1447">
        <v>10</v>
      </c>
    </row>
    <row r="163" spans="31:32" ht="12.6" customHeight="1" x14ac:dyDescent="0.2">
      <c r="AE163" s="236">
        <v>604037</v>
      </c>
      <c r="AF163" s="1447">
        <v>10</v>
      </c>
    </row>
    <row r="164" spans="31:32" ht="12.6" customHeight="1" x14ac:dyDescent="0.2">
      <c r="AE164" s="236">
        <v>704037</v>
      </c>
      <c r="AF164" s="1447">
        <v>10</v>
      </c>
    </row>
    <row r="165" spans="31:32" ht="12.6" customHeight="1" x14ac:dyDescent="0.2">
      <c r="AE165" s="236" t="s">
        <v>963</v>
      </c>
      <c r="AF165" s="1447">
        <v>4</v>
      </c>
    </row>
    <row r="166" spans="31:32" ht="12.6" customHeight="1" x14ac:dyDescent="0.2">
      <c r="AE166" s="236" t="s">
        <v>964</v>
      </c>
      <c r="AF166" s="1447">
        <v>4</v>
      </c>
    </row>
    <row r="167" spans="31:32" ht="12.6" customHeight="1" x14ac:dyDescent="0.2">
      <c r="AE167" s="236">
        <v>704050</v>
      </c>
      <c r="AF167" s="1447">
        <v>10</v>
      </c>
    </row>
    <row r="168" spans="31:32" ht="12.6" customHeight="1" x14ac:dyDescent="0.2">
      <c r="AE168" s="236">
        <v>305025</v>
      </c>
      <c r="AF168" s="1447">
        <v>10</v>
      </c>
    </row>
    <row r="169" spans="31:32" ht="12.6" customHeight="1" x14ac:dyDescent="0.2">
      <c r="AE169" s="236">
        <v>305037</v>
      </c>
      <c r="AF169" s="1447">
        <v>10</v>
      </c>
    </row>
    <row r="170" spans="31:32" ht="12.6" customHeight="1" x14ac:dyDescent="0.2">
      <c r="AE170" s="236">
        <v>355037</v>
      </c>
      <c r="AF170" s="1447">
        <v>10</v>
      </c>
    </row>
    <row r="171" spans="31:32" ht="12.6" customHeight="1" x14ac:dyDescent="0.2">
      <c r="AE171" s="236" t="s">
        <v>965</v>
      </c>
      <c r="AF171" s="1447">
        <v>5</v>
      </c>
    </row>
    <row r="172" spans="31:32" ht="12.6" customHeight="1" x14ac:dyDescent="0.2">
      <c r="AE172" s="236" t="s">
        <v>966</v>
      </c>
      <c r="AF172" s="1447">
        <v>5</v>
      </c>
    </row>
    <row r="173" spans="31:32" ht="12.6" customHeight="1" x14ac:dyDescent="0.2">
      <c r="AE173" s="236">
        <v>355050</v>
      </c>
      <c r="AF173" s="1447">
        <v>10</v>
      </c>
    </row>
    <row r="174" spans="31:32" ht="12.6" customHeight="1" x14ac:dyDescent="0.2">
      <c r="AE174" s="236">
        <v>406037</v>
      </c>
      <c r="AF174" s="1447">
        <v>10</v>
      </c>
    </row>
    <row r="175" spans="31:32" ht="12.6" customHeight="1" x14ac:dyDescent="0.2">
      <c r="AE175" s="236" t="s">
        <v>967</v>
      </c>
      <c r="AF175" s="1447">
        <v>6</v>
      </c>
    </row>
    <row r="176" spans="31:32" ht="12.6" customHeight="1" x14ac:dyDescent="0.2">
      <c r="AE176" s="236" t="s">
        <v>968</v>
      </c>
      <c r="AF176" s="1447">
        <v>6</v>
      </c>
    </row>
    <row r="177" spans="31:32" ht="12.6" customHeight="1" x14ac:dyDescent="0.2">
      <c r="AE177" s="236" t="s">
        <v>969</v>
      </c>
      <c r="AF177" s="1447">
        <v>6</v>
      </c>
    </row>
    <row r="178" spans="31:32" ht="12.6" customHeight="1" x14ac:dyDescent="0.2">
      <c r="AE178" s="236" t="s">
        <v>970</v>
      </c>
      <c r="AF178" s="1447">
        <v>6</v>
      </c>
    </row>
    <row r="179" spans="31:32" ht="12.6" customHeight="1" x14ac:dyDescent="0.2">
      <c r="AE179" s="236">
        <v>806062</v>
      </c>
      <c r="AF179" s="1447">
        <v>10</v>
      </c>
    </row>
    <row r="180" spans="31:32" ht="12.6" customHeight="1" x14ac:dyDescent="0.2">
      <c r="AE180" s="236" t="s">
        <v>971</v>
      </c>
      <c r="AF180" s="1447">
        <v>6</v>
      </c>
    </row>
    <row r="181" spans="31:32" ht="12.6" customHeight="1" x14ac:dyDescent="0.2">
      <c r="AE181" s="236" t="s">
        <v>972</v>
      </c>
      <c r="AF181" s="1447">
        <v>6</v>
      </c>
    </row>
    <row r="182" spans="31:32" ht="12.6" customHeight="1" x14ac:dyDescent="0.2">
      <c r="AE182" s="236">
        <v>407037</v>
      </c>
      <c r="AF182" s="1447">
        <v>10</v>
      </c>
    </row>
    <row r="183" spans="31:32" ht="12.6" customHeight="1" x14ac:dyDescent="0.2">
      <c r="AE183" s="236">
        <v>407050</v>
      </c>
      <c r="AF183" s="1447">
        <v>10</v>
      </c>
    </row>
    <row r="184" spans="31:32" ht="12.6" customHeight="1" x14ac:dyDescent="0.2">
      <c r="AE184" s="236" t="s">
        <v>973</v>
      </c>
      <c r="AF184" s="1447">
        <v>8</v>
      </c>
    </row>
    <row r="185" spans="31:32" ht="12.6" customHeight="1" x14ac:dyDescent="0.2">
      <c r="AE185" s="236">
        <v>8054</v>
      </c>
      <c r="AF185" s="1447">
        <v>8</v>
      </c>
    </row>
    <row r="186" spans="31:32" ht="12.6" customHeight="1" x14ac:dyDescent="0.2">
      <c r="AE186" s="236" t="s">
        <v>974</v>
      </c>
      <c r="AF186" s="1447">
        <v>8</v>
      </c>
    </row>
    <row r="187" spans="31:32" ht="12.6" customHeight="1" x14ac:dyDescent="0.2">
      <c r="AE187" s="236">
        <v>608062</v>
      </c>
      <c r="AF187" s="1447">
        <v>10</v>
      </c>
    </row>
    <row r="188" spans="31:32" ht="12.6" customHeight="1" x14ac:dyDescent="0.2">
      <c r="AE188" s="236" t="s">
        <v>975</v>
      </c>
      <c r="AF188" s="1447">
        <v>8</v>
      </c>
    </row>
    <row r="189" spans="31:32" ht="12.6" customHeight="1" x14ac:dyDescent="0.2">
      <c r="AE189" s="236" t="s">
        <v>976</v>
      </c>
      <c r="AF189" s="1447">
        <v>8</v>
      </c>
    </row>
    <row r="190" spans="31:32" ht="12.6" customHeight="1" x14ac:dyDescent="0.2">
      <c r="AE190" s="236" t="s">
        <v>977</v>
      </c>
      <c r="AF190" s="1447">
        <v>8</v>
      </c>
    </row>
    <row r="191" spans="31:32" ht="12.6" customHeight="1" x14ac:dyDescent="0.2">
      <c r="AE191" s="236" t="s">
        <v>978</v>
      </c>
      <c r="AF191" s="1447">
        <v>10</v>
      </c>
    </row>
    <row r="192" spans="31:32" ht="12.6" customHeight="1" x14ac:dyDescent="0.2">
      <c r="AE192" s="236" t="s">
        <v>979</v>
      </c>
      <c r="AF192" s="1447">
        <v>10</v>
      </c>
    </row>
    <row r="301" spans="31:32" ht="12.6" customHeight="1" x14ac:dyDescent="0.2">
      <c r="AE301" s="783" t="s">
        <v>980</v>
      </c>
      <c r="AF301" s="783"/>
    </row>
  </sheetData>
  <sheetProtection selectLockedCells="1"/>
  <dataConsolidate/>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1622" priority="1">
      <formula>AND(NOT($S$1),$C14=0,OR($R$1="",$R$1="M"))</formula>
    </cfRule>
  </conditionalFormatting>
  <conditionalFormatting sqref="J2:L4">
    <cfRule type="cellIs" dxfId="1621" priority="21" stopIfTrue="1" operator="equal">
      <formula>""</formula>
    </cfRule>
  </conditionalFormatting>
  <conditionalFormatting sqref="G7">
    <cfRule type="cellIs" dxfId="1620" priority="22" stopIfTrue="1" operator="equal">
      <formula>"NO PAINT"</formula>
    </cfRule>
  </conditionalFormatting>
  <conditionalFormatting sqref="I7:K7">
    <cfRule type="expression" dxfId="1619" priority="23" stopIfTrue="1">
      <formula>LOWER($I$7)&lt;&gt;"std gray primer: one shop coat"</formula>
    </cfRule>
  </conditionalFormatting>
  <conditionalFormatting sqref="F14:F42">
    <cfRule type="expression" dxfId="1618" priority="17">
      <formula>OR(ISERROR(VLOOKUP(E14,$V$27:$V$42,1,FALSE)),ISERROR(VLOOKUP(F14,$AB$27:$AB$42,1,FALSE)))</formula>
    </cfRule>
  </conditionalFormatting>
  <conditionalFormatting sqref="G14:G42">
    <cfRule type="expression" dxfId="1617" priority="26">
      <formula>NOT(VLOOKUP($E14,$W$27:$AA$42,2,FALSE))</formula>
    </cfRule>
  </conditionalFormatting>
  <conditionalFormatting sqref="H14:H42">
    <cfRule type="expression" dxfId="1616" priority="29">
      <formula>NOT(VLOOKUP($E14,$W$27:$AA$42,3,FALSE))</formula>
    </cfRule>
  </conditionalFormatting>
  <conditionalFormatting sqref="I14:I42">
    <cfRule type="expression" dxfId="1615" priority="32">
      <formula>NOT(VLOOKUP($E14,$W$27:$AA$42,4,FALSE))</formula>
    </cfRule>
  </conditionalFormatting>
  <conditionalFormatting sqref="J14:J42">
    <cfRule type="expression" dxfId="1614" priority="35">
      <formula>NOT(VLOOKUP($E14,$W$27:$AA$42,5,FALSE))</formula>
    </cfRule>
  </conditionalFormatting>
  <conditionalFormatting sqref="D14:D42">
    <cfRule type="expression" dxfId="1613" priority="5">
      <formula>OR(ISERROR(VLOOKUP(TRIM(D14),$AE$27:$AE$300,1,FALSE)),AND(NOT(ISERROR(VLOOKUP(E14,$V$27:$V$300,1,FALSE))),NOT(ISERROR(VLOOKUP(TRIM(D14),$U$27:$U$300,1,FALSE)))))</formula>
    </cfRule>
  </conditionalFormatting>
  <conditionalFormatting sqref="E14:E42">
    <cfRule type="expression" dxfId="1612" priority="9">
      <formula>OR(ISERROR(VLOOKUP(E14,$W$27:$W$42,1,FALSE)),AND(NOT(ISERROR(VLOOKUP(E14,$V$27:$V$300,1,FALSE))),NOT(ISERROR(VLOOKUP(D14,$U$27:$U$300,1,FALSE)))))</formula>
    </cfRule>
  </conditionalFormatting>
  <conditionalFormatting sqref="I7:L7">
    <cfRule type="cellIs" dxfId="1611" priority="2" operator="equal">
      <formula>0</formula>
    </cfRule>
  </conditionalFormatting>
  <conditionalFormatting sqref="A14:P42">
    <cfRule type="expression" dxfId="1610" priority="38">
      <formula>$Q14</formula>
    </cfRule>
  </conditionalFormatting>
  <dataValidations count="5">
    <dataValidation type="list" allowBlank="1" showInputMessage="1" sqref="F14:F42">
      <formula1>$AB$27:$AB$34</formula1>
    </dataValidation>
    <dataValidation type="list" allowBlank="1" errorTitle="Invalid Bridging Type" error="You MUST use a bridging type provided in the list." sqref="E14:E42">
      <formula1>OFFSET($W$27,0,0,$W$25)</formula1>
    </dataValidation>
    <dataValidation type="list" allowBlank="1" showInputMessage="1" sqref="I7:L7">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formula1>0</formula1>
    </dataValidation>
    <dataValidation type="decimal" allowBlank="1" showInputMessage="1" showErrorMessage="1" errorTitle="Dimensional Error" error="&quot;Inches&quot; must be a number from 0 to 11.875." sqref="L14:L42">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C182"/>
  <sheetViews>
    <sheetView showGridLines="0" zoomScaleNormal="100" zoomScaleSheetLayoutView="75" workbookViewId="0">
      <selection activeCell="L13" sqref="L13:AA19"/>
    </sheetView>
  </sheetViews>
  <sheetFormatPr defaultColWidth="3.7109375" defaultRowHeight="12" customHeight="1" x14ac:dyDescent="0.2"/>
  <cols>
    <col min="1" max="1" width="3" style="1" customWidth="1"/>
    <col min="2" max="27" width="3.7109375" style="1" customWidth="1"/>
    <col min="28" max="28" width="3" style="1" customWidth="1"/>
    <col min="29" max="29" width="3.7109375" style="1" customWidth="1"/>
    <col min="30" max="36" width="1.7109375" style="1" customWidth="1"/>
    <col min="37" max="37" width="6.7109375" style="1" customWidth="1"/>
    <col min="38" max="40" width="6.7109375" style="55" hidden="1" customWidth="1"/>
    <col min="41" max="41" width="8.7109375" style="55" hidden="1" customWidth="1"/>
    <col min="42" max="42" width="10.28515625" style="62" hidden="1" customWidth="1"/>
    <col min="43" max="54" width="6.7109375" style="62" hidden="1" customWidth="1"/>
    <col min="55" max="55" width="6.7109375" style="1" customWidth="1"/>
    <col min="56" max="16384" width="3.7109375" style="1"/>
  </cols>
  <sheetData>
    <row r="1" spans="1:55" ht="15" customHeight="1" thickBot="1" x14ac:dyDescent="0.3">
      <c r="A1" s="105"/>
      <c r="B1" s="105"/>
      <c r="C1" s="105"/>
      <c r="D1" s="105"/>
      <c r="E1" s="105"/>
      <c r="F1" s="106"/>
      <c r="G1" s="105"/>
      <c r="H1" s="105"/>
      <c r="I1" s="105"/>
      <c r="J1" s="105"/>
      <c r="K1" s="44"/>
      <c r="L1" s="105"/>
      <c r="M1" s="105"/>
      <c r="N1" s="2982" t="str">
        <f>IF(ISBLANK(AL1),"",VLOOKUP(AL1,'Job Info.'!X:AA,4,FALSE))</f>
        <v>Master</v>
      </c>
      <c r="O1" s="2982"/>
      <c r="P1" s="2982"/>
      <c r="Q1" s="2983"/>
      <c r="R1" s="2983"/>
      <c r="S1" s="105"/>
      <c r="T1" s="105"/>
      <c r="U1" s="53" t="s">
        <v>96</v>
      </c>
      <c r="V1" s="105"/>
      <c r="W1" s="44"/>
      <c r="X1" s="2947" t="str">
        <f ca="1">'Job Info.'!D12</f>
        <v>775-428-0600</v>
      </c>
      <c r="Y1" s="2947"/>
      <c r="Z1" s="2947"/>
      <c r="AA1" s="2947"/>
      <c r="AB1" s="2947"/>
      <c r="AC1" s="54"/>
      <c r="AD1" s="54"/>
      <c r="AE1" s="54"/>
      <c r="AF1" s="54"/>
      <c r="AG1" s="54"/>
      <c r="AH1" s="54"/>
      <c r="AI1" s="54"/>
      <c r="AJ1" s="54"/>
      <c r="AK1" s="90" t="s">
        <v>65</v>
      </c>
      <c r="AL1" s="55" t="str">
        <f>'Job Info.'!Q30</f>
        <v>M</v>
      </c>
      <c r="AM1" s="55" t="b">
        <f>'Job Info.'!Q32</f>
        <v>0</v>
      </c>
      <c r="AN1" s="55" t="s">
        <v>461</v>
      </c>
      <c r="AQ1" s="2952" t="s">
        <v>481</v>
      </c>
      <c r="AR1" s="2953"/>
      <c r="AS1" s="2953"/>
      <c r="AT1" s="2953"/>
      <c r="AU1" s="2953"/>
      <c r="AV1" s="2953"/>
      <c r="AW1" s="2953" t="s">
        <v>482</v>
      </c>
      <c r="AX1" s="2953"/>
      <c r="AY1" s="2953"/>
      <c r="AZ1" s="2953"/>
      <c r="BA1" s="2953"/>
      <c r="BB1" s="2954"/>
      <c r="BC1" s="89" t="s">
        <v>66</v>
      </c>
    </row>
    <row r="2" spans="1:55" ht="15" customHeight="1" thickTop="1" thickBot="1" x14ac:dyDescent="0.25">
      <c r="A2" s="105"/>
      <c r="B2" s="105"/>
      <c r="C2" s="105"/>
      <c r="D2" s="105"/>
      <c r="E2" s="105"/>
      <c r="F2" s="106"/>
      <c r="G2" s="105"/>
      <c r="H2" s="105"/>
      <c r="I2" s="105"/>
      <c r="J2" s="105"/>
      <c r="K2" s="44"/>
      <c r="L2" s="105"/>
      <c r="M2" s="105"/>
      <c r="N2" s="2970" t="str">
        <f>IF(ISBLANK(AL1),"",IF(VLOOKUP(AL1,'Job Info.'!$X:$Z,2,FALSE),"Released for Fabrication",""))</f>
        <v/>
      </c>
      <c r="O2" s="2971"/>
      <c r="P2" s="2971"/>
      <c r="Q2" s="2972"/>
      <c r="R2" s="2973"/>
      <c r="S2" s="105"/>
      <c r="T2" s="105"/>
      <c r="U2" s="53" t="s">
        <v>97</v>
      </c>
      <c r="V2" s="105"/>
      <c r="W2" s="44"/>
      <c r="X2" s="2947" t="str">
        <f ca="1">'Job Info.'!D13</f>
        <v>775-867-2140</v>
      </c>
      <c r="Y2" s="2947"/>
      <c r="Z2" s="2947"/>
      <c r="AA2" s="2947"/>
      <c r="AB2" s="2947"/>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
      <c r="A3" s="105"/>
      <c r="B3" s="105"/>
      <c r="C3" s="105"/>
      <c r="D3" s="105"/>
      <c r="E3" s="105"/>
      <c r="F3" s="106"/>
      <c r="G3" s="105"/>
      <c r="H3" s="105"/>
      <c r="I3" s="105"/>
      <c r="J3" s="105"/>
      <c r="K3" s="44"/>
      <c r="L3" s="105"/>
      <c r="M3" s="105"/>
      <c r="N3" s="2974"/>
      <c r="O3" s="2975"/>
      <c r="P3" s="2975"/>
      <c r="Q3" s="2976"/>
      <c r="R3" s="2977"/>
      <c r="S3" s="105"/>
      <c r="T3" s="105"/>
      <c r="U3" s="53" t="s">
        <v>99</v>
      </c>
      <c r="V3" s="105"/>
      <c r="W3" s="44"/>
      <c r="X3" s="2947" t="str">
        <f ca="1">'Job Info.'!D14</f>
        <v>775-867-2169</v>
      </c>
      <c r="Y3" s="2947"/>
      <c r="Z3" s="2947"/>
      <c r="AA3" s="2947"/>
      <c r="AB3" s="2947"/>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
      <c r="A4" s="105"/>
      <c r="B4" s="105"/>
      <c r="C4" s="105"/>
      <c r="D4" s="105"/>
      <c r="E4" s="105"/>
      <c r="F4" s="106"/>
      <c r="G4" s="105"/>
      <c r="H4" s="105"/>
      <c r="I4" s="105"/>
      <c r="J4" s="105"/>
      <c r="K4" s="44"/>
      <c r="L4" s="105"/>
      <c r="M4" s="105"/>
      <c r="N4" s="2978" t="str">
        <f>IF(ISBLANK(AL1),"",IF(VLOOKUP(AL1,'Job Info.'!$X:$Z,2,FALSE),VLOOKUP(AL1,'Job Info.'!$X:$Z,3,FALSE),""))</f>
        <v/>
      </c>
      <c r="O4" s="2979"/>
      <c r="P4" s="2979"/>
      <c r="Q4" s="2980"/>
      <c r="R4" s="2981"/>
      <c r="S4" s="105"/>
      <c r="T4" s="105"/>
      <c r="U4" s="53" t="s">
        <v>98</v>
      </c>
      <c r="V4" s="105"/>
      <c r="W4" s="44"/>
      <c r="X4" s="2947" t="str">
        <f ca="1">'Job Info.'!D15</f>
        <v>775-867-2060</v>
      </c>
      <c r="Y4" s="2947"/>
      <c r="Z4" s="2947"/>
      <c r="AA4" s="2947"/>
      <c r="AB4" s="2947"/>
      <c r="AC4" s="54"/>
      <c r="AD4" s="54"/>
      <c r="AE4" s="54"/>
      <c r="AF4" s="54"/>
      <c r="AJ4" s="54"/>
      <c r="AN4" s="55" t="s">
        <v>472</v>
      </c>
      <c r="AP4" s="61"/>
      <c r="AQ4" s="61"/>
      <c r="AR4" s="61"/>
      <c r="AS4" s="61"/>
      <c r="AT4" s="61"/>
      <c r="AU4" s="61"/>
      <c r="AV4" s="85"/>
      <c r="AW4" s="86"/>
      <c r="AX4" s="61"/>
      <c r="AY4" s="61"/>
      <c r="AZ4" s="61"/>
      <c r="BA4" s="61"/>
      <c r="BB4" s="61"/>
    </row>
    <row r="5" spans="1:55" ht="12.95" customHeight="1" thickTop="1" x14ac:dyDescent="0.2">
      <c r="A5" s="2946" t="str">
        <f ca="1">'Job Info.'!D11</f>
        <v>8200 Woolery Way | Fallon, NV 89406 | www.newmill.com</v>
      </c>
      <c r="B5" s="2946"/>
      <c r="C5" s="2946"/>
      <c r="D5" s="2946"/>
      <c r="E5" s="2946"/>
      <c r="F5" s="2946"/>
      <c r="G5" s="2946"/>
      <c r="H5" s="2946"/>
      <c r="I5" s="2946"/>
      <c r="J5" s="2946"/>
      <c r="K5" s="2946"/>
      <c r="L5" s="2946"/>
      <c r="M5" s="2946"/>
      <c r="N5" s="2946"/>
      <c r="O5" s="2946"/>
      <c r="P5" s="105"/>
      <c r="Q5" s="105"/>
      <c r="R5" s="106"/>
      <c r="S5" s="105"/>
      <c r="T5" s="105"/>
      <c r="U5" s="105"/>
      <c r="V5" s="107"/>
      <c r="W5" s="107"/>
      <c r="X5" s="548" t="s">
        <v>458</v>
      </c>
      <c r="Y5" s="2962"/>
      <c r="Z5" s="2963"/>
      <c r="AA5" s="2963"/>
      <c r="AB5" s="105"/>
      <c r="AC5" s="54"/>
      <c r="AD5" s="54"/>
      <c r="AE5" s="54"/>
      <c r="AF5" s="54"/>
      <c r="AP5" s="61"/>
      <c r="AQ5" s="61"/>
      <c r="AR5" s="61"/>
      <c r="AS5" s="61"/>
      <c r="AT5" s="61"/>
      <c r="AU5" s="61"/>
      <c r="AV5" s="85"/>
      <c r="AW5" s="86"/>
      <c r="AX5" s="61"/>
      <c r="AY5" s="61"/>
      <c r="AZ5" s="61"/>
      <c r="BA5" s="61"/>
      <c r="BB5" s="61"/>
    </row>
    <row r="6" spans="1:55" ht="12.95" customHeight="1" x14ac:dyDescent="0.2">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964"/>
      <c r="Z6" s="2965"/>
      <c r="AA6" s="2965"/>
      <c r="AB6" s="105"/>
      <c r="AC6" s="54"/>
      <c r="AD6" s="54"/>
      <c r="AE6" s="54"/>
      <c r="AF6" s="54"/>
      <c r="AP6" s="61"/>
      <c r="AQ6" s="61"/>
      <c r="AR6" s="61"/>
      <c r="AS6" s="61"/>
      <c r="AT6" s="61"/>
      <c r="AU6" s="61"/>
      <c r="AV6" s="85"/>
      <c r="AW6" s="86"/>
      <c r="AX6" s="61"/>
      <c r="AY6" s="61"/>
      <c r="AZ6" s="61"/>
      <c r="BA6" s="61"/>
      <c r="BB6" s="61"/>
    </row>
    <row r="7" spans="1:55" ht="12.95" customHeight="1" x14ac:dyDescent="0.25">
      <c r="A7" s="682" t="s">
        <v>473</v>
      </c>
      <c r="B7" s="105"/>
      <c r="C7" s="105"/>
      <c r="D7" s="105"/>
      <c r="E7" s="107"/>
      <c r="F7" s="106"/>
      <c r="G7" s="105"/>
      <c r="H7" s="105"/>
      <c r="I7" s="105"/>
      <c r="J7" s="105"/>
      <c r="K7" s="107"/>
      <c r="L7" s="2984" t="s">
        <v>467</v>
      </c>
      <c r="M7" s="2985"/>
      <c r="N7" s="2985"/>
      <c r="O7" s="2985"/>
      <c r="P7" s="2985"/>
      <c r="Q7" s="2985"/>
      <c r="R7" s="2985"/>
      <c r="S7" s="105"/>
      <c r="T7" s="105"/>
      <c r="U7" s="105"/>
      <c r="V7" s="107"/>
      <c r="W7" s="107"/>
      <c r="X7" s="681" t="s">
        <v>462</v>
      </c>
      <c r="Y7" s="2966"/>
      <c r="Z7" s="2967"/>
      <c r="AA7" s="2967"/>
      <c r="AB7" s="105"/>
      <c r="AC7" s="54"/>
      <c r="AD7" s="54"/>
      <c r="AE7" s="54"/>
      <c r="AF7" s="54"/>
      <c r="AG7" s="54"/>
      <c r="AN7" s="55" t="s">
        <v>470</v>
      </c>
      <c r="AP7" s="61"/>
      <c r="AQ7" s="61"/>
      <c r="AR7" s="61"/>
      <c r="AS7" s="61"/>
      <c r="AT7" s="61"/>
      <c r="AU7" s="61"/>
      <c r="AV7" s="85"/>
      <c r="AW7" s="86"/>
      <c r="AX7" s="61"/>
      <c r="AY7" s="61"/>
      <c r="AZ7" s="61"/>
      <c r="BA7" s="61"/>
      <c r="BB7" s="61"/>
    </row>
    <row r="8" spans="1:55" ht="12.95" customHeight="1" x14ac:dyDescent="0.2">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968"/>
      <c r="Z8" s="2969"/>
      <c r="AA8" s="2969"/>
      <c r="AB8" s="105"/>
      <c r="AC8" s="54"/>
      <c r="AD8" s="54"/>
      <c r="AE8" s="54"/>
      <c r="AF8" s="54"/>
      <c r="AG8" s="54"/>
      <c r="AN8" s="55" t="s">
        <v>469</v>
      </c>
      <c r="AP8" s="61"/>
      <c r="AQ8" s="61"/>
      <c r="AR8" s="61"/>
      <c r="AS8" s="61"/>
      <c r="AT8" s="61"/>
      <c r="AU8" s="61"/>
      <c r="AV8" s="85"/>
      <c r="AW8" s="86"/>
      <c r="AX8" s="61"/>
      <c r="AY8" s="61"/>
      <c r="AZ8" s="61"/>
      <c r="BA8" s="61"/>
      <c r="BB8" s="61"/>
    </row>
    <row r="9" spans="1:55" ht="12.95" customHeight="1" x14ac:dyDescent="0.2">
      <c r="A9" s="2319" t="s">
        <v>1</v>
      </c>
      <c r="B9" s="2987"/>
      <c r="C9" s="2987"/>
      <c r="D9" s="2956" t="str">
        <f>IF(ISBLANK('Job Info.'!D3),"",'Job Info.'!D3)</f>
        <v>SUNPOINT CROSSING</v>
      </c>
      <c r="E9" s="2956"/>
      <c r="F9" s="2956"/>
      <c r="G9" s="2956"/>
      <c r="H9" s="2956"/>
      <c r="I9" s="2956"/>
      <c r="J9" s="2956"/>
      <c r="K9" s="2956"/>
      <c r="L9" s="2956"/>
      <c r="M9" s="2956"/>
      <c r="N9" s="2956"/>
      <c r="O9" s="2956"/>
      <c r="P9" s="2986"/>
      <c r="Q9" s="679"/>
      <c r="R9" s="545" t="s">
        <v>2</v>
      </c>
      <c r="S9" s="2955" t="str">
        <f>IF(ISBLANK('Job Info.'!D5),"",'Job Info.'!D5)</f>
        <v>9118-0062</v>
      </c>
      <c r="T9" s="2956"/>
      <c r="U9" s="2956"/>
      <c r="V9" s="2956"/>
      <c r="W9" s="2956"/>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5" customHeight="1" x14ac:dyDescent="0.2">
      <c r="A10" s="2319" t="s">
        <v>3</v>
      </c>
      <c r="B10" s="2987"/>
      <c r="C10" s="2987"/>
      <c r="D10" s="2956" t="str">
        <f>IF(ISBLANK('Job Info.'!D4),"",'Job Info.'!D4)</f>
        <v>LAS VEGAS, NV</v>
      </c>
      <c r="E10" s="2956"/>
      <c r="F10" s="2956"/>
      <c r="G10" s="2956"/>
      <c r="H10" s="2956"/>
      <c r="I10" s="2956"/>
      <c r="J10" s="2956"/>
      <c r="K10" s="2956"/>
      <c r="L10" s="2956"/>
      <c r="M10" s="2956"/>
      <c r="N10" s="2956"/>
      <c r="O10" s="2956"/>
      <c r="P10" s="2986"/>
      <c r="Q10" s="679"/>
      <c r="R10" s="545" t="s">
        <v>465</v>
      </c>
      <c r="S10" s="2957" t="str">
        <f>IF(ISBLANK('Job Info.'!D6),"",'Job Info.'!D6)</f>
        <v>CJA</v>
      </c>
      <c r="T10" s="2956"/>
      <c r="U10" s="110"/>
      <c r="V10" s="680"/>
      <c r="W10" s="545" t="s">
        <v>466</v>
      </c>
      <c r="X10" s="2956" t="str">
        <f>IF(ISBLANK('Job Info.'!D7),"",'Job Info.'!D7)</f>
        <v>LS</v>
      </c>
      <c r="Y10" s="2956"/>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5" customHeight="1" x14ac:dyDescent="0.2">
      <c r="A12" s="64"/>
      <c r="B12" s="64"/>
      <c r="C12" s="2988" t="s">
        <v>483</v>
      </c>
      <c r="D12" s="2988"/>
      <c r="E12" s="2988" t="s">
        <v>477</v>
      </c>
      <c r="F12" s="2988"/>
      <c r="G12" s="24" t="s">
        <v>484</v>
      </c>
      <c r="H12" s="64"/>
      <c r="I12" s="64"/>
      <c r="J12" s="64"/>
      <c r="K12" s="64"/>
      <c r="L12" s="2983" t="s">
        <v>844</v>
      </c>
      <c r="M12" s="2983"/>
      <c r="N12" s="2983"/>
      <c r="O12" s="2983"/>
      <c r="P12" s="2983"/>
      <c r="Q12" s="2983"/>
      <c r="R12" s="2983"/>
      <c r="S12" s="2983"/>
      <c r="T12" s="2983"/>
      <c r="U12" s="2983"/>
      <c r="V12" s="2983"/>
      <c r="W12" s="2983"/>
      <c r="X12" s="2983"/>
      <c r="Y12" s="2983"/>
      <c r="Z12" s="2983"/>
      <c r="AA12" s="2983"/>
      <c r="AB12" s="64"/>
      <c r="AC12" s="54"/>
      <c r="AD12" s="54"/>
      <c r="AE12" s="54"/>
      <c r="AP12" s="61"/>
      <c r="AQ12" s="61"/>
      <c r="AR12" s="61"/>
      <c r="AS12" s="61"/>
      <c r="AT12" s="61"/>
      <c r="AU12" s="61"/>
      <c r="AV12" s="85"/>
      <c r="AW12" s="86"/>
      <c r="AX12" s="61"/>
      <c r="AY12" s="61"/>
      <c r="AZ12" s="61"/>
      <c r="BA12" s="61"/>
      <c r="BB12" s="61"/>
    </row>
    <row r="13" spans="1:55" ht="12.95" customHeight="1" x14ac:dyDescent="0.2">
      <c r="A13" s="2958" t="s">
        <v>74</v>
      </c>
      <c r="B13" s="2958"/>
      <c r="C13" s="2960"/>
      <c r="D13" s="2960"/>
      <c r="E13" s="2912">
        <f>AO20</f>
        <v>0</v>
      </c>
      <c r="F13" s="2912"/>
      <c r="G13" s="2936">
        <f>E13-C13</f>
        <v>0</v>
      </c>
      <c r="H13" s="2937"/>
      <c r="I13" s="2937"/>
      <c r="J13" s="2937"/>
      <c r="K13" s="46"/>
      <c r="L13" s="2948"/>
      <c r="M13" s="2949"/>
      <c r="N13" s="2949"/>
      <c r="O13" s="2949"/>
      <c r="P13" s="2949"/>
      <c r="Q13" s="2949"/>
      <c r="R13" s="2949"/>
      <c r="S13" s="2949"/>
      <c r="T13" s="2949"/>
      <c r="U13" s="2949"/>
      <c r="V13" s="2949"/>
      <c r="W13" s="2949"/>
      <c r="X13" s="2949"/>
      <c r="Y13" s="2949"/>
      <c r="Z13" s="2949"/>
      <c r="AA13" s="2949"/>
      <c r="AB13" s="46"/>
      <c r="AC13" s="54"/>
      <c r="AD13" s="54"/>
      <c r="AE13" s="54"/>
      <c r="AN13" s="100" t="s">
        <v>494</v>
      </c>
      <c r="AO13" s="101">
        <v>0</v>
      </c>
      <c r="AP13" s="61"/>
      <c r="AQ13" s="61"/>
      <c r="AR13" s="61"/>
      <c r="AS13" s="61"/>
      <c r="AT13" s="61"/>
      <c r="AU13" s="61"/>
      <c r="AV13" s="85"/>
      <c r="AW13" s="86"/>
      <c r="AX13" s="61"/>
      <c r="AY13" s="61"/>
      <c r="AZ13" s="61"/>
      <c r="BA13" s="61"/>
      <c r="BB13" s="61"/>
    </row>
    <row r="14" spans="1:55" ht="12.95" customHeight="1" x14ac:dyDescent="0.2">
      <c r="A14" s="2958" t="s">
        <v>474</v>
      </c>
      <c r="B14" s="2958"/>
      <c r="C14" s="2960"/>
      <c r="D14" s="2960"/>
      <c r="E14" s="2912">
        <f>AO21</f>
        <v>0</v>
      </c>
      <c r="F14" s="2912"/>
      <c r="G14" s="2936">
        <f>E14-C14</f>
        <v>0</v>
      </c>
      <c r="H14" s="2937"/>
      <c r="I14" s="2937"/>
      <c r="J14" s="2937"/>
      <c r="K14" s="66"/>
      <c r="L14" s="2949"/>
      <c r="M14" s="2949"/>
      <c r="N14" s="2949"/>
      <c r="O14" s="2949"/>
      <c r="P14" s="2949"/>
      <c r="Q14" s="2949"/>
      <c r="R14" s="2949"/>
      <c r="S14" s="2949"/>
      <c r="T14" s="2949"/>
      <c r="U14" s="2949"/>
      <c r="V14" s="2949"/>
      <c r="W14" s="2949"/>
      <c r="X14" s="2949"/>
      <c r="Y14" s="2949"/>
      <c r="Z14" s="2949"/>
      <c r="AA14" s="2949"/>
      <c r="AB14" s="66"/>
      <c r="AC14" s="54"/>
      <c r="AD14" s="54"/>
      <c r="AE14" s="54"/>
      <c r="AN14" s="100" t="s">
        <v>495</v>
      </c>
      <c r="AO14" s="101">
        <v>0</v>
      </c>
      <c r="AP14" s="61"/>
      <c r="AQ14" s="61"/>
      <c r="AR14" s="61"/>
      <c r="AS14" s="61"/>
      <c r="AT14" s="61"/>
      <c r="AU14" s="61"/>
      <c r="AV14" s="85"/>
      <c r="AW14" s="86"/>
      <c r="AX14" s="61"/>
      <c r="AY14" s="61"/>
      <c r="AZ14" s="61"/>
      <c r="BA14" s="61"/>
      <c r="BB14" s="61"/>
    </row>
    <row r="15" spans="1:55" ht="12.95" customHeight="1" x14ac:dyDescent="0.25">
      <c r="A15" s="2958" t="s">
        <v>475</v>
      </c>
      <c r="B15" s="2958"/>
      <c r="C15" s="2960"/>
      <c r="D15" s="2960"/>
      <c r="E15" s="2912">
        <f>AO22</f>
        <v>0</v>
      </c>
      <c r="F15" s="2912"/>
      <c r="G15" s="2936">
        <f>E15-C15</f>
        <v>0</v>
      </c>
      <c r="H15" s="2937"/>
      <c r="I15" s="2937"/>
      <c r="J15" s="2937"/>
      <c r="K15" s="52"/>
      <c r="L15" s="2949"/>
      <c r="M15" s="2949"/>
      <c r="N15" s="2949"/>
      <c r="O15" s="2949"/>
      <c r="P15" s="2949"/>
      <c r="Q15" s="2949"/>
      <c r="R15" s="2949"/>
      <c r="S15" s="2949"/>
      <c r="T15" s="2949"/>
      <c r="U15" s="2949"/>
      <c r="V15" s="2949"/>
      <c r="W15" s="2949"/>
      <c r="X15" s="2949"/>
      <c r="Y15" s="2949"/>
      <c r="Z15" s="2949"/>
      <c r="AA15" s="2949"/>
      <c r="AB15" s="49"/>
      <c r="AC15" s="54"/>
      <c r="AD15" s="54"/>
      <c r="AE15" s="54"/>
      <c r="AN15" s="100" t="s">
        <v>496</v>
      </c>
      <c r="AO15" s="101">
        <v>0</v>
      </c>
      <c r="AP15" s="61"/>
      <c r="AQ15" s="61"/>
      <c r="AR15" s="61"/>
      <c r="AS15" s="61"/>
      <c r="AT15" s="61"/>
      <c r="AU15" s="61"/>
      <c r="AV15" s="85"/>
      <c r="AW15" s="86"/>
      <c r="AX15" s="61"/>
      <c r="AY15" s="61"/>
      <c r="AZ15" s="61"/>
      <c r="BA15" s="61"/>
      <c r="BB15" s="61"/>
    </row>
    <row r="16" spans="1:55" ht="12.95" customHeight="1" x14ac:dyDescent="0.25">
      <c r="A16" s="2959" t="s">
        <v>1050</v>
      </c>
      <c r="B16" s="2958"/>
      <c r="C16" s="2960"/>
      <c r="D16" s="2960"/>
      <c r="E16" s="2912">
        <f>AO23</f>
        <v>0</v>
      </c>
      <c r="F16" s="2912"/>
      <c r="G16" s="2936">
        <f>E16-C16</f>
        <v>0</v>
      </c>
      <c r="H16" s="2937"/>
      <c r="I16" s="2937"/>
      <c r="J16" s="2937"/>
      <c r="K16" s="52"/>
      <c r="L16" s="2949"/>
      <c r="M16" s="2949"/>
      <c r="N16" s="2949"/>
      <c r="O16" s="2949"/>
      <c r="P16" s="2949"/>
      <c r="Q16" s="2949"/>
      <c r="R16" s="2949"/>
      <c r="S16" s="2949"/>
      <c r="T16" s="2949"/>
      <c r="U16" s="2949"/>
      <c r="V16" s="2949"/>
      <c r="W16" s="2949"/>
      <c r="X16" s="2949"/>
      <c r="Y16" s="2949"/>
      <c r="Z16" s="2949"/>
      <c r="AA16" s="2949"/>
      <c r="AB16" s="49"/>
      <c r="AC16" s="54"/>
      <c r="AD16" s="54"/>
      <c r="AE16" s="54"/>
      <c r="AN16" s="100" t="s">
        <v>497</v>
      </c>
      <c r="AO16" s="101">
        <v>0</v>
      </c>
      <c r="AP16" s="61"/>
      <c r="AQ16" s="61"/>
      <c r="AR16" s="61"/>
      <c r="AS16" s="61"/>
      <c r="AT16" s="61"/>
      <c r="AU16" s="61"/>
      <c r="AV16" s="85"/>
      <c r="AW16" s="86"/>
      <c r="AX16" s="61"/>
      <c r="AY16" s="61"/>
      <c r="AZ16" s="61"/>
      <c r="BA16" s="61"/>
      <c r="BB16" s="61"/>
    </row>
    <row r="17" spans="1:54" ht="12.95" customHeight="1" x14ac:dyDescent="0.25">
      <c r="A17" s="2958" t="s">
        <v>476</v>
      </c>
      <c r="B17" s="2958"/>
      <c r="C17" s="2961"/>
      <c r="D17" s="2961"/>
      <c r="E17" s="2912">
        <f>AO24</f>
        <v>0</v>
      </c>
      <c r="F17" s="2912"/>
      <c r="G17" s="45"/>
      <c r="H17" s="65"/>
      <c r="I17" s="51"/>
      <c r="J17" s="51"/>
      <c r="K17" s="52"/>
      <c r="L17" s="2949"/>
      <c r="M17" s="2949"/>
      <c r="N17" s="2949"/>
      <c r="O17" s="2949"/>
      <c r="P17" s="2949"/>
      <c r="Q17" s="2949"/>
      <c r="R17" s="2949"/>
      <c r="S17" s="2949"/>
      <c r="T17" s="2949"/>
      <c r="U17" s="2949"/>
      <c r="V17" s="2949"/>
      <c r="W17" s="2949"/>
      <c r="X17" s="2949"/>
      <c r="Y17" s="2949"/>
      <c r="Z17" s="2949"/>
      <c r="AA17" s="2949"/>
      <c r="AB17" s="49"/>
      <c r="AC17" s="54"/>
      <c r="AD17" s="54"/>
      <c r="AE17" s="54"/>
      <c r="AN17" s="100" t="s">
        <v>748</v>
      </c>
      <c r="AO17" s="101" t="b">
        <v>0</v>
      </c>
      <c r="AP17" s="61"/>
      <c r="AQ17" s="61"/>
      <c r="AR17" s="61"/>
      <c r="AS17" s="61"/>
      <c r="AT17" s="61"/>
      <c r="AU17" s="61"/>
      <c r="AV17" s="85"/>
      <c r="AW17" s="86"/>
      <c r="AX17" s="61"/>
      <c r="AY17" s="61"/>
      <c r="AZ17" s="61"/>
      <c r="BA17" s="61"/>
      <c r="BB17" s="61"/>
    </row>
    <row r="18" spans="1:54" ht="12.95" customHeight="1" x14ac:dyDescent="0.25">
      <c r="A18" s="47"/>
      <c r="B18" s="48"/>
      <c r="C18" s="2989">
        <f>SUM(C13:D16)</f>
        <v>0</v>
      </c>
      <c r="D18" s="2990"/>
      <c r="E18" s="87" t="s">
        <v>485</v>
      </c>
      <c r="F18" s="45"/>
      <c r="G18" s="50"/>
      <c r="H18" s="65"/>
      <c r="I18" s="51"/>
      <c r="J18" s="51"/>
      <c r="K18" s="52"/>
      <c r="L18" s="2949"/>
      <c r="M18" s="2949"/>
      <c r="N18" s="2949"/>
      <c r="O18" s="2949"/>
      <c r="P18" s="2949"/>
      <c r="Q18" s="2949"/>
      <c r="R18" s="2949"/>
      <c r="S18" s="2949"/>
      <c r="T18" s="2949"/>
      <c r="U18" s="2949"/>
      <c r="V18" s="2949"/>
      <c r="W18" s="2949"/>
      <c r="X18" s="2949"/>
      <c r="Y18" s="2949"/>
      <c r="Z18" s="2949"/>
      <c r="AA18" s="2949"/>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991" t="str">
        <f>IF(NOT(AO17),"No Bridging Anchors Listed On BOM","")</f>
        <v>No Bridging Anchors Listed On BOM</v>
      </c>
      <c r="D19" s="2992"/>
      <c r="E19" s="2992"/>
      <c r="F19" s="2992"/>
      <c r="G19" s="2992"/>
      <c r="H19" s="683"/>
      <c r="I19" s="107"/>
      <c r="J19" s="107"/>
      <c r="K19" s="52"/>
      <c r="L19" s="2950"/>
      <c r="M19" s="2950"/>
      <c r="N19" s="2950"/>
      <c r="O19" s="2950"/>
      <c r="P19" s="2950"/>
      <c r="Q19" s="2950"/>
      <c r="R19" s="2950"/>
      <c r="S19" s="2950"/>
      <c r="T19" s="2950"/>
      <c r="U19" s="2950"/>
      <c r="V19" s="2950"/>
      <c r="W19" s="2950"/>
      <c r="X19" s="2950"/>
      <c r="Y19" s="2950"/>
      <c r="Z19" s="2950"/>
      <c r="AA19" s="2950"/>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5"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70">
        <f>SUM(AQ:AQ)</f>
        <v>0</v>
      </c>
      <c r="AP20" s="61"/>
      <c r="AQ20" s="61"/>
      <c r="AR20" s="61"/>
      <c r="AS20" s="61"/>
      <c r="AT20" s="61"/>
      <c r="AU20" s="61"/>
      <c r="AV20" s="85"/>
      <c r="AW20" s="86"/>
      <c r="AX20" s="61"/>
      <c r="AY20" s="61"/>
      <c r="AZ20" s="61"/>
      <c r="BA20" s="61"/>
      <c r="BB20" s="61"/>
    </row>
    <row r="21" spans="1:54" ht="12.95" customHeight="1" x14ac:dyDescent="0.25">
      <c r="A21" s="107"/>
      <c r="B21" s="2951" t="s">
        <v>479</v>
      </c>
      <c r="C21" s="2951"/>
      <c r="D21" s="2951"/>
      <c r="E21" s="2951"/>
      <c r="F21" s="2951"/>
      <c r="G21" s="2951"/>
      <c r="H21" s="2951"/>
      <c r="I21" s="2951"/>
      <c r="J21" s="2951"/>
      <c r="K21" s="2951"/>
      <c r="L21" s="2951"/>
      <c r="M21" s="2951"/>
      <c r="N21" s="2951"/>
      <c r="O21" s="2951"/>
      <c r="P21" s="2951"/>
      <c r="Q21" s="2951"/>
      <c r="R21" s="2951"/>
      <c r="S21" s="2951"/>
      <c r="T21" s="2951"/>
      <c r="U21" s="2951"/>
      <c r="V21" s="2951"/>
      <c r="W21" s="2951"/>
      <c r="X21" s="2951"/>
      <c r="Y21" s="2951"/>
      <c r="Z21" s="2951"/>
      <c r="AA21" s="2951"/>
      <c r="AB21" s="49"/>
      <c r="AC21" s="54"/>
      <c r="AD21" s="54"/>
      <c r="AN21" s="277" t="s">
        <v>1234</v>
      </c>
      <c r="AO21" s="1670">
        <f>SUM(AR:AR)</f>
        <v>0</v>
      </c>
      <c r="AP21" s="61"/>
      <c r="AQ21" s="61"/>
      <c r="AR21" s="61"/>
      <c r="AS21" s="61"/>
      <c r="AT21" s="61"/>
      <c r="AU21" s="61"/>
      <c r="AV21" s="85"/>
      <c r="AW21" s="86"/>
      <c r="AX21" s="61"/>
      <c r="AY21" s="61"/>
      <c r="AZ21" s="61"/>
      <c r="BA21" s="61"/>
      <c r="BB21" s="61"/>
    </row>
    <row r="22" spans="1:54" ht="12.95" customHeight="1" thickBot="1" x14ac:dyDescent="0.25">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70">
        <f>SUM(AS:AS)</f>
        <v>0</v>
      </c>
      <c r="AP22" s="61"/>
      <c r="AQ22" s="61"/>
      <c r="AR22" s="61"/>
      <c r="AS22" s="61"/>
      <c r="AT22" s="61"/>
      <c r="AU22" s="61"/>
      <c r="AV22" s="85"/>
      <c r="AW22" s="86"/>
      <c r="AX22" s="61"/>
      <c r="AY22" s="61"/>
      <c r="AZ22" s="61"/>
      <c r="BA22" s="61"/>
      <c r="BB22" s="61"/>
    </row>
    <row r="23" spans="1:54" ht="12.95" customHeight="1" x14ac:dyDescent="0.2">
      <c r="A23" s="107"/>
      <c r="B23" s="47"/>
      <c r="C23" s="48"/>
      <c r="D23" s="2926" t="str">
        <f ca="1">IF(ISBLANK(OFFSET($AP$2,D22,0)),"Project Total",CONCATENATE("Seq. ",OFFSET($AP$2,D22,0)))</f>
        <v>Project Total</v>
      </c>
      <c r="E23" s="2927"/>
      <c r="F23" s="2927"/>
      <c r="G23" s="2928"/>
      <c r="H23" s="2926" t="str">
        <f ca="1">IF(ISBLANK(OFFSET($AP$2,H22,0)),"",CONCATENATE("Seq. ",OFFSET($AP$2,H22,0)))</f>
        <v/>
      </c>
      <c r="I23" s="2927"/>
      <c r="J23" s="2927"/>
      <c r="K23" s="2928"/>
      <c r="L23" s="2926" t="str">
        <f ca="1">IF(ISBLANK(OFFSET($AP$2,L22,0)),"",CONCATENATE("Seq. ",OFFSET($AP$2,L22,0)))</f>
        <v/>
      </c>
      <c r="M23" s="2927"/>
      <c r="N23" s="2927"/>
      <c r="O23" s="2928"/>
      <c r="P23" s="2926" t="str">
        <f ca="1">IF(ISBLANK(OFFSET($AP$2,P22,0)),"",CONCATENATE("Seq. ",OFFSET($AP$2,P22,0)))</f>
        <v/>
      </c>
      <c r="Q23" s="2927"/>
      <c r="R23" s="2927"/>
      <c r="S23" s="2928"/>
      <c r="T23" s="2926" t="str">
        <f ca="1">IF(ISBLANK(OFFSET($AP$2,T22,0)),"",CONCATENATE("Seq. ",OFFSET($AP$2,T22,0)))</f>
        <v/>
      </c>
      <c r="U23" s="2927"/>
      <c r="V23" s="2927"/>
      <c r="W23" s="2928"/>
      <c r="X23" s="2926" t="str">
        <f ca="1">IF(ISBLANK(OFFSET($AP$2,X22,0)),"",CONCATENATE("Seq. ",OFFSET($AP$2,X22,0)))</f>
        <v/>
      </c>
      <c r="Y23" s="2927"/>
      <c r="Z23" s="2927"/>
      <c r="AA23" s="2928"/>
      <c r="AB23" s="49"/>
      <c r="AC23" s="54"/>
      <c r="AD23" s="54"/>
      <c r="AE23" s="54"/>
      <c r="AF23" s="54"/>
      <c r="AG23" s="54"/>
      <c r="AH23" s="54"/>
      <c r="AI23" s="54"/>
      <c r="AJ23" s="54"/>
      <c r="AN23" s="277" t="s">
        <v>1236</v>
      </c>
      <c r="AO23" s="1670">
        <f>SUM(AT:AT)+SUM(AU:AU)</f>
        <v>0</v>
      </c>
      <c r="AP23" s="61"/>
      <c r="AQ23" s="61"/>
      <c r="AR23" s="61"/>
      <c r="AS23" s="61"/>
      <c r="AT23" s="61"/>
      <c r="AU23" s="61"/>
      <c r="AV23" s="85"/>
      <c r="AW23" s="86"/>
      <c r="AX23" s="61"/>
      <c r="AY23" s="61"/>
      <c r="AZ23" s="61"/>
      <c r="BA23" s="61"/>
      <c r="BB23" s="61"/>
    </row>
    <row r="24" spans="1:54" ht="12.95" customHeight="1" thickBot="1" x14ac:dyDescent="0.25">
      <c r="A24" s="107"/>
      <c r="B24" s="47"/>
      <c r="C24" s="48"/>
      <c r="D24" s="2915" t="s">
        <v>477</v>
      </c>
      <c r="E24" s="2916"/>
      <c r="F24" s="2916" t="s">
        <v>478</v>
      </c>
      <c r="G24" s="2917"/>
      <c r="H24" s="2915" t="s">
        <v>477</v>
      </c>
      <c r="I24" s="2916"/>
      <c r="J24" s="2916" t="s">
        <v>478</v>
      </c>
      <c r="K24" s="2917"/>
      <c r="L24" s="2915" t="s">
        <v>477</v>
      </c>
      <c r="M24" s="2916"/>
      <c r="N24" s="2916" t="s">
        <v>478</v>
      </c>
      <c r="O24" s="2917"/>
      <c r="P24" s="2915" t="s">
        <v>477</v>
      </c>
      <c r="Q24" s="2916"/>
      <c r="R24" s="2916" t="s">
        <v>478</v>
      </c>
      <c r="S24" s="2917"/>
      <c r="T24" s="2915" t="s">
        <v>477</v>
      </c>
      <c r="U24" s="2916"/>
      <c r="V24" s="2916" t="s">
        <v>478</v>
      </c>
      <c r="W24" s="2917"/>
      <c r="X24" s="2915" t="s">
        <v>477</v>
      </c>
      <c r="Y24" s="2916"/>
      <c r="Z24" s="2916" t="s">
        <v>478</v>
      </c>
      <c r="AA24" s="2917"/>
      <c r="AB24" s="49"/>
      <c r="AC24" s="54"/>
      <c r="AD24" s="54"/>
      <c r="AE24" s="54"/>
      <c r="AF24" s="54"/>
      <c r="AG24" s="54"/>
      <c r="AH24" s="54"/>
      <c r="AI24" s="54"/>
      <c r="AJ24" s="54"/>
      <c r="AN24" s="277" t="s">
        <v>1237</v>
      </c>
      <c r="AO24" s="1670">
        <f>SUM(AV:AV)</f>
        <v>0</v>
      </c>
      <c r="AP24" s="61"/>
      <c r="AQ24" s="61"/>
      <c r="AR24" s="61"/>
      <c r="AS24" s="61"/>
      <c r="AT24" s="61"/>
      <c r="AU24" s="61"/>
      <c r="AV24" s="85"/>
      <c r="AW24" s="86"/>
      <c r="AX24" s="61"/>
      <c r="AY24" s="61"/>
      <c r="AZ24" s="61"/>
      <c r="BA24" s="61"/>
      <c r="BB24" s="61"/>
    </row>
    <row r="25" spans="1:54" ht="12.95" customHeight="1" x14ac:dyDescent="0.2">
      <c r="A25" s="107"/>
      <c r="B25" s="2920" t="s">
        <v>74</v>
      </c>
      <c r="C25" s="2921"/>
      <c r="D25" s="2911">
        <f ca="1">OFFSET($AQ$2,D22,0)+OFFSET($AU$2,D22,0)</f>
        <v>0</v>
      </c>
      <c r="E25" s="2912"/>
      <c r="F25" s="2909">
        <f ca="1">(OFFSET($AQ$2,D22,0)+OFFSET($AU$2,D22,0))-(OFFSET($AW$2,D22,0)+OFFSET($BA$2,D22,0))</f>
        <v>0</v>
      </c>
      <c r="G25" s="2910"/>
      <c r="H25" s="2911" t="str">
        <f ca="1">IF(ISBLANK(OFFSET($AP$2,H22,0)),"",OFFSET($AQ$2,H22,0)+OFFSET($AU$2,H22,0))</f>
        <v/>
      </c>
      <c r="I25" s="2912"/>
      <c r="J25" s="2909" t="str">
        <f ca="1">IF(ISBLANK(OFFSET($AP$2,H22,0)),"",(OFFSET($AQ$2,H22,0)+OFFSET($AU$2,H22,0))-(OFFSET($AW$2,H22,0)+OFFSET($BA$2,H22,0)))</f>
        <v/>
      </c>
      <c r="K25" s="2910"/>
      <c r="L25" s="2911" t="str">
        <f ca="1">IF(ISBLANK(OFFSET($AP$2,L22,0)),"",OFFSET($AQ$2,L22,0)+OFFSET($AU$2,L22,0))</f>
        <v/>
      </c>
      <c r="M25" s="2912"/>
      <c r="N25" s="2909" t="str">
        <f ca="1">IF(ISBLANK(OFFSET($AP$2,L22,0)),"",(OFFSET($AQ$2,L22,0)+OFFSET($AU$2,L22,0))-(OFFSET($AW$2,L22,0)+OFFSET($BA$2,L22,0)))</f>
        <v/>
      </c>
      <c r="O25" s="2910"/>
      <c r="P25" s="2911" t="str">
        <f ca="1">IF(ISBLANK(OFFSET($AP$2,P22,0)),"",OFFSET($AQ$2,P22,0)+OFFSET($AU$2,P22,0))</f>
        <v/>
      </c>
      <c r="Q25" s="2912"/>
      <c r="R25" s="2909" t="str">
        <f ca="1">IF(ISBLANK(OFFSET($AP$2,P22,0)),"",(OFFSET($AQ$2,P22,0)+OFFSET($AU$2,P22,0))-(OFFSET($AW$2,P22,0)+OFFSET($BA$2,P22,0)))</f>
        <v/>
      </c>
      <c r="S25" s="2910"/>
      <c r="T25" s="2911" t="str">
        <f ca="1">IF(ISBLANK(OFFSET($AP$2,T22,0)),"",OFFSET($AQ$2,T22,0)+OFFSET($AU$2,T22,0))</f>
        <v/>
      </c>
      <c r="U25" s="2912"/>
      <c r="V25" s="2909" t="str">
        <f ca="1">IF(ISBLANK(OFFSET($AP$2,T22,0)),"",(OFFSET($AQ$2,T22,0)+OFFSET($AU$2,T22,0))-(OFFSET($AW$2,T22,0)+OFFSET($BA$2,T22,0)))</f>
        <v/>
      </c>
      <c r="W25" s="2910"/>
      <c r="X25" s="2911" t="str">
        <f ca="1">IF(ISBLANK(OFFSET($AP$2,X22,0)),"",OFFSET($AQ$2,X22,0)+OFFSET($AU$2,X22,0))</f>
        <v/>
      </c>
      <c r="Y25" s="2912"/>
      <c r="Z25" s="2909" t="str">
        <f ca="1">IF(ISBLANK(OFFSET($AP$2,X22,0)),"",(OFFSET($AQ$2,X22,0)+OFFSET($AU$2,X22,0))-(OFFSET($AW$2,X22,0)+OFFSET($BA$2,X22,0)))</f>
        <v/>
      </c>
      <c r="AA25" s="2910"/>
      <c r="AB25" s="49"/>
      <c r="AC25" s="54"/>
      <c r="AD25" s="54"/>
      <c r="AE25" s="54"/>
      <c r="AF25" s="54"/>
      <c r="AG25" s="54"/>
      <c r="AH25" s="54"/>
      <c r="AI25" s="54"/>
      <c r="AJ25" s="54"/>
      <c r="AN25" s="277" t="s">
        <v>1238</v>
      </c>
      <c r="AO25" s="1670">
        <f>COUNTA(AP:AP)-1</f>
        <v>0</v>
      </c>
      <c r="AP25" s="61"/>
      <c r="AQ25" s="61"/>
      <c r="AR25" s="61"/>
      <c r="AS25" s="61"/>
      <c r="AT25" s="61"/>
      <c r="AU25" s="61"/>
      <c r="AV25" s="85"/>
      <c r="AW25" s="86"/>
      <c r="AX25" s="61"/>
      <c r="AY25" s="61"/>
      <c r="AZ25" s="61"/>
      <c r="BA25" s="61"/>
      <c r="BB25" s="61"/>
    </row>
    <row r="26" spans="1:54" ht="12.95" customHeight="1" x14ac:dyDescent="0.2">
      <c r="A26" s="107"/>
      <c r="B26" s="2913" t="s">
        <v>474</v>
      </c>
      <c r="C26" s="2914"/>
      <c r="D26" s="2911">
        <f ca="1">OFFSET($AR$2,D22,0)</f>
        <v>0</v>
      </c>
      <c r="E26" s="2912"/>
      <c r="F26" s="2909">
        <f ca="1">OFFSET($AR$2,D22,0)-OFFSET($AX$2,D22,0)</f>
        <v>0</v>
      </c>
      <c r="G26" s="2910"/>
      <c r="H26" s="2911" t="str">
        <f ca="1">IF(ISBLANK(OFFSET($AP$2,H22,0)),"",OFFSET($AR$2,H22,0))</f>
        <v/>
      </c>
      <c r="I26" s="2912"/>
      <c r="J26" s="2909" t="str">
        <f ca="1">IF(ISBLANK(OFFSET($AP$2,H22,0)),"",OFFSET($AR$2,H22,0)-OFFSET($AX$2,H22,0))</f>
        <v/>
      </c>
      <c r="K26" s="2910"/>
      <c r="L26" s="2911" t="str">
        <f ca="1">IF(ISBLANK(OFFSET($AP$2,L22,0)),"",OFFSET($AR$2,L22,0))</f>
        <v/>
      </c>
      <c r="M26" s="2912"/>
      <c r="N26" s="2909" t="str">
        <f ca="1">IF(ISBLANK(OFFSET($AP$2,L22,0)),"",OFFSET($AR$2,L22,0)-OFFSET($AX$2,L22,0))</f>
        <v/>
      </c>
      <c r="O26" s="2910"/>
      <c r="P26" s="2911" t="str">
        <f ca="1">IF(ISBLANK(OFFSET($AP$2,P22,0)),"",OFFSET($AR$2,P22,0))</f>
        <v/>
      </c>
      <c r="Q26" s="2912"/>
      <c r="R26" s="2909" t="str">
        <f ca="1">IF(ISBLANK(OFFSET($AP$2,P22,0)),"",OFFSET($AR$2,P22,0)-OFFSET($AX$2,P22,0))</f>
        <v/>
      </c>
      <c r="S26" s="2910"/>
      <c r="T26" s="2911" t="str">
        <f ca="1">IF(ISBLANK(OFFSET($AP$2,T22,0)),"",OFFSET($AR$2,T22,0))</f>
        <v/>
      </c>
      <c r="U26" s="2912"/>
      <c r="V26" s="2909" t="str">
        <f ca="1">IF(ISBLANK(OFFSET($AP$2,T22,0)),"",OFFSET($AR$2,T22,0)-OFFSET($AX$2,T22,0))</f>
        <v/>
      </c>
      <c r="W26" s="2910"/>
      <c r="X26" s="2911" t="str">
        <f ca="1">IF(ISBLANK(OFFSET($AP$2,X22,0)),"",OFFSET($AR$2,X22,0))</f>
        <v/>
      </c>
      <c r="Y26" s="2912"/>
      <c r="Z26" s="2909" t="str">
        <f ca="1">IF(ISBLANK(OFFSET($AP$2,X22,0)),"",OFFSET($AR$2,X22,0)-OFFSET($AX$2,X22,0))</f>
        <v/>
      </c>
      <c r="AA26" s="2910"/>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5" customHeight="1" x14ac:dyDescent="0.2">
      <c r="A27" s="107"/>
      <c r="B27" s="2913" t="s">
        <v>475</v>
      </c>
      <c r="C27" s="2914"/>
      <c r="D27" s="2911">
        <f ca="1">OFFSET($AS$2,D22,0)</f>
        <v>0</v>
      </c>
      <c r="E27" s="2912"/>
      <c r="F27" s="2909">
        <f ca="1">OFFSET($AS$2,D22,0)-OFFSET($AY$2,D22,0)</f>
        <v>0</v>
      </c>
      <c r="G27" s="2910"/>
      <c r="H27" s="2911" t="str">
        <f ca="1">IF(ISBLANK(OFFSET($AP$2,H22,0)),"",OFFSET($AS$2,H22,0))</f>
        <v/>
      </c>
      <c r="I27" s="2912"/>
      <c r="J27" s="2909" t="str">
        <f ca="1">IF(ISBLANK(OFFSET($AP$2,H22,0)),"",OFFSET($AS$2,H22,0)-OFFSET($AY$2,H22,0))</f>
        <v/>
      </c>
      <c r="K27" s="2910"/>
      <c r="L27" s="2911" t="str">
        <f ca="1">IF(ISBLANK(OFFSET($AP$2,L22,0)),"",OFFSET($AS$2,L22,0))</f>
        <v/>
      </c>
      <c r="M27" s="2912"/>
      <c r="N27" s="2909" t="str">
        <f ca="1">IF(ISBLANK(OFFSET($AP$2,L22,0)),"",OFFSET($AS$2,L22,0)-OFFSET($AY$2,L22,0))</f>
        <v/>
      </c>
      <c r="O27" s="2910"/>
      <c r="P27" s="2911" t="str">
        <f ca="1">IF(ISBLANK(OFFSET($AP$2,P22,0)),"",OFFSET($AS$2,P22,0))</f>
        <v/>
      </c>
      <c r="Q27" s="2912"/>
      <c r="R27" s="2909" t="str">
        <f ca="1">IF(ISBLANK(OFFSET($AP$2,P22,0)),"",OFFSET($AS$2,P22,0)-OFFSET($AY$2,P22,0))</f>
        <v/>
      </c>
      <c r="S27" s="2910"/>
      <c r="T27" s="2911" t="str">
        <f ca="1">IF(ISBLANK(OFFSET($AP$2,T22,0)),"",OFFSET($AS$2,T22,0))</f>
        <v/>
      </c>
      <c r="U27" s="2912"/>
      <c r="V27" s="2909" t="str">
        <f ca="1">IF(ISBLANK(OFFSET($AP$2,T22,0)),"",OFFSET($AS$2,T22,0)-OFFSET($AY$2,T22,0))</f>
        <v/>
      </c>
      <c r="W27" s="2910"/>
      <c r="X27" s="2911" t="str">
        <f ca="1">IF(ISBLANK(OFFSET($AP$2,X22,0)),"",OFFSET($AS$2,X22,0))</f>
        <v/>
      </c>
      <c r="Y27" s="2912"/>
      <c r="Z27" s="2909" t="str">
        <f ca="1">IF(ISBLANK(OFFSET($AP$2,X22,0)),"",OFFSET($AS$2,X22,0)-OFFSET($AY$2,X22,0))</f>
        <v/>
      </c>
      <c r="AA27" s="2910"/>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5" customHeight="1" x14ac:dyDescent="0.2">
      <c r="A28" s="107"/>
      <c r="B28" s="2913" t="s">
        <v>76</v>
      </c>
      <c r="C28" s="2914"/>
      <c r="D28" s="2911">
        <f ca="1">OFFSET($AT$2,D22,0)</f>
        <v>0</v>
      </c>
      <c r="E28" s="2912"/>
      <c r="F28" s="2909">
        <f ca="1">OFFSET($AT$2,D22,0)-OFFSET($AZ$2,D22,0)</f>
        <v>0</v>
      </c>
      <c r="G28" s="2910"/>
      <c r="H28" s="2911" t="str">
        <f ca="1">IF(ISBLANK(OFFSET($AP$2,H22,0)),"",OFFSET($AT$2,H22,0))</f>
        <v/>
      </c>
      <c r="I28" s="2912"/>
      <c r="J28" s="2909" t="str">
        <f ca="1">IF(ISBLANK(OFFSET($AP$2,H22,0)),"",OFFSET($AT$2,H22,0)-OFFSET($AZ$2,H22,0))</f>
        <v/>
      </c>
      <c r="K28" s="2910"/>
      <c r="L28" s="2911" t="str">
        <f ca="1">IF(ISBLANK(OFFSET($AP$2,L22,0)),"",OFFSET($AT$2,L22,0))</f>
        <v/>
      </c>
      <c r="M28" s="2912"/>
      <c r="N28" s="2909" t="str">
        <f ca="1">IF(ISBLANK(OFFSET($AP$2,L22,0)),"",OFFSET($AT$2,L22,0)-OFFSET($AZ$2,L22,0))</f>
        <v/>
      </c>
      <c r="O28" s="2910"/>
      <c r="P28" s="2911" t="str">
        <f ca="1">IF(ISBLANK(OFFSET($AP$2,P22,0)),"",OFFSET($AT$2,P22,0))</f>
        <v/>
      </c>
      <c r="Q28" s="2912"/>
      <c r="R28" s="2909" t="str">
        <f ca="1">IF(ISBLANK(OFFSET($AP$2,P22,0)),"",OFFSET($AT$2,P22,0)-OFFSET($AZ$2,P22,0))</f>
        <v/>
      </c>
      <c r="S28" s="2910"/>
      <c r="T28" s="2911" t="str">
        <f ca="1">IF(ISBLANK(OFFSET($AP$2,T22,0)),"",OFFSET($AT$2,T22,0))</f>
        <v/>
      </c>
      <c r="U28" s="2912"/>
      <c r="V28" s="2909" t="str">
        <f ca="1">IF(ISBLANK(OFFSET($AP$2,T22,0)),"",OFFSET($AT$2,T22,0)-OFFSET($AZ$2,T22,0))</f>
        <v/>
      </c>
      <c r="W28" s="2910"/>
      <c r="X28" s="2911" t="str">
        <f ca="1">IF(ISBLANK(OFFSET($AP$2,X22,0)),"",OFFSET($AT$2,X22,0))</f>
        <v/>
      </c>
      <c r="Y28" s="2912"/>
      <c r="Z28" s="2909" t="str">
        <f ca="1">IF(ISBLANK(OFFSET($AP$2,X22,0)),"",OFFSET($AT$2,X22,0)-OFFSET($AZ$2,X22,0))</f>
        <v/>
      </c>
      <c r="AA28" s="2910"/>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5" customHeight="1" thickBot="1" x14ac:dyDescent="0.25">
      <c r="A29" s="47"/>
      <c r="B29" s="2929" t="s">
        <v>476</v>
      </c>
      <c r="C29" s="2930"/>
      <c r="D29" s="2922">
        <f ca="1">OFFSET($AV$2,D22,0)</f>
        <v>0</v>
      </c>
      <c r="E29" s="2923"/>
      <c r="F29" s="2924">
        <f ca="1">OFFSET($AV$2,D22,0)-OFFSET($BB$2,D22,0)</f>
        <v>0</v>
      </c>
      <c r="G29" s="2925"/>
      <c r="H29" s="2922" t="str">
        <f ca="1">IF(ISBLANK(OFFSET($AP$2,H22,0)),"",OFFSET($AV$2,H22,0))</f>
        <v/>
      </c>
      <c r="I29" s="2923"/>
      <c r="J29" s="2924" t="str">
        <f ca="1">IF(ISBLANK(OFFSET($AP$2,H22,0)),"",OFFSET($AV$2,H22,0)-OFFSET($BB$2,H22,0))</f>
        <v/>
      </c>
      <c r="K29" s="2925"/>
      <c r="L29" s="2922" t="str">
        <f ca="1">IF(ISBLANK(OFFSET($AP$2,L22,0)),"",OFFSET($AV$2,L22,0))</f>
        <v/>
      </c>
      <c r="M29" s="2923"/>
      <c r="N29" s="2924" t="str">
        <f ca="1">IF(ISBLANK(OFFSET($AP$2,L22,0)),"",OFFSET($AV$2,L22,0)-OFFSET($BB$2,L22,0))</f>
        <v/>
      </c>
      <c r="O29" s="2925"/>
      <c r="P29" s="2922" t="str">
        <f ca="1">IF(ISBLANK(OFFSET($AP$2,P22,0)),"",OFFSET($AV$2,P22,0))</f>
        <v/>
      </c>
      <c r="Q29" s="2923"/>
      <c r="R29" s="2924" t="str">
        <f ca="1">IF(ISBLANK(OFFSET($AP$2,P22,0)),"",OFFSET($AV$2,P22,0)-OFFSET($BB$2,P22,0))</f>
        <v/>
      </c>
      <c r="S29" s="2925"/>
      <c r="T29" s="2922" t="str">
        <f ca="1">IF(ISBLANK(OFFSET($AP$2,T22,0)),"",OFFSET($AV$2,T22,0))</f>
        <v/>
      </c>
      <c r="U29" s="2923"/>
      <c r="V29" s="2924" t="str">
        <f ca="1">IF(ISBLANK(OFFSET($AP$2,T22,0)),"",OFFSET($AV$2,T22,0)-OFFSET($BB$2,T22,0))</f>
        <v/>
      </c>
      <c r="W29" s="2925"/>
      <c r="X29" s="2922" t="str">
        <f ca="1">IF(ISBLANK(OFFSET($AP$2,X22,0)),"",OFFSET($AV$2,X22,0))</f>
        <v/>
      </c>
      <c r="Y29" s="2923"/>
      <c r="Z29" s="2924" t="str">
        <f ca="1">IF(ISBLANK(OFFSET($AP$2,X22,0)),"",OFFSET($AV$2,X22,0)-OFFSET($BB$2,X22,0))</f>
        <v/>
      </c>
      <c r="AA29" s="2925"/>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5" customHeight="1" thickBot="1" x14ac:dyDescent="0.25">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5" customHeight="1" x14ac:dyDescent="0.2">
      <c r="A31" s="65"/>
      <c r="B31" s="47"/>
      <c r="C31" s="48"/>
      <c r="D31" s="2926" t="str">
        <f ca="1">IF(ISBLANK(OFFSET($AP$2,D30,0)),"",CONCATENATE("Seq. ",OFFSET($AP$2,D30,0)))</f>
        <v/>
      </c>
      <c r="E31" s="2927"/>
      <c r="F31" s="2927"/>
      <c r="G31" s="2928"/>
      <c r="H31" s="2926" t="str">
        <f ca="1">IF(ISBLANK(OFFSET($AP$2,H30,0)),"",CONCATENATE("Seq. ",OFFSET($AP$2,H30,0)))</f>
        <v/>
      </c>
      <c r="I31" s="2927"/>
      <c r="J31" s="2927"/>
      <c r="K31" s="2928"/>
      <c r="L31" s="2926" t="str">
        <f ca="1">IF(ISBLANK(OFFSET($AP$2,L30,0)),"",CONCATENATE("Seq. ",OFFSET($AP$2,L30,0)))</f>
        <v/>
      </c>
      <c r="M31" s="2927"/>
      <c r="N31" s="2927"/>
      <c r="O31" s="2928"/>
      <c r="P31" s="2926" t="str">
        <f ca="1">IF(ISBLANK(OFFSET($AP$2,P30,0)),"",CONCATENATE("Seq. ",OFFSET($AP$2,P30,0)))</f>
        <v/>
      </c>
      <c r="Q31" s="2927"/>
      <c r="R31" s="2927"/>
      <c r="S31" s="2928"/>
      <c r="T31" s="2926" t="str">
        <f ca="1">IF(ISBLANK(OFFSET($AP$2,T30,0)),"",CONCATENATE("Seq. ",OFFSET($AP$2,T30,0)))</f>
        <v/>
      </c>
      <c r="U31" s="2927"/>
      <c r="V31" s="2927"/>
      <c r="W31" s="2928"/>
      <c r="X31" s="2926" t="str">
        <f ca="1">IF(ISBLANK(OFFSET($AP$2,X30,0)),"",CONCATENATE("Seq. ",OFFSET($AP$2,X30,0)))</f>
        <v/>
      </c>
      <c r="Y31" s="2927"/>
      <c r="Z31" s="2927"/>
      <c r="AA31" s="2928"/>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5" customHeight="1" thickBot="1" x14ac:dyDescent="0.25">
      <c r="A32" s="65"/>
      <c r="B32" s="47"/>
      <c r="C32" s="48"/>
      <c r="D32" s="2915" t="s">
        <v>477</v>
      </c>
      <c r="E32" s="2916"/>
      <c r="F32" s="2916" t="s">
        <v>478</v>
      </c>
      <c r="G32" s="2917"/>
      <c r="H32" s="2915" t="s">
        <v>477</v>
      </c>
      <c r="I32" s="2916"/>
      <c r="J32" s="2916" t="s">
        <v>478</v>
      </c>
      <c r="K32" s="2917"/>
      <c r="L32" s="2915" t="s">
        <v>477</v>
      </c>
      <c r="M32" s="2916"/>
      <c r="N32" s="2916" t="s">
        <v>478</v>
      </c>
      <c r="O32" s="2917"/>
      <c r="P32" s="2915" t="s">
        <v>477</v>
      </c>
      <c r="Q32" s="2916"/>
      <c r="R32" s="2916" t="s">
        <v>478</v>
      </c>
      <c r="S32" s="2917"/>
      <c r="T32" s="2915" t="s">
        <v>477</v>
      </c>
      <c r="U32" s="2916"/>
      <c r="V32" s="2916" t="s">
        <v>478</v>
      </c>
      <c r="W32" s="2917"/>
      <c r="X32" s="2915" t="s">
        <v>477</v>
      </c>
      <c r="Y32" s="2916"/>
      <c r="Z32" s="2916" t="s">
        <v>478</v>
      </c>
      <c r="AA32" s="2917"/>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5" customHeight="1" x14ac:dyDescent="0.2">
      <c r="A33" s="65"/>
      <c r="B33" s="2920" t="s">
        <v>74</v>
      </c>
      <c r="C33" s="2921"/>
      <c r="D33" s="2911" t="str">
        <f ca="1">IF(ISBLANK(OFFSET($AP$2,D30,0)),"",OFFSET($AQ$2,D30,0)+OFFSET($AU$2,D30,0))</f>
        <v/>
      </c>
      <c r="E33" s="2912"/>
      <c r="F33" s="2909" t="str">
        <f ca="1">IF(ISBLANK(OFFSET($AP$2,D30,0)),"",(OFFSET($AQ$2,D30,0)+OFFSET($AU$2,D30,0))-(OFFSET($AW$2,D30,0)+OFFSET($BA$2,D30,0)))</f>
        <v/>
      </c>
      <c r="G33" s="2910"/>
      <c r="H33" s="2911" t="str">
        <f ca="1">IF(ISBLANK(OFFSET($AP$2,H30,0)),"",OFFSET($AQ$2,H30,0)+OFFSET($AU$2,H30,0))</f>
        <v/>
      </c>
      <c r="I33" s="2912"/>
      <c r="J33" s="2909" t="str">
        <f ca="1">IF(ISBLANK(OFFSET($AP$2,H30,0)),"",(OFFSET($AQ$2,H30,0)+OFFSET($AU$2,H30,0))-(OFFSET($AW$2,H30,0)+OFFSET($BA$2,H30,0)))</f>
        <v/>
      </c>
      <c r="K33" s="2910"/>
      <c r="L33" s="2911" t="str">
        <f ca="1">IF(ISBLANK(OFFSET($AP$2,L30,0)),"",OFFSET($AQ$2,L30,0)+OFFSET($AU$2,L30,0))</f>
        <v/>
      </c>
      <c r="M33" s="2912"/>
      <c r="N33" s="2909" t="str">
        <f ca="1">IF(ISBLANK(OFFSET($AP$2,L30,0)),"",(OFFSET($AQ$2,L30,0)+OFFSET($AU$2,L30,0))-(OFFSET($AW$2,L30,0)+OFFSET($BA$2,L30,0)))</f>
        <v/>
      </c>
      <c r="O33" s="2910"/>
      <c r="P33" s="2911" t="str">
        <f ca="1">IF(ISBLANK(OFFSET($AP$2,P30,0)),"",OFFSET($AQ$2,P30,0)+OFFSET($AU$2,P30,0))</f>
        <v/>
      </c>
      <c r="Q33" s="2912"/>
      <c r="R33" s="2909" t="str">
        <f ca="1">IF(ISBLANK(OFFSET($AP$2,P30,0)),"",(OFFSET($AQ$2,P30,0)+OFFSET($AU$2,P30,0))-(OFFSET($AW$2,P30,0)+OFFSET($BA$2,P30,0)))</f>
        <v/>
      </c>
      <c r="S33" s="2910"/>
      <c r="T33" s="2911" t="str">
        <f ca="1">IF(ISBLANK(OFFSET($AP$2,T30,0)),"",OFFSET($AQ$2,T30,0)+OFFSET($AU$2,T30,0))</f>
        <v/>
      </c>
      <c r="U33" s="2912"/>
      <c r="V33" s="2909" t="str">
        <f ca="1">IF(ISBLANK(OFFSET($AP$2,T30,0)),"",(OFFSET($AQ$2,T30,0)+OFFSET($AU$2,T30,0))-(OFFSET($AW$2,T30,0)+OFFSET($BA$2,T30,0)))</f>
        <v/>
      </c>
      <c r="W33" s="2910"/>
      <c r="X33" s="2911" t="str">
        <f ca="1">IF(ISBLANK(OFFSET($AP$2,X30,0)),"",OFFSET($AQ$2,X30,0)+OFFSET($AU$2,X30,0))</f>
        <v/>
      </c>
      <c r="Y33" s="2912"/>
      <c r="Z33" s="2909" t="str">
        <f ca="1">IF(ISBLANK(OFFSET($AP$2,X30,0)),"",(OFFSET($AQ$2,X30,0)+OFFSET($AU$2,X30,0))-(OFFSET($AW$2,X30,0)+OFFSET($BA$2,X30,0)))</f>
        <v/>
      </c>
      <c r="AA33" s="2910"/>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5" customHeight="1" x14ac:dyDescent="0.2">
      <c r="A34" s="65"/>
      <c r="B34" s="2913" t="s">
        <v>474</v>
      </c>
      <c r="C34" s="2914"/>
      <c r="D34" s="2911" t="str">
        <f ca="1">IF(ISBLANK(OFFSET($AP$2,D30,0)),"",OFFSET($AR$2,D30,0))</f>
        <v/>
      </c>
      <c r="E34" s="2912"/>
      <c r="F34" s="2909" t="str">
        <f ca="1">IF(ISBLANK(OFFSET($AP$2,D30,0)),"",OFFSET($AR$2,D30,0)-OFFSET($AX$2,D30,0))</f>
        <v/>
      </c>
      <c r="G34" s="2910"/>
      <c r="H34" s="2911" t="str">
        <f ca="1">IF(ISBLANK(OFFSET($AP$2,H30,0)),"",OFFSET($AR$2,H30,0))</f>
        <v/>
      </c>
      <c r="I34" s="2912"/>
      <c r="J34" s="2909" t="str">
        <f ca="1">IF(ISBLANK(OFFSET($AP$2,H30,0)),"",OFFSET($AR$2,H30,0)-OFFSET($AX$2,H30,0))</f>
        <v/>
      </c>
      <c r="K34" s="2910"/>
      <c r="L34" s="2911" t="str">
        <f ca="1">IF(ISBLANK(OFFSET($AP$2,L30,0)),"",OFFSET($AR$2,L30,0))</f>
        <v/>
      </c>
      <c r="M34" s="2912"/>
      <c r="N34" s="2909" t="str">
        <f ca="1">IF(ISBLANK(OFFSET($AP$2,L30,0)),"",OFFSET($AR$2,L30,0)-OFFSET($AX$2,L30,0))</f>
        <v/>
      </c>
      <c r="O34" s="2910"/>
      <c r="P34" s="2911" t="str">
        <f ca="1">IF(ISBLANK(OFFSET($AP$2,P30,0)),"",OFFSET($AR$2,P30,0))</f>
        <v/>
      </c>
      <c r="Q34" s="2912"/>
      <c r="R34" s="2909" t="str">
        <f ca="1">IF(ISBLANK(OFFSET($AP$2,P30,0)),"",OFFSET($AR$2,P30,0)-OFFSET($AX$2,P30,0))</f>
        <v/>
      </c>
      <c r="S34" s="2910"/>
      <c r="T34" s="2911" t="str">
        <f ca="1">IF(ISBLANK(OFFSET($AP$2,T30,0)),"",OFFSET($AR$2,T30,0))</f>
        <v/>
      </c>
      <c r="U34" s="2912"/>
      <c r="V34" s="2909" t="str">
        <f ca="1">IF(ISBLANK(OFFSET($AP$2,T30,0)),"",OFFSET($AR$2,T30,0)-OFFSET($AX$2,T30,0))</f>
        <v/>
      </c>
      <c r="W34" s="2910"/>
      <c r="X34" s="2911" t="str">
        <f ca="1">IF(ISBLANK(OFFSET($AP$2,X30,0)),"",OFFSET($AR$2,X30,0))</f>
        <v/>
      </c>
      <c r="Y34" s="2912"/>
      <c r="Z34" s="2909" t="str">
        <f ca="1">IF(ISBLANK(OFFSET($AP$2,X30,0)),"",OFFSET($AR$2,X30,0)-OFFSET($AX$2,X30,0))</f>
        <v/>
      </c>
      <c r="AA34" s="2910"/>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5" customHeight="1" x14ac:dyDescent="0.2">
      <c r="A35" s="65"/>
      <c r="B35" s="2913" t="s">
        <v>475</v>
      </c>
      <c r="C35" s="2914"/>
      <c r="D35" s="2911" t="str">
        <f ca="1">IF(ISBLANK(OFFSET($AP$2,D30,0)),"",OFFSET($AS$2,D30,0))</f>
        <v/>
      </c>
      <c r="E35" s="2912"/>
      <c r="F35" s="2909" t="str">
        <f ca="1">IF(ISBLANK(OFFSET($AP$2,D30,0)),"",OFFSET($AS$2,D30,0)-OFFSET($AY$2,D30,0))</f>
        <v/>
      </c>
      <c r="G35" s="2910"/>
      <c r="H35" s="2911" t="str">
        <f ca="1">IF(ISBLANK(OFFSET($AP$2,H30,0)),"",OFFSET($AS$2,H30,0))</f>
        <v/>
      </c>
      <c r="I35" s="2912"/>
      <c r="J35" s="2909" t="str">
        <f ca="1">IF(ISBLANK(OFFSET($AP$2,H30,0)),"",OFFSET($AS$2,H30,0)-OFFSET($AY$2,H30,0))</f>
        <v/>
      </c>
      <c r="K35" s="2910"/>
      <c r="L35" s="2911" t="str">
        <f ca="1">IF(ISBLANK(OFFSET($AP$2,L30,0)),"",OFFSET($AS$2,L30,0))</f>
        <v/>
      </c>
      <c r="M35" s="2912"/>
      <c r="N35" s="2909" t="str">
        <f ca="1">IF(ISBLANK(OFFSET($AP$2,L30,0)),"",OFFSET($AS$2,L30,0)-OFFSET($AY$2,L30,0))</f>
        <v/>
      </c>
      <c r="O35" s="2910"/>
      <c r="P35" s="2911" t="str">
        <f ca="1">IF(ISBLANK(OFFSET($AP$2,P30,0)),"",OFFSET($AS$2,P30,0))</f>
        <v/>
      </c>
      <c r="Q35" s="2912"/>
      <c r="R35" s="2909" t="str">
        <f ca="1">IF(ISBLANK(OFFSET($AP$2,P30,0)),"",OFFSET($AS$2,P30,0)-OFFSET($AY$2,P30,0))</f>
        <v/>
      </c>
      <c r="S35" s="2910"/>
      <c r="T35" s="2911" t="str">
        <f ca="1">IF(ISBLANK(OFFSET($AP$2,T30,0)),"",OFFSET($AS$2,T30,0))</f>
        <v/>
      </c>
      <c r="U35" s="2912"/>
      <c r="V35" s="2909" t="str">
        <f ca="1">IF(ISBLANK(OFFSET($AP$2,T30,0)),"",OFFSET($AS$2,T30,0)-OFFSET($AY$2,T30,0))</f>
        <v/>
      </c>
      <c r="W35" s="2910"/>
      <c r="X35" s="2911" t="str">
        <f ca="1">IF(ISBLANK(OFFSET($AP$2,X30,0)),"",OFFSET($AS$2,X30,0))</f>
        <v/>
      </c>
      <c r="Y35" s="2912"/>
      <c r="Z35" s="2909" t="str">
        <f ca="1">IF(ISBLANK(OFFSET($AP$2,X30,0)),"",OFFSET($AS$2,X30,0)-OFFSET($AY$2,X30,0))</f>
        <v/>
      </c>
      <c r="AA35" s="2910"/>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5" customHeight="1" x14ac:dyDescent="0.2">
      <c r="A36" s="65"/>
      <c r="B36" s="2913" t="s">
        <v>76</v>
      </c>
      <c r="C36" s="2914"/>
      <c r="D36" s="2911" t="str">
        <f ca="1">IF(ISBLANK(OFFSET($AP$2,D30,0)),"",OFFSET($AT$2,D30,0))</f>
        <v/>
      </c>
      <c r="E36" s="2912"/>
      <c r="F36" s="2909" t="str">
        <f ca="1">IF(ISBLANK(OFFSET($AP$2,D30,0)),"",OFFSET($AT$2,D30,0)-OFFSET($AZ$2,D30,0))</f>
        <v/>
      </c>
      <c r="G36" s="2910"/>
      <c r="H36" s="2911" t="str">
        <f ca="1">IF(ISBLANK(OFFSET($AP$2,H30,0)),"",OFFSET($AT$2,H30,0))</f>
        <v/>
      </c>
      <c r="I36" s="2912"/>
      <c r="J36" s="2909" t="str">
        <f ca="1">IF(ISBLANK(OFFSET($AP$2,H30,0)),"",OFFSET($AT$2,H30,0)-OFFSET($AZ$2,H30,0))</f>
        <v/>
      </c>
      <c r="K36" s="2910"/>
      <c r="L36" s="2911" t="str">
        <f ca="1">IF(ISBLANK(OFFSET($AP$2,L30,0)),"",OFFSET($AT$2,L30,0))</f>
        <v/>
      </c>
      <c r="M36" s="2912"/>
      <c r="N36" s="2909" t="str">
        <f ca="1">IF(ISBLANK(OFFSET($AP$2,L30,0)),"",OFFSET($AT$2,L30,0)-OFFSET($AZ$2,L30,0))</f>
        <v/>
      </c>
      <c r="O36" s="2910"/>
      <c r="P36" s="2911" t="str">
        <f ca="1">IF(ISBLANK(OFFSET($AP$2,P30,0)),"",OFFSET($AT$2,P30,0))</f>
        <v/>
      </c>
      <c r="Q36" s="2912"/>
      <c r="R36" s="2909" t="str">
        <f ca="1">IF(ISBLANK(OFFSET($AP$2,P30,0)),"",OFFSET($AT$2,P30,0)-OFFSET($AZ$2,P30,0))</f>
        <v/>
      </c>
      <c r="S36" s="2910"/>
      <c r="T36" s="2911" t="str">
        <f ca="1">IF(ISBLANK(OFFSET($AP$2,T30,0)),"",OFFSET($AT$2,T30,0))</f>
        <v/>
      </c>
      <c r="U36" s="2912"/>
      <c r="V36" s="2909" t="str">
        <f ca="1">IF(ISBLANK(OFFSET($AP$2,T30,0)),"",OFFSET($AT$2,T30,0)-OFFSET($AZ$2,T30,0))</f>
        <v/>
      </c>
      <c r="W36" s="2910"/>
      <c r="X36" s="2911" t="str">
        <f ca="1">IF(ISBLANK(OFFSET($AP$2,X30,0)),"",OFFSET($AT$2,X30,0))</f>
        <v/>
      </c>
      <c r="Y36" s="2912"/>
      <c r="Z36" s="2909" t="str">
        <f ca="1">IF(ISBLANK(OFFSET($AP$2,X30,0)),"",OFFSET($AT$2,X30,0)-OFFSET($AZ$2,X30,0))</f>
        <v/>
      </c>
      <c r="AA36" s="2910"/>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5" customHeight="1" thickBot="1" x14ac:dyDescent="0.25">
      <c r="A37" s="65"/>
      <c r="B37" s="2929" t="s">
        <v>476</v>
      </c>
      <c r="C37" s="2930"/>
      <c r="D37" s="2922" t="str">
        <f ca="1">IF(ISBLANK(OFFSET($AP$2,D30,0)),"",OFFSET($AV$2,D30,0))</f>
        <v/>
      </c>
      <c r="E37" s="2923"/>
      <c r="F37" s="2924" t="str">
        <f ca="1">IF(ISBLANK(OFFSET($AP$2,D30,0)),"",OFFSET($AV$2,D30,0)-OFFSET($BB$2,D30,0))</f>
        <v/>
      </c>
      <c r="G37" s="2925"/>
      <c r="H37" s="2922" t="str">
        <f ca="1">IF(ISBLANK(OFFSET($AP$2,H30,0)),"",OFFSET($AV$2,H30,0))</f>
        <v/>
      </c>
      <c r="I37" s="2923"/>
      <c r="J37" s="2924" t="str">
        <f ca="1">IF(ISBLANK(OFFSET($AP$2,H30,0)),"",OFFSET($AV$2,H30,0)-OFFSET($BB$2,H30,0))</f>
        <v/>
      </c>
      <c r="K37" s="2925"/>
      <c r="L37" s="2922" t="str">
        <f ca="1">IF(ISBLANK(OFFSET($AP$2,L30,0)),"",OFFSET($AV$2,L30,0))</f>
        <v/>
      </c>
      <c r="M37" s="2923"/>
      <c r="N37" s="2924" t="str">
        <f ca="1">IF(ISBLANK(OFFSET($AP$2,L30,0)),"",OFFSET($AV$2,L30,0)-OFFSET($BB$2,L30,0))</f>
        <v/>
      </c>
      <c r="O37" s="2925"/>
      <c r="P37" s="2922" t="str">
        <f ca="1">IF(ISBLANK(OFFSET($AP$2,P30,0)),"",OFFSET($AV$2,P30,0))</f>
        <v/>
      </c>
      <c r="Q37" s="2923"/>
      <c r="R37" s="2924" t="str">
        <f ca="1">IF(ISBLANK(OFFSET($AP$2,P30,0)),"",OFFSET($AV$2,P30,0)-OFFSET($BB$2,P30,0))</f>
        <v/>
      </c>
      <c r="S37" s="2925"/>
      <c r="T37" s="2922" t="str">
        <f ca="1">IF(ISBLANK(OFFSET($AP$2,T30,0)),"",OFFSET($AV$2,T30,0))</f>
        <v/>
      </c>
      <c r="U37" s="2923"/>
      <c r="V37" s="2924" t="str">
        <f ca="1">IF(ISBLANK(OFFSET($AP$2,T30,0)),"",OFFSET($AV$2,T30,0)-OFFSET($BB$2,T30,0))</f>
        <v/>
      </c>
      <c r="W37" s="2925"/>
      <c r="X37" s="2922" t="str">
        <f ca="1">IF(ISBLANK(OFFSET($AP$2,X30,0)),"",OFFSET($AV$2,X30,0))</f>
        <v/>
      </c>
      <c r="Y37" s="2923"/>
      <c r="Z37" s="2924" t="str">
        <f ca="1">IF(ISBLANK(OFFSET($AP$2,X30,0)),"",OFFSET($AV$2,X30,0)-OFFSET($BB$2,X30,0))</f>
        <v/>
      </c>
      <c r="AA37" s="2925"/>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5" customHeight="1" thickBot="1" x14ac:dyDescent="0.25">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5" customHeight="1" x14ac:dyDescent="0.2">
      <c r="A39" s="65"/>
      <c r="B39" s="47"/>
      <c r="C39" s="48"/>
      <c r="D39" s="2926" t="str">
        <f ca="1">IF(ISBLANK(OFFSET($AP$2,D38,0)),"",CONCATENATE("Seq. ",OFFSET($AP$2,D38,0)))</f>
        <v/>
      </c>
      <c r="E39" s="2927"/>
      <c r="F39" s="2927"/>
      <c r="G39" s="2928"/>
      <c r="H39" s="2926" t="str">
        <f ca="1">IF(ISBLANK(OFFSET($AP$2,H38,0)),"",CONCATENATE("Seq. ",OFFSET($AP$2,H38,0)))</f>
        <v/>
      </c>
      <c r="I39" s="2927"/>
      <c r="J39" s="2927"/>
      <c r="K39" s="2928"/>
      <c r="L39" s="2926" t="str">
        <f ca="1">IF(ISBLANK(OFFSET($AP$2,L38,0)),"",CONCATENATE("Seq. ",OFFSET($AP$2,L38,0)))</f>
        <v/>
      </c>
      <c r="M39" s="2927"/>
      <c r="N39" s="2927"/>
      <c r="O39" s="2928"/>
      <c r="P39" s="2926" t="str">
        <f ca="1">IF(ISBLANK(OFFSET($AP$2,P38,0)),"",CONCATENATE("Seq. ",OFFSET($AP$2,P38,0)))</f>
        <v/>
      </c>
      <c r="Q39" s="2927"/>
      <c r="R39" s="2927"/>
      <c r="S39" s="2928"/>
      <c r="T39" s="2926" t="str">
        <f ca="1">IF(ISBLANK(OFFSET($AP$2,T38,0)),"",CONCATENATE("Seq. ",OFFSET($AP$2,T38,0)))</f>
        <v/>
      </c>
      <c r="U39" s="2927"/>
      <c r="V39" s="2927"/>
      <c r="W39" s="2928"/>
      <c r="X39" s="2926" t="str">
        <f ca="1">IF(ISBLANK(OFFSET($AP$2,X38,0)),"",CONCATENATE("Seq. ",OFFSET($AP$2,X38,0)))</f>
        <v/>
      </c>
      <c r="Y39" s="2927"/>
      <c r="Z39" s="2927"/>
      <c r="AA39" s="2928"/>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5" customHeight="1" thickBot="1" x14ac:dyDescent="0.25">
      <c r="A40" s="65"/>
      <c r="B40" s="47"/>
      <c r="C40" s="48"/>
      <c r="D40" s="2915" t="s">
        <v>477</v>
      </c>
      <c r="E40" s="2916"/>
      <c r="F40" s="2916" t="s">
        <v>478</v>
      </c>
      <c r="G40" s="2917"/>
      <c r="H40" s="2915" t="s">
        <v>477</v>
      </c>
      <c r="I40" s="2916"/>
      <c r="J40" s="2916" t="s">
        <v>478</v>
      </c>
      <c r="K40" s="2917"/>
      <c r="L40" s="2915" t="s">
        <v>477</v>
      </c>
      <c r="M40" s="2916"/>
      <c r="N40" s="2916" t="s">
        <v>478</v>
      </c>
      <c r="O40" s="2917"/>
      <c r="P40" s="2915" t="s">
        <v>477</v>
      </c>
      <c r="Q40" s="2916"/>
      <c r="R40" s="2916" t="s">
        <v>478</v>
      </c>
      <c r="S40" s="2917"/>
      <c r="T40" s="2915" t="s">
        <v>477</v>
      </c>
      <c r="U40" s="2916"/>
      <c r="V40" s="2916" t="s">
        <v>478</v>
      </c>
      <c r="W40" s="2917"/>
      <c r="X40" s="2915" t="s">
        <v>477</v>
      </c>
      <c r="Y40" s="2916"/>
      <c r="Z40" s="2916" t="s">
        <v>478</v>
      </c>
      <c r="AA40" s="2917"/>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5" customHeight="1" x14ac:dyDescent="0.2">
      <c r="A41" s="65"/>
      <c r="B41" s="2920" t="s">
        <v>74</v>
      </c>
      <c r="C41" s="2921"/>
      <c r="D41" s="2911" t="str">
        <f ca="1">IF(ISBLANK(OFFSET($AP$2,D38,0)),"",OFFSET($AQ$2,D38,0)+OFFSET($AU$2,D38,0))</f>
        <v/>
      </c>
      <c r="E41" s="2912"/>
      <c r="F41" s="2909" t="str">
        <f ca="1">IF(ISBLANK(OFFSET($AP$2,D38,0)),"",(OFFSET($AQ$2,D38,0)+OFFSET($AU$2,D38,0))-(OFFSET($AW$2,D38,0)+OFFSET($BA$2,D38,0)))</f>
        <v/>
      </c>
      <c r="G41" s="2910"/>
      <c r="H41" s="2911" t="str">
        <f ca="1">IF(ISBLANK(OFFSET($AP$2,H38,0)),"",OFFSET($AQ$2,H38,0)+OFFSET($AU$2,H38,0))</f>
        <v/>
      </c>
      <c r="I41" s="2912"/>
      <c r="J41" s="2909" t="str">
        <f ca="1">IF(ISBLANK(OFFSET($AP$2,H38,0)),"",(OFFSET($AQ$2,H38,0)+OFFSET($AU$2,H38,0))-(OFFSET($AW$2,H38,0)+OFFSET($BA$2,H38,0)))</f>
        <v/>
      </c>
      <c r="K41" s="2910"/>
      <c r="L41" s="2911" t="str">
        <f ca="1">IF(ISBLANK(OFFSET($AP$2,L38,0)),"",OFFSET($AQ$2,L38,0)+OFFSET($AU$2,L38,0))</f>
        <v/>
      </c>
      <c r="M41" s="2912"/>
      <c r="N41" s="2909" t="str">
        <f ca="1">IF(ISBLANK(OFFSET($AP$2,L38,0)),"",(OFFSET($AQ$2,L38,0)+OFFSET($AU$2,L38,0))-(OFFSET($AW$2,L38,0)+OFFSET($BA$2,L38,0)))</f>
        <v/>
      </c>
      <c r="O41" s="2910"/>
      <c r="P41" s="2911" t="str">
        <f ca="1">IF(ISBLANK(OFFSET($AP$2,P38,0)),"",OFFSET($AQ$2,P38,0)+OFFSET($AU$2,P38,0))</f>
        <v/>
      </c>
      <c r="Q41" s="2912"/>
      <c r="R41" s="2909" t="str">
        <f ca="1">IF(ISBLANK(OFFSET($AP$2,P38,0)),"",(OFFSET($AQ$2,P38,0)+OFFSET($AU$2,P38,0))-(OFFSET($AW$2,P38,0)+OFFSET($BA$2,P38,0)))</f>
        <v/>
      </c>
      <c r="S41" s="2910"/>
      <c r="T41" s="2911" t="str">
        <f ca="1">IF(ISBLANK(OFFSET($AP$2,T38,0)),"",OFFSET($AQ$2,T38,0)+OFFSET($AU$2,T38,0))</f>
        <v/>
      </c>
      <c r="U41" s="2912"/>
      <c r="V41" s="2909" t="str">
        <f ca="1">IF(ISBLANK(OFFSET($AP$2,T38,0)),"",(OFFSET($AQ$2,T38,0)+OFFSET($AU$2,T38,0))-(OFFSET($AW$2,T38,0)+OFFSET($BA$2,T38,0)))</f>
        <v/>
      </c>
      <c r="W41" s="2910"/>
      <c r="X41" s="2911" t="str">
        <f ca="1">IF(ISBLANK(OFFSET($AP$2,X38,0)),"",OFFSET($AQ$2,X38,0)+OFFSET($AU$2,X38,0))</f>
        <v/>
      </c>
      <c r="Y41" s="2912"/>
      <c r="Z41" s="2909" t="str">
        <f ca="1">IF(ISBLANK(OFFSET($AP$2,X38,0)),"",(OFFSET($AQ$2,X38,0)+OFFSET($AU$2,X38,0))-(OFFSET($AW$2,X38,0)+OFFSET($BA$2,X38,0)))</f>
        <v/>
      </c>
      <c r="AA41" s="2910"/>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5" customHeight="1" x14ac:dyDescent="0.2">
      <c r="A42" s="65"/>
      <c r="B42" s="2913" t="s">
        <v>474</v>
      </c>
      <c r="C42" s="2914"/>
      <c r="D42" s="2911" t="str">
        <f ca="1">IF(ISBLANK(OFFSET($AP$2,D38,0)),"",OFFSET($AR$2,D38,0))</f>
        <v/>
      </c>
      <c r="E42" s="2912"/>
      <c r="F42" s="2909" t="str">
        <f ca="1">IF(ISBLANK(OFFSET($AP$2,D38,0)),"",OFFSET($AR$2,D38,0)-OFFSET($AX$2,D38,0))</f>
        <v/>
      </c>
      <c r="G42" s="2910"/>
      <c r="H42" s="2911" t="str">
        <f ca="1">IF(ISBLANK(OFFSET($AP$2,H38,0)),"",OFFSET($AR$2,H38,0))</f>
        <v/>
      </c>
      <c r="I42" s="2912"/>
      <c r="J42" s="2909" t="str">
        <f ca="1">IF(ISBLANK(OFFSET($AP$2,H38,0)),"",OFFSET($AR$2,H38,0)-OFFSET($AX$2,H38,0))</f>
        <v/>
      </c>
      <c r="K42" s="2910"/>
      <c r="L42" s="2911" t="str">
        <f ca="1">IF(ISBLANK(OFFSET($AP$2,L38,0)),"",OFFSET($AR$2,L38,0))</f>
        <v/>
      </c>
      <c r="M42" s="2912"/>
      <c r="N42" s="2909" t="str">
        <f ca="1">IF(ISBLANK(OFFSET($AP$2,L38,0)),"",OFFSET($AR$2,L38,0)-OFFSET($AX$2,L38,0))</f>
        <v/>
      </c>
      <c r="O42" s="2910"/>
      <c r="P42" s="2911" t="str">
        <f ca="1">IF(ISBLANK(OFFSET($AP$2,P38,0)),"",OFFSET($AR$2,P38,0))</f>
        <v/>
      </c>
      <c r="Q42" s="2912"/>
      <c r="R42" s="2909" t="str">
        <f ca="1">IF(ISBLANK(OFFSET($AP$2,P38,0)),"",OFFSET($AR$2,P38,0)-OFFSET($AX$2,P38,0))</f>
        <v/>
      </c>
      <c r="S42" s="2910"/>
      <c r="T42" s="2911" t="str">
        <f ca="1">IF(ISBLANK(OFFSET($AP$2,T38,0)),"",OFFSET($AR$2,T38,0))</f>
        <v/>
      </c>
      <c r="U42" s="2912"/>
      <c r="V42" s="2909" t="str">
        <f ca="1">IF(ISBLANK(OFFSET($AP$2,T38,0)),"",OFFSET($AR$2,T38,0)-OFFSET($AX$2,T38,0))</f>
        <v/>
      </c>
      <c r="W42" s="2910"/>
      <c r="X42" s="2911" t="str">
        <f ca="1">IF(ISBLANK(OFFSET($AP$2,X38,0)),"",OFFSET($AR$2,X38,0))</f>
        <v/>
      </c>
      <c r="Y42" s="2912"/>
      <c r="Z42" s="2909" t="str">
        <f ca="1">IF(ISBLANK(OFFSET($AP$2,X38,0)),"",OFFSET($AR$2,X38,0)-OFFSET($AX$2,X38,0))</f>
        <v/>
      </c>
      <c r="AA42" s="2910"/>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5" customHeight="1" x14ac:dyDescent="0.2">
      <c r="A43" s="65"/>
      <c r="B43" s="2913" t="s">
        <v>475</v>
      </c>
      <c r="C43" s="2914"/>
      <c r="D43" s="2911" t="str">
        <f ca="1">IF(ISBLANK(OFFSET($AP$2,D38,0)),"",OFFSET($AS$2,D38,0))</f>
        <v/>
      </c>
      <c r="E43" s="2912"/>
      <c r="F43" s="2909" t="str">
        <f ca="1">IF(ISBLANK(OFFSET($AP$2,D38,0)),"",OFFSET($AS$2,D38,0)-OFFSET($AY$2,D38,0))</f>
        <v/>
      </c>
      <c r="G43" s="2910"/>
      <c r="H43" s="2911" t="str">
        <f ca="1">IF(ISBLANK(OFFSET($AP$2,H38,0)),"",OFFSET($AS$2,H38,0))</f>
        <v/>
      </c>
      <c r="I43" s="2912"/>
      <c r="J43" s="2909" t="str">
        <f ca="1">IF(ISBLANK(OFFSET($AP$2,H38,0)),"",OFFSET($AS$2,H38,0)-OFFSET($AY$2,H38,0))</f>
        <v/>
      </c>
      <c r="K43" s="2910"/>
      <c r="L43" s="2911" t="str">
        <f ca="1">IF(ISBLANK(OFFSET($AP$2,L38,0)),"",OFFSET($AS$2,L38,0))</f>
        <v/>
      </c>
      <c r="M43" s="2912"/>
      <c r="N43" s="2909" t="str">
        <f ca="1">IF(ISBLANK(OFFSET($AP$2,L38,0)),"",OFFSET($AS$2,L38,0)-OFFSET($AY$2,L38,0))</f>
        <v/>
      </c>
      <c r="O43" s="2910"/>
      <c r="P43" s="2911" t="str">
        <f ca="1">IF(ISBLANK(OFFSET($AP$2,P38,0)),"",OFFSET($AS$2,P38,0))</f>
        <v/>
      </c>
      <c r="Q43" s="2912"/>
      <c r="R43" s="2909" t="str">
        <f ca="1">IF(ISBLANK(OFFSET($AP$2,P38,0)),"",OFFSET($AS$2,P38,0)-OFFSET($AY$2,P38,0))</f>
        <v/>
      </c>
      <c r="S43" s="2910"/>
      <c r="T43" s="2911" t="str">
        <f ca="1">IF(ISBLANK(OFFSET($AP$2,T38,0)),"",OFFSET($AS$2,T38,0))</f>
        <v/>
      </c>
      <c r="U43" s="2912"/>
      <c r="V43" s="2909" t="str">
        <f ca="1">IF(ISBLANK(OFFSET($AP$2,T38,0)),"",OFFSET($AS$2,T38,0)-OFFSET($AY$2,T38,0))</f>
        <v/>
      </c>
      <c r="W43" s="2910"/>
      <c r="X43" s="2911" t="str">
        <f ca="1">IF(ISBLANK(OFFSET($AP$2,X38,0)),"",OFFSET($AS$2,X38,0))</f>
        <v/>
      </c>
      <c r="Y43" s="2912"/>
      <c r="Z43" s="2909" t="str">
        <f ca="1">IF(ISBLANK(OFFSET($AP$2,X38,0)),"",OFFSET($AS$2,X38,0)-OFFSET($AY$2,X38,0))</f>
        <v/>
      </c>
      <c r="AA43" s="2910"/>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5" customHeight="1" x14ac:dyDescent="0.2">
      <c r="A44" s="65"/>
      <c r="B44" s="2913" t="s">
        <v>76</v>
      </c>
      <c r="C44" s="2914"/>
      <c r="D44" s="2911" t="str">
        <f ca="1">IF(ISBLANK(OFFSET($AP$2,D38,0)),"",OFFSET($AT$2,D38,0))</f>
        <v/>
      </c>
      <c r="E44" s="2912"/>
      <c r="F44" s="2909" t="str">
        <f ca="1">IF(ISBLANK(OFFSET($AP$2,D38,0)),"",OFFSET($AT$2,D38,0)-OFFSET($AZ$2,D38,0))</f>
        <v/>
      </c>
      <c r="G44" s="2910"/>
      <c r="H44" s="2911" t="str">
        <f ca="1">IF(ISBLANK(OFFSET($AP$2,H38,0)),"",OFFSET($AT$2,H38,0))</f>
        <v/>
      </c>
      <c r="I44" s="2912"/>
      <c r="J44" s="2909" t="str">
        <f ca="1">IF(ISBLANK(OFFSET($AP$2,H38,0)),"",OFFSET($AT$2,H38,0)-OFFSET($AZ$2,H38,0))</f>
        <v/>
      </c>
      <c r="K44" s="2910"/>
      <c r="L44" s="2911" t="str">
        <f ca="1">IF(ISBLANK(OFFSET($AP$2,L38,0)),"",OFFSET($AT$2,L38,0))</f>
        <v/>
      </c>
      <c r="M44" s="2912"/>
      <c r="N44" s="2909" t="str">
        <f ca="1">IF(ISBLANK(OFFSET($AP$2,L38,0)),"",OFFSET($AT$2,L38,0)-OFFSET($AZ$2,L38,0))</f>
        <v/>
      </c>
      <c r="O44" s="2910"/>
      <c r="P44" s="2911" t="str">
        <f ca="1">IF(ISBLANK(OFFSET($AP$2,P38,0)),"",OFFSET($AT$2,P38,0))</f>
        <v/>
      </c>
      <c r="Q44" s="2912"/>
      <c r="R44" s="2909" t="str">
        <f ca="1">IF(ISBLANK(OFFSET($AP$2,P38,0)),"",OFFSET($AT$2,P38,0)-OFFSET($AZ$2,P38,0))</f>
        <v/>
      </c>
      <c r="S44" s="2910"/>
      <c r="T44" s="2911" t="str">
        <f ca="1">IF(ISBLANK(OFFSET($AP$2,T38,0)),"",OFFSET($AT$2,T38,0))</f>
        <v/>
      </c>
      <c r="U44" s="2912"/>
      <c r="V44" s="2909" t="str">
        <f ca="1">IF(ISBLANK(OFFSET($AP$2,T38,0)),"",OFFSET($AT$2,T38,0)-OFFSET($AZ$2,T38,0))</f>
        <v/>
      </c>
      <c r="W44" s="2910"/>
      <c r="X44" s="2911" t="str">
        <f ca="1">IF(ISBLANK(OFFSET($AP$2,X38,0)),"",OFFSET($AT$2,X38,0))</f>
        <v/>
      </c>
      <c r="Y44" s="2912"/>
      <c r="Z44" s="2909" t="str">
        <f ca="1">IF(ISBLANK(OFFSET($AP$2,X38,0)),"",OFFSET($AT$2,X38,0)-OFFSET($AZ$2,X38,0))</f>
        <v/>
      </c>
      <c r="AA44" s="2910"/>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5" customHeight="1" thickBot="1" x14ac:dyDescent="0.25">
      <c r="A45" s="65"/>
      <c r="B45" s="2929" t="s">
        <v>476</v>
      </c>
      <c r="C45" s="2930"/>
      <c r="D45" s="2922" t="str">
        <f ca="1">IF(ISBLANK(OFFSET($AP$2,D38,0)),"",OFFSET($AV$2,D38,0))</f>
        <v/>
      </c>
      <c r="E45" s="2923"/>
      <c r="F45" s="2924" t="str">
        <f ca="1">IF(ISBLANK(OFFSET($AP$2,D38,0)),"",OFFSET($AV$2,D38,0)-OFFSET($BB$2,D38,0))</f>
        <v/>
      </c>
      <c r="G45" s="2925"/>
      <c r="H45" s="2922" t="str">
        <f ca="1">IF(ISBLANK(OFFSET($AP$2,H38,0)),"",OFFSET($AV$2,H38,0))</f>
        <v/>
      </c>
      <c r="I45" s="2923"/>
      <c r="J45" s="2924" t="str">
        <f ca="1">IF(ISBLANK(OFFSET($AP$2,H38,0)),"",OFFSET($AV$2,H38,0)-OFFSET($BB$2,H38,0))</f>
        <v/>
      </c>
      <c r="K45" s="2925"/>
      <c r="L45" s="2922" t="str">
        <f ca="1">IF(ISBLANK(OFFSET($AP$2,L38,0)),"",OFFSET($AV$2,L38,0))</f>
        <v/>
      </c>
      <c r="M45" s="2923"/>
      <c r="N45" s="2924" t="str">
        <f ca="1">IF(ISBLANK(OFFSET($AP$2,L38,0)),"",OFFSET($AV$2,L38,0)-OFFSET($BB$2,L38,0))</f>
        <v/>
      </c>
      <c r="O45" s="2925"/>
      <c r="P45" s="2922" t="str">
        <f ca="1">IF(ISBLANK(OFFSET($AP$2,P38,0)),"",OFFSET($AV$2,P38,0))</f>
        <v/>
      </c>
      <c r="Q45" s="2923"/>
      <c r="R45" s="2924" t="str">
        <f ca="1">IF(ISBLANK(OFFSET($AP$2,P38,0)),"",OFFSET($AV$2,P38,0)-OFFSET($BB$2,P38,0))</f>
        <v/>
      </c>
      <c r="S45" s="2925"/>
      <c r="T45" s="2922" t="str">
        <f ca="1">IF(ISBLANK(OFFSET($AP$2,T38,0)),"",OFFSET($AV$2,T38,0))</f>
        <v/>
      </c>
      <c r="U45" s="2923"/>
      <c r="V45" s="2924" t="str">
        <f ca="1">IF(ISBLANK(OFFSET($AP$2,T38,0)),"",OFFSET($AV$2,T38,0)-OFFSET($BB$2,T38,0))</f>
        <v/>
      </c>
      <c r="W45" s="2925"/>
      <c r="X45" s="2922" t="str">
        <f ca="1">IF(ISBLANK(OFFSET($AP$2,X38,0)),"",OFFSET($AV$2,X38,0))</f>
        <v/>
      </c>
      <c r="Y45" s="2923"/>
      <c r="Z45" s="2924" t="str">
        <f ca="1">IF(ISBLANK(OFFSET($AP$2,X38,0)),"",OFFSET($AV$2,X38,0)-OFFSET($BB$2,X38,0))</f>
        <v/>
      </c>
      <c r="AA45" s="2925"/>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5" customHeight="1" thickBot="1" x14ac:dyDescent="0.25">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5" customHeight="1" x14ac:dyDescent="0.2">
      <c r="A47" s="65"/>
      <c r="B47" s="47"/>
      <c r="C47" s="48"/>
      <c r="D47" s="2926" t="str">
        <f ca="1">IF(ISBLANK(OFFSET($AP$2,D46,0)),"",CONCATENATE("Seq. ",OFFSET($AP$2,D46,0)))</f>
        <v/>
      </c>
      <c r="E47" s="2927"/>
      <c r="F47" s="2927"/>
      <c r="G47" s="2928"/>
      <c r="H47" s="2926" t="str">
        <f ca="1">IF(ISBLANK(OFFSET($AP$2,H46,0)),"",CONCATENATE("Seq. ",OFFSET($AP$2,H46,0)))</f>
        <v/>
      </c>
      <c r="I47" s="2927"/>
      <c r="J47" s="2927"/>
      <c r="K47" s="2928"/>
      <c r="L47" s="2926" t="str">
        <f ca="1">IF(ISBLANK(OFFSET($AP$2,L46,0)),"",CONCATENATE("Seq. ",OFFSET($AP$2,L46,0)))</f>
        <v/>
      </c>
      <c r="M47" s="2927"/>
      <c r="N47" s="2927"/>
      <c r="O47" s="2928"/>
      <c r="P47" s="2926" t="str">
        <f ca="1">IF(ISBLANK(OFFSET($AP$2,P46,0)),"",CONCATENATE("Seq. ",OFFSET($AP$2,P46,0)))</f>
        <v/>
      </c>
      <c r="Q47" s="2927"/>
      <c r="R47" s="2927"/>
      <c r="S47" s="2928"/>
      <c r="T47" s="2926" t="str">
        <f ca="1">IF(ISBLANK(OFFSET($AP$2,T46,0)),"",CONCATENATE("Seq. ",OFFSET($AP$2,T46,0)))</f>
        <v/>
      </c>
      <c r="U47" s="2927"/>
      <c r="V47" s="2927"/>
      <c r="W47" s="2928"/>
      <c r="X47" s="2926" t="str">
        <f ca="1">IF(ISBLANK(OFFSET($AP$2,X46,0)),"",CONCATENATE("Seq. ",OFFSET($AP$2,X46,0)))</f>
        <v/>
      </c>
      <c r="Y47" s="2927"/>
      <c r="Z47" s="2927"/>
      <c r="AA47" s="2928"/>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5" customHeight="1" thickBot="1" x14ac:dyDescent="0.25">
      <c r="A48" s="65"/>
      <c r="B48" s="47"/>
      <c r="C48" s="48"/>
      <c r="D48" s="2915" t="s">
        <v>477</v>
      </c>
      <c r="E48" s="2916"/>
      <c r="F48" s="2916" t="s">
        <v>478</v>
      </c>
      <c r="G48" s="2917"/>
      <c r="H48" s="2915" t="s">
        <v>477</v>
      </c>
      <c r="I48" s="2916"/>
      <c r="J48" s="2916" t="s">
        <v>478</v>
      </c>
      <c r="K48" s="2917"/>
      <c r="L48" s="2915" t="s">
        <v>477</v>
      </c>
      <c r="M48" s="2916"/>
      <c r="N48" s="2916" t="s">
        <v>478</v>
      </c>
      <c r="O48" s="2917"/>
      <c r="P48" s="2915" t="s">
        <v>477</v>
      </c>
      <c r="Q48" s="2916"/>
      <c r="R48" s="2916" t="s">
        <v>478</v>
      </c>
      <c r="S48" s="2917"/>
      <c r="T48" s="2915" t="s">
        <v>477</v>
      </c>
      <c r="U48" s="2916"/>
      <c r="V48" s="2916" t="s">
        <v>478</v>
      </c>
      <c r="W48" s="2917"/>
      <c r="X48" s="2915" t="s">
        <v>477</v>
      </c>
      <c r="Y48" s="2916"/>
      <c r="Z48" s="2916" t="s">
        <v>478</v>
      </c>
      <c r="AA48" s="2917"/>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5" customHeight="1" x14ac:dyDescent="0.2">
      <c r="A49" s="65"/>
      <c r="B49" s="2920" t="s">
        <v>74</v>
      </c>
      <c r="C49" s="2921"/>
      <c r="D49" s="2911" t="str">
        <f ca="1">IF(ISBLANK(OFFSET($AP$2,D46,0)),"",OFFSET($AQ$2,D46,0)+OFFSET($AU$2,D46,0))</f>
        <v/>
      </c>
      <c r="E49" s="2912"/>
      <c r="F49" s="2909" t="str">
        <f ca="1">IF(ISBLANK(OFFSET($AP$2,D46,0)),"",(OFFSET($AQ$2,D46,0)+OFFSET($AU$2,D46,0))-(OFFSET($AW$2,D46,0)+OFFSET($BA$2,D46,0)))</f>
        <v/>
      </c>
      <c r="G49" s="2910"/>
      <c r="H49" s="2911" t="str">
        <f ca="1">IF(ISBLANK(OFFSET($AP$2,H46,0)),"",OFFSET($AQ$2,H46,0)+OFFSET($AU$2,H46,0))</f>
        <v/>
      </c>
      <c r="I49" s="2912"/>
      <c r="J49" s="2909" t="str">
        <f ca="1">IF(ISBLANK(OFFSET($AP$2,H46,0)),"",(OFFSET($AQ$2,H46,0)+OFFSET($AU$2,H46,0))-(OFFSET($AW$2,H46,0)+OFFSET($BA$2,H46,0)))</f>
        <v/>
      </c>
      <c r="K49" s="2910"/>
      <c r="L49" s="2911" t="str">
        <f ca="1">IF(ISBLANK(OFFSET($AP$2,L46,0)),"",OFFSET($AQ$2,L46,0)+OFFSET($AU$2,L46,0))</f>
        <v/>
      </c>
      <c r="M49" s="2912"/>
      <c r="N49" s="2909" t="str">
        <f ca="1">IF(ISBLANK(OFFSET($AP$2,L46,0)),"",(OFFSET($AQ$2,L46,0)+OFFSET($AU$2,L46,0))-(OFFSET($AW$2,L46,0)+OFFSET($BA$2,L46,0)))</f>
        <v/>
      </c>
      <c r="O49" s="2910"/>
      <c r="P49" s="2911" t="str">
        <f ca="1">IF(ISBLANK(OFFSET($AP$2,P46,0)),"",OFFSET($AQ$2,P46,0)+OFFSET($AU$2,P46,0))</f>
        <v/>
      </c>
      <c r="Q49" s="2912"/>
      <c r="R49" s="2909" t="str">
        <f ca="1">IF(ISBLANK(OFFSET($AP$2,P46,0)),"",(OFFSET($AQ$2,P46,0)+OFFSET($AU$2,P46,0))-(OFFSET($AW$2,P46,0)+OFFSET($BA$2,P46,0)))</f>
        <v/>
      </c>
      <c r="S49" s="2910"/>
      <c r="T49" s="2911" t="str">
        <f ca="1">IF(ISBLANK(OFFSET($AP$2,T46,0)),"",OFFSET($AQ$2,T46,0)+OFFSET($AU$2,T46,0))</f>
        <v/>
      </c>
      <c r="U49" s="2912"/>
      <c r="V49" s="2909" t="str">
        <f ca="1">IF(ISBLANK(OFFSET($AP$2,T46,0)),"",(OFFSET($AQ$2,T46,0)+OFFSET($AU$2,T46,0))-(OFFSET($AW$2,T46,0)+OFFSET($BA$2,T46,0)))</f>
        <v/>
      </c>
      <c r="W49" s="2910"/>
      <c r="X49" s="2911" t="str">
        <f ca="1">IF(ISBLANK(OFFSET($AP$2,X46,0)),"",OFFSET($AQ$2,X46,0)+OFFSET($AU$2,X46,0))</f>
        <v/>
      </c>
      <c r="Y49" s="2912"/>
      <c r="Z49" s="2909" t="str">
        <f ca="1">IF(ISBLANK(OFFSET($AP$2,X46,0)),"",(OFFSET($AQ$2,X46,0)+OFFSET($AU$2,X46,0))-(OFFSET($AW$2,X46,0)+OFFSET($BA$2,X46,0)))</f>
        <v/>
      </c>
      <c r="AA49" s="2910"/>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5" customHeight="1" x14ac:dyDescent="0.2">
      <c r="A50" s="65"/>
      <c r="B50" s="2913" t="s">
        <v>474</v>
      </c>
      <c r="C50" s="2914"/>
      <c r="D50" s="2911" t="str">
        <f ca="1">IF(ISBLANK(OFFSET($AP$2,D46,0)),"",OFFSET($AR$2,D46,0))</f>
        <v/>
      </c>
      <c r="E50" s="2912"/>
      <c r="F50" s="2909" t="str">
        <f ca="1">IF(ISBLANK(OFFSET($AP$2,D46,0)),"",OFFSET($AR$2,D46,0)-OFFSET($AX$2,D46,0))</f>
        <v/>
      </c>
      <c r="G50" s="2910"/>
      <c r="H50" s="2911" t="str">
        <f ca="1">IF(ISBLANK(OFFSET($AP$2,H46,0)),"",OFFSET($AR$2,H46,0))</f>
        <v/>
      </c>
      <c r="I50" s="2912"/>
      <c r="J50" s="2909" t="str">
        <f ca="1">IF(ISBLANK(OFFSET($AP$2,H46,0)),"",OFFSET($AR$2,H46,0)-OFFSET($AX$2,H46,0))</f>
        <v/>
      </c>
      <c r="K50" s="2910"/>
      <c r="L50" s="2911" t="str">
        <f ca="1">IF(ISBLANK(OFFSET($AP$2,L46,0)),"",OFFSET($AR$2,L46,0))</f>
        <v/>
      </c>
      <c r="M50" s="2912"/>
      <c r="N50" s="2909" t="str">
        <f ca="1">IF(ISBLANK(OFFSET($AP$2,L46,0)),"",OFFSET($AR$2,L46,0)-OFFSET($AX$2,L46,0))</f>
        <v/>
      </c>
      <c r="O50" s="2910"/>
      <c r="P50" s="2911" t="str">
        <f ca="1">IF(ISBLANK(OFFSET($AP$2,P46,0)),"",OFFSET($AR$2,P46,0))</f>
        <v/>
      </c>
      <c r="Q50" s="2912"/>
      <c r="R50" s="2909" t="str">
        <f ca="1">IF(ISBLANK(OFFSET($AP$2,P46,0)),"",OFFSET($AR$2,P46,0)-OFFSET($AX$2,P46,0))</f>
        <v/>
      </c>
      <c r="S50" s="2910"/>
      <c r="T50" s="2911" t="str">
        <f ca="1">IF(ISBLANK(OFFSET($AP$2,T46,0)),"",OFFSET($AR$2,T46,0))</f>
        <v/>
      </c>
      <c r="U50" s="2912"/>
      <c r="V50" s="2909" t="str">
        <f ca="1">IF(ISBLANK(OFFSET($AP$2,T46,0)),"",OFFSET($AR$2,T46,0)-OFFSET($AX$2,T46,0))</f>
        <v/>
      </c>
      <c r="W50" s="2910"/>
      <c r="X50" s="2911" t="str">
        <f ca="1">IF(ISBLANK(OFFSET($AP$2,X46,0)),"",OFFSET($AR$2,X46,0))</f>
        <v/>
      </c>
      <c r="Y50" s="2912"/>
      <c r="Z50" s="2909" t="str">
        <f ca="1">IF(ISBLANK(OFFSET($AP$2,X46,0)),"",OFFSET($AR$2,X46,0)-OFFSET($AX$2,X46,0))</f>
        <v/>
      </c>
      <c r="AA50" s="2910"/>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5" customHeight="1" x14ac:dyDescent="0.2">
      <c r="A51" s="65"/>
      <c r="B51" s="2913" t="s">
        <v>475</v>
      </c>
      <c r="C51" s="2914"/>
      <c r="D51" s="2911" t="str">
        <f ca="1">IF(ISBLANK(OFFSET($AP$2,D46,0)),"",OFFSET($AS$2,D46,0))</f>
        <v/>
      </c>
      <c r="E51" s="2912"/>
      <c r="F51" s="2909" t="str">
        <f ca="1">IF(ISBLANK(OFFSET($AP$2,D46,0)),"",OFFSET($AS$2,D46,0)-OFFSET($AY$2,D46,0))</f>
        <v/>
      </c>
      <c r="G51" s="2910"/>
      <c r="H51" s="2911" t="str">
        <f ca="1">IF(ISBLANK(OFFSET($AP$2,H46,0)),"",OFFSET($AS$2,H46,0))</f>
        <v/>
      </c>
      <c r="I51" s="2912"/>
      <c r="J51" s="2909" t="str">
        <f ca="1">IF(ISBLANK(OFFSET($AP$2,H46,0)),"",OFFSET($AS$2,H46,0)-OFFSET($AY$2,H46,0))</f>
        <v/>
      </c>
      <c r="K51" s="2910"/>
      <c r="L51" s="2911" t="str">
        <f ca="1">IF(ISBLANK(OFFSET($AP$2,L46,0)),"",OFFSET($AS$2,L46,0))</f>
        <v/>
      </c>
      <c r="M51" s="2912"/>
      <c r="N51" s="2909" t="str">
        <f ca="1">IF(ISBLANK(OFFSET($AP$2,L46,0)),"",OFFSET($AS$2,L46,0)-OFFSET($AY$2,L46,0))</f>
        <v/>
      </c>
      <c r="O51" s="2910"/>
      <c r="P51" s="2911" t="str">
        <f ca="1">IF(ISBLANK(OFFSET($AP$2,P46,0)),"",OFFSET($AS$2,P46,0))</f>
        <v/>
      </c>
      <c r="Q51" s="2912"/>
      <c r="R51" s="2909" t="str">
        <f ca="1">IF(ISBLANK(OFFSET($AP$2,P46,0)),"",OFFSET($AS$2,P46,0)-OFFSET($AY$2,P46,0))</f>
        <v/>
      </c>
      <c r="S51" s="2910"/>
      <c r="T51" s="2911" t="str">
        <f ca="1">IF(ISBLANK(OFFSET($AP$2,T46,0)),"",OFFSET($AS$2,T46,0))</f>
        <v/>
      </c>
      <c r="U51" s="2912"/>
      <c r="V51" s="2909" t="str">
        <f ca="1">IF(ISBLANK(OFFSET($AP$2,T46,0)),"",OFFSET($AS$2,T46,0)-OFFSET($AY$2,T46,0))</f>
        <v/>
      </c>
      <c r="W51" s="2910"/>
      <c r="X51" s="2911" t="str">
        <f ca="1">IF(ISBLANK(OFFSET($AP$2,X46,0)),"",OFFSET($AS$2,X46,0))</f>
        <v/>
      </c>
      <c r="Y51" s="2912"/>
      <c r="Z51" s="2909" t="str">
        <f ca="1">IF(ISBLANK(OFFSET($AP$2,X46,0)),"",OFFSET($AS$2,X46,0)-OFFSET($AY$2,X46,0))</f>
        <v/>
      </c>
      <c r="AA51" s="2910"/>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5" customHeight="1" x14ac:dyDescent="0.2">
      <c r="A52" s="65"/>
      <c r="B52" s="2913" t="s">
        <v>76</v>
      </c>
      <c r="C52" s="2914"/>
      <c r="D52" s="2911" t="str">
        <f ca="1">IF(ISBLANK(OFFSET($AP$2,D46,0)),"",OFFSET($AT$2,D46,0))</f>
        <v/>
      </c>
      <c r="E52" s="2912"/>
      <c r="F52" s="2909" t="str">
        <f ca="1">IF(ISBLANK(OFFSET($AP$2,D46,0)),"",OFFSET($AT$2,D46,0)-OFFSET($AZ$2,D46,0))</f>
        <v/>
      </c>
      <c r="G52" s="2910"/>
      <c r="H52" s="2911" t="str">
        <f ca="1">IF(ISBLANK(OFFSET($AP$2,H46,0)),"",OFFSET($AT$2,H46,0))</f>
        <v/>
      </c>
      <c r="I52" s="2912"/>
      <c r="J52" s="2909" t="str">
        <f ca="1">IF(ISBLANK(OFFSET($AP$2,H46,0)),"",OFFSET($AT$2,H46,0)-OFFSET($AZ$2,H46,0))</f>
        <v/>
      </c>
      <c r="K52" s="2910"/>
      <c r="L52" s="2911" t="str">
        <f ca="1">IF(ISBLANK(OFFSET($AP$2,L46,0)),"",OFFSET($AT$2,L46,0))</f>
        <v/>
      </c>
      <c r="M52" s="2912"/>
      <c r="N52" s="2909" t="str">
        <f ca="1">IF(ISBLANK(OFFSET($AP$2,L46,0)),"",OFFSET($AT$2,L46,0)-OFFSET($AZ$2,L46,0))</f>
        <v/>
      </c>
      <c r="O52" s="2910"/>
      <c r="P52" s="2911" t="str">
        <f ca="1">IF(ISBLANK(OFFSET($AP$2,P46,0)),"",OFFSET($AT$2,P46,0))</f>
        <v/>
      </c>
      <c r="Q52" s="2912"/>
      <c r="R52" s="2909" t="str">
        <f ca="1">IF(ISBLANK(OFFSET($AP$2,P46,0)),"",OFFSET($AT$2,P46,0)-OFFSET($AZ$2,P46,0))</f>
        <v/>
      </c>
      <c r="S52" s="2910"/>
      <c r="T52" s="2911" t="str">
        <f ca="1">IF(ISBLANK(OFFSET($AP$2,T46,0)),"",OFFSET($AT$2,T46,0))</f>
        <v/>
      </c>
      <c r="U52" s="2912"/>
      <c r="V52" s="2909" t="str">
        <f ca="1">IF(ISBLANK(OFFSET($AP$2,T46,0)),"",OFFSET($AT$2,T46,0)-OFFSET($AZ$2,T46,0))</f>
        <v/>
      </c>
      <c r="W52" s="2910"/>
      <c r="X52" s="2911" t="str">
        <f ca="1">IF(ISBLANK(OFFSET($AP$2,X46,0)),"",OFFSET($AT$2,X46,0))</f>
        <v/>
      </c>
      <c r="Y52" s="2912"/>
      <c r="Z52" s="2909" t="str">
        <f ca="1">IF(ISBLANK(OFFSET($AP$2,X46,0)),"",OFFSET($AT$2,X46,0)-OFFSET($AZ$2,X46,0))</f>
        <v/>
      </c>
      <c r="AA52" s="2910"/>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5" customHeight="1" thickBot="1" x14ac:dyDescent="0.25">
      <c r="A53" s="65"/>
      <c r="B53" s="2929" t="s">
        <v>476</v>
      </c>
      <c r="C53" s="2930"/>
      <c r="D53" s="2922" t="str">
        <f ca="1">IF(ISBLANK(OFFSET($AP$2,D46,0)),"",OFFSET($AV$2,D46,0))</f>
        <v/>
      </c>
      <c r="E53" s="2923"/>
      <c r="F53" s="2924" t="str">
        <f ca="1">IF(ISBLANK(OFFSET($AP$2,D46,0)),"",OFFSET($AV$2,D46,0)-OFFSET($BB$2,D46,0))</f>
        <v/>
      </c>
      <c r="G53" s="2925"/>
      <c r="H53" s="2922" t="str">
        <f ca="1">IF(ISBLANK(OFFSET($AP$2,H46,0)),"",OFFSET($AV$2,H46,0))</f>
        <v/>
      </c>
      <c r="I53" s="2923"/>
      <c r="J53" s="2924" t="str">
        <f ca="1">IF(ISBLANK(OFFSET($AP$2,H46,0)),"",OFFSET($AV$2,H46,0)-OFFSET($BB$2,H46,0))</f>
        <v/>
      </c>
      <c r="K53" s="2925"/>
      <c r="L53" s="2922" t="str">
        <f ca="1">IF(ISBLANK(OFFSET($AP$2,L46,0)),"",OFFSET($AV$2,L46,0))</f>
        <v/>
      </c>
      <c r="M53" s="2923"/>
      <c r="N53" s="2924" t="str">
        <f ca="1">IF(ISBLANK(OFFSET($AP$2,L46,0)),"",OFFSET($AV$2,L46,0)-OFFSET($BB$2,L46,0))</f>
        <v/>
      </c>
      <c r="O53" s="2925"/>
      <c r="P53" s="2922" t="str">
        <f ca="1">IF(ISBLANK(OFFSET($AP$2,P46,0)),"",OFFSET($AV$2,P46,0))</f>
        <v/>
      </c>
      <c r="Q53" s="2923"/>
      <c r="R53" s="2924" t="str">
        <f ca="1">IF(ISBLANK(OFFSET($AP$2,P46,0)),"",OFFSET($AV$2,P46,0)-OFFSET($BB$2,P46,0))</f>
        <v/>
      </c>
      <c r="S53" s="2925"/>
      <c r="T53" s="2922" t="str">
        <f ca="1">IF(ISBLANK(OFFSET($AP$2,T46,0)),"",OFFSET($AV$2,T46,0))</f>
        <v/>
      </c>
      <c r="U53" s="2923"/>
      <c r="V53" s="2924" t="str">
        <f ca="1">IF(ISBLANK(OFFSET($AP$2,T46,0)),"",OFFSET($AV$2,T46,0)-OFFSET($BB$2,T46,0))</f>
        <v/>
      </c>
      <c r="W53" s="2925"/>
      <c r="X53" s="2922" t="str">
        <f ca="1">IF(ISBLANK(OFFSET($AP$2,X46,0)),"",OFFSET($AV$2,X46,0))</f>
        <v/>
      </c>
      <c r="Y53" s="2923"/>
      <c r="Z53" s="2924" t="str">
        <f ca="1">IF(ISBLANK(OFFSET($AP$2,X46,0)),"",OFFSET($AV$2,X46,0)-OFFSET($BB$2,X46,0))</f>
        <v/>
      </c>
      <c r="AA53" s="2925"/>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5" hidden="1" customHeight="1" x14ac:dyDescent="0.2">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25">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947" t="str">
        <f ca="1">X1</f>
        <v>775-428-0600</v>
      </c>
      <c r="Y55" s="2947"/>
      <c r="Z55" s="2947"/>
      <c r="AA55" s="2947"/>
      <c r="AB55" s="2947"/>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25">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947" t="str">
        <f ca="1">X2</f>
        <v>775-867-2140</v>
      </c>
      <c r="Y56" s="2947"/>
      <c r="Z56" s="2947"/>
      <c r="AA56" s="2947"/>
      <c r="AB56" s="2947"/>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25">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947" t="str">
        <f ca="1">X3</f>
        <v>775-867-2169</v>
      </c>
      <c r="Y57" s="2947"/>
      <c r="Z57" s="2947"/>
      <c r="AA57" s="2947"/>
      <c r="AB57" s="2947"/>
      <c r="AP57" s="61"/>
      <c r="AQ57" s="61"/>
      <c r="AR57" s="61"/>
      <c r="AS57" s="61"/>
      <c r="AT57" s="61"/>
      <c r="AU57" s="61"/>
      <c r="AV57" s="85"/>
      <c r="AW57" s="86"/>
      <c r="AX57" s="61"/>
      <c r="AY57" s="61"/>
      <c r="AZ57" s="61"/>
      <c r="BA57" s="61"/>
      <c r="BB57" s="61"/>
    </row>
    <row r="58" spans="1:54" ht="15" hidden="1" customHeight="1" x14ac:dyDescent="0.2">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947" t="str">
        <f ca="1">X4</f>
        <v>775-867-2060</v>
      </c>
      <c r="Y58" s="2947"/>
      <c r="Z58" s="2947"/>
      <c r="AA58" s="2947"/>
      <c r="AB58" s="2947"/>
      <c r="AP58" s="61"/>
      <c r="AQ58" s="61"/>
      <c r="AR58" s="61"/>
      <c r="AS58" s="61"/>
      <c r="AT58" s="61"/>
      <c r="AU58" s="61"/>
      <c r="AV58" s="85"/>
      <c r="AW58" s="86"/>
      <c r="AX58" s="61"/>
      <c r="AY58" s="61"/>
      <c r="AZ58" s="61"/>
      <c r="BA58" s="61"/>
      <c r="BB58" s="61"/>
    </row>
    <row r="59" spans="1:54" ht="12.95" hidden="1" customHeight="1" x14ac:dyDescent="0.2">
      <c r="A59" s="2946" t="str">
        <f ca="1">A5</f>
        <v>8200 Woolery Way | Fallon, NV 89406 | www.newmill.com</v>
      </c>
      <c r="B59" s="2946"/>
      <c r="C59" s="2946"/>
      <c r="D59" s="2946"/>
      <c r="E59" s="2946"/>
      <c r="F59" s="2946"/>
      <c r="G59" s="2946"/>
      <c r="H59" s="2946"/>
      <c r="I59" s="2946"/>
      <c r="J59" s="2946"/>
      <c r="K59" s="2946"/>
      <c r="L59" s="2946"/>
      <c r="M59" s="2946"/>
      <c r="N59" s="2946"/>
      <c r="O59" s="2946"/>
      <c r="P59" s="105"/>
      <c r="Q59" s="105"/>
      <c r="R59" s="106"/>
      <c r="S59" s="105"/>
      <c r="T59" s="105"/>
      <c r="U59" s="105"/>
      <c r="V59" s="107"/>
      <c r="W59" s="107"/>
      <c r="X59" s="56" t="s">
        <v>458</v>
      </c>
      <c r="Y59" s="2938">
        <f>Y5</f>
        <v>0</v>
      </c>
      <c r="Z59" s="2939"/>
      <c r="AA59" s="2939"/>
      <c r="AB59" s="105"/>
      <c r="AP59" s="61"/>
      <c r="AQ59" s="61"/>
      <c r="AR59" s="61"/>
      <c r="AS59" s="61"/>
      <c r="AT59" s="61"/>
      <c r="AU59" s="61"/>
      <c r="AV59" s="85"/>
      <c r="AW59" s="86"/>
      <c r="AX59" s="61"/>
      <c r="AY59" s="61"/>
      <c r="AZ59" s="61"/>
      <c r="BA59" s="61"/>
      <c r="BB59" s="61"/>
    </row>
    <row r="60" spans="1:54" ht="12.95" hidden="1" customHeight="1" x14ac:dyDescent="0.2">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940"/>
      <c r="Z60" s="2941"/>
      <c r="AA60" s="2941"/>
      <c r="AB60" s="105"/>
      <c r="AP60" s="61"/>
      <c r="AQ60" s="61"/>
      <c r="AR60" s="61"/>
      <c r="AS60" s="61"/>
      <c r="AT60" s="61"/>
      <c r="AU60" s="61"/>
      <c r="AV60" s="85"/>
      <c r="AW60" s="86"/>
      <c r="AX60" s="61"/>
      <c r="AY60" s="61"/>
      <c r="AZ60" s="61"/>
      <c r="BA60" s="61"/>
      <c r="BB60" s="61"/>
    </row>
    <row r="61" spans="1:54" ht="12.95" hidden="1" customHeight="1" x14ac:dyDescent="0.2">
      <c r="A61" s="1568" t="s">
        <v>1221</v>
      </c>
      <c r="B61" s="1569"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942"/>
      <c r="Z61" s="2943"/>
      <c r="AA61" s="2943"/>
      <c r="AB61" s="105"/>
      <c r="AP61" s="61"/>
      <c r="AQ61" s="61"/>
      <c r="AR61" s="61"/>
      <c r="AS61" s="61"/>
      <c r="AT61" s="61"/>
      <c r="AU61" s="61"/>
      <c r="AV61" s="85"/>
      <c r="AW61" s="86"/>
      <c r="AX61" s="61"/>
      <c r="AY61" s="61"/>
      <c r="AZ61" s="61"/>
      <c r="BA61" s="61"/>
      <c r="BB61" s="61"/>
    </row>
    <row r="62" spans="1:54" ht="12.95" hidden="1" customHeight="1" x14ac:dyDescent="0.2">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944"/>
      <c r="Z62" s="2945"/>
      <c r="AA62" s="2945"/>
      <c r="AB62" s="105"/>
      <c r="AP62" s="61"/>
      <c r="AQ62" s="61"/>
      <c r="AR62" s="61"/>
      <c r="AS62" s="61"/>
      <c r="AT62" s="61"/>
      <c r="AU62" s="61"/>
      <c r="AV62" s="85"/>
      <c r="AW62" s="86"/>
      <c r="AX62" s="61"/>
      <c r="AY62" s="61"/>
      <c r="AZ62" s="61"/>
      <c r="BA62" s="61"/>
      <c r="BB62" s="61"/>
    </row>
    <row r="63" spans="1:54" ht="12.95" hidden="1" customHeight="1" x14ac:dyDescent="0.2">
      <c r="A63" s="2933" t="s">
        <v>1</v>
      </c>
      <c r="B63" s="2932"/>
      <c r="C63" s="2932"/>
      <c r="D63" s="2918" t="str">
        <f>D9</f>
        <v>SUNPOINT CROSSING</v>
      </c>
      <c r="E63" s="2918"/>
      <c r="F63" s="2918"/>
      <c r="G63" s="2918"/>
      <c r="H63" s="2918"/>
      <c r="I63" s="2918"/>
      <c r="J63" s="2918"/>
      <c r="K63" s="2918"/>
      <c r="L63" s="2918"/>
      <c r="M63" s="2918"/>
      <c r="N63" s="2918"/>
      <c r="O63" s="2918"/>
      <c r="P63" s="2919"/>
      <c r="Q63" s="110"/>
      <c r="R63" s="22" t="s">
        <v>2</v>
      </c>
      <c r="S63" s="2931" t="str">
        <f>S9</f>
        <v>9118-0062</v>
      </c>
      <c r="T63" s="2932"/>
      <c r="U63" s="2932"/>
      <c r="V63" s="2932"/>
      <c r="W63" s="2932"/>
      <c r="X63" s="110"/>
      <c r="Y63" s="110"/>
      <c r="Z63" s="110"/>
      <c r="AA63" s="110"/>
      <c r="AB63" s="111"/>
      <c r="AP63" s="61"/>
      <c r="AQ63" s="61"/>
      <c r="AR63" s="61"/>
      <c r="AS63" s="61"/>
      <c r="AT63" s="61"/>
      <c r="AU63" s="61"/>
      <c r="AV63" s="85"/>
      <c r="AW63" s="86"/>
      <c r="AX63" s="61"/>
      <c r="AY63" s="61"/>
      <c r="AZ63" s="61"/>
      <c r="BA63" s="61"/>
      <c r="BB63" s="61"/>
    </row>
    <row r="64" spans="1:54" ht="12.95" hidden="1" customHeight="1" x14ac:dyDescent="0.2">
      <c r="A64" s="2933" t="s">
        <v>3</v>
      </c>
      <c r="B64" s="2932"/>
      <c r="C64" s="2932"/>
      <c r="D64" s="2918" t="str">
        <f>D10</f>
        <v>LAS VEGAS, NV</v>
      </c>
      <c r="E64" s="2918"/>
      <c r="F64" s="2918"/>
      <c r="G64" s="2918"/>
      <c r="H64" s="2918"/>
      <c r="I64" s="2918"/>
      <c r="J64" s="2918"/>
      <c r="K64" s="2918"/>
      <c r="L64" s="2918"/>
      <c r="M64" s="2918"/>
      <c r="N64" s="2918"/>
      <c r="O64" s="2918"/>
      <c r="P64" s="2919"/>
      <c r="Q64" s="110"/>
      <c r="R64" s="22" t="s">
        <v>465</v>
      </c>
      <c r="S64" s="2934" t="str">
        <f>S10</f>
        <v>CJA</v>
      </c>
      <c r="T64" s="2932"/>
      <c r="U64" s="110"/>
      <c r="V64" s="112"/>
      <c r="W64" s="22" t="s">
        <v>466</v>
      </c>
      <c r="X64" s="2935" t="str">
        <f>X10</f>
        <v>LS</v>
      </c>
      <c r="Y64" s="2935"/>
      <c r="Z64" s="110"/>
      <c r="AA64" s="110"/>
      <c r="AB64" s="111"/>
      <c r="AP64" s="61"/>
      <c r="AQ64" s="61"/>
      <c r="AR64" s="61"/>
      <c r="AS64" s="61"/>
      <c r="AT64" s="61"/>
      <c r="AU64" s="61"/>
      <c r="AV64" s="85"/>
      <c r="AW64" s="86"/>
      <c r="AX64" s="61"/>
      <c r="AY64" s="61"/>
      <c r="AZ64" s="61"/>
      <c r="BA64" s="61"/>
      <c r="BB64" s="61"/>
    </row>
    <row r="65" spans="1:54" ht="12.95" hidden="1" customHeight="1" thickBot="1" x14ac:dyDescent="0.25">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5" hidden="1" customHeight="1" x14ac:dyDescent="0.2">
      <c r="A66" s="65"/>
      <c r="B66" s="47"/>
      <c r="C66" s="48"/>
      <c r="D66" s="2926" t="str">
        <f ca="1">IF(ISBLANK(OFFSET($AP$2,D65,0)),"",CONCATENATE("Seq. ",OFFSET($AP$2,D65,0)))</f>
        <v/>
      </c>
      <c r="E66" s="2927"/>
      <c r="F66" s="2927"/>
      <c r="G66" s="2928"/>
      <c r="H66" s="2926" t="str">
        <f ca="1">IF(ISBLANK(OFFSET($AP$2,H65,0)),"",CONCATENATE("Seq. ",OFFSET($AP$2,H65,0)))</f>
        <v/>
      </c>
      <c r="I66" s="2927"/>
      <c r="J66" s="2927"/>
      <c r="K66" s="2928"/>
      <c r="L66" s="2926" t="str">
        <f ca="1">IF(ISBLANK(OFFSET($AP$2,L65,0)),"",CONCATENATE("Seq. ",OFFSET($AP$2,L65,0)))</f>
        <v/>
      </c>
      <c r="M66" s="2927"/>
      <c r="N66" s="2927"/>
      <c r="O66" s="2928"/>
      <c r="P66" s="2926" t="str">
        <f ca="1">IF(ISBLANK(OFFSET($AP$2,P65,0)),"",CONCATENATE("Seq. ",OFFSET($AP$2,P65,0)))</f>
        <v/>
      </c>
      <c r="Q66" s="2927"/>
      <c r="R66" s="2927"/>
      <c r="S66" s="2928"/>
      <c r="T66" s="2926" t="str">
        <f ca="1">IF(ISBLANK(OFFSET($AP$2,T65,0)),"",CONCATENATE("Seq. ",OFFSET($AP$2,T65,0)))</f>
        <v/>
      </c>
      <c r="U66" s="2927"/>
      <c r="V66" s="2927"/>
      <c r="W66" s="2928"/>
      <c r="X66" s="2926" t="str">
        <f ca="1">IF(ISBLANK(OFFSET($AP$2,X65,0)),"",CONCATENATE("Seq. ",OFFSET($AP$2,X65,0)))</f>
        <v/>
      </c>
      <c r="Y66" s="2927"/>
      <c r="Z66" s="2927"/>
      <c r="AA66" s="2928"/>
      <c r="AB66" s="65"/>
      <c r="AP66" s="61"/>
      <c r="AQ66" s="61"/>
      <c r="AR66" s="61"/>
      <c r="AS66" s="61"/>
      <c r="AT66" s="61"/>
      <c r="AU66" s="61"/>
      <c r="AV66" s="85"/>
      <c r="AW66" s="86"/>
      <c r="AX66" s="61"/>
      <c r="AY66" s="61"/>
      <c r="AZ66" s="61"/>
      <c r="BA66" s="61"/>
      <c r="BB66" s="61"/>
    </row>
    <row r="67" spans="1:54" ht="12.95" hidden="1" customHeight="1" thickBot="1" x14ac:dyDescent="0.25">
      <c r="A67" s="65"/>
      <c r="B67" s="47"/>
      <c r="C67" s="48"/>
      <c r="D67" s="2915" t="s">
        <v>477</v>
      </c>
      <c r="E67" s="2916"/>
      <c r="F67" s="2916" t="s">
        <v>478</v>
      </c>
      <c r="G67" s="2917"/>
      <c r="H67" s="2915" t="s">
        <v>477</v>
      </c>
      <c r="I67" s="2916"/>
      <c r="J67" s="2916" t="s">
        <v>478</v>
      </c>
      <c r="K67" s="2917"/>
      <c r="L67" s="2915" t="s">
        <v>477</v>
      </c>
      <c r="M67" s="2916"/>
      <c r="N67" s="2916" t="s">
        <v>478</v>
      </c>
      <c r="O67" s="2917"/>
      <c r="P67" s="2915" t="s">
        <v>477</v>
      </c>
      <c r="Q67" s="2916"/>
      <c r="R67" s="2916" t="s">
        <v>478</v>
      </c>
      <c r="S67" s="2917"/>
      <c r="T67" s="2915" t="s">
        <v>477</v>
      </c>
      <c r="U67" s="2916"/>
      <c r="V67" s="2916" t="s">
        <v>478</v>
      </c>
      <c r="W67" s="2917"/>
      <c r="X67" s="2915" t="s">
        <v>477</v>
      </c>
      <c r="Y67" s="2916"/>
      <c r="Z67" s="2916" t="s">
        <v>478</v>
      </c>
      <c r="AA67" s="2917"/>
      <c r="AB67" s="65"/>
      <c r="AP67" s="61"/>
      <c r="AQ67" s="61"/>
      <c r="AR67" s="61"/>
      <c r="AS67" s="61"/>
      <c r="AT67" s="61"/>
      <c r="AU67" s="61"/>
      <c r="AV67" s="85"/>
      <c r="AW67" s="86"/>
      <c r="AX67" s="61"/>
      <c r="AY67" s="61"/>
      <c r="AZ67" s="61"/>
      <c r="BA67" s="61"/>
      <c r="BB67" s="61"/>
    </row>
    <row r="68" spans="1:54" ht="12.95" hidden="1" customHeight="1" x14ac:dyDescent="0.2">
      <c r="A68" s="65"/>
      <c r="B68" s="2920" t="s">
        <v>74</v>
      </c>
      <c r="C68" s="2921"/>
      <c r="D68" s="2911" t="str">
        <f ca="1">IF(ISBLANK(OFFSET($AP$2,D65,0)),"",OFFSET($AQ$2,D65,0)+OFFSET($AU$2,D65,0))</f>
        <v/>
      </c>
      <c r="E68" s="2912"/>
      <c r="F68" s="2909" t="str">
        <f ca="1">IF(ISBLANK(OFFSET($AP$2,D65,0)),"",(OFFSET($AQ$2,D65,0)+OFFSET($AU$2,D65,0))-(OFFSET($AW$2,D65,0)+OFFSET($BA$2,D65,0)))</f>
        <v/>
      </c>
      <c r="G68" s="2910"/>
      <c r="H68" s="2911" t="str">
        <f ca="1">IF(ISBLANK(OFFSET($AP$2,H65,0)),"",OFFSET($AQ$2,H65,0)+OFFSET($AU$2,H65,0))</f>
        <v/>
      </c>
      <c r="I68" s="2912"/>
      <c r="J68" s="2909" t="str">
        <f ca="1">IF(ISBLANK(OFFSET($AP$2,H65,0)),"",(OFFSET($AQ$2,H65,0)+OFFSET($AU$2,H65,0))-(OFFSET($AW$2,H65,0)+OFFSET($BA$2,H65,0)))</f>
        <v/>
      </c>
      <c r="K68" s="2910"/>
      <c r="L68" s="2911" t="str">
        <f ca="1">IF(ISBLANK(OFFSET($AP$2,L65,0)),"",OFFSET($AQ$2,L65,0)+OFFSET($AU$2,L65,0))</f>
        <v/>
      </c>
      <c r="M68" s="2912"/>
      <c r="N68" s="2909" t="str">
        <f ca="1">IF(ISBLANK(OFFSET($AP$2,L65,0)),"",(OFFSET($AQ$2,L65,0)+OFFSET($AU$2,L65,0))-(OFFSET($AW$2,L65,0)+OFFSET($BA$2,L65,0)))</f>
        <v/>
      </c>
      <c r="O68" s="2910"/>
      <c r="P68" s="2911" t="str">
        <f ca="1">IF(ISBLANK(OFFSET($AP$2,P65,0)),"",OFFSET($AQ$2,P65,0)+OFFSET($AU$2,P65,0))</f>
        <v/>
      </c>
      <c r="Q68" s="2912"/>
      <c r="R68" s="2909" t="str">
        <f ca="1">IF(ISBLANK(OFFSET($AP$2,P65,0)),"",(OFFSET($AQ$2,P65,0)+OFFSET($AU$2,P65,0))-(OFFSET($AW$2,P65,0)+OFFSET($BA$2,P65,0)))</f>
        <v/>
      </c>
      <c r="S68" s="2910"/>
      <c r="T68" s="2911" t="str">
        <f ca="1">IF(ISBLANK(OFFSET($AP$2,T65,0)),"",OFFSET($AQ$2,T65,0)+OFFSET($AU$2,T65,0))</f>
        <v/>
      </c>
      <c r="U68" s="2912"/>
      <c r="V68" s="2909" t="str">
        <f ca="1">IF(ISBLANK(OFFSET($AP$2,T65,0)),"",(OFFSET($AQ$2,T65,0)+OFFSET($AU$2,T65,0))-(OFFSET($AW$2,T65,0)+OFFSET($BA$2,T65,0)))</f>
        <v/>
      </c>
      <c r="W68" s="2910"/>
      <c r="X68" s="2911" t="str">
        <f ca="1">IF(ISBLANK(OFFSET($AP$2,X65,0)),"",OFFSET($AQ$2,X65,0)+OFFSET($AU$2,X65,0))</f>
        <v/>
      </c>
      <c r="Y68" s="2912"/>
      <c r="Z68" s="2909" t="str">
        <f ca="1">IF(ISBLANK(OFFSET($AP$2,X65,0)),"",(OFFSET($AQ$2,X65,0)+OFFSET($AU$2,X65,0))-(OFFSET($AW$2,X65,0)+OFFSET($BA$2,X65,0)))</f>
        <v/>
      </c>
      <c r="AA68" s="2910"/>
      <c r="AB68" s="65"/>
      <c r="AP68" s="61"/>
      <c r="AQ68" s="61"/>
      <c r="AR68" s="61"/>
      <c r="AS68" s="61"/>
      <c r="AT68" s="61"/>
      <c r="AU68" s="61"/>
      <c r="AV68" s="85"/>
      <c r="AW68" s="86"/>
      <c r="AX68" s="61"/>
      <c r="AY68" s="61"/>
      <c r="AZ68" s="61"/>
      <c r="BA68" s="61"/>
      <c r="BB68" s="61"/>
    </row>
    <row r="69" spans="1:54" ht="12.95" hidden="1" customHeight="1" x14ac:dyDescent="0.2">
      <c r="A69" s="65"/>
      <c r="B69" s="2913" t="s">
        <v>474</v>
      </c>
      <c r="C69" s="2914"/>
      <c r="D69" s="2911" t="str">
        <f ca="1">IF(ISBLANK(OFFSET($AP$2,D65,0)),"",OFFSET($AR$2,D65,0))</f>
        <v/>
      </c>
      <c r="E69" s="2912"/>
      <c r="F69" s="2909" t="str">
        <f ca="1">IF(ISBLANK(OFFSET($AP$2,D65,0)),"",OFFSET($AR$2,D65,0)-OFFSET($AX$2,D65,0))</f>
        <v/>
      </c>
      <c r="G69" s="2910"/>
      <c r="H69" s="2911" t="str">
        <f ca="1">IF(ISBLANK(OFFSET($AP$2,H65,0)),"",OFFSET($AR$2,H65,0))</f>
        <v/>
      </c>
      <c r="I69" s="2912"/>
      <c r="J69" s="2909" t="str">
        <f ca="1">IF(ISBLANK(OFFSET($AP$2,H65,0)),"",OFFSET($AR$2,H65,0)-OFFSET($AX$2,H65,0))</f>
        <v/>
      </c>
      <c r="K69" s="2910"/>
      <c r="L69" s="2911" t="str">
        <f ca="1">IF(ISBLANK(OFFSET($AP$2,L65,0)),"",OFFSET($AR$2,L65,0))</f>
        <v/>
      </c>
      <c r="M69" s="2912"/>
      <c r="N69" s="2909" t="str">
        <f ca="1">IF(ISBLANK(OFFSET($AP$2,L65,0)),"",OFFSET($AR$2,L65,0)-OFFSET($AX$2,L65,0))</f>
        <v/>
      </c>
      <c r="O69" s="2910"/>
      <c r="P69" s="2911" t="str">
        <f ca="1">IF(ISBLANK(OFFSET($AP$2,P65,0)),"",OFFSET($AR$2,P65,0))</f>
        <v/>
      </c>
      <c r="Q69" s="2912"/>
      <c r="R69" s="2909" t="str">
        <f ca="1">IF(ISBLANK(OFFSET($AP$2,P65,0)),"",OFFSET($AR$2,P65,0)-OFFSET($AX$2,P65,0))</f>
        <v/>
      </c>
      <c r="S69" s="2910"/>
      <c r="T69" s="2911" t="str">
        <f ca="1">IF(ISBLANK(OFFSET($AP$2,T65,0)),"",OFFSET($AR$2,T65,0))</f>
        <v/>
      </c>
      <c r="U69" s="2912"/>
      <c r="V69" s="2909" t="str">
        <f ca="1">IF(ISBLANK(OFFSET($AP$2,T65,0)),"",OFFSET($AR$2,T65,0)-OFFSET($AX$2,T65,0))</f>
        <v/>
      </c>
      <c r="W69" s="2910"/>
      <c r="X69" s="2911" t="str">
        <f ca="1">IF(ISBLANK(OFFSET($AP$2,X65,0)),"",OFFSET($AR$2,X65,0))</f>
        <v/>
      </c>
      <c r="Y69" s="2912"/>
      <c r="Z69" s="2909" t="str">
        <f ca="1">IF(ISBLANK(OFFSET($AP$2,X65,0)),"",OFFSET($AR$2,X65,0)-OFFSET($AX$2,X65,0))</f>
        <v/>
      </c>
      <c r="AA69" s="2910"/>
      <c r="AB69" s="65"/>
      <c r="AP69" s="61"/>
      <c r="AQ69" s="61"/>
      <c r="AR69" s="61"/>
      <c r="AS69" s="61"/>
      <c r="AT69" s="61"/>
      <c r="AU69" s="61"/>
      <c r="AV69" s="85"/>
      <c r="AW69" s="86"/>
      <c r="AX69" s="61"/>
      <c r="AY69" s="61"/>
      <c r="AZ69" s="61"/>
      <c r="BA69" s="61"/>
      <c r="BB69" s="61"/>
    </row>
    <row r="70" spans="1:54" ht="12.95" hidden="1" customHeight="1" x14ac:dyDescent="0.2">
      <c r="A70" s="65"/>
      <c r="B70" s="2913" t="s">
        <v>475</v>
      </c>
      <c r="C70" s="2914"/>
      <c r="D70" s="2911" t="str">
        <f ca="1">IF(ISBLANK(OFFSET($AP$2,D65,0)),"",OFFSET($AS$2,D65,0))</f>
        <v/>
      </c>
      <c r="E70" s="2912"/>
      <c r="F70" s="2909" t="str">
        <f ca="1">IF(ISBLANK(OFFSET($AP$2,D65,0)),"",OFFSET($AS$2,D65,0)-OFFSET($AY$2,D65,0))</f>
        <v/>
      </c>
      <c r="G70" s="2910"/>
      <c r="H70" s="2911" t="str">
        <f ca="1">IF(ISBLANK(OFFSET($AP$2,H65,0)),"",OFFSET($AS$2,H65,0))</f>
        <v/>
      </c>
      <c r="I70" s="2912"/>
      <c r="J70" s="2909" t="str">
        <f ca="1">IF(ISBLANK(OFFSET($AP$2,H65,0)),"",OFFSET($AS$2,H65,0)-OFFSET($AY$2,H65,0))</f>
        <v/>
      </c>
      <c r="K70" s="2910"/>
      <c r="L70" s="2911" t="str">
        <f ca="1">IF(ISBLANK(OFFSET($AP$2,L65,0)),"",OFFSET($AS$2,L65,0))</f>
        <v/>
      </c>
      <c r="M70" s="2912"/>
      <c r="N70" s="2909" t="str">
        <f ca="1">IF(ISBLANK(OFFSET($AP$2,L65,0)),"",OFFSET($AS$2,L65,0)-OFFSET($AY$2,L65,0))</f>
        <v/>
      </c>
      <c r="O70" s="2910"/>
      <c r="P70" s="2911" t="str">
        <f ca="1">IF(ISBLANK(OFFSET($AP$2,P65,0)),"",OFFSET($AS$2,P65,0))</f>
        <v/>
      </c>
      <c r="Q70" s="2912"/>
      <c r="R70" s="2909" t="str">
        <f ca="1">IF(ISBLANK(OFFSET($AP$2,P65,0)),"",OFFSET($AS$2,P65,0)-OFFSET($AY$2,P65,0))</f>
        <v/>
      </c>
      <c r="S70" s="2910"/>
      <c r="T70" s="2911" t="str">
        <f ca="1">IF(ISBLANK(OFFSET($AP$2,T65,0)),"",OFFSET($AS$2,T65,0))</f>
        <v/>
      </c>
      <c r="U70" s="2912"/>
      <c r="V70" s="2909" t="str">
        <f ca="1">IF(ISBLANK(OFFSET($AP$2,T65,0)),"",OFFSET($AS$2,T65,0)-OFFSET($AY$2,T65,0))</f>
        <v/>
      </c>
      <c r="W70" s="2910"/>
      <c r="X70" s="2911" t="str">
        <f ca="1">IF(ISBLANK(OFFSET($AP$2,X65,0)),"",OFFSET($AS$2,X65,0))</f>
        <v/>
      </c>
      <c r="Y70" s="2912"/>
      <c r="Z70" s="2909" t="str">
        <f ca="1">IF(ISBLANK(OFFSET($AP$2,X65,0)),"",OFFSET($AS$2,X65,0)-OFFSET($AY$2,X65,0))</f>
        <v/>
      </c>
      <c r="AA70" s="2910"/>
      <c r="AB70" s="65"/>
      <c r="AP70" s="61"/>
      <c r="AQ70" s="61"/>
      <c r="AR70" s="61"/>
      <c r="AS70" s="61"/>
      <c r="AT70" s="61"/>
      <c r="AU70" s="61"/>
      <c r="AV70" s="85"/>
      <c r="AW70" s="86"/>
      <c r="AX70" s="61"/>
      <c r="AY70" s="61"/>
      <c r="AZ70" s="61"/>
      <c r="BA70" s="61"/>
      <c r="BB70" s="61"/>
    </row>
    <row r="71" spans="1:54" ht="12.95" hidden="1" customHeight="1" x14ac:dyDescent="0.2">
      <c r="A71" s="65"/>
      <c r="B71" s="2913" t="s">
        <v>76</v>
      </c>
      <c r="C71" s="2914"/>
      <c r="D71" s="2911" t="str">
        <f ca="1">IF(ISBLANK(OFFSET($AP$2,D65,0)),"",OFFSET($AT$2,D65,0))</f>
        <v/>
      </c>
      <c r="E71" s="2912"/>
      <c r="F71" s="2909" t="str">
        <f ca="1">IF(ISBLANK(OFFSET($AP$2,D65,0)),"",OFFSET($AT$2,D65,0)-OFFSET($AZ$2,D65,0))</f>
        <v/>
      </c>
      <c r="G71" s="2910"/>
      <c r="H71" s="2911" t="str">
        <f ca="1">IF(ISBLANK(OFFSET($AP$2,H65,0)),"",OFFSET($AT$2,H65,0))</f>
        <v/>
      </c>
      <c r="I71" s="2912"/>
      <c r="J71" s="2909" t="str">
        <f ca="1">IF(ISBLANK(OFFSET($AP$2,H65,0)),"",OFFSET($AT$2,H65,0)-OFFSET($AZ$2,H65,0))</f>
        <v/>
      </c>
      <c r="K71" s="2910"/>
      <c r="L71" s="2911" t="str">
        <f ca="1">IF(ISBLANK(OFFSET($AP$2,L65,0)),"",OFFSET($AT$2,L65,0))</f>
        <v/>
      </c>
      <c r="M71" s="2912"/>
      <c r="N71" s="2909" t="str">
        <f ca="1">IF(ISBLANK(OFFSET($AP$2,L65,0)),"",OFFSET($AT$2,L65,0)-OFFSET($AZ$2,L65,0))</f>
        <v/>
      </c>
      <c r="O71" s="2910"/>
      <c r="P71" s="2911" t="str">
        <f ca="1">IF(ISBLANK(OFFSET($AP$2,P65,0)),"",OFFSET($AT$2,P65,0))</f>
        <v/>
      </c>
      <c r="Q71" s="2912"/>
      <c r="R71" s="2909" t="str">
        <f ca="1">IF(ISBLANK(OFFSET($AP$2,P65,0)),"",OFFSET($AT$2,P65,0)-OFFSET($AZ$2,P65,0))</f>
        <v/>
      </c>
      <c r="S71" s="2910"/>
      <c r="T71" s="2911" t="str">
        <f ca="1">IF(ISBLANK(OFFSET($AP$2,T65,0)),"",OFFSET($AT$2,T65,0))</f>
        <v/>
      </c>
      <c r="U71" s="2912"/>
      <c r="V71" s="2909" t="str">
        <f ca="1">IF(ISBLANK(OFFSET($AP$2,T65,0)),"",OFFSET($AT$2,T65,0)-OFFSET($AZ$2,T65,0))</f>
        <v/>
      </c>
      <c r="W71" s="2910"/>
      <c r="X71" s="2911" t="str">
        <f ca="1">IF(ISBLANK(OFFSET($AP$2,X65,0)),"",OFFSET($AT$2,X65,0))</f>
        <v/>
      </c>
      <c r="Y71" s="2912"/>
      <c r="Z71" s="2909" t="str">
        <f ca="1">IF(ISBLANK(OFFSET($AP$2,X65,0)),"",OFFSET($AT$2,X65,0)-OFFSET($AZ$2,X65,0))</f>
        <v/>
      </c>
      <c r="AA71" s="2910"/>
      <c r="AB71" s="65"/>
      <c r="AP71" s="61"/>
      <c r="AQ71" s="61"/>
      <c r="AR71" s="61"/>
      <c r="AS71" s="61"/>
      <c r="AT71" s="61"/>
      <c r="AU71" s="61"/>
      <c r="AV71" s="85"/>
      <c r="AW71" s="86"/>
      <c r="AX71" s="61"/>
      <c r="AY71" s="61"/>
      <c r="AZ71" s="61"/>
      <c r="BA71" s="61"/>
      <c r="BB71" s="61"/>
    </row>
    <row r="72" spans="1:54" ht="12.95" hidden="1" customHeight="1" thickBot="1" x14ac:dyDescent="0.25">
      <c r="A72" s="65"/>
      <c r="B72" s="2929" t="s">
        <v>476</v>
      </c>
      <c r="C72" s="2930"/>
      <c r="D72" s="2922" t="str">
        <f ca="1">IF(ISBLANK(OFFSET($AP$2,D65,0)),"",OFFSET($AV$2,D65,0))</f>
        <v/>
      </c>
      <c r="E72" s="2923"/>
      <c r="F72" s="2924" t="str">
        <f ca="1">IF(ISBLANK(OFFSET($AP$2,D65,0)),"",OFFSET($AV$2,D65,0)-OFFSET($BB$2,D65,0))</f>
        <v/>
      </c>
      <c r="G72" s="2925"/>
      <c r="H72" s="2922" t="str">
        <f ca="1">IF(ISBLANK(OFFSET($AP$2,H65,0)),"",OFFSET($AV$2,H65,0))</f>
        <v/>
      </c>
      <c r="I72" s="2923"/>
      <c r="J72" s="2924" t="str">
        <f ca="1">IF(ISBLANK(OFFSET($AP$2,H65,0)),"",OFFSET($AV$2,H65,0)-OFFSET($BB$2,H65,0))</f>
        <v/>
      </c>
      <c r="K72" s="2925"/>
      <c r="L72" s="2922" t="str">
        <f ca="1">IF(ISBLANK(OFFSET($AP$2,L65,0)),"",OFFSET($AV$2,L65,0))</f>
        <v/>
      </c>
      <c r="M72" s="2923"/>
      <c r="N72" s="2924" t="str">
        <f ca="1">IF(ISBLANK(OFFSET($AP$2,L65,0)),"",OFFSET($AV$2,L65,0)-OFFSET($BB$2,L65,0))</f>
        <v/>
      </c>
      <c r="O72" s="2925"/>
      <c r="P72" s="2922" t="str">
        <f ca="1">IF(ISBLANK(OFFSET($AP$2,P65,0)),"",OFFSET($AV$2,P65,0))</f>
        <v/>
      </c>
      <c r="Q72" s="2923"/>
      <c r="R72" s="2924" t="str">
        <f ca="1">IF(ISBLANK(OFFSET($AP$2,P65,0)),"",OFFSET($AV$2,P65,0)-OFFSET($BB$2,P65,0))</f>
        <v/>
      </c>
      <c r="S72" s="2925"/>
      <c r="T72" s="2922" t="str">
        <f ca="1">IF(ISBLANK(OFFSET($AP$2,T65,0)),"",OFFSET($AV$2,T65,0))</f>
        <v/>
      </c>
      <c r="U72" s="2923"/>
      <c r="V72" s="2924" t="str">
        <f ca="1">IF(ISBLANK(OFFSET($AP$2,T65,0)),"",OFFSET($AV$2,T65,0)-OFFSET($BB$2,T65,0))</f>
        <v/>
      </c>
      <c r="W72" s="2925"/>
      <c r="X72" s="2922" t="str">
        <f ca="1">IF(ISBLANK(OFFSET($AP$2,X65,0)),"",OFFSET($AV$2,X65,0))</f>
        <v/>
      </c>
      <c r="Y72" s="2923"/>
      <c r="Z72" s="2924" t="str">
        <f ca="1">IF(ISBLANK(OFFSET($AP$2,X65,0)),"",OFFSET($AV$2,X65,0)-OFFSET($BB$2,X65,0))</f>
        <v/>
      </c>
      <c r="AA72" s="2925"/>
      <c r="AB72" s="65"/>
      <c r="AP72" s="61"/>
      <c r="AQ72" s="61"/>
      <c r="AR72" s="61"/>
      <c r="AS72" s="61"/>
      <c r="AT72" s="61"/>
      <c r="AU72" s="61"/>
      <c r="AV72" s="85"/>
      <c r="AW72" s="86"/>
      <c r="AX72" s="61"/>
      <c r="AY72" s="61"/>
      <c r="AZ72" s="61"/>
      <c r="BA72" s="61"/>
      <c r="BB72" s="61"/>
    </row>
    <row r="73" spans="1:54" ht="12.95" hidden="1" customHeight="1" thickBot="1" x14ac:dyDescent="0.25">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5" hidden="1" customHeight="1" x14ac:dyDescent="0.2">
      <c r="A74" s="65"/>
      <c r="B74" s="47"/>
      <c r="C74" s="48"/>
      <c r="D74" s="2926" t="str">
        <f ca="1">IF(ISBLANK(OFFSET($AP$2,D73,0)),"",CONCATENATE("Seq. ",OFFSET($AP$2,D73,0)))</f>
        <v/>
      </c>
      <c r="E74" s="2927"/>
      <c r="F74" s="2927"/>
      <c r="G74" s="2928"/>
      <c r="H74" s="2926" t="str">
        <f ca="1">IF(ISBLANK(OFFSET($AP$2,H73,0)),"",CONCATENATE("Seq. ",OFFSET($AP$2,H73,0)))</f>
        <v/>
      </c>
      <c r="I74" s="2927"/>
      <c r="J74" s="2927"/>
      <c r="K74" s="2928"/>
      <c r="L74" s="2926" t="str">
        <f ca="1">IF(ISBLANK(OFFSET($AP$2,L73,0)),"",CONCATENATE("Seq. ",OFFSET($AP$2,L73,0)))</f>
        <v/>
      </c>
      <c r="M74" s="2927"/>
      <c r="N74" s="2927"/>
      <c r="O74" s="2928"/>
      <c r="P74" s="2926" t="str">
        <f ca="1">IF(ISBLANK(OFFSET($AP$2,P73,0)),"",CONCATENATE("Seq. ",OFFSET($AP$2,P73,0)))</f>
        <v/>
      </c>
      <c r="Q74" s="2927"/>
      <c r="R74" s="2927"/>
      <c r="S74" s="2928"/>
      <c r="T74" s="2926" t="str">
        <f ca="1">IF(ISBLANK(OFFSET($AP$2,T73,0)),"",CONCATENATE("Seq. ",OFFSET($AP$2,T73,0)))</f>
        <v/>
      </c>
      <c r="U74" s="2927"/>
      <c r="V74" s="2927"/>
      <c r="W74" s="2928"/>
      <c r="X74" s="2926" t="str">
        <f ca="1">IF(ISBLANK(OFFSET($AP$2,X73,0)),"",CONCATENATE("Seq. ",OFFSET($AP$2,X73,0)))</f>
        <v/>
      </c>
      <c r="Y74" s="2927"/>
      <c r="Z74" s="2927"/>
      <c r="AA74" s="2928"/>
      <c r="AB74" s="65"/>
      <c r="AP74" s="61"/>
      <c r="AQ74" s="61"/>
      <c r="AR74" s="61"/>
      <c r="AS74" s="61"/>
      <c r="AT74" s="61"/>
      <c r="AU74" s="61"/>
      <c r="AV74" s="85"/>
      <c r="AW74" s="86"/>
      <c r="AX74" s="61"/>
      <c r="AY74" s="61"/>
      <c r="AZ74" s="61"/>
      <c r="BA74" s="61"/>
      <c r="BB74" s="61"/>
    </row>
    <row r="75" spans="1:54" ht="12.95" hidden="1" customHeight="1" thickBot="1" x14ac:dyDescent="0.25">
      <c r="A75" s="65"/>
      <c r="B75" s="47"/>
      <c r="C75" s="48"/>
      <c r="D75" s="2915" t="s">
        <v>477</v>
      </c>
      <c r="E75" s="2916"/>
      <c r="F75" s="2916" t="s">
        <v>478</v>
      </c>
      <c r="G75" s="2917"/>
      <c r="H75" s="2915" t="s">
        <v>477</v>
      </c>
      <c r="I75" s="2916"/>
      <c r="J75" s="2916" t="s">
        <v>478</v>
      </c>
      <c r="K75" s="2917"/>
      <c r="L75" s="2915" t="s">
        <v>477</v>
      </c>
      <c r="M75" s="2916"/>
      <c r="N75" s="2916" t="s">
        <v>478</v>
      </c>
      <c r="O75" s="2917"/>
      <c r="P75" s="2915" t="s">
        <v>477</v>
      </c>
      <c r="Q75" s="2916"/>
      <c r="R75" s="2916" t="s">
        <v>478</v>
      </c>
      <c r="S75" s="2917"/>
      <c r="T75" s="2915" t="s">
        <v>477</v>
      </c>
      <c r="U75" s="2916"/>
      <c r="V75" s="2916" t="s">
        <v>478</v>
      </c>
      <c r="W75" s="2917"/>
      <c r="X75" s="2915" t="s">
        <v>477</v>
      </c>
      <c r="Y75" s="2916"/>
      <c r="Z75" s="2916" t="s">
        <v>478</v>
      </c>
      <c r="AA75" s="2917"/>
      <c r="AB75" s="65"/>
      <c r="AP75" s="61"/>
      <c r="AQ75" s="61"/>
      <c r="AR75" s="61"/>
      <c r="AS75" s="61"/>
      <c r="AT75" s="61"/>
      <c r="AU75" s="61"/>
      <c r="AV75" s="85"/>
      <c r="AW75" s="86"/>
      <c r="AX75" s="61"/>
      <c r="AY75" s="61"/>
      <c r="AZ75" s="61"/>
      <c r="BA75" s="61"/>
      <c r="BB75" s="61"/>
    </row>
    <row r="76" spans="1:54" ht="12.95" hidden="1" customHeight="1" x14ac:dyDescent="0.2">
      <c r="A76" s="65"/>
      <c r="B76" s="2920" t="s">
        <v>74</v>
      </c>
      <c r="C76" s="2921"/>
      <c r="D76" s="2911" t="str">
        <f ca="1">IF(ISBLANK(OFFSET($AP$2,D73,0)),"",OFFSET($AQ$2,D73,0)+OFFSET($AU$2,D73,0))</f>
        <v/>
      </c>
      <c r="E76" s="2912"/>
      <c r="F76" s="2909" t="str">
        <f ca="1">IF(ISBLANK(OFFSET($AP$2,D73,0)),"",(OFFSET($AQ$2,D73,0)+OFFSET($AU$2,D73,0))-(OFFSET($AW$2,D73,0)+OFFSET($BA$2,D73,0)))</f>
        <v/>
      </c>
      <c r="G76" s="2910"/>
      <c r="H76" s="2911" t="str">
        <f ca="1">IF(ISBLANK(OFFSET($AP$2,H73,0)),"",OFFSET($AQ$2,H73,0)+OFFSET($AU$2,H73,0))</f>
        <v/>
      </c>
      <c r="I76" s="2912"/>
      <c r="J76" s="2909" t="str">
        <f ca="1">IF(ISBLANK(OFFSET($AP$2,H73,0)),"",(OFFSET($AQ$2,H73,0)+OFFSET($AU$2,H73,0))-(OFFSET($AW$2,H73,0)+OFFSET($BA$2,H73,0)))</f>
        <v/>
      </c>
      <c r="K76" s="2910"/>
      <c r="L76" s="2911" t="str">
        <f ca="1">IF(ISBLANK(OFFSET($AP$2,L73,0)),"",OFFSET($AQ$2,L73,0)+OFFSET($AU$2,L73,0))</f>
        <v/>
      </c>
      <c r="M76" s="2912"/>
      <c r="N76" s="2909" t="str">
        <f ca="1">IF(ISBLANK(OFFSET($AP$2,L73,0)),"",(OFFSET($AQ$2,L73,0)+OFFSET($AU$2,L73,0))-(OFFSET($AW$2,L73,0)+OFFSET($BA$2,L73,0)))</f>
        <v/>
      </c>
      <c r="O76" s="2910"/>
      <c r="P76" s="2911" t="str">
        <f ca="1">IF(ISBLANK(OFFSET($AP$2,P73,0)),"",OFFSET($AQ$2,P73,0)+OFFSET($AU$2,P73,0))</f>
        <v/>
      </c>
      <c r="Q76" s="2912"/>
      <c r="R76" s="2909" t="str">
        <f ca="1">IF(ISBLANK(OFFSET($AP$2,P73,0)),"",(OFFSET($AQ$2,P73,0)+OFFSET($AU$2,P73,0))-(OFFSET($AW$2,P73,0)+OFFSET($BA$2,P73,0)))</f>
        <v/>
      </c>
      <c r="S76" s="2910"/>
      <c r="T76" s="2911" t="str">
        <f ca="1">IF(ISBLANK(OFFSET($AP$2,T73,0)),"",OFFSET($AQ$2,T73,0)+OFFSET($AU$2,T73,0))</f>
        <v/>
      </c>
      <c r="U76" s="2912"/>
      <c r="V76" s="2909" t="str">
        <f ca="1">IF(ISBLANK(OFFSET($AP$2,T73,0)),"",(OFFSET($AQ$2,T73,0)+OFFSET($AU$2,T73,0))-(OFFSET($AW$2,T73,0)+OFFSET($BA$2,T73,0)))</f>
        <v/>
      </c>
      <c r="W76" s="2910"/>
      <c r="X76" s="2911" t="str">
        <f ca="1">IF(ISBLANK(OFFSET($AP$2,X73,0)),"",OFFSET($AQ$2,X73,0)+OFFSET($AU$2,X73,0))</f>
        <v/>
      </c>
      <c r="Y76" s="2912"/>
      <c r="Z76" s="2909" t="str">
        <f ca="1">IF(ISBLANK(OFFSET($AP$2,X73,0)),"",(OFFSET($AQ$2,X73,0)+OFFSET($AU$2,X73,0))-(OFFSET($AW$2,X73,0)+OFFSET($BA$2,X73,0)))</f>
        <v/>
      </c>
      <c r="AA76" s="2910"/>
      <c r="AB76" s="65"/>
      <c r="AP76" s="61"/>
      <c r="AQ76" s="61"/>
      <c r="AR76" s="61"/>
      <c r="AS76" s="61"/>
      <c r="AT76" s="61"/>
      <c r="AU76" s="61"/>
      <c r="AV76" s="85"/>
      <c r="AW76" s="86"/>
      <c r="AX76" s="61"/>
      <c r="AY76" s="61"/>
      <c r="AZ76" s="61"/>
      <c r="BA76" s="61"/>
      <c r="BB76" s="61"/>
    </row>
    <row r="77" spans="1:54" ht="12.95" hidden="1" customHeight="1" x14ac:dyDescent="0.2">
      <c r="A77" s="65"/>
      <c r="B77" s="2913" t="s">
        <v>474</v>
      </c>
      <c r="C77" s="2914"/>
      <c r="D77" s="2911" t="str">
        <f ca="1">IF(ISBLANK(OFFSET($AP$2,D73,0)),"",OFFSET($AR$2,D73,0))</f>
        <v/>
      </c>
      <c r="E77" s="2912"/>
      <c r="F77" s="2909" t="str">
        <f ca="1">IF(ISBLANK(OFFSET($AP$2,D73,0)),"",OFFSET($AR$2,D73,0)-OFFSET($AX$2,D73,0))</f>
        <v/>
      </c>
      <c r="G77" s="2910"/>
      <c r="H77" s="2911" t="str">
        <f ca="1">IF(ISBLANK(OFFSET($AP$2,H73,0)),"",OFFSET($AR$2,H73,0))</f>
        <v/>
      </c>
      <c r="I77" s="2912"/>
      <c r="J77" s="2909" t="str">
        <f ca="1">IF(ISBLANK(OFFSET($AP$2,H73,0)),"",OFFSET($AR$2,H73,0)-OFFSET($AX$2,H73,0))</f>
        <v/>
      </c>
      <c r="K77" s="2910"/>
      <c r="L77" s="2911" t="str">
        <f ca="1">IF(ISBLANK(OFFSET($AP$2,L73,0)),"",OFFSET($AR$2,L73,0))</f>
        <v/>
      </c>
      <c r="M77" s="2912"/>
      <c r="N77" s="2909" t="str">
        <f ca="1">IF(ISBLANK(OFFSET($AP$2,L73,0)),"",OFFSET($AR$2,L73,0)-OFFSET($AX$2,L73,0))</f>
        <v/>
      </c>
      <c r="O77" s="2910"/>
      <c r="P77" s="2911" t="str">
        <f ca="1">IF(ISBLANK(OFFSET($AP$2,P73,0)),"",OFFSET($AR$2,P73,0))</f>
        <v/>
      </c>
      <c r="Q77" s="2912"/>
      <c r="R77" s="2909" t="str">
        <f ca="1">IF(ISBLANK(OFFSET($AP$2,P73,0)),"",OFFSET($AR$2,P73,0)-OFFSET($AX$2,P73,0))</f>
        <v/>
      </c>
      <c r="S77" s="2910"/>
      <c r="T77" s="2911" t="str">
        <f ca="1">IF(ISBLANK(OFFSET($AP$2,T73,0)),"",OFFSET($AR$2,T73,0))</f>
        <v/>
      </c>
      <c r="U77" s="2912"/>
      <c r="V77" s="2909" t="str">
        <f ca="1">IF(ISBLANK(OFFSET($AP$2,T73,0)),"",OFFSET($AR$2,T73,0)-OFFSET($AX$2,T73,0))</f>
        <v/>
      </c>
      <c r="W77" s="2910"/>
      <c r="X77" s="2911" t="str">
        <f ca="1">IF(ISBLANK(OFFSET($AP$2,X73,0)),"",OFFSET($AR$2,X73,0))</f>
        <v/>
      </c>
      <c r="Y77" s="2912"/>
      <c r="Z77" s="2909" t="str">
        <f ca="1">IF(ISBLANK(OFFSET($AP$2,X73,0)),"",OFFSET($AR$2,X73,0)-OFFSET($AX$2,X73,0))</f>
        <v/>
      </c>
      <c r="AA77" s="2910"/>
      <c r="AB77" s="65"/>
      <c r="AP77" s="61"/>
      <c r="AQ77" s="61"/>
      <c r="AR77" s="61"/>
      <c r="AS77" s="61"/>
      <c r="AT77" s="61"/>
      <c r="AU77" s="61"/>
      <c r="AV77" s="85"/>
      <c r="AW77" s="86"/>
      <c r="AX77" s="61"/>
      <c r="AY77" s="61"/>
      <c r="AZ77" s="61"/>
      <c r="BA77" s="61"/>
      <c r="BB77" s="61"/>
    </row>
    <row r="78" spans="1:54" ht="12.95" hidden="1" customHeight="1" x14ac:dyDescent="0.2">
      <c r="A78" s="65"/>
      <c r="B78" s="2913" t="s">
        <v>475</v>
      </c>
      <c r="C78" s="2914"/>
      <c r="D78" s="2911" t="str">
        <f ca="1">IF(ISBLANK(OFFSET($AP$2,D73,0)),"",OFFSET($AS$2,D73,0))</f>
        <v/>
      </c>
      <c r="E78" s="2912"/>
      <c r="F78" s="2909" t="str">
        <f ca="1">IF(ISBLANK(OFFSET($AP$2,D73,0)),"",OFFSET($AS$2,D73,0)-OFFSET($AY$2,D73,0))</f>
        <v/>
      </c>
      <c r="G78" s="2910"/>
      <c r="H78" s="2911" t="str">
        <f ca="1">IF(ISBLANK(OFFSET($AP$2,H73,0)),"",OFFSET($AS$2,H73,0))</f>
        <v/>
      </c>
      <c r="I78" s="2912"/>
      <c r="J78" s="2909" t="str">
        <f ca="1">IF(ISBLANK(OFFSET($AP$2,H73,0)),"",OFFSET($AS$2,H73,0)-OFFSET($AY$2,H73,0))</f>
        <v/>
      </c>
      <c r="K78" s="2910"/>
      <c r="L78" s="2911" t="str">
        <f ca="1">IF(ISBLANK(OFFSET($AP$2,L73,0)),"",OFFSET($AS$2,L73,0))</f>
        <v/>
      </c>
      <c r="M78" s="2912"/>
      <c r="N78" s="2909" t="str">
        <f ca="1">IF(ISBLANK(OFFSET($AP$2,L73,0)),"",OFFSET($AS$2,L73,0)-OFFSET($AY$2,L73,0))</f>
        <v/>
      </c>
      <c r="O78" s="2910"/>
      <c r="P78" s="2911" t="str">
        <f ca="1">IF(ISBLANK(OFFSET($AP$2,P73,0)),"",OFFSET($AS$2,P73,0))</f>
        <v/>
      </c>
      <c r="Q78" s="2912"/>
      <c r="R78" s="2909" t="str">
        <f ca="1">IF(ISBLANK(OFFSET($AP$2,P73,0)),"",OFFSET($AS$2,P73,0)-OFFSET($AY$2,P73,0))</f>
        <v/>
      </c>
      <c r="S78" s="2910"/>
      <c r="T78" s="2911" t="str">
        <f ca="1">IF(ISBLANK(OFFSET($AP$2,T73,0)),"",OFFSET($AS$2,T73,0))</f>
        <v/>
      </c>
      <c r="U78" s="2912"/>
      <c r="V78" s="2909" t="str">
        <f ca="1">IF(ISBLANK(OFFSET($AP$2,T73,0)),"",OFFSET($AS$2,T73,0)-OFFSET($AY$2,T73,0))</f>
        <v/>
      </c>
      <c r="W78" s="2910"/>
      <c r="X78" s="2911" t="str">
        <f ca="1">IF(ISBLANK(OFFSET($AP$2,X73,0)),"",OFFSET($AS$2,X73,0))</f>
        <v/>
      </c>
      <c r="Y78" s="2912"/>
      <c r="Z78" s="2909" t="str">
        <f ca="1">IF(ISBLANK(OFFSET($AP$2,X73,0)),"",OFFSET($AS$2,X73,0)-OFFSET($AY$2,X73,0))</f>
        <v/>
      </c>
      <c r="AA78" s="2910"/>
      <c r="AB78" s="65"/>
      <c r="AP78" s="61"/>
      <c r="AQ78" s="61"/>
      <c r="AR78" s="61"/>
      <c r="AS78" s="61"/>
      <c r="AT78" s="61"/>
      <c r="AU78" s="61"/>
      <c r="AV78" s="85"/>
      <c r="AW78" s="86"/>
      <c r="AX78" s="61"/>
      <c r="AY78" s="61"/>
      <c r="AZ78" s="61"/>
      <c r="BA78" s="61"/>
      <c r="BB78" s="61"/>
    </row>
    <row r="79" spans="1:54" ht="12.95" hidden="1" customHeight="1" x14ac:dyDescent="0.2">
      <c r="A79" s="65"/>
      <c r="B79" s="2913" t="s">
        <v>76</v>
      </c>
      <c r="C79" s="2914"/>
      <c r="D79" s="2911" t="str">
        <f ca="1">IF(ISBLANK(OFFSET($AP$2,D73,0)),"",OFFSET($AT$2,D73,0))</f>
        <v/>
      </c>
      <c r="E79" s="2912"/>
      <c r="F79" s="2909" t="str">
        <f ca="1">IF(ISBLANK(OFFSET($AP$2,D73,0)),"",OFFSET($AT$2,D73,0)-OFFSET($AZ$2,D73,0))</f>
        <v/>
      </c>
      <c r="G79" s="2910"/>
      <c r="H79" s="2911" t="str">
        <f ca="1">IF(ISBLANK(OFFSET($AP$2,H73,0)),"",OFFSET($AT$2,H73,0))</f>
        <v/>
      </c>
      <c r="I79" s="2912"/>
      <c r="J79" s="2909" t="str">
        <f ca="1">IF(ISBLANK(OFFSET($AP$2,H73,0)),"",OFFSET($AT$2,H73,0)-OFFSET($AZ$2,H73,0))</f>
        <v/>
      </c>
      <c r="K79" s="2910"/>
      <c r="L79" s="2911" t="str">
        <f ca="1">IF(ISBLANK(OFFSET($AP$2,L73,0)),"",OFFSET($AT$2,L73,0))</f>
        <v/>
      </c>
      <c r="M79" s="2912"/>
      <c r="N79" s="2909" t="str">
        <f ca="1">IF(ISBLANK(OFFSET($AP$2,L73,0)),"",OFFSET($AT$2,L73,0)-OFFSET($AZ$2,L73,0))</f>
        <v/>
      </c>
      <c r="O79" s="2910"/>
      <c r="P79" s="2911" t="str">
        <f ca="1">IF(ISBLANK(OFFSET($AP$2,P73,0)),"",OFFSET($AT$2,P73,0))</f>
        <v/>
      </c>
      <c r="Q79" s="2912"/>
      <c r="R79" s="2909" t="str">
        <f ca="1">IF(ISBLANK(OFFSET($AP$2,P73,0)),"",OFFSET($AT$2,P73,0)-OFFSET($AZ$2,P73,0))</f>
        <v/>
      </c>
      <c r="S79" s="2910"/>
      <c r="T79" s="2911" t="str">
        <f ca="1">IF(ISBLANK(OFFSET($AP$2,T73,0)),"",OFFSET($AT$2,T73,0))</f>
        <v/>
      </c>
      <c r="U79" s="2912"/>
      <c r="V79" s="2909" t="str">
        <f ca="1">IF(ISBLANK(OFFSET($AP$2,T73,0)),"",OFFSET($AT$2,T73,0)-OFFSET($AZ$2,T73,0))</f>
        <v/>
      </c>
      <c r="W79" s="2910"/>
      <c r="X79" s="2911" t="str">
        <f ca="1">IF(ISBLANK(OFFSET($AP$2,X73,0)),"",OFFSET($AT$2,X73,0))</f>
        <v/>
      </c>
      <c r="Y79" s="2912"/>
      <c r="Z79" s="2909" t="str">
        <f ca="1">IF(ISBLANK(OFFSET($AP$2,X73,0)),"",OFFSET($AT$2,X73,0)-OFFSET($AZ$2,X73,0))</f>
        <v/>
      </c>
      <c r="AA79" s="2910"/>
      <c r="AB79" s="65"/>
      <c r="AP79" s="61"/>
      <c r="AQ79" s="61"/>
      <c r="AR79" s="61"/>
      <c r="AS79" s="61"/>
      <c r="AT79" s="61"/>
      <c r="AU79" s="61"/>
      <c r="AV79" s="85"/>
      <c r="AW79" s="86"/>
      <c r="AX79" s="61"/>
      <c r="AY79" s="61"/>
      <c r="AZ79" s="61"/>
      <c r="BA79" s="61"/>
      <c r="BB79" s="61"/>
    </row>
    <row r="80" spans="1:54" ht="12.95" hidden="1" customHeight="1" thickBot="1" x14ac:dyDescent="0.25">
      <c r="A80" s="65"/>
      <c r="B80" s="2929" t="s">
        <v>476</v>
      </c>
      <c r="C80" s="2930"/>
      <c r="D80" s="2922" t="str">
        <f ca="1">IF(ISBLANK(OFFSET($AP$2,D73,0)),"",OFFSET($AV$2,D73,0))</f>
        <v/>
      </c>
      <c r="E80" s="2923"/>
      <c r="F80" s="2924" t="str">
        <f ca="1">IF(ISBLANK(OFFSET($AP$2,D73,0)),"",OFFSET($AV$2,D73,0)-OFFSET($BB$2,D73,0))</f>
        <v/>
      </c>
      <c r="G80" s="2925"/>
      <c r="H80" s="2922" t="str">
        <f ca="1">IF(ISBLANK(OFFSET($AP$2,H73,0)),"",OFFSET($AV$2,H73,0))</f>
        <v/>
      </c>
      <c r="I80" s="2923"/>
      <c r="J80" s="2924" t="str">
        <f ca="1">IF(ISBLANK(OFFSET($AP$2,H73,0)),"",OFFSET($AV$2,H73,0)-OFFSET($BB$2,H73,0))</f>
        <v/>
      </c>
      <c r="K80" s="2925"/>
      <c r="L80" s="2922" t="str">
        <f ca="1">IF(ISBLANK(OFFSET($AP$2,L73,0)),"",OFFSET($AV$2,L73,0))</f>
        <v/>
      </c>
      <c r="M80" s="2923"/>
      <c r="N80" s="2924" t="str">
        <f ca="1">IF(ISBLANK(OFFSET($AP$2,L73,0)),"",OFFSET($AV$2,L73,0)-OFFSET($BB$2,L73,0))</f>
        <v/>
      </c>
      <c r="O80" s="2925"/>
      <c r="P80" s="2922" t="str">
        <f ca="1">IF(ISBLANK(OFFSET($AP$2,P73,0)),"",OFFSET($AV$2,P73,0))</f>
        <v/>
      </c>
      <c r="Q80" s="2923"/>
      <c r="R80" s="2924" t="str">
        <f ca="1">IF(ISBLANK(OFFSET($AP$2,P73,0)),"",OFFSET($AV$2,P73,0)-OFFSET($BB$2,P73,0))</f>
        <v/>
      </c>
      <c r="S80" s="2925"/>
      <c r="T80" s="2922" t="str">
        <f ca="1">IF(ISBLANK(OFFSET($AP$2,T73,0)),"",OFFSET($AV$2,T73,0))</f>
        <v/>
      </c>
      <c r="U80" s="2923"/>
      <c r="V80" s="2924" t="str">
        <f ca="1">IF(ISBLANK(OFFSET($AP$2,T73,0)),"",OFFSET($AV$2,T73,0)-OFFSET($BB$2,T73,0))</f>
        <v/>
      </c>
      <c r="W80" s="2925"/>
      <c r="X80" s="2922" t="str">
        <f ca="1">IF(ISBLANK(OFFSET($AP$2,X73,0)),"",OFFSET($AV$2,X73,0))</f>
        <v/>
      </c>
      <c r="Y80" s="2923"/>
      <c r="Z80" s="2924" t="str">
        <f ca="1">IF(ISBLANK(OFFSET($AP$2,X73,0)),"",OFFSET($AV$2,X73,0)-OFFSET($BB$2,X73,0))</f>
        <v/>
      </c>
      <c r="AA80" s="2925"/>
      <c r="AB80" s="65"/>
      <c r="AP80" s="61"/>
      <c r="AQ80" s="61"/>
      <c r="AR80" s="61"/>
      <c r="AS80" s="61"/>
      <c r="AT80" s="61"/>
      <c r="AU80" s="61"/>
      <c r="AV80" s="85"/>
      <c r="AW80" s="86"/>
      <c r="AX80" s="61"/>
      <c r="AY80" s="61"/>
      <c r="AZ80" s="61"/>
      <c r="BA80" s="61"/>
      <c r="BB80" s="61"/>
    </row>
    <row r="81" spans="1:54" ht="12.95" hidden="1" customHeight="1" thickBot="1" x14ac:dyDescent="0.25">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5" hidden="1" customHeight="1" x14ac:dyDescent="0.2">
      <c r="A82" s="65"/>
      <c r="B82" s="47"/>
      <c r="C82" s="48"/>
      <c r="D82" s="2926" t="str">
        <f ca="1">IF(ISBLANK(OFFSET($AP$2,D81,0)),"",CONCATENATE("Seq. ",OFFSET($AP$2,D81,0)))</f>
        <v/>
      </c>
      <c r="E82" s="2927"/>
      <c r="F82" s="2927"/>
      <c r="G82" s="2928"/>
      <c r="H82" s="2926" t="str">
        <f ca="1">IF(ISBLANK(OFFSET($AP$2,H81,0)),"",CONCATENATE("Seq. ",OFFSET($AP$2,H81,0)))</f>
        <v/>
      </c>
      <c r="I82" s="2927"/>
      <c r="J82" s="2927"/>
      <c r="K82" s="2928"/>
      <c r="L82" s="2926" t="str">
        <f ca="1">IF(ISBLANK(OFFSET($AP$2,L81,0)),"",CONCATENATE("Seq. ",OFFSET($AP$2,L81,0)))</f>
        <v/>
      </c>
      <c r="M82" s="2927"/>
      <c r="N82" s="2927"/>
      <c r="O82" s="2928"/>
      <c r="P82" s="2926" t="str">
        <f ca="1">IF(ISBLANK(OFFSET($AP$2,P81,0)),"",CONCATENATE("Seq. ",OFFSET($AP$2,P81,0)))</f>
        <v/>
      </c>
      <c r="Q82" s="2927"/>
      <c r="R82" s="2927"/>
      <c r="S82" s="2928"/>
      <c r="T82" s="2926" t="str">
        <f ca="1">IF(ISBLANK(OFFSET($AP$2,T81,0)),"",CONCATENATE("Seq. ",OFFSET($AP$2,T81,0)))</f>
        <v/>
      </c>
      <c r="U82" s="2927"/>
      <c r="V82" s="2927"/>
      <c r="W82" s="2928"/>
      <c r="X82" s="2926" t="str">
        <f ca="1">IF(ISBLANK(OFFSET($AP$2,X81,0)),"",CONCATENATE("Seq. ",OFFSET($AP$2,X81,0)))</f>
        <v/>
      </c>
      <c r="Y82" s="2927"/>
      <c r="Z82" s="2927"/>
      <c r="AA82" s="2928"/>
      <c r="AB82" s="65"/>
      <c r="AP82" s="61"/>
      <c r="AQ82" s="61"/>
      <c r="AR82" s="61"/>
      <c r="AS82" s="61"/>
      <c r="AT82" s="61"/>
      <c r="AU82" s="61"/>
      <c r="AV82" s="85"/>
      <c r="AW82" s="86"/>
      <c r="AX82" s="61"/>
      <c r="AY82" s="61"/>
      <c r="AZ82" s="61"/>
      <c r="BA82" s="61"/>
      <c r="BB82" s="61"/>
    </row>
    <row r="83" spans="1:54" ht="12.95" hidden="1" customHeight="1" thickBot="1" x14ac:dyDescent="0.25">
      <c r="A83" s="65"/>
      <c r="B83" s="47"/>
      <c r="C83" s="48"/>
      <c r="D83" s="2915" t="s">
        <v>477</v>
      </c>
      <c r="E83" s="2916"/>
      <c r="F83" s="2916" t="s">
        <v>478</v>
      </c>
      <c r="G83" s="2917"/>
      <c r="H83" s="2915" t="s">
        <v>477</v>
      </c>
      <c r="I83" s="2916"/>
      <c r="J83" s="2916" t="s">
        <v>478</v>
      </c>
      <c r="K83" s="2917"/>
      <c r="L83" s="2915" t="s">
        <v>477</v>
      </c>
      <c r="M83" s="2916"/>
      <c r="N83" s="2916" t="s">
        <v>478</v>
      </c>
      <c r="O83" s="2917"/>
      <c r="P83" s="2915" t="s">
        <v>477</v>
      </c>
      <c r="Q83" s="2916"/>
      <c r="R83" s="2916" t="s">
        <v>478</v>
      </c>
      <c r="S83" s="2917"/>
      <c r="T83" s="2915" t="s">
        <v>477</v>
      </c>
      <c r="U83" s="2916"/>
      <c r="V83" s="2916" t="s">
        <v>478</v>
      </c>
      <c r="W83" s="2917"/>
      <c r="X83" s="2915" t="s">
        <v>477</v>
      </c>
      <c r="Y83" s="2916"/>
      <c r="Z83" s="2916" t="s">
        <v>478</v>
      </c>
      <c r="AA83" s="2917"/>
      <c r="AB83" s="65"/>
      <c r="AP83" s="61"/>
      <c r="AQ83" s="61"/>
      <c r="AR83" s="61"/>
      <c r="AS83" s="61"/>
      <c r="AT83" s="61"/>
      <c r="AU83" s="61"/>
      <c r="AV83" s="85"/>
      <c r="AW83" s="86"/>
      <c r="AX83" s="61"/>
      <c r="AY83" s="61"/>
      <c r="AZ83" s="61"/>
      <c r="BA83" s="61"/>
      <c r="BB83" s="61"/>
    </row>
    <row r="84" spans="1:54" ht="12.95" hidden="1" customHeight="1" x14ac:dyDescent="0.2">
      <c r="A84" s="65"/>
      <c r="B84" s="2920" t="s">
        <v>74</v>
      </c>
      <c r="C84" s="2921"/>
      <c r="D84" s="2911" t="str">
        <f ca="1">IF(ISBLANK(OFFSET($AP$2,D81,0)),"",OFFSET($AQ$2,D81,0)+OFFSET($AU$2,D81,0))</f>
        <v/>
      </c>
      <c r="E84" s="2912"/>
      <c r="F84" s="2909" t="str">
        <f ca="1">IF(ISBLANK(OFFSET($AP$2,D81,0)),"",(OFFSET($AQ$2,D81,0)+OFFSET($AU$2,D81,0))-(OFFSET($AW$2,D81,0)+OFFSET($BA$2,D81,0)))</f>
        <v/>
      </c>
      <c r="G84" s="2910"/>
      <c r="H84" s="2911" t="str">
        <f ca="1">IF(ISBLANK(OFFSET($AP$2,H81,0)),"",OFFSET($AQ$2,H81,0)+OFFSET($AU$2,H81,0))</f>
        <v/>
      </c>
      <c r="I84" s="2912"/>
      <c r="J84" s="2909" t="str">
        <f ca="1">IF(ISBLANK(OFFSET($AP$2,H81,0)),"",(OFFSET($AQ$2,H81,0)+OFFSET($AU$2,H81,0))-(OFFSET($AW$2,H81,0)+OFFSET($BA$2,H81,0)))</f>
        <v/>
      </c>
      <c r="K84" s="2910"/>
      <c r="L84" s="2911" t="str">
        <f ca="1">IF(ISBLANK(OFFSET($AP$2,L81,0)),"",OFFSET($AQ$2,L81,0)+OFFSET($AU$2,L81,0))</f>
        <v/>
      </c>
      <c r="M84" s="2912"/>
      <c r="N84" s="2909" t="str">
        <f ca="1">IF(ISBLANK(OFFSET($AP$2,L81,0)),"",(OFFSET($AQ$2,L81,0)+OFFSET($AU$2,L81,0))-(OFFSET($AW$2,L81,0)+OFFSET($BA$2,L81,0)))</f>
        <v/>
      </c>
      <c r="O84" s="2910"/>
      <c r="P84" s="2911" t="str">
        <f ca="1">IF(ISBLANK(OFFSET($AP$2,P81,0)),"",OFFSET($AQ$2,P81,0)+OFFSET($AU$2,P81,0))</f>
        <v/>
      </c>
      <c r="Q84" s="2912"/>
      <c r="R84" s="2909" t="str">
        <f ca="1">IF(ISBLANK(OFFSET($AP$2,P81,0)),"",(OFFSET($AQ$2,P81,0)+OFFSET($AU$2,P81,0))-(OFFSET($AW$2,P81,0)+OFFSET($BA$2,P81,0)))</f>
        <v/>
      </c>
      <c r="S84" s="2910"/>
      <c r="T84" s="2911" t="str">
        <f ca="1">IF(ISBLANK(OFFSET($AP$2,T81,0)),"",OFFSET($AQ$2,T81,0)+OFFSET($AU$2,T81,0))</f>
        <v/>
      </c>
      <c r="U84" s="2912"/>
      <c r="V84" s="2909" t="str">
        <f ca="1">IF(ISBLANK(OFFSET($AP$2,T81,0)),"",(OFFSET($AQ$2,T81,0)+OFFSET($AU$2,T81,0))-(OFFSET($AW$2,T81,0)+OFFSET($BA$2,T81,0)))</f>
        <v/>
      </c>
      <c r="W84" s="2910"/>
      <c r="X84" s="2911" t="str">
        <f ca="1">IF(ISBLANK(OFFSET($AP$2,X81,0)),"",OFFSET($AQ$2,X81,0)+OFFSET($AU$2,X81,0))</f>
        <v/>
      </c>
      <c r="Y84" s="2912"/>
      <c r="Z84" s="2909" t="str">
        <f ca="1">IF(ISBLANK(OFFSET($AP$2,X81,0)),"",(OFFSET($AQ$2,X81,0)+OFFSET($AU$2,X81,0))-(OFFSET($AW$2,X81,0)+OFFSET($BA$2,X81,0)))</f>
        <v/>
      </c>
      <c r="AA84" s="2910"/>
      <c r="AB84" s="65"/>
      <c r="AP84" s="61"/>
      <c r="AQ84" s="61"/>
      <c r="AR84" s="61"/>
      <c r="AS84" s="61"/>
      <c r="AT84" s="61"/>
      <c r="AU84" s="61"/>
      <c r="AV84" s="85"/>
      <c r="AW84" s="86"/>
      <c r="AX84" s="61"/>
      <c r="AY84" s="61"/>
      <c r="AZ84" s="61"/>
      <c r="BA84" s="61"/>
      <c r="BB84" s="61"/>
    </row>
    <row r="85" spans="1:54" ht="12.95" hidden="1" customHeight="1" x14ac:dyDescent="0.2">
      <c r="A85" s="65"/>
      <c r="B85" s="2913" t="s">
        <v>474</v>
      </c>
      <c r="C85" s="2914"/>
      <c r="D85" s="2911" t="str">
        <f ca="1">IF(ISBLANK(OFFSET($AP$2,D81,0)),"",OFFSET($AR$2,D81,0))</f>
        <v/>
      </c>
      <c r="E85" s="2912"/>
      <c r="F85" s="2909" t="str">
        <f ca="1">IF(ISBLANK(OFFSET($AP$2,D81,0)),"",OFFSET($AR$2,D81,0)-OFFSET($AX$2,D81,0))</f>
        <v/>
      </c>
      <c r="G85" s="2910"/>
      <c r="H85" s="2911" t="str">
        <f ca="1">IF(ISBLANK(OFFSET($AP$2,H81,0)),"",OFFSET($AR$2,H81,0))</f>
        <v/>
      </c>
      <c r="I85" s="2912"/>
      <c r="J85" s="2909" t="str">
        <f ca="1">IF(ISBLANK(OFFSET($AP$2,H81,0)),"",OFFSET($AR$2,H81,0)-OFFSET($AX$2,H81,0))</f>
        <v/>
      </c>
      <c r="K85" s="2910"/>
      <c r="L85" s="2911" t="str">
        <f ca="1">IF(ISBLANK(OFFSET($AP$2,L81,0)),"",OFFSET($AR$2,L81,0))</f>
        <v/>
      </c>
      <c r="M85" s="2912"/>
      <c r="N85" s="2909" t="str">
        <f ca="1">IF(ISBLANK(OFFSET($AP$2,L81,0)),"",OFFSET($AR$2,L81,0)-OFFSET($AX$2,L81,0))</f>
        <v/>
      </c>
      <c r="O85" s="2910"/>
      <c r="P85" s="2911" t="str">
        <f ca="1">IF(ISBLANK(OFFSET($AP$2,P81,0)),"",OFFSET($AR$2,P81,0))</f>
        <v/>
      </c>
      <c r="Q85" s="2912"/>
      <c r="R85" s="2909" t="str">
        <f ca="1">IF(ISBLANK(OFFSET($AP$2,P81,0)),"",OFFSET($AR$2,P81,0)-OFFSET($AX$2,P81,0))</f>
        <v/>
      </c>
      <c r="S85" s="2910"/>
      <c r="T85" s="2911" t="str">
        <f ca="1">IF(ISBLANK(OFFSET($AP$2,T81,0)),"",OFFSET($AR$2,T81,0))</f>
        <v/>
      </c>
      <c r="U85" s="2912"/>
      <c r="V85" s="2909" t="str">
        <f ca="1">IF(ISBLANK(OFFSET($AP$2,T81,0)),"",OFFSET($AR$2,T81,0)-OFFSET($AX$2,T81,0))</f>
        <v/>
      </c>
      <c r="W85" s="2910"/>
      <c r="X85" s="2911" t="str">
        <f ca="1">IF(ISBLANK(OFFSET($AP$2,X81,0)),"",OFFSET($AR$2,X81,0))</f>
        <v/>
      </c>
      <c r="Y85" s="2912"/>
      <c r="Z85" s="2909" t="str">
        <f ca="1">IF(ISBLANK(OFFSET($AP$2,X81,0)),"",OFFSET($AR$2,X81,0)-OFFSET($AX$2,X81,0))</f>
        <v/>
      </c>
      <c r="AA85" s="2910"/>
      <c r="AB85" s="65"/>
      <c r="AP85" s="61"/>
      <c r="AQ85" s="61"/>
      <c r="AR85" s="61"/>
      <c r="AS85" s="61"/>
      <c r="AT85" s="61"/>
      <c r="AU85" s="61"/>
      <c r="AV85" s="85"/>
      <c r="AW85" s="86"/>
      <c r="AX85" s="61"/>
      <c r="AY85" s="61"/>
      <c r="AZ85" s="61"/>
      <c r="BA85" s="61"/>
      <c r="BB85" s="61"/>
    </row>
    <row r="86" spans="1:54" ht="12.95" hidden="1" customHeight="1" x14ac:dyDescent="0.2">
      <c r="A86" s="65"/>
      <c r="B86" s="2913" t="s">
        <v>475</v>
      </c>
      <c r="C86" s="2914"/>
      <c r="D86" s="2911" t="str">
        <f ca="1">IF(ISBLANK(OFFSET($AP$2,D81,0)),"",OFFSET($AS$2,D81,0))</f>
        <v/>
      </c>
      <c r="E86" s="2912"/>
      <c r="F86" s="2909" t="str">
        <f ca="1">IF(ISBLANK(OFFSET($AP$2,D81,0)),"",OFFSET($AS$2,D81,0)-OFFSET($AY$2,D81,0))</f>
        <v/>
      </c>
      <c r="G86" s="2910"/>
      <c r="H86" s="2911" t="str">
        <f ca="1">IF(ISBLANK(OFFSET($AP$2,H81,0)),"",OFFSET($AS$2,H81,0))</f>
        <v/>
      </c>
      <c r="I86" s="2912"/>
      <c r="J86" s="2909" t="str">
        <f ca="1">IF(ISBLANK(OFFSET($AP$2,H81,0)),"",OFFSET($AS$2,H81,0)-OFFSET($AY$2,H81,0))</f>
        <v/>
      </c>
      <c r="K86" s="2910"/>
      <c r="L86" s="2911" t="str">
        <f ca="1">IF(ISBLANK(OFFSET($AP$2,L81,0)),"",OFFSET($AS$2,L81,0))</f>
        <v/>
      </c>
      <c r="M86" s="2912"/>
      <c r="N86" s="2909" t="str">
        <f ca="1">IF(ISBLANK(OFFSET($AP$2,L81,0)),"",OFFSET($AS$2,L81,0)-OFFSET($AY$2,L81,0))</f>
        <v/>
      </c>
      <c r="O86" s="2910"/>
      <c r="P86" s="2911" t="str">
        <f ca="1">IF(ISBLANK(OFFSET($AP$2,P81,0)),"",OFFSET($AS$2,P81,0))</f>
        <v/>
      </c>
      <c r="Q86" s="2912"/>
      <c r="R86" s="2909" t="str">
        <f ca="1">IF(ISBLANK(OFFSET($AP$2,P81,0)),"",OFFSET($AS$2,P81,0)-OFFSET($AY$2,P81,0))</f>
        <v/>
      </c>
      <c r="S86" s="2910"/>
      <c r="T86" s="2911" t="str">
        <f ca="1">IF(ISBLANK(OFFSET($AP$2,T81,0)),"",OFFSET($AS$2,T81,0))</f>
        <v/>
      </c>
      <c r="U86" s="2912"/>
      <c r="V86" s="2909" t="str">
        <f ca="1">IF(ISBLANK(OFFSET($AP$2,T81,0)),"",OFFSET($AS$2,T81,0)-OFFSET($AY$2,T81,0))</f>
        <v/>
      </c>
      <c r="W86" s="2910"/>
      <c r="X86" s="2911" t="str">
        <f ca="1">IF(ISBLANK(OFFSET($AP$2,X81,0)),"",OFFSET($AS$2,X81,0))</f>
        <v/>
      </c>
      <c r="Y86" s="2912"/>
      <c r="Z86" s="2909" t="str">
        <f ca="1">IF(ISBLANK(OFFSET($AP$2,X81,0)),"",OFFSET($AS$2,X81,0)-OFFSET($AY$2,X81,0))</f>
        <v/>
      </c>
      <c r="AA86" s="2910"/>
      <c r="AB86" s="65"/>
      <c r="AP86" s="61"/>
      <c r="AQ86" s="61"/>
      <c r="AR86" s="61"/>
      <c r="AS86" s="61"/>
      <c r="AT86" s="61"/>
      <c r="AU86" s="61"/>
      <c r="AV86" s="85"/>
      <c r="AW86" s="86"/>
      <c r="AX86" s="61"/>
      <c r="AY86" s="61"/>
      <c r="AZ86" s="61"/>
      <c r="BA86" s="61"/>
      <c r="BB86" s="61"/>
    </row>
    <row r="87" spans="1:54" ht="12.95" hidden="1" customHeight="1" x14ac:dyDescent="0.2">
      <c r="A87" s="65"/>
      <c r="B87" s="2913" t="s">
        <v>76</v>
      </c>
      <c r="C87" s="2914"/>
      <c r="D87" s="2911" t="str">
        <f ca="1">IF(ISBLANK(OFFSET($AP$2,D81,0)),"",OFFSET($AT$2,D81,0))</f>
        <v/>
      </c>
      <c r="E87" s="2912"/>
      <c r="F87" s="2909" t="str">
        <f ca="1">IF(ISBLANK(OFFSET($AP$2,D81,0)),"",OFFSET($AT$2,D81,0)-OFFSET($AZ$2,D81,0))</f>
        <v/>
      </c>
      <c r="G87" s="2910"/>
      <c r="H87" s="2911" t="str">
        <f ca="1">IF(ISBLANK(OFFSET($AP$2,H81,0)),"",OFFSET($AT$2,H81,0))</f>
        <v/>
      </c>
      <c r="I87" s="2912"/>
      <c r="J87" s="2909" t="str">
        <f ca="1">IF(ISBLANK(OFFSET($AP$2,H81,0)),"",OFFSET($AT$2,H81,0)-OFFSET($AZ$2,H81,0))</f>
        <v/>
      </c>
      <c r="K87" s="2910"/>
      <c r="L87" s="2911" t="str">
        <f ca="1">IF(ISBLANK(OFFSET($AP$2,L81,0)),"",OFFSET($AT$2,L81,0))</f>
        <v/>
      </c>
      <c r="M87" s="2912"/>
      <c r="N87" s="2909" t="str">
        <f ca="1">IF(ISBLANK(OFFSET($AP$2,L81,0)),"",OFFSET($AT$2,L81,0)-OFFSET($AZ$2,L81,0))</f>
        <v/>
      </c>
      <c r="O87" s="2910"/>
      <c r="P87" s="2911" t="str">
        <f ca="1">IF(ISBLANK(OFFSET($AP$2,P81,0)),"",OFFSET($AT$2,P81,0))</f>
        <v/>
      </c>
      <c r="Q87" s="2912"/>
      <c r="R87" s="2909" t="str">
        <f ca="1">IF(ISBLANK(OFFSET($AP$2,P81,0)),"",OFFSET($AT$2,P81,0)-OFFSET($AZ$2,P81,0))</f>
        <v/>
      </c>
      <c r="S87" s="2910"/>
      <c r="T87" s="2911" t="str">
        <f ca="1">IF(ISBLANK(OFFSET($AP$2,T81,0)),"",OFFSET($AT$2,T81,0))</f>
        <v/>
      </c>
      <c r="U87" s="2912"/>
      <c r="V87" s="2909" t="str">
        <f ca="1">IF(ISBLANK(OFFSET($AP$2,T81,0)),"",OFFSET($AT$2,T81,0)-OFFSET($AZ$2,T81,0))</f>
        <v/>
      </c>
      <c r="W87" s="2910"/>
      <c r="X87" s="2911" t="str">
        <f ca="1">IF(ISBLANK(OFFSET($AP$2,X81,0)),"",OFFSET($AT$2,X81,0))</f>
        <v/>
      </c>
      <c r="Y87" s="2912"/>
      <c r="Z87" s="2909" t="str">
        <f ca="1">IF(ISBLANK(OFFSET($AP$2,X81,0)),"",OFFSET($AT$2,X81,0)-OFFSET($AZ$2,X81,0))</f>
        <v/>
      </c>
      <c r="AA87" s="2910"/>
      <c r="AB87" s="65"/>
      <c r="AP87" s="61"/>
      <c r="AQ87" s="61"/>
      <c r="AR87" s="61"/>
      <c r="AS87" s="61"/>
      <c r="AT87" s="61"/>
      <c r="AU87" s="61"/>
      <c r="AV87" s="85"/>
      <c r="AW87" s="86"/>
      <c r="AX87" s="61"/>
      <c r="AY87" s="61"/>
      <c r="AZ87" s="61"/>
      <c r="BA87" s="61"/>
      <c r="BB87" s="61"/>
    </row>
    <row r="88" spans="1:54" ht="12.95" hidden="1" customHeight="1" thickBot="1" x14ac:dyDescent="0.25">
      <c r="A88" s="65"/>
      <c r="B88" s="2929" t="s">
        <v>476</v>
      </c>
      <c r="C88" s="2930"/>
      <c r="D88" s="2922" t="str">
        <f ca="1">IF(ISBLANK(OFFSET($AP$2,D81,0)),"",OFFSET($AV$2,D81,0))</f>
        <v/>
      </c>
      <c r="E88" s="2923"/>
      <c r="F88" s="2924" t="str">
        <f ca="1">IF(ISBLANK(OFFSET($AP$2,D81,0)),"",OFFSET($AV$2,D81,0)-OFFSET($BB$2,D81,0))</f>
        <v/>
      </c>
      <c r="G88" s="2925"/>
      <c r="H88" s="2922" t="str">
        <f ca="1">IF(ISBLANK(OFFSET($AP$2,H81,0)),"",OFFSET($AV$2,H81,0))</f>
        <v/>
      </c>
      <c r="I88" s="2923"/>
      <c r="J88" s="2924" t="str">
        <f ca="1">IF(ISBLANK(OFFSET($AP$2,H81,0)),"",OFFSET($AV$2,H81,0)-OFFSET($BB$2,H81,0))</f>
        <v/>
      </c>
      <c r="K88" s="2925"/>
      <c r="L88" s="2922" t="str">
        <f ca="1">IF(ISBLANK(OFFSET($AP$2,L81,0)),"",OFFSET($AV$2,L81,0))</f>
        <v/>
      </c>
      <c r="M88" s="2923"/>
      <c r="N88" s="2924" t="str">
        <f ca="1">IF(ISBLANK(OFFSET($AP$2,L81,0)),"",OFFSET($AV$2,L81,0)-OFFSET($BB$2,L81,0))</f>
        <v/>
      </c>
      <c r="O88" s="2925"/>
      <c r="P88" s="2922" t="str">
        <f ca="1">IF(ISBLANK(OFFSET($AP$2,P81,0)),"",OFFSET($AV$2,P81,0))</f>
        <v/>
      </c>
      <c r="Q88" s="2923"/>
      <c r="R88" s="2924" t="str">
        <f ca="1">IF(ISBLANK(OFFSET($AP$2,P81,0)),"",OFFSET($AV$2,P81,0)-OFFSET($BB$2,P81,0))</f>
        <v/>
      </c>
      <c r="S88" s="2925"/>
      <c r="T88" s="2922" t="str">
        <f ca="1">IF(ISBLANK(OFFSET($AP$2,T81,0)),"",OFFSET($AV$2,T81,0))</f>
        <v/>
      </c>
      <c r="U88" s="2923"/>
      <c r="V88" s="2924" t="str">
        <f ca="1">IF(ISBLANK(OFFSET($AP$2,T81,0)),"",OFFSET($AV$2,T81,0)-OFFSET($BB$2,T81,0))</f>
        <v/>
      </c>
      <c r="W88" s="2925"/>
      <c r="X88" s="2922" t="str">
        <f ca="1">IF(ISBLANK(OFFSET($AP$2,X81,0)),"",OFFSET($AV$2,X81,0))</f>
        <v/>
      </c>
      <c r="Y88" s="2923"/>
      <c r="Z88" s="2924" t="str">
        <f ca="1">IF(ISBLANK(OFFSET($AP$2,X81,0)),"",OFFSET($AV$2,X81,0)-OFFSET($BB$2,X81,0))</f>
        <v/>
      </c>
      <c r="AA88" s="2925"/>
      <c r="AB88" s="65"/>
      <c r="AP88" s="61"/>
      <c r="AQ88" s="61"/>
      <c r="AR88" s="61"/>
      <c r="AS88" s="61"/>
      <c r="AT88" s="61"/>
      <c r="AU88" s="61"/>
      <c r="AV88" s="85"/>
      <c r="AW88" s="86"/>
      <c r="AX88" s="61"/>
      <c r="AY88" s="61"/>
      <c r="AZ88" s="61"/>
      <c r="BA88" s="61"/>
      <c r="BB88" s="61"/>
    </row>
    <row r="89" spans="1:54" ht="12.95" hidden="1" customHeight="1" thickBot="1" x14ac:dyDescent="0.25">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5" hidden="1" customHeight="1" x14ac:dyDescent="0.2">
      <c r="A90" s="65"/>
      <c r="B90" s="47"/>
      <c r="C90" s="48"/>
      <c r="D90" s="2926" t="str">
        <f ca="1">IF(ISBLANK(OFFSET($AP$2,D89,0)),"",CONCATENATE("Seq. ",OFFSET($AP$2,D89,0)))</f>
        <v/>
      </c>
      <c r="E90" s="2927"/>
      <c r="F90" s="2927"/>
      <c r="G90" s="2928"/>
      <c r="H90" s="2926" t="str">
        <f ca="1">IF(ISBLANK(OFFSET($AP$2,H89,0)),"",CONCATENATE("Seq. ",OFFSET($AP$2,H89,0)))</f>
        <v/>
      </c>
      <c r="I90" s="2927"/>
      <c r="J90" s="2927"/>
      <c r="K90" s="2928"/>
      <c r="L90" s="2926" t="str">
        <f ca="1">IF(ISBLANK(OFFSET($AP$2,L89,0)),"",CONCATENATE("Seq. ",OFFSET($AP$2,L89,0)))</f>
        <v/>
      </c>
      <c r="M90" s="2927"/>
      <c r="N90" s="2927"/>
      <c r="O90" s="2928"/>
      <c r="P90" s="2926" t="str">
        <f ca="1">IF(ISBLANK(OFFSET($AP$2,P89,0)),"",CONCATENATE("Seq. ",OFFSET($AP$2,P89,0)))</f>
        <v/>
      </c>
      <c r="Q90" s="2927"/>
      <c r="R90" s="2927"/>
      <c r="S90" s="2928"/>
      <c r="T90" s="2926" t="str">
        <f ca="1">IF(ISBLANK(OFFSET($AP$2,T89,0)),"",CONCATENATE("Seq. ",OFFSET($AP$2,T89,0)))</f>
        <v/>
      </c>
      <c r="U90" s="2927"/>
      <c r="V90" s="2927"/>
      <c r="W90" s="2928"/>
      <c r="X90" s="2926" t="str">
        <f ca="1">IF(ISBLANK(OFFSET($AP$2,X89,0)),"",CONCATENATE("Seq. ",OFFSET($AP$2,X89,0)))</f>
        <v/>
      </c>
      <c r="Y90" s="2927"/>
      <c r="Z90" s="2927"/>
      <c r="AA90" s="2928"/>
      <c r="AB90" s="65"/>
      <c r="AP90" s="61"/>
      <c r="AQ90" s="61"/>
      <c r="AR90" s="61"/>
      <c r="AS90" s="61"/>
      <c r="AT90" s="61"/>
      <c r="AU90" s="61"/>
      <c r="AV90" s="85"/>
      <c r="AW90" s="86"/>
      <c r="AX90" s="61"/>
      <c r="AY90" s="61"/>
      <c r="AZ90" s="61"/>
      <c r="BA90" s="61"/>
      <c r="BB90" s="61"/>
    </row>
    <row r="91" spans="1:54" ht="12.95" hidden="1" customHeight="1" thickBot="1" x14ac:dyDescent="0.25">
      <c r="A91" s="65"/>
      <c r="B91" s="47"/>
      <c r="C91" s="48"/>
      <c r="D91" s="2915" t="s">
        <v>477</v>
      </c>
      <c r="E91" s="2916"/>
      <c r="F91" s="2916" t="s">
        <v>478</v>
      </c>
      <c r="G91" s="2917"/>
      <c r="H91" s="2915" t="s">
        <v>477</v>
      </c>
      <c r="I91" s="2916"/>
      <c r="J91" s="2916" t="s">
        <v>478</v>
      </c>
      <c r="K91" s="2917"/>
      <c r="L91" s="2915" t="s">
        <v>477</v>
      </c>
      <c r="M91" s="2916"/>
      <c r="N91" s="2916" t="s">
        <v>478</v>
      </c>
      <c r="O91" s="2917"/>
      <c r="P91" s="2915" t="s">
        <v>477</v>
      </c>
      <c r="Q91" s="2916"/>
      <c r="R91" s="2916" t="s">
        <v>478</v>
      </c>
      <c r="S91" s="2917"/>
      <c r="T91" s="2915" t="s">
        <v>477</v>
      </c>
      <c r="U91" s="2916"/>
      <c r="V91" s="2916" t="s">
        <v>478</v>
      </c>
      <c r="W91" s="2917"/>
      <c r="X91" s="2915" t="s">
        <v>477</v>
      </c>
      <c r="Y91" s="2916"/>
      <c r="Z91" s="2916" t="s">
        <v>478</v>
      </c>
      <c r="AA91" s="2917"/>
      <c r="AB91" s="65"/>
      <c r="AP91" s="61"/>
      <c r="AQ91" s="61"/>
      <c r="AR91" s="61"/>
      <c r="AS91" s="61"/>
      <c r="AT91" s="61"/>
      <c r="AU91" s="61"/>
      <c r="AV91" s="85"/>
      <c r="AW91" s="86"/>
      <c r="AX91" s="61"/>
      <c r="AY91" s="61"/>
      <c r="AZ91" s="61"/>
      <c r="BA91" s="61"/>
      <c r="BB91" s="61"/>
    </row>
    <row r="92" spans="1:54" ht="12.95" hidden="1" customHeight="1" x14ac:dyDescent="0.2">
      <c r="A92" s="65"/>
      <c r="B92" s="2920" t="s">
        <v>74</v>
      </c>
      <c r="C92" s="2921"/>
      <c r="D92" s="2911" t="str">
        <f ca="1">IF(ISBLANK(OFFSET($AP$2,D89,0)),"",OFFSET($AQ$2,D89,0)+OFFSET($AU$2,D89,0))</f>
        <v/>
      </c>
      <c r="E92" s="2912"/>
      <c r="F92" s="2909" t="str">
        <f ca="1">IF(ISBLANK(OFFSET($AP$2,D89,0)),"",(OFFSET($AQ$2,D89,0)+OFFSET($AU$2,D89,0))-(OFFSET($AW$2,D89,0)+OFFSET($BA$2,D89,0)))</f>
        <v/>
      </c>
      <c r="G92" s="2910"/>
      <c r="H92" s="2911" t="str">
        <f ca="1">IF(ISBLANK(OFFSET($AP$2,H89,0)),"",OFFSET($AQ$2,H89,0)+OFFSET($AU$2,H89,0))</f>
        <v/>
      </c>
      <c r="I92" s="2912"/>
      <c r="J92" s="2909" t="str">
        <f ca="1">IF(ISBLANK(OFFSET($AP$2,H89,0)),"",(OFFSET($AQ$2,H89,0)+OFFSET($AU$2,H89,0))-(OFFSET($AW$2,H89,0)+OFFSET($BA$2,H89,0)))</f>
        <v/>
      </c>
      <c r="K92" s="2910"/>
      <c r="L92" s="2911" t="str">
        <f ca="1">IF(ISBLANK(OFFSET($AP$2,L89,0)),"",OFFSET($AQ$2,L89,0)+OFFSET($AU$2,L89,0))</f>
        <v/>
      </c>
      <c r="M92" s="2912"/>
      <c r="N92" s="2909" t="str">
        <f ca="1">IF(ISBLANK(OFFSET($AP$2,L89,0)),"",(OFFSET($AQ$2,L89,0)+OFFSET($AU$2,L89,0))-(OFFSET($AW$2,L89,0)+OFFSET($BA$2,L89,0)))</f>
        <v/>
      </c>
      <c r="O92" s="2910"/>
      <c r="P92" s="2911" t="str">
        <f ca="1">IF(ISBLANK(OFFSET($AP$2,P89,0)),"",OFFSET($AQ$2,P89,0)+OFFSET($AU$2,P89,0))</f>
        <v/>
      </c>
      <c r="Q92" s="2912"/>
      <c r="R92" s="2909" t="str">
        <f ca="1">IF(ISBLANK(OFFSET($AP$2,P89,0)),"",(OFFSET($AQ$2,P89,0)+OFFSET($AU$2,P89,0))-(OFFSET($AW$2,P89,0)+OFFSET($BA$2,P89,0)))</f>
        <v/>
      </c>
      <c r="S92" s="2910"/>
      <c r="T92" s="2911" t="str">
        <f ca="1">IF(ISBLANK(OFFSET($AP$2,T89,0)),"",OFFSET($AQ$2,T89,0)+OFFSET($AU$2,T89,0))</f>
        <v/>
      </c>
      <c r="U92" s="2912"/>
      <c r="V92" s="2909" t="str">
        <f ca="1">IF(ISBLANK(OFFSET($AP$2,T89,0)),"",(OFFSET($AQ$2,T89,0)+OFFSET($AU$2,T89,0))-(OFFSET($AW$2,T89,0)+OFFSET($BA$2,T89,0)))</f>
        <v/>
      </c>
      <c r="W92" s="2910"/>
      <c r="X92" s="2911" t="str">
        <f ca="1">IF(ISBLANK(OFFSET($AP$2,X89,0)),"",OFFSET($AQ$2,X89,0)+OFFSET($AU$2,X89,0))</f>
        <v/>
      </c>
      <c r="Y92" s="2912"/>
      <c r="Z92" s="2909" t="str">
        <f ca="1">IF(ISBLANK(OFFSET($AP$2,X89,0)),"",(OFFSET($AQ$2,X89,0)+OFFSET($AU$2,X89,0))-(OFFSET($AW$2,X89,0)+OFFSET($BA$2,X89,0)))</f>
        <v/>
      </c>
      <c r="AA92" s="2910"/>
      <c r="AB92" s="65"/>
      <c r="AP92" s="61"/>
      <c r="AQ92" s="61"/>
      <c r="AR92" s="61"/>
      <c r="AS92" s="61"/>
      <c r="AT92" s="61"/>
      <c r="AU92" s="61"/>
      <c r="AV92" s="85"/>
      <c r="AW92" s="86"/>
      <c r="AX92" s="61"/>
      <c r="AY92" s="61"/>
      <c r="AZ92" s="61"/>
      <c r="BA92" s="61"/>
      <c r="BB92" s="61"/>
    </row>
    <row r="93" spans="1:54" ht="12.95" hidden="1" customHeight="1" x14ac:dyDescent="0.2">
      <c r="A93" s="65"/>
      <c r="B93" s="2913" t="s">
        <v>474</v>
      </c>
      <c r="C93" s="2914"/>
      <c r="D93" s="2911" t="str">
        <f ca="1">IF(ISBLANK(OFFSET($AP$2,D89,0)),"",OFFSET($AR$2,D89,0))</f>
        <v/>
      </c>
      <c r="E93" s="2912"/>
      <c r="F93" s="2909" t="str">
        <f ca="1">IF(ISBLANK(OFFSET($AP$2,D89,0)),"",OFFSET($AR$2,D89,0)-OFFSET($AX$2,D89,0))</f>
        <v/>
      </c>
      <c r="G93" s="2910"/>
      <c r="H93" s="2911" t="str">
        <f ca="1">IF(ISBLANK(OFFSET($AP$2,H89,0)),"",OFFSET($AR$2,H89,0))</f>
        <v/>
      </c>
      <c r="I93" s="2912"/>
      <c r="J93" s="2909" t="str">
        <f ca="1">IF(ISBLANK(OFFSET($AP$2,H89,0)),"",OFFSET($AR$2,H89,0)-OFFSET($AX$2,H89,0))</f>
        <v/>
      </c>
      <c r="K93" s="2910"/>
      <c r="L93" s="2911" t="str">
        <f ca="1">IF(ISBLANK(OFFSET($AP$2,L89,0)),"",OFFSET($AR$2,L89,0))</f>
        <v/>
      </c>
      <c r="M93" s="2912"/>
      <c r="N93" s="2909" t="str">
        <f ca="1">IF(ISBLANK(OFFSET($AP$2,L89,0)),"",OFFSET($AR$2,L89,0)-OFFSET($AX$2,L89,0))</f>
        <v/>
      </c>
      <c r="O93" s="2910"/>
      <c r="P93" s="2911" t="str">
        <f ca="1">IF(ISBLANK(OFFSET($AP$2,P89,0)),"",OFFSET($AR$2,P89,0))</f>
        <v/>
      </c>
      <c r="Q93" s="2912"/>
      <c r="R93" s="2909" t="str">
        <f ca="1">IF(ISBLANK(OFFSET($AP$2,P89,0)),"",OFFSET($AR$2,P89,0)-OFFSET($AX$2,P89,0))</f>
        <v/>
      </c>
      <c r="S93" s="2910"/>
      <c r="T93" s="2911" t="str">
        <f ca="1">IF(ISBLANK(OFFSET($AP$2,T89,0)),"",OFFSET($AR$2,T89,0))</f>
        <v/>
      </c>
      <c r="U93" s="2912"/>
      <c r="V93" s="2909" t="str">
        <f ca="1">IF(ISBLANK(OFFSET($AP$2,T89,0)),"",OFFSET($AR$2,T89,0)-OFFSET($AX$2,T89,0))</f>
        <v/>
      </c>
      <c r="W93" s="2910"/>
      <c r="X93" s="2911" t="str">
        <f ca="1">IF(ISBLANK(OFFSET($AP$2,X89,0)),"",OFFSET($AR$2,X89,0))</f>
        <v/>
      </c>
      <c r="Y93" s="2912"/>
      <c r="Z93" s="2909" t="str">
        <f ca="1">IF(ISBLANK(OFFSET($AP$2,X89,0)),"",OFFSET($AR$2,X89,0)-OFFSET($AX$2,X89,0))</f>
        <v/>
      </c>
      <c r="AA93" s="2910"/>
      <c r="AB93" s="65"/>
      <c r="AP93" s="61"/>
      <c r="AQ93" s="61"/>
      <c r="AR93" s="61"/>
      <c r="AS93" s="61"/>
      <c r="AT93" s="61"/>
      <c r="AU93" s="61"/>
      <c r="AV93" s="85"/>
      <c r="AW93" s="86"/>
      <c r="AX93" s="61"/>
      <c r="AY93" s="61"/>
      <c r="AZ93" s="61"/>
      <c r="BA93" s="61"/>
      <c r="BB93" s="61"/>
    </row>
    <row r="94" spans="1:54" ht="12.95" hidden="1" customHeight="1" x14ac:dyDescent="0.2">
      <c r="A94" s="65"/>
      <c r="B94" s="2913" t="s">
        <v>475</v>
      </c>
      <c r="C94" s="2914"/>
      <c r="D94" s="2911" t="str">
        <f ca="1">IF(ISBLANK(OFFSET($AP$2,D89,0)),"",OFFSET($AS$2,D89,0))</f>
        <v/>
      </c>
      <c r="E94" s="2912"/>
      <c r="F94" s="2909" t="str">
        <f ca="1">IF(ISBLANK(OFFSET($AP$2,D89,0)),"",OFFSET($AS$2,D89,0)-OFFSET($AY$2,D89,0))</f>
        <v/>
      </c>
      <c r="G94" s="2910"/>
      <c r="H94" s="2911" t="str">
        <f ca="1">IF(ISBLANK(OFFSET($AP$2,H89,0)),"",OFFSET($AS$2,H89,0))</f>
        <v/>
      </c>
      <c r="I94" s="2912"/>
      <c r="J94" s="2909" t="str">
        <f ca="1">IF(ISBLANK(OFFSET($AP$2,H89,0)),"",OFFSET($AS$2,H89,0)-OFFSET($AY$2,H89,0))</f>
        <v/>
      </c>
      <c r="K94" s="2910"/>
      <c r="L94" s="2911" t="str">
        <f ca="1">IF(ISBLANK(OFFSET($AP$2,L89,0)),"",OFFSET($AS$2,L89,0))</f>
        <v/>
      </c>
      <c r="M94" s="2912"/>
      <c r="N94" s="2909" t="str">
        <f ca="1">IF(ISBLANK(OFFSET($AP$2,L89,0)),"",OFFSET($AS$2,L89,0)-OFFSET($AY$2,L89,0))</f>
        <v/>
      </c>
      <c r="O94" s="2910"/>
      <c r="P94" s="2911" t="str">
        <f ca="1">IF(ISBLANK(OFFSET($AP$2,P89,0)),"",OFFSET($AS$2,P89,0))</f>
        <v/>
      </c>
      <c r="Q94" s="2912"/>
      <c r="R94" s="2909" t="str">
        <f ca="1">IF(ISBLANK(OFFSET($AP$2,P89,0)),"",OFFSET($AS$2,P89,0)-OFFSET($AY$2,P89,0))</f>
        <v/>
      </c>
      <c r="S94" s="2910"/>
      <c r="T94" s="2911" t="str">
        <f ca="1">IF(ISBLANK(OFFSET($AP$2,T89,0)),"",OFFSET($AS$2,T89,0))</f>
        <v/>
      </c>
      <c r="U94" s="2912"/>
      <c r="V94" s="2909" t="str">
        <f ca="1">IF(ISBLANK(OFFSET($AP$2,T89,0)),"",OFFSET($AS$2,T89,0)-OFFSET($AY$2,T89,0))</f>
        <v/>
      </c>
      <c r="W94" s="2910"/>
      <c r="X94" s="2911" t="str">
        <f ca="1">IF(ISBLANK(OFFSET($AP$2,X89,0)),"",OFFSET($AS$2,X89,0))</f>
        <v/>
      </c>
      <c r="Y94" s="2912"/>
      <c r="Z94" s="2909" t="str">
        <f ca="1">IF(ISBLANK(OFFSET($AP$2,X89,0)),"",OFFSET($AS$2,X89,0)-OFFSET($AY$2,X89,0))</f>
        <v/>
      </c>
      <c r="AA94" s="2910"/>
      <c r="AB94" s="65"/>
      <c r="AP94" s="61"/>
      <c r="AQ94" s="61"/>
      <c r="AR94" s="61"/>
      <c r="AS94" s="61"/>
      <c r="AT94" s="61"/>
      <c r="AU94" s="61"/>
      <c r="AV94" s="85"/>
      <c r="AW94" s="86"/>
      <c r="AX94" s="61"/>
      <c r="AY94" s="61"/>
      <c r="AZ94" s="61"/>
      <c r="BA94" s="61"/>
      <c r="BB94" s="61"/>
    </row>
    <row r="95" spans="1:54" ht="12.95" hidden="1" customHeight="1" x14ac:dyDescent="0.2">
      <c r="A95" s="65"/>
      <c r="B95" s="2913" t="s">
        <v>76</v>
      </c>
      <c r="C95" s="2914"/>
      <c r="D95" s="2911" t="str">
        <f ca="1">IF(ISBLANK(OFFSET($AP$2,D89,0)),"",OFFSET($AT$2,D89,0))</f>
        <v/>
      </c>
      <c r="E95" s="2912"/>
      <c r="F95" s="2909" t="str">
        <f ca="1">IF(ISBLANK(OFFSET($AP$2,D89,0)),"",OFFSET($AT$2,D89,0)-OFFSET($AZ$2,D89,0))</f>
        <v/>
      </c>
      <c r="G95" s="2910"/>
      <c r="H95" s="2911" t="str">
        <f ca="1">IF(ISBLANK(OFFSET($AP$2,H89,0)),"",OFFSET($AT$2,H89,0))</f>
        <v/>
      </c>
      <c r="I95" s="2912"/>
      <c r="J95" s="2909" t="str">
        <f ca="1">IF(ISBLANK(OFFSET($AP$2,H89,0)),"",OFFSET($AT$2,H89,0)-OFFSET($AZ$2,H89,0))</f>
        <v/>
      </c>
      <c r="K95" s="2910"/>
      <c r="L95" s="2911" t="str">
        <f ca="1">IF(ISBLANK(OFFSET($AP$2,L89,0)),"",OFFSET($AT$2,L89,0))</f>
        <v/>
      </c>
      <c r="M95" s="2912"/>
      <c r="N95" s="2909" t="str">
        <f ca="1">IF(ISBLANK(OFFSET($AP$2,L89,0)),"",OFFSET($AT$2,L89,0)-OFFSET($AZ$2,L89,0))</f>
        <v/>
      </c>
      <c r="O95" s="2910"/>
      <c r="P95" s="2911" t="str">
        <f ca="1">IF(ISBLANK(OFFSET($AP$2,P89,0)),"",OFFSET($AT$2,P89,0))</f>
        <v/>
      </c>
      <c r="Q95" s="2912"/>
      <c r="R95" s="2909" t="str">
        <f ca="1">IF(ISBLANK(OFFSET($AP$2,P89,0)),"",OFFSET($AT$2,P89,0)-OFFSET($AZ$2,P89,0))</f>
        <v/>
      </c>
      <c r="S95" s="2910"/>
      <c r="T95" s="2911" t="str">
        <f ca="1">IF(ISBLANK(OFFSET($AP$2,T89,0)),"",OFFSET($AT$2,T89,0))</f>
        <v/>
      </c>
      <c r="U95" s="2912"/>
      <c r="V95" s="2909" t="str">
        <f ca="1">IF(ISBLANK(OFFSET($AP$2,T89,0)),"",OFFSET($AT$2,T89,0)-OFFSET($AZ$2,T89,0))</f>
        <v/>
      </c>
      <c r="W95" s="2910"/>
      <c r="X95" s="2911" t="str">
        <f ca="1">IF(ISBLANK(OFFSET($AP$2,X89,0)),"",OFFSET($AT$2,X89,0))</f>
        <v/>
      </c>
      <c r="Y95" s="2912"/>
      <c r="Z95" s="2909" t="str">
        <f ca="1">IF(ISBLANK(OFFSET($AP$2,X89,0)),"",OFFSET($AT$2,X89,0)-OFFSET($AZ$2,X89,0))</f>
        <v/>
      </c>
      <c r="AA95" s="2910"/>
      <c r="AB95" s="65"/>
      <c r="AP95" s="61"/>
      <c r="AQ95" s="61"/>
      <c r="AR95" s="61"/>
      <c r="AS95" s="61"/>
      <c r="AT95" s="61"/>
      <c r="AU95" s="61"/>
      <c r="AV95" s="85"/>
      <c r="AW95" s="86"/>
      <c r="AX95" s="61"/>
      <c r="AY95" s="61"/>
      <c r="AZ95" s="61"/>
      <c r="BA95" s="61"/>
      <c r="BB95" s="61"/>
    </row>
    <row r="96" spans="1:54" ht="12.95" hidden="1" customHeight="1" thickBot="1" x14ac:dyDescent="0.25">
      <c r="A96" s="65"/>
      <c r="B96" s="2929" t="s">
        <v>476</v>
      </c>
      <c r="C96" s="2930"/>
      <c r="D96" s="2922" t="str">
        <f ca="1">IF(ISBLANK(OFFSET($AP$2,D89,0)),"",OFFSET($AV$2,D89,0))</f>
        <v/>
      </c>
      <c r="E96" s="2923"/>
      <c r="F96" s="2924" t="str">
        <f ca="1">IF(ISBLANK(OFFSET($AP$2,D89,0)),"",OFFSET($AV$2,D89,0)-OFFSET($BB$2,D89,0))</f>
        <v/>
      </c>
      <c r="G96" s="2925"/>
      <c r="H96" s="2922" t="str">
        <f ca="1">IF(ISBLANK(OFFSET($AP$2,H89,0)),"",OFFSET($AV$2,H89,0))</f>
        <v/>
      </c>
      <c r="I96" s="2923"/>
      <c r="J96" s="2924" t="str">
        <f ca="1">IF(ISBLANK(OFFSET($AP$2,H89,0)),"",OFFSET($AV$2,H89,0)-OFFSET($BB$2,H89,0))</f>
        <v/>
      </c>
      <c r="K96" s="2925"/>
      <c r="L96" s="2922" t="str">
        <f ca="1">IF(ISBLANK(OFFSET($AP$2,L89,0)),"",OFFSET($AV$2,L89,0))</f>
        <v/>
      </c>
      <c r="M96" s="2923"/>
      <c r="N96" s="2924" t="str">
        <f ca="1">IF(ISBLANK(OFFSET($AP$2,L89,0)),"",OFFSET($AV$2,L89,0)-OFFSET($BB$2,L89,0))</f>
        <v/>
      </c>
      <c r="O96" s="2925"/>
      <c r="P96" s="2922" t="str">
        <f ca="1">IF(ISBLANK(OFFSET($AP$2,P89,0)),"",OFFSET($AV$2,P89,0))</f>
        <v/>
      </c>
      <c r="Q96" s="2923"/>
      <c r="R96" s="2924" t="str">
        <f ca="1">IF(ISBLANK(OFFSET($AP$2,P89,0)),"",OFFSET($AV$2,P89,0)-OFFSET($BB$2,P89,0))</f>
        <v/>
      </c>
      <c r="S96" s="2925"/>
      <c r="T96" s="2922" t="str">
        <f ca="1">IF(ISBLANK(OFFSET($AP$2,T89,0)),"",OFFSET($AV$2,T89,0))</f>
        <v/>
      </c>
      <c r="U96" s="2923"/>
      <c r="V96" s="2924" t="str">
        <f ca="1">IF(ISBLANK(OFFSET($AP$2,T89,0)),"",OFFSET($AV$2,T89,0)-OFFSET($BB$2,T89,0))</f>
        <v/>
      </c>
      <c r="W96" s="2925"/>
      <c r="X96" s="2922" t="str">
        <f ca="1">IF(ISBLANK(OFFSET($AP$2,X89,0)),"",OFFSET($AV$2,X89,0))</f>
        <v/>
      </c>
      <c r="Y96" s="2923"/>
      <c r="Z96" s="2924" t="str">
        <f ca="1">IF(ISBLANK(OFFSET($AP$2,X89,0)),"",OFFSET($AV$2,X89,0)-OFFSET($BB$2,X89,0))</f>
        <v/>
      </c>
      <c r="AA96" s="2925"/>
      <c r="AB96" s="65"/>
      <c r="AP96" s="61"/>
      <c r="AQ96" s="61"/>
      <c r="AR96" s="61"/>
      <c r="AS96" s="61"/>
      <c r="AT96" s="61"/>
      <c r="AU96" s="61"/>
      <c r="AV96" s="85"/>
      <c r="AW96" s="86"/>
      <c r="AX96" s="61"/>
      <c r="AY96" s="61"/>
      <c r="AZ96" s="61"/>
      <c r="BA96" s="61"/>
      <c r="BB96" s="61"/>
    </row>
    <row r="97" spans="1:54" ht="12.95" hidden="1" customHeight="1" thickBot="1" x14ac:dyDescent="0.25">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5" hidden="1" customHeight="1" x14ac:dyDescent="0.2">
      <c r="A98" s="65"/>
      <c r="B98" s="47"/>
      <c r="C98" s="48"/>
      <c r="D98" s="2926" t="str">
        <f ca="1">IF(ISBLANK(OFFSET($AP$2,D97,0)),"",CONCATENATE("Seq. ",OFFSET($AP$2,D97,0)))</f>
        <v/>
      </c>
      <c r="E98" s="2927"/>
      <c r="F98" s="2927"/>
      <c r="G98" s="2928"/>
      <c r="H98" s="2926" t="str">
        <f ca="1">IF(ISBLANK(OFFSET($AP$2,H97,0)),"",CONCATENATE("Seq. ",OFFSET($AP$2,H97,0)))</f>
        <v/>
      </c>
      <c r="I98" s="2927"/>
      <c r="J98" s="2927"/>
      <c r="K98" s="2928"/>
      <c r="L98" s="2926" t="str">
        <f ca="1">IF(ISBLANK(OFFSET($AP$2,L97,0)),"",CONCATENATE("Seq. ",OFFSET($AP$2,L97,0)))</f>
        <v/>
      </c>
      <c r="M98" s="2927"/>
      <c r="N98" s="2927"/>
      <c r="O98" s="2928"/>
      <c r="P98" s="2926" t="str">
        <f ca="1">IF(ISBLANK(OFFSET($AP$2,P97,0)),"",CONCATENATE("Seq. ",OFFSET($AP$2,P97,0)))</f>
        <v/>
      </c>
      <c r="Q98" s="2927"/>
      <c r="R98" s="2927"/>
      <c r="S98" s="2928"/>
      <c r="T98" s="2926" t="str">
        <f ca="1">IF(ISBLANK(OFFSET($AP$2,T97,0)),"",CONCATENATE("Seq. ",OFFSET($AP$2,T97,0)))</f>
        <v/>
      </c>
      <c r="U98" s="2927"/>
      <c r="V98" s="2927"/>
      <c r="W98" s="2928"/>
      <c r="X98" s="2926" t="str">
        <f ca="1">IF(ISBLANK(OFFSET($AP$2,X97,0)),"",CONCATENATE("Seq. ",OFFSET($AP$2,X97,0)))</f>
        <v/>
      </c>
      <c r="Y98" s="2927"/>
      <c r="Z98" s="2927"/>
      <c r="AA98" s="2928"/>
      <c r="AB98" s="65"/>
      <c r="AP98" s="61"/>
      <c r="AQ98" s="61"/>
      <c r="AR98" s="61"/>
      <c r="AS98" s="61"/>
      <c r="AT98" s="61"/>
      <c r="AU98" s="61"/>
      <c r="AV98" s="85"/>
      <c r="AW98" s="86"/>
      <c r="AX98" s="61"/>
      <c r="AY98" s="61"/>
      <c r="AZ98" s="61"/>
      <c r="BA98" s="61"/>
      <c r="BB98" s="61"/>
    </row>
    <row r="99" spans="1:54" ht="12.95" hidden="1" customHeight="1" thickBot="1" x14ac:dyDescent="0.25">
      <c r="A99" s="65"/>
      <c r="B99" s="47"/>
      <c r="C99" s="48"/>
      <c r="D99" s="2915" t="s">
        <v>477</v>
      </c>
      <c r="E99" s="2916"/>
      <c r="F99" s="2916" t="s">
        <v>478</v>
      </c>
      <c r="G99" s="2917"/>
      <c r="H99" s="2915" t="s">
        <v>477</v>
      </c>
      <c r="I99" s="2916"/>
      <c r="J99" s="2916" t="s">
        <v>478</v>
      </c>
      <c r="K99" s="2917"/>
      <c r="L99" s="2915" t="s">
        <v>477</v>
      </c>
      <c r="M99" s="2916"/>
      <c r="N99" s="2916" t="s">
        <v>478</v>
      </c>
      <c r="O99" s="2917"/>
      <c r="P99" s="2915" t="s">
        <v>477</v>
      </c>
      <c r="Q99" s="2916"/>
      <c r="R99" s="2916" t="s">
        <v>478</v>
      </c>
      <c r="S99" s="2917"/>
      <c r="T99" s="2915" t="s">
        <v>477</v>
      </c>
      <c r="U99" s="2916"/>
      <c r="V99" s="2916" t="s">
        <v>478</v>
      </c>
      <c r="W99" s="2917"/>
      <c r="X99" s="2915" t="s">
        <v>477</v>
      </c>
      <c r="Y99" s="2916"/>
      <c r="Z99" s="2916" t="s">
        <v>478</v>
      </c>
      <c r="AA99" s="2917"/>
      <c r="AB99" s="65"/>
    </row>
    <row r="100" spans="1:54" ht="12.95" hidden="1" customHeight="1" x14ac:dyDescent="0.2">
      <c r="A100" s="65"/>
      <c r="B100" s="2920" t="s">
        <v>74</v>
      </c>
      <c r="C100" s="2921"/>
      <c r="D100" s="2911" t="str">
        <f ca="1">IF(ISBLANK(OFFSET($AP$2,D97,0)),"",OFFSET($AQ$2,D97,0)+OFFSET($AU$2,D97,0))</f>
        <v/>
      </c>
      <c r="E100" s="2912"/>
      <c r="F100" s="2909" t="str">
        <f ca="1">IF(ISBLANK(OFFSET($AP$2,D97,0)),"",(OFFSET($AQ$2,D97,0)+OFFSET($AU$2,D97,0))-(OFFSET($AW$2,D97,0)+OFFSET($BA$2,D97,0)))</f>
        <v/>
      </c>
      <c r="G100" s="2910"/>
      <c r="H100" s="2911" t="str">
        <f ca="1">IF(ISBLANK(OFFSET($AP$2,H97,0)),"",OFFSET($AQ$2,H97,0)+OFFSET($AU$2,H97,0))</f>
        <v/>
      </c>
      <c r="I100" s="2912"/>
      <c r="J100" s="2909" t="str">
        <f ca="1">IF(ISBLANK(OFFSET($AP$2,H97,0)),"",(OFFSET($AQ$2,H97,0)+OFFSET($AU$2,H97,0))-(OFFSET($AW$2,H97,0)+OFFSET($BA$2,H97,0)))</f>
        <v/>
      </c>
      <c r="K100" s="2910"/>
      <c r="L100" s="2911" t="str">
        <f ca="1">IF(ISBLANK(OFFSET($AP$2,L97,0)),"",OFFSET($AQ$2,L97,0)+OFFSET($AU$2,L97,0))</f>
        <v/>
      </c>
      <c r="M100" s="2912"/>
      <c r="N100" s="2909" t="str">
        <f ca="1">IF(ISBLANK(OFFSET($AP$2,L97,0)),"",(OFFSET($AQ$2,L97,0)+OFFSET($AU$2,L97,0))-(OFFSET($AW$2,L97,0)+OFFSET($BA$2,L97,0)))</f>
        <v/>
      </c>
      <c r="O100" s="2910"/>
      <c r="P100" s="2911" t="str">
        <f ca="1">IF(ISBLANK(OFFSET($AP$2,P97,0)),"",OFFSET($AQ$2,P97,0)+OFFSET($AU$2,P97,0))</f>
        <v/>
      </c>
      <c r="Q100" s="2912"/>
      <c r="R100" s="2909" t="str">
        <f ca="1">IF(ISBLANK(OFFSET($AP$2,P97,0)),"",(OFFSET($AQ$2,P97,0)+OFFSET($AU$2,P97,0))-(OFFSET($AW$2,P97,0)+OFFSET($BA$2,P97,0)))</f>
        <v/>
      </c>
      <c r="S100" s="2910"/>
      <c r="T100" s="2911" t="str">
        <f ca="1">IF(ISBLANK(OFFSET($AP$2,T97,0)),"",OFFSET($AQ$2,T97,0)+OFFSET($AU$2,T97,0))</f>
        <v/>
      </c>
      <c r="U100" s="2912"/>
      <c r="V100" s="2909" t="str">
        <f ca="1">IF(ISBLANK(OFFSET($AP$2,T97,0)),"",(OFFSET($AQ$2,T97,0)+OFFSET($AU$2,T97,0))-(OFFSET($AW$2,T97,0)+OFFSET($BA$2,T97,0)))</f>
        <v/>
      </c>
      <c r="W100" s="2910"/>
      <c r="X100" s="2911" t="str">
        <f ca="1">IF(ISBLANK(OFFSET($AP$2,X97,0)),"",OFFSET($AQ$2,X97,0)+OFFSET($AU$2,X97,0))</f>
        <v/>
      </c>
      <c r="Y100" s="2912"/>
      <c r="Z100" s="2909" t="str">
        <f ca="1">IF(ISBLANK(OFFSET($AP$2,X97,0)),"",(OFFSET($AQ$2,X97,0)+OFFSET($AU$2,X97,0))-(OFFSET($AW$2,X97,0)+OFFSET($BA$2,X97,0)))</f>
        <v/>
      </c>
      <c r="AA100" s="2910"/>
      <c r="AB100" s="65"/>
    </row>
    <row r="101" spans="1:54" ht="12.95" hidden="1" customHeight="1" x14ac:dyDescent="0.2">
      <c r="A101" s="65"/>
      <c r="B101" s="2913" t="s">
        <v>474</v>
      </c>
      <c r="C101" s="2914"/>
      <c r="D101" s="2911" t="str">
        <f ca="1">IF(ISBLANK(OFFSET($AP$2,D97,0)),"",OFFSET($AR$2,D97,0))</f>
        <v/>
      </c>
      <c r="E101" s="2912"/>
      <c r="F101" s="2909" t="str">
        <f ca="1">IF(ISBLANK(OFFSET($AP$2,D97,0)),"",OFFSET($AR$2,D97,0)-OFFSET($AX$2,D97,0))</f>
        <v/>
      </c>
      <c r="G101" s="2910"/>
      <c r="H101" s="2911" t="str">
        <f ca="1">IF(ISBLANK(OFFSET($AP$2,H97,0)),"",OFFSET($AR$2,H97,0))</f>
        <v/>
      </c>
      <c r="I101" s="2912"/>
      <c r="J101" s="2909" t="str">
        <f ca="1">IF(ISBLANK(OFFSET($AP$2,H97,0)),"",OFFSET($AR$2,H97,0)-OFFSET($AX$2,H97,0))</f>
        <v/>
      </c>
      <c r="K101" s="2910"/>
      <c r="L101" s="2911" t="str">
        <f ca="1">IF(ISBLANK(OFFSET($AP$2,L97,0)),"",OFFSET($AR$2,L97,0))</f>
        <v/>
      </c>
      <c r="M101" s="2912"/>
      <c r="N101" s="2909" t="str">
        <f ca="1">IF(ISBLANK(OFFSET($AP$2,L97,0)),"",OFFSET($AR$2,L97,0)-OFFSET($AX$2,L97,0))</f>
        <v/>
      </c>
      <c r="O101" s="2910"/>
      <c r="P101" s="2911" t="str">
        <f ca="1">IF(ISBLANK(OFFSET($AP$2,P97,0)),"",OFFSET($AR$2,P97,0))</f>
        <v/>
      </c>
      <c r="Q101" s="2912"/>
      <c r="R101" s="2909" t="str">
        <f ca="1">IF(ISBLANK(OFFSET($AP$2,P97,0)),"",OFFSET($AR$2,P97,0)-OFFSET($AX$2,P97,0))</f>
        <v/>
      </c>
      <c r="S101" s="2910"/>
      <c r="T101" s="2911" t="str">
        <f ca="1">IF(ISBLANK(OFFSET($AP$2,T97,0)),"",OFFSET($AR$2,T97,0))</f>
        <v/>
      </c>
      <c r="U101" s="2912"/>
      <c r="V101" s="2909" t="str">
        <f ca="1">IF(ISBLANK(OFFSET($AP$2,T97,0)),"",OFFSET($AR$2,T97,0)-OFFSET($AX$2,T97,0))</f>
        <v/>
      </c>
      <c r="W101" s="2910"/>
      <c r="X101" s="2911" t="str">
        <f ca="1">IF(ISBLANK(OFFSET($AP$2,X97,0)),"",OFFSET($AR$2,X97,0))</f>
        <v/>
      </c>
      <c r="Y101" s="2912"/>
      <c r="Z101" s="2909" t="str">
        <f ca="1">IF(ISBLANK(OFFSET($AP$2,X97,0)),"",OFFSET($AR$2,X97,0)-OFFSET($AX$2,X97,0))</f>
        <v/>
      </c>
      <c r="AA101" s="2910"/>
      <c r="AB101" s="65"/>
    </row>
    <row r="102" spans="1:54" ht="12.95" hidden="1" customHeight="1" x14ac:dyDescent="0.2">
      <c r="A102" s="65"/>
      <c r="B102" s="2913" t="s">
        <v>475</v>
      </c>
      <c r="C102" s="2914"/>
      <c r="D102" s="2911" t="str">
        <f ca="1">IF(ISBLANK(OFFSET($AP$2,D97,0)),"",OFFSET($AS$2,D97,0))</f>
        <v/>
      </c>
      <c r="E102" s="2912"/>
      <c r="F102" s="2909" t="str">
        <f ca="1">IF(ISBLANK(OFFSET($AP$2,D97,0)),"",OFFSET($AS$2,D97,0)-OFFSET($AY$2,D97,0))</f>
        <v/>
      </c>
      <c r="G102" s="2910"/>
      <c r="H102" s="2911" t="str">
        <f ca="1">IF(ISBLANK(OFFSET($AP$2,H97,0)),"",OFFSET($AS$2,H97,0))</f>
        <v/>
      </c>
      <c r="I102" s="2912"/>
      <c r="J102" s="2909" t="str">
        <f ca="1">IF(ISBLANK(OFFSET($AP$2,H97,0)),"",OFFSET($AS$2,H97,0)-OFFSET($AY$2,H97,0))</f>
        <v/>
      </c>
      <c r="K102" s="2910"/>
      <c r="L102" s="2911" t="str">
        <f ca="1">IF(ISBLANK(OFFSET($AP$2,L97,0)),"",OFFSET($AS$2,L97,0))</f>
        <v/>
      </c>
      <c r="M102" s="2912"/>
      <c r="N102" s="2909" t="str">
        <f ca="1">IF(ISBLANK(OFFSET($AP$2,L97,0)),"",OFFSET($AS$2,L97,0)-OFFSET($AY$2,L97,0))</f>
        <v/>
      </c>
      <c r="O102" s="2910"/>
      <c r="P102" s="2911" t="str">
        <f ca="1">IF(ISBLANK(OFFSET($AP$2,P97,0)),"",OFFSET($AS$2,P97,0))</f>
        <v/>
      </c>
      <c r="Q102" s="2912"/>
      <c r="R102" s="2909" t="str">
        <f ca="1">IF(ISBLANK(OFFSET($AP$2,P97,0)),"",OFFSET($AS$2,P97,0)-OFFSET($AY$2,P97,0))</f>
        <v/>
      </c>
      <c r="S102" s="2910"/>
      <c r="T102" s="2911" t="str">
        <f ca="1">IF(ISBLANK(OFFSET($AP$2,T97,0)),"",OFFSET($AS$2,T97,0))</f>
        <v/>
      </c>
      <c r="U102" s="2912"/>
      <c r="V102" s="2909" t="str">
        <f ca="1">IF(ISBLANK(OFFSET($AP$2,T97,0)),"",OFFSET($AS$2,T97,0)-OFFSET($AY$2,T97,0))</f>
        <v/>
      </c>
      <c r="W102" s="2910"/>
      <c r="X102" s="2911" t="str">
        <f ca="1">IF(ISBLANK(OFFSET($AP$2,X97,0)),"",OFFSET($AS$2,X97,0))</f>
        <v/>
      </c>
      <c r="Y102" s="2912"/>
      <c r="Z102" s="2909" t="str">
        <f ca="1">IF(ISBLANK(OFFSET($AP$2,X97,0)),"",OFFSET($AS$2,X97,0)-OFFSET($AY$2,X97,0))</f>
        <v/>
      </c>
      <c r="AA102" s="2910"/>
      <c r="AB102" s="65"/>
    </row>
    <row r="103" spans="1:54" ht="12.95" hidden="1" customHeight="1" x14ac:dyDescent="0.2">
      <c r="A103" s="65"/>
      <c r="B103" s="2913" t="s">
        <v>76</v>
      </c>
      <c r="C103" s="2914"/>
      <c r="D103" s="2911" t="str">
        <f ca="1">IF(ISBLANK(OFFSET($AP$2,D97,0)),"",OFFSET($AT$2,D97,0))</f>
        <v/>
      </c>
      <c r="E103" s="2912"/>
      <c r="F103" s="2909" t="str">
        <f ca="1">IF(ISBLANK(OFFSET($AP$2,D97,0)),"",OFFSET($AT$2,D97,0)-OFFSET($AZ$2,D97,0))</f>
        <v/>
      </c>
      <c r="G103" s="2910"/>
      <c r="H103" s="2911" t="str">
        <f ca="1">IF(ISBLANK(OFFSET($AP$2,H97,0)),"",OFFSET($AT$2,H97,0))</f>
        <v/>
      </c>
      <c r="I103" s="2912"/>
      <c r="J103" s="2909" t="str">
        <f ca="1">IF(ISBLANK(OFFSET($AP$2,H97,0)),"",OFFSET($AT$2,H97,0)-OFFSET($AZ$2,H97,0))</f>
        <v/>
      </c>
      <c r="K103" s="2910"/>
      <c r="L103" s="2911" t="str">
        <f ca="1">IF(ISBLANK(OFFSET($AP$2,L97,0)),"",OFFSET($AT$2,L97,0))</f>
        <v/>
      </c>
      <c r="M103" s="2912"/>
      <c r="N103" s="2909" t="str">
        <f ca="1">IF(ISBLANK(OFFSET($AP$2,L97,0)),"",OFFSET($AT$2,L97,0)-OFFSET($AZ$2,L97,0))</f>
        <v/>
      </c>
      <c r="O103" s="2910"/>
      <c r="P103" s="2911" t="str">
        <f ca="1">IF(ISBLANK(OFFSET($AP$2,P97,0)),"",OFFSET($AT$2,P97,0))</f>
        <v/>
      </c>
      <c r="Q103" s="2912"/>
      <c r="R103" s="2909" t="str">
        <f ca="1">IF(ISBLANK(OFFSET($AP$2,P97,0)),"",OFFSET($AT$2,P97,0)-OFFSET($AZ$2,P97,0))</f>
        <v/>
      </c>
      <c r="S103" s="2910"/>
      <c r="T103" s="2911" t="str">
        <f ca="1">IF(ISBLANK(OFFSET($AP$2,T97,0)),"",OFFSET($AT$2,T97,0))</f>
        <v/>
      </c>
      <c r="U103" s="2912"/>
      <c r="V103" s="2909" t="str">
        <f ca="1">IF(ISBLANK(OFFSET($AP$2,T97,0)),"",OFFSET($AT$2,T97,0)-OFFSET($AZ$2,T97,0))</f>
        <v/>
      </c>
      <c r="W103" s="2910"/>
      <c r="X103" s="2911" t="str">
        <f ca="1">IF(ISBLANK(OFFSET($AP$2,X97,0)),"",OFFSET($AT$2,X97,0))</f>
        <v/>
      </c>
      <c r="Y103" s="2912"/>
      <c r="Z103" s="2909" t="str">
        <f ca="1">IF(ISBLANK(OFFSET($AP$2,X97,0)),"",OFFSET($AT$2,X97,0)-OFFSET($AZ$2,X97,0))</f>
        <v/>
      </c>
      <c r="AA103" s="2910"/>
      <c r="AB103" s="65"/>
    </row>
    <row r="104" spans="1:54" ht="12.95" hidden="1" customHeight="1" thickBot="1" x14ac:dyDescent="0.25">
      <c r="A104" s="65"/>
      <c r="B104" s="2929" t="s">
        <v>476</v>
      </c>
      <c r="C104" s="2930"/>
      <c r="D104" s="2922" t="str">
        <f ca="1">IF(ISBLANK(OFFSET($AP$2,D97,0)),"",OFFSET($AV$2,D97,0))</f>
        <v/>
      </c>
      <c r="E104" s="2923"/>
      <c r="F104" s="2924" t="str">
        <f ca="1">IF(ISBLANK(OFFSET($AP$2,D97,0)),"",OFFSET($AV$2,D97,0)-OFFSET($BB$2,D97,0))</f>
        <v/>
      </c>
      <c r="G104" s="2925"/>
      <c r="H104" s="2922" t="str">
        <f ca="1">IF(ISBLANK(OFFSET($AP$2,H97,0)),"",OFFSET($AV$2,H97,0))</f>
        <v/>
      </c>
      <c r="I104" s="2923"/>
      <c r="J104" s="2924" t="str">
        <f ca="1">IF(ISBLANK(OFFSET($AP$2,H97,0)),"",OFFSET($AV$2,H97,0)-OFFSET($BB$2,H97,0))</f>
        <v/>
      </c>
      <c r="K104" s="2925"/>
      <c r="L104" s="2922" t="str">
        <f ca="1">IF(ISBLANK(OFFSET($AP$2,L97,0)),"",OFFSET($AV$2,L97,0))</f>
        <v/>
      </c>
      <c r="M104" s="2923"/>
      <c r="N104" s="2924" t="str">
        <f ca="1">IF(ISBLANK(OFFSET($AP$2,L97,0)),"",OFFSET($AV$2,L97,0)-OFFSET($BB$2,L97,0))</f>
        <v/>
      </c>
      <c r="O104" s="2925"/>
      <c r="P104" s="2922" t="str">
        <f ca="1">IF(ISBLANK(OFFSET($AP$2,P97,0)),"",OFFSET($AV$2,P97,0))</f>
        <v/>
      </c>
      <c r="Q104" s="2923"/>
      <c r="R104" s="2924" t="str">
        <f ca="1">IF(ISBLANK(OFFSET($AP$2,P97,0)),"",OFFSET($AV$2,P97,0)-OFFSET($BB$2,P97,0))</f>
        <v/>
      </c>
      <c r="S104" s="2925"/>
      <c r="T104" s="2922" t="str">
        <f ca="1">IF(ISBLANK(OFFSET($AP$2,T97,0)),"",OFFSET($AV$2,T97,0))</f>
        <v/>
      </c>
      <c r="U104" s="2923"/>
      <c r="V104" s="2924" t="str">
        <f ca="1">IF(ISBLANK(OFFSET($AP$2,T97,0)),"",OFFSET($AV$2,T97,0)-OFFSET($BB$2,T97,0))</f>
        <v/>
      </c>
      <c r="W104" s="2925"/>
      <c r="X104" s="2922" t="str">
        <f ca="1">IF(ISBLANK(OFFSET($AP$2,X97,0)),"",OFFSET($AV$2,X97,0))</f>
        <v/>
      </c>
      <c r="Y104" s="2923"/>
      <c r="Z104" s="2924" t="str">
        <f ca="1">IF(ISBLANK(OFFSET($AP$2,X97,0)),"",OFFSET($AV$2,X97,0)-OFFSET($BB$2,X97,0))</f>
        <v/>
      </c>
      <c r="AA104" s="2925"/>
      <c r="AB104" s="65"/>
    </row>
    <row r="105" spans="1:54" ht="12.95" hidden="1" customHeight="1" thickBot="1" x14ac:dyDescent="0.25">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5" hidden="1" customHeight="1" x14ac:dyDescent="0.2">
      <c r="A106" s="65"/>
      <c r="B106" s="47"/>
      <c r="C106" s="48"/>
      <c r="D106" s="2926" t="str">
        <f ca="1">IF(ISBLANK(OFFSET($AP$2,D105,0)),"",CONCATENATE("Seq. ",OFFSET($AP$2,D105,0)))</f>
        <v/>
      </c>
      <c r="E106" s="2927"/>
      <c r="F106" s="2927"/>
      <c r="G106" s="2928"/>
      <c r="H106" s="2926" t="str">
        <f ca="1">IF(ISBLANK(OFFSET($AP$2,H105,0)),"",CONCATENATE("Seq. ",OFFSET($AP$2,H105,0)))</f>
        <v/>
      </c>
      <c r="I106" s="2927"/>
      <c r="J106" s="2927"/>
      <c r="K106" s="2928"/>
      <c r="L106" s="2926" t="str">
        <f ca="1">IF(ISBLANK(OFFSET($AP$2,L105,0)),"",CONCATENATE("Seq. ",OFFSET($AP$2,L105,0)))</f>
        <v/>
      </c>
      <c r="M106" s="2927"/>
      <c r="N106" s="2927"/>
      <c r="O106" s="2928"/>
      <c r="P106" s="2926" t="str">
        <f ca="1">IF(ISBLANK(OFFSET($AP$2,P105,0)),"",CONCATENATE("Seq. ",OFFSET($AP$2,P105,0)))</f>
        <v/>
      </c>
      <c r="Q106" s="2927"/>
      <c r="R106" s="2927"/>
      <c r="S106" s="2928"/>
      <c r="T106" s="2926" t="str">
        <f ca="1">IF(ISBLANK(OFFSET($AP$2,T105,0)),"",CONCATENATE("Seq. ",OFFSET($AP$2,T105,0)))</f>
        <v/>
      </c>
      <c r="U106" s="2927"/>
      <c r="V106" s="2927"/>
      <c r="W106" s="2928"/>
      <c r="X106" s="2926" t="str">
        <f ca="1">IF(ISBLANK(OFFSET($AP$2,X105,0)),"",CONCATENATE("Seq. ",OFFSET($AP$2,X105,0)))</f>
        <v/>
      </c>
      <c r="Y106" s="2927"/>
      <c r="Z106" s="2927"/>
      <c r="AA106" s="2928"/>
      <c r="AB106" s="65"/>
    </row>
    <row r="107" spans="1:54" ht="12.95" hidden="1" customHeight="1" thickBot="1" x14ac:dyDescent="0.25">
      <c r="A107" s="65"/>
      <c r="B107" s="47"/>
      <c r="C107" s="48"/>
      <c r="D107" s="2915" t="s">
        <v>477</v>
      </c>
      <c r="E107" s="2916"/>
      <c r="F107" s="2916" t="s">
        <v>478</v>
      </c>
      <c r="G107" s="2917"/>
      <c r="H107" s="2915" t="s">
        <v>477</v>
      </c>
      <c r="I107" s="2916"/>
      <c r="J107" s="2916" t="s">
        <v>478</v>
      </c>
      <c r="K107" s="2917"/>
      <c r="L107" s="2915" t="s">
        <v>477</v>
      </c>
      <c r="M107" s="2916"/>
      <c r="N107" s="2916" t="s">
        <v>478</v>
      </c>
      <c r="O107" s="2917"/>
      <c r="P107" s="2915" t="s">
        <v>477</v>
      </c>
      <c r="Q107" s="2916"/>
      <c r="R107" s="2916" t="s">
        <v>478</v>
      </c>
      <c r="S107" s="2917"/>
      <c r="T107" s="2915" t="s">
        <v>477</v>
      </c>
      <c r="U107" s="2916"/>
      <c r="V107" s="2916" t="s">
        <v>478</v>
      </c>
      <c r="W107" s="2917"/>
      <c r="X107" s="2915" t="s">
        <v>477</v>
      </c>
      <c r="Y107" s="2916"/>
      <c r="Z107" s="2916" t="s">
        <v>478</v>
      </c>
      <c r="AA107" s="2917"/>
      <c r="AB107" s="65"/>
    </row>
    <row r="108" spans="1:54" ht="12.95" hidden="1" customHeight="1" x14ac:dyDescent="0.2">
      <c r="A108" s="65"/>
      <c r="B108" s="2920" t="s">
        <v>74</v>
      </c>
      <c r="C108" s="2921"/>
      <c r="D108" s="2911" t="str">
        <f ca="1">IF(ISBLANK(OFFSET($AP$2,D105,0)),"",OFFSET($AQ$2,D105,0)+OFFSET($AU$2,D105,0))</f>
        <v/>
      </c>
      <c r="E108" s="2912"/>
      <c r="F108" s="2909" t="str">
        <f ca="1">IF(ISBLANK(OFFSET($AP$2,D105,0)),"",(OFFSET($AQ$2,D105,0)+OFFSET($AU$2,D105,0))-(OFFSET($AW$2,D105,0)+OFFSET($BA$2,D105,0)))</f>
        <v/>
      </c>
      <c r="G108" s="2910"/>
      <c r="H108" s="2911" t="str">
        <f ca="1">IF(ISBLANK(OFFSET($AP$2,H105,0)),"",OFFSET($AQ$2,H105,0)+OFFSET($AU$2,H105,0))</f>
        <v/>
      </c>
      <c r="I108" s="2912"/>
      <c r="J108" s="2909" t="str">
        <f ca="1">IF(ISBLANK(OFFSET($AP$2,H105,0)),"",(OFFSET($AQ$2,H105,0)+OFFSET($AU$2,H105,0))-(OFFSET($AW$2,H105,0)+OFFSET($BA$2,H105,0)))</f>
        <v/>
      </c>
      <c r="K108" s="2910"/>
      <c r="L108" s="2911" t="str">
        <f ca="1">IF(ISBLANK(OFFSET($AP$2,L105,0)),"",OFFSET($AQ$2,L105,0)+OFFSET($AU$2,L105,0))</f>
        <v/>
      </c>
      <c r="M108" s="2912"/>
      <c r="N108" s="2909" t="str">
        <f ca="1">IF(ISBLANK(OFFSET($AP$2,L105,0)),"",(OFFSET($AQ$2,L105,0)+OFFSET($AU$2,L105,0))-(OFFSET($AW$2,L105,0)+OFFSET($BA$2,L105,0)))</f>
        <v/>
      </c>
      <c r="O108" s="2910"/>
      <c r="P108" s="2911" t="str">
        <f ca="1">IF(ISBLANK(OFFSET($AP$2,P105,0)),"",OFFSET($AQ$2,P105,0)+OFFSET($AU$2,P105,0))</f>
        <v/>
      </c>
      <c r="Q108" s="2912"/>
      <c r="R108" s="2909" t="str">
        <f ca="1">IF(ISBLANK(OFFSET($AP$2,P105,0)),"",(OFFSET($AQ$2,P105,0)+OFFSET($AU$2,P105,0))-(OFFSET($AW$2,P105,0)+OFFSET($BA$2,P105,0)))</f>
        <v/>
      </c>
      <c r="S108" s="2910"/>
      <c r="T108" s="2911" t="str">
        <f ca="1">IF(ISBLANK(OFFSET($AP$2,T105,0)),"",OFFSET($AQ$2,T105,0)+OFFSET($AU$2,T105,0))</f>
        <v/>
      </c>
      <c r="U108" s="2912"/>
      <c r="V108" s="2909" t="str">
        <f ca="1">IF(ISBLANK(OFFSET($AP$2,T105,0)),"",(OFFSET($AQ$2,T105,0)+OFFSET($AU$2,T105,0))-(OFFSET($AW$2,T105,0)+OFFSET($BA$2,T105,0)))</f>
        <v/>
      </c>
      <c r="W108" s="2910"/>
      <c r="X108" s="2911" t="str">
        <f ca="1">IF(ISBLANK(OFFSET($AP$2,X105,0)),"",OFFSET($AQ$2,X105,0)+OFFSET($AU$2,X105,0))</f>
        <v/>
      </c>
      <c r="Y108" s="2912"/>
      <c r="Z108" s="2909" t="str">
        <f ca="1">IF(ISBLANK(OFFSET($AP$2,X105,0)),"",(OFFSET($AQ$2,X105,0)+OFFSET($AU$2,X105,0))-(OFFSET($AW$2,X105,0)+OFFSET($BA$2,X105,0)))</f>
        <v/>
      </c>
      <c r="AA108" s="2910"/>
      <c r="AB108" s="65"/>
    </row>
    <row r="109" spans="1:54" ht="12.95" hidden="1" customHeight="1" x14ac:dyDescent="0.2">
      <c r="A109" s="65"/>
      <c r="B109" s="2913" t="s">
        <v>474</v>
      </c>
      <c r="C109" s="2914"/>
      <c r="D109" s="2911" t="str">
        <f ca="1">IF(ISBLANK(OFFSET($AP$2,D105,0)),"",OFFSET($AR$2,D105,0))</f>
        <v/>
      </c>
      <c r="E109" s="2912"/>
      <c r="F109" s="2909" t="str">
        <f ca="1">IF(ISBLANK(OFFSET($AP$2,D105,0)),"",OFFSET($AR$2,D105,0)-OFFSET($AX$2,D105,0))</f>
        <v/>
      </c>
      <c r="G109" s="2910"/>
      <c r="H109" s="2911" t="str">
        <f ca="1">IF(ISBLANK(OFFSET($AP$2,H105,0)),"",OFFSET($AR$2,H105,0))</f>
        <v/>
      </c>
      <c r="I109" s="2912"/>
      <c r="J109" s="2909" t="str">
        <f ca="1">IF(ISBLANK(OFFSET($AP$2,H105,0)),"",OFFSET($AR$2,H105,0)-OFFSET($AX$2,H105,0))</f>
        <v/>
      </c>
      <c r="K109" s="2910"/>
      <c r="L109" s="2911" t="str">
        <f ca="1">IF(ISBLANK(OFFSET($AP$2,L105,0)),"",OFFSET($AR$2,L105,0))</f>
        <v/>
      </c>
      <c r="M109" s="2912"/>
      <c r="N109" s="2909" t="str">
        <f ca="1">IF(ISBLANK(OFFSET($AP$2,L105,0)),"",OFFSET($AR$2,L105,0)-OFFSET($AX$2,L105,0))</f>
        <v/>
      </c>
      <c r="O109" s="2910"/>
      <c r="P109" s="2911" t="str">
        <f ca="1">IF(ISBLANK(OFFSET($AP$2,P105,0)),"",OFFSET($AR$2,P105,0))</f>
        <v/>
      </c>
      <c r="Q109" s="2912"/>
      <c r="R109" s="2909" t="str">
        <f ca="1">IF(ISBLANK(OFFSET($AP$2,P105,0)),"",OFFSET($AR$2,P105,0)-OFFSET($AX$2,P105,0))</f>
        <v/>
      </c>
      <c r="S109" s="2910"/>
      <c r="T109" s="2911" t="str">
        <f ca="1">IF(ISBLANK(OFFSET($AP$2,T105,0)),"",OFFSET($AR$2,T105,0))</f>
        <v/>
      </c>
      <c r="U109" s="2912"/>
      <c r="V109" s="2909" t="str">
        <f ca="1">IF(ISBLANK(OFFSET($AP$2,T105,0)),"",OFFSET($AR$2,T105,0)-OFFSET($AX$2,T105,0))</f>
        <v/>
      </c>
      <c r="W109" s="2910"/>
      <c r="X109" s="2911" t="str">
        <f ca="1">IF(ISBLANK(OFFSET($AP$2,X105,0)),"",OFFSET($AR$2,X105,0))</f>
        <v/>
      </c>
      <c r="Y109" s="2912"/>
      <c r="Z109" s="2909" t="str">
        <f ca="1">IF(ISBLANK(OFFSET($AP$2,X105,0)),"",OFFSET($AR$2,X105,0)-OFFSET($AX$2,X105,0))</f>
        <v/>
      </c>
      <c r="AA109" s="2910"/>
      <c r="AB109" s="65"/>
    </row>
    <row r="110" spans="1:54" ht="12.95" hidden="1" customHeight="1" x14ac:dyDescent="0.2">
      <c r="A110" s="65"/>
      <c r="B110" s="2913" t="s">
        <v>475</v>
      </c>
      <c r="C110" s="2914"/>
      <c r="D110" s="2911" t="str">
        <f ca="1">IF(ISBLANK(OFFSET($AP$2,D105,0)),"",OFFSET($AS$2,D105,0))</f>
        <v/>
      </c>
      <c r="E110" s="2912"/>
      <c r="F110" s="2909" t="str">
        <f ca="1">IF(ISBLANK(OFFSET($AP$2,D105,0)),"",OFFSET($AS$2,D105,0)-OFFSET($AY$2,D105,0))</f>
        <v/>
      </c>
      <c r="G110" s="2910"/>
      <c r="H110" s="2911" t="str">
        <f ca="1">IF(ISBLANK(OFFSET($AP$2,H105,0)),"",OFFSET($AS$2,H105,0))</f>
        <v/>
      </c>
      <c r="I110" s="2912"/>
      <c r="J110" s="2909" t="str">
        <f ca="1">IF(ISBLANK(OFFSET($AP$2,H105,0)),"",OFFSET($AS$2,H105,0)-OFFSET($AY$2,H105,0))</f>
        <v/>
      </c>
      <c r="K110" s="2910"/>
      <c r="L110" s="2911" t="str">
        <f ca="1">IF(ISBLANK(OFFSET($AP$2,L105,0)),"",OFFSET($AS$2,L105,0))</f>
        <v/>
      </c>
      <c r="M110" s="2912"/>
      <c r="N110" s="2909" t="str">
        <f ca="1">IF(ISBLANK(OFFSET($AP$2,L105,0)),"",OFFSET($AS$2,L105,0)-OFFSET($AY$2,L105,0))</f>
        <v/>
      </c>
      <c r="O110" s="2910"/>
      <c r="P110" s="2911" t="str">
        <f ca="1">IF(ISBLANK(OFFSET($AP$2,P105,0)),"",OFFSET($AS$2,P105,0))</f>
        <v/>
      </c>
      <c r="Q110" s="2912"/>
      <c r="R110" s="2909" t="str">
        <f ca="1">IF(ISBLANK(OFFSET($AP$2,P105,0)),"",OFFSET($AS$2,P105,0)-OFFSET($AY$2,P105,0))</f>
        <v/>
      </c>
      <c r="S110" s="2910"/>
      <c r="T110" s="2911" t="str">
        <f ca="1">IF(ISBLANK(OFFSET($AP$2,T105,0)),"",OFFSET($AS$2,T105,0))</f>
        <v/>
      </c>
      <c r="U110" s="2912"/>
      <c r="V110" s="2909" t="str">
        <f ca="1">IF(ISBLANK(OFFSET($AP$2,T105,0)),"",OFFSET($AS$2,T105,0)-OFFSET($AY$2,T105,0))</f>
        <v/>
      </c>
      <c r="W110" s="2910"/>
      <c r="X110" s="2911" t="str">
        <f ca="1">IF(ISBLANK(OFFSET($AP$2,X105,0)),"",OFFSET($AS$2,X105,0))</f>
        <v/>
      </c>
      <c r="Y110" s="2912"/>
      <c r="Z110" s="2909" t="str">
        <f ca="1">IF(ISBLANK(OFFSET($AP$2,X105,0)),"",OFFSET($AS$2,X105,0)-OFFSET($AY$2,X105,0))</f>
        <v/>
      </c>
      <c r="AA110" s="2910"/>
      <c r="AB110" s="65"/>
    </row>
    <row r="111" spans="1:54" ht="12.95" hidden="1" customHeight="1" x14ac:dyDescent="0.2">
      <c r="A111" s="65"/>
      <c r="B111" s="2913" t="s">
        <v>76</v>
      </c>
      <c r="C111" s="2914"/>
      <c r="D111" s="2911" t="str">
        <f ca="1">IF(ISBLANK(OFFSET($AP$2,D105,0)),"",OFFSET($AT$2,D105,0))</f>
        <v/>
      </c>
      <c r="E111" s="2912"/>
      <c r="F111" s="2909" t="str">
        <f ca="1">IF(ISBLANK(OFFSET($AP$2,D105,0)),"",OFFSET($AT$2,D105,0)-OFFSET($AZ$2,D105,0))</f>
        <v/>
      </c>
      <c r="G111" s="2910"/>
      <c r="H111" s="2911" t="str">
        <f ca="1">IF(ISBLANK(OFFSET($AP$2,H105,0)),"",OFFSET($AT$2,H105,0))</f>
        <v/>
      </c>
      <c r="I111" s="2912"/>
      <c r="J111" s="2909" t="str">
        <f ca="1">IF(ISBLANK(OFFSET($AP$2,H105,0)),"",OFFSET($AT$2,H105,0)-OFFSET($AZ$2,H105,0))</f>
        <v/>
      </c>
      <c r="K111" s="2910"/>
      <c r="L111" s="2911" t="str">
        <f ca="1">IF(ISBLANK(OFFSET($AP$2,L105,0)),"",OFFSET($AT$2,L105,0))</f>
        <v/>
      </c>
      <c r="M111" s="2912"/>
      <c r="N111" s="2909" t="str">
        <f ca="1">IF(ISBLANK(OFFSET($AP$2,L105,0)),"",OFFSET($AT$2,L105,0)-OFFSET($AZ$2,L105,0))</f>
        <v/>
      </c>
      <c r="O111" s="2910"/>
      <c r="P111" s="2911" t="str">
        <f ca="1">IF(ISBLANK(OFFSET($AP$2,P105,0)),"",OFFSET($AT$2,P105,0))</f>
        <v/>
      </c>
      <c r="Q111" s="2912"/>
      <c r="R111" s="2909" t="str">
        <f ca="1">IF(ISBLANK(OFFSET($AP$2,P105,0)),"",OFFSET($AT$2,P105,0)-OFFSET($AZ$2,P105,0))</f>
        <v/>
      </c>
      <c r="S111" s="2910"/>
      <c r="T111" s="2911" t="str">
        <f ca="1">IF(ISBLANK(OFFSET($AP$2,T105,0)),"",OFFSET($AT$2,T105,0))</f>
        <v/>
      </c>
      <c r="U111" s="2912"/>
      <c r="V111" s="2909" t="str">
        <f ca="1">IF(ISBLANK(OFFSET($AP$2,T105,0)),"",OFFSET($AT$2,T105,0)-OFFSET($AZ$2,T105,0))</f>
        <v/>
      </c>
      <c r="W111" s="2910"/>
      <c r="X111" s="2911" t="str">
        <f ca="1">IF(ISBLANK(OFFSET($AP$2,X105,0)),"",OFFSET($AT$2,X105,0))</f>
        <v/>
      </c>
      <c r="Y111" s="2912"/>
      <c r="Z111" s="2909" t="str">
        <f ca="1">IF(ISBLANK(OFFSET($AP$2,X105,0)),"",OFFSET($AT$2,X105,0)-OFFSET($AZ$2,X105,0))</f>
        <v/>
      </c>
      <c r="AA111" s="2910"/>
      <c r="AB111" s="65"/>
    </row>
    <row r="112" spans="1:54" ht="12.95" hidden="1" customHeight="1" thickBot="1" x14ac:dyDescent="0.25">
      <c r="A112" s="65"/>
      <c r="B112" s="2929" t="s">
        <v>476</v>
      </c>
      <c r="C112" s="2930"/>
      <c r="D112" s="2922" t="str">
        <f ca="1">IF(ISBLANK(OFFSET($AP$2,D105,0)),"",OFFSET($AV$2,D105,0))</f>
        <v/>
      </c>
      <c r="E112" s="2923"/>
      <c r="F112" s="2924" t="str">
        <f ca="1">IF(ISBLANK(OFFSET($AP$2,D105,0)),"",OFFSET($AV$2,D105,0)-OFFSET($BB$2,D105,0))</f>
        <v/>
      </c>
      <c r="G112" s="2925"/>
      <c r="H112" s="2922" t="str">
        <f ca="1">IF(ISBLANK(OFFSET($AP$2,H105,0)),"",OFFSET($AV$2,H105,0))</f>
        <v/>
      </c>
      <c r="I112" s="2923"/>
      <c r="J112" s="2924" t="str">
        <f ca="1">IF(ISBLANK(OFFSET($AP$2,H105,0)),"",OFFSET($AV$2,H105,0)-OFFSET($BB$2,H105,0))</f>
        <v/>
      </c>
      <c r="K112" s="2925"/>
      <c r="L112" s="2922" t="str">
        <f ca="1">IF(ISBLANK(OFFSET($AP$2,L105,0)),"",OFFSET($AV$2,L105,0))</f>
        <v/>
      </c>
      <c r="M112" s="2923"/>
      <c r="N112" s="2924" t="str">
        <f ca="1">IF(ISBLANK(OFFSET($AP$2,L105,0)),"",OFFSET($AV$2,L105,0)-OFFSET($BB$2,L105,0))</f>
        <v/>
      </c>
      <c r="O112" s="2925"/>
      <c r="P112" s="2922" t="str">
        <f ca="1">IF(ISBLANK(OFFSET($AP$2,P105,0)),"",OFFSET($AV$2,P105,0))</f>
        <v/>
      </c>
      <c r="Q112" s="2923"/>
      <c r="R112" s="2924" t="str">
        <f ca="1">IF(ISBLANK(OFFSET($AP$2,P105,0)),"",OFFSET($AV$2,P105,0)-OFFSET($BB$2,P105,0))</f>
        <v/>
      </c>
      <c r="S112" s="2925"/>
      <c r="T112" s="2922" t="str">
        <f ca="1">IF(ISBLANK(OFFSET($AP$2,T105,0)),"",OFFSET($AV$2,T105,0))</f>
        <v/>
      </c>
      <c r="U112" s="2923"/>
      <c r="V112" s="2924" t="str">
        <f ca="1">IF(ISBLANK(OFFSET($AP$2,T105,0)),"",OFFSET($AV$2,T105,0)-OFFSET($BB$2,T105,0))</f>
        <v/>
      </c>
      <c r="W112" s="2925"/>
      <c r="X112" s="2922" t="str">
        <f ca="1">IF(ISBLANK(OFFSET($AP$2,X105,0)),"",OFFSET($AV$2,X105,0))</f>
        <v/>
      </c>
      <c r="Y112" s="2923"/>
      <c r="Z112" s="2924" t="str">
        <f ca="1">IF(ISBLANK(OFFSET($AP$2,X105,0)),"",OFFSET($AV$2,X105,0)-OFFSET($BB$2,X105,0))</f>
        <v/>
      </c>
      <c r="AA112" s="2925"/>
      <c r="AB112" s="65"/>
    </row>
    <row r="113" spans="1:28" ht="15" hidden="1" customHeight="1" x14ac:dyDescent="0.25">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947" t="str">
        <f ca="1">X1</f>
        <v>775-428-0600</v>
      </c>
      <c r="Y113" s="2947"/>
      <c r="Z113" s="2947"/>
      <c r="AA113" s="2947"/>
      <c r="AB113" s="2947"/>
    </row>
    <row r="114" spans="1:28" ht="15" hidden="1" customHeight="1" x14ac:dyDescent="0.25">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947" t="str">
        <f ca="1">X2</f>
        <v>775-867-2140</v>
      </c>
      <c r="Y114" s="2947"/>
      <c r="Z114" s="2947"/>
      <c r="AA114" s="2947"/>
      <c r="AB114" s="2947"/>
    </row>
    <row r="115" spans="1:28" ht="15" hidden="1" customHeight="1" x14ac:dyDescent="0.25">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947" t="str">
        <f ca="1">X3</f>
        <v>775-867-2169</v>
      </c>
      <c r="Y115" s="2947"/>
      <c r="Z115" s="2947"/>
      <c r="AA115" s="2947"/>
      <c r="AB115" s="2947"/>
    </row>
    <row r="116" spans="1:28" ht="15" hidden="1" customHeight="1" x14ac:dyDescent="0.2">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947" t="str">
        <f ca="1">X4</f>
        <v>775-867-2060</v>
      </c>
      <c r="Y116" s="2947"/>
      <c r="Z116" s="2947"/>
      <c r="AA116" s="2947"/>
      <c r="AB116" s="2947"/>
    </row>
    <row r="117" spans="1:28" ht="12.95" hidden="1" customHeight="1" x14ac:dyDescent="0.2">
      <c r="A117" s="2946" t="str">
        <f ca="1">A5</f>
        <v>8200 Woolery Way | Fallon, NV 89406 | www.newmill.com</v>
      </c>
      <c r="B117" s="2946"/>
      <c r="C117" s="2946"/>
      <c r="D117" s="2946"/>
      <c r="E117" s="2946"/>
      <c r="F117" s="2946"/>
      <c r="G117" s="2946"/>
      <c r="H117" s="2946"/>
      <c r="I117" s="2946"/>
      <c r="J117" s="2946"/>
      <c r="K117" s="2946"/>
      <c r="L117" s="2946"/>
      <c r="M117" s="2946"/>
      <c r="N117" s="2946"/>
      <c r="O117" s="2946"/>
      <c r="P117" s="105"/>
      <c r="Q117" s="105"/>
      <c r="R117" s="106"/>
      <c r="S117" s="105"/>
      <c r="T117" s="105"/>
      <c r="U117" s="105"/>
      <c r="V117" s="107"/>
      <c r="W117" s="107"/>
      <c r="X117" s="56" t="s">
        <v>458</v>
      </c>
      <c r="Y117" s="2938">
        <f>Y5</f>
        <v>0</v>
      </c>
      <c r="Z117" s="2939"/>
      <c r="AA117" s="2939"/>
      <c r="AB117" s="105"/>
    </row>
    <row r="118" spans="1:28" ht="12.95" hidden="1" customHeight="1" x14ac:dyDescent="0.2">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940"/>
      <c r="Z118" s="2941"/>
      <c r="AA118" s="2941"/>
      <c r="AB118" s="105"/>
    </row>
    <row r="119" spans="1:28" ht="12.95" hidden="1" customHeight="1" x14ac:dyDescent="0.2">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942"/>
      <c r="Z119" s="2943"/>
      <c r="AA119" s="2943"/>
      <c r="AB119" s="105"/>
    </row>
    <row r="120" spans="1:28" ht="12.95" hidden="1" customHeight="1" x14ac:dyDescent="0.2">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944"/>
      <c r="Z120" s="2945"/>
      <c r="AA120" s="2945"/>
      <c r="AB120" s="105"/>
    </row>
    <row r="121" spans="1:28" ht="12.95" hidden="1" customHeight="1" x14ac:dyDescent="0.2">
      <c r="A121" s="2933" t="s">
        <v>1</v>
      </c>
      <c r="B121" s="2932"/>
      <c r="C121" s="2932"/>
      <c r="D121" s="2918" t="str">
        <f>D9</f>
        <v>SUNPOINT CROSSING</v>
      </c>
      <c r="E121" s="2918"/>
      <c r="F121" s="2918"/>
      <c r="G121" s="2918"/>
      <c r="H121" s="2918"/>
      <c r="I121" s="2918"/>
      <c r="J121" s="2918"/>
      <c r="K121" s="2918"/>
      <c r="L121" s="2918"/>
      <c r="M121" s="2918"/>
      <c r="N121" s="2918"/>
      <c r="O121" s="2918"/>
      <c r="P121" s="2919"/>
      <c r="Q121" s="110"/>
      <c r="R121" s="22" t="s">
        <v>2</v>
      </c>
      <c r="S121" s="2931" t="str">
        <f>S9</f>
        <v>9118-0062</v>
      </c>
      <c r="T121" s="2932"/>
      <c r="U121" s="2932"/>
      <c r="V121" s="2932"/>
      <c r="W121" s="2932"/>
      <c r="X121" s="110"/>
      <c r="Y121" s="110"/>
      <c r="Z121" s="110"/>
      <c r="AA121" s="110"/>
      <c r="AB121" s="111"/>
    </row>
    <row r="122" spans="1:28" ht="12.95" hidden="1" customHeight="1" x14ac:dyDescent="0.2">
      <c r="A122" s="2933" t="s">
        <v>3</v>
      </c>
      <c r="B122" s="2932"/>
      <c r="C122" s="2932"/>
      <c r="D122" s="2918" t="str">
        <f>D10</f>
        <v>LAS VEGAS, NV</v>
      </c>
      <c r="E122" s="2918"/>
      <c r="F122" s="2918"/>
      <c r="G122" s="2918"/>
      <c r="H122" s="2918"/>
      <c r="I122" s="2918"/>
      <c r="J122" s="2918"/>
      <c r="K122" s="2918"/>
      <c r="L122" s="2918"/>
      <c r="M122" s="2918"/>
      <c r="N122" s="2918"/>
      <c r="O122" s="2918"/>
      <c r="P122" s="2919"/>
      <c r="Q122" s="110"/>
      <c r="R122" s="22" t="s">
        <v>465</v>
      </c>
      <c r="S122" s="2934" t="str">
        <f>S10</f>
        <v>CJA</v>
      </c>
      <c r="T122" s="2932"/>
      <c r="U122" s="110"/>
      <c r="V122" s="112"/>
      <c r="W122" s="22" t="s">
        <v>466</v>
      </c>
      <c r="X122" s="2935" t="str">
        <f>X10</f>
        <v>LS</v>
      </c>
      <c r="Y122" s="2935"/>
      <c r="Z122" s="110"/>
      <c r="AA122" s="110"/>
      <c r="AB122" s="111"/>
    </row>
    <row r="123" spans="1:28" ht="12.95" hidden="1" customHeight="1" thickBot="1" x14ac:dyDescent="0.25">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5" hidden="1" customHeight="1" x14ac:dyDescent="0.2">
      <c r="A124" s="65"/>
      <c r="B124" s="47"/>
      <c r="C124" s="48"/>
      <c r="D124" s="2926" t="str">
        <f ca="1">IF(ISBLANK(OFFSET($AP$2,D123,0)),"",CONCATENATE("Seq. ",OFFSET($AP$2,D123,0)))</f>
        <v/>
      </c>
      <c r="E124" s="2927"/>
      <c r="F124" s="2927"/>
      <c r="G124" s="2928"/>
      <c r="H124" s="2926" t="str">
        <f ca="1">IF(ISBLANK(OFFSET($AP$2,H123,0)),"",CONCATENATE("Seq. ",OFFSET($AP$2,H123,0)))</f>
        <v/>
      </c>
      <c r="I124" s="2927"/>
      <c r="J124" s="2927"/>
      <c r="K124" s="2928"/>
      <c r="L124" s="2926" t="str">
        <f ca="1">IF(ISBLANK(OFFSET($AP$2,L123,0)),"",CONCATENATE("Seq. ",OFFSET($AP$2,L123,0)))</f>
        <v/>
      </c>
      <c r="M124" s="2927"/>
      <c r="N124" s="2927"/>
      <c r="O124" s="2928"/>
      <c r="P124" s="2926" t="str">
        <f ca="1">IF(ISBLANK(OFFSET($AP$2,P123,0)),"",CONCATENATE("Seq. ",OFFSET($AP$2,P123,0)))</f>
        <v/>
      </c>
      <c r="Q124" s="2927"/>
      <c r="R124" s="2927"/>
      <c r="S124" s="2928"/>
      <c r="T124" s="2926" t="str">
        <f ca="1">IF(ISBLANK(OFFSET($AP$2,T123,0)),"",CONCATENATE("Seq. ",OFFSET($AP$2,T123,0)))</f>
        <v/>
      </c>
      <c r="U124" s="2927"/>
      <c r="V124" s="2927"/>
      <c r="W124" s="2928"/>
      <c r="X124" s="2926" t="str">
        <f ca="1">IF(ISBLANK(OFFSET($AP$2,X123,0)),"",CONCATENATE("Seq. ",OFFSET($AP$2,X123,0)))</f>
        <v/>
      </c>
      <c r="Y124" s="2927"/>
      <c r="Z124" s="2927"/>
      <c r="AA124" s="2928"/>
      <c r="AB124" s="65"/>
    </row>
    <row r="125" spans="1:28" ht="12.95" hidden="1" customHeight="1" thickBot="1" x14ac:dyDescent="0.25">
      <c r="A125" s="65"/>
      <c r="B125" s="47"/>
      <c r="C125" s="48"/>
      <c r="D125" s="2915" t="s">
        <v>477</v>
      </c>
      <c r="E125" s="2916"/>
      <c r="F125" s="2916" t="s">
        <v>478</v>
      </c>
      <c r="G125" s="2917"/>
      <c r="H125" s="2915" t="s">
        <v>477</v>
      </c>
      <c r="I125" s="2916"/>
      <c r="J125" s="2916" t="s">
        <v>478</v>
      </c>
      <c r="K125" s="2917"/>
      <c r="L125" s="2915" t="s">
        <v>477</v>
      </c>
      <c r="M125" s="2916"/>
      <c r="N125" s="2916" t="s">
        <v>478</v>
      </c>
      <c r="O125" s="2917"/>
      <c r="P125" s="2915" t="s">
        <v>477</v>
      </c>
      <c r="Q125" s="2916"/>
      <c r="R125" s="2916" t="s">
        <v>478</v>
      </c>
      <c r="S125" s="2917"/>
      <c r="T125" s="2915" t="s">
        <v>477</v>
      </c>
      <c r="U125" s="2916"/>
      <c r="V125" s="2916" t="s">
        <v>478</v>
      </c>
      <c r="W125" s="2917"/>
      <c r="X125" s="2915" t="s">
        <v>477</v>
      </c>
      <c r="Y125" s="2916"/>
      <c r="Z125" s="2916" t="s">
        <v>478</v>
      </c>
      <c r="AA125" s="2917"/>
      <c r="AB125" s="65"/>
    </row>
    <row r="126" spans="1:28" ht="12.95" hidden="1" customHeight="1" x14ac:dyDescent="0.2">
      <c r="A126" s="65"/>
      <c r="B126" s="2920" t="s">
        <v>74</v>
      </c>
      <c r="C126" s="2921"/>
      <c r="D126" s="2911" t="str">
        <f ca="1">IF(ISBLANK(OFFSET($AP$2,D123,0)),"",OFFSET($AQ$2,D123,0)+OFFSET($AU$2,D123,0))</f>
        <v/>
      </c>
      <c r="E126" s="2912"/>
      <c r="F126" s="2909" t="str">
        <f ca="1">IF(ISBLANK(OFFSET($AP$2,D123,0)),"",(OFFSET($AQ$2,D123,0)+OFFSET($AU$2,D123,0))-(OFFSET($AW$2,D123,0)+OFFSET($BA$2,D123,0)))</f>
        <v/>
      </c>
      <c r="G126" s="2910"/>
      <c r="H126" s="2911" t="str">
        <f ca="1">IF(ISBLANK(OFFSET($AP$2,H123,0)),"",OFFSET($AQ$2,H123,0)+OFFSET($AU$2,H123,0))</f>
        <v/>
      </c>
      <c r="I126" s="2912"/>
      <c r="J126" s="2909" t="str">
        <f ca="1">IF(ISBLANK(OFFSET($AP$2,H123,0)),"",(OFFSET($AQ$2,H123,0)+OFFSET($AU$2,H123,0))-(OFFSET($AW$2,H123,0)+OFFSET($BA$2,H123,0)))</f>
        <v/>
      </c>
      <c r="K126" s="2910"/>
      <c r="L126" s="2911" t="str">
        <f ca="1">IF(ISBLANK(OFFSET($AP$2,L123,0)),"",OFFSET($AQ$2,L123,0)+OFFSET($AU$2,L123,0))</f>
        <v/>
      </c>
      <c r="M126" s="2912"/>
      <c r="N126" s="2909" t="str">
        <f ca="1">IF(ISBLANK(OFFSET($AP$2,L123,0)),"",(OFFSET($AQ$2,L123,0)+OFFSET($AU$2,L123,0))-(OFFSET($AW$2,L123,0)+OFFSET($BA$2,L123,0)))</f>
        <v/>
      </c>
      <c r="O126" s="2910"/>
      <c r="P126" s="2911" t="str">
        <f ca="1">IF(ISBLANK(OFFSET($AP$2,P123,0)),"",OFFSET($AQ$2,P123,0)+OFFSET($AU$2,P123,0))</f>
        <v/>
      </c>
      <c r="Q126" s="2912"/>
      <c r="R126" s="2909" t="str">
        <f ca="1">IF(ISBLANK(OFFSET($AP$2,P123,0)),"",(OFFSET($AQ$2,P123,0)+OFFSET($AU$2,P123,0))-(OFFSET($AW$2,P123,0)+OFFSET($BA$2,P123,0)))</f>
        <v/>
      </c>
      <c r="S126" s="2910"/>
      <c r="T126" s="2911" t="str">
        <f ca="1">IF(ISBLANK(OFFSET($AP$2,T123,0)),"",OFFSET($AQ$2,T123,0)+OFFSET($AU$2,T123,0))</f>
        <v/>
      </c>
      <c r="U126" s="2912"/>
      <c r="V126" s="2909" t="str">
        <f ca="1">IF(ISBLANK(OFFSET($AP$2,T123,0)),"",(OFFSET($AQ$2,T123,0)+OFFSET($AU$2,T123,0))-(OFFSET($AW$2,T123,0)+OFFSET($BA$2,T123,0)))</f>
        <v/>
      </c>
      <c r="W126" s="2910"/>
      <c r="X126" s="2911" t="str">
        <f ca="1">IF(ISBLANK(OFFSET($AP$2,X123,0)),"",OFFSET($AQ$2,X123,0)+OFFSET($AU$2,X123,0))</f>
        <v/>
      </c>
      <c r="Y126" s="2912"/>
      <c r="Z126" s="2909" t="str">
        <f ca="1">IF(ISBLANK(OFFSET($AP$2,X123,0)),"",(OFFSET($AQ$2,X123,0)+OFFSET($AU$2,X123,0))-(OFFSET($AW$2,X123,0)+OFFSET($BA$2,X123,0)))</f>
        <v/>
      </c>
      <c r="AA126" s="2910"/>
      <c r="AB126" s="65"/>
    </row>
    <row r="127" spans="1:28" ht="12.95" hidden="1" customHeight="1" x14ac:dyDescent="0.2">
      <c r="A127" s="65"/>
      <c r="B127" s="2913" t="s">
        <v>474</v>
      </c>
      <c r="C127" s="2914"/>
      <c r="D127" s="2911" t="str">
        <f ca="1">IF(ISBLANK(OFFSET($AP$2,D123,0)),"",OFFSET($AR$2,D123,0))</f>
        <v/>
      </c>
      <c r="E127" s="2912"/>
      <c r="F127" s="2909" t="str">
        <f ca="1">IF(ISBLANK(OFFSET($AP$2,D123,0)),"",OFFSET($AR$2,D123,0)-OFFSET($AX$2,D123,0))</f>
        <v/>
      </c>
      <c r="G127" s="2910"/>
      <c r="H127" s="2911" t="str">
        <f ca="1">IF(ISBLANK(OFFSET($AP$2,H123,0)),"",OFFSET($AR$2,H123,0))</f>
        <v/>
      </c>
      <c r="I127" s="2912"/>
      <c r="J127" s="2909" t="str">
        <f ca="1">IF(ISBLANK(OFFSET($AP$2,H123,0)),"",OFFSET($AR$2,H123,0)-OFFSET($AX$2,H123,0))</f>
        <v/>
      </c>
      <c r="K127" s="2910"/>
      <c r="L127" s="2911" t="str">
        <f ca="1">IF(ISBLANK(OFFSET($AP$2,L123,0)),"",OFFSET($AR$2,L123,0))</f>
        <v/>
      </c>
      <c r="M127" s="2912"/>
      <c r="N127" s="2909" t="str">
        <f ca="1">IF(ISBLANK(OFFSET($AP$2,L123,0)),"",OFFSET($AR$2,L123,0)-OFFSET($AX$2,L123,0))</f>
        <v/>
      </c>
      <c r="O127" s="2910"/>
      <c r="P127" s="2911" t="str">
        <f ca="1">IF(ISBLANK(OFFSET($AP$2,P123,0)),"",OFFSET($AR$2,P123,0))</f>
        <v/>
      </c>
      <c r="Q127" s="2912"/>
      <c r="R127" s="2909" t="str">
        <f ca="1">IF(ISBLANK(OFFSET($AP$2,P123,0)),"",OFFSET($AR$2,P123,0)-OFFSET($AX$2,P123,0))</f>
        <v/>
      </c>
      <c r="S127" s="2910"/>
      <c r="T127" s="2911" t="str">
        <f ca="1">IF(ISBLANK(OFFSET($AP$2,T123,0)),"",OFFSET($AR$2,T123,0))</f>
        <v/>
      </c>
      <c r="U127" s="2912"/>
      <c r="V127" s="2909" t="str">
        <f ca="1">IF(ISBLANK(OFFSET($AP$2,T123,0)),"",OFFSET($AR$2,T123,0)-OFFSET($AX$2,T123,0))</f>
        <v/>
      </c>
      <c r="W127" s="2910"/>
      <c r="X127" s="2911" t="str">
        <f ca="1">IF(ISBLANK(OFFSET($AP$2,X123,0)),"",OFFSET($AR$2,X123,0))</f>
        <v/>
      </c>
      <c r="Y127" s="2912"/>
      <c r="Z127" s="2909" t="str">
        <f ca="1">IF(ISBLANK(OFFSET($AP$2,X123,0)),"",OFFSET($AR$2,X123,0)-OFFSET($AX$2,X123,0))</f>
        <v/>
      </c>
      <c r="AA127" s="2910"/>
      <c r="AB127" s="65"/>
    </row>
    <row r="128" spans="1:28" ht="12.95" hidden="1" customHeight="1" x14ac:dyDescent="0.2">
      <c r="A128" s="65"/>
      <c r="B128" s="2913" t="s">
        <v>475</v>
      </c>
      <c r="C128" s="2914"/>
      <c r="D128" s="2911" t="str">
        <f ca="1">IF(ISBLANK(OFFSET($AP$2,D123,0)),"",OFFSET($AS$2,D123,0))</f>
        <v/>
      </c>
      <c r="E128" s="2912"/>
      <c r="F128" s="2909" t="str">
        <f ca="1">IF(ISBLANK(OFFSET($AP$2,D123,0)),"",OFFSET($AS$2,D123,0)-OFFSET($AY$2,D123,0))</f>
        <v/>
      </c>
      <c r="G128" s="2910"/>
      <c r="H128" s="2911" t="str">
        <f ca="1">IF(ISBLANK(OFFSET($AP$2,H123,0)),"",OFFSET($AS$2,H123,0))</f>
        <v/>
      </c>
      <c r="I128" s="2912"/>
      <c r="J128" s="2909" t="str">
        <f ca="1">IF(ISBLANK(OFFSET($AP$2,H123,0)),"",OFFSET($AS$2,H123,0)-OFFSET($AY$2,H123,0))</f>
        <v/>
      </c>
      <c r="K128" s="2910"/>
      <c r="L128" s="2911" t="str">
        <f ca="1">IF(ISBLANK(OFFSET($AP$2,L123,0)),"",OFFSET($AS$2,L123,0))</f>
        <v/>
      </c>
      <c r="M128" s="2912"/>
      <c r="N128" s="2909" t="str">
        <f ca="1">IF(ISBLANK(OFFSET($AP$2,L123,0)),"",OFFSET($AS$2,L123,0)-OFFSET($AY$2,L123,0))</f>
        <v/>
      </c>
      <c r="O128" s="2910"/>
      <c r="P128" s="2911" t="str">
        <f ca="1">IF(ISBLANK(OFFSET($AP$2,P123,0)),"",OFFSET($AS$2,P123,0))</f>
        <v/>
      </c>
      <c r="Q128" s="2912"/>
      <c r="R128" s="2909" t="str">
        <f ca="1">IF(ISBLANK(OFFSET($AP$2,P123,0)),"",OFFSET($AS$2,P123,0)-OFFSET($AY$2,P123,0))</f>
        <v/>
      </c>
      <c r="S128" s="2910"/>
      <c r="T128" s="2911" t="str">
        <f ca="1">IF(ISBLANK(OFFSET($AP$2,T123,0)),"",OFFSET($AS$2,T123,0))</f>
        <v/>
      </c>
      <c r="U128" s="2912"/>
      <c r="V128" s="2909" t="str">
        <f ca="1">IF(ISBLANK(OFFSET($AP$2,T123,0)),"",OFFSET($AS$2,T123,0)-OFFSET($AY$2,T123,0))</f>
        <v/>
      </c>
      <c r="W128" s="2910"/>
      <c r="X128" s="2911" t="str">
        <f ca="1">IF(ISBLANK(OFFSET($AP$2,X123,0)),"",OFFSET($AS$2,X123,0))</f>
        <v/>
      </c>
      <c r="Y128" s="2912"/>
      <c r="Z128" s="2909" t="str">
        <f ca="1">IF(ISBLANK(OFFSET($AP$2,X123,0)),"",OFFSET($AS$2,X123,0)-OFFSET($AY$2,X123,0))</f>
        <v/>
      </c>
      <c r="AA128" s="2910"/>
      <c r="AB128" s="65"/>
    </row>
    <row r="129" spans="1:28" ht="12.95" hidden="1" customHeight="1" x14ac:dyDescent="0.2">
      <c r="A129" s="65"/>
      <c r="B129" s="2913" t="s">
        <v>76</v>
      </c>
      <c r="C129" s="2914"/>
      <c r="D129" s="2911" t="str">
        <f ca="1">IF(ISBLANK(OFFSET($AP$2,D123,0)),"",OFFSET($AT$2,D123,0))</f>
        <v/>
      </c>
      <c r="E129" s="2912"/>
      <c r="F129" s="2909" t="str">
        <f ca="1">IF(ISBLANK(OFFSET($AP$2,D123,0)),"",OFFSET($AT$2,D123,0)-OFFSET($AZ$2,D123,0))</f>
        <v/>
      </c>
      <c r="G129" s="2910"/>
      <c r="H129" s="2911" t="str">
        <f ca="1">IF(ISBLANK(OFFSET($AP$2,H123,0)),"",OFFSET($AT$2,H123,0))</f>
        <v/>
      </c>
      <c r="I129" s="2912"/>
      <c r="J129" s="2909" t="str">
        <f ca="1">IF(ISBLANK(OFFSET($AP$2,H123,0)),"",OFFSET($AT$2,H123,0)-OFFSET($AZ$2,H123,0))</f>
        <v/>
      </c>
      <c r="K129" s="2910"/>
      <c r="L129" s="2911" t="str">
        <f ca="1">IF(ISBLANK(OFFSET($AP$2,L123,0)),"",OFFSET($AT$2,L123,0))</f>
        <v/>
      </c>
      <c r="M129" s="2912"/>
      <c r="N129" s="2909" t="str">
        <f ca="1">IF(ISBLANK(OFFSET($AP$2,L123,0)),"",OFFSET($AT$2,L123,0)-OFFSET($AZ$2,L123,0))</f>
        <v/>
      </c>
      <c r="O129" s="2910"/>
      <c r="P129" s="2911" t="str">
        <f ca="1">IF(ISBLANK(OFFSET($AP$2,P123,0)),"",OFFSET($AT$2,P123,0))</f>
        <v/>
      </c>
      <c r="Q129" s="2912"/>
      <c r="R129" s="2909" t="str">
        <f ca="1">IF(ISBLANK(OFFSET($AP$2,P123,0)),"",OFFSET($AT$2,P123,0)-OFFSET($AZ$2,P123,0))</f>
        <v/>
      </c>
      <c r="S129" s="2910"/>
      <c r="T129" s="2911" t="str">
        <f ca="1">IF(ISBLANK(OFFSET($AP$2,T123,0)),"",OFFSET($AT$2,T123,0))</f>
        <v/>
      </c>
      <c r="U129" s="2912"/>
      <c r="V129" s="2909" t="str">
        <f ca="1">IF(ISBLANK(OFFSET($AP$2,T123,0)),"",OFFSET($AT$2,T123,0)-OFFSET($AZ$2,T123,0))</f>
        <v/>
      </c>
      <c r="W129" s="2910"/>
      <c r="X129" s="2911" t="str">
        <f ca="1">IF(ISBLANK(OFFSET($AP$2,X123,0)),"",OFFSET($AT$2,X123,0))</f>
        <v/>
      </c>
      <c r="Y129" s="2912"/>
      <c r="Z129" s="2909" t="str">
        <f ca="1">IF(ISBLANK(OFFSET($AP$2,X123,0)),"",OFFSET($AT$2,X123,0)-OFFSET($AZ$2,X123,0))</f>
        <v/>
      </c>
      <c r="AA129" s="2910"/>
      <c r="AB129" s="65"/>
    </row>
    <row r="130" spans="1:28" ht="12.95" hidden="1" customHeight="1" thickBot="1" x14ac:dyDescent="0.25">
      <c r="A130" s="65"/>
      <c r="B130" s="2929" t="s">
        <v>476</v>
      </c>
      <c r="C130" s="2930"/>
      <c r="D130" s="2922" t="str">
        <f ca="1">IF(ISBLANK(OFFSET($AP$2,D123,0)),"",OFFSET($AV$2,D123,0))</f>
        <v/>
      </c>
      <c r="E130" s="2923"/>
      <c r="F130" s="2924" t="str">
        <f ca="1">IF(ISBLANK(OFFSET($AP$2,D123,0)),"",OFFSET($AV$2,D123,0)-OFFSET($BB$2,D123,0))</f>
        <v/>
      </c>
      <c r="G130" s="2925"/>
      <c r="H130" s="2922" t="str">
        <f ca="1">IF(ISBLANK(OFFSET($AP$2,H123,0)),"",OFFSET($AV$2,H123,0))</f>
        <v/>
      </c>
      <c r="I130" s="2923"/>
      <c r="J130" s="2924" t="str">
        <f ca="1">IF(ISBLANK(OFFSET($AP$2,H123,0)),"",OFFSET($AV$2,H123,0)-OFFSET($BB$2,H123,0))</f>
        <v/>
      </c>
      <c r="K130" s="2925"/>
      <c r="L130" s="2922" t="str">
        <f ca="1">IF(ISBLANK(OFFSET($AP$2,L123,0)),"",OFFSET($AV$2,L123,0))</f>
        <v/>
      </c>
      <c r="M130" s="2923"/>
      <c r="N130" s="2924" t="str">
        <f ca="1">IF(ISBLANK(OFFSET($AP$2,L123,0)),"",OFFSET($AV$2,L123,0)-OFFSET($BB$2,L123,0))</f>
        <v/>
      </c>
      <c r="O130" s="2925"/>
      <c r="P130" s="2922" t="str">
        <f ca="1">IF(ISBLANK(OFFSET($AP$2,P123,0)),"",OFFSET($AV$2,P123,0))</f>
        <v/>
      </c>
      <c r="Q130" s="2923"/>
      <c r="R130" s="2924" t="str">
        <f ca="1">IF(ISBLANK(OFFSET($AP$2,P123,0)),"",OFFSET($AV$2,P123,0)-OFFSET($BB$2,P123,0))</f>
        <v/>
      </c>
      <c r="S130" s="2925"/>
      <c r="T130" s="2922" t="str">
        <f ca="1">IF(ISBLANK(OFFSET($AP$2,T123,0)),"",OFFSET($AV$2,T123,0))</f>
        <v/>
      </c>
      <c r="U130" s="2923"/>
      <c r="V130" s="2924" t="str">
        <f ca="1">IF(ISBLANK(OFFSET($AP$2,T123,0)),"",OFFSET($AV$2,T123,0)-OFFSET($BB$2,T123,0))</f>
        <v/>
      </c>
      <c r="W130" s="2925"/>
      <c r="X130" s="2922" t="str">
        <f ca="1">IF(ISBLANK(OFFSET($AP$2,X123,0)),"",OFFSET($AV$2,X123,0))</f>
        <v/>
      </c>
      <c r="Y130" s="2923"/>
      <c r="Z130" s="2924" t="str">
        <f ca="1">IF(ISBLANK(OFFSET($AP$2,X123,0)),"",OFFSET($AV$2,X123,0)-OFFSET($BB$2,X123,0))</f>
        <v/>
      </c>
      <c r="AA130" s="2925"/>
      <c r="AB130" s="65"/>
    </row>
    <row r="131" spans="1:28" ht="12.95" hidden="1" customHeight="1" thickBot="1" x14ac:dyDescent="0.25">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5" hidden="1" customHeight="1" x14ac:dyDescent="0.2">
      <c r="A132" s="65"/>
      <c r="B132" s="47"/>
      <c r="C132" s="48"/>
      <c r="D132" s="2926" t="str">
        <f ca="1">IF(ISBLANK(OFFSET($AP$2,D131,0)),"",CONCATENATE("Seq. ",OFFSET($AP$2,D131,0)))</f>
        <v/>
      </c>
      <c r="E132" s="2927"/>
      <c r="F132" s="2927"/>
      <c r="G132" s="2928"/>
      <c r="H132" s="2926" t="str">
        <f ca="1">IF(ISBLANK(OFFSET($AP$2,H131,0)),"",CONCATENATE("Seq. ",OFFSET($AP$2,H131,0)))</f>
        <v/>
      </c>
      <c r="I132" s="2927"/>
      <c r="J132" s="2927"/>
      <c r="K132" s="2928"/>
      <c r="L132" s="2926" t="str">
        <f ca="1">IF(ISBLANK(OFFSET($AP$2,L131,0)),"",CONCATENATE("Seq. ",OFFSET($AP$2,L131,0)))</f>
        <v/>
      </c>
      <c r="M132" s="2927"/>
      <c r="N132" s="2927"/>
      <c r="O132" s="2928"/>
      <c r="P132" s="2926" t="str">
        <f ca="1">IF(ISBLANK(OFFSET($AP$2,P131,0)),"",CONCATENATE("Seq. ",OFFSET($AP$2,P131,0)))</f>
        <v/>
      </c>
      <c r="Q132" s="2927"/>
      <c r="R132" s="2927"/>
      <c r="S132" s="2928"/>
      <c r="T132" s="2926" t="str">
        <f ca="1">IF(ISBLANK(OFFSET($AP$2,T131,0)),"",CONCATENATE("Seq. ",OFFSET($AP$2,T131,0)))</f>
        <v/>
      </c>
      <c r="U132" s="2927"/>
      <c r="V132" s="2927"/>
      <c r="W132" s="2928"/>
      <c r="X132" s="2926" t="str">
        <f ca="1">IF(ISBLANK(OFFSET($AP$2,X131,0)),"",CONCATENATE("Seq. ",OFFSET($AP$2,X131,0)))</f>
        <v/>
      </c>
      <c r="Y132" s="2927"/>
      <c r="Z132" s="2927"/>
      <c r="AA132" s="2928"/>
      <c r="AB132" s="65"/>
    </row>
    <row r="133" spans="1:28" ht="12.95" hidden="1" customHeight="1" thickBot="1" x14ac:dyDescent="0.25">
      <c r="A133" s="65"/>
      <c r="B133" s="47"/>
      <c r="C133" s="48"/>
      <c r="D133" s="2915" t="s">
        <v>477</v>
      </c>
      <c r="E133" s="2916"/>
      <c r="F133" s="2916" t="s">
        <v>478</v>
      </c>
      <c r="G133" s="2917"/>
      <c r="H133" s="2915" t="s">
        <v>477</v>
      </c>
      <c r="I133" s="2916"/>
      <c r="J133" s="2916" t="s">
        <v>478</v>
      </c>
      <c r="K133" s="2917"/>
      <c r="L133" s="2915" t="s">
        <v>477</v>
      </c>
      <c r="M133" s="2916"/>
      <c r="N133" s="2916" t="s">
        <v>478</v>
      </c>
      <c r="O133" s="2917"/>
      <c r="P133" s="2915" t="s">
        <v>477</v>
      </c>
      <c r="Q133" s="2916"/>
      <c r="R133" s="2916" t="s">
        <v>478</v>
      </c>
      <c r="S133" s="2917"/>
      <c r="T133" s="2915" t="s">
        <v>477</v>
      </c>
      <c r="U133" s="2916"/>
      <c r="V133" s="2916" t="s">
        <v>478</v>
      </c>
      <c r="W133" s="2917"/>
      <c r="X133" s="2915" t="s">
        <v>477</v>
      </c>
      <c r="Y133" s="2916"/>
      <c r="Z133" s="2916" t="s">
        <v>478</v>
      </c>
      <c r="AA133" s="2917"/>
      <c r="AB133" s="65"/>
    </row>
    <row r="134" spans="1:28" ht="12.95" hidden="1" customHeight="1" x14ac:dyDescent="0.2">
      <c r="A134" s="65"/>
      <c r="B134" s="2920" t="s">
        <v>74</v>
      </c>
      <c r="C134" s="2921"/>
      <c r="D134" s="2911" t="str">
        <f ca="1">IF(ISBLANK(OFFSET($AP$2,D131,0)),"",OFFSET($AQ$2,D131,0)+OFFSET($AU$2,D131,0))</f>
        <v/>
      </c>
      <c r="E134" s="2912"/>
      <c r="F134" s="2909" t="str">
        <f ca="1">IF(ISBLANK(OFFSET($AP$2,D131,0)),"",(OFFSET($AQ$2,D131,0)+OFFSET($AU$2,D131,0))-(OFFSET($AW$2,D131,0)+OFFSET($BA$2,D131,0)))</f>
        <v/>
      </c>
      <c r="G134" s="2910"/>
      <c r="H134" s="2911" t="str">
        <f ca="1">IF(ISBLANK(OFFSET($AP$2,H131,0)),"",OFFSET($AQ$2,H131,0)+OFFSET($AU$2,H131,0))</f>
        <v/>
      </c>
      <c r="I134" s="2912"/>
      <c r="J134" s="2909" t="str">
        <f ca="1">IF(ISBLANK(OFFSET($AP$2,H131,0)),"",(OFFSET($AQ$2,H131,0)+OFFSET($AU$2,H131,0))-(OFFSET($AW$2,H131,0)+OFFSET($BA$2,H131,0)))</f>
        <v/>
      </c>
      <c r="K134" s="2910"/>
      <c r="L134" s="2911" t="str">
        <f ca="1">IF(ISBLANK(OFFSET($AP$2,L131,0)),"",OFFSET($AQ$2,L131,0)+OFFSET($AU$2,L131,0))</f>
        <v/>
      </c>
      <c r="M134" s="2912"/>
      <c r="N134" s="2909" t="str">
        <f ca="1">IF(ISBLANK(OFFSET($AP$2,L131,0)),"",(OFFSET($AQ$2,L131,0)+OFFSET($AU$2,L131,0))-(OFFSET($AW$2,L131,0)+OFFSET($BA$2,L131,0)))</f>
        <v/>
      </c>
      <c r="O134" s="2910"/>
      <c r="P134" s="2911" t="str">
        <f ca="1">IF(ISBLANK(OFFSET($AP$2,P131,0)),"",OFFSET($AQ$2,P131,0)+OFFSET($AU$2,P131,0))</f>
        <v/>
      </c>
      <c r="Q134" s="2912"/>
      <c r="R134" s="2909" t="str">
        <f ca="1">IF(ISBLANK(OFFSET($AP$2,P131,0)),"",(OFFSET($AQ$2,P131,0)+OFFSET($AU$2,P131,0))-(OFFSET($AW$2,P131,0)+OFFSET($BA$2,P131,0)))</f>
        <v/>
      </c>
      <c r="S134" s="2910"/>
      <c r="T134" s="2911" t="str">
        <f ca="1">IF(ISBLANK(OFFSET($AP$2,T131,0)),"",OFFSET($AQ$2,T131,0)+OFFSET($AU$2,T131,0))</f>
        <v/>
      </c>
      <c r="U134" s="2912"/>
      <c r="V134" s="2909" t="str">
        <f ca="1">IF(ISBLANK(OFFSET($AP$2,T131,0)),"",(OFFSET($AQ$2,T131,0)+OFFSET($AU$2,T131,0))-(OFFSET($AW$2,T131,0)+OFFSET($BA$2,T131,0)))</f>
        <v/>
      </c>
      <c r="W134" s="2910"/>
      <c r="X134" s="2911" t="str">
        <f ca="1">IF(ISBLANK(OFFSET($AP$2,X131,0)),"",OFFSET($AQ$2,X131,0)+OFFSET($AU$2,X131,0))</f>
        <v/>
      </c>
      <c r="Y134" s="2912"/>
      <c r="Z134" s="2909" t="str">
        <f ca="1">IF(ISBLANK(OFFSET($AP$2,X131,0)),"",(OFFSET($AQ$2,X131,0)+OFFSET($AU$2,X131,0))-(OFFSET($AW$2,X131,0)+OFFSET($BA$2,X131,0)))</f>
        <v/>
      </c>
      <c r="AA134" s="2910"/>
      <c r="AB134" s="65"/>
    </row>
    <row r="135" spans="1:28" ht="12.95" hidden="1" customHeight="1" x14ac:dyDescent="0.2">
      <c r="A135" s="65"/>
      <c r="B135" s="2913" t="s">
        <v>474</v>
      </c>
      <c r="C135" s="2914"/>
      <c r="D135" s="2911" t="str">
        <f ca="1">IF(ISBLANK(OFFSET($AP$2,D131,0)),"",OFFSET($AR$2,D131,0))</f>
        <v/>
      </c>
      <c r="E135" s="2912"/>
      <c r="F135" s="2909" t="str">
        <f ca="1">IF(ISBLANK(OFFSET($AP$2,D131,0)),"",OFFSET($AR$2,D131,0)-OFFSET($AX$2,D131,0))</f>
        <v/>
      </c>
      <c r="G135" s="2910"/>
      <c r="H135" s="2911" t="str">
        <f ca="1">IF(ISBLANK(OFFSET($AP$2,H131,0)),"",OFFSET($AR$2,H131,0))</f>
        <v/>
      </c>
      <c r="I135" s="2912"/>
      <c r="J135" s="2909" t="str">
        <f ca="1">IF(ISBLANK(OFFSET($AP$2,H131,0)),"",OFFSET($AR$2,H131,0)-OFFSET($AX$2,H131,0))</f>
        <v/>
      </c>
      <c r="K135" s="2910"/>
      <c r="L135" s="2911" t="str">
        <f ca="1">IF(ISBLANK(OFFSET($AP$2,L131,0)),"",OFFSET($AR$2,L131,0))</f>
        <v/>
      </c>
      <c r="M135" s="2912"/>
      <c r="N135" s="2909" t="str">
        <f ca="1">IF(ISBLANK(OFFSET($AP$2,L131,0)),"",OFFSET($AR$2,L131,0)-OFFSET($AX$2,L131,0))</f>
        <v/>
      </c>
      <c r="O135" s="2910"/>
      <c r="P135" s="2911" t="str">
        <f ca="1">IF(ISBLANK(OFFSET($AP$2,P131,0)),"",OFFSET($AR$2,P131,0))</f>
        <v/>
      </c>
      <c r="Q135" s="2912"/>
      <c r="R135" s="2909" t="str">
        <f ca="1">IF(ISBLANK(OFFSET($AP$2,P131,0)),"",OFFSET($AR$2,P131,0)-OFFSET($AX$2,P131,0))</f>
        <v/>
      </c>
      <c r="S135" s="2910"/>
      <c r="T135" s="2911" t="str">
        <f ca="1">IF(ISBLANK(OFFSET($AP$2,T131,0)),"",OFFSET($AR$2,T131,0))</f>
        <v/>
      </c>
      <c r="U135" s="2912"/>
      <c r="V135" s="2909" t="str">
        <f ca="1">IF(ISBLANK(OFFSET($AP$2,T131,0)),"",OFFSET($AR$2,T131,0)-OFFSET($AX$2,T131,0))</f>
        <v/>
      </c>
      <c r="W135" s="2910"/>
      <c r="X135" s="2911" t="str">
        <f ca="1">IF(ISBLANK(OFFSET($AP$2,X131,0)),"",OFFSET($AR$2,X131,0))</f>
        <v/>
      </c>
      <c r="Y135" s="2912"/>
      <c r="Z135" s="2909" t="str">
        <f ca="1">IF(ISBLANK(OFFSET($AP$2,X131,0)),"",OFFSET($AR$2,X131,0)-OFFSET($AX$2,X131,0))</f>
        <v/>
      </c>
      <c r="AA135" s="2910"/>
      <c r="AB135" s="65"/>
    </row>
    <row r="136" spans="1:28" ht="12.95" hidden="1" customHeight="1" x14ac:dyDescent="0.2">
      <c r="A136" s="65"/>
      <c r="B136" s="2913" t="s">
        <v>475</v>
      </c>
      <c r="C136" s="2914"/>
      <c r="D136" s="2911" t="str">
        <f ca="1">IF(ISBLANK(OFFSET($AP$2,D131,0)),"",OFFSET($AS$2,D131,0))</f>
        <v/>
      </c>
      <c r="E136" s="2912"/>
      <c r="F136" s="2909" t="str">
        <f ca="1">IF(ISBLANK(OFFSET($AP$2,D131,0)),"",OFFSET($AS$2,D131,0)-OFFSET($AY$2,D131,0))</f>
        <v/>
      </c>
      <c r="G136" s="2910"/>
      <c r="H136" s="2911" t="str">
        <f ca="1">IF(ISBLANK(OFFSET($AP$2,H131,0)),"",OFFSET($AS$2,H131,0))</f>
        <v/>
      </c>
      <c r="I136" s="2912"/>
      <c r="J136" s="2909" t="str">
        <f ca="1">IF(ISBLANK(OFFSET($AP$2,H131,0)),"",OFFSET($AS$2,H131,0)-OFFSET($AY$2,H131,0))</f>
        <v/>
      </c>
      <c r="K136" s="2910"/>
      <c r="L136" s="2911" t="str">
        <f ca="1">IF(ISBLANK(OFFSET($AP$2,L131,0)),"",OFFSET($AS$2,L131,0))</f>
        <v/>
      </c>
      <c r="M136" s="2912"/>
      <c r="N136" s="2909" t="str">
        <f ca="1">IF(ISBLANK(OFFSET($AP$2,L131,0)),"",OFFSET($AS$2,L131,0)-OFFSET($AY$2,L131,0))</f>
        <v/>
      </c>
      <c r="O136" s="2910"/>
      <c r="P136" s="2911" t="str">
        <f ca="1">IF(ISBLANK(OFFSET($AP$2,P131,0)),"",OFFSET($AS$2,P131,0))</f>
        <v/>
      </c>
      <c r="Q136" s="2912"/>
      <c r="R136" s="2909" t="str">
        <f ca="1">IF(ISBLANK(OFFSET($AP$2,P131,0)),"",OFFSET($AS$2,P131,0)-OFFSET($AY$2,P131,0))</f>
        <v/>
      </c>
      <c r="S136" s="2910"/>
      <c r="T136" s="2911" t="str">
        <f ca="1">IF(ISBLANK(OFFSET($AP$2,T131,0)),"",OFFSET($AS$2,T131,0))</f>
        <v/>
      </c>
      <c r="U136" s="2912"/>
      <c r="V136" s="2909" t="str">
        <f ca="1">IF(ISBLANK(OFFSET($AP$2,T131,0)),"",OFFSET($AS$2,T131,0)-OFFSET($AY$2,T131,0))</f>
        <v/>
      </c>
      <c r="W136" s="2910"/>
      <c r="X136" s="2911" t="str">
        <f ca="1">IF(ISBLANK(OFFSET($AP$2,X131,0)),"",OFFSET($AS$2,X131,0))</f>
        <v/>
      </c>
      <c r="Y136" s="2912"/>
      <c r="Z136" s="2909" t="str">
        <f ca="1">IF(ISBLANK(OFFSET($AP$2,X131,0)),"",OFFSET($AS$2,X131,0)-OFFSET($AY$2,X131,0))</f>
        <v/>
      </c>
      <c r="AA136" s="2910"/>
      <c r="AB136" s="65"/>
    </row>
    <row r="137" spans="1:28" ht="12.95" hidden="1" customHeight="1" x14ac:dyDescent="0.2">
      <c r="A137" s="65"/>
      <c r="B137" s="2913" t="s">
        <v>76</v>
      </c>
      <c r="C137" s="2914"/>
      <c r="D137" s="2911" t="str">
        <f ca="1">IF(ISBLANK(OFFSET($AP$2,D131,0)),"",OFFSET($AT$2,D131,0))</f>
        <v/>
      </c>
      <c r="E137" s="2912"/>
      <c r="F137" s="2909" t="str">
        <f ca="1">IF(ISBLANK(OFFSET($AP$2,D131,0)),"",OFFSET($AT$2,D131,0)-OFFSET($AZ$2,D131,0))</f>
        <v/>
      </c>
      <c r="G137" s="2910"/>
      <c r="H137" s="2911" t="str">
        <f ca="1">IF(ISBLANK(OFFSET($AP$2,H131,0)),"",OFFSET($AT$2,H131,0))</f>
        <v/>
      </c>
      <c r="I137" s="2912"/>
      <c r="J137" s="2909" t="str">
        <f ca="1">IF(ISBLANK(OFFSET($AP$2,H131,0)),"",OFFSET($AT$2,H131,0)-OFFSET($AZ$2,H131,0))</f>
        <v/>
      </c>
      <c r="K137" s="2910"/>
      <c r="L137" s="2911" t="str">
        <f ca="1">IF(ISBLANK(OFFSET($AP$2,L131,0)),"",OFFSET($AT$2,L131,0))</f>
        <v/>
      </c>
      <c r="M137" s="2912"/>
      <c r="N137" s="2909" t="str">
        <f ca="1">IF(ISBLANK(OFFSET($AP$2,L131,0)),"",OFFSET($AT$2,L131,0)-OFFSET($AZ$2,L131,0))</f>
        <v/>
      </c>
      <c r="O137" s="2910"/>
      <c r="P137" s="2911" t="str">
        <f ca="1">IF(ISBLANK(OFFSET($AP$2,P131,0)),"",OFFSET($AT$2,P131,0))</f>
        <v/>
      </c>
      <c r="Q137" s="2912"/>
      <c r="R137" s="2909" t="str">
        <f ca="1">IF(ISBLANK(OFFSET($AP$2,P131,0)),"",OFFSET($AT$2,P131,0)-OFFSET($AZ$2,P131,0))</f>
        <v/>
      </c>
      <c r="S137" s="2910"/>
      <c r="T137" s="2911" t="str">
        <f ca="1">IF(ISBLANK(OFFSET($AP$2,T131,0)),"",OFFSET($AT$2,T131,0))</f>
        <v/>
      </c>
      <c r="U137" s="2912"/>
      <c r="V137" s="2909" t="str">
        <f ca="1">IF(ISBLANK(OFFSET($AP$2,T131,0)),"",OFFSET($AT$2,T131,0)-OFFSET($AZ$2,T131,0))</f>
        <v/>
      </c>
      <c r="W137" s="2910"/>
      <c r="X137" s="2911" t="str">
        <f ca="1">IF(ISBLANK(OFFSET($AP$2,X131,0)),"",OFFSET($AT$2,X131,0))</f>
        <v/>
      </c>
      <c r="Y137" s="2912"/>
      <c r="Z137" s="2909" t="str">
        <f ca="1">IF(ISBLANK(OFFSET($AP$2,X131,0)),"",OFFSET($AT$2,X131,0)-OFFSET($AZ$2,X131,0))</f>
        <v/>
      </c>
      <c r="AA137" s="2910"/>
      <c r="AB137" s="65"/>
    </row>
    <row r="138" spans="1:28" ht="12.95" hidden="1" customHeight="1" thickBot="1" x14ac:dyDescent="0.25">
      <c r="A138" s="65"/>
      <c r="B138" s="2929" t="s">
        <v>476</v>
      </c>
      <c r="C138" s="2930"/>
      <c r="D138" s="2922" t="str">
        <f ca="1">IF(ISBLANK(OFFSET($AP$2,D131,0)),"",OFFSET($AV$2,D131,0))</f>
        <v/>
      </c>
      <c r="E138" s="2923"/>
      <c r="F138" s="2924" t="str">
        <f ca="1">IF(ISBLANK(OFFSET($AP$2,D131,0)),"",OFFSET($AV$2,D131,0)-OFFSET($BB$2,D131,0))</f>
        <v/>
      </c>
      <c r="G138" s="2925"/>
      <c r="H138" s="2922" t="str">
        <f ca="1">IF(ISBLANK(OFFSET($AP$2,H131,0)),"",OFFSET($AV$2,H131,0))</f>
        <v/>
      </c>
      <c r="I138" s="2923"/>
      <c r="J138" s="2924" t="str">
        <f ca="1">IF(ISBLANK(OFFSET($AP$2,H131,0)),"",OFFSET($AV$2,H131,0)-OFFSET($BB$2,H131,0))</f>
        <v/>
      </c>
      <c r="K138" s="2925"/>
      <c r="L138" s="2922" t="str">
        <f ca="1">IF(ISBLANK(OFFSET($AP$2,L131,0)),"",OFFSET($AV$2,L131,0))</f>
        <v/>
      </c>
      <c r="M138" s="2923"/>
      <c r="N138" s="2924" t="str">
        <f ca="1">IF(ISBLANK(OFFSET($AP$2,L131,0)),"",OFFSET($AV$2,L131,0)-OFFSET($BB$2,L131,0))</f>
        <v/>
      </c>
      <c r="O138" s="2925"/>
      <c r="P138" s="2922" t="str">
        <f ca="1">IF(ISBLANK(OFFSET($AP$2,P131,0)),"",OFFSET($AV$2,P131,0))</f>
        <v/>
      </c>
      <c r="Q138" s="2923"/>
      <c r="R138" s="2924" t="str">
        <f ca="1">IF(ISBLANK(OFFSET($AP$2,P131,0)),"",OFFSET($AV$2,P131,0)-OFFSET($BB$2,P131,0))</f>
        <v/>
      </c>
      <c r="S138" s="2925"/>
      <c r="T138" s="2922" t="str">
        <f ca="1">IF(ISBLANK(OFFSET($AP$2,T131,0)),"",OFFSET($AV$2,T131,0))</f>
        <v/>
      </c>
      <c r="U138" s="2923"/>
      <c r="V138" s="2924" t="str">
        <f ca="1">IF(ISBLANK(OFFSET($AP$2,T131,0)),"",OFFSET($AV$2,T131,0)-OFFSET($BB$2,T131,0))</f>
        <v/>
      </c>
      <c r="W138" s="2925"/>
      <c r="X138" s="2922" t="str">
        <f ca="1">IF(ISBLANK(OFFSET($AP$2,X131,0)),"",OFFSET($AV$2,X131,0))</f>
        <v/>
      </c>
      <c r="Y138" s="2923"/>
      <c r="Z138" s="2924" t="str">
        <f ca="1">IF(ISBLANK(OFFSET($AP$2,X131,0)),"",OFFSET($AV$2,X131,0)-OFFSET($BB$2,X131,0))</f>
        <v/>
      </c>
      <c r="AA138" s="2925"/>
      <c r="AB138" s="65"/>
    </row>
    <row r="139" spans="1:28" ht="12.95" hidden="1" customHeight="1" thickBot="1" x14ac:dyDescent="0.25">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5" hidden="1" customHeight="1" x14ac:dyDescent="0.2">
      <c r="A140" s="65"/>
      <c r="B140" s="47"/>
      <c r="C140" s="48"/>
      <c r="D140" s="2926" t="str">
        <f ca="1">IF(ISBLANK(OFFSET($AP$2,D139,0)),"",CONCATENATE("Seq. ",OFFSET($AP$2,D139,0)))</f>
        <v/>
      </c>
      <c r="E140" s="2927"/>
      <c r="F140" s="2927"/>
      <c r="G140" s="2928"/>
      <c r="H140" s="2926" t="str">
        <f ca="1">IF(ISBLANK(OFFSET($AP$2,H139,0)),"",CONCATENATE("Seq. ",OFFSET($AP$2,H139,0)))</f>
        <v/>
      </c>
      <c r="I140" s="2927"/>
      <c r="J140" s="2927"/>
      <c r="K140" s="2928"/>
      <c r="L140" s="2926" t="str">
        <f ca="1">IF(ISBLANK(OFFSET($AP$2,L139,0)),"",CONCATENATE("Seq. ",OFFSET($AP$2,L139,0)))</f>
        <v/>
      </c>
      <c r="M140" s="2927"/>
      <c r="N140" s="2927"/>
      <c r="O140" s="2928"/>
      <c r="P140" s="2926" t="str">
        <f ca="1">IF(ISBLANK(OFFSET($AP$2,P139,0)),"",CONCATENATE("Seq. ",OFFSET($AP$2,P139,0)))</f>
        <v/>
      </c>
      <c r="Q140" s="2927"/>
      <c r="R140" s="2927"/>
      <c r="S140" s="2928"/>
      <c r="T140" s="2926" t="str">
        <f ca="1">IF(ISBLANK(OFFSET($AP$2,T139,0)),"",CONCATENATE("Seq. ",OFFSET($AP$2,T139,0)))</f>
        <v/>
      </c>
      <c r="U140" s="2927"/>
      <c r="V140" s="2927"/>
      <c r="W140" s="2928"/>
      <c r="X140" s="2926" t="str">
        <f ca="1">IF(ISBLANK(OFFSET($AP$2,X139,0)),"",CONCATENATE("Seq. ",OFFSET($AP$2,X139,0)))</f>
        <v/>
      </c>
      <c r="Y140" s="2927"/>
      <c r="Z140" s="2927"/>
      <c r="AA140" s="2928"/>
      <c r="AB140" s="65"/>
    </row>
    <row r="141" spans="1:28" ht="12.95" hidden="1" customHeight="1" thickBot="1" x14ac:dyDescent="0.25">
      <c r="A141" s="65"/>
      <c r="B141" s="47"/>
      <c r="C141" s="48"/>
      <c r="D141" s="2915" t="s">
        <v>477</v>
      </c>
      <c r="E141" s="2916"/>
      <c r="F141" s="2916" t="s">
        <v>478</v>
      </c>
      <c r="G141" s="2917"/>
      <c r="H141" s="2915" t="s">
        <v>477</v>
      </c>
      <c r="I141" s="2916"/>
      <c r="J141" s="2916" t="s">
        <v>478</v>
      </c>
      <c r="K141" s="2917"/>
      <c r="L141" s="2915" t="s">
        <v>477</v>
      </c>
      <c r="M141" s="2916"/>
      <c r="N141" s="2916" t="s">
        <v>478</v>
      </c>
      <c r="O141" s="2917"/>
      <c r="P141" s="2915" t="s">
        <v>477</v>
      </c>
      <c r="Q141" s="2916"/>
      <c r="R141" s="2916" t="s">
        <v>478</v>
      </c>
      <c r="S141" s="2917"/>
      <c r="T141" s="2915" t="s">
        <v>477</v>
      </c>
      <c r="U141" s="2916"/>
      <c r="V141" s="2916" t="s">
        <v>478</v>
      </c>
      <c r="W141" s="2917"/>
      <c r="X141" s="2915" t="s">
        <v>477</v>
      </c>
      <c r="Y141" s="2916"/>
      <c r="Z141" s="2916" t="s">
        <v>478</v>
      </c>
      <c r="AA141" s="2917"/>
      <c r="AB141" s="65"/>
    </row>
    <row r="142" spans="1:28" ht="12.95" hidden="1" customHeight="1" x14ac:dyDescent="0.2">
      <c r="A142" s="65"/>
      <c r="B142" s="2920" t="s">
        <v>74</v>
      </c>
      <c r="C142" s="2921"/>
      <c r="D142" s="2911" t="str">
        <f ca="1">IF(ISBLANK(OFFSET($AP$2,D139,0)),"",OFFSET($AQ$2,D139,0)+OFFSET($AU$2,D139,0))</f>
        <v/>
      </c>
      <c r="E142" s="2912"/>
      <c r="F142" s="2909" t="str">
        <f ca="1">IF(ISBLANK(OFFSET($AP$2,D139,0)),"",(OFFSET($AQ$2,D139,0)+OFFSET($AU$2,D139,0))-(OFFSET($AW$2,D139,0)+OFFSET($BA$2,D139,0)))</f>
        <v/>
      </c>
      <c r="G142" s="2910"/>
      <c r="H142" s="2911" t="str">
        <f ca="1">IF(ISBLANK(OFFSET($AP$2,H139,0)),"",OFFSET($AQ$2,H139,0)+OFFSET($AU$2,H139,0))</f>
        <v/>
      </c>
      <c r="I142" s="2912"/>
      <c r="J142" s="2909" t="str">
        <f ca="1">IF(ISBLANK(OFFSET($AP$2,H139,0)),"",(OFFSET($AQ$2,H139,0)+OFFSET($AU$2,H139,0))-(OFFSET($AW$2,H139,0)+OFFSET($BA$2,H139,0)))</f>
        <v/>
      </c>
      <c r="K142" s="2910"/>
      <c r="L142" s="2911" t="str">
        <f ca="1">IF(ISBLANK(OFFSET($AP$2,L139,0)),"",OFFSET($AQ$2,L139,0)+OFFSET($AU$2,L139,0))</f>
        <v/>
      </c>
      <c r="M142" s="2912"/>
      <c r="N142" s="2909" t="str">
        <f ca="1">IF(ISBLANK(OFFSET($AP$2,L139,0)),"",(OFFSET($AQ$2,L139,0)+OFFSET($AU$2,L139,0))-(OFFSET($AW$2,L139,0)+OFFSET($BA$2,L139,0)))</f>
        <v/>
      </c>
      <c r="O142" s="2910"/>
      <c r="P142" s="2911" t="str">
        <f ca="1">IF(ISBLANK(OFFSET($AP$2,P139,0)),"",OFFSET($AQ$2,P139,0)+OFFSET($AU$2,P139,0))</f>
        <v/>
      </c>
      <c r="Q142" s="2912"/>
      <c r="R142" s="2909" t="str">
        <f ca="1">IF(ISBLANK(OFFSET($AP$2,P139,0)),"",(OFFSET($AQ$2,P139,0)+OFFSET($AU$2,P139,0))-(OFFSET($AW$2,P139,0)+OFFSET($BA$2,P139,0)))</f>
        <v/>
      </c>
      <c r="S142" s="2910"/>
      <c r="T142" s="2911" t="str">
        <f ca="1">IF(ISBLANK(OFFSET($AP$2,T139,0)),"",OFFSET($AQ$2,T139,0)+OFFSET($AU$2,T139,0))</f>
        <v/>
      </c>
      <c r="U142" s="2912"/>
      <c r="V142" s="2909" t="str">
        <f ca="1">IF(ISBLANK(OFFSET($AP$2,T139,0)),"",(OFFSET($AQ$2,T139,0)+OFFSET($AU$2,T139,0))-(OFFSET($AW$2,T139,0)+OFFSET($BA$2,T139,0)))</f>
        <v/>
      </c>
      <c r="W142" s="2910"/>
      <c r="X142" s="2911" t="str">
        <f ca="1">IF(ISBLANK(OFFSET($AP$2,X139,0)),"",OFFSET($AQ$2,X139,0)+OFFSET($AU$2,X139,0))</f>
        <v/>
      </c>
      <c r="Y142" s="2912"/>
      <c r="Z142" s="2909" t="str">
        <f ca="1">IF(ISBLANK(OFFSET($AP$2,X139,0)),"",(OFFSET($AQ$2,X139,0)+OFFSET($AU$2,X139,0))-(OFFSET($AW$2,X139,0)+OFFSET($BA$2,X139,0)))</f>
        <v/>
      </c>
      <c r="AA142" s="2910"/>
      <c r="AB142" s="65"/>
    </row>
    <row r="143" spans="1:28" ht="12.95" hidden="1" customHeight="1" x14ac:dyDescent="0.2">
      <c r="A143" s="65"/>
      <c r="B143" s="2913" t="s">
        <v>474</v>
      </c>
      <c r="C143" s="2914"/>
      <c r="D143" s="2911" t="str">
        <f ca="1">IF(ISBLANK(OFFSET($AP$2,D139,0)),"",OFFSET($AR$2,D139,0))</f>
        <v/>
      </c>
      <c r="E143" s="2912"/>
      <c r="F143" s="2909" t="str">
        <f ca="1">IF(ISBLANK(OFFSET($AP$2,D139,0)),"",OFFSET($AR$2,D139,0)-OFFSET($AX$2,D139,0))</f>
        <v/>
      </c>
      <c r="G143" s="2910"/>
      <c r="H143" s="2911" t="str">
        <f ca="1">IF(ISBLANK(OFFSET($AP$2,H139,0)),"",OFFSET($AR$2,H139,0))</f>
        <v/>
      </c>
      <c r="I143" s="2912"/>
      <c r="J143" s="2909" t="str">
        <f ca="1">IF(ISBLANK(OFFSET($AP$2,H139,0)),"",OFFSET($AR$2,H139,0)-OFFSET($AX$2,H139,0))</f>
        <v/>
      </c>
      <c r="K143" s="2910"/>
      <c r="L143" s="2911" t="str">
        <f ca="1">IF(ISBLANK(OFFSET($AP$2,L139,0)),"",OFFSET($AR$2,L139,0))</f>
        <v/>
      </c>
      <c r="M143" s="2912"/>
      <c r="N143" s="2909" t="str">
        <f ca="1">IF(ISBLANK(OFFSET($AP$2,L139,0)),"",OFFSET($AR$2,L139,0)-OFFSET($AX$2,L139,0))</f>
        <v/>
      </c>
      <c r="O143" s="2910"/>
      <c r="P143" s="2911" t="str">
        <f ca="1">IF(ISBLANK(OFFSET($AP$2,P139,0)),"",OFFSET($AR$2,P139,0))</f>
        <v/>
      </c>
      <c r="Q143" s="2912"/>
      <c r="R143" s="2909" t="str">
        <f ca="1">IF(ISBLANK(OFFSET($AP$2,P139,0)),"",OFFSET($AR$2,P139,0)-OFFSET($AX$2,P139,0))</f>
        <v/>
      </c>
      <c r="S143" s="2910"/>
      <c r="T143" s="2911" t="str">
        <f ca="1">IF(ISBLANK(OFFSET($AP$2,T139,0)),"",OFFSET($AR$2,T139,0))</f>
        <v/>
      </c>
      <c r="U143" s="2912"/>
      <c r="V143" s="2909" t="str">
        <f ca="1">IF(ISBLANK(OFFSET($AP$2,T139,0)),"",OFFSET($AR$2,T139,0)-OFFSET($AX$2,T139,0))</f>
        <v/>
      </c>
      <c r="W143" s="2910"/>
      <c r="X143" s="2911" t="str">
        <f ca="1">IF(ISBLANK(OFFSET($AP$2,X139,0)),"",OFFSET($AR$2,X139,0))</f>
        <v/>
      </c>
      <c r="Y143" s="2912"/>
      <c r="Z143" s="2909" t="str">
        <f ca="1">IF(ISBLANK(OFFSET($AP$2,X139,0)),"",OFFSET($AR$2,X139,0)-OFFSET($AX$2,X139,0))</f>
        <v/>
      </c>
      <c r="AA143" s="2910"/>
      <c r="AB143" s="65"/>
    </row>
    <row r="144" spans="1:28" ht="12.95" hidden="1" customHeight="1" x14ac:dyDescent="0.2">
      <c r="A144" s="65"/>
      <c r="B144" s="2913" t="s">
        <v>475</v>
      </c>
      <c r="C144" s="2914"/>
      <c r="D144" s="2911" t="str">
        <f ca="1">IF(ISBLANK(OFFSET($AP$2,D139,0)),"",OFFSET($AS$2,D139,0))</f>
        <v/>
      </c>
      <c r="E144" s="2912"/>
      <c r="F144" s="2909" t="str">
        <f ca="1">IF(ISBLANK(OFFSET($AP$2,D139,0)),"",OFFSET($AS$2,D139,0)-OFFSET($AY$2,D139,0))</f>
        <v/>
      </c>
      <c r="G144" s="2910"/>
      <c r="H144" s="2911" t="str">
        <f ca="1">IF(ISBLANK(OFFSET($AP$2,H139,0)),"",OFFSET($AS$2,H139,0))</f>
        <v/>
      </c>
      <c r="I144" s="2912"/>
      <c r="J144" s="2909" t="str">
        <f ca="1">IF(ISBLANK(OFFSET($AP$2,H139,0)),"",OFFSET($AS$2,H139,0)-OFFSET($AY$2,H139,0))</f>
        <v/>
      </c>
      <c r="K144" s="2910"/>
      <c r="L144" s="2911" t="str">
        <f ca="1">IF(ISBLANK(OFFSET($AP$2,L139,0)),"",OFFSET($AS$2,L139,0))</f>
        <v/>
      </c>
      <c r="M144" s="2912"/>
      <c r="N144" s="2909" t="str">
        <f ca="1">IF(ISBLANK(OFFSET($AP$2,L139,0)),"",OFFSET($AS$2,L139,0)-OFFSET($AY$2,L139,0))</f>
        <v/>
      </c>
      <c r="O144" s="2910"/>
      <c r="P144" s="2911" t="str">
        <f ca="1">IF(ISBLANK(OFFSET($AP$2,P139,0)),"",OFFSET($AS$2,P139,0))</f>
        <v/>
      </c>
      <c r="Q144" s="2912"/>
      <c r="R144" s="2909" t="str">
        <f ca="1">IF(ISBLANK(OFFSET($AP$2,P139,0)),"",OFFSET($AS$2,P139,0)-OFFSET($AY$2,P139,0))</f>
        <v/>
      </c>
      <c r="S144" s="2910"/>
      <c r="T144" s="2911" t="str">
        <f ca="1">IF(ISBLANK(OFFSET($AP$2,T139,0)),"",OFFSET($AS$2,T139,0))</f>
        <v/>
      </c>
      <c r="U144" s="2912"/>
      <c r="V144" s="2909" t="str">
        <f ca="1">IF(ISBLANK(OFFSET($AP$2,T139,0)),"",OFFSET($AS$2,T139,0)-OFFSET($AY$2,T139,0))</f>
        <v/>
      </c>
      <c r="W144" s="2910"/>
      <c r="X144" s="2911" t="str">
        <f ca="1">IF(ISBLANK(OFFSET($AP$2,X139,0)),"",OFFSET($AS$2,X139,0))</f>
        <v/>
      </c>
      <c r="Y144" s="2912"/>
      <c r="Z144" s="2909" t="str">
        <f ca="1">IF(ISBLANK(OFFSET($AP$2,X139,0)),"",OFFSET($AS$2,X139,0)-OFFSET($AY$2,X139,0))</f>
        <v/>
      </c>
      <c r="AA144" s="2910"/>
      <c r="AB144" s="65"/>
    </row>
    <row r="145" spans="1:28" ht="12.95" hidden="1" customHeight="1" x14ac:dyDescent="0.2">
      <c r="A145" s="65"/>
      <c r="B145" s="2913" t="s">
        <v>76</v>
      </c>
      <c r="C145" s="2914"/>
      <c r="D145" s="2911" t="str">
        <f ca="1">IF(ISBLANK(OFFSET($AP$2,D139,0)),"",OFFSET($AT$2,D139,0))</f>
        <v/>
      </c>
      <c r="E145" s="2912"/>
      <c r="F145" s="2909" t="str">
        <f ca="1">IF(ISBLANK(OFFSET($AP$2,D139,0)),"",OFFSET($AT$2,D139,0)-OFFSET($AZ$2,D139,0))</f>
        <v/>
      </c>
      <c r="G145" s="2910"/>
      <c r="H145" s="2911" t="str">
        <f ca="1">IF(ISBLANK(OFFSET($AP$2,H139,0)),"",OFFSET($AT$2,H139,0))</f>
        <v/>
      </c>
      <c r="I145" s="2912"/>
      <c r="J145" s="2909" t="str">
        <f ca="1">IF(ISBLANK(OFFSET($AP$2,H139,0)),"",OFFSET($AT$2,H139,0)-OFFSET($AZ$2,H139,0))</f>
        <v/>
      </c>
      <c r="K145" s="2910"/>
      <c r="L145" s="2911" t="str">
        <f ca="1">IF(ISBLANK(OFFSET($AP$2,L139,0)),"",OFFSET($AT$2,L139,0))</f>
        <v/>
      </c>
      <c r="M145" s="2912"/>
      <c r="N145" s="2909" t="str">
        <f ca="1">IF(ISBLANK(OFFSET($AP$2,L139,0)),"",OFFSET($AT$2,L139,0)-OFFSET($AZ$2,L139,0))</f>
        <v/>
      </c>
      <c r="O145" s="2910"/>
      <c r="P145" s="2911" t="str">
        <f ca="1">IF(ISBLANK(OFFSET($AP$2,P139,0)),"",OFFSET($AT$2,P139,0))</f>
        <v/>
      </c>
      <c r="Q145" s="2912"/>
      <c r="R145" s="2909" t="str">
        <f ca="1">IF(ISBLANK(OFFSET($AP$2,P139,0)),"",OFFSET($AT$2,P139,0)-OFFSET($AZ$2,P139,0))</f>
        <v/>
      </c>
      <c r="S145" s="2910"/>
      <c r="T145" s="2911" t="str">
        <f ca="1">IF(ISBLANK(OFFSET($AP$2,T139,0)),"",OFFSET($AT$2,T139,0))</f>
        <v/>
      </c>
      <c r="U145" s="2912"/>
      <c r="V145" s="2909" t="str">
        <f ca="1">IF(ISBLANK(OFFSET($AP$2,T139,0)),"",OFFSET($AT$2,T139,0)-OFFSET($AZ$2,T139,0))</f>
        <v/>
      </c>
      <c r="W145" s="2910"/>
      <c r="X145" s="2911" t="str">
        <f ca="1">IF(ISBLANK(OFFSET($AP$2,X139,0)),"",OFFSET($AT$2,X139,0))</f>
        <v/>
      </c>
      <c r="Y145" s="2912"/>
      <c r="Z145" s="2909" t="str">
        <f ca="1">IF(ISBLANK(OFFSET($AP$2,X139,0)),"",OFFSET($AT$2,X139,0)-OFFSET($AZ$2,X139,0))</f>
        <v/>
      </c>
      <c r="AA145" s="2910"/>
      <c r="AB145" s="65"/>
    </row>
    <row r="146" spans="1:28" ht="12.95" hidden="1" customHeight="1" thickBot="1" x14ac:dyDescent="0.25">
      <c r="A146" s="65"/>
      <c r="B146" s="2929" t="s">
        <v>476</v>
      </c>
      <c r="C146" s="2930"/>
      <c r="D146" s="2922" t="str">
        <f ca="1">IF(ISBLANK(OFFSET($AP$2,D139,0)),"",OFFSET($AV$2,D139,0))</f>
        <v/>
      </c>
      <c r="E146" s="2923"/>
      <c r="F146" s="2924" t="str">
        <f ca="1">IF(ISBLANK(OFFSET($AP$2,D139,0)),"",OFFSET($AV$2,D139,0)-OFFSET($BB$2,D139,0))</f>
        <v/>
      </c>
      <c r="G146" s="2925"/>
      <c r="H146" s="2922" t="str">
        <f ca="1">IF(ISBLANK(OFFSET($AP$2,H139,0)),"",OFFSET($AV$2,H139,0))</f>
        <v/>
      </c>
      <c r="I146" s="2923"/>
      <c r="J146" s="2924" t="str">
        <f ca="1">IF(ISBLANK(OFFSET($AP$2,H139,0)),"",OFFSET($AV$2,H139,0)-OFFSET($BB$2,H139,0))</f>
        <v/>
      </c>
      <c r="K146" s="2925"/>
      <c r="L146" s="2922" t="str">
        <f ca="1">IF(ISBLANK(OFFSET($AP$2,L139,0)),"",OFFSET($AV$2,L139,0))</f>
        <v/>
      </c>
      <c r="M146" s="2923"/>
      <c r="N146" s="2924" t="str">
        <f ca="1">IF(ISBLANK(OFFSET($AP$2,L139,0)),"",OFFSET($AV$2,L139,0)-OFFSET($BB$2,L139,0))</f>
        <v/>
      </c>
      <c r="O146" s="2925"/>
      <c r="P146" s="2922" t="str">
        <f ca="1">IF(ISBLANK(OFFSET($AP$2,P139,0)),"",OFFSET($AV$2,P139,0))</f>
        <v/>
      </c>
      <c r="Q146" s="2923"/>
      <c r="R146" s="2924" t="str">
        <f ca="1">IF(ISBLANK(OFFSET($AP$2,P139,0)),"",OFFSET($AV$2,P139,0)-OFFSET($BB$2,P139,0))</f>
        <v/>
      </c>
      <c r="S146" s="2925"/>
      <c r="T146" s="2922" t="str">
        <f ca="1">IF(ISBLANK(OFFSET($AP$2,T139,0)),"",OFFSET($AV$2,T139,0))</f>
        <v/>
      </c>
      <c r="U146" s="2923"/>
      <c r="V146" s="2924" t="str">
        <f ca="1">IF(ISBLANK(OFFSET($AP$2,T139,0)),"",OFFSET($AV$2,T139,0)-OFFSET($BB$2,T139,0))</f>
        <v/>
      </c>
      <c r="W146" s="2925"/>
      <c r="X146" s="2922" t="str">
        <f ca="1">IF(ISBLANK(OFFSET($AP$2,X139,0)),"",OFFSET($AV$2,X139,0))</f>
        <v/>
      </c>
      <c r="Y146" s="2923"/>
      <c r="Z146" s="2924" t="str">
        <f ca="1">IF(ISBLANK(OFFSET($AP$2,X139,0)),"",OFFSET($AV$2,X139,0)-OFFSET($BB$2,X139,0))</f>
        <v/>
      </c>
      <c r="AA146" s="2925"/>
      <c r="AB146" s="65"/>
    </row>
    <row r="147" spans="1:28" ht="12.95" hidden="1" customHeight="1" thickBot="1" x14ac:dyDescent="0.25">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5" hidden="1" customHeight="1" x14ac:dyDescent="0.2">
      <c r="A148" s="65"/>
      <c r="B148" s="47"/>
      <c r="C148" s="48"/>
      <c r="D148" s="2926" t="str">
        <f ca="1">IF(ISBLANK(OFFSET($AP$2,D147,0)),"",CONCATENATE("Seq. ",OFFSET($AP$2,D147,0)))</f>
        <v/>
      </c>
      <c r="E148" s="2927"/>
      <c r="F148" s="2927"/>
      <c r="G148" s="2928"/>
      <c r="H148" s="2926" t="str">
        <f ca="1">IF(ISBLANK(OFFSET($AP$2,H147,0)),"",CONCATENATE("Seq. ",OFFSET($AP$2,H147,0)))</f>
        <v/>
      </c>
      <c r="I148" s="2927"/>
      <c r="J148" s="2927"/>
      <c r="K148" s="2928"/>
      <c r="L148" s="2926" t="str">
        <f ca="1">IF(ISBLANK(OFFSET($AP$2,L147,0)),"",CONCATENATE("Seq. ",OFFSET($AP$2,L147,0)))</f>
        <v/>
      </c>
      <c r="M148" s="2927"/>
      <c r="N148" s="2927"/>
      <c r="O148" s="2928"/>
      <c r="P148" s="2926" t="str">
        <f ca="1">IF(ISBLANK(OFFSET($AP$2,P147,0)),"",CONCATENATE("Seq. ",OFFSET($AP$2,P147,0)))</f>
        <v/>
      </c>
      <c r="Q148" s="2927"/>
      <c r="R148" s="2927"/>
      <c r="S148" s="2928"/>
      <c r="T148" s="2926" t="str">
        <f ca="1">IF(ISBLANK(OFFSET($AP$2,T147,0)),"",CONCATENATE("Seq. ",OFFSET($AP$2,T147,0)))</f>
        <v/>
      </c>
      <c r="U148" s="2927"/>
      <c r="V148" s="2927"/>
      <c r="W148" s="2928"/>
      <c r="X148" s="2926" t="str">
        <f ca="1">IF(ISBLANK(OFFSET($AP$2,X147,0)),"",CONCATENATE("Seq. ",OFFSET($AP$2,X147,0)))</f>
        <v/>
      </c>
      <c r="Y148" s="2927"/>
      <c r="Z148" s="2927"/>
      <c r="AA148" s="2928"/>
      <c r="AB148" s="65"/>
    </row>
    <row r="149" spans="1:28" ht="12.95" hidden="1" customHeight="1" thickBot="1" x14ac:dyDescent="0.25">
      <c r="A149" s="65"/>
      <c r="B149" s="47"/>
      <c r="C149" s="48"/>
      <c r="D149" s="2915" t="s">
        <v>477</v>
      </c>
      <c r="E149" s="2916"/>
      <c r="F149" s="2916" t="s">
        <v>478</v>
      </c>
      <c r="G149" s="2917"/>
      <c r="H149" s="2915" t="s">
        <v>477</v>
      </c>
      <c r="I149" s="2916"/>
      <c r="J149" s="2916" t="s">
        <v>478</v>
      </c>
      <c r="K149" s="2917"/>
      <c r="L149" s="2915" t="s">
        <v>477</v>
      </c>
      <c r="M149" s="2916"/>
      <c r="N149" s="2916" t="s">
        <v>478</v>
      </c>
      <c r="O149" s="2917"/>
      <c r="P149" s="2915" t="s">
        <v>477</v>
      </c>
      <c r="Q149" s="2916"/>
      <c r="R149" s="2916" t="s">
        <v>478</v>
      </c>
      <c r="S149" s="2917"/>
      <c r="T149" s="2915" t="s">
        <v>477</v>
      </c>
      <c r="U149" s="2916"/>
      <c r="V149" s="2916" t="s">
        <v>478</v>
      </c>
      <c r="W149" s="2917"/>
      <c r="X149" s="2915" t="s">
        <v>477</v>
      </c>
      <c r="Y149" s="2916"/>
      <c r="Z149" s="2916" t="s">
        <v>478</v>
      </c>
      <c r="AA149" s="2917"/>
      <c r="AB149" s="65"/>
    </row>
    <row r="150" spans="1:28" ht="12.95" hidden="1" customHeight="1" x14ac:dyDescent="0.2">
      <c r="A150" s="65"/>
      <c r="B150" s="2920" t="s">
        <v>74</v>
      </c>
      <c r="C150" s="2921"/>
      <c r="D150" s="2911" t="str">
        <f ca="1">IF(ISBLANK(OFFSET($AP$2,D147,0)),"",OFFSET($AQ$2,D147,0)+OFFSET($AU$2,D147,0))</f>
        <v/>
      </c>
      <c r="E150" s="2912"/>
      <c r="F150" s="2909" t="str">
        <f ca="1">IF(ISBLANK(OFFSET($AP$2,D147,0)),"",(OFFSET($AQ$2,D147,0)+OFFSET($AU$2,D147,0))-(OFFSET($AW$2,D147,0)+OFFSET($BA$2,D147,0)))</f>
        <v/>
      </c>
      <c r="G150" s="2910"/>
      <c r="H150" s="2911" t="str">
        <f ca="1">IF(ISBLANK(OFFSET($AP$2,H147,0)),"",OFFSET($AQ$2,H147,0)+OFFSET($AU$2,H147,0))</f>
        <v/>
      </c>
      <c r="I150" s="2912"/>
      <c r="J150" s="2909" t="str">
        <f ca="1">IF(ISBLANK(OFFSET($AP$2,H147,0)),"",(OFFSET($AQ$2,H147,0)+OFFSET($AU$2,H147,0))-(OFFSET($AW$2,H147,0)+OFFSET($BA$2,H147,0)))</f>
        <v/>
      </c>
      <c r="K150" s="2910"/>
      <c r="L150" s="2911" t="str">
        <f ca="1">IF(ISBLANK(OFFSET($AP$2,L147,0)),"",OFFSET($AQ$2,L147,0)+OFFSET($AU$2,L147,0))</f>
        <v/>
      </c>
      <c r="M150" s="2912"/>
      <c r="N150" s="2909" t="str">
        <f ca="1">IF(ISBLANK(OFFSET($AP$2,L147,0)),"",(OFFSET($AQ$2,L147,0)+OFFSET($AU$2,L147,0))-(OFFSET($AW$2,L147,0)+OFFSET($BA$2,L147,0)))</f>
        <v/>
      </c>
      <c r="O150" s="2910"/>
      <c r="P150" s="2911" t="str">
        <f ca="1">IF(ISBLANK(OFFSET($AP$2,P147,0)),"",OFFSET($AQ$2,P147,0)+OFFSET($AU$2,P147,0))</f>
        <v/>
      </c>
      <c r="Q150" s="2912"/>
      <c r="R150" s="2909" t="str">
        <f ca="1">IF(ISBLANK(OFFSET($AP$2,P147,0)),"",(OFFSET($AQ$2,P147,0)+OFFSET($AU$2,P147,0))-(OFFSET($AW$2,P147,0)+OFFSET($BA$2,P147,0)))</f>
        <v/>
      </c>
      <c r="S150" s="2910"/>
      <c r="T150" s="2911" t="str">
        <f ca="1">IF(ISBLANK(OFFSET($AP$2,T147,0)),"",OFFSET($AQ$2,T147,0)+OFFSET($AU$2,T147,0))</f>
        <v/>
      </c>
      <c r="U150" s="2912"/>
      <c r="V150" s="2909" t="str">
        <f ca="1">IF(ISBLANK(OFFSET($AP$2,T147,0)),"",(OFFSET($AQ$2,T147,0)+OFFSET($AU$2,T147,0))-(OFFSET($AW$2,T147,0)+OFFSET($BA$2,T147,0)))</f>
        <v/>
      </c>
      <c r="W150" s="2910"/>
      <c r="X150" s="2911" t="str">
        <f ca="1">IF(ISBLANK(OFFSET($AP$2,X147,0)),"",OFFSET($AQ$2,X147,0)+OFFSET($AU$2,X147,0))</f>
        <v/>
      </c>
      <c r="Y150" s="2912"/>
      <c r="Z150" s="2909" t="str">
        <f ca="1">IF(ISBLANK(OFFSET($AP$2,X147,0)),"",(OFFSET($AQ$2,X147,0)+OFFSET($AU$2,X147,0))-(OFFSET($AW$2,X147,0)+OFFSET($BA$2,X147,0)))</f>
        <v/>
      </c>
      <c r="AA150" s="2910"/>
      <c r="AB150" s="65"/>
    </row>
    <row r="151" spans="1:28" ht="12.95" hidden="1" customHeight="1" x14ac:dyDescent="0.2">
      <c r="A151" s="65"/>
      <c r="B151" s="2913" t="s">
        <v>474</v>
      </c>
      <c r="C151" s="2914"/>
      <c r="D151" s="2911" t="str">
        <f ca="1">IF(ISBLANK(OFFSET($AP$2,D147,0)),"",OFFSET($AR$2,D147,0))</f>
        <v/>
      </c>
      <c r="E151" s="2912"/>
      <c r="F151" s="2909" t="str">
        <f ca="1">IF(ISBLANK(OFFSET($AP$2,D147,0)),"",OFFSET($AR$2,D147,0)-OFFSET($AX$2,D147,0))</f>
        <v/>
      </c>
      <c r="G151" s="2910"/>
      <c r="H151" s="2911" t="str">
        <f ca="1">IF(ISBLANK(OFFSET($AP$2,H147,0)),"",OFFSET($AR$2,H147,0))</f>
        <v/>
      </c>
      <c r="I151" s="2912"/>
      <c r="J151" s="2909" t="str">
        <f ca="1">IF(ISBLANK(OFFSET($AP$2,H147,0)),"",OFFSET($AR$2,H147,0)-OFFSET($AX$2,H147,0))</f>
        <v/>
      </c>
      <c r="K151" s="2910"/>
      <c r="L151" s="2911" t="str">
        <f ca="1">IF(ISBLANK(OFFSET($AP$2,L147,0)),"",OFFSET($AR$2,L147,0))</f>
        <v/>
      </c>
      <c r="M151" s="2912"/>
      <c r="N151" s="2909" t="str">
        <f ca="1">IF(ISBLANK(OFFSET($AP$2,L147,0)),"",OFFSET($AR$2,L147,0)-OFFSET($AX$2,L147,0))</f>
        <v/>
      </c>
      <c r="O151" s="2910"/>
      <c r="P151" s="2911" t="str">
        <f ca="1">IF(ISBLANK(OFFSET($AP$2,P147,0)),"",OFFSET($AR$2,P147,0))</f>
        <v/>
      </c>
      <c r="Q151" s="2912"/>
      <c r="R151" s="2909" t="str">
        <f ca="1">IF(ISBLANK(OFFSET($AP$2,P147,0)),"",OFFSET($AR$2,P147,0)-OFFSET($AX$2,P147,0))</f>
        <v/>
      </c>
      <c r="S151" s="2910"/>
      <c r="T151" s="2911" t="str">
        <f ca="1">IF(ISBLANK(OFFSET($AP$2,T147,0)),"",OFFSET($AR$2,T147,0))</f>
        <v/>
      </c>
      <c r="U151" s="2912"/>
      <c r="V151" s="2909" t="str">
        <f ca="1">IF(ISBLANK(OFFSET($AP$2,T147,0)),"",OFFSET($AR$2,T147,0)-OFFSET($AX$2,T147,0))</f>
        <v/>
      </c>
      <c r="W151" s="2910"/>
      <c r="X151" s="2911" t="str">
        <f ca="1">IF(ISBLANK(OFFSET($AP$2,X147,0)),"",OFFSET($AR$2,X147,0))</f>
        <v/>
      </c>
      <c r="Y151" s="2912"/>
      <c r="Z151" s="2909" t="str">
        <f ca="1">IF(ISBLANK(OFFSET($AP$2,X147,0)),"",OFFSET($AR$2,X147,0)-OFFSET($AX$2,X147,0))</f>
        <v/>
      </c>
      <c r="AA151" s="2910"/>
      <c r="AB151" s="65"/>
    </row>
    <row r="152" spans="1:28" ht="12.95" hidden="1" customHeight="1" x14ac:dyDescent="0.2">
      <c r="A152" s="65"/>
      <c r="B152" s="2913" t="s">
        <v>475</v>
      </c>
      <c r="C152" s="2914"/>
      <c r="D152" s="2911" t="str">
        <f ca="1">IF(ISBLANK(OFFSET($AP$2,D147,0)),"",OFFSET($AS$2,D147,0))</f>
        <v/>
      </c>
      <c r="E152" s="2912"/>
      <c r="F152" s="2909" t="str">
        <f ca="1">IF(ISBLANK(OFFSET($AP$2,D147,0)),"",OFFSET($AS$2,D147,0)-OFFSET($AY$2,D147,0))</f>
        <v/>
      </c>
      <c r="G152" s="2910"/>
      <c r="H152" s="2911" t="str">
        <f ca="1">IF(ISBLANK(OFFSET($AP$2,H147,0)),"",OFFSET($AS$2,H147,0))</f>
        <v/>
      </c>
      <c r="I152" s="2912"/>
      <c r="J152" s="2909" t="str">
        <f ca="1">IF(ISBLANK(OFFSET($AP$2,H147,0)),"",OFFSET($AS$2,H147,0)-OFFSET($AY$2,H147,0))</f>
        <v/>
      </c>
      <c r="K152" s="2910"/>
      <c r="L152" s="2911" t="str">
        <f ca="1">IF(ISBLANK(OFFSET($AP$2,L147,0)),"",OFFSET($AS$2,L147,0))</f>
        <v/>
      </c>
      <c r="M152" s="2912"/>
      <c r="N152" s="2909" t="str">
        <f ca="1">IF(ISBLANK(OFFSET($AP$2,L147,0)),"",OFFSET($AS$2,L147,0)-OFFSET($AY$2,L147,0))</f>
        <v/>
      </c>
      <c r="O152" s="2910"/>
      <c r="P152" s="2911" t="str">
        <f ca="1">IF(ISBLANK(OFFSET($AP$2,P147,0)),"",OFFSET($AS$2,P147,0))</f>
        <v/>
      </c>
      <c r="Q152" s="2912"/>
      <c r="R152" s="2909" t="str">
        <f ca="1">IF(ISBLANK(OFFSET($AP$2,P147,0)),"",OFFSET($AS$2,P147,0)-OFFSET($AY$2,P147,0))</f>
        <v/>
      </c>
      <c r="S152" s="2910"/>
      <c r="T152" s="2911" t="str">
        <f ca="1">IF(ISBLANK(OFFSET($AP$2,T147,0)),"",OFFSET($AS$2,T147,0))</f>
        <v/>
      </c>
      <c r="U152" s="2912"/>
      <c r="V152" s="2909" t="str">
        <f ca="1">IF(ISBLANK(OFFSET($AP$2,T147,0)),"",OFFSET($AS$2,T147,0)-OFFSET($AY$2,T147,0))</f>
        <v/>
      </c>
      <c r="W152" s="2910"/>
      <c r="X152" s="2911" t="str">
        <f ca="1">IF(ISBLANK(OFFSET($AP$2,X147,0)),"",OFFSET($AS$2,X147,0))</f>
        <v/>
      </c>
      <c r="Y152" s="2912"/>
      <c r="Z152" s="2909" t="str">
        <f ca="1">IF(ISBLANK(OFFSET($AP$2,X147,0)),"",OFFSET($AS$2,X147,0)-OFFSET($AY$2,X147,0))</f>
        <v/>
      </c>
      <c r="AA152" s="2910"/>
      <c r="AB152" s="65"/>
    </row>
    <row r="153" spans="1:28" ht="12.95" hidden="1" customHeight="1" x14ac:dyDescent="0.2">
      <c r="A153" s="65"/>
      <c r="B153" s="2913" t="s">
        <v>76</v>
      </c>
      <c r="C153" s="2914"/>
      <c r="D153" s="2911" t="str">
        <f ca="1">IF(ISBLANK(OFFSET($AP$2,D147,0)),"",OFFSET($AT$2,D147,0))</f>
        <v/>
      </c>
      <c r="E153" s="2912"/>
      <c r="F153" s="2909" t="str">
        <f ca="1">IF(ISBLANK(OFFSET($AP$2,D147,0)),"",OFFSET($AT$2,D147,0)-OFFSET($AZ$2,D147,0))</f>
        <v/>
      </c>
      <c r="G153" s="2910"/>
      <c r="H153" s="2911" t="str">
        <f ca="1">IF(ISBLANK(OFFSET($AP$2,H147,0)),"",OFFSET($AT$2,H147,0))</f>
        <v/>
      </c>
      <c r="I153" s="2912"/>
      <c r="J153" s="2909" t="str">
        <f ca="1">IF(ISBLANK(OFFSET($AP$2,H147,0)),"",OFFSET($AT$2,H147,0)-OFFSET($AZ$2,H147,0))</f>
        <v/>
      </c>
      <c r="K153" s="2910"/>
      <c r="L153" s="2911" t="str">
        <f ca="1">IF(ISBLANK(OFFSET($AP$2,L147,0)),"",OFFSET($AT$2,L147,0))</f>
        <v/>
      </c>
      <c r="M153" s="2912"/>
      <c r="N153" s="2909" t="str">
        <f ca="1">IF(ISBLANK(OFFSET($AP$2,L147,0)),"",OFFSET($AT$2,L147,0)-OFFSET($AZ$2,L147,0))</f>
        <v/>
      </c>
      <c r="O153" s="2910"/>
      <c r="P153" s="2911" t="str">
        <f ca="1">IF(ISBLANK(OFFSET($AP$2,P147,0)),"",OFFSET($AT$2,P147,0))</f>
        <v/>
      </c>
      <c r="Q153" s="2912"/>
      <c r="R153" s="2909" t="str">
        <f ca="1">IF(ISBLANK(OFFSET($AP$2,P147,0)),"",OFFSET($AT$2,P147,0)-OFFSET($AZ$2,P147,0))</f>
        <v/>
      </c>
      <c r="S153" s="2910"/>
      <c r="T153" s="2911" t="str">
        <f ca="1">IF(ISBLANK(OFFSET($AP$2,T147,0)),"",OFFSET($AT$2,T147,0))</f>
        <v/>
      </c>
      <c r="U153" s="2912"/>
      <c r="V153" s="2909" t="str">
        <f ca="1">IF(ISBLANK(OFFSET($AP$2,T147,0)),"",OFFSET($AT$2,T147,0)-OFFSET($AZ$2,T147,0))</f>
        <v/>
      </c>
      <c r="W153" s="2910"/>
      <c r="X153" s="2911" t="str">
        <f ca="1">IF(ISBLANK(OFFSET($AP$2,X147,0)),"",OFFSET($AT$2,X147,0))</f>
        <v/>
      </c>
      <c r="Y153" s="2912"/>
      <c r="Z153" s="2909" t="str">
        <f ca="1">IF(ISBLANK(OFFSET($AP$2,X147,0)),"",OFFSET($AT$2,X147,0)-OFFSET($AZ$2,X147,0))</f>
        <v/>
      </c>
      <c r="AA153" s="2910"/>
      <c r="AB153" s="65"/>
    </row>
    <row r="154" spans="1:28" ht="12.95" hidden="1" customHeight="1" thickBot="1" x14ac:dyDescent="0.25">
      <c r="A154" s="65"/>
      <c r="B154" s="2929" t="s">
        <v>476</v>
      </c>
      <c r="C154" s="2930"/>
      <c r="D154" s="2922" t="str">
        <f ca="1">IF(ISBLANK(OFFSET($AP$2,D147,0)),"",OFFSET($AV$2,D147,0))</f>
        <v/>
      </c>
      <c r="E154" s="2923"/>
      <c r="F154" s="2924" t="str">
        <f ca="1">IF(ISBLANK(OFFSET($AP$2,D147,0)),"",OFFSET($AV$2,D147,0)-OFFSET($BB$2,D147,0))</f>
        <v/>
      </c>
      <c r="G154" s="2925"/>
      <c r="H154" s="2922" t="str">
        <f ca="1">IF(ISBLANK(OFFSET($AP$2,H147,0)),"",OFFSET($AV$2,H147,0))</f>
        <v/>
      </c>
      <c r="I154" s="2923"/>
      <c r="J154" s="2924" t="str">
        <f ca="1">IF(ISBLANK(OFFSET($AP$2,H147,0)),"",OFFSET($AV$2,H147,0)-OFFSET($BB$2,H147,0))</f>
        <v/>
      </c>
      <c r="K154" s="2925"/>
      <c r="L154" s="2922" t="str">
        <f ca="1">IF(ISBLANK(OFFSET($AP$2,L147,0)),"",OFFSET($AV$2,L147,0))</f>
        <v/>
      </c>
      <c r="M154" s="2923"/>
      <c r="N154" s="2924" t="str">
        <f ca="1">IF(ISBLANK(OFFSET($AP$2,L147,0)),"",OFFSET($AV$2,L147,0)-OFFSET($BB$2,L147,0))</f>
        <v/>
      </c>
      <c r="O154" s="2925"/>
      <c r="P154" s="2922" t="str">
        <f ca="1">IF(ISBLANK(OFFSET($AP$2,P147,0)),"",OFFSET($AV$2,P147,0))</f>
        <v/>
      </c>
      <c r="Q154" s="2923"/>
      <c r="R154" s="2924" t="str">
        <f ca="1">IF(ISBLANK(OFFSET($AP$2,P147,0)),"",OFFSET($AV$2,P147,0)-OFFSET($BB$2,P147,0))</f>
        <v/>
      </c>
      <c r="S154" s="2925"/>
      <c r="T154" s="2922" t="str">
        <f ca="1">IF(ISBLANK(OFFSET($AP$2,T147,0)),"",OFFSET($AV$2,T147,0))</f>
        <v/>
      </c>
      <c r="U154" s="2923"/>
      <c r="V154" s="2924" t="str">
        <f ca="1">IF(ISBLANK(OFFSET($AP$2,T147,0)),"",OFFSET($AV$2,T147,0)-OFFSET($BB$2,T147,0))</f>
        <v/>
      </c>
      <c r="W154" s="2925"/>
      <c r="X154" s="2922" t="str">
        <f ca="1">IF(ISBLANK(OFFSET($AP$2,X147,0)),"",OFFSET($AV$2,X147,0))</f>
        <v/>
      </c>
      <c r="Y154" s="2923"/>
      <c r="Z154" s="2924" t="str">
        <f ca="1">IF(ISBLANK(OFFSET($AP$2,X147,0)),"",OFFSET($AV$2,X147,0)-OFFSET($BB$2,X147,0))</f>
        <v/>
      </c>
      <c r="AA154" s="2925"/>
      <c r="AB154" s="65"/>
    </row>
    <row r="155" spans="1:28" ht="12.95" hidden="1" customHeight="1" thickBot="1" x14ac:dyDescent="0.25">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5" hidden="1" customHeight="1" x14ac:dyDescent="0.2">
      <c r="A156" s="65"/>
      <c r="B156" s="47"/>
      <c r="C156" s="48"/>
      <c r="D156" s="2926" t="str">
        <f ca="1">IF(ISBLANK(OFFSET($AP$2,D155,0)),"",CONCATENATE("Seq. ",OFFSET($AP$2,D155,0)))</f>
        <v/>
      </c>
      <c r="E156" s="2927"/>
      <c r="F156" s="2927"/>
      <c r="G156" s="2928"/>
      <c r="H156" s="2926" t="str">
        <f ca="1">IF(ISBLANK(OFFSET($AP$2,H155,0)),"",CONCATENATE("Seq. ",OFFSET($AP$2,H155,0)))</f>
        <v/>
      </c>
      <c r="I156" s="2927"/>
      <c r="J156" s="2927"/>
      <c r="K156" s="2928"/>
      <c r="L156" s="2926" t="str">
        <f ca="1">IF(ISBLANK(OFFSET($AP$2,L155,0)),"",CONCATENATE("Seq. ",OFFSET($AP$2,L155,0)))</f>
        <v/>
      </c>
      <c r="M156" s="2927"/>
      <c r="N156" s="2927"/>
      <c r="O156" s="2928"/>
      <c r="P156" s="2926" t="str">
        <f ca="1">IF(ISBLANK(OFFSET($AP$2,P155,0)),"",CONCATENATE("Seq. ",OFFSET($AP$2,P155,0)))</f>
        <v/>
      </c>
      <c r="Q156" s="2927"/>
      <c r="R156" s="2927"/>
      <c r="S156" s="2928"/>
      <c r="T156" s="2926" t="str">
        <f ca="1">IF(ISBLANK(OFFSET($AP$2,T155,0)),"",CONCATENATE("Seq. ",OFFSET($AP$2,T155,0)))</f>
        <v/>
      </c>
      <c r="U156" s="2927"/>
      <c r="V156" s="2927"/>
      <c r="W156" s="2928"/>
      <c r="X156" s="2926" t="str">
        <f ca="1">IF(ISBLANK(OFFSET($AP$2,X155,0)),"",CONCATENATE("Seq. ",OFFSET($AP$2,X155,0)))</f>
        <v/>
      </c>
      <c r="Y156" s="2927"/>
      <c r="Z156" s="2927"/>
      <c r="AA156" s="2928"/>
      <c r="AB156" s="65"/>
    </row>
    <row r="157" spans="1:28" ht="12.95" hidden="1" customHeight="1" thickBot="1" x14ac:dyDescent="0.25">
      <c r="A157" s="65"/>
      <c r="B157" s="47"/>
      <c r="C157" s="48"/>
      <c r="D157" s="2915" t="s">
        <v>477</v>
      </c>
      <c r="E157" s="2916"/>
      <c r="F157" s="2916" t="s">
        <v>478</v>
      </c>
      <c r="G157" s="2917"/>
      <c r="H157" s="2915" t="s">
        <v>477</v>
      </c>
      <c r="I157" s="2916"/>
      <c r="J157" s="2916" t="s">
        <v>478</v>
      </c>
      <c r="K157" s="2917"/>
      <c r="L157" s="2915" t="s">
        <v>477</v>
      </c>
      <c r="M157" s="2916"/>
      <c r="N157" s="2916" t="s">
        <v>478</v>
      </c>
      <c r="O157" s="2917"/>
      <c r="P157" s="2915" t="s">
        <v>477</v>
      </c>
      <c r="Q157" s="2916"/>
      <c r="R157" s="2916" t="s">
        <v>478</v>
      </c>
      <c r="S157" s="2917"/>
      <c r="T157" s="2915" t="s">
        <v>477</v>
      </c>
      <c r="U157" s="2916"/>
      <c r="V157" s="2916" t="s">
        <v>478</v>
      </c>
      <c r="W157" s="2917"/>
      <c r="X157" s="2915" t="s">
        <v>477</v>
      </c>
      <c r="Y157" s="2916"/>
      <c r="Z157" s="2916" t="s">
        <v>478</v>
      </c>
      <c r="AA157" s="2917"/>
      <c r="AB157" s="65"/>
    </row>
    <row r="158" spans="1:28" ht="12.95" hidden="1" customHeight="1" x14ac:dyDescent="0.2">
      <c r="A158" s="65"/>
      <c r="B158" s="2920" t="s">
        <v>74</v>
      </c>
      <c r="C158" s="2921"/>
      <c r="D158" s="2911" t="str">
        <f ca="1">IF(ISBLANK(OFFSET($AP$2,D155,0)),"",OFFSET($AQ$2,D155,0)+OFFSET($AU$2,D155,0))</f>
        <v/>
      </c>
      <c r="E158" s="2912"/>
      <c r="F158" s="2909" t="str">
        <f ca="1">IF(ISBLANK(OFFSET($AP$2,D155,0)),"",(OFFSET($AQ$2,D155,0)+OFFSET($AU$2,D155,0))-(OFFSET($AW$2,D155,0)+OFFSET($BA$2,D155,0)))</f>
        <v/>
      </c>
      <c r="G158" s="2910"/>
      <c r="H158" s="2911" t="str">
        <f ca="1">IF(ISBLANK(OFFSET($AP$2,H155,0)),"",OFFSET($AQ$2,H155,0)+OFFSET($AU$2,H155,0))</f>
        <v/>
      </c>
      <c r="I158" s="2912"/>
      <c r="J158" s="2909" t="str">
        <f ca="1">IF(ISBLANK(OFFSET($AP$2,H155,0)),"",(OFFSET($AQ$2,H155,0)+OFFSET($AU$2,H155,0))-(OFFSET($AW$2,H155,0)+OFFSET($BA$2,H155,0)))</f>
        <v/>
      </c>
      <c r="K158" s="2910"/>
      <c r="L158" s="2911" t="str">
        <f ca="1">IF(ISBLANK(OFFSET($AP$2,L155,0)),"",OFFSET($AQ$2,L155,0)+OFFSET($AU$2,L155,0))</f>
        <v/>
      </c>
      <c r="M158" s="2912"/>
      <c r="N158" s="2909" t="str">
        <f ca="1">IF(ISBLANK(OFFSET($AP$2,L155,0)),"",(OFFSET($AQ$2,L155,0)+OFFSET($AU$2,L155,0))-(OFFSET($AW$2,L155,0)+OFFSET($BA$2,L155,0)))</f>
        <v/>
      </c>
      <c r="O158" s="2910"/>
      <c r="P158" s="2911" t="str">
        <f ca="1">IF(ISBLANK(OFFSET($AP$2,P155,0)),"",OFFSET($AQ$2,P155,0)+OFFSET($AU$2,P155,0))</f>
        <v/>
      </c>
      <c r="Q158" s="2912"/>
      <c r="R158" s="2909" t="str">
        <f ca="1">IF(ISBLANK(OFFSET($AP$2,P155,0)),"",(OFFSET($AQ$2,P155,0)+OFFSET($AU$2,P155,0))-(OFFSET($AW$2,P155,0)+OFFSET($BA$2,P155,0)))</f>
        <v/>
      </c>
      <c r="S158" s="2910"/>
      <c r="T158" s="2911" t="str">
        <f ca="1">IF(ISBLANK(OFFSET($AP$2,T155,0)),"",OFFSET($AQ$2,T155,0)+OFFSET($AU$2,T155,0))</f>
        <v/>
      </c>
      <c r="U158" s="2912"/>
      <c r="V158" s="2909" t="str">
        <f ca="1">IF(ISBLANK(OFFSET($AP$2,T155,0)),"",(OFFSET($AQ$2,T155,0)+OFFSET($AU$2,T155,0))-(OFFSET($AW$2,T155,0)+OFFSET($BA$2,T155,0)))</f>
        <v/>
      </c>
      <c r="W158" s="2910"/>
      <c r="X158" s="2911" t="str">
        <f ca="1">IF(ISBLANK(OFFSET($AP$2,X155,0)),"",OFFSET($AQ$2,X155,0)+OFFSET($AU$2,X155,0))</f>
        <v/>
      </c>
      <c r="Y158" s="2912"/>
      <c r="Z158" s="2909" t="str">
        <f ca="1">IF(ISBLANK(OFFSET($AP$2,X155,0)),"",(OFFSET($AQ$2,X155,0)+OFFSET($AU$2,X155,0))-(OFFSET($AW$2,X155,0)+OFFSET($BA$2,X155,0)))</f>
        <v/>
      </c>
      <c r="AA158" s="2910"/>
      <c r="AB158" s="65"/>
    </row>
    <row r="159" spans="1:28" ht="12.95" hidden="1" customHeight="1" x14ac:dyDescent="0.2">
      <c r="A159" s="65"/>
      <c r="B159" s="2913" t="s">
        <v>474</v>
      </c>
      <c r="C159" s="2914"/>
      <c r="D159" s="2911" t="str">
        <f ca="1">IF(ISBLANK(OFFSET($AP$2,D155,0)),"",OFFSET($AR$2,D155,0))</f>
        <v/>
      </c>
      <c r="E159" s="2912"/>
      <c r="F159" s="2909" t="str">
        <f ca="1">IF(ISBLANK(OFFSET($AP$2,D155,0)),"",OFFSET($AR$2,D155,0)-OFFSET($AX$2,D155,0))</f>
        <v/>
      </c>
      <c r="G159" s="2910"/>
      <c r="H159" s="2911" t="str">
        <f ca="1">IF(ISBLANK(OFFSET($AP$2,H155,0)),"",OFFSET($AR$2,H155,0))</f>
        <v/>
      </c>
      <c r="I159" s="2912"/>
      <c r="J159" s="2909" t="str">
        <f ca="1">IF(ISBLANK(OFFSET($AP$2,H155,0)),"",OFFSET($AR$2,H155,0)-OFFSET($AX$2,H155,0))</f>
        <v/>
      </c>
      <c r="K159" s="2910"/>
      <c r="L159" s="2911" t="str">
        <f ca="1">IF(ISBLANK(OFFSET($AP$2,L155,0)),"",OFFSET($AR$2,L155,0))</f>
        <v/>
      </c>
      <c r="M159" s="2912"/>
      <c r="N159" s="2909" t="str">
        <f ca="1">IF(ISBLANK(OFFSET($AP$2,L155,0)),"",OFFSET($AR$2,L155,0)-OFFSET($AX$2,L155,0))</f>
        <v/>
      </c>
      <c r="O159" s="2910"/>
      <c r="P159" s="2911" t="str">
        <f ca="1">IF(ISBLANK(OFFSET($AP$2,P155,0)),"",OFFSET($AR$2,P155,0))</f>
        <v/>
      </c>
      <c r="Q159" s="2912"/>
      <c r="R159" s="2909" t="str">
        <f ca="1">IF(ISBLANK(OFFSET($AP$2,P155,0)),"",OFFSET($AR$2,P155,0)-OFFSET($AX$2,P155,0))</f>
        <v/>
      </c>
      <c r="S159" s="2910"/>
      <c r="T159" s="2911" t="str">
        <f ca="1">IF(ISBLANK(OFFSET($AP$2,T155,0)),"",OFFSET($AR$2,T155,0))</f>
        <v/>
      </c>
      <c r="U159" s="2912"/>
      <c r="V159" s="2909" t="str">
        <f ca="1">IF(ISBLANK(OFFSET($AP$2,T155,0)),"",OFFSET($AR$2,T155,0)-OFFSET($AX$2,T155,0))</f>
        <v/>
      </c>
      <c r="W159" s="2910"/>
      <c r="X159" s="2911" t="str">
        <f ca="1">IF(ISBLANK(OFFSET($AP$2,X155,0)),"",OFFSET($AR$2,X155,0))</f>
        <v/>
      </c>
      <c r="Y159" s="2912"/>
      <c r="Z159" s="2909" t="str">
        <f ca="1">IF(ISBLANK(OFFSET($AP$2,X155,0)),"",OFFSET($AR$2,X155,0)-OFFSET($AX$2,X155,0))</f>
        <v/>
      </c>
      <c r="AA159" s="2910"/>
      <c r="AB159" s="65"/>
    </row>
    <row r="160" spans="1:28" ht="12.95" hidden="1" customHeight="1" x14ac:dyDescent="0.2">
      <c r="A160" s="65"/>
      <c r="B160" s="2913" t="s">
        <v>475</v>
      </c>
      <c r="C160" s="2914"/>
      <c r="D160" s="2911" t="str">
        <f ca="1">IF(ISBLANK(OFFSET($AP$2,D155,0)),"",OFFSET($AS$2,D155,0))</f>
        <v/>
      </c>
      <c r="E160" s="2912"/>
      <c r="F160" s="2909" t="str">
        <f ca="1">IF(ISBLANK(OFFSET($AP$2,D155,0)),"",OFFSET($AS$2,D155,0)-OFFSET($AY$2,D155,0))</f>
        <v/>
      </c>
      <c r="G160" s="2910"/>
      <c r="H160" s="2911" t="str">
        <f ca="1">IF(ISBLANK(OFFSET($AP$2,H155,0)),"",OFFSET($AS$2,H155,0))</f>
        <v/>
      </c>
      <c r="I160" s="2912"/>
      <c r="J160" s="2909" t="str">
        <f ca="1">IF(ISBLANK(OFFSET($AP$2,H155,0)),"",OFFSET($AS$2,H155,0)-OFFSET($AY$2,H155,0))</f>
        <v/>
      </c>
      <c r="K160" s="2910"/>
      <c r="L160" s="2911" t="str">
        <f ca="1">IF(ISBLANK(OFFSET($AP$2,L155,0)),"",OFFSET($AS$2,L155,0))</f>
        <v/>
      </c>
      <c r="M160" s="2912"/>
      <c r="N160" s="2909" t="str">
        <f ca="1">IF(ISBLANK(OFFSET($AP$2,L155,0)),"",OFFSET($AS$2,L155,0)-OFFSET($AY$2,L155,0))</f>
        <v/>
      </c>
      <c r="O160" s="2910"/>
      <c r="P160" s="2911" t="str">
        <f ca="1">IF(ISBLANK(OFFSET($AP$2,P155,0)),"",OFFSET($AS$2,P155,0))</f>
        <v/>
      </c>
      <c r="Q160" s="2912"/>
      <c r="R160" s="2909" t="str">
        <f ca="1">IF(ISBLANK(OFFSET($AP$2,P155,0)),"",OFFSET($AS$2,P155,0)-OFFSET($AY$2,P155,0))</f>
        <v/>
      </c>
      <c r="S160" s="2910"/>
      <c r="T160" s="2911" t="str">
        <f ca="1">IF(ISBLANK(OFFSET($AP$2,T155,0)),"",OFFSET($AS$2,T155,0))</f>
        <v/>
      </c>
      <c r="U160" s="2912"/>
      <c r="V160" s="2909" t="str">
        <f ca="1">IF(ISBLANK(OFFSET($AP$2,T155,0)),"",OFFSET($AS$2,T155,0)-OFFSET($AY$2,T155,0))</f>
        <v/>
      </c>
      <c r="W160" s="2910"/>
      <c r="X160" s="2911" t="str">
        <f ca="1">IF(ISBLANK(OFFSET($AP$2,X155,0)),"",OFFSET($AS$2,X155,0))</f>
        <v/>
      </c>
      <c r="Y160" s="2912"/>
      <c r="Z160" s="2909" t="str">
        <f ca="1">IF(ISBLANK(OFFSET($AP$2,X155,0)),"",OFFSET($AS$2,X155,0)-OFFSET($AY$2,X155,0))</f>
        <v/>
      </c>
      <c r="AA160" s="2910"/>
      <c r="AB160" s="65"/>
    </row>
    <row r="161" spans="1:28" ht="12.95" hidden="1" customHeight="1" x14ac:dyDescent="0.2">
      <c r="A161" s="65"/>
      <c r="B161" s="2913" t="s">
        <v>76</v>
      </c>
      <c r="C161" s="2914"/>
      <c r="D161" s="2911" t="str">
        <f ca="1">IF(ISBLANK(OFFSET($AP$2,D155,0)),"",OFFSET($AT$2,D155,0))</f>
        <v/>
      </c>
      <c r="E161" s="2912"/>
      <c r="F161" s="2909" t="str">
        <f ca="1">IF(ISBLANK(OFFSET($AP$2,D155,0)),"",OFFSET($AT$2,D155,0)-OFFSET($AZ$2,D155,0))</f>
        <v/>
      </c>
      <c r="G161" s="2910"/>
      <c r="H161" s="2911" t="str">
        <f ca="1">IF(ISBLANK(OFFSET($AP$2,H155,0)),"",OFFSET($AT$2,H155,0))</f>
        <v/>
      </c>
      <c r="I161" s="2912"/>
      <c r="J161" s="2909" t="str">
        <f ca="1">IF(ISBLANK(OFFSET($AP$2,H155,0)),"",OFFSET($AT$2,H155,0)-OFFSET($AZ$2,H155,0))</f>
        <v/>
      </c>
      <c r="K161" s="2910"/>
      <c r="L161" s="2911" t="str">
        <f ca="1">IF(ISBLANK(OFFSET($AP$2,L155,0)),"",OFFSET($AT$2,L155,0))</f>
        <v/>
      </c>
      <c r="M161" s="2912"/>
      <c r="N161" s="2909" t="str">
        <f ca="1">IF(ISBLANK(OFFSET($AP$2,L155,0)),"",OFFSET($AT$2,L155,0)-OFFSET($AZ$2,L155,0))</f>
        <v/>
      </c>
      <c r="O161" s="2910"/>
      <c r="P161" s="2911" t="str">
        <f ca="1">IF(ISBLANK(OFFSET($AP$2,P155,0)),"",OFFSET($AT$2,P155,0))</f>
        <v/>
      </c>
      <c r="Q161" s="2912"/>
      <c r="R161" s="2909" t="str">
        <f ca="1">IF(ISBLANK(OFFSET($AP$2,P155,0)),"",OFFSET($AT$2,P155,0)-OFFSET($AZ$2,P155,0))</f>
        <v/>
      </c>
      <c r="S161" s="2910"/>
      <c r="T161" s="2911" t="str">
        <f ca="1">IF(ISBLANK(OFFSET($AP$2,T155,0)),"",OFFSET($AT$2,T155,0))</f>
        <v/>
      </c>
      <c r="U161" s="2912"/>
      <c r="V161" s="2909" t="str">
        <f ca="1">IF(ISBLANK(OFFSET($AP$2,T155,0)),"",OFFSET($AT$2,T155,0)-OFFSET($AZ$2,T155,0))</f>
        <v/>
      </c>
      <c r="W161" s="2910"/>
      <c r="X161" s="2911" t="str">
        <f ca="1">IF(ISBLANK(OFFSET($AP$2,X155,0)),"",OFFSET($AT$2,X155,0))</f>
        <v/>
      </c>
      <c r="Y161" s="2912"/>
      <c r="Z161" s="2909" t="str">
        <f ca="1">IF(ISBLANK(OFFSET($AP$2,X155,0)),"",OFFSET($AT$2,X155,0)-OFFSET($AZ$2,X155,0))</f>
        <v/>
      </c>
      <c r="AA161" s="2910"/>
      <c r="AB161" s="65"/>
    </row>
    <row r="162" spans="1:28" ht="12.95" hidden="1" customHeight="1" thickBot="1" x14ac:dyDescent="0.25">
      <c r="A162" s="65"/>
      <c r="B162" s="2929" t="s">
        <v>476</v>
      </c>
      <c r="C162" s="2930"/>
      <c r="D162" s="2922" t="str">
        <f ca="1">IF(ISBLANK(OFFSET($AP$2,D155,0)),"",OFFSET($AV$2,D155,0))</f>
        <v/>
      </c>
      <c r="E162" s="2923"/>
      <c r="F162" s="2924" t="str">
        <f ca="1">IF(ISBLANK(OFFSET($AP$2,D155,0)),"",OFFSET($AV$2,D155,0)-OFFSET($BB$2,D155,0))</f>
        <v/>
      </c>
      <c r="G162" s="2925"/>
      <c r="H162" s="2922" t="str">
        <f ca="1">IF(ISBLANK(OFFSET($AP$2,H155,0)),"",OFFSET($AV$2,H155,0))</f>
        <v/>
      </c>
      <c r="I162" s="2923"/>
      <c r="J162" s="2924" t="str">
        <f ca="1">IF(ISBLANK(OFFSET($AP$2,H155,0)),"",OFFSET($AV$2,H155,0)-OFFSET($BB$2,H155,0))</f>
        <v/>
      </c>
      <c r="K162" s="2925"/>
      <c r="L162" s="2922" t="str">
        <f ca="1">IF(ISBLANK(OFFSET($AP$2,L155,0)),"",OFFSET($AV$2,L155,0))</f>
        <v/>
      </c>
      <c r="M162" s="2923"/>
      <c r="N162" s="2924" t="str">
        <f ca="1">IF(ISBLANK(OFFSET($AP$2,L155,0)),"",OFFSET($AV$2,L155,0)-OFFSET($BB$2,L155,0))</f>
        <v/>
      </c>
      <c r="O162" s="2925"/>
      <c r="P162" s="2922" t="str">
        <f ca="1">IF(ISBLANK(OFFSET($AP$2,P155,0)),"",OFFSET($AV$2,P155,0))</f>
        <v/>
      </c>
      <c r="Q162" s="2923"/>
      <c r="R162" s="2924" t="str">
        <f ca="1">IF(ISBLANK(OFFSET($AP$2,P155,0)),"",OFFSET($AV$2,P155,0)-OFFSET($BB$2,P155,0))</f>
        <v/>
      </c>
      <c r="S162" s="2925"/>
      <c r="T162" s="2922" t="str">
        <f ca="1">IF(ISBLANK(OFFSET($AP$2,T155,0)),"",OFFSET($AV$2,T155,0))</f>
        <v/>
      </c>
      <c r="U162" s="2923"/>
      <c r="V162" s="2924" t="str">
        <f ca="1">IF(ISBLANK(OFFSET($AP$2,T155,0)),"",OFFSET($AV$2,T155,0)-OFFSET($BB$2,T155,0))</f>
        <v/>
      </c>
      <c r="W162" s="2925"/>
      <c r="X162" s="2922" t="str">
        <f ca="1">IF(ISBLANK(OFFSET($AP$2,X155,0)),"",OFFSET($AV$2,X155,0))</f>
        <v/>
      </c>
      <c r="Y162" s="2923"/>
      <c r="Z162" s="2924" t="str">
        <f ca="1">IF(ISBLANK(OFFSET($AP$2,X155,0)),"",OFFSET($AV$2,X155,0)-OFFSET($BB$2,X155,0))</f>
        <v/>
      </c>
      <c r="AA162" s="2925"/>
      <c r="AB162" s="65"/>
    </row>
    <row r="163" spans="1:28" ht="12.95" hidden="1" customHeight="1" thickBot="1" x14ac:dyDescent="0.25">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5" hidden="1" customHeight="1" x14ac:dyDescent="0.2">
      <c r="A164" s="65"/>
      <c r="B164" s="47"/>
      <c r="C164" s="48"/>
      <c r="D164" s="2926" t="str">
        <f ca="1">IF(ISBLANK(OFFSET($AP$2,D163,0)),"",CONCATENATE("Seq. ",OFFSET($AP$2,D163,0)))</f>
        <v/>
      </c>
      <c r="E164" s="2927"/>
      <c r="F164" s="2927"/>
      <c r="G164" s="2928"/>
      <c r="H164" s="2926" t="str">
        <f ca="1">IF(ISBLANK(OFFSET($AP$2,H163,0)),"",CONCATENATE("Seq. ",OFFSET($AP$2,H163,0)))</f>
        <v/>
      </c>
      <c r="I164" s="2927"/>
      <c r="J164" s="2927"/>
      <c r="K164" s="2928"/>
      <c r="L164" s="2926" t="str">
        <f ca="1">IF(ISBLANK(OFFSET($AP$2,L163,0)),"",CONCATENATE("Seq. ",OFFSET($AP$2,L163,0)))</f>
        <v/>
      </c>
      <c r="M164" s="2927"/>
      <c r="N164" s="2927"/>
      <c r="O164" s="2928"/>
      <c r="P164" s="2926" t="str">
        <f ca="1">IF(ISBLANK(OFFSET($AP$2,P163,0)),"",CONCATENATE("Seq. ",OFFSET($AP$2,P163,0)))</f>
        <v/>
      </c>
      <c r="Q164" s="2927"/>
      <c r="R164" s="2927"/>
      <c r="S164" s="2928"/>
      <c r="T164" s="2926" t="str">
        <f ca="1">IF(ISBLANK(OFFSET($AP$2,T163,0)),"",CONCATENATE("Seq. ",OFFSET($AP$2,T163,0)))</f>
        <v/>
      </c>
      <c r="U164" s="2927"/>
      <c r="V164" s="2927"/>
      <c r="W164" s="2928"/>
      <c r="X164" s="2926" t="str">
        <f ca="1">IF(ISBLANK(OFFSET($AP$2,X163,0)),"",CONCATENATE("Seq. ",OFFSET($AP$2,X163,0)))</f>
        <v/>
      </c>
      <c r="Y164" s="2927"/>
      <c r="Z164" s="2927"/>
      <c r="AA164" s="2928"/>
      <c r="AB164" s="65"/>
    </row>
    <row r="165" spans="1:28" ht="12.95" hidden="1" customHeight="1" thickBot="1" x14ac:dyDescent="0.25">
      <c r="A165" s="65"/>
      <c r="B165" s="47"/>
      <c r="C165" s="48"/>
      <c r="D165" s="2915" t="s">
        <v>477</v>
      </c>
      <c r="E165" s="2916"/>
      <c r="F165" s="2916" t="s">
        <v>478</v>
      </c>
      <c r="G165" s="2917"/>
      <c r="H165" s="2915" t="s">
        <v>477</v>
      </c>
      <c r="I165" s="2916"/>
      <c r="J165" s="2916" t="s">
        <v>478</v>
      </c>
      <c r="K165" s="2917"/>
      <c r="L165" s="2915" t="s">
        <v>477</v>
      </c>
      <c r="M165" s="2916"/>
      <c r="N165" s="2916" t="s">
        <v>478</v>
      </c>
      <c r="O165" s="2917"/>
      <c r="P165" s="2915" t="s">
        <v>477</v>
      </c>
      <c r="Q165" s="2916"/>
      <c r="R165" s="2916" t="s">
        <v>478</v>
      </c>
      <c r="S165" s="2917"/>
      <c r="T165" s="2915" t="s">
        <v>477</v>
      </c>
      <c r="U165" s="2916"/>
      <c r="V165" s="2916" t="s">
        <v>478</v>
      </c>
      <c r="W165" s="2917"/>
      <c r="X165" s="2915" t="s">
        <v>477</v>
      </c>
      <c r="Y165" s="2916"/>
      <c r="Z165" s="2916" t="s">
        <v>478</v>
      </c>
      <c r="AA165" s="2917"/>
      <c r="AB165" s="65"/>
    </row>
    <row r="166" spans="1:28" ht="12.95" hidden="1" customHeight="1" x14ac:dyDescent="0.2">
      <c r="A166" s="65"/>
      <c r="B166" s="2920" t="s">
        <v>74</v>
      </c>
      <c r="C166" s="2921"/>
      <c r="D166" s="2911" t="str">
        <f ca="1">IF(ISBLANK(OFFSET($AP$2,D163,0)),"",OFFSET($AQ$2,D163,0)+OFFSET($AU$2,D163,0))</f>
        <v/>
      </c>
      <c r="E166" s="2912"/>
      <c r="F166" s="2909" t="str">
        <f ca="1">IF(ISBLANK(OFFSET($AP$2,D163,0)),"",(OFFSET($AQ$2,D163,0)+OFFSET($AU$2,D163,0))-(OFFSET($AW$2,D163,0)+OFFSET($BA$2,D163,0)))</f>
        <v/>
      </c>
      <c r="G166" s="2910"/>
      <c r="H166" s="2911" t="str">
        <f ca="1">IF(ISBLANK(OFFSET($AP$2,H163,0)),"",OFFSET($AQ$2,H163,0)+OFFSET($AU$2,H163,0))</f>
        <v/>
      </c>
      <c r="I166" s="2912"/>
      <c r="J166" s="2909" t="str">
        <f ca="1">IF(ISBLANK(OFFSET($AP$2,H163,0)),"",(OFFSET($AQ$2,H163,0)+OFFSET($AU$2,H163,0))-(OFFSET($AW$2,H163,0)+OFFSET($BA$2,H163,0)))</f>
        <v/>
      </c>
      <c r="K166" s="2910"/>
      <c r="L166" s="2911" t="str">
        <f ca="1">IF(ISBLANK(OFFSET($AP$2,L163,0)),"",OFFSET($AQ$2,L163,0)+OFFSET($AU$2,L163,0))</f>
        <v/>
      </c>
      <c r="M166" s="2912"/>
      <c r="N166" s="2909" t="str">
        <f ca="1">IF(ISBLANK(OFFSET($AP$2,L163,0)),"",(OFFSET($AQ$2,L163,0)+OFFSET($AU$2,L163,0))-(OFFSET($AW$2,L163,0)+OFFSET($BA$2,L163,0)))</f>
        <v/>
      </c>
      <c r="O166" s="2910"/>
      <c r="P166" s="2911" t="str">
        <f ca="1">IF(ISBLANK(OFFSET($AP$2,P163,0)),"",OFFSET($AQ$2,P163,0)+OFFSET($AU$2,P163,0))</f>
        <v/>
      </c>
      <c r="Q166" s="2912"/>
      <c r="R166" s="2909" t="str">
        <f ca="1">IF(ISBLANK(OFFSET($AP$2,P163,0)),"",(OFFSET($AQ$2,P163,0)+OFFSET($AU$2,P163,0))-(OFFSET($AW$2,P163,0)+OFFSET($BA$2,P163,0)))</f>
        <v/>
      </c>
      <c r="S166" s="2910"/>
      <c r="T166" s="2911" t="str">
        <f ca="1">IF(ISBLANK(OFFSET($AP$2,T163,0)),"",OFFSET($AQ$2,T163,0)+OFFSET($AU$2,T163,0))</f>
        <v/>
      </c>
      <c r="U166" s="2912"/>
      <c r="V166" s="2909" t="str">
        <f ca="1">IF(ISBLANK(OFFSET($AP$2,T163,0)),"",(OFFSET($AQ$2,T163,0)+OFFSET($AU$2,T163,0))-(OFFSET($AW$2,T163,0)+OFFSET($BA$2,T163,0)))</f>
        <v/>
      </c>
      <c r="W166" s="2910"/>
      <c r="X166" s="2911" t="str">
        <f ca="1">IF(ISBLANK(OFFSET($AP$2,X163,0)),"",OFFSET($AQ$2,X163,0)+OFFSET($AU$2,X163,0))</f>
        <v/>
      </c>
      <c r="Y166" s="2912"/>
      <c r="Z166" s="2909" t="str">
        <f ca="1">IF(ISBLANK(OFFSET($AP$2,X163,0)),"",(OFFSET($AQ$2,X163,0)+OFFSET($AU$2,X163,0))-(OFFSET($AW$2,X163,0)+OFFSET($BA$2,X163,0)))</f>
        <v/>
      </c>
      <c r="AA166" s="2910"/>
      <c r="AB166" s="65"/>
    </row>
    <row r="167" spans="1:28" ht="12.95" hidden="1" customHeight="1" x14ac:dyDescent="0.2">
      <c r="A167" s="65"/>
      <c r="B167" s="2913" t="s">
        <v>474</v>
      </c>
      <c r="C167" s="2914"/>
      <c r="D167" s="2911" t="str">
        <f ca="1">IF(ISBLANK(OFFSET($AP$2,D163,0)),"",OFFSET($AR$2,D163,0))</f>
        <v/>
      </c>
      <c r="E167" s="2912"/>
      <c r="F167" s="2909" t="str">
        <f ca="1">IF(ISBLANK(OFFSET($AP$2,D163,0)),"",OFFSET($AR$2,D163,0)-OFFSET($AX$2,D163,0))</f>
        <v/>
      </c>
      <c r="G167" s="2910"/>
      <c r="H167" s="2911" t="str">
        <f ca="1">IF(ISBLANK(OFFSET($AP$2,H163,0)),"",OFFSET($AR$2,H163,0))</f>
        <v/>
      </c>
      <c r="I167" s="2912"/>
      <c r="J167" s="2909" t="str">
        <f ca="1">IF(ISBLANK(OFFSET($AP$2,H163,0)),"",OFFSET($AR$2,H163,0)-OFFSET($AX$2,H163,0))</f>
        <v/>
      </c>
      <c r="K167" s="2910"/>
      <c r="L167" s="2911" t="str">
        <f ca="1">IF(ISBLANK(OFFSET($AP$2,L163,0)),"",OFFSET($AR$2,L163,0))</f>
        <v/>
      </c>
      <c r="M167" s="2912"/>
      <c r="N167" s="2909" t="str">
        <f ca="1">IF(ISBLANK(OFFSET($AP$2,L163,0)),"",OFFSET($AR$2,L163,0)-OFFSET($AX$2,L163,0))</f>
        <v/>
      </c>
      <c r="O167" s="2910"/>
      <c r="P167" s="2911" t="str">
        <f ca="1">IF(ISBLANK(OFFSET($AP$2,P163,0)),"",OFFSET($AR$2,P163,0))</f>
        <v/>
      </c>
      <c r="Q167" s="2912"/>
      <c r="R167" s="2909" t="str">
        <f ca="1">IF(ISBLANK(OFFSET($AP$2,P163,0)),"",OFFSET($AR$2,P163,0)-OFFSET($AX$2,P163,0))</f>
        <v/>
      </c>
      <c r="S167" s="2910"/>
      <c r="T167" s="2911" t="str">
        <f ca="1">IF(ISBLANK(OFFSET($AP$2,T163,0)),"",OFFSET($AR$2,T163,0))</f>
        <v/>
      </c>
      <c r="U167" s="2912"/>
      <c r="V167" s="2909" t="str">
        <f ca="1">IF(ISBLANK(OFFSET($AP$2,T163,0)),"",OFFSET($AR$2,T163,0)-OFFSET($AX$2,T163,0))</f>
        <v/>
      </c>
      <c r="W167" s="2910"/>
      <c r="X167" s="2911" t="str">
        <f ca="1">IF(ISBLANK(OFFSET($AP$2,X163,0)),"",OFFSET($AR$2,X163,0))</f>
        <v/>
      </c>
      <c r="Y167" s="2912"/>
      <c r="Z167" s="2909" t="str">
        <f ca="1">IF(ISBLANK(OFFSET($AP$2,X163,0)),"",OFFSET($AR$2,X163,0)-OFFSET($AX$2,X163,0))</f>
        <v/>
      </c>
      <c r="AA167" s="2910"/>
      <c r="AB167" s="65"/>
    </row>
    <row r="168" spans="1:28" ht="12.95" hidden="1" customHeight="1" x14ac:dyDescent="0.2">
      <c r="A168" s="65"/>
      <c r="B168" s="2913" t="s">
        <v>475</v>
      </c>
      <c r="C168" s="2914"/>
      <c r="D168" s="2911" t="str">
        <f ca="1">IF(ISBLANK(OFFSET($AP$2,D163,0)),"",OFFSET($AS$2,D163,0))</f>
        <v/>
      </c>
      <c r="E168" s="2912"/>
      <c r="F168" s="2909" t="str">
        <f ca="1">IF(ISBLANK(OFFSET($AP$2,D163,0)),"",OFFSET($AS$2,D163,0)-OFFSET($AY$2,D163,0))</f>
        <v/>
      </c>
      <c r="G168" s="2910"/>
      <c r="H168" s="2911" t="str">
        <f ca="1">IF(ISBLANK(OFFSET($AP$2,H163,0)),"",OFFSET($AS$2,H163,0))</f>
        <v/>
      </c>
      <c r="I168" s="2912"/>
      <c r="J168" s="2909" t="str">
        <f ca="1">IF(ISBLANK(OFFSET($AP$2,H163,0)),"",OFFSET($AS$2,H163,0)-OFFSET($AY$2,H163,0))</f>
        <v/>
      </c>
      <c r="K168" s="2910"/>
      <c r="L168" s="2911" t="str">
        <f ca="1">IF(ISBLANK(OFFSET($AP$2,L163,0)),"",OFFSET($AS$2,L163,0))</f>
        <v/>
      </c>
      <c r="M168" s="2912"/>
      <c r="N168" s="2909" t="str">
        <f ca="1">IF(ISBLANK(OFFSET($AP$2,L163,0)),"",OFFSET($AS$2,L163,0)-OFFSET($AY$2,L163,0))</f>
        <v/>
      </c>
      <c r="O168" s="2910"/>
      <c r="P168" s="2911" t="str">
        <f ca="1">IF(ISBLANK(OFFSET($AP$2,P163,0)),"",OFFSET($AS$2,P163,0))</f>
        <v/>
      </c>
      <c r="Q168" s="2912"/>
      <c r="R168" s="2909" t="str">
        <f ca="1">IF(ISBLANK(OFFSET($AP$2,P163,0)),"",OFFSET($AS$2,P163,0)-OFFSET($AY$2,P163,0))</f>
        <v/>
      </c>
      <c r="S168" s="2910"/>
      <c r="T168" s="2911" t="str">
        <f ca="1">IF(ISBLANK(OFFSET($AP$2,T163,0)),"",OFFSET($AS$2,T163,0))</f>
        <v/>
      </c>
      <c r="U168" s="2912"/>
      <c r="V168" s="2909" t="str">
        <f ca="1">IF(ISBLANK(OFFSET($AP$2,T163,0)),"",OFFSET($AS$2,T163,0)-OFFSET($AY$2,T163,0))</f>
        <v/>
      </c>
      <c r="W168" s="2910"/>
      <c r="X168" s="2911" t="str">
        <f ca="1">IF(ISBLANK(OFFSET($AP$2,X163,0)),"",OFFSET($AS$2,X163,0))</f>
        <v/>
      </c>
      <c r="Y168" s="2912"/>
      <c r="Z168" s="2909" t="str">
        <f ca="1">IF(ISBLANK(OFFSET($AP$2,X163,0)),"",OFFSET($AS$2,X163,0)-OFFSET($AY$2,X163,0))</f>
        <v/>
      </c>
      <c r="AA168" s="2910"/>
      <c r="AB168" s="65"/>
    </row>
    <row r="169" spans="1:28" ht="12.95" hidden="1" customHeight="1" x14ac:dyDescent="0.2">
      <c r="A169" s="65"/>
      <c r="B169" s="2913" t="s">
        <v>76</v>
      </c>
      <c r="C169" s="2914"/>
      <c r="D169" s="2911" t="str">
        <f ca="1">IF(ISBLANK(OFFSET($AP$2,D163,0)),"",OFFSET($AT$2,D163,0))</f>
        <v/>
      </c>
      <c r="E169" s="2912"/>
      <c r="F169" s="2909" t="str">
        <f ca="1">IF(ISBLANK(OFFSET($AP$2,D163,0)),"",OFFSET($AT$2,D163,0)-OFFSET($AZ$2,D163,0))</f>
        <v/>
      </c>
      <c r="G169" s="2910"/>
      <c r="H169" s="2911" t="str">
        <f ca="1">IF(ISBLANK(OFFSET($AP$2,H163,0)),"",OFFSET($AT$2,H163,0))</f>
        <v/>
      </c>
      <c r="I169" s="2912"/>
      <c r="J169" s="2909" t="str">
        <f ca="1">IF(ISBLANK(OFFSET($AP$2,H163,0)),"",OFFSET($AT$2,H163,0)-OFFSET($AZ$2,H163,0))</f>
        <v/>
      </c>
      <c r="K169" s="2910"/>
      <c r="L169" s="2911" t="str">
        <f ca="1">IF(ISBLANK(OFFSET($AP$2,L163,0)),"",OFFSET($AT$2,L163,0))</f>
        <v/>
      </c>
      <c r="M169" s="2912"/>
      <c r="N169" s="2909" t="str">
        <f ca="1">IF(ISBLANK(OFFSET($AP$2,L163,0)),"",OFFSET($AT$2,L163,0)-OFFSET($AZ$2,L163,0))</f>
        <v/>
      </c>
      <c r="O169" s="2910"/>
      <c r="P169" s="2911" t="str">
        <f ca="1">IF(ISBLANK(OFFSET($AP$2,P163,0)),"",OFFSET($AT$2,P163,0))</f>
        <v/>
      </c>
      <c r="Q169" s="2912"/>
      <c r="R169" s="2909" t="str">
        <f ca="1">IF(ISBLANK(OFFSET($AP$2,P163,0)),"",OFFSET($AT$2,P163,0)-OFFSET($AZ$2,P163,0))</f>
        <v/>
      </c>
      <c r="S169" s="2910"/>
      <c r="T169" s="2911" t="str">
        <f ca="1">IF(ISBLANK(OFFSET($AP$2,T163,0)),"",OFFSET($AT$2,T163,0))</f>
        <v/>
      </c>
      <c r="U169" s="2912"/>
      <c r="V169" s="2909" t="str">
        <f ca="1">IF(ISBLANK(OFFSET($AP$2,T163,0)),"",OFFSET($AT$2,T163,0)-OFFSET($AZ$2,T163,0))</f>
        <v/>
      </c>
      <c r="W169" s="2910"/>
      <c r="X169" s="2911" t="str">
        <f ca="1">IF(ISBLANK(OFFSET($AP$2,X163,0)),"",OFFSET($AT$2,X163,0))</f>
        <v/>
      </c>
      <c r="Y169" s="2912"/>
      <c r="Z169" s="2909" t="str">
        <f ca="1">IF(ISBLANK(OFFSET($AP$2,X163,0)),"",OFFSET($AT$2,X163,0)-OFFSET($AZ$2,X163,0))</f>
        <v/>
      </c>
      <c r="AA169" s="2910"/>
      <c r="AB169" s="65"/>
    </row>
    <row r="170" spans="1:28" ht="12.95" hidden="1" customHeight="1" thickBot="1" x14ac:dyDescent="0.25">
      <c r="A170" s="65"/>
      <c r="B170" s="2929" t="s">
        <v>476</v>
      </c>
      <c r="C170" s="2930"/>
      <c r="D170" s="2922" t="str">
        <f ca="1">IF(ISBLANK(OFFSET($AP$2,D163,0)),"",OFFSET($AV$2,D163,0))</f>
        <v/>
      </c>
      <c r="E170" s="2923"/>
      <c r="F170" s="2924" t="str">
        <f ca="1">IF(ISBLANK(OFFSET($AP$2,D163,0)),"",OFFSET($AV$2,D163,0)-OFFSET($BB$2,D163,0))</f>
        <v/>
      </c>
      <c r="G170" s="2925"/>
      <c r="H170" s="2922" t="str">
        <f ca="1">IF(ISBLANK(OFFSET($AP$2,H163,0)),"",OFFSET($AV$2,H163,0))</f>
        <v/>
      </c>
      <c r="I170" s="2923"/>
      <c r="J170" s="2924" t="str">
        <f ca="1">IF(ISBLANK(OFFSET($AP$2,H163,0)),"",OFFSET($AV$2,H163,0)-OFFSET($BB$2,H163,0))</f>
        <v/>
      </c>
      <c r="K170" s="2925"/>
      <c r="L170" s="2922" t="str">
        <f ca="1">IF(ISBLANK(OFFSET($AP$2,L163,0)),"",OFFSET($AV$2,L163,0))</f>
        <v/>
      </c>
      <c r="M170" s="2923"/>
      <c r="N170" s="2924" t="str">
        <f ca="1">IF(ISBLANK(OFFSET($AP$2,L163,0)),"",OFFSET($AV$2,L163,0)-OFFSET($BB$2,L163,0))</f>
        <v/>
      </c>
      <c r="O170" s="2925"/>
      <c r="P170" s="2922" t="str">
        <f ca="1">IF(ISBLANK(OFFSET($AP$2,P163,0)),"",OFFSET($AV$2,P163,0))</f>
        <v/>
      </c>
      <c r="Q170" s="2923"/>
      <c r="R170" s="2924" t="str">
        <f ca="1">IF(ISBLANK(OFFSET($AP$2,P163,0)),"",OFFSET($AV$2,P163,0)-OFFSET($BB$2,P163,0))</f>
        <v/>
      </c>
      <c r="S170" s="2925"/>
      <c r="T170" s="2922" t="str">
        <f ca="1">IF(ISBLANK(OFFSET($AP$2,T163,0)),"",OFFSET($AV$2,T163,0))</f>
        <v/>
      </c>
      <c r="U170" s="2923"/>
      <c r="V170" s="2924" t="str">
        <f ca="1">IF(ISBLANK(OFFSET($AP$2,T163,0)),"",OFFSET($AV$2,T163,0)-OFFSET($BB$2,T163,0))</f>
        <v/>
      </c>
      <c r="W170" s="2925"/>
      <c r="X170" s="2922" t="str">
        <f ca="1">IF(ISBLANK(OFFSET($AP$2,X163,0)),"",OFFSET($AV$2,X163,0))</f>
        <v/>
      </c>
      <c r="Y170" s="2923"/>
      <c r="Z170" s="2924" t="str">
        <f ca="1">IF(ISBLANK(OFFSET($AP$2,X163,0)),"",OFFSET($AV$2,X163,0)-OFFSET($BB$2,X163,0))</f>
        <v/>
      </c>
      <c r="AA170" s="2925"/>
      <c r="AB170" s="65"/>
    </row>
    <row r="179" ht="12.95" customHeight="1" x14ac:dyDescent="0.2"/>
    <row r="180" ht="12.95" customHeight="1" x14ac:dyDescent="0.2"/>
    <row r="181" ht="12.95" customHeight="1" x14ac:dyDescent="0.2"/>
    <row r="182" ht="12.95" customHeight="1" x14ac:dyDescent="0.2"/>
  </sheetData>
  <sheetProtection algorithmName="SHA-512" hashValue="mykX6RGYz9XO4Ht0ciE9NQtK6fjLi/7XzX0aFo+WIJKnr8xf+a18cxw2U5a/KReZYJq7C6YVFCiIYz9xcKW8sA==" saltValue="yvKsrfr2hfqCxCYab9AtBA=="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1609" priority="1" stopIfTrue="1" operator="equal">
      <formula>0</formula>
    </cfRule>
    <cfRule type="expression" dxfId="1608" priority="2" stopIfTrue="1">
      <formula>ISBLANK(OFFSET($AP$2,$H22,0))</formula>
    </cfRule>
  </conditionalFormatting>
  <conditionalFormatting sqref="L25:O25 L33:O33 L41:O41 L49:O49 L68:O68 L76:O76 L84:O84 L92:O92 L100:O100 L108:O108 L126:O126 L134:O134 L142:O142 L150:O150 L158:O158 L166:O166">
    <cfRule type="cellIs" dxfId="1607" priority="3" stopIfTrue="1" operator="equal">
      <formula>0</formula>
    </cfRule>
    <cfRule type="expression" dxfId="1606" priority="4" stopIfTrue="1">
      <formula>ISBLANK(OFFSET($AP$2,$L22,0))</formula>
    </cfRule>
  </conditionalFormatting>
  <conditionalFormatting sqref="P25:S25 P33:S33 P41:S41 P49:S49 P68:S68 P76:S76 P84:S84 P92:S92 P100:S100 P108:S108 P126:S126 P134:S134 P142:S142 P150:S150 P158:S158 P166:S166">
    <cfRule type="cellIs" dxfId="1605" priority="5" stopIfTrue="1" operator="equal">
      <formula>0</formula>
    </cfRule>
    <cfRule type="expression" dxfId="1604" priority="6" stopIfTrue="1">
      <formula>ISBLANK(OFFSET($AP$2,$P22,0))</formula>
    </cfRule>
  </conditionalFormatting>
  <conditionalFormatting sqref="T25:W25 T33:W33 T41:W41 T49:W49 T68:W68 T76:W76 T84:W84 T92:W92 T100:W100 T108:W108 T126:W126 T134:W134 T142:W142 T150:W150 T158:W158 T166:W166">
    <cfRule type="cellIs" dxfId="1603" priority="7" stopIfTrue="1" operator="equal">
      <formula>0</formula>
    </cfRule>
    <cfRule type="expression" dxfId="1602"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1601" priority="9" stopIfTrue="1" operator="equal">
      <formula>0</formula>
    </cfRule>
    <cfRule type="expression" dxfId="1600" priority="10" stopIfTrue="1">
      <formula>ISBLANK(OFFSET($AP$2,$X22,0))</formula>
    </cfRule>
  </conditionalFormatting>
  <conditionalFormatting sqref="H26:K26 H34:K34 H42:K42 H50:K50 H69:K69 H77:K77 H85:K85 H93:K93 H101:K101 H109:K109 H127:K127 H135:K135 H143:K143 H151:K151 H159:K159 H167:K167">
    <cfRule type="cellIs" dxfId="1599" priority="11" stopIfTrue="1" operator="equal">
      <formula>0</formula>
    </cfRule>
    <cfRule type="expression" dxfId="1598" priority="12" stopIfTrue="1">
      <formula>ISBLANK(OFFSET($AP$2,$H22,0))</formula>
    </cfRule>
  </conditionalFormatting>
  <conditionalFormatting sqref="L26:O26 L34:O34 L42:O42 L50:O50 L69:O69 L77:O77 L85:O85 L93:O93 L101:O101 L109:O109 L127:O127 L135:O135 L143:O143 L151:O151 L159:O159 L167:O167">
    <cfRule type="cellIs" dxfId="1597" priority="13" stopIfTrue="1" operator="equal">
      <formula>0</formula>
    </cfRule>
    <cfRule type="expression" dxfId="1596" priority="14" stopIfTrue="1">
      <formula>ISBLANK(OFFSET($AP$2,$L22,0))</formula>
    </cfRule>
  </conditionalFormatting>
  <conditionalFormatting sqref="P26:S26 P34:S34 P42:S42 P50:S50 P69:S69 P77:S77 P85:S85 P93:S93 P101:S101 P109:S109 P127:S127 P135:S135 P143:S143 P151:S151 P159:S159 P167:S167">
    <cfRule type="cellIs" dxfId="1595" priority="15" stopIfTrue="1" operator="equal">
      <formula>0</formula>
    </cfRule>
    <cfRule type="expression" dxfId="1594" priority="16" stopIfTrue="1">
      <formula>ISBLANK(OFFSET($AP$2,$P22,0))</formula>
    </cfRule>
  </conditionalFormatting>
  <conditionalFormatting sqref="T26:W26 T34:W34 T42:W42 T50:W50 T69:W69 T77:W77 T85:W85 T93:W93 T101:W101 T109:W109 T127:W127 T135:W135 T143:W143 T151:W151 T159:W159 T167:W167">
    <cfRule type="cellIs" dxfId="1593" priority="17" stopIfTrue="1" operator="equal">
      <formula>0</formula>
    </cfRule>
    <cfRule type="expression" dxfId="1592"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1591" priority="19" stopIfTrue="1" operator="equal">
      <formula>0</formula>
    </cfRule>
    <cfRule type="expression" dxfId="1590" priority="20" stopIfTrue="1">
      <formula>ISBLANK(OFFSET($AP$2,$X22,0))</formula>
    </cfRule>
  </conditionalFormatting>
  <conditionalFormatting sqref="H23:K23 H31:K31 H39:K39 H47:K47 H66:K66 H74:K74 H82:K82 H90:K90 H98:K98 H106:K106 H124:K124 H132:K132 H140:K140 H148:K148 H156:K156 H164:K164">
    <cfRule type="cellIs" dxfId="1589" priority="21" stopIfTrue="1" operator="equal">
      <formula>0</formula>
    </cfRule>
    <cfRule type="expression" dxfId="1588" priority="22" stopIfTrue="1">
      <formula>ISBLANK(OFFSET($AP$2,$H22,0))</formula>
    </cfRule>
  </conditionalFormatting>
  <conditionalFormatting sqref="H24:K24 H32:K32 H40:K40 H48:K48 H67:K67 H75:K75 H83:K83 H91:K91 H99:K99 H107:K107 H125:K125 H133:K133 H141:K141 H149:K149 H157:K157 H165:K165">
    <cfRule type="cellIs" dxfId="1587" priority="23" stopIfTrue="1" operator="equal">
      <formula>0</formula>
    </cfRule>
    <cfRule type="expression" dxfId="1586" priority="24" stopIfTrue="1">
      <formula>ISBLANK(OFFSET($AP$2,$H22,0))</formula>
    </cfRule>
  </conditionalFormatting>
  <conditionalFormatting sqref="L23:O23 L31:O31 L39:O39 L47:O47 L66:O66 L74:O74 L82:O82 L90:O90 L98:O98 L106:O106 L124:O124 L132:O132 L140:O140 L148:O148 L156:O156 L164:O164">
    <cfRule type="cellIs" dxfId="1585" priority="25" stopIfTrue="1" operator="equal">
      <formula>0</formula>
    </cfRule>
    <cfRule type="expression" dxfId="1584" priority="26" stopIfTrue="1">
      <formula>ISBLANK(OFFSET($AP$2,$L22,0))</formula>
    </cfRule>
  </conditionalFormatting>
  <conditionalFormatting sqref="L24:O24 L32:O32 L40:O40 L48:O48 L67:O67 L75:O75 L83:O83 L91:O91 L99:O99 L107:O107 L125:O125 L133:O133 L141:O141 L149:O149 L157:O157 L165:O165">
    <cfRule type="cellIs" dxfId="1583" priority="27" stopIfTrue="1" operator="equal">
      <formula>0</formula>
    </cfRule>
    <cfRule type="expression" dxfId="1582" priority="28" stopIfTrue="1">
      <formula>ISBLANK(OFFSET($AP$2,$L22,0))</formula>
    </cfRule>
  </conditionalFormatting>
  <conditionalFormatting sqref="P23:S23 P31:S31 P39:S39 P47:S47 P66:S66 P74:S74 P82:S82 P90:S90 P98:S98 P106:S106 P124:S124 P132:S132 P140:S140 P148:S148 P156:S156 P164:S164">
    <cfRule type="cellIs" dxfId="1581" priority="29" stopIfTrue="1" operator="equal">
      <formula>0</formula>
    </cfRule>
    <cfRule type="expression" dxfId="1580" priority="30" stopIfTrue="1">
      <formula>ISBLANK(OFFSET($AP$2,$P22,0))</formula>
    </cfRule>
  </conditionalFormatting>
  <conditionalFormatting sqref="P24:S24 P32:S32 P40:S40 P48:S48 P67:S67 P75:S75 P83:S83 P91:S91 P99:S99 P107:S107 P125:S125 P133:S133 P141:S141 P149:S149 P157:S157 P165:S165">
    <cfRule type="cellIs" dxfId="1579" priority="31" stopIfTrue="1" operator="equal">
      <formula>0</formula>
    </cfRule>
    <cfRule type="expression" dxfId="1578" priority="32" stopIfTrue="1">
      <formula>ISBLANK(OFFSET($AP$2,$P22,0))</formula>
    </cfRule>
  </conditionalFormatting>
  <conditionalFormatting sqref="T23:W23 T31:W31 T39:W39 T47:W47 T66:W66 T74:W74 T82:W82 T90:W90 T98:W98 T106:W106 T124:W124 T132:W132 T140:W140 T148:W148 T156:W156 T164:W164">
    <cfRule type="cellIs" dxfId="1577" priority="33" stopIfTrue="1" operator="equal">
      <formula>0</formula>
    </cfRule>
    <cfRule type="expression" dxfId="1576" priority="34" stopIfTrue="1">
      <formula>ISBLANK(OFFSET($AP$2,$T22,0))</formula>
    </cfRule>
  </conditionalFormatting>
  <conditionalFormatting sqref="T24:W24 T32:W32 T40:W40 T48:W48 T67:W67 T75:W75 T83:W83 T91:W91 T99:W99 T107:W107 T125:W125 T133:W133 T141:W141 T149:W149 T157:W157 T165:W165">
    <cfRule type="cellIs" dxfId="1575" priority="35" stopIfTrue="1" operator="equal">
      <formula>0</formula>
    </cfRule>
    <cfRule type="expression" dxfId="1574"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1573" priority="37" stopIfTrue="1" operator="equal">
      <formula>0</formula>
    </cfRule>
    <cfRule type="expression" dxfId="1572"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1571" priority="39" stopIfTrue="1" operator="equal">
      <formula>0</formula>
    </cfRule>
    <cfRule type="expression" dxfId="1570" priority="40" stopIfTrue="1">
      <formula>ISBLANK(OFFSET($AP$2,$X22,0))</formula>
    </cfRule>
  </conditionalFormatting>
  <conditionalFormatting sqref="H27:K27 H35:K35 H43:K43 H51:K51 H70:K70 H78:K78 H86:K86 H94:K94 H102:K102 H110:K110 H128:K128 H136:K136 H144:K144 H152:K152 H160:K160 H168:K168">
    <cfRule type="cellIs" dxfId="1569" priority="41" stopIfTrue="1" operator="equal">
      <formula>0</formula>
    </cfRule>
    <cfRule type="expression" dxfId="1568" priority="42" stopIfTrue="1">
      <formula>ISBLANK(OFFSET($AP$2,$H22,0))</formula>
    </cfRule>
  </conditionalFormatting>
  <conditionalFormatting sqref="L27:O27 L35:O35 L43:O43 L51:O51 L70:O70 L78:O78 L86:O86 L94:O94 L102:O102 L110:O110 L128:O128 L136:O136 L144:O144 L152:O152 L160:O160 L168:O168">
    <cfRule type="cellIs" dxfId="1567" priority="43" stopIfTrue="1" operator="equal">
      <formula>0</formula>
    </cfRule>
    <cfRule type="expression" dxfId="1566" priority="44" stopIfTrue="1">
      <formula>ISBLANK(OFFSET($AP$2,$L22,0))</formula>
    </cfRule>
  </conditionalFormatting>
  <conditionalFormatting sqref="P27:S27 P35:S35 P43:S43 P51:S51 P70:S70 P78:S78 P86:S86 P94:S94 P102:S102 P110:S110 P128:S128 P136:S136 P144:S144 P152:S152 P160:S160 P168:S168">
    <cfRule type="cellIs" dxfId="1565" priority="45" stopIfTrue="1" operator="equal">
      <formula>0</formula>
    </cfRule>
    <cfRule type="expression" dxfId="1564" priority="46" stopIfTrue="1">
      <formula>ISBLANK(OFFSET($AP$2,$P22,0))</formula>
    </cfRule>
  </conditionalFormatting>
  <conditionalFormatting sqref="T27:W27 T35:W35 T43:W43 T51:W51 T70:W70 T78:W78 T86:W86 T94:W94 T102:W102 T110:W110 T128:W128 T136:W136 T144:W144 T152:W152 T160:W160 T168:W168">
    <cfRule type="cellIs" dxfId="1563" priority="47" stopIfTrue="1" operator="equal">
      <formula>0</formula>
    </cfRule>
    <cfRule type="expression" dxfId="1562"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1561" priority="49" stopIfTrue="1" operator="equal">
      <formula>0</formula>
    </cfRule>
    <cfRule type="expression" dxfId="1560" priority="50" stopIfTrue="1">
      <formula>ISBLANK(OFFSET($AP$2,$X22,0))</formula>
    </cfRule>
  </conditionalFormatting>
  <conditionalFormatting sqref="H28:K28 H36:K36 H44:K44 H52:K52 H71:K71 H79:K79 H87:K87 H95:K95 H103:K103 H111:K111 H129:K129 H137:K137 H145:K145 H153:K153 H161:K161 H169:K169">
    <cfRule type="cellIs" dxfId="1559" priority="51" stopIfTrue="1" operator="equal">
      <formula>0</formula>
    </cfRule>
    <cfRule type="expression" dxfId="1558" priority="52" stopIfTrue="1">
      <formula>ISBLANK(OFFSET($AP$2,$H22,0))</formula>
    </cfRule>
  </conditionalFormatting>
  <conditionalFormatting sqref="H29:K29 H37:K37 H45:K45 H53:K53 H72:K72 H80:K80 H88:K88 H96:K96 H104:K104 H112:K112 H130:K130 H138:K138 H146:K146 H154:K154 H162:K162 H170:K170">
    <cfRule type="cellIs" dxfId="1557" priority="53" stopIfTrue="1" operator="equal">
      <formula>0</formula>
    </cfRule>
    <cfRule type="expression" dxfId="1556" priority="54" stopIfTrue="1">
      <formula>ISBLANK(OFFSET($AP$2,$H22,0))</formula>
    </cfRule>
  </conditionalFormatting>
  <conditionalFormatting sqref="L28:O28 L36:O36 L44:O44 L52:O52 L71:O71 L79:O79 L87:O87 L95:O95 L103:O103 L111:O111 L129:O129 L137:O137 L145:O145 L153:O153 L161:O161 L169:O169">
    <cfRule type="cellIs" dxfId="1555" priority="55" stopIfTrue="1" operator="equal">
      <formula>0</formula>
    </cfRule>
    <cfRule type="expression" dxfId="1554" priority="56" stopIfTrue="1">
      <formula>ISBLANK(OFFSET($AP$2,$L22,0))</formula>
    </cfRule>
  </conditionalFormatting>
  <conditionalFormatting sqref="L29:O29 L37:O37 L45:O45 L53:O53 L72:O72 L80:O80 L88:O88 L96:O96 L104:O104 L112:O112 L130:O130 L138:O138 L146:O146 L154:O154 L162:O162 L170:O170">
    <cfRule type="cellIs" dxfId="1553" priority="57" stopIfTrue="1" operator="equal">
      <formula>0</formula>
    </cfRule>
    <cfRule type="expression" dxfId="1552" priority="58" stopIfTrue="1">
      <formula>ISBLANK(OFFSET($AP$2,$L22,0))</formula>
    </cfRule>
  </conditionalFormatting>
  <conditionalFormatting sqref="P28:S28 P36:S36 P44:S44 P52:S52 P71:S71 P79:S79 P87:S87 P95:S95 P103:S103 P111:S111 P129:S129 P137:S137 P145:S145 P153:S153 P161:S161 P169:S169">
    <cfRule type="cellIs" dxfId="1551" priority="59" stopIfTrue="1" operator="equal">
      <formula>0</formula>
    </cfRule>
    <cfRule type="expression" dxfId="1550" priority="60" stopIfTrue="1">
      <formula>ISBLANK(OFFSET($AP$2,$P22,0))</formula>
    </cfRule>
  </conditionalFormatting>
  <conditionalFormatting sqref="P29:S29 P37:S37 P45:S45 P53:S53 P72:S72 P80:S80 P88:S88 P96:S96 P104:S104 P112:S112 P130:S130 P138:S138 P146:S146 P154:S154 P162:S162 P170:S170">
    <cfRule type="cellIs" dxfId="1549" priority="61" stopIfTrue="1" operator="equal">
      <formula>0</formula>
    </cfRule>
    <cfRule type="expression" dxfId="1548" priority="62" stopIfTrue="1">
      <formula>ISBLANK(OFFSET($AP$2,$P22,0))</formula>
    </cfRule>
  </conditionalFormatting>
  <conditionalFormatting sqref="T28:W28 T36:W36 T44:W44 T52:W52 T71:W71 T79:W79 T87:W87 T95:W95 T103:W103 T111:W111 T129:W129 T137:W137 T145:W145 T153:W153 T161:W161 T169:W169">
    <cfRule type="cellIs" dxfId="1547" priority="63" stopIfTrue="1" operator="equal">
      <formula>0</formula>
    </cfRule>
    <cfRule type="expression" dxfId="1546" priority="64" stopIfTrue="1">
      <formula>ISBLANK(OFFSET($AP$2,$T22,0))</formula>
    </cfRule>
  </conditionalFormatting>
  <conditionalFormatting sqref="T29:W29 T37:W37 T45:W45 T53:W53 T72:W72 T80:W80 T88:W88 T96:W96 T104:W104 T112:W112 T130:W130 T138:W138 T146:W146 T154:W154 T162:W162 T170:W170">
    <cfRule type="cellIs" dxfId="1545" priority="65" stopIfTrue="1" operator="equal">
      <formula>0</formula>
    </cfRule>
    <cfRule type="expression" dxfId="1544"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1543" priority="67" stopIfTrue="1" operator="equal">
      <formula>0</formula>
    </cfRule>
    <cfRule type="expression" dxfId="1542"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1541" priority="69" stopIfTrue="1" operator="equal">
      <formula>0</formula>
    </cfRule>
    <cfRule type="expression" dxfId="1540" priority="70" stopIfTrue="1">
      <formula>ISBLANK(OFFSET($AP$2,$X22,0))</formula>
    </cfRule>
  </conditionalFormatting>
  <conditionalFormatting sqref="D166:G166 D33:G33 D41:G41 D49:G49 D68:G68 D76:G76 D84:G84 D92:G92 D100:G100 D108:G108 D126:G126 D134:G134 D142:G142 D150:G150 D158:G158">
    <cfRule type="cellIs" dxfId="1539" priority="71" stopIfTrue="1" operator="equal">
      <formula>0</formula>
    </cfRule>
    <cfRule type="expression" dxfId="1538" priority="72" stopIfTrue="1">
      <formula>ISBLANK(OFFSET($AP$2,$D30,0))</formula>
    </cfRule>
  </conditionalFormatting>
  <conditionalFormatting sqref="D167:G167 D34:G34 D42:G42 D50:G50 D69:G69 D77:G77 D85:G85 D93:G93 D101:G101 D109:G109 D127:G127 D135:G135 D143:G143 D151:G151 D159:G159">
    <cfRule type="cellIs" dxfId="1537" priority="73" stopIfTrue="1" operator="equal">
      <formula>0</formula>
    </cfRule>
    <cfRule type="expression" dxfId="1536" priority="74" stopIfTrue="1">
      <formula>ISBLANK(OFFSET($AP$2,$D30,0))</formula>
    </cfRule>
  </conditionalFormatting>
  <conditionalFormatting sqref="D164:G164 D31:G31 D39:G39 D47:G47 D66:G66 D74:G74 D82:G82 D90:G90 D98:G98 D106:G106 D124:G124 D132:G132 D140:G140 D148:G148 D156:G156">
    <cfRule type="cellIs" dxfId="1535" priority="75" stopIfTrue="1" operator="equal">
      <formula>0</formula>
    </cfRule>
    <cfRule type="expression" dxfId="1534" priority="76" stopIfTrue="1">
      <formula>ISBLANK(OFFSET($AP$2,$D30,0))</formula>
    </cfRule>
  </conditionalFormatting>
  <conditionalFormatting sqref="D165:G165 D32:G32 D40:G40 D48:G48 D67:G67 D75:G75 D83:G83 D91:G91 D99:G99 D107:G107 D125:G125 D133:G133 D141:G141 D149:G149 D157:G157">
    <cfRule type="cellIs" dxfId="1533" priority="77" stopIfTrue="1" operator="equal">
      <formula>0</formula>
    </cfRule>
    <cfRule type="expression" dxfId="1532" priority="78" stopIfTrue="1">
      <formula>ISBLANK(OFFSET($AP$2,$D30,0))</formula>
    </cfRule>
  </conditionalFormatting>
  <conditionalFormatting sqref="D168:G168 D35:G35 D43:G43 D51:G51 D70:G70 D78:G78 D86:G86 D94:G94 D102:G102 D110:G110 D128:G128 D136:G136 D144:G144 D152:G152 D160:G160">
    <cfRule type="cellIs" dxfId="1531" priority="79" stopIfTrue="1" operator="equal">
      <formula>0</formula>
    </cfRule>
    <cfRule type="expression" dxfId="1530" priority="80" stopIfTrue="1">
      <formula>ISBLANK(OFFSET($AP$2,$D30,0))</formula>
    </cfRule>
  </conditionalFormatting>
  <conditionalFormatting sqref="D169:G169 D36:G36 D44:G44 D52:G52 D71:G71 D79:G79 D87:G87 D95:G95 D103:G103 D111:G111 D129:G129 D137:G137 D145:G145 D153:G153 D161:G161">
    <cfRule type="cellIs" dxfId="1529" priority="81" stopIfTrue="1" operator="equal">
      <formula>0</formula>
    </cfRule>
    <cfRule type="expression" dxfId="1528" priority="82" stopIfTrue="1">
      <formula>ISBLANK(OFFSET($AP$2,$D30,0))</formula>
    </cfRule>
  </conditionalFormatting>
  <conditionalFormatting sqref="D170:G170 D37:G37 D45:G45 D53:G53 D72:G72 D80:G80 D88:G88 D96:G96 D104:G104 D112:G112 D130:G130 D138:G138 D146:G146 D154:G154 D162:G162">
    <cfRule type="cellIs" dxfId="1527" priority="83" stopIfTrue="1" operator="equal">
      <formula>0</formula>
    </cfRule>
    <cfRule type="expression" dxfId="1526" priority="84" stopIfTrue="1">
      <formula>ISBLANK(OFFSET($AP$2,$D30,0))</formula>
    </cfRule>
  </conditionalFormatting>
  <conditionalFormatting sqref="N2:R4">
    <cfRule type="cellIs" dxfId="1525" priority="85" stopIfTrue="1" operator="equal">
      <formula>""</formula>
    </cfRule>
  </conditionalFormatting>
  <conditionalFormatting sqref="B33:C37">
    <cfRule type="expression" dxfId="1524" priority="86" stopIfTrue="1">
      <formula>ISBLANK($AP$9)</formula>
    </cfRule>
  </conditionalFormatting>
  <conditionalFormatting sqref="B41:C45">
    <cfRule type="expression" dxfId="1523" priority="87" stopIfTrue="1">
      <formula>ISBLANK($AP$15)</formula>
    </cfRule>
  </conditionalFormatting>
  <conditionalFormatting sqref="B49:C53">
    <cfRule type="expression" dxfId="1522" priority="88" stopIfTrue="1">
      <formula>ISBLANK($AP$21)</formula>
    </cfRule>
  </conditionalFormatting>
  <conditionalFormatting sqref="B68:C72">
    <cfRule type="expression" dxfId="1521" priority="89" stopIfTrue="1">
      <formula>ISBLANK($AP$27)</formula>
    </cfRule>
  </conditionalFormatting>
  <conditionalFormatting sqref="B76:C80">
    <cfRule type="expression" dxfId="1520" priority="90" stopIfTrue="1">
      <formula>ISBLANK($AP$33)</formula>
    </cfRule>
  </conditionalFormatting>
  <conditionalFormatting sqref="B84:C88">
    <cfRule type="expression" dxfId="1519" priority="91" stopIfTrue="1">
      <formula>ISBLANK($AP$39)</formula>
    </cfRule>
  </conditionalFormatting>
  <conditionalFormatting sqref="B92:C96">
    <cfRule type="expression" dxfId="1518" priority="92" stopIfTrue="1">
      <formula>ISBLANK($AP$45)</formula>
    </cfRule>
  </conditionalFormatting>
  <conditionalFormatting sqref="B100:C104">
    <cfRule type="expression" dxfId="1517" priority="93" stopIfTrue="1">
      <formula>ISBLANK($AP$51)</formula>
    </cfRule>
  </conditionalFormatting>
  <conditionalFormatting sqref="B108:C112">
    <cfRule type="expression" dxfId="1516" priority="94" stopIfTrue="1">
      <formula>ISBLANK($AP$57)</formula>
    </cfRule>
  </conditionalFormatting>
  <conditionalFormatting sqref="B166:C170">
    <cfRule type="expression" dxfId="1515" priority="95" stopIfTrue="1">
      <formula>ISBLANK($AP$93)</formula>
    </cfRule>
  </conditionalFormatting>
  <conditionalFormatting sqref="B158:C162">
    <cfRule type="expression" dxfId="1514" priority="96" stopIfTrue="1">
      <formula>ISBLANK($AP$87)</formula>
    </cfRule>
  </conditionalFormatting>
  <conditionalFormatting sqref="B150:C154">
    <cfRule type="expression" dxfId="1513" priority="97" stopIfTrue="1">
      <formula>ISBLANK($AP$81)</formula>
    </cfRule>
  </conditionalFormatting>
  <conditionalFormatting sqref="B142:C146">
    <cfRule type="expression" dxfId="1512" priority="98" stopIfTrue="1">
      <formula>ISBLANK($AP$75)</formula>
    </cfRule>
  </conditionalFormatting>
  <conditionalFormatting sqref="B134:C138">
    <cfRule type="expression" dxfId="1511" priority="99" stopIfTrue="1">
      <formula>ISBLANK($AP$69)</formula>
    </cfRule>
  </conditionalFormatting>
  <conditionalFormatting sqref="B126:C130">
    <cfRule type="expression" dxfId="1510" priority="100" stopIfTrue="1">
      <formula>ISBLANK($AP$63)</formula>
    </cfRule>
  </conditionalFormatting>
  <conditionalFormatting sqref="D25:G29">
    <cfRule type="cellIs" dxfId="1509" priority="101" stopIfTrue="1" operator="equal">
      <formula>0</formula>
    </cfRule>
  </conditionalFormatting>
  <dataValidations disablePrompts="1" count="2">
    <dataValidation type="list" allowBlank="1" showInputMessage="1" sqref="L7:R7">
      <formula1>$AN$1:$AN$4</formula1>
    </dataValidation>
    <dataValidation type="list" allowBlank="1" showInputMessage="1" showErrorMessage="1" sqref="Y61:AA61 Y7:AA7 Y119:AA119">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18.1019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2.75" x14ac:dyDescent="0.2"/>
  <cols>
    <col min="1" max="1" width="0.85546875" style="141" customWidth="1"/>
    <col min="2" max="2" width="8.28515625" style="141" customWidth="1"/>
    <col min="3" max="3" width="7.7109375" style="141" customWidth="1"/>
    <col min="4" max="4" width="8.28515625" style="1139" customWidth="1"/>
    <col min="5" max="5" width="8.28515625" style="1143" customWidth="1"/>
    <col min="6" max="6" width="6.5703125" style="141" customWidth="1"/>
    <col min="7" max="11" width="8.28515625" style="158" customWidth="1"/>
    <col min="12" max="12" width="7.7109375" style="157" customWidth="1"/>
    <col min="13" max="13" width="2.7109375" style="1135" customWidth="1"/>
    <col min="14" max="14" width="6.7109375" style="1135" customWidth="1"/>
    <col min="15" max="15" width="10.7109375" style="141" customWidth="1"/>
    <col min="16" max="18" width="5.7109375" style="141" customWidth="1"/>
    <col min="19" max="20" width="4.28515625" style="141" customWidth="1"/>
    <col min="21" max="26" width="5.7109375" style="141" customWidth="1"/>
    <col min="27" max="27" width="34.140625" style="122" customWidth="1"/>
    <col min="28" max="38" width="5.7109375" style="235" hidden="1" customWidth="1"/>
    <col min="39" max="50" width="2.7109375" style="122" customWidth="1"/>
    <col min="51" max="51" width="2.7109375" style="121" customWidth="1"/>
    <col min="52" max="52" width="5.7109375" style="127" hidden="1" customWidth="1"/>
    <col min="53" max="63" width="6.7109375" style="127" hidden="1" customWidth="1"/>
    <col min="64" max="71" width="9.140625" style="141" customWidth="1"/>
    <col min="72" max="16384" width="0" style="141" hidden="1"/>
  </cols>
  <sheetData>
    <row r="1" spans="1:64" ht="15" customHeight="1" thickBot="1" x14ac:dyDescent="0.25">
      <c r="A1" s="39"/>
      <c r="B1" s="39"/>
      <c r="C1" s="39"/>
      <c r="D1" s="1136"/>
      <c r="E1" s="1140"/>
      <c r="F1" s="990" t="str">
        <f>CONCATENATE("Job No.: ",'Job Info.'!D5)</f>
        <v>Job No.: 9118-0062</v>
      </c>
      <c r="G1" s="988"/>
      <c r="H1" s="989" t="str">
        <f>CONCATENATE("Job Name: ", 'Job Info.'!D3)</f>
        <v>Job Name: SUNPOINT CROSSING</v>
      </c>
      <c r="I1" s="986"/>
      <c r="J1" s="986"/>
      <c r="K1" s="986"/>
      <c r="L1" s="987"/>
      <c r="M1" s="1132"/>
      <c r="N1" s="1132"/>
      <c r="O1" s="39"/>
      <c r="P1" s="39"/>
      <c r="Q1" s="39"/>
      <c r="R1" s="39"/>
      <c r="S1" s="39"/>
      <c r="T1" s="39"/>
      <c r="AA1" s="447" t="s">
        <v>65</v>
      </c>
      <c r="AB1" s="127"/>
      <c r="AC1" s="127"/>
      <c r="AD1" s="127"/>
      <c r="AE1" s="127"/>
      <c r="AF1" s="127"/>
      <c r="AG1" s="127"/>
      <c r="AH1" s="127"/>
      <c r="AI1" s="127"/>
      <c r="AJ1" s="127"/>
      <c r="AK1" s="127"/>
      <c r="AL1" s="127"/>
      <c r="AM1" s="296" t="s">
        <v>66</v>
      </c>
      <c r="AY1" s="1006" t="s">
        <v>65</v>
      </c>
      <c r="BA1" s="1197"/>
      <c r="BL1" s="1007" t="s">
        <v>66</v>
      </c>
    </row>
    <row r="2" spans="1:64" ht="32.25" customHeight="1" thickBot="1" x14ac:dyDescent="0.25">
      <c r="A2" s="39"/>
      <c r="B2" s="188" t="s">
        <v>595</v>
      </c>
      <c r="C2" s="189" t="s">
        <v>596</v>
      </c>
      <c r="D2" s="2993" t="s">
        <v>597</v>
      </c>
      <c r="E2" s="2994"/>
      <c r="F2" s="190" t="s">
        <v>598</v>
      </c>
      <c r="G2" s="191" t="s">
        <v>617</v>
      </c>
      <c r="H2" s="191" t="s">
        <v>633</v>
      </c>
      <c r="I2" s="191" t="s">
        <v>675</v>
      </c>
      <c r="J2" s="191" t="s">
        <v>634</v>
      </c>
      <c r="K2" s="192" t="s">
        <v>599</v>
      </c>
      <c r="L2" s="193" t="s">
        <v>676</v>
      </c>
      <c r="M2" s="1133"/>
      <c r="N2" s="1133"/>
      <c r="O2" s="39"/>
      <c r="P2" s="39"/>
      <c r="Q2" s="39"/>
      <c r="R2" s="39"/>
      <c r="S2" s="39"/>
      <c r="T2" s="39"/>
      <c r="AB2" s="227" t="s">
        <v>595</v>
      </c>
      <c r="AC2" s="228" t="s">
        <v>596</v>
      </c>
      <c r="AD2" s="2995" t="s">
        <v>597</v>
      </c>
      <c r="AE2" s="2996"/>
      <c r="AF2" s="228" t="s">
        <v>598</v>
      </c>
      <c r="AG2" s="229" t="s">
        <v>617</v>
      </c>
      <c r="AH2" s="229" t="s">
        <v>633</v>
      </c>
      <c r="AI2" s="229" t="s">
        <v>675</v>
      </c>
      <c r="AJ2" s="229" t="s">
        <v>634</v>
      </c>
      <c r="AK2" s="230" t="s">
        <v>599</v>
      </c>
      <c r="AL2" s="231" t="s">
        <v>676</v>
      </c>
      <c r="AZ2" s="1197" t="s">
        <v>1111</v>
      </c>
      <c r="BA2" s="1197" t="s">
        <v>1112</v>
      </c>
      <c r="BB2" s="1197" t="s">
        <v>1113</v>
      </c>
      <c r="BC2" s="1197" t="s">
        <v>1114</v>
      </c>
      <c r="BD2" s="1197" t="s">
        <v>1115</v>
      </c>
      <c r="BE2" s="1197" t="s">
        <v>538</v>
      </c>
      <c r="BF2" s="1197" t="s">
        <v>81</v>
      </c>
      <c r="BG2" s="1197" t="s">
        <v>1116</v>
      </c>
      <c r="BH2" s="1197" t="s">
        <v>154</v>
      </c>
      <c r="BI2" s="1197" t="s">
        <v>599</v>
      </c>
      <c r="BJ2" s="1197" t="s">
        <v>1117</v>
      </c>
      <c r="BK2" s="1197" t="s">
        <v>171</v>
      </c>
    </row>
    <row r="3" spans="1:64" ht="15" customHeight="1" x14ac:dyDescent="0.2">
      <c r="A3" s="1304"/>
      <c r="B3" s="2003"/>
      <c r="C3" s="2004"/>
      <c r="D3" s="2005"/>
      <c r="E3" s="2006"/>
      <c r="F3" s="2007"/>
      <c r="G3" s="2008"/>
      <c r="H3" s="2008"/>
      <c r="I3" s="2008"/>
      <c r="J3" s="2008"/>
      <c r="K3" s="2008"/>
      <c r="L3" s="2009"/>
      <c r="M3" s="1133" t="str">
        <f t="shared" ref="M3:M34" si="0">UPPER(C3)</f>
        <v/>
      </c>
      <c r="N3" s="1134" t="str">
        <f>IF(AND(ISBLANK(D3),ISBLANK(E3)),"",TRUNC(D3)*12+IF(OR(D3&lt;0,AND(D3=0,E3&lt;0)),-1*ABS(E3),ABS(E3)))</f>
        <v/>
      </c>
      <c r="O3" s="39"/>
      <c r="P3" s="39"/>
      <c r="Q3" s="39"/>
      <c r="R3" s="39"/>
      <c r="S3" s="39"/>
      <c r="T3" s="39"/>
      <c r="AB3" s="1005"/>
      <c r="AC3" s="1005"/>
      <c r="AD3" s="233"/>
      <c r="AE3" s="234"/>
      <c r="AF3" s="1005"/>
      <c r="AG3" s="232"/>
      <c r="AH3" s="232"/>
      <c r="AI3" s="232"/>
      <c r="AJ3" s="232"/>
      <c r="AK3" s="232"/>
      <c r="AL3" s="232"/>
      <c r="AZ3" s="235"/>
      <c r="BA3" s="235"/>
      <c r="BB3" s="235"/>
      <c r="BC3" s="235"/>
      <c r="BD3" s="235"/>
      <c r="BE3" s="235"/>
      <c r="BF3" s="235"/>
      <c r="BG3" s="235"/>
      <c r="BH3" s="235"/>
      <c r="BI3" s="235"/>
      <c r="BJ3" s="235"/>
      <c r="BK3" s="235"/>
    </row>
    <row r="4" spans="1:64" ht="15" customHeight="1" x14ac:dyDescent="0.2">
      <c r="A4" s="39"/>
      <c r="B4" s="2003"/>
      <c r="C4" s="2004"/>
      <c r="D4" s="2005"/>
      <c r="E4" s="2006"/>
      <c r="F4" s="2007"/>
      <c r="G4" s="2008"/>
      <c r="H4" s="2008"/>
      <c r="I4" s="2008"/>
      <c r="J4" s="2008"/>
      <c r="K4" s="2008"/>
      <c r="L4" s="2009"/>
      <c r="M4" s="1133" t="str">
        <f t="shared" si="0"/>
        <v/>
      </c>
      <c r="N4" s="1134" t="str">
        <f t="shared" ref="N4:N67" si="1">IF(AND(ISBLANK(D4),ISBLANK(E4)),"",TRUNC(D4)*12+IF(OR(D4&lt;0,AND(D4=0,E4&lt;0)),-1*ABS(E4),ABS(E4)))</f>
        <v/>
      </c>
      <c r="O4" s="39"/>
      <c r="P4" s="39"/>
      <c r="Q4" s="39"/>
      <c r="R4" s="39"/>
      <c r="S4" s="39"/>
      <c r="T4" s="39"/>
      <c r="AB4" s="232"/>
      <c r="AC4" s="1005"/>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
      <c r="A5" s="39"/>
      <c r="B5" s="2003"/>
      <c r="C5" s="2004"/>
      <c r="D5" s="2005"/>
      <c r="E5" s="2006"/>
      <c r="F5" s="2007"/>
      <c r="G5" s="2008"/>
      <c r="H5" s="2008"/>
      <c r="I5" s="2008"/>
      <c r="J5" s="2008"/>
      <c r="K5" s="2008"/>
      <c r="L5" s="2009"/>
      <c r="M5" s="1133" t="str">
        <f t="shared" si="0"/>
        <v/>
      </c>
      <c r="N5" s="1134"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
      <c r="A6" s="39"/>
      <c r="B6" s="2003"/>
      <c r="C6" s="2004"/>
      <c r="D6" s="2005"/>
      <c r="E6" s="2006"/>
      <c r="F6" s="2007"/>
      <c r="G6" s="2008"/>
      <c r="H6" s="2008"/>
      <c r="I6" s="2008"/>
      <c r="J6" s="2008"/>
      <c r="K6" s="2008"/>
      <c r="L6" s="2009"/>
      <c r="M6" s="1133" t="str">
        <f t="shared" si="0"/>
        <v/>
      </c>
      <c r="N6" s="1134"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
      <c r="A7" s="39"/>
      <c r="B7" s="2003"/>
      <c r="C7" s="2004"/>
      <c r="D7" s="2005"/>
      <c r="E7" s="2006"/>
      <c r="F7" s="2007"/>
      <c r="G7" s="2008"/>
      <c r="H7" s="2008"/>
      <c r="I7" s="2008"/>
      <c r="J7" s="2008"/>
      <c r="K7" s="2008"/>
      <c r="L7" s="2009"/>
      <c r="M7" s="1133" t="str">
        <f t="shared" si="0"/>
        <v/>
      </c>
      <c r="N7" s="1134" t="str">
        <f t="shared" si="1"/>
        <v/>
      </c>
      <c r="O7" s="39"/>
      <c r="P7" s="39"/>
      <c r="Q7" s="39"/>
      <c r="R7" s="39"/>
      <c r="S7" s="39"/>
      <c r="T7" s="39"/>
      <c r="AB7" s="232"/>
      <c r="AC7" s="232"/>
      <c r="AD7" s="233"/>
      <c r="AE7" s="234"/>
      <c r="AF7" s="232"/>
      <c r="AG7" s="232"/>
      <c r="AH7" s="232"/>
      <c r="AI7" s="232"/>
      <c r="AJ7" s="232"/>
      <c r="AK7" s="232"/>
      <c r="AL7" s="232"/>
      <c r="AZ7" s="235"/>
      <c r="BA7" s="235"/>
      <c r="BB7" s="1037"/>
      <c r="BC7" s="1037"/>
      <c r="BD7" s="235"/>
      <c r="BE7" s="235"/>
      <c r="BF7" s="235"/>
      <c r="BG7" s="235"/>
      <c r="BH7" s="235"/>
      <c r="BI7" s="235"/>
      <c r="BJ7" s="235"/>
      <c r="BK7" s="235"/>
    </row>
    <row r="8" spans="1:64" ht="15" customHeight="1" x14ac:dyDescent="0.2">
      <c r="A8" s="39"/>
      <c r="B8" s="2003"/>
      <c r="C8" s="2004"/>
      <c r="D8" s="2005"/>
      <c r="E8" s="2006"/>
      <c r="F8" s="2007"/>
      <c r="G8" s="2008"/>
      <c r="H8" s="2008"/>
      <c r="I8" s="2008"/>
      <c r="J8" s="2008"/>
      <c r="K8" s="2008"/>
      <c r="L8" s="2009"/>
      <c r="M8" s="1133" t="str">
        <f t="shared" si="0"/>
        <v/>
      </c>
      <c r="N8" s="1134"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
      <c r="A9" s="39"/>
      <c r="B9" s="2003"/>
      <c r="C9" s="2004"/>
      <c r="D9" s="2005"/>
      <c r="E9" s="2006"/>
      <c r="F9" s="2007"/>
      <c r="G9" s="2008"/>
      <c r="H9" s="2008"/>
      <c r="I9" s="2008"/>
      <c r="J9" s="2008"/>
      <c r="K9" s="2008"/>
      <c r="L9" s="2009"/>
      <c r="M9" s="1133" t="str">
        <f t="shared" si="0"/>
        <v/>
      </c>
      <c r="N9" s="1134"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
      <c r="A10" s="39"/>
      <c r="B10" s="2003"/>
      <c r="C10" s="2004"/>
      <c r="D10" s="2005"/>
      <c r="E10" s="2006"/>
      <c r="F10" s="2007"/>
      <c r="G10" s="2008"/>
      <c r="H10" s="2008"/>
      <c r="I10" s="2008"/>
      <c r="J10" s="2008"/>
      <c r="K10" s="2008"/>
      <c r="L10" s="2009"/>
      <c r="M10" s="1133" t="str">
        <f t="shared" si="0"/>
        <v/>
      </c>
      <c r="N10" s="1134"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
      <c r="A11" s="39"/>
      <c r="B11" s="2003"/>
      <c r="C11" s="2004"/>
      <c r="D11" s="2005"/>
      <c r="E11" s="2006"/>
      <c r="F11" s="2007"/>
      <c r="G11" s="2008"/>
      <c r="H11" s="2008"/>
      <c r="I11" s="2008"/>
      <c r="J11" s="2008"/>
      <c r="K11" s="2008"/>
      <c r="L11" s="2009"/>
      <c r="M11" s="1133" t="str">
        <f t="shared" si="0"/>
        <v/>
      </c>
      <c r="N11" s="1134"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
      <c r="A12" s="39"/>
      <c r="B12" s="2003"/>
      <c r="C12" s="2004"/>
      <c r="D12" s="2005"/>
      <c r="E12" s="2006"/>
      <c r="F12" s="2007"/>
      <c r="G12" s="2008"/>
      <c r="H12" s="2008"/>
      <c r="I12" s="2008"/>
      <c r="J12" s="2008"/>
      <c r="K12" s="2008"/>
      <c r="L12" s="2009"/>
      <c r="M12" s="1133" t="str">
        <f t="shared" si="0"/>
        <v/>
      </c>
      <c r="N12" s="1134"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
      <c r="A13" s="39"/>
      <c r="B13" s="2003"/>
      <c r="C13" s="2004"/>
      <c r="D13" s="2005"/>
      <c r="E13" s="2006"/>
      <c r="F13" s="2007"/>
      <c r="G13" s="2008"/>
      <c r="H13" s="2008"/>
      <c r="I13" s="2008"/>
      <c r="J13" s="2008"/>
      <c r="K13" s="2008"/>
      <c r="L13" s="2009"/>
      <c r="M13" s="1133" t="str">
        <f t="shared" si="0"/>
        <v/>
      </c>
      <c r="N13" s="1134"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
      <c r="A14" s="39"/>
      <c r="B14" s="2003"/>
      <c r="C14" s="2004"/>
      <c r="D14" s="2005"/>
      <c r="E14" s="2006"/>
      <c r="F14" s="2007"/>
      <c r="G14" s="2008"/>
      <c r="H14" s="2008"/>
      <c r="I14" s="2008"/>
      <c r="J14" s="2008"/>
      <c r="K14" s="2008"/>
      <c r="L14" s="2009"/>
      <c r="M14" s="1133" t="str">
        <f t="shared" si="0"/>
        <v/>
      </c>
      <c r="N14" s="1134"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
      <c r="A15" s="39"/>
      <c r="B15" s="2003"/>
      <c r="C15" s="2004"/>
      <c r="D15" s="2005"/>
      <c r="E15" s="2006"/>
      <c r="F15" s="2007"/>
      <c r="G15" s="2008"/>
      <c r="H15" s="2008"/>
      <c r="I15" s="2008"/>
      <c r="J15" s="2008"/>
      <c r="K15" s="2008"/>
      <c r="L15" s="2009"/>
      <c r="M15" s="1133" t="str">
        <f t="shared" si="0"/>
        <v/>
      </c>
      <c r="N15" s="1134"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
      <c r="A16" s="39"/>
      <c r="B16" s="2003"/>
      <c r="C16" s="2004"/>
      <c r="D16" s="2005"/>
      <c r="E16" s="2006"/>
      <c r="F16" s="2007"/>
      <c r="G16" s="2008"/>
      <c r="H16" s="2008"/>
      <c r="I16" s="2008"/>
      <c r="J16" s="2008"/>
      <c r="K16" s="2008"/>
      <c r="L16" s="2009"/>
      <c r="M16" s="1133" t="str">
        <f t="shared" si="0"/>
        <v/>
      </c>
      <c r="N16" s="1134"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
      <c r="A17" s="39"/>
      <c r="B17" s="2003"/>
      <c r="C17" s="2004"/>
      <c r="D17" s="2005"/>
      <c r="E17" s="2006"/>
      <c r="F17" s="2007"/>
      <c r="G17" s="2008"/>
      <c r="H17" s="2008"/>
      <c r="I17" s="2008"/>
      <c r="J17" s="2008"/>
      <c r="K17" s="2008"/>
      <c r="L17" s="2009"/>
      <c r="M17" s="1133" t="str">
        <f t="shared" si="0"/>
        <v/>
      </c>
      <c r="N17" s="1134"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
      <c r="A18" s="39"/>
      <c r="B18" s="2003"/>
      <c r="C18" s="2004"/>
      <c r="D18" s="2005"/>
      <c r="E18" s="2006"/>
      <c r="F18" s="2007"/>
      <c r="G18" s="2008"/>
      <c r="H18" s="2008"/>
      <c r="I18" s="2008"/>
      <c r="J18" s="2008"/>
      <c r="K18" s="2008"/>
      <c r="L18" s="2009"/>
      <c r="M18" s="1133" t="str">
        <f t="shared" si="0"/>
        <v/>
      </c>
      <c r="N18" s="1134"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
      <c r="A19" s="39"/>
      <c r="B19" s="2003"/>
      <c r="C19" s="2004"/>
      <c r="D19" s="2005"/>
      <c r="E19" s="2006"/>
      <c r="F19" s="2007"/>
      <c r="G19" s="2008"/>
      <c r="H19" s="2008"/>
      <c r="I19" s="2008"/>
      <c r="J19" s="2008"/>
      <c r="K19" s="2008"/>
      <c r="L19" s="2009"/>
      <c r="M19" s="1133" t="str">
        <f t="shared" si="0"/>
        <v/>
      </c>
      <c r="N19" s="1134"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
      <c r="A20" s="39"/>
      <c r="B20" s="2003"/>
      <c r="C20" s="2004"/>
      <c r="D20" s="2005"/>
      <c r="E20" s="2006"/>
      <c r="F20" s="2007"/>
      <c r="G20" s="2008"/>
      <c r="H20" s="2008"/>
      <c r="I20" s="2008"/>
      <c r="J20" s="2008"/>
      <c r="K20" s="2008"/>
      <c r="L20" s="2009"/>
      <c r="M20" s="1133" t="str">
        <f t="shared" si="0"/>
        <v/>
      </c>
      <c r="N20" s="1134"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
      <c r="A21" s="39"/>
      <c r="B21" s="2003"/>
      <c r="C21" s="2004"/>
      <c r="D21" s="2005"/>
      <c r="E21" s="2006"/>
      <c r="F21" s="2007"/>
      <c r="G21" s="2008"/>
      <c r="H21" s="2008"/>
      <c r="I21" s="2008"/>
      <c r="J21" s="2008"/>
      <c r="K21" s="2008"/>
      <c r="L21" s="2009"/>
      <c r="M21" s="1133" t="str">
        <f t="shared" si="0"/>
        <v/>
      </c>
      <c r="N21" s="1134"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
      <c r="A22" s="39"/>
      <c r="B22" s="2003"/>
      <c r="C22" s="2004"/>
      <c r="D22" s="2005"/>
      <c r="E22" s="2006"/>
      <c r="F22" s="2007"/>
      <c r="G22" s="2008"/>
      <c r="H22" s="2008"/>
      <c r="I22" s="2008"/>
      <c r="J22" s="2008"/>
      <c r="K22" s="2008"/>
      <c r="L22" s="2009"/>
      <c r="M22" s="1133" t="str">
        <f t="shared" si="0"/>
        <v/>
      </c>
      <c r="N22" s="1134"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2">
      <c r="A23" s="39"/>
      <c r="B23" s="2003"/>
      <c r="C23" s="2004"/>
      <c r="D23" s="2005"/>
      <c r="E23" s="2006"/>
      <c r="F23" s="2007"/>
      <c r="G23" s="2008"/>
      <c r="H23" s="2008"/>
      <c r="I23" s="2008"/>
      <c r="J23" s="2008"/>
      <c r="K23" s="2008"/>
      <c r="L23" s="2009"/>
      <c r="M23" s="1133" t="str">
        <f t="shared" si="0"/>
        <v/>
      </c>
      <c r="N23" s="1134" t="str">
        <f t="shared" si="1"/>
        <v/>
      </c>
      <c r="O23" s="39"/>
      <c r="P23" s="39"/>
      <c r="Q23" s="991"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
      <c r="A24" s="39"/>
      <c r="B24" s="2003"/>
      <c r="C24" s="2004"/>
      <c r="D24" s="2005"/>
      <c r="E24" s="2006"/>
      <c r="F24" s="2007"/>
      <c r="G24" s="2008"/>
      <c r="H24" s="2008"/>
      <c r="I24" s="2008"/>
      <c r="J24" s="2008"/>
      <c r="K24" s="2008"/>
      <c r="L24" s="2009"/>
      <c r="M24" s="1133" t="str">
        <f t="shared" si="0"/>
        <v/>
      </c>
      <c r="N24" s="1134"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
      <c r="A25" s="39"/>
      <c r="B25" s="2003"/>
      <c r="C25" s="2004"/>
      <c r="D25" s="2005"/>
      <c r="E25" s="2006"/>
      <c r="F25" s="2007"/>
      <c r="G25" s="2008"/>
      <c r="H25" s="2008"/>
      <c r="I25" s="2008"/>
      <c r="J25" s="2008"/>
      <c r="K25" s="2008"/>
      <c r="L25" s="2009"/>
      <c r="M25" s="1133" t="str">
        <f t="shared" si="0"/>
        <v/>
      </c>
      <c r="N25" s="1134" t="str">
        <f t="shared" si="1"/>
        <v/>
      </c>
      <c r="O25" s="39"/>
      <c r="P25" s="39"/>
      <c r="Q25" s="985"/>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
      <c r="A26" s="39"/>
      <c r="B26" s="2003"/>
      <c r="C26" s="2004"/>
      <c r="D26" s="2005"/>
      <c r="E26" s="2006"/>
      <c r="F26" s="2007"/>
      <c r="G26" s="2008"/>
      <c r="H26" s="2008"/>
      <c r="I26" s="2008"/>
      <c r="J26" s="2008"/>
      <c r="K26" s="2008"/>
      <c r="L26" s="2009"/>
      <c r="M26" s="1133" t="str">
        <f t="shared" si="0"/>
        <v/>
      </c>
      <c r="N26" s="1134" t="str">
        <f t="shared" si="1"/>
        <v/>
      </c>
      <c r="O26" s="39"/>
      <c r="P26" s="39"/>
      <c r="Q26" s="985"/>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
      <c r="A27" s="39"/>
      <c r="B27" s="2003"/>
      <c r="C27" s="2004"/>
      <c r="D27" s="2005"/>
      <c r="E27" s="2006"/>
      <c r="F27" s="2007"/>
      <c r="G27" s="2008"/>
      <c r="H27" s="2008"/>
      <c r="I27" s="2008"/>
      <c r="J27" s="2008"/>
      <c r="K27" s="2008"/>
      <c r="L27" s="2009"/>
      <c r="M27" s="1133" t="str">
        <f t="shared" si="0"/>
        <v/>
      </c>
      <c r="N27" s="1134" t="str">
        <f t="shared" si="1"/>
        <v/>
      </c>
      <c r="O27" s="39"/>
      <c r="P27" s="39"/>
      <c r="Q27" s="985"/>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
      <c r="A28" s="39"/>
      <c r="B28" s="2003"/>
      <c r="C28" s="2004"/>
      <c r="D28" s="2005"/>
      <c r="E28" s="2006"/>
      <c r="F28" s="2007"/>
      <c r="G28" s="2008"/>
      <c r="H28" s="2008"/>
      <c r="I28" s="2008"/>
      <c r="J28" s="2008"/>
      <c r="K28" s="2008"/>
      <c r="L28" s="2009"/>
      <c r="M28" s="1133" t="str">
        <f t="shared" si="0"/>
        <v/>
      </c>
      <c r="N28" s="1134" t="str">
        <f t="shared" si="1"/>
        <v/>
      </c>
      <c r="O28" s="39"/>
      <c r="P28" s="39"/>
      <c r="Q28" s="985"/>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
      <c r="A29" s="39"/>
      <c r="B29" s="2003"/>
      <c r="C29" s="2004"/>
      <c r="D29" s="2005"/>
      <c r="E29" s="2006"/>
      <c r="F29" s="2007"/>
      <c r="G29" s="2008"/>
      <c r="H29" s="2008"/>
      <c r="I29" s="2008"/>
      <c r="J29" s="2008"/>
      <c r="K29" s="2008"/>
      <c r="L29" s="2009"/>
      <c r="M29" s="1133" t="str">
        <f t="shared" si="0"/>
        <v/>
      </c>
      <c r="N29" s="1134" t="str">
        <f t="shared" si="1"/>
        <v/>
      </c>
      <c r="O29" s="39"/>
      <c r="P29" s="39"/>
      <c r="Q29" s="985"/>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
      <c r="A30" s="39"/>
      <c r="B30" s="2003"/>
      <c r="C30" s="2004"/>
      <c r="D30" s="2005"/>
      <c r="E30" s="2006"/>
      <c r="F30" s="2007"/>
      <c r="G30" s="2008"/>
      <c r="H30" s="2008"/>
      <c r="I30" s="2008"/>
      <c r="J30" s="2008"/>
      <c r="K30" s="2008"/>
      <c r="L30" s="2009"/>
      <c r="M30" s="1133" t="str">
        <f t="shared" si="0"/>
        <v/>
      </c>
      <c r="N30" s="1134" t="str">
        <f t="shared" si="1"/>
        <v/>
      </c>
      <c r="O30" s="39"/>
      <c r="P30" s="39"/>
      <c r="Q30" s="985"/>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
      <c r="A31" s="39"/>
      <c r="B31" s="2003"/>
      <c r="C31" s="2004"/>
      <c r="D31" s="2005"/>
      <c r="E31" s="2006"/>
      <c r="F31" s="2007"/>
      <c r="G31" s="2008"/>
      <c r="H31" s="2008"/>
      <c r="I31" s="2008"/>
      <c r="J31" s="2008"/>
      <c r="K31" s="2008"/>
      <c r="L31" s="2009"/>
      <c r="M31" s="1133" t="str">
        <f t="shared" si="0"/>
        <v/>
      </c>
      <c r="N31" s="1134" t="str">
        <f t="shared" si="1"/>
        <v/>
      </c>
      <c r="O31" s="39"/>
      <c r="P31" s="39"/>
      <c r="Q31" s="985"/>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
      <c r="A32" s="39"/>
      <c r="B32" s="2003"/>
      <c r="C32" s="2004"/>
      <c r="D32" s="2005"/>
      <c r="E32" s="2006"/>
      <c r="F32" s="2007"/>
      <c r="G32" s="2008"/>
      <c r="H32" s="2008"/>
      <c r="I32" s="2008"/>
      <c r="J32" s="2008"/>
      <c r="K32" s="2008"/>
      <c r="L32" s="2009"/>
      <c r="M32" s="1133" t="str">
        <f t="shared" si="0"/>
        <v/>
      </c>
      <c r="N32" s="1134" t="str">
        <f t="shared" si="1"/>
        <v/>
      </c>
      <c r="O32" s="39"/>
      <c r="P32" s="39"/>
      <c r="Q32" s="985"/>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2">
      <c r="A33" s="39"/>
      <c r="B33" s="2003"/>
      <c r="C33" s="2004"/>
      <c r="D33" s="2005"/>
      <c r="E33" s="2006"/>
      <c r="F33" s="2007"/>
      <c r="G33" s="2008"/>
      <c r="H33" s="2008"/>
      <c r="I33" s="2008"/>
      <c r="J33" s="2008"/>
      <c r="K33" s="2008"/>
      <c r="L33" s="2009"/>
      <c r="M33" s="1133" t="str">
        <f t="shared" si="0"/>
        <v/>
      </c>
      <c r="N33" s="1134" t="str">
        <f t="shared" si="1"/>
        <v/>
      </c>
      <c r="O33" s="39"/>
      <c r="P33" s="39"/>
      <c r="Q33" s="991"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
      <c r="A34" s="39"/>
      <c r="B34" s="2003"/>
      <c r="C34" s="2004"/>
      <c r="D34" s="2005"/>
      <c r="E34" s="2006"/>
      <c r="F34" s="2007"/>
      <c r="G34" s="2008"/>
      <c r="H34" s="2008"/>
      <c r="I34" s="2008"/>
      <c r="J34" s="2008"/>
      <c r="K34" s="2008"/>
      <c r="L34" s="2009"/>
      <c r="M34" s="1133" t="str">
        <f t="shared" si="0"/>
        <v/>
      </c>
      <c r="N34" s="1134" t="str">
        <f t="shared" si="1"/>
        <v/>
      </c>
      <c r="O34" s="39"/>
      <c r="P34" s="39"/>
      <c r="Q34" s="985"/>
      <c r="R34" s="39"/>
      <c r="S34" s="39"/>
      <c r="T34" s="39"/>
      <c r="AB34" s="232"/>
      <c r="AC34" s="1005"/>
      <c r="AD34" s="233"/>
      <c r="AE34" s="234"/>
      <c r="AF34" s="1005"/>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
      <c r="A35" s="39"/>
      <c r="B35" s="2003"/>
      <c r="C35" s="2004"/>
      <c r="D35" s="2005"/>
      <c r="E35" s="2006"/>
      <c r="F35" s="2007"/>
      <c r="G35" s="2008"/>
      <c r="H35" s="2008"/>
      <c r="I35" s="2008"/>
      <c r="J35" s="2008"/>
      <c r="K35" s="2008"/>
      <c r="L35" s="2009"/>
      <c r="M35" s="1133" t="str">
        <f t="shared" ref="M35:M66" si="2">UPPER(C35)</f>
        <v/>
      </c>
      <c r="N35" s="1134"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
      <c r="A36" s="39"/>
      <c r="B36" s="2003"/>
      <c r="C36" s="2004"/>
      <c r="D36" s="2005"/>
      <c r="E36" s="2006"/>
      <c r="F36" s="2007"/>
      <c r="G36" s="2008"/>
      <c r="H36" s="2008"/>
      <c r="I36" s="2008"/>
      <c r="J36" s="2008"/>
      <c r="K36" s="2008"/>
      <c r="L36" s="2009"/>
      <c r="M36" s="1133" t="str">
        <f t="shared" si="2"/>
        <v/>
      </c>
      <c r="N36" s="1134" t="str">
        <f t="shared" si="1"/>
        <v/>
      </c>
      <c r="O36" s="39"/>
      <c r="P36" s="39"/>
      <c r="Q36" s="985"/>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
      <c r="A37" s="39"/>
      <c r="B37" s="2003"/>
      <c r="C37" s="2004"/>
      <c r="D37" s="2005"/>
      <c r="E37" s="2006"/>
      <c r="F37" s="2007"/>
      <c r="G37" s="2008"/>
      <c r="H37" s="2008"/>
      <c r="I37" s="2008"/>
      <c r="J37" s="2008"/>
      <c r="K37" s="2008"/>
      <c r="L37" s="2009"/>
      <c r="M37" s="1133" t="str">
        <f t="shared" si="2"/>
        <v/>
      </c>
      <c r="N37" s="1134" t="str">
        <f t="shared" si="1"/>
        <v/>
      </c>
      <c r="O37" s="39"/>
      <c r="P37" s="39"/>
      <c r="Q37" s="985"/>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
      <c r="A38" s="39"/>
      <c r="B38" s="2003"/>
      <c r="C38" s="2004"/>
      <c r="D38" s="2005"/>
      <c r="E38" s="2006"/>
      <c r="F38" s="2007"/>
      <c r="G38" s="2008"/>
      <c r="H38" s="2008"/>
      <c r="I38" s="2008"/>
      <c r="J38" s="2008"/>
      <c r="K38" s="2008"/>
      <c r="L38" s="2009"/>
      <c r="M38" s="1133" t="str">
        <f t="shared" si="2"/>
        <v/>
      </c>
      <c r="N38" s="1134" t="str">
        <f t="shared" si="1"/>
        <v/>
      </c>
      <c r="O38" s="39"/>
      <c r="P38" s="39"/>
      <c r="Q38" s="985"/>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
      <c r="A39" s="39"/>
      <c r="B39" s="2003"/>
      <c r="C39" s="2004"/>
      <c r="D39" s="2005"/>
      <c r="E39" s="2006"/>
      <c r="F39" s="2007"/>
      <c r="G39" s="2008"/>
      <c r="H39" s="2008"/>
      <c r="I39" s="2008"/>
      <c r="J39" s="2008"/>
      <c r="K39" s="2008"/>
      <c r="L39" s="2009"/>
      <c r="M39" s="1133" t="str">
        <f t="shared" si="2"/>
        <v/>
      </c>
      <c r="N39" s="1134" t="str">
        <f t="shared" si="1"/>
        <v/>
      </c>
      <c r="O39" s="39"/>
      <c r="P39" s="39"/>
      <c r="Q39" s="985"/>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
      <c r="A40" s="39"/>
      <c r="B40" s="2003"/>
      <c r="C40" s="2004"/>
      <c r="D40" s="2005"/>
      <c r="E40" s="2006"/>
      <c r="F40" s="2007"/>
      <c r="G40" s="2008"/>
      <c r="H40" s="2008"/>
      <c r="I40" s="2008"/>
      <c r="J40" s="2008"/>
      <c r="K40" s="2008"/>
      <c r="L40" s="2009"/>
      <c r="M40" s="1133" t="str">
        <f t="shared" si="2"/>
        <v/>
      </c>
      <c r="N40" s="1134" t="str">
        <f t="shared" si="1"/>
        <v/>
      </c>
      <c r="O40" s="39"/>
      <c r="P40" s="39"/>
      <c r="Q40" s="985"/>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
      <c r="A41" s="39"/>
      <c r="B41" s="2003"/>
      <c r="C41" s="2004"/>
      <c r="D41" s="2005"/>
      <c r="E41" s="2006"/>
      <c r="F41" s="2007"/>
      <c r="G41" s="2008"/>
      <c r="H41" s="2008"/>
      <c r="I41" s="2008"/>
      <c r="J41" s="2008"/>
      <c r="K41" s="2008"/>
      <c r="L41" s="2009"/>
      <c r="M41" s="1133" t="str">
        <f t="shared" si="2"/>
        <v/>
      </c>
      <c r="N41" s="1134" t="str">
        <f t="shared" si="1"/>
        <v/>
      </c>
      <c r="O41" s="39"/>
      <c r="P41" s="39"/>
      <c r="Q41" s="985"/>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
      <c r="A42" s="39"/>
      <c r="B42" s="2003"/>
      <c r="C42" s="2004"/>
      <c r="D42" s="2005"/>
      <c r="E42" s="2006"/>
      <c r="F42" s="2007"/>
      <c r="G42" s="2008"/>
      <c r="H42" s="2008"/>
      <c r="I42" s="2008"/>
      <c r="J42" s="2008"/>
      <c r="K42" s="2008"/>
      <c r="L42" s="2009"/>
      <c r="M42" s="1133" t="str">
        <f t="shared" si="2"/>
        <v/>
      </c>
      <c r="N42" s="1134" t="str">
        <f t="shared" si="1"/>
        <v/>
      </c>
      <c r="O42" s="39"/>
      <c r="P42" s="39"/>
      <c r="Q42" s="985"/>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2">
      <c r="A43" s="39"/>
      <c r="B43" s="2003"/>
      <c r="C43" s="2004"/>
      <c r="D43" s="2005"/>
      <c r="E43" s="2006"/>
      <c r="F43" s="2007"/>
      <c r="G43" s="2008"/>
      <c r="H43" s="2008"/>
      <c r="I43" s="2008"/>
      <c r="J43" s="2008"/>
      <c r="K43" s="2008"/>
      <c r="L43" s="2009"/>
      <c r="M43" s="1133" t="str">
        <f t="shared" si="2"/>
        <v/>
      </c>
      <c r="N43" s="1134" t="str">
        <f t="shared" si="1"/>
        <v/>
      </c>
      <c r="O43" s="39"/>
      <c r="P43" s="39"/>
      <c r="Q43" s="991"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
      <c r="A44" s="39"/>
      <c r="B44" s="2003"/>
      <c r="C44" s="2004"/>
      <c r="D44" s="2005"/>
      <c r="E44" s="2006"/>
      <c r="F44" s="2007"/>
      <c r="G44" s="2008"/>
      <c r="H44" s="2008"/>
      <c r="I44" s="2008"/>
      <c r="J44" s="2008"/>
      <c r="K44" s="2008"/>
      <c r="L44" s="2009"/>
      <c r="M44" s="1133" t="str">
        <f t="shared" si="2"/>
        <v/>
      </c>
      <c r="N44" s="1134" t="str">
        <f t="shared" si="1"/>
        <v/>
      </c>
      <c r="O44" s="39"/>
      <c r="P44" s="39"/>
      <c r="Q44" s="985"/>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
      <c r="A45" s="39"/>
      <c r="B45" s="2003"/>
      <c r="C45" s="2004"/>
      <c r="D45" s="2005"/>
      <c r="E45" s="2006"/>
      <c r="F45" s="2007"/>
      <c r="G45" s="2008"/>
      <c r="H45" s="2008"/>
      <c r="I45" s="2008"/>
      <c r="J45" s="2008"/>
      <c r="K45" s="2008"/>
      <c r="L45" s="2009"/>
      <c r="M45" s="1133" t="str">
        <f t="shared" si="2"/>
        <v/>
      </c>
      <c r="N45" s="1134" t="str">
        <f t="shared" si="1"/>
        <v/>
      </c>
      <c r="O45" s="39"/>
      <c r="P45" s="39"/>
      <c r="Q45" s="985"/>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
      <c r="A46" s="39"/>
      <c r="B46" s="2003"/>
      <c r="C46" s="2004"/>
      <c r="D46" s="2005"/>
      <c r="E46" s="2006"/>
      <c r="F46" s="2007"/>
      <c r="G46" s="2008"/>
      <c r="H46" s="2008"/>
      <c r="I46" s="2008"/>
      <c r="J46" s="2008"/>
      <c r="K46" s="2008"/>
      <c r="L46" s="2009"/>
      <c r="M46" s="1133" t="str">
        <f t="shared" si="2"/>
        <v/>
      </c>
      <c r="N46" s="1134"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
      <c r="A47" s="39"/>
      <c r="B47" s="2003"/>
      <c r="C47" s="2004"/>
      <c r="D47" s="2005"/>
      <c r="E47" s="2006"/>
      <c r="F47" s="2007"/>
      <c r="G47" s="2008"/>
      <c r="H47" s="2008"/>
      <c r="I47" s="2008"/>
      <c r="J47" s="2008"/>
      <c r="K47" s="2008"/>
      <c r="L47" s="2009"/>
      <c r="M47" s="1133" t="str">
        <f t="shared" si="2"/>
        <v/>
      </c>
      <c r="N47" s="1134" t="str">
        <f t="shared" si="1"/>
        <v/>
      </c>
      <c r="O47" s="39"/>
      <c r="P47" s="39"/>
      <c r="Q47" s="985"/>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
      <c r="A48" s="39"/>
      <c r="B48" s="2003"/>
      <c r="C48" s="2004"/>
      <c r="D48" s="2005"/>
      <c r="E48" s="2006"/>
      <c r="F48" s="2007"/>
      <c r="G48" s="2008"/>
      <c r="H48" s="2008"/>
      <c r="I48" s="2008"/>
      <c r="J48" s="2008"/>
      <c r="K48" s="2008"/>
      <c r="L48" s="2009"/>
      <c r="M48" s="1133" t="str">
        <f t="shared" si="2"/>
        <v/>
      </c>
      <c r="N48" s="1134" t="str">
        <f t="shared" si="1"/>
        <v/>
      </c>
      <c r="O48" s="39"/>
      <c r="P48" s="39"/>
      <c r="Q48" s="985"/>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
      <c r="A49" s="39"/>
      <c r="B49" s="2003"/>
      <c r="C49" s="2004"/>
      <c r="D49" s="2005"/>
      <c r="E49" s="2006"/>
      <c r="F49" s="2007"/>
      <c r="G49" s="2008"/>
      <c r="H49" s="2008"/>
      <c r="I49" s="2008"/>
      <c r="J49" s="2008"/>
      <c r="K49" s="2008"/>
      <c r="L49" s="2009"/>
      <c r="M49" s="1133" t="str">
        <f t="shared" si="2"/>
        <v/>
      </c>
      <c r="N49" s="1134" t="str">
        <f t="shared" si="1"/>
        <v/>
      </c>
      <c r="O49" s="39"/>
      <c r="P49" s="39"/>
      <c r="Q49" s="985"/>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
      <c r="A50" s="39"/>
      <c r="B50" s="2003"/>
      <c r="C50" s="2004"/>
      <c r="D50" s="2005"/>
      <c r="E50" s="2006"/>
      <c r="F50" s="2007"/>
      <c r="G50" s="2008"/>
      <c r="H50" s="2008"/>
      <c r="I50" s="2008"/>
      <c r="J50" s="2008"/>
      <c r="K50" s="2008"/>
      <c r="L50" s="2009"/>
      <c r="M50" s="1133" t="str">
        <f t="shared" si="2"/>
        <v/>
      </c>
      <c r="N50" s="1134" t="str">
        <f t="shared" si="1"/>
        <v/>
      </c>
      <c r="O50" s="39"/>
      <c r="P50" s="39"/>
      <c r="Q50" s="985"/>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
      <c r="A51" s="39"/>
      <c r="B51" s="2003"/>
      <c r="C51" s="2004"/>
      <c r="D51" s="2005"/>
      <c r="E51" s="2006"/>
      <c r="F51" s="2007"/>
      <c r="G51" s="2008"/>
      <c r="H51" s="2008"/>
      <c r="I51" s="2008"/>
      <c r="J51" s="2008"/>
      <c r="K51" s="2008"/>
      <c r="L51" s="2009"/>
      <c r="M51" s="1133" t="str">
        <f t="shared" si="2"/>
        <v/>
      </c>
      <c r="N51" s="1134" t="str">
        <f t="shared" si="1"/>
        <v/>
      </c>
      <c r="O51" s="39"/>
      <c r="P51" s="39"/>
      <c r="Q51" s="985"/>
      <c r="R51" s="39"/>
      <c r="S51" s="39"/>
      <c r="T51" s="39"/>
      <c r="AZ51" s="235"/>
      <c r="BA51" s="235"/>
      <c r="BB51" s="235"/>
      <c r="BC51" s="235"/>
      <c r="BD51" s="235"/>
      <c r="BE51" s="235"/>
      <c r="BF51" s="235"/>
      <c r="BG51" s="235"/>
      <c r="BH51" s="235"/>
      <c r="BI51" s="235"/>
      <c r="BJ51" s="235"/>
      <c r="BK51" s="235"/>
    </row>
    <row r="52" spans="1:63" ht="15" customHeight="1" x14ac:dyDescent="0.2">
      <c r="A52" s="39"/>
      <c r="B52" s="2003"/>
      <c r="C52" s="2004"/>
      <c r="D52" s="2005"/>
      <c r="E52" s="2006"/>
      <c r="F52" s="2007"/>
      <c r="G52" s="2008"/>
      <c r="H52" s="2008"/>
      <c r="I52" s="2008"/>
      <c r="J52" s="2008"/>
      <c r="K52" s="2008"/>
      <c r="L52" s="2009"/>
      <c r="M52" s="1133" t="str">
        <f t="shared" si="2"/>
        <v/>
      </c>
      <c r="N52" s="1134" t="str">
        <f t="shared" si="1"/>
        <v/>
      </c>
      <c r="O52" s="39"/>
      <c r="P52" s="39"/>
      <c r="Q52" s="985"/>
      <c r="R52" s="39"/>
      <c r="S52" s="39"/>
      <c r="T52" s="39"/>
      <c r="AZ52" s="235"/>
      <c r="BA52" s="235"/>
      <c r="BB52" s="235"/>
      <c r="BC52" s="235"/>
      <c r="BD52" s="235"/>
      <c r="BE52" s="235"/>
      <c r="BF52" s="235"/>
      <c r="BG52" s="235"/>
      <c r="BH52" s="235"/>
      <c r="BI52" s="235"/>
      <c r="BJ52" s="235"/>
      <c r="BK52" s="235"/>
    </row>
    <row r="53" spans="1:63" ht="15" customHeight="1" x14ac:dyDescent="0.2">
      <c r="A53" s="39"/>
      <c r="B53" s="2003"/>
      <c r="C53" s="2004"/>
      <c r="D53" s="2005"/>
      <c r="E53" s="2006"/>
      <c r="F53" s="2007"/>
      <c r="G53" s="2008"/>
      <c r="H53" s="2008"/>
      <c r="I53" s="2008"/>
      <c r="J53" s="2008"/>
      <c r="K53" s="2008"/>
      <c r="L53" s="2009"/>
      <c r="M53" s="1133" t="str">
        <f t="shared" si="2"/>
        <v/>
      </c>
      <c r="N53" s="1134" t="str">
        <f t="shared" si="1"/>
        <v/>
      </c>
      <c r="O53" s="39"/>
      <c r="P53" s="39"/>
      <c r="Q53" s="991" t="s">
        <v>603</v>
      </c>
      <c r="R53" s="39"/>
      <c r="S53" s="39"/>
      <c r="T53" s="39"/>
      <c r="AZ53" s="235"/>
      <c r="BA53" s="235"/>
      <c r="BB53" s="235"/>
      <c r="BC53" s="235"/>
      <c r="BD53" s="235"/>
      <c r="BE53" s="235"/>
      <c r="BF53" s="235"/>
      <c r="BG53" s="235"/>
      <c r="BH53" s="235"/>
      <c r="BI53" s="235"/>
      <c r="BJ53" s="235"/>
      <c r="BK53" s="235"/>
    </row>
    <row r="54" spans="1:63" ht="15" customHeight="1" x14ac:dyDescent="0.2">
      <c r="A54" s="39"/>
      <c r="B54" s="2003"/>
      <c r="C54" s="2004"/>
      <c r="D54" s="2005"/>
      <c r="E54" s="2006"/>
      <c r="F54" s="2007"/>
      <c r="G54" s="2008"/>
      <c r="H54" s="2008"/>
      <c r="I54" s="2008"/>
      <c r="J54" s="2008"/>
      <c r="K54" s="2008"/>
      <c r="L54" s="2009"/>
      <c r="M54" s="1133" t="str">
        <f t="shared" si="2"/>
        <v/>
      </c>
      <c r="N54" s="1134" t="str">
        <f t="shared" si="1"/>
        <v/>
      </c>
      <c r="O54" s="39"/>
      <c r="P54" s="39"/>
      <c r="Q54" s="985"/>
      <c r="R54" s="39"/>
      <c r="S54" s="39"/>
      <c r="T54" s="39"/>
      <c r="AZ54" s="235"/>
      <c r="BA54" s="235"/>
      <c r="BB54" s="235"/>
      <c r="BC54" s="235"/>
      <c r="BD54" s="235"/>
      <c r="BE54" s="235"/>
      <c r="BF54" s="235"/>
      <c r="BG54" s="235"/>
      <c r="BH54" s="235"/>
      <c r="BI54" s="235"/>
      <c r="BJ54" s="235"/>
      <c r="BK54" s="235"/>
    </row>
    <row r="55" spans="1:63" ht="15" customHeight="1" x14ac:dyDescent="0.2">
      <c r="A55" s="39"/>
      <c r="B55" s="2003"/>
      <c r="C55" s="2004"/>
      <c r="D55" s="2005"/>
      <c r="E55" s="2006"/>
      <c r="F55" s="2007"/>
      <c r="G55" s="2008"/>
      <c r="H55" s="2008"/>
      <c r="I55" s="2008"/>
      <c r="J55" s="2008"/>
      <c r="K55" s="2008"/>
      <c r="L55" s="2009"/>
      <c r="M55" s="1133" t="str">
        <f t="shared" si="2"/>
        <v/>
      </c>
      <c r="N55" s="1134" t="str">
        <f t="shared" si="1"/>
        <v/>
      </c>
      <c r="O55" s="39"/>
      <c r="P55" s="39"/>
      <c r="Q55" s="985"/>
      <c r="R55" s="39"/>
      <c r="S55" s="39"/>
      <c r="T55" s="39"/>
      <c r="AZ55" s="235"/>
      <c r="BA55" s="235"/>
      <c r="BB55" s="235"/>
      <c r="BC55" s="235"/>
      <c r="BD55" s="235"/>
      <c r="BE55" s="235"/>
      <c r="BF55" s="235"/>
      <c r="BG55" s="235"/>
      <c r="BH55" s="235"/>
      <c r="BI55" s="235"/>
      <c r="BJ55" s="235"/>
      <c r="BK55" s="235"/>
    </row>
    <row r="56" spans="1:63" ht="15" customHeight="1" x14ac:dyDescent="0.2">
      <c r="A56" s="39"/>
      <c r="B56" s="2003"/>
      <c r="C56" s="2004"/>
      <c r="D56" s="2005"/>
      <c r="E56" s="2006"/>
      <c r="F56" s="2007"/>
      <c r="G56" s="2008"/>
      <c r="H56" s="2008"/>
      <c r="I56" s="2008"/>
      <c r="J56" s="2008"/>
      <c r="K56" s="2008"/>
      <c r="L56" s="2009"/>
      <c r="M56" s="1133" t="str">
        <f t="shared" si="2"/>
        <v/>
      </c>
      <c r="N56" s="1134" t="str">
        <f t="shared" si="1"/>
        <v/>
      </c>
      <c r="O56" s="39"/>
      <c r="P56" s="39"/>
      <c r="Q56" s="985"/>
      <c r="R56" s="39"/>
      <c r="S56" s="39"/>
      <c r="T56" s="39"/>
      <c r="AZ56" s="235"/>
      <c r="BA56" s="235"/>
      <c r="BB56" s="235"/>
      <c r="BC56" s="235"/>
      <c r="BD56" s="235"/>
      <c r="BE56" s="235"/>
      <c r="BF56" s="235"/>
      <c r="BG56" s="235"/>
      <c r="BH56" s="235"/>
      <c r="BI56" s="235"/>
      <c r="BJ56" s="235"/>
      <c r="BK56" s="235"/>
    </row>
    <row r="57" spans="1:63" ht="15" customHeight="1" x14ac:dyDescent="0.2">
      <c r="A57" s="39"/>
      <c r="B57" s="2003"/>
      <c r="C57" s="2004"/>
      <c r="D57" s="2005"/>
      <c r="E57" s="2006"/>
      <c r="F57" s="2007"/>
      <c r="G57" s="2008"/>
      <c r="H57" s="2008"/>
      <c r="I57" s="2008"/>
      <c r="J57" s="2008"/>
      <c r="K57" s="2008"/>
      <c r="L57" s="2009"/>
      <c r="M57" s="1133" t="str">
        <f t="shared" si="2"/>
        <v/>
      </c>
      <c r="N57" s="1134"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
      <c r="A58" s="39"/>
      <c r="B58" s="2003"/>
      <c r="C58" s="2004"/>
      <c r="D58" s="2005"/>
      <c r="E58" s="2006"/>
      <c r="F58" s="2007"/>
      <c r="G58" s="2008"/>
      <c r="H58" s="2008"/>
      <c r="I58" s="2008"/>
      <c r="J58" s="2008"/>
      <c r="K58" s="2008"/>
      <c r="L58" s="2009"/>
      <c r="M58" s="1133" t="str">
        <f t="shared" si="2"/>
        <v/>
      </c>
      <c r="N58" s="1134" t="str">
        <f t="shared" si="1"/>
        <v/>
      </c>
      <c r="O58" s="39"/>
      <c r="P58" s="39"/>
      <c r="Q58" s="985"/>
      <c r="R58" s="39"/>
      <c r="S58" s="39"/>
      <c r="T58" s="39"/>
      <c r="AZ58" s="235"/>
      <c r="BA58" s="235"/>
      <c r="BB58" s="235"/>
      <c r="BC58" s="235"/>
      <c r="BD58" s="235"/>
      <c r="BE58" s="235"/>
      <c r="BF58" s="235"/>
      <c r="BG58" s="235"/>
      <c r="BH58" s="235"/>
      <c r="BI58" s="235"/>
      <c r="BJ58" s="235"/>
      <c r="BK58" s="235"/>
    </row>
    <row r="59" spans="1:63" ht="15" customHeight="1" x14ac:dyDescent="0.2">
      <c r="A59" s="39"/>
      <c r="B59" s="2003"/>
      <c r="C59" s="2004"/>
      <c r="D59" s="2005"/>
      <c r="E59" s="2006"/>
      <c r="F59" s="2007"/>
      <c r="G59" s="2008"/>
      <c r="H59" s="2008"/>
      <c r="I59" s="2008"/>
      <c r="J59" s="2008"/>
      <c r="K59" s="2008"/>
      <c r="L59" s="2009"/>
      <c r="M59" s="1133" t="str">
        <f t="shared" si="2"/>
        <v/>
      </c>
      <c r="N59" s="1134" t="str">
        <f t="shared" si="1"/>
        <v/>
      </c>
      <c r="O59" s="39"/>
      <c r="P59" s="39"/>
      <c r="Q59" s="985"/>
      <c r="R59" s="39"/>
      <c r="S59" s="39"/>
      <c r="T59" s="39"/>
      <c r="AZ59" s="235"/>
      <c r="BA59" s="235"/>
      <c r="BB59" s="235"/>
      <c r="BC59" s="235"/>
      <c r="BD59" s="235"/>
      <c r="BE59" s="235"/>
      <c r="BF59" s="235"/>
      <c r="BG59" s="235"/>
      <c r="BH59" s="235"/>
      <c r="BI59" s="235"/>
      <c r="BJ59" s="235"/>
      <c r="BK59" s="235"/>
    </row>
    <row r="60" spans="1:63" ht="15" customHeight="1" x14ac:dyDescent="0.2">
      <c r="A60" s="39"/>
      <c r="B60" s="2003"/>
      <c r="C60" s="2004"/>
      <c r="D60" s="2005"/>
      <c r="E60" s="2006"/>
      <c r="F60" s="2007"/>
      <c r="G60" s="2008"/>
      <c r="H60" s="2008"/>
      <c r="I60" s="2008"/>
      <c r="J60" s="2008"/>
      <c r="K60" s="2008"/>
      <c r="L60" s="2009"/>
      <c r="M60" s="1133" t="str">
        <f t="shared" si="2"/>
        <v/>
      </c>
      <c r="N60" s="1134" t="str">
        <f t="shared" si="1"/>
        <v/>
      </c>
      <c r="O60" s="39"/>
      <c r="P60" s="39"/>
      <c r="Q60" s="985"/>
      <c r="R60" s="39"/>
      <c r="S60" s="39"/>
      <c r="T60" s="39"/>
      <c r="AZ60" s="235"/>
      <c r="BA60" s="235"/>
      <c r="BB60" s="235"/>
      <c r="BC60" s="235"/>
      <c r="BD60" s="235"/>
      <c r="BE60" s="235"/>
      <c r="BF60" s="235"/>
      <c r="BG60" s="235"/>
      <c r="BH60" s="235"/>
      <c r="BI60" s="235"/>
      <c r="BJ60" s="235"/>
      <c r="BK60" s="235"/>
    </row>
    <row r="61" spans="1:63" ht="15" customHeight="1" x14ac:dyDescent="0.2">
      <c r="A61" s="1567" t="s">
        <v>1220</v>
      </c>
      <c r="B61" s="2003"/>
      <c r="C61" s="2004"/>
      <c r="D61" s="2005"/>
      <c r="E61" s="2006"/>
      <c r="F61" s="2007"/>
      <c r="G61" s="2008"/>
      <c r="H61" s="2008"/>
      <c r="I61" s="2008"/>
      <c r="J61" s="2008"/>
      <c r="K61" s="2008"/>
      <c r="L61" s="2009"/>
      <c r="M61" s="1133" t="str">
        <f t="shared" si="2"/>
        <v/>
      </c>
      <c r="N61" s="1134" t="str">
        <f t="shared" si="1"/>
        <v/>
      </c>
      <c r="O61" s="39"/>
      <c r="P61" s="39"/>
      <c r="Q61" s="985"/>
      <c r="R61" s="39"/>
      <c r="S61" s="39"/>
      <c r="T61" s="39"/>
      <c r="AZ61" s="235"/>
      <c r="BA61" s="235"/>
      <c r="BB61" s="235"/>
      <c r="BC61" s="235"/>
      <c r="BD61" s="235"/>
      <c r="BE61" s="235"/>
      <c r="BF61" s="235"/>
      <c r="BG61" s="235"/>
      <c r="BH61" s="235"/>
      <c r="BI61" s="235"/>
      <c r="BJ61" s="235"/>
      <c r="BK61" s="235"/>
    </row>
    <row r="62" spans="1:63" ht="15" customHeight="1" x14ac:dyDescent="0.2">
      <c r="A62" s="39"/>
      <c r="B62" s="2003"/>
      <c r="C62" s="2004"/>
      <c r="D62" s="2005"/>
      <c r="E62" s="2006"/>
      <c r="F62" s="2007"/>
      <c r="G62" s="2008"/>
      <c r="H62" s="2008"/>
      <c r="I62" s="2008"/>
      <c r="J62" s="2008"/>
      <c r="K62" s="2008"/>
      <c r="L62" s="2009"/>
      <c r="M62" s="1133" t="str">
        <f t="shared" si="2"/>
        <v/>
      </c>
      <c r="N62" s="1134" t="str">
        <f t="shared" si="1"/>
        <v/>
      </c>
      <c r="O62" s="39"/>
      <c r="P62" s="39"/>
      <c r="Q62" s="985"/>
      <c r="R62" s="39"/>
      <c r="S62" s="39"/>
      <c r="T62" s="39"/>
      <c r="AZ62" s="235"/>
      <c r="BA62" s="235"/>
      <c r="BB62" s="235"/>
      <c r="BC62" s="235"/>
      <c r="BD62" s="235"/>
      <c r="BE62" s="235"/>
      <c r="BF62" s="235"/>
      <c r="BG62" s="235"/>
      <c r="BH62" s="235"/>
      <c r="BI62" s="235"/>
      <c r="BJ62" s="235"/>
      <c r="BK62" s="235"/>
    </row>
    <row r="63" spans="1:63" ht="15" customHeight="1" x14ac:dyDescent="0.2">
      <c r="A63" s="39"/>
      <c r="B63" s="2003"/>
      <c r="C63" s="2004"/>
      <c r="D63" s="2005"/>
      <c r="E63" s="2006"/>
      <c r="F63" s="2007"/>
      <c r="G63" s="2008"/>
      <c r="H63" s="2008"/>
      <c r="I63" s="2008"/>
      <c r="J63" s="2008"/>
      <c r="K63" s="2008"/>
      <c r="L63" s="2009"/>
      <c r="M63" s="1133" t="str">
        <f t="shared" si="2"/>
        <v/>
      </c>
      <c r="N63" s="1134" t="str">
        <f t="shared" si="1"/>
        <v/>
      </c>
      <c r="O63" s="39"/>
      <c r="P63" s="39"/>
      <c r="Q63" s="985"/>
      <c r="R63" s="39"/>
      <c r="S63" s="39"/>
      <c r="T63" s="39"/>
      <c r="AZ63" s="235"/>
      <c r="BA63" s="235"/>
      <c r="BB63" s="235"/>
      <c r="BC63" s="235"/>
      <c r="BD63" s="235"/>
      <c r="BE63" s="235"/>
      <c r="BF63" s="235"/>
      <c r="BG63" s="235"/>
      <c r="BH63" s="235"/>
      <c r="BI63" s="235"/>
      <c r="BJ63" s="235"/>
      <c r="BK63" s="235"/>
    </row>
    <row r="64" spans="1:63" ht="15" customHeight="1" x14ac:dyDescent="0.25">
      <c r="A64" s="39"/>
      <c r="B64" s="2003"/>
      <c r="C64" s="2004"/>
      <c r="D64" s="2005"/>
      <c r="E64" s="2006"/>
      <c r="F64" s="2007"/>
      <c r="G64" s="2008"/>
      <c r="H64" s="2008"/>
      <c r="I64" s="2008"/>
      <c r="J64" s="2008"/>
      <c r="K64" s="2008"/>
      <c r="L64" s="2009"/>
      <c r="M64" s="1133" t="str">
        <f t="shared" si="2"/>
        <v/>
      </c>
      <c r="N64" s="1134" t="str">
        <f t="shared" si="1"/>
        <v/>
      </c>
      <c r="O64" s="39"/>
      <c r="P64" s="39"/>
      <c r="Q64" s="992" t="s">
        <v>1060</v>
      </c>
      <c r="R64" s="39"/>
      <c r="S64" s="39"/>
      <c r="T64" s="39"/>
      <c r="AZ64" s="235"/>
      <c r="BA64" s="235"/>
      <c r="BB64" s="235"/>
      <c r="BC64" s="235"/>
      <c r="BD64" s="235"/>
      <c r="BE64" s="235"/>
      <c r="BF64" s="235"/>
      <c r="BG64" s="235"/>
      <c r="BH64" s="235"/>
      <c r="BI64" s="235"/>
      <c r="BJ64" s="235"/>
      <c r="BK64" s="235"/>
    </row>
    <row r="65" spans="1:63" ht="15" customHeight="1" x14ac:dyDescent="0.2">
      <c r="A65" s="39"/>
      <c r="B65" s="2003"/>
      <c r="C65" s="2004"/>
      <c r="D65" s="2005"/>
      <c r="E65" s="2006"/>
      <c r="F65" s="2007"/>
      <c r="G65" s="2008"/>
      <c r="H65" s="2008"/>
      <c r="I65" s="2008"/>
      <c r="J65" s="2008"/>
      <c r="K65" s="2008"/>
      <c r="L65" s="2009"/>
      <c r="M65" s="1133" t="str">
        <f t="shared" si="2"/>
        <v/>
      </c>
      <c r="N65" s="1134" t="str">
        <f t="shared" si="1"/>
        <v/>
      </c>
      <c r="O65" s="39"/>
      <c r="P65" s="39"/>
      <c r="Q65" s="985"/>
      <c r="R65" s="39"/>
      <c r="S65" s="39"/>
      <c r="T65" s="39"/>
      <c r="AZ65" s="235"/>
      <c r="BA65" s="235"/>
      <c r="BB65" s="235"/>
      <c r="BC65" s="235"/>
      <c r="BD65" s="235"/>
      <c r="BE65" s="235"/>
      <c r="BF65" s="235"/>
      <c r="BG65" s="235"/>
      <c r="BH65" s="235"/>
      <c r="BI65" s="235"/>
      <c r="BJ65" s="235"/>
      <c r="BK65" s="235"/>
    </row>
    <row r="66" spans="1:63" ht="15" customHeight="1" x14ac:dyDescent="0.2">
      <c r="A66" s="39"/>
      <c r="B66" s="2003"/>
      <c r="C66" s="2004"/>
      <c r="D66" s="2005"/>
      <c r="E66" s="2006"/>
      <c r="F66" s="2007"/>
      <c r="G66" s="2008"/>
      <c r="H66" s="2008"/>
      <c r="I66" s="2008"/>
      <c r="J66" s="2008"/>
      <c r="K66" s="2008"/>
      <c r="L66" s="2009"/>
      <c r="M66" s="1133" t="str">
        <f t="shared" si="2"/>
        <v/>
      </c>
      <c r="N66" s="1134" t="str">
        <f t="shared" si="1"/>
        <v/>
      </c>
      <c r="O66" s="39"/>
      <c r="P66" s="39"/>
      <c r="Q66" s="985"/>
      <c r="R66" s="39"/>
      <c r="S66" s="39"/>
      <c r="T66" s="39"/>
      <c r="AZ66" s="235"/>
      <c r="BA66" s="235"/>
      <c r="BB66" s="235"/>
      <c r="BC66" s="235"/>
      <c r="BD66" s="235"/>
      <c r="BE66" s="235"/>
      <c r="BF66" s="235"/>
      <c r="BG66" s="235"/>
      <c r="BH66" s="235"/>
      <c r="BI66" s="235"/>
      <c r="BJ66" s="235"/>
      <c r="BK66" s="235"/>
    </row>
    <row r="67" spans="1:63" ht="15" customHeight="1" x14ac:dyDescent="0.2">
      <c r="A67" s="39"/>
      <c r="B67" s="2003"/>
      <c r="C67" s="2004"/>
      <c r="D67" s="2005"/>
      <c r="E67" s="2006"/>
      <c r="F67" s="2007"/>
      <c r="G67" s="2008"/>
      <c r="H67" s="2008"/>
      <c r="I67" s="2008"/>
      <c r="J67" s="2008"/>
      <c r="K67" s="2008"/>
      <c r="L67" s="2009"/>
      <c r="M67" s="1133" t="str">
        <f t="shared" ref="M67:M102" si="3">UPPER(C67)</f>
        <v/>
      </c>
      <c r="N67" s="1134" t="str">
        <f t="shared" si="1"/>
        <v/>
      </c>
      <c r="O67" s="39"/>
      <c r="P67" s="39"/>
      <c r="Q67" s="985"/>
      <c r="R67" s="39"/>
      <c r="S67" s="39"/>
      <c r="T67" s="39"/>
      <c r="AZ67" s="235"/>
      <c r="BA67" s="235"/>
      <c r="BB67" s="235"/>
      <c r="BC67" s="235"/>
      <c r="BD67" s="235"/>
      <c r="BE67" s="235"/>
      <c r="BF67" s="235"/>
      <c r="BG67" s="235"/>
      <c r="BH67" s="235"/>
      <c r="BI67" s="235"/>
      <c r="BJ67" s="235"/>
      <c r="BK67" s="235"/>
    </row>
    <row r="68" spans="1:63" ht="15" customHeight="1" x14ac:dyDescent="0.2">
      <c r="A68" s="39"/>
      <c r="B68" s="2003"/>
      <c r="C68" s="2004"/>
      <c r="D68" s="2005"/>
      <c r="E68" s="2006"/>
      <c r="F68" s="2007"/>
      <c r="G68" s="2008"/>
      <c r="H68" s="2008"/>
      <c r="I68" s="2008"/>
      <c r="J68" s="2008"/>
      <c r="K68" s="2008"/>
      <c r="L68" s="2009"/>
      <c r="M68" s="1133" t="str">
        <f t="shared" si="3"/>
        <v/>
      </c>
      <c r="N68" s="1134" t="str">
        <f t="shared" ref="N68:N131" si="4">IF(AND(ISBLANK(D68),ISBLANK(E68)),"",TRUNC(D68)*12+IF(OR(D68&lt;0,AND(D68=0,E68&lt;0)),-1*ABS(E68),ABS(E68)))</f>
        <v/>
      </c>
      <c r="O68" s="39"/>
      <c r="P68" s="39"/>
      <c r="Q68" s="985"/>
      <c r="R68" s="39"/>
      <c r="S68" s="39"/>
      <c r="T68" s="39"/>
      <c r="AZ68" s="235"/>
      <c r="BA68" s="235"/>
      <c r="BB68" s="235"/>
      <c r="BC68" s="235"/>
      <c r="BD68" s="235"/>
      <c r="BE68" s="235"/>
      <c r="BF68" s="235"/>
      <c r="BG68" s="235"/>
      <c r="BH68" s="235"/>
      <c r="BI68" s="235"/>
      <c r="BJ68" s="235"/>
      <c r="BK68" s="235"/>
    </row>
    <row r="69" spans="1:63" ht="15" customHeight="1" x14ac:dyDescent="0.2">
      <c r="A69" s="39"/>
      <c r="B69" s="2003"/>
      <c r="C69" s="2004"/>
      <c r="D69" s="2005"/>
      <c r="E69" s="2006"/>
      <c r="F69" s="2007"/>
      <c r="G69" s="2008"/>
      <c r="H69" s="2008"/>
      <c r="I69" s="2008"/>
      <c r="J69" s="2008"/>
      <c r="K69" s="2008"/>
      <c r="L69" s="2009"/>
      <c r="M69" s="1133" t="str">
        <f t="shared" si="3"/>
        <v/>
      </c>
      <c r="N69" s="1134" t="str">
        <f t="shared" si="4"/>
        <v/>
      </c>
      <c r="O69" s="39"/>
      <c r="P69" s="39"/>
      <c r="Q69" s="985"/>
      <c r="R69" s="39"/>
      <c r="S69" s="39"/>
      <c r="T69" s="39"/>
      <c r="AZ69" s="235"/>
      <c r="BA69" s="235"/>
      <c r="BB69" s="235"/>
      <c r="BC69" s="235"/>
      <c r="BD69" s="235"/>
      <c r="BE69" s="235"/>
      <c r="BF69" s="235"/>
      <c r="BG69" s="235"/>
      <c r="BH69" s="235"/>
      <c r="BI69" s="235"/>
      <c r="BJ69" s="235"/>
      <c r="BK69" s="235"/>
    </row>
    <row r="70" spans="1:63" ht="15" customHeight="1" x14ac:dyDescent="0.2">
      <c r="A70" s="39"/>
      <c r="B70" s="2003"/>
      <c r="C70" s="2004"/>
      <c r="D70" s="2005"/>
      <c r="E70" s="2006"/>
      <c r="F70" s="2007"/>
      <c r="G70" s="2008"/>
      <c r="H70" s="2008"/>
      <c r="I70" s="2008"/>
      <c r="J70" s="2008"/>
      <c r="K70" s="2008"/>
      <c r="L70" s="2009"/>
      <c r="M70" s="1133" t="str">
        <f t="shared" si="3"/>
        <v/>
      </c>
      <c r="N70" s="1134"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
      <c r="A71" s="39"/>
      <c r="B71" s="2003"/>
      <c r="C71" s="2004"/>
      <c r="D71" s="2005"/>
      <c r="E71" s="2006"/>
      <c r="F71" s="2007"/>
      <c r="G71" s="2008"/>
      <c r="H71" s="2008"/>
      <c r="I71" s="2008"/>
      <c r="J71" s="2008"/>
      <c r="K71" s="2008"/>
      <c r="L71" s="2009"/>
      <c r="M71" s="1133" t="str">
        <f t="shared" si="3"/>
        <v/>
      </c>
      <c r="N71" s="1134" t="str">
        <f t="shared" si="4"/>
        <v/>
      </c>
      <c r="O71" s="39"/>
      <c r="P71" s="39"/>
      <c r="Q71" s="985"/>
      <c r="R71" s="39"/>
      <c r="S71" s="39"/>
      <c r="T71" s="39"/>
      <c r="AZ71" s="235"/>
      <c r="BA71" s="235"/>
      <c r="BB71" s="235"/>
      <c r="BC71" s="235"/>
      <c r="BD71" s="235"/>
      <c r="BE71" s="235"/>
      <c r="BF71" s="235"/>
      <c r="BG71" s="235"/>
      <c r="BH71" s="235"/>
      <c r="BI71" s="235"/>
      <c r="BJ71" s="235"/>
      <c r="BK71" s="235"/>
    </row>
    <row r="72" spans="1:63" ht="15" customHeight="1" x14ac:dyDescent="0.2">
      <c r="A72" s="39"/>
      <c r="B72" s="2003"/>
      <c r="C72" s="2004"/>
      <c r="D72" s="2005"/>
      <c r="E72" s="2006"/>
      <c r="F72" s="2007"/>
      <c r="G72" s="2008"/>
      <c r="H72" s="2008"/>
      <c r="I72" s="2008"/>
      <c r="J72" s="2008"/>
      <c r="K72" s="2008"/>
      <c r="L72" s="2009"/>
      <c r="M72" s="1133" t="str">
        <f t="shared" si="3"/>
        <v/>
      </c>
      <c r="N72" s="1134" t="str">
        <f t="shared" si="4"/>
        <v/>
      </c>
      <c r="O72" s="39"/>
      <c r="P72" s="39"/>
      <c r="Q72" s="985"/>
      <c r="R72" s="39"/>
      <c r="S72" s="39"/>
      <c r="T72" s="39"/>
      <c r="AZ72" s="235"/>
      <c r="BA72" s="235"/>
      <c r="BB72" s="235"/>
      <c r="BC72" s="235"/>
      <c r="BD72" s="235"/>
      <c r="BE72" s="235"/>
      <c r="BF72" s="235"/>
      <c r="BG72" s="235"/>
      <c r="BH72" s="235"/>
      <c r="BI72" s="235"/>
      <c r="BJ72" s="235"/>
      <c r="BK72" s="235"/>
    </row>
    <row r="73" spans="1:63" ht="15" customHeight="1" x14ac:dyDescent="0.2">
      <c r="A73" s="39"/>
      <c r="B73" s="2003"/>
      <c r="C73" s="2004"/>
      <c r="D73" s="2005"/>
      <c r="E73" s="2006"/>
      <c r="F73" s="2007"/>
      <c r="G73" s="2008"/>
      <c r="H73" s="2008"/>
      <c r="I73" s="2008"/>
      <c r="J73" s="2008"/>
      <c r="K73" s="2008"/>
      <c r="L73" s="2009"/>
      <c r="M73" s="1133" t="str">
        <f t="shared" si="3"/>
        <v/>
      </c>
      <c r="N73" s="1134"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
      <c r="A74" s="39"/>
      <c r="B74" s="2003"/>
      <c r="C74" s="2004"/>
      <c r="D74" s="2005"/>
      <c r="E74" s="2006"/>
      <c r="F74" s="2007"/>
      <c r="G74" s="2008"/>
      <c r="H74" s="2008"/>
      <c r="I74" s="2008"/>
      <c r="J74" s="2008"/>
      <c r="K74" s="2008"/>
      <c r="L74" s="2009"/>
      <c r="M74" s="1133" t="str">
        <f t="shared" si="3"/>
        <v/>
      </c>
      <c r="N74" s="1134"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
      <c r="A75" s="39"/>
      <c r="B75" s="2003"/>
      <c r="C75" s="2004"/>
      <c r="D75" s="2005"/>
      <c r="E75" s="2006"/>
      <c r="F75" s="2007"/>
      <c r="G75" s="2008"/>
      <c r="H75" s="2008"/>
      <c r="I75" s="2008"/>
      <c r="J75" s="2008"/>
      <c r="K75" s="2008"/>
      <c r="L75" s="2009"/>
      <c r="M75" s="1133" t="str">
        <f t="shared" si="3"/>
        <v/>
      </c>
      <c r="N75" s="1134"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
      <c r="A76" s="39"/>
      <c r="B76" s="2003"/>
      <c r="C76" s="2004"/>
      <c r="D76" s="2005"/>
      <c r="E76" s="2006"/>
      <c r="F76" s="2007"/>
      <c r="G76" s="2008"/>
      <c r="H76" s="2008"/>
      <c r="I76" s="2008"/>
      <c r="J76" s="2008"/>
      <c r="K76" s="2008"/>
      <c r="L76" s="2009"/>
      <c r="M76" s="1133" t="str">
        <f t="shared" si="3"/>
        <v/>
      </c>
      <c r="N76" s="1134"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
      <c r="A77" s="39"/>
      <c r="B77" s="2003"/>
      <c r="C77" s="2004"/>
      <c r="D77" s="2005"/>
      <c r="E77" s="2006"/>
      <c r="F77" s="2007"/>
      <c r="G77" s="2008"/>
      <c r="H77" s="2008"/>
      <c r="I77" s="2008"/>
      <c r="J77" s="2008"/>
      <c r="K77" s="2008"/>
      <c r="L77" s="2009"/>
      <c r="M77" s="1133" t="str">
        <f t="shared" si="3"/>
        <v/>
      </c>
      <c r="N77" s="1134"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
      <c r="A78" s="39"/>
      <c r="B78" s="2003"/>
      <c r="C78" s="2004"/>
      <c r="D78" s="2005"/>
      <c r="E78" s="2006"/>
      <c r="F78" s="2007"/>
      <c r="G78" s="2008"/>
      <c r="H78" s="2008"/>
      <c r="I78" s="2008"/>
      <c r="J78" s="2008"/>
      <c r="K78" s="2008"/>
      <c r="L78" s="2009"/>
      <c r="M78" s="1133" t="str">
        <f t="shared" si="3"/>
        <v/>
      </c>
      <c r="N78" s="1134"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
      <c r="A79" s="39"/>
      <c r="B79" s="2003"/>
      <c r="C79" s="2004"/>
      <c r="D79" s="2005"/>
      <c r="E79" s="2006"/>
      <c r="F79" s="2007"/>
      <c r="G79" s="2008"/>
      <c r="H79" s="2008"/>
      <c r="I79" s="2008"/>
      <c r="J79" s="2008"/>
      <c r="K79" s="2008"/>
      <c r="L79" s="2009"/>
      <c r="M79" s="1133" t="str">
        <f t="shared" si="3"/>
        <v/>
      </c>
      <c r="N79" s="1134"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
      <c r="A80" s="39"/>
      <c r="B80" s="2003"/>
      <c r="C80" s="2004"/>
      <c r="D80" s="2005"/>
      <c r="E80" s="2006"/>
      <c r="F80" s="2007"/>
      <c r="G80" s="2008"/>
      <c r="H80" s="2008"/>
      <c r="I80" s="2008"/>
      <c r="J80" s="2008"/>
      <c r="K80" s="2008"/>
      <c r="L80" s="2009"/>
      <c r="M80" s="1133" t="str">
        <f t="shared" si="3"/>
        <v/>
      </c>
      <c r="N80" s="1134"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
      <c r="A81" s="39"/>
      <c r="B81" s="2003"/>
      <c r="C81" s="2004"/>
      <c r="D81" s="2005"/>
      <c r="E81" s="2006"/>
      <c r="F81" s="2007"/>
      <c r="G81" s="2008"/>
      <c r="H81" s="2008"/>
      <c r="I81" s="2008"/>
      <c r="J81" s="2008"/>
      <c r="K81" s="2008"/>
      <c r="L81" s="2009"/>
      <c r="M81" s="1133" t="str">
        <f t="shared" si="3"/>
        <v/>
      </c>
      <c r="N81" s="1134"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
      <c r="A82" s="39"/>
      <c r="B82" s="2003"/>
      <c r="C82" s="2004"/>
      <c r="D82" s="2005"/>
      <c r="E82" s="2006"/>
      <c r="F82" s="2007"/>
      <c r="G82" s="2008"/>
      <c r="H82" s="2008"/>
      <c r="I82" s="2008"/>
      <c r="J82" s="2008"/>
      <c r="K82" s="2008"/>
      <c r="L82" s="2009"/>
      <c r="M82" s="1133" t="str">
        <f t="shared" si="3"/>
        <v/>
      </c>
      <c r="N82" s="1134"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
      <c r="A83" s="39"/>
      <c r="B83" s="2003"/>
      <c r="C83" s="2004"/>
      <c r="D83" s="2005"/>
      <c r="E83" s="2006"/>
      <c r="F83" s="2007"/>
      <c r="G83" s="2008"/>
      <c r="H83" s="2008"/>
      <c r="I83" s="2008"/>
      <c r="J83" s="2008"/>
      <c r="K83" s="2008"/>
      <c r="L83" s="2009"/>
      <c r="M83" s="1133" t="str">
        <f t="shared" si="3"/>
        <v/>
      </c>
      <c r="N83" s="1134"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
      <c r="A84" s="39"/>
      <c r="B84" s="2003"/>
      <c r="C84" s="2004"/>
      <c r="D84" s="2005"/>
      <c r="E84" s="2006"/>
      <c r="F84" s="2007"/>
      <c r="G84" s="2008"/>
      <c r="H84" s="2008"/>
      <c r="I84" s="2008"/>
      <c r="J84" s="2008"/>
      <c r="K84" s="2008"/>
      <c r="L84" s="2009"/>
      <c r="M84" s="1133" t="str">
        <f t="shared" si="3"/>
        <v/>
      </c>
      <c r="N84" s="1134"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
      <c r="A85" s="39"/>
      <c r="B85" s="2003"/>
      <c r="C85" s="2004"/>
      <c r="D85" s="2005"/>
      <c r="E85" s="2006"/>
      <c r="F85" s="2007"/>
      <c r="G85" s="2008"/>
      <c r="H85" s="2008"/>
      <c r="I85" s="2008"/>
      <c r="J85" s="2008"/>
      <c r="K85" s="2008"/>
      <c r="L85" s="2009"/>
      <c r="M85" s="1133" t="str">
        <f t="shared" si="3"/>
        <v/>
      </c>
      <c r="N85" s="1134"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
      <c r="A86" s="39"/>
      <c r="B86" s="2003"/>
      <c r="C86" s="2004"/>
      <c r="D86" s="2005"/>
      <c r="E86" s="2006"/>
      <c r="F86" s="2007"/>
      <c r="G86" s="2008"/>
      <c r="H86" s="2008"/>
      <c r="I86" s="2008"/>
      <c r="J86" s="2008"/>
      <c r="K86" s="2008"/>
      <c r="L86" s="2009"/>
      <c r="M86" s="1133" t="str">
        <f t="shared" si="3"/>
        <v/>
      </c>
      <c r="N86" s="1134"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
      <c r="A87" s="39"/>
      <c r="B87" s="2003"/>
      <c r="C87" s="2004"/>
      <c r="D87" s="2005"/>
      <c r="E87" s="2006"/>
      <c r="F87" s="2007"/>
      <c r="G87" s="2008"/>
      <c r="H87" s="2008"/>
      <c r="I87" s="2008"/>
      <c r="J87" s="2008"/>
      <c r="K87" s="2008"/>
      <c r="L87" s="2009"/>
      <c r="M87" s="1133" t="str">
        <f t="shared" si="3"/>
        <v/>
      </c>
      <c r="N87" s="1134"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
      <c r="A88" s="39"/>
      <c r="B88" s="2003"/>
      <c r="C88" s="2004"/>
      <c r="D88" s="2005"/>
      <c r="E88" s="2006"/>
      <c r="F88" s="2007"/>
      <c r="G88" s="2008"/>
      <c r="H88" s="2008"/>
      <c r="I88" s="2008"/>
      <c r="J88" s="2008"/>
      <c r="K88" s="2008"/>
      <c r="L88" s="2009"/>
      <c r="M88" s="1133" t="str">
        <f t="shared" si="3"/>
        <v/>
      </c>
      <c r="N88" s="1134"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
      <c r="A89" s="39"/>
      <c r="B89" s="2003"/>
      <c r="C89" s="2004"/>
      <c r="D89" s="2005"/>
      <c r="E89" s="2006"/>
      <c r="F89" s="2007"/>
      <c r="G89" s="2008"/>
      <c r="H89" s="2008"/>
      <c r="I89" s="2008"/>
      <c r="J89" s="2008"/>
      <c r="K89" s="2008"/>
      <c r="L89" s="2009"/>
      <c r="M89" s="1133" t="str">
        <f t="shared" si="3"/>
        <v/>
      </c>
      <c r="N89" s="1134"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
      <c r="A90" s="39"/>
      <c r="B90" s="2003"/>
      <c r="C90" s="2004"/>
      <c r="D90" s="2005"/>
      <c r="E90" s="2006"/>
      <c r="F90" s="2007"/>
      <c r="G90" s="2008"/>
      <c r="H90" s="2008"/>
      <c r="I90" s="2008"/>
      <c r="J90" s="2008"/>
      <c r="K90" s="2008"/>
      <c r="L90" s="2009"/>
      <c r="M90" s="1133" t="str">
        <f t="shared" si="3"/>
        <v/>
      </c>
      <c r="N90" s="1134"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
      <c r="A91" s="39"/>
      <c r="B91" s="2003"/>
      <c r="C91" s="2004"/>
      <c r="D91" s="2005"/>
      <c r="E91" s="2006"/>
      <c r="F91" s="2007"/>
      <c r="G91" s="2008"/>
      <c r="H91" s="2008"/>
      <c r="I91" s="2008"/>
      <c r="J91" s="2008"/>
      <c r="K91" s="2008"/>
      <c r="L91" s="2009"/>
      <c r="M91" s="1133" t="str">
        <f t="shared" si="3"/>
        <v/>
      </c>
      <c r="N91" s="1134"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
      <c r="A92" s="39"/>
      <c r="B92" s="2003"/>
      <c r="C92" s="2004"/>
      <c r="D92" s="2005"/>
      <c r="E92" s="2006"/>
      <c r="F92" s="2007"/>
      <c r="G92" s="2008"/>
      <c r="H92" s="2008"/>
      <c r="I92" s="2008"/>
      <c r="J92" s="2008"/>
      <c r="K92" s="2008"/>
      <c r="L92" s="2009"/>
      <c r="M92" s="1133" t="str">
        <f t="shared" si="3"/>
        <v/>
      </c>
      <c r="N92" s="1134"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
      <c r="A93" s="39"/>
      <c r="B93" s="2003"/>
      <c r="C93" s="2004"/>
      <c r="D93" s="2005"/>
      <c r="E93" s="2006"/>
      <c r="F93" s="2007"/>
      <c r="G93" s="2008"/>
      <c r="H93" s="2008"/>
      <c r="I93" s="2008"/>
      <c r="J93" s="2008"/>
      <c r="K93" s="2008"/>
      <c r="L93" s="2009"/>
      <c r="M93" s="1133" t="str">
        <f t="shared" si="3"/>
        <v/>
      </c>
      <c r="N93" s="1134"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
      <c r="A94" s="39"/>
      <c r="B94" s="2003"/>
      <c r="C94" s="2004"/>
      <c r="D94" s="2005"/>
      <c r="E94" s="2006"/>
      <c r="F94" s="2007"/>
      <c r="G94" s="2008"/>
      <c r="H94" s="2008"/>
      <c r="I94" s="2008"/>
      <c r="J94" s="2008"/>
      <c r="K94" s="2008"/>
      <c r="L94" s="2009"/>
      <c r="M94" s="1133" t="str">
        <f t="shared" si="3"/>
        <v/>
      </c>
      <c r="N94" s="1134"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
      <c r="A95" s="39"/>
      <c r="B95" s="2003"/>
      <c r="C95" s="2004"/>
      <c r="D95" s="2005"/>
      <c r="E95" s="2006"/>
      <c r="F95" s="2007"/>
      <c r="G95" s="2008"/>
      <c r="H95" s="2008"/>
      <c r="I95" s="2008"/>
      <c r="J95" s="2008"/>
      <c r="K95" s="2008"/>
      <c r="L95" s="2009"/>
      <c r="M95" s="1133" t="str">
        <f t="shared" si="3"/>
        <v/>
      </c>
      <c r="N95" s="1134"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
      <c r="A96" s="39"/>
      <c r="B96" s="2003"/>
      <c r="C96" s="2004"/>
      <c r="D96" s="2005"/>
      <c r="E96" s="2006"/>
      <c r="F96" s="2007"/>
      <c r="G96" s="2008"/>
      <c r="H96" s="2008"/>
      <c r="I96" s="2008"/>
      <c r="J96" s="2008"/>
      <c r="K96" s="2008"/>
      <c r="L96" s="2009"/>
      <c r="M96" s="1133" t="str">
        <f t="shared" si="3"/>
        <v/>
      </c>
      <c r="N96" s="1134"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
      <c r="A97" s="39"/>
      <c r="B97" s="2003"/>
      <c r="C97" s="2004"/>
      <c r="D97" s="2005"/>
      <c r="E97" s="2006"/>
      <c r="F97" s="2007"/>
      <c r="G97" s="2008"/>
      <c r="H97" s="2008"/>
      <c r="I97" s="2008"/>
      <c r="J97" s="2008"/>
      <c r="K97" s="2008"/>
      <c r="L97" s="2009"/>
      <c r="M97" s="1133" t="str">
        <f t="shared" si="3"/>
        <v/>
      </c>
      <c r="N97" s="1134"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
      <c r="A98" s="39"/>
      <c r="B98" s="2003"/>
      <c r="C98" s="2004"/>
      <c r="D98" s="2005"/>
      <c r="E98" s="2006"/>
      <c r="F98" s="2007"/>
      <c r="G98" s="2008"/>
      <c r="H98" s="2008"/>
      <c r="I98" s="2008"/>
      <c r="J98" s="2008"/>
      <c r="K98" s="2008"/>
      <c r="L98" s="2009"/>
      <c r="M98" s="1133" t="str">
        <f t="shared" si="3"/>
        <v/>
      </c>
      <c r="N98" s="1134"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
      <c r="A99" s="39"/>
      <c r="B99" s="2003"/>
      <c r="C99" s="2004"/>
      <c r="D99" s="2005"/>
      <c r="E99" s="2006"/>
      <c r="F99" s="2007"/>
      <c r="G99" s="2008"/>
      <c r="H99" s="2008"/>
      <c r="I99" s="2008"/>
      <c r="J99" s="2008"/>
      <c r="K99" s="2008"/>
      <c r="L99" s="2009"/>
      <c r="M99" s="1133" t="str">
        <f t="shared" si="3"/>
        <v/>
      </c>
      <c r="N99" s="1134"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
      <c r="A100" s="39"/>
      <c r="B100" s="2003"/>
      <c r="C100" s="2004"/>
      <c r="D100" s="2005"/>
      <c r="E100" s="2006"/>
      <c r="F100" s="2007"/>
      <c r="G100" s="2008"/>
      <c r="H100" s="2008"/>
      <c r="I100" s="2008"/>
      <c r="J100" s="2008"/>
      <c r="K100" s="2008"/>
      <c r="L100" s="2009"/>
      <c r="M100" s="1133" t="str">
        <f t="shared" si="3"/>
        <v/>
      </c>
      <c r="N100" s="1134"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
      <c r="A101" s="39"/>
      <c r="B101" s="2003"/>
      <c r="C101" s="2004"/>
      <c r="D101" s="2005"/>
      <c r="E101" s="2006"/>
      <c r="F101" s="2007"/>
      <c r="G101" s="2008"/>
      <c r="H101" s="2008"/>
      <c r="I101" s="2008"/>
      <c r="J101" s="2008"/>
      <c r="K101" s="2008"/>
      <c r="L101" s="2009"/>
      <c r="M101" s="1133" t="str">
        <f t="shared" si="3"/>
        <v/>
      </c>
      <c r="N101" s="1134"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
      <c r="A102" s="39"/>
      <c r="B102" s="2003"/>
      <c r="C102" s="2004"/>
      <c r="D102" s="2005"/>
      <c r="E102" s="2006"/>
      <c r="F102" s="2007"/>
      <c r="G102" s="2008"/>
      <c r="H102" s="2008"/>
      <c r="I102" s="2008"/>
      <c r="J102" s="2008"/>
      <c r="K102" s="2008"/>
      <c r="L102" s="2009"/>
      <c r="M102" s="1133" t="str">
        <f t="shared" si="3"/>
        <v/>
      </c>
      <c r="N102" s="1134"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
      <c r="A103" s="39"/>
      <c r="B103" s="2003"/>
      <c r="C103" s="2004"/>
      <c r="D103" s="2005"/>
      <c r="E103" s="2006"/>
      <c r="F103" s="2007"/>
      <c r="G103" s="2008"/>
      <c r="H103" s="2008"/>
      <c r="I103" s="2008"/>
      <c r="J103" s="2008"/>
      <c r="K103" s="2008"/>
      <c r="L103" s="2009"/>
      <c r="M103" s="1133" t="str">
        <f t="shared" ref="M103:M166" si="5">UPPER(C103)</f>
        <v/>
      </c>
      <c r="N103" s="1134"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
      <c r="A104" s="39"/>
      <c r="B104" s="2003"/>
      <c r="C104" s="2004"/>
      <c r="D104" s="2005"/>
      <c r="E104" s="2006"/>
      <c r="F104" s="2007"/>
      <c r="G104" s="2008"/>
      <c r="H104" s="2008"/>
      <c r="I104" s="2008"/>
      <c r="J104" s="2008"/>
      <c r="K104" s="2008"/>
      <c r="L104" s="2009"/>
      <c r="M104" s="1133" t="str">
        <f t="shared" si="5"/>
        <v/>
      </c>
      <c r="N104" s="1134"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
      <c r="A105" s="39"/>
      <c r="B105" s="2003"/>
      <c r="C105" s="2004"/>
      <c r="D105" s="2005"/>
      <c r="E105" s="2006"/>
      <c r="F105" s="2007"/>
      <c r="G105" s="2008"/>
      <c r="H105" s="2008"/>
      <c r="I105" s="2008"/>
      <c r="J105" s="2008"/>
      <c r="K105" s="2008"/>
      <c r="L105" s="2009"/>
      <c r="M105" s="1133" t="str">
        <f t="shared" si="5"/>
        <v/>
      </c>
      <c r="N105" s="1134"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
      <c r="A106" s="39"/>
      <c r="B106" s="2003"/>
      <c r="C106" s="2004"/>
      <c r="D106" s="2005"/>
      <c r="E106" s="2006"/>
      <c r="F106" s="2007"/>
      <c r="G106" s="2008"/>
      <c r="H106" s="2008"/>
      <c r="I106" s="2008"/>
      <c r="J106" s="2008"/>
      <c r="K106" s="2008"/>
      <c r="L106" s="2009"/>
      <c r="M106" s="1133" t="str">
        <f t="shared" si="5"/>
        <v/>
      </c>
      <c r="N106" s="1134"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
      <c r="A107" s="39"/>
      <c r="B107" s="2003"/>
      <c r="C107" s="2004"/>
      <c r="D107" s="2005"/>
      <c r="E107" s="2006"/>
      <c r="F107" s="2007"/>
      <c r="G107" s="2008"/>
      <c r="H107" s="2008"/>
      <c r="I107" s="2008"/>
      <c r="J107" s="2008"/>
      <c r="K107" s="2008"/>
      <c r="L107" s="2009"/>
      <c r="M107" s="1133" t="str">
        <f t="shared" si="5"/>
        <v/>
      </c>
      <c r="N107" s="1134"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
      <c r="A108" s="39"/>
      <c r="B108" s="2003"/>
      <c r="C108" s="2004"/>
      <c r="D108" s="2005"/>
      <c r="E108" s="2006"/>
      <c r="F108" s="2007"/>
      <c r="G108" s="2008"/>
      <c r="H108" s="2008"/>
      <c r="I108" s="2008"/>
      <c r="J108" s="2008"/>
      <c r="K108" s="2008"/>
      <c r="L108" s="2009"/>
      <c r="M108" s="1133" t="str">
        <f t="shared" si="5"/>
        <v/>
      </c>
      <c r="N108" s="1134"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
      <c r="A109" s="39"/>
      <c r="B109" s="2003"/>
      <c r="C109" s="2004"/>
      <c r="D109" s="2005"/>
      <c r="E109" s="2006"/>
      <c r="F109" s="2007"/>
      <c r="G109" s="2008"/>
      <c r="H109" s="2008"/>
      <c r="I109" s="2008"/>
      <c r="J109" s="2008"/>
      <c r="K109" s="2008"/>
      <c r="L109" s="2009"/>
      <c r="M109" s="1133" t="str">
        <f t="shared" si="5"/>
        <v/>
      </c>
      <c r="N109" s="1134"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
      <c r="A110" s="39"/>
      <c r="B110" s="2003"/>
      <c r="C110" s="2004"/>
      <c r="D110" s="2005"/>
      <c r="E110" s="2006"/>
      <c r="F110" s="2007"/>
      <c r="G110" s="2008"/>
      <c r="H110" s="2008"/>
      <c r="I110" s="2008"/>
      <c r="J110" s="2008"/>
      <c r="K110" s="2008"/>
      <c r="L110" s="2009"/>
      <c r="M110" s="1133" t="str">
        <f t="shared" si="5"/>
        <v/>
      </c>
      <c r="N110" s="1134"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
      <c r="A111" s="39"/>
      <c r="B111" s="2003"/>
      <c r="C111" s="2004"/>
      <c r="D111" s="2005"/>
      <c r="E111" s="2006"/>
      <c r="F111" s="2007"/>
      <c r="G111" s="2008"/>
      <c r="H111" s="2008"/>
      <c r="I111" s="2008"/>
      <c r="J111" s="2008"/>
      <c r="K111" s="2008"/>
      <c r="L111" s="2009"/>
      <c r="M111" s="1133" t="str">
        <f t="shared" si="5"/>
        <v/>
      </c>
      <c r="N111" s="1134"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
      <c r="A112" s="39"/>
      <c r="B112" s="2003"/>
      <c r="C112" s="2004"/>
      <c r="D112" s="2005"/>
      <c r="E112" s="2006"/>
      <c r="F112" s="2007"/>
      <c r="G112" s="2008"/>
      <c r="H112" s="2008"/>
      <c r="I112" s="2008"/>
      <c r="J112" s="2008"/>
      <c r="K112" s="2008"/>
      <c r="L112" s="2009"/>
      <c r="M112" s="1133" t="str">
        <f t="shared" si="5"/>
        <v/>
      </c>
      <c r="N112" s="1134"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
      <c r="A113" s="39"/>
      <c r="B113" s="2003"/>
      <c r="C113" s="2004"/>
      <c r="D113" s="2005"/>
      <c r="E113" s="2006"/>
      <c r="F113" s="2007"/>
      <c r="G113" s="2008"/>
      <c r="H113" s="2008"/>
      <c r="I113" s="2008"/>
      <c r="J113" s="2008"/>
      <c r="K113" s="2008"/>
      <c r="L113" s="2009"/>
      <c r="M113" s="1133" t="str">
        <f t="shared" si="5"/>
        <v/>
      </c>
      <c r="N113" s="1134"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
      <c r="A114" s="39"/>
      <c r="B114" s="2003"/>
      <c r="C114" s="2004"/>
      <c r="D114" s="2005"/>
      <c r="E114" s="2006"/>
      <c r="F114" s="2007"/>
      <c r="G114" s="2008"/>
      <c r="H114" s="2008"/>
      <c r="I114" s="2008"/>
      <c r="J114" s="2008"/>
      <c r="K114" s="2008"/>
      <c r="L114" s="2009"/>
      <c r="M114" s="1133" t="str">
        <f t="shared" si="5"/>
        <v/>
      </c>
      <c r="N114" s="1134"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
      <c r="A115" s="39"/>
      <c r="B115" s="2003"/>
      <c r="C115" s="2004"/>
      <c r="D115" s="2005"/>
      <c r="E115" s="2006"/>
      <c r="F115" s="2007"/>
      <c r="G115" s="2008"/>
      <c r="H115" s="2008"/>
      <c r="I115" s="2008"/>
      <c r="J115" s="2008"/>
      <c r="K115" s="2008"/>
      <c r="L115" s="2009"/>
      <c r="M115" s="1133" t="str">
        <f t="shared" si="5"/>
        <v/>
      </c>
      <c r="N115" s="1134"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
      <c r="A116" s="39"/>
      <c r="B116" s="2003"/>
      <c r="C116" s="2004"/>
      <c r="D116" s="2005"/>
      <c r="E116" s="2006"/>
      <c r="F116" s="2007"/>
      <c r="G116" s="2008"/>
      <c r="H116" s="2008"/>
      <c r="I116" s="2008"/>
      <c r="J116" s="2008"/>
      <c r="K116" s="2008"/>
      <c r="L116" s="2009"/>
      <c r="M116" s="1133" t="str">
        <f t="shared" si="5"/>
        <v/>
      </c>
      <c r="N116" s="1134"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
      <c r="A117" s="39"/>
      <c r="B117" s="2003"/>
      <c r="C117" s="2004"/>
      <c r="D117" s="2005"/>
      <c r="E117" s="2006"/>
      <c r="F117" s="2007"/>
      <c r="G117" s="2008"/>
      <c r="H117" s="2008"/>
      <c r="I117" s="2008"/>
      <c r="J117" s="2008"/>
      <c r="K117" s="2008"/>
      <c r="L117" s="2009"/>
      <c r="M117" s="1133" t="str">
        <f t="shared" si="5"/>
        <v/>
      </c>
      <c r="N117" s="1134"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
      <c r="A118" s="39"/>
      <c r="B118" s="2003"/>
      <c r="C118" s="2004"/>
      <c r="D118" s="2005"/>
      <c r="E118" s="2006"/>
      <c r="F118" s="2007"/>
      <c r="G118" s="2008"/>
      <c r="H118" s="2008"/>
      <c r="I118" s="2008"/>
      <c r="J118" s="2008"/>
      <c r="K118" s="2008"/>
      <c r="L118" s="2009"/>
      <c r="M118" s="1133" t="str">
        <f t="shared" si="5"/>
        <v/>
      </c>
      <c r="N118" s="1134"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
      <c r="A119" s="39"/>
      <c r="B119" s="2003"/>
      <c r="C119" s="2004"/>
      <c r="D119" s="2005"/>
      <c r="E119" s="2006"/>
      <c r="F119" s="2007"/>
      <c r="G119" s="2008"/>
      <c r="H119" s="2008"/>
      <c r="I119" s="2008"/>
      <c r="J119" s="2008"/>
      <c r="K119" s="2008"/>
      <c r="L119" s="2009"/>
      <c r="M119" s="1133" t="str">
        <f t="shared" si="5"/>
        <v/>
      </c>
      <c r="N119" s="1134"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
      <c r="A120" s="39"/>
      <c r="B120" s="2003"/>
      <c r="C120" s="2004"/>
      <c r="D120" s="2005"/>
      <c r="E120" s="2006"/>
      <c r="F120" s="2007"/>
      <c r="G120" s="2008"/>
      <c r="H120" s="2008"/>
      <c r="I120" s="2008"/>
      <c r="J120" s="2008"/>
      <c r="K120" s="2008"/>
      <c r="L120" s="2009"/>
      <c r="M120" s="1133" t="str">
        <f t="shared" si="5"/>
        <v/>
      </c>
      <c r="N120" s="1134"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
      <c r="A121" s="39"/>
      <c r="B121" s="2003"/>
      <c r="C121" s="2004"/>
      <c r="D121" s="2005"/>
      <c r="E121" s="2006"/>
      <c r="F121" s="2007"/>
      <c r="G121" s="2008"/>
      <c r="H121" s="2008"/>
      <c r="I121" s="2008"/>
      <c r="J121" s="2008"/>
      <c r="K121" s="2008"/>
      <c r="L121" s="2009"/>
      <c r="M121" s="1133" t="str">
        <f t="shared" si="5"/>
        <v/>
      </c>
      <c r="N121" s="1134"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
      <c r="A122" s="39"/>
      <c r="B122" s="2003"/>
      <c r="C122" s="2004"/>
      <c r="D122" s="2005"/>
      <c r="E122" s="2006"/>
      <c r="F122" s="2007"/>
      <c r="G122" s="2008"/>
      <c r="H122" s="2008"/>
      <c r="I122" s="2008"/>
      <c r="J122" s="2008"/>
      <c r="K122" s="2008"/>
      <c r="L122" s="2009"/>
      <c r="M122" s="1133" t="str">
        <f t="shared" si="5"/>
        <v/>
      </c>
      <c r="N122" s="1134"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
      <c r="A123" s="39"/>
      <c r="B123" s="2003"/>
      <c r="C123" s="2004"/>
      <c r="D123" s="2005"/>
      <c r="E123" s="2006"/>
      <c r="F123" s="2007"/>
      <c r="G123" s="2008"/>
      <c r="H123" s="2008"/>
      <c r="I123" s="2008"/>
      <c r="J123" s="2008"/>
      <c r="K123" s="2008"/>
      <c r="L123" s="2009"/>
      <c r="M123" s="1133" t="str">
        <f t="shared" si="5"/>
        <v/>
      </c>
      <c r="N123" s="1134"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
      <c r="A124" s="39"/>
      <c r="B124" s="2003"/>
      <c r="C124" s="2004"/>
      <c r="D124" s="2005"/>
      <c r="E124" s="2006"/>
      <c r="F124" s="2007"/>
      <c r="G124" s="2008"/>
      <c r="H124" s="2008"/>
      <c r="I124" s="2008"/>
      <c r="J124" s="2008"/>
      <c r="K124" s="2008"/>
      <c r="L124" s="2009"/>
      <c r="M124" s="1133" t="str">
        <f t="shared" si="5"/>
        <v/>
      </c>
      <c r="N124" s="1134"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
      <c r="A125" s="39"/>
      <c r="B125" s="2003"/>
      <c r="C125" s="2004"/>
      <c r="D125" s="2005"/>
      <c r="E125" s="2006"/>
      <c r="F125" s="2007"/>
      <c r="G125" s="2008"/>
      <c r="H125" s="2008"/>
      <c r="I125" s="2008"/>
      <c r="J125" s="2008"/>
      <c r="K125" s="2008"/>
      <c r="L125" s="2009"/>
      <c r="M125" s="1133" t="str">
        <f t="shared" si="5"/>
        <v/>
      </c>
      <c r="N125" s="1134"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
      <c r="A126" s="39"/>
      <c r="B126" s="2003"/>
      <c r="C126" s="2004"/>
      <c r="D126" s="2005"/>
      <c r="E126" s="2006"/>
      <c r="F126" s="2007"/>
      <c r="G126" s="2008"/>
      <c r="H126" s="2008"/>
      <c r="I126" s="2008"/>
      <c r="J126" s="2008"/>
      <c r="K126" s="2008"/>
      <c r="L126" s="2009"/>
      <c r="M126" s="1133" t="str">
        <f t="shared" si="5"/>
        <v/>
      </c>
      <c r="N126" s="1134"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
      <c r="A127" s="39"/>
      <c r="B127" s="2003"/>
      <c r="C127" s="2004"/>
      <c r="D127" s="2005"/>
      <c r="E127" s="2006"/>
      <c r="F127" s="2007"/>
      <c r="G127" s="2008"/>
      <c r="H127" s="2008"/>
      <c r="I127" s="2008"/>
      <c r="J127" s="2008"/>
      <c r="K127" s="2008"/>
      <c r="L127" s="2009"/>
      <c r="M127" s="1133" t="str">
        <f t="shared" si="5"/>
        <v/>
      </c>
      <c r="N127" s="1134"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
      <c r="A128" s="39"/>
      <c r="B128" s="2003"/>
      <c r="C128" s="2004"/>
      <c r="D128" s="2005"/>
      <c r="E128" s="2006"/>
      <c r="F128" s="2007"/>
      <c r="G128" s="2008"/>
      <c r="H128" s="2008"/>
      <c r="I128" s="2008"/>
      <c r="J128" s="2008"/>
      <c r="K128" s="2008"/>
      <c r="L128" s="2009"/>
      <c r="M128" s="1133" t="str">
        <f t="shared" si="5"/>
        <v/>
      </c>
      <c r="N128" s="1134"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
      <c r="A129" s="39"/>
      <c r="B129" s="2003"/>
      <c r="C129" s="2004"/>
      <c r="D129" s="2005"/>
      <c r="E129" s="2006"/>
      <c r="F129" s="2007"/>
      <c r="G129" s="2008"/>
      <c r="H129" s="2008"/>
      <c r="I129" s="2008"/>
      <c r="J129" s="2008"/>
      <c r="K129" s="2008"/>
      <c r="L129" s="2009"/>
      <c r="M129" s="1133" t="str">
        <f t="shared" si="5"/>
        <v/>
      </c>
      <c r="N129" s="1134"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
      <c r="A130" s="39"/>
      <c r="B130" s="2003"/>
      <c r="C130" s="2004"/>
      <c r="D130" s="2005"/>
      <c r="E130" s="2006"/>
      <c r="F130" s="2007"/>
      <c r="G130" s="2008"/>
      <c r="H130" s="2008"/>
      <c r="I130" s="2008"/>
      <c r="J130" s="2008"/>
      <c r="K130" s="2008"/>
      <c r="L130" s="2009"/>
      <c r="M130" s="1133" t="str">
        <f t="shared" si="5"/>
        <v/>
      </c>
      <c r="N130" s="1134"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
      <c r="A131" s="39"/>
      <c r="B131" s="2003"/>
      <c r="C131" s="2004"/>
      <c r="D131" s="2005"/>
      <c r="E131" s="2006"/>
      <c r="F131" s="2007"/>
      <c r="G131" s="2008"/>
      <c r="H131" s="2008"/>
      <c r="I131" s="2008"/>
      <c r="J131" s="2008"/>
      <c r="K131" s="2008"/>
      <c r="L131" s="2009"/>
      <c r="M131" s="1133" t="str">
        <f t="shared" si="5"/>
        <v/>
      </c>
      <c r="N131" s="1134"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
      <c r="A132" s="39"/>
      <c r="B132" s="2003"/>
      <c r="C132" s="2004"/>
      <c r="D132" s="2005"/>
      <c r="E132" s="2006"/>
      <c r="F132" s="2007"/>
      <c r="G132" s="2008"/>
      <c r="H132" s="2008"/>
      <c r="I132" s="2008"/>
      <c r="J132" s="2008"/>
      <c r="K132" s="2008"/>
      <c r="L132" s="2009"/>
      <c r="M132" s="1133" t="str">
        <f t="shared" si="5"/>
        <v/>
      </c>
      <c r="N132" s="1134"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
      <c r="A133" s="39"/>
      <c r="B133" s="2003"/>
      <c r="C133" s="2004"/>
      <c r="D133" s="2005"/>
      <c r="E133" s="2006"/>
      <c r="F133" s="2007"/>
      <c r="G133" s="2008"/>
      <c r="H133" s="2008"/>
      <c r="I133" s="2008"/>
      <c r="J133" s="2008"/>
      <c r="K133" s="2008"/>
      <c r="L133" s="2009"/>
      <c r="M133" s="1133" t="str">
        <f t="shared" si="5"/>
        <v/>
      </c>
      <c r="N133" s="1134"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
      <c r="A134" s="39"/>
      <c r="B134" s="2003"/>
      <c r="C134" s="2004"/>
      <c r="D134" s="2005"/>
      <c r="E134" s="2006"/>
      <c r="F134" s="2007"/>
      <c r="G134" s="2008"/>
      <c r="H134" s="2008"/>
      <c r="I134" s="2008"/>
      <c r="J134" s="2008"/>
      <c r="K134" s="2008"/>
      <c r="L134" s="2009"/>
      <c r="M134" s="1133" t="str">
        <f t="shared" si="5"/>
        <v/>
      </c>
      <c r="N134" s="1134"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
      <c r="A135" s="39"/>
      <c r="B135" s="2003"/>
      <c r="C135" s="2004"/>
      <c r="D135" s="2005"/>
      <c r="E135" s="2006"/>
      <c r="F135" s="2007"/>
      <c r="G135" s="2008"/>
      <c r="H135" s="2008"/>
      <c r="I135" s="2008"/>
      <c r="J135" s="2008"/>
      <c r="K135" s="2008"/>
      <c r="L135" s="2009"/>
      <c r="M135" s="1133" t="str">
        <f t="shared" si="5"/>
        <v/>
      </c>
      <c r="N135" s="1134"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
      <c r="A136" s="39"/>
      <c r="B136" s="2003"/>
      <c r="C136" s="2004"/>
      <c r="D136" s="2005"/>
      <c r="E136" s="2006"/>
      <c r="F136" s="2007"/>
      <c r="G136" s="2008"/>
      <c r="H136" s="2008"/>
      <c r="I136" s="2008"/>
      <c r="J136" s="2008"/>
      <c r="K136" s="2008"/>
      <c r="L136" s="2009"/>
      <c r="M136" s="1133" t="str">
        <f t="shared" si="5"/>
        <v/>
      </c>
      <c r="N136" s="1134"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
      <c r="A137" s="39"/>
      <c r="B137" s="2003"/>
      <c r="C137" s="2004"/>
      <c r="D137" s="2005"/>
      <c r="E137" s="2006"/>
      <c r="F137" s="2007"/>
      <c r="G137" s="2008"/>
      <c r="H137" s="2008"/>
      <c r="I137" s="2008"/>
      <c r="J137" s="2008"/>
      <c r="K137" s="2008"/>
      <c r="L137" s="2009"/>
      <c r="M137" s="1133" t="str">
        <f t="shared" si="5"/>
        <v/>
      </c>
      <c r="N137" s="1134"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
      <c r="A138" s="39"/>
      <c r="B138" s="2003"/>
      <c r="C138" s="2004"/>
      <c r="D138" s="2005"/>
      <c r="E138" s="2006"/>
      <c r="F138" s="2007"/>
      <c r="G138" s="2008"/>
      <c r="H138" s="2008"/>
      <c r="I138" s="2008"/>
      <c r="J138" s="2008"/>
      <c r="K138" s="2008"/>
      <c r="L138" s="2009"/>
      <c r="M138" s="1133" t="str">
        <f t="shared" si="5"/>
        <v/>
      </c>
      <c r="N138" s="1134"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
      <c r="A139" s="39"/>
      <c r="B139" s="2003"/>
      <c r="C139" s="2004"/>
      <c r="D139" s="2005"/>
      <c r="E139" s="2006"/>
      <c r="F139" s="2007"/>
      <c r="G139" s="2008"/>
      <c r="H139" s="2008"/>
      <c r="I139" s="2008"/>
      <c r="J139" s="2008"/>
      <c r="K139" s="2008"/>
      <c r="L139" s="2009"/>
      <c r="M139" s="1133" t="str">
        <f t="shared" si="5"/>
        <v/>
      </c>
      <c r="N139" s="1134"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
      <c r="A140" s="39"/>
      <c r="B140" s="2003"/>
      <c r="C140" s="2004"/>
      <c r="D140" s="2005"/>
      <c r="E140" s="2006"/>
      <c r="F140" s="2007"/>
      <c r="G140" s="2008"/>
      <c r="H140" s="2008"/>
      <c r="I140" s="2008"/>
      <c r="J140" s="2008"/>
      <c r="K140" s="2008"/>
      <c r="L140" s="2009"/>
      <c r="M140" s="1133" t="str">
        <f t="shared" si="5"/>
        <v/>
      </c>
      <c r="N140" s="1134"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
      <c r="A141" s="39"/>
      <c r="B141" s="2003"/>
      <c r="C141" s="2004"/>
      <c r="D141" s="2005"/>
      <c r="E141" s="2006"/>
      <c r="F141" s="2007"/>
      <c r="G141" s="2008"/>
      <c r="H141" s="2008"/>
      <c r="I141" s="2008"/>
      <c r="J141" s="2008"/>
      <c r="K141" s="2008"/>
      <c r="L141" s="2009"/>
      <c r="M141" s="1133" t="str">
        <f t="shared" si="5"/>
        <v/>
      </c>
      <c r="N141" s="1134"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
      <c r="A142" s="39"/>
      <c r="B142" s="2003"/>
      <c r="C142" s="2004"/>
      <c r="D142" s="2005"/>
      <c r="E142" s="2006"/>
      <c r="F142" s="2007"/>
      <c r="G142" s="2008"/>
      <c r="H142" s="2008"/>
      <c r="I142" s="2008"/>
      <c r="J142" s="2008"/>
      <c r="K142" s="2008"/>
      <c r="L142" s="2009"/>
      <c r="M142" s="1133" t="str">
        <f t="shared" si="5"/>
        <v/>
      </c>
      <c r="N142" s="1134"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
      <c r="A143" s="39"/>
      <c r="B143" s="2003"/>
      <c r="C143" s="2004"/>
      <c r="D143" s="2005"/>
      <c r="E143" s="2006"/>
      <c r="F143" s="2007"/>
      <c r="G143" s="2008"/>
      <c r="H143" s="2008"/>
      <c r="I143" s="2008"/>
      <c r="J143" s="2008"/>
      <c r="K143" s="2008"/>
      <c r="L143" s="2009"/>
      <c r="M143" s="1133" t="str">
        <f t="shared" si="5"/>
        <v/>
      </c>
      <c r="N143" s="1134"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
      <c r="A144" s="39"/>
      <c r="B144" s="2003"/>
      <c r="C144" s="2004"/>
      <c r="D144" s="2005"/>
      <c r="E144" s="2006"/>
      <c r="F144" s="2007"/>
      <c r="G144" s="2008"/>
      <c r="H144" s="2008"/>
      <c r="I144" s="2008"/>
      <c r="J144" s="2008"/>
      <c r="K144" s="2008"/>
      <c r="L144" s="2009"/>
      <c r="M144" s="1133" t="str">
        <f t="shared" si="5"/>
        <v/>
      </c>
      <c r="N144" s="1134"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
      <c r="A145" s="39"/>
      <c r="B145" s="2003"/>
      <c r="C145" s="2004"/>
      <c r="D145" s="2005"/>
      <c r="E145" s="2006"/>
      <c r="F145" s="2007"/>
      <c r="G145" s="2008"/>
      <c r="H145" s="2008"/>
      <c r="I145" s="2008"/>
      <c r="J145" s="2008"/>
      <c r="K145" s="2008"/>
      <c r="L145" s="2009"/>
      <c r="M145" s="1133" t="str">
        <f t="shared" si="5"/>
        <v/>
      </c>
      <c r="N145" s="1134"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
      <c r="A146" s="39"/>
      <c r="B146" s="2003"/>
      <c r="C146" s="2004"/>
      <c r="D146" s="2005"/>
      <c r="E146" s="2006"/>
      <c r="F146" s="2007"/>
      <c r="G146" s="2008"/>
      <c r="H146" s="2008"/>
      <c r="I146" s="2008"/>
      <c r="J146" s="2008"/>
      <c r="K146" s="2008"/>
      <c r="L146" s="2009"/>
      <c r="M146" s="1133" t="str">
        <f t="shared" si="5"/>
        <v/>
      </c>
      <c r="N146" s="1134"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
      <c r="A147" s="39"/>
      <c r="B147" s="2003"/>
      <c r="C147" s="2004"/>
      <c r="D147" s="2005"/>
      <c r="E147" s="2006"/>
      <c r="F147" s="2007"/>
      <c r="G147" s="2008"/>
      <c r="H147" s="2008"/>
      <c r="I147" s="2008"/>
      <c r="J147" s="2008"/>
      <c r="K147" s="2008"/>
      <c r="L147" s="2009"/>
      <c r="M147" s="1133" t="str">
        <f t="shared" si="5"/>
        <v/>
      </c>
      <c r="N147" s="1134"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
      <c r="A148" s="39"/>
      <c r="B148" s="2003"/>
      <c r="C148" s="2004"/>
      <c r="D148" s="2005"/>
      <c r="E148" s="2006"/>
      <c r="F148" s="2007"/>
      <c r="G148" s="2008"/>
      <c r="H148" s="2008"/>
      <c r="I148" s="2008"/>
      <c r="J148" s="2008"/>
      <c r="K148" s="2008"/>
      <c r="L148" s="2009"/>
      <c r="M148" s="1133" t="str">
        <f t="shared" si="5"/>
        <v/>
      </c>
      <c r="N148" s="1134"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
      <c r="A149" s="39"/>
      <c r="B149" s="2003"/>
      <c r="C149" s="2004"/>
      <c r="D149" s="2005"/>
      <c r="E149" s="2006"/>
      <c r="F149" s="2007"/>
      <c r="G149" s="2008"/>
      <c r="H149" s="2008"/>
      <c r="I149" s="2008"/>
      <c r="J149" s="2008"/>
      <c r="K149" s="2008"/>
      <c r="L149" s="2009"/>
      <c r="M149" s="1133" t="str">
        <f t="shared" si="5"/>
        <v/>
      </c>
      <c r="N149" s="1134"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
      <c r="A150" s="39"/>
      <c r="B150" s="2003"/>
      <c r="C150" s="2004"/>
      <c r="D150" s="2005"/>
      <c r="E150" s="2006"/>
      <c r="F150" s="2007"/>
      <c r="G150" s="2008"/>
      <c r="H150" s="2008"/>
      <c r="I150" s="2008"/>
      <c r="J150" s="2008"/>
      <c r="K150" s="2008"/>
      <c r="L150" s="2009"/>
      <c r="M150" s="1133" t="str">
        <f t="shared" si="5"/>
        <v/>
      </c>
      <c r="N150" s="1134"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
      <c r="A151" s="39"/>
      <c r="B151" s="2003"/>
      <c r="C151" s="2004"/>
      <c r="D151" s="2005"/>
      <c r="E151" s="2006"/>
      <c r="F151" s="2007"/>
      <c r="G151" s="2008"/>
      <c r="H151" s="2008"/>
      <c r="I151" s="2008"/>
      <c r="J151" s="2008"/>
      <c r="K151" s="2008"/>
      <c r="L151" s="2009"/>
      <c r="M151" s="1133" t="str">
        <f t="shared" si="5"/>
        <v/>
      </c>
      <c r="N151" s="1134"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
      <c r="A152" s="39"/>
      <c r="B152" s="2003"/>
      <c r="C152" s="2004"/>
      <c r="D152" s="2005"/>
      <c r="E152" s="2006"/>
      <c r="F152" s="2007"/>
      <c r="G152" s="2008"/>
      <c r="H152" s="2008"/>
      <c r="I152" s="2008"/>
      <c r="J152" s="2008"/>
      <c r="K152" s="2008"/>
      <c r="L152" s="2009"/>
      <c r="M152" s="1133" t="str">
        <f t="shared" si="5"/>
        <v/>
      </c>
      <c r="N152" s="1134"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
      <c r="A153" s="39"/>
      <c r="B153" s="2003"/>
      <c r="C153" s="2004"/>
      <c r="D153" s="2005"/>
      <c r="E153" s="2006"/>
      <c r="F153" s="2007"/>
      <c r="G153" s="2008"/>
      <c r="H153" s="2008"/>
      <c r="I153" s="2008"/>
      <c r="J153" s="2008"/>
      <c r="K153" s="2008"/>
      <c r="L153" s="2009"/>
      <c r="M153" s="1133" t="str">
        <f t="shared" si="5"/>
        <v/>
      </c>
      <c r="N153" s="1134"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
      <c r="A154" s="39"/>
      <c r="B154" s="2003"/>
      <c r="C154" s="2004"/>
      <c r="D154" s="2005"/>
      <c r="E154" s="2006"/>
      <c r="F154" s="2007"/>
      <c r="G154" s="2008"/>
      <c r="H154" s="2008"/>
      <c r="I154" s="2008"/>
      <c r="J154" s="2008"/>
      <c r="K154" s="2008"/>
      <c r="L154" s="2009"/>
      <c r="M154" s="1133" t="str">
        <f t="shared" si="5"/>
        <v/>
      </c>
      <c r="N154" s="1134"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
      <c r="A155" s="39"/>
      <c r="B155" s="2003"/>
      <c r="C155" s="2004"/>
      <c r="D155" s="2005"/>
      <c r="E155" s="2006"/>
      <c r="F155" s="2007"/>
      <c r="G155" s="2008"/>
      <c r="H155" s="2008"/>
      <c r="I155" s="2008"/>
      <c r="J155" s="2008"/>
      <c r="K155" s="2008"/>
      <c r="L155" s="2009"/>
      <c r="M155" s="1133" t="str">
        <f t="shared" si="5"/>
        <v/>
      </c>
      <c r="N155" s="1134"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
      <c r="A156" s="39"/>
      <c r="B156" s="2003"/>
      <c r="C156" s="2004"/>
      <c r="D156" s="2005"/>
      <c r="E156" s="2006"/>
      <c r="F156" s="2007"/>
      <c r="G156" s="2008"/>
      <c r="H156" s="2008"/>
      <c r="I156" s="2008"/>
      <c r="J156" s="2008"/>
      <c r="K156" s="2008"/>
      <c r="L156" s="2009"/>
      <c r="M156" s="1133" t="str">
        <f t="shared" si="5"/>
        <v/>
      </c>
      <c r="N156" s="1134"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
      <c r="A157" s="39"/>
      <c r="B157" s="2003"/>
      <c r="C157" s="2004"/>
      <c r="D157" s="2005"/>
      <c r="E157" s="2006"/>
      <c r="F157" s="2007"/>
      <c r="G157" s="2008"/>
      <c r="H157" s="2008"/>
      <c r="I157" s="2008"/>
      <c r="J157" s="2008"/>
      <c r="K157" s="2008"/>
      <c r="L157" s="2009"/>
      <c r="M157" s="1133" t="str">
        <f t="shared" si="5"/>
        <v/>
      </c>
      <c r="N157" s="1134"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
      <c r="A158" s="39"/>
      <c r="B158" s="2003"/>
      <c r="C158" s="2004"/>
      <c r="D158" s="2005"/>
      <c r="E158" s="2006"/>
      <c r="F158" s="2007"/>
      <c r="G158" s="2008"/>
      <c r="H158" s="2008"/>
      <c r="I158" s="2008"/>
      <c r="J158" s="2008"/>
      <c r="K158" s="2008"/>
      <c r="L158" s="2009"/>
      <c r="M158" s="1133" t="str">
        <f t="shared" si="5"/>
        <v/>
      </c>
      <c r="N158" s="1134"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
      <c r="A159" s="39"/>
      <c r="B159" s="2003"/>
      <c r="C159" s="2004"/>
      <c r="D159" s="2005"/>
      <c r="E159" s="2006"/>
      <c r="F159" s="2007"/>
      <c r="G159" s="2008"/>
      <c r="H159" s="2008"/>
      <c r="I159" s="2008"/>
      <c r="J159" s="2008"/>
      <c r="K159" s="2008"/>
      <c r="L159" s="2009"/>
      <c r="M159" s="1133" t="str">
        <f t="shared" si="5"/>
        <v/>
      </c>
      <c r="N159" s="1134"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
      <c r="A160" s="39"/>
      <c r="B160" s="2003"/>
      <c r="C160" s="2004"/>
      <c r="D160" s="2005"/>
      <c r="E160" s="2006"/>
      <c r="F160" s="2007"/>
      <c r="G160" s="2008"/>
      <c r="H160" s="2008"/>
      <c r="I160" s="2008"/>
      <c r="J160" s="2008"/>
      <c r="K160" s="2008"/>
      <c r="L160" s="2009"/>
      <c r="M160" s="1133" t="str">
        <f t="shared" si="5"/>
        <v/>
      </c>
      <c r="N160" s="1134"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
      <c r="A161" s="39"/>
      <c r="B161" s="2003"/>
      <c r="C161" s="2004"/>
      <c r="D161" s="2005"/>
      <c r="E161" s="2006"/>
      <c r="F161" s="2007"/>
      <c r="G161" s="2008"/>
      <c r="H161" s="2008"/>
      <c r="I161" s="2008"/>
      <c r="J161" s="2008"/>
      <c r="K161" s="2008"/>
      <c r="L161" s="2009"/>
      <c r="M161" s="1133" t="str">
        <f t="shared" si="5"/>
        <v/>
      </c>
      <c r="N161" s="1134"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
      <c r="A162" s="39"/>
      <c r="B162" s="2003"/>
      <c r="C162" s="2004"/>
      <c r="D162" s="2005"/>
      <c r="E162" s="2006"/>
      <c r="F162" s="2007"/>
      <c r="G162" s="2008"/>
      <c r="H162" s="2008"/>
      <c r="I162" s="2008"/>
      <c r="J162" s="2008"/>
      <c r="K162" s="2008"/>
      <c r="L162" s="2009"/>
      <c r="M162" s="1133" t="str">
        <f t="shared" si="5"/>
        <v/>
      </c>
      <c r="N162" s="1134"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
      <c r="A163" s="39"/>
      <c r="B163" s="2003"/>
      <c r="C163" s="2004"/>
      <c r="D163" s="2005"/>
      <c r="E163" s="2006"/>
      <c r="F163" s="2007"/>
      <c r="G163" s="2008"/>
      <c r="H163" s="2008"/>
      <c r="I163" s="2008"/>
      <c r="J163" s="2008"/>
      <c r="K163" s="2008"/>
      <c r="L163" s="2009"/>
      <c r="M163" s="1133" t="str">
        <f t="shared" si="5"/>
        <v/>
      </c>
      <c r="N163" s="1134"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
      <c r="A164" s="39"/>
      <c r="B164" s="2003"/>
      <c r="C164" s="2004"/>
      <c r="D164" s="2005"/>
      <c r="E164" s="2006"/>
      <c r="F164" s="2007"/>
      <c r="G164" s="2008"/>
      <c r="H164" s="2008"/>
      <c r="I164" s="2008"/>
      <c r="J164" s="2008"/>
      <c r="K164" s="2008"/>
      <c r="L164" s="2009"/>
      <c r="M164" s="1133" t="str">
        <f t="shared" si="5"/>
        <v/>
      </c>
      <c r="N164" s="1134"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
      <c r="A165" s="39"/>
      <c r="B165" s="2003"/>
      <c r="C165" s="2004"/>
      <c r="D165" s="2005"/>
      <c r="E165" s="2006"/>
      <c r="F165" s="2007"/>
      <c r="G165" s="2008"/>
      <c r="H165" s="2008"/>
      <c r="I165" s="2008"/>
      <c r="J165" s="2008"/>
      <c r="K165" s="2008"/>
      <c r="L165" s="2009"/>
      <c r="M165" s="1133" t="str">
        <f t="shared" si="5"/>
        <v/>
      </c>
      <c r="N165" s="1134"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
      <c r="A166" s="39"/>
      <c r="B166" s="2003"/>
      <c r="C166" s="2004"/>
      <c r="D166" s="2005"/>
      <c r="E166" s="2006"/>
      <c r="F166" s="2007"/>
      <c r="G166" s="2008"/>
      <c r="H166" s="2008"/>
      <c r="I166" s="2008"/>
      <c r="J166" s="2008"/>
      <c r="K166" s="2008"/>
      <c r="L166" s="2009"/>
      <c r="M166" s="1133" t="str">
        <f t="shared" si="5"/>
        <v/>
      </c>
      <c r="N166" s="1134"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
      <c r="A167" s="39"/>
      <c r="B167" s="2003"/>
      <c r="C167" s="2004"/>
      <c r="D167" s="2005"/>
      <c r="E167" s="2006"/>
      <c r="F167" s="2007"/>
      <c r="G167" s="2008"/>
      <c r="H167" s="2008"/>
      <c r="I167" s="2008"/>
      <c r="J167" s="2008"/>
      <c r="K167" s="2008"/>
      <c r="L167" s="2009"/>
      <c r="M167" s="1133" t="str">
        <f t="shared" ref="M167:M230" si="7">UPPER(C167)</f>
        <v/>
      </c>
      <c r="N167" s="1134"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
      <c r="A168" s="39"/>
      <c r="B168" s="2003"/>
      <c r="C168" s="2004"/>
      <c r="D168" s="2005"/>
      <c r="E168" s="2006"/>
      <c r="F168" s="2007"/>
      <c r="G168" s="2008"/>
      <c r="H168" s="2008"/>
      <c r="I168" s="2008"/>
      <c r="J168" s="2008"/>
      <c r="K168" s="2008"/>
      <c r="L168" s="2009"/>
      <c r="M168" s="1133" t="str">
        <f t="shared" si="7"/>
        <v/>
      </c>
      <c r="N168" s="1134"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
      <c r="A169" s="39"/>
      <c r="B169" s="2003"/>
      <c r="C169" s="2004"/>
      <c r="D169" s="2005"/>
      <c r="E169" s="2006"/>
      <c r="F169" s="2007"/>
      <c r="G169" s="2008"/>
      <c r="H169" s="2008"/>
      <c r="I169" s="2008"/>
      <c r="J169" s="2008"/>
      <c r="K169" s="2008"/>
      <c r="L169" s="2009"/>
      <c r="M169" s="1133" t="str">
        <f t="shared" si="7"/>
        <v/>
      </c>
      <c r="N169" s="1134"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
      <c r="A170" s="39"/>
      <c r="B170" s="2003"/>
      <c r="C170" s="2004"/>
      <c r="D170" s="2005"/>
      <c r="E170" s="2006"/>
      <c r="F170" s="2007"/>
      <c r="G170" s="2008"/>
      <c r="H170" s="2008"/>
      <c r="I170" s="2008"/>
      <c r="J170" s="2008"/>
      <c r="K170" s="2008"/>
      <c r="L170" s="2009"/>
      <c r="M170" s="1133" t="str">
        <f t="shared" si="7"/>
        <v/>
      </c>
      <c r="N170" s="1134"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
      <c r="A171" s="39"/>
      <c r="B171" s="2003"/>
      <c r="C171" s="2004"/>
      <c r="D171" s="2005"/>
      <c r="E171" s="2006"/>
      <c r="F171" s="2007"/>
      <c r="G171" s="2008"/>
      <c r="H171" s="2008"/>
      <c r="I171" s="2008"/>
      <c r="J171" s="2008"/>
      <c r="K171" s="2008"/>
      <c r="L171" s="2009"/>
      <c r="M171" s="1133" t="str">
        <f t="shared" si="7"/>
        <v/>
      </c>
      <c r="N171" s="1134"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
      <c r="A172" s="39"/>
      <c r="B172" s="2003"/>
      <c r="C172" s="2004"/>
      <c r="D172" s="2005"/>
      <c r="E172" s="2006"/>
      <c r="F172" s="2007"/>
      <c r="G172" s="2008"/>
      <c r="H172" s="2008"/>
      <c r="I172" s="2008"/>
      <c r="J172" s="2008"/>
      <c r="K172" s="2008"/>
      <c r="L172" s="2009"/>
      <c r="M172" s="1133" t="str">
        <f t="shared" si="7"/>
        <v/>
      </c>
      <c r="N172" s="1134"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
      <c r="A173" s="39"/>
      <c r="B173" s="2003"/>
      <c r="C173" s="2004"/>
      <c r="D173" s="2005"/>
      <c r="E173" s="2006"/>
      <c r="F173" s="2007"/>
      <c r="G173" s="2008"/>
      <c r="H173" s="2008"/>
      <c r="I173" s="2008"/>
      <c r="J173" s="2008"/>
      <c r="K173" s="2008"/>
      <c r="L173" s="2009"/>
      <c r="M173" s="1133" t="str">
        <f t="shared" si="7"/>
        <v/>
      </c>
      <c r="N173" s="1134"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
      <c r="A174" s="39"/>
      <c r="B174" s="2003"/>
      <c r="C174" s="2004"/>
      <c r="D174" s="2005"/>
      <c r="E174" s="2006"/>
      <c r="F174" s="2007"/>
      <c r="G174" s="2008"/>
      <c r="H174" s="2008"/>
      <c r="I174" s="2008"/>
      <c r="J174" s="2008"/>
      <c r="K174" s="2008"/>
      <c r="L174" s="2009"/>
      <c r="M174" s="1133" t="str">
        <f t="shared" si="7"/>
        <v/>
      </c>
      <c r="N174" s="1134"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
      <c r="A175" s="39"/>
      <c r="B175" s="2003"/>
      <c r="C175" s="2004"/>
      <c r="D175" s="2005"/>
      <c r="E175" s="2006"/>
      <c r="F175" s="2007"/>
      <c r="G175" s="2008"/>
      <c r="H175" s="2008"/>
      <c r="I175" s="2008"/>
      <c r="J175" s="2008"/>
      <c r="K175" s="2008"/>
      <c r="L175" s="2009"/>
      <c r="M175" s="1133" t="str">
        <f t="shared" si="7"/>
        <v/>
      </c>
      <c r="N175" s="1134"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
      <c r="A176" s="39"/>
      <c r="B176" s="2003"/>
      <c r="C176" s="2004"/>
      <c r="D176" s="2005"/>
      <c r="E176" s="2006"/>
      <c r="F176" s="2007"/>
      <c r="G176" s="2008"/>
      <c r="H176" s="2008"/>
      <c r="I176" s="2008"/>
      <c r="J176" s="2008"/>
      <c r="K176" s="2008"/>
      <c r="L176" s="2009"/>
      <c r="M176" s="1133" t="str">
        <f t="shared" si="7"/>
        <v/>
      </c>
      <c r="N176" s="1134"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
      <c r="A177" s="39"/>
      <c r="B177" s="2003"/>
      <c r="C177" s="2004"/>
      <c r="D177" s="2005"/>
      <c r="E177" s="2006"/>
      <c r="F177" s="2007"/>
      <c r="G177" s="2008"/>
      <c r="H177" s="2008"/>
      <c r="I177" s="2008"/>
      <c r="J177" s="2008"/>
      <c r="K177" s="2008"/>
      <c r="L177" s="2009"/>
      <c r="M177" s="1133" t="str">
        <f t="shared" si="7"/>
        <v/>
      </c>
      <c r="N177" s="1134"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
      <c r="A178" s="39"/>
      <c r="B178" s="2003"/>
      <c r="C178" s="2004"/>
      <c r="D178" s="2005"/>
      <c r="E178" s="2006"/>
      <c r="F178" s="2007"/>
      <c r="G178" s="2008"/>
      <c r="H178" s="2008"/>
      <c r="I178" s="2008"/>
      <c r="J178" s="2008"/>
      <c r="K178" s="2008"/>
      <c r="L178" s="2009"/>
      <c r="M178" s="1133" t="str">
        <f t="shared" si="7"/>
        <v/>
      </c>
      <c r="N178" s="1134"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
      <c r="A179" s="39"/>
      <c r="B179" s="2003"/>
      <c r="C179" s="2004"/>
      <c r="D179" s="2005"/>
      <c r="E179" s="2006"/>
      <c r="F179" s="2007"/>
      <c r="G179" s="2008"/>
      <c r="H179" s="2008"/>
      <c r="I179" s="2008"/>
      <c r="J179" s="2008"/>
      <c r="K179" s="2008"/>
      <c r="L179" s="2009"/>
      <c r="M179" s="1133" t="str">
        <f t="shared" si="7"/>
        <v/>
      </c>
      <c r="N179" s="1134"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
      <c r="A180" s="39"/>
      <c r="B180" s="2003"/>
      <c r="C180" s="2004"/>
      <c r="D180" s="2005"/>
      <c r="E180" s="2006"/>
      <c r="F180" s="2007"/>
      <c r="G180" s="2008"/>
      <c r="H180" s="2008"/>
      <c r="I180" s="2008"/>
      <c r="J180" s="2008"/>
      <c r="K180" s="2008"/>
      <c r="L180" s="2009"/>
      <c r="M180" s="1133" t="str">
        <f t="shared" si="7"/>
        <v/>
      </c>
      <c r="N180" s="1134"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
      <c r="A181" s="39"/>
      <c r="B181" s="2003"/>
      <c r="C181" s="2004"/>
      <c r="D181" s="2005"/>
      <c r="E181" s="2006"/>
      <c r="F181" s="2007"/>
      <c r="G181" s="2008"/>
      <c r="H181" s="2008"/>
      <c r="I181" s="2008"/>
      <c r="J181" s="2008"/>
      <c r="K181" s="2008"/>
      <c r="L181" s="2009"/>
      <c r="M181" s="1133" t="str">
        <f t="shared" si="7"/>
        <v/>
      </c>
      <c r="N181" s="1134"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
      <c r="A182" s="39"/>
      <c r="B182" s="2003"/>
      <c r="C182" s="2004"/>
      <c r="D182" s="2005"/>
      <c r="E182" s="2006"/>
      <c r="F182" s="2007"/>
      <c r="G182" s="2008"/>
      <c r="H182" s="2008"/>
      <c r="I182" s="2008"/>
      <c r="J182" s="2008"/>
      <c r="K182" s="2008"/>
      <c r="L182" s="2009"/>
      <c r="M182" s="1133" t="str">
        <f t="shared" si="7"/>
        <v/>
      </c>
      <c r="N182" s="1134"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
      <c r="A183" s="39"/>
      <c r="B183" s="2003"/>
      <c r="C183" s="2004"/>
      <c r="D183" s="2005"/>
      <c r="E183" s="2006"/>
      <c r="F183" s="2007"/>
      <c r="G183" s="2008"/>
      <c r="H183" s="2008"/>
      <c r="I183" s="2008"/>
      <c r="J183" s="2008"/>
      <c r="K183" s="2008"/>
      <c r="L183" s="2009"/>
      <c r="M183" s="1133" t="str">
        <f t="shared" si="7"/>
        <v/>
      </c>
      <c r="N183" s="1134"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
      <c r="A184" s="39"/>
      <c r="B184" s="2003"/>
      <c r="C184" s="2004"/>
      <c r="D184" s="2005"/>
      <c r="E184" s="2006"/>
      <c r="F184" s="2007"/>
      <c r="G184" s="2008"/>
      <c r="H184" s="2008"/>
      <c r="I184" s="2008"/>
      <c r="J184" s="2008"/>
      <c r="K184" s="2008"/>
      <c r="L184" s="2009"/>
      <c r="M184" s="1133" t="str">
        <f t="shared" si="7"/>
        <v/>
      </c>
      <c r="N184" s="1134"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
      <c r="A185" s="39"/>
      <c r="B185" s="2003"/>
      <c r="C185" s="2004"/>
      <c r="D185" s="2005"/>
      <c r="E185" s="2006"/>
      <c r="F185" s="2007"/>
      <c r="G185" s="2008"/>
      <c r="H185" s="2008"/>
      <c r="I185" s="2008"/>
      <c r="J185" s="2008"/>
      <c r="K185" s="2008"/>
      <c r="L185" s="2009"/>
      <c r="M185" s="1133" t="str">
        <f t="shared" si="7"/>
        <v/>
      </c>
      <c r="N185" s="1134"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
      <c r="A186" s="39"/>
      <c r="B186" s="2003"/>
      <c r="C186" s="2004"/>
      <c r="D186" s="2005"/>
      <c r="E186" s="2006"/>
      <c r="F186" s="2007"/>
      <c r="G186" s="2008"/>
      <c r="H186" s="2008"/>
      <c r="I186" s="2008"/>
      <c r="J186" s="2008"/>
      <c r="K186" s="2008"/>
      <c r="L186" s="2009"/>
      <c r="M186" s="1133" t="str">
        <f t="shared" si="7"/>
        <v/>
      </c>
      <c r="N186" s="1134"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
      <c r="A187" s="39"/>
      <c r="B187" s="2003"/>
      <c r="C187" s="2004"/>
      <c r="D187" s="2005"/>
      <c r="E187" s="2006"/>
      <c r="F187" s="2007"/>
      <c r="G187" s="2008"/>
      <c r="H187" s="2008"/>
      <c r="I187" s="2008"/>
      <c r="J187" s="2008"/>
      <c r="K187" s="2008"/>
      <c r="L187" s="2009"/>
      <c r="M187" s="1133" t="str">
        <f t="shared" si="7"/>
        <v/>
      </c>
      <c r="N187" s="1134"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
      <c r="A188" s="39"/>
      <c r="B188" s="2003"/>
      <c r="C188" s="2004"/>
      <c r="D188" s="2005"/>
      <c r="E188" s="2006"/>
      <c r="F188" s="2007"/>
      <c r="G188" s="2008"/>
      <c r="H188" s="2008"/>
      <c r="I188" s="2008"/>
      <c r="J188" s="2008"/>
      <c r="K188" s="2008"/>
      <c r="L188" s="2009"/>
      <c r="M188" s="1133" t="str">
        <f t="shared" si="7"/>
        <v/>
      </c>
      <c r="N188" s="1134"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
      <c r="A189" s="39"/>
      <c r="B189" s="2003"/>
      <c r="C189" s="2004"/>
      <c r="D189" s="2005"/>
      <c r="E189" s="2006"/>
      <c r="F189" s="2007"/>
      <c r="G189" s="2008"/>
      <c r="H189" s="2008"/>
      <c r="I189" s="2008"/>
      <c r="J189" s="2008"/>
      <c r="K189" s="2008"/>
      <c r="L189" s="2009"/>
      <c r="M189" s="1133" t="str">
        <f t="shared" si="7"/>
        <v/>
      </c>
      <c r="N189" s="1134"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
      <c r="A190" s="39"/>
      <c r="B190" s="2003"/>
      <c r="C190" s="2004"/>
      <c r="D190" s="2005"/>
      <c r="E190" s="2006"/>
      <c r="F190" s="2007"/>
      <c r="G190" s="2008"/>
      <c r="H190" s="2008"/>
      <c r="I190" s="2008"/>
      <c r="J190" s="2008"/>
      <c r="K190" s="2008"/>
      <c r="L190" s="2009"/>
      <c r="M190" s="1133" t="str">
        <f t="shared" si="7"/>
        <v/>
      </c>
      <c r="N190" s="1134"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
      <c r="A191" s="39"/>
      <c r="B191" s="2003"/>
      <c r="C191" s="2004"/>
      <c r="D191" s="2005"/>
      <c r="E191" s="2006"/>
      <c r="F191" s="2007"/>
      <c r="G191" s="2008"/>
      <c r="H191" s="2008"/>
      <c r="I191" s="2008"/>
      <c r="J191" s="2008"/>
      <c r="K191" s="2008"/>
      <c r="L191" s="2009"/>
      <c r="M191" s="1133" t="str">
        <f t="shared" si="7"/>
        <v/>
      </c>
      <c r="N191" s="1134"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
      <c r="A192" s="39"/>
      <c r="B192" s="2003"/>
      <c r="C192" s="2004"/>
      <c r="D192" s="2005"/>
      <c r="E192" s="2006"/>
      <c r="F192" s="2007"/>
      <c r="G192" s="2008"/>
      <c r="H192" s="2008"/>
      <c r="I192" s="2008"/>
      <c r="J192" s="2008"/>
      <c r="K192" s="2008"/>
      <c r="L192" s="2009"/>
      <c r="M192" s="1133" t="str">
        <f t="shared" si="7"/>
        <v/>
      </c>
      <c r="N192" s="1134"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
      <c r="A193" s="39"/>
      <c r="B193" s="2003"/>
      <c r="C193" s="2004"/>
      <c r="D193" s="2005"/>
      <c r="E193" s="2006"/>
      <c r="F193" s="2007"/>
      <c r="G193" s="2008"/>
      <c r="H193" s="2008"/>
      <c r="I193" s="2008"/>
      <c r="J193" s="2008"/>
      <c r="K193" s="2008"/>
      <c r="L193" s="2009"/>
      <c r="M193" s="1133" t="str">
        <f t="shared" si="7"/>
        <v/>
      </c>
      <c r="N193" s="1134"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
      <c r="A194" s="39"/>
      <c r="B194" s="2003"/>
      <c r="C194" s="2004"/>
      <c r="D194" s="2005"/>
      <c r="E194" s="2006"/>
      <c r="F194" s="2007"/>
      <c r="G194" s="2008"/>
      <c r="H194" s="2008"/>
      <c r="I194" s="2008"/>
      <c r="J194" s="2008"/>
      <c r="K194" s="2008"/>
      <c r="L194" s="2009"/>
      <c r="M194" s="1133" t="str">
        <f t="shared" si="7"/>
        <v/>
      </c>
      <c r="N194" s="1134"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
      <c r="A195" s="39"/>
      <c r="B195" s="2003"/>
      <c r="C195" s="2004"/>
      <c r="D195" s="2005"/>
      <c r="E195" s="2006"/>
      <c r="F195" s="2007"/>
      <c r="G195" s="2008"/>
      <c r="H195" s="2008"/>
      <c r="I195" s="2008"/>
      <c r="J195" s="2008"/>
      <c r="K195" s="2008"/>
      <c r="L195" s="2009"/>
      <c r="M195" s="1133" t="str">
        <f t="shared" si="7"/>
        <v/>
      </c>
      <c r="N195" s="1134"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
      <c r="A196" s="39"/>
      <c r="B196" s="2003"/>
      <c r="C196" s="2004"/>
      <c r="D196" s="2005"/>
      <c r="E196" s="2006"/>
      <c r="F196" s="2007"/>
      <c r="G196" s="2008"/>
      <c r="H196" s="2008"/>
      <c r="I196" s="2008"/>
      <c r="J196" s="2008"/>
      <c r="K196" s="2008"/>
      <c r="L196" s="2009"/>
      <c r="M196" s="1133" t="str">
        <f t="shared" si="7"/>
        <v/>
      </c>
      <c r="N196" s="1134"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
      <c r="A197" s="39"/>
      <c r="B197" s="2003"/>
      <c r="C197" s="2004"/>
      <c r="D197" s="2005"/>
      <c r="E197" s="2006"/>
      <c r="F197" s="2007"/>
      <c r="G197" s="2008"/>
      <c r="H197" s="2008"/>
      <c r="I197" s="2008"/>
      <c r="J197" s="2008"/>
      <c r="K197" s="2008"/>
      <c r="L197" s="2009"/>
      <c r="M197" s="1133" t="str">
        <f t="shared" si="7"/>
        <v/>
      </c>
      <c r="N197" s="1134"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
      <c r="A198" s="39"/>
      <c r="B198" s="2003"/>
      <c r="C198" s="2004"/>
      <c r="D198" s="2005"/>
      <c r="E198" s="2006"/>
      <c r="F198" s="2007"/>
      <c r="G198" s="2008"/>
      <c r="H198" s="2008"/>
      <c r="I198" s="2008"/>
      <c r="J198" s="2008"/>
      <c r="K198" s="2008"/>
      <c r="L198" s="2009"/>
      <c r="M198" s="1133" t="str">
        <f t="shared" si="7"/>
        <v/>
      </c>
      <c r="N198" s="1134"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
      <c r="A199" s="39"/>
      <c r="B199" s="2003"/>
      <c r="C199" s="2004"/>
      <c r="D199" s="2005"/>
      <c r="E199" s="2006"/>
      <c r="F199" s="2007"/>
      <c r="G199" s="2008"/>
      <c r="H199" s="2008"/>
      <c r="I199" s="2008"/>
      <c r="J199" s="2008"/>
      <c r="K199" s="2008"/>
      <c r="L199" s="2009"/>
      <c r="M199" s="1133" t="str">
        <f t="shared" si="7"/>
        <v/>
      </c>
      <c r="N199" s="1134"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
      <c r="A200" s="39"/>
      <c r="B200" s="2003"/>
      <c r="C200" s="2004"/>
      <c r="D200" s="2005"/>
      <c r="E200" s="2006"/>
      <c r="F200" s="2007"/>
      <c r="G200" s="2008"/>
      <c r="H200" s="2008"/>
      <c r="I200" s="2008"/>
      <c r="J200" s="2008"/>
      <c r="K200" s="2008"/>
      <c r="L200" s="2009"/>
      <c r="M200" s="1133" t="str">
        <f t="shared" si="7"/>
        <v/>
      </c>
      <c r="N200" s="1134"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
      <c r="A201" s="39"/>
      <c r="B201" s="2003"/>
      <c r="C201" s="2004"/>
      <c r="D201" s="2005"/>
      <c r="E201" s="2006"/>
      <c r="F201" s="2007"/>
      <c r="G201" s="2008"/>
      <c r="H201" s="2008"/>
      <c r="I201" s="2008"/>
      <c r="J201" s="2008"/>
      <c r="K201" s="2008"/>
      <c r="L201" s="2009"/>
      <c r="M201" s="1133" t="str">
        <f t="shared" si="7"/>
        <v/>
      </c>
      <c r="N201" s="1134"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
      <c r="A202" s="39"/>
      <c r="B202" s="2003"/>
      <c r="C202" s="2004"/>
      <c r="D202" s="2005"/>
      <c r="E202" s="2006"/>
      <c r="F202" s="2007"/>
      <c r="G202" s="2008"/>
      <c r="H202" s="2008"/>
      <c r="I202" s="2008"/>
      <c r="J202" s="2008"/>
      <c r="K202" s="2008"/>
      <c r="L202" s="2009"/>
      <c r="M202" s="1133" t="str">
        <f t="shared" si="7"/>
        <v/>
      </c>
      <c r="N202" s="1134"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
      <c r="A203" s="39"/>
      <c r="B203" s="2003"/>
      <c r="C203" s="2004"/>
      <c r="D203" s="2005"/>
      <c r="E203" s="2006"/>
      <c r="F203" s="2007"/>
      <c r="G203" s="2008"/>
      <c r="H203" s="2008"/>
      <c r="I203" s="2008"/>
      <c r="J203" s="2008"/>
      <c r="K203" s="2008"/>
      <c r="L203" s="2009"/>
      <c r="M203" s="1133" t="str">
        <f t="shared" si="7"/>
        <v/>
      </c>
      <c r="N203" s="1134"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
      <c r="A204" s="39"/>
      <c r="B204" s="2003"/>
      <c r="C204" s="2004"/>
      <c r="D204" s="2005"/>
      <c r="E204" s="2006"/>
      <c r="F204" s="2007"/>
      <c r="G204" s="2008"/>
      <c r="H204" s="2008"/>
      <c r="I204" s="2008"/>
      <c r="J204" s="2008"/>
      <c r="K204" s="2008"/>
      <c r="L204" s="2009"/>
      <c r="M204" s="1133" t="str">
        <f t="shared" si="7"/>
        <v/>
      </c>
      <c r="N204" s="1134"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
      <c r="A205" s="39"/>
      <c r="B205" s="2003"/>
      <c r="C205" s="2004"/>
      <c r="D205" s="2005"/>
      <c r="E205" s="2006"/>
      <c r="F205" s="2007"/>
      <c r="G205" s="2008"/>
      <c r="H205" s="2008"/>
      <c r="I205" s="2008"/>
      <c r="J205" s="2008"/>
      <c r="K205" s="2008"/>
      <c r="L205" s="2009"/>
      <c r="M205" s="1133" t="str">
        <f t="shared" si="7"/>
        <v/>
      </c>
      <c r="N205" s="1134"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
      <c r="A206" s="39"/>
      <c r="B206" s="2003"/>
      <c r="C206" s="2004"/>
      <c r="D206" s="2005"/>
      <c r="E206" s="2006"/>
      <c r="F206" s="2007"/>
      <c r="G206" s="2008"/>
      <c r="H206" s="2008"/>
      <c r="I206" s="2008"/>
      <c r="J206" s="2008"/>
      <c r="K206" s="2008"/>
      <c r="L206" s="2009"/>
      <c r="M206" s="1133" t="str">
        <f t="shared" si="7"/>
        <v/>
      </c>
      <c r="N206" s="1134"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
      <c r="A207" s="39"/>
      <c r="B207" s="2003"/>
      <c r="C207" s="2004"/>
      <c r="D207" s="2005"/>
      <c r="E207" s="2006"/>
      <c r="F207" s="2007"/>
      <c r="G207" s="2008"/>
      <c r="H207" s="2008"/>
      <c r="I207" s="2008"/>
      <c r="J207" s="2008"/>
      <c r="K207" s="2008"/>
      <c r="L207" s="2009"/>
      <c r="M207" s="1133" t="str">
        <f t="shared" si="7"/>
        <v/>
      </c>
      <c r="N207" s="1134"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
      <c r="A208" s="39"/>
      <c r="B208" s="2003"/>
      <c r="C208" s="2004"/>
      <c r="D208" s="2005"/>
      <c r="E208" s="2006"/>
      <c r="F208" s="2007"/>
      <c r="G208" s="2008"/>
      <c r="H208" s="2008"/>
      <c r="I208" s="2008"/>
      <c r="J208" s="2008"/>
      <c r="K208" s="2008"/>
      <c r="L208" s="2009"/>
      <c r="M208" s="1133" t="str">
        <f t="shared" si="7"/>
        <v/>
      </c>
      <c r="N208" s="1134"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
      <c r="A209" s="39"/>
      <c r="B209" s="2003"/>
      <c r="C209" s="2004"/>
      <c r="D209" s="2005"/>
      <c r="E209" s="2006"/>
      <c r="F209" s="2007"/>
      <c r="G209" s="2008"/>
      <c r="H209" s="2008"/>
      <c r="I209" s="2008"/>
      <c r="J209" s="2008"/>
      <c r="K209" s="2008"/>
      <c r="L209" s="2009"/>
      <c r="M209" s="1133" t="str">
        <f t="shared" si="7"/>
        <v/>
      </c>
      <c r="N209" s="1134"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
      <c r="A210" s="39"/>
      <c r="B210" s="2003"/>
      <c r="C210" s="2004"/>
      <c r="D210" s="2005"/>
      <c r="E210" s="2006"/>
      <c r="F210" s="2007"/>
      <c r="G210" s="2008"/>
      <c r="H210" s="2008"/>
      <c r="I210" s="2008"/>
      <c r="J210" s="2008"/>
      <c r="K210" s="2008"/>
      <c r="L210" s="2009"/>
      <c r="M210" s="1133" t="str">
        <f t="shared" si="7"/>
        <v/>
      </c>
      <c r="N210" s="1134"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
      <c r="A211" s="39"/>
      <c r="B211" s="2003"/>
      <c r="C211" s="2004"/>
      <c r="D211" s="2005"/>
      <c r="E211" s="2006"/>
      <c r="F211" s="2007"/>
      <c r="G211" s="2008"/>
      <c r="H211" s="2008"/>
      <c r="I211" s="2008"/>
      <c r="J211" s="2008"/>
      <c r="K211" s="2008"/>
      <c r="L211" s="2009"/>
      <c r="M211" s="1133" t="str">
        <f t="shared" si="7"/>
        <v/>
      </c>
      <c r="N211" s="1134"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
      <c r="A212" s="39"/>
      <c r="B212" s="2003"/>
      <c r="C212" s="2004"/>
      <c r="D212" s="2005"/>
      <c r="E212" s="2006"/>
      <c r="F212" s="2007"/>
      <c r="G212" s="2008"/>
      <c r="H212" s="2008"/>
      <c r="I212" s="2008"/>
      <c r="J212" s="2008"/>
      <c r="K212" s="2008"/>
      <c r="L212" s="2009"/>
      <c r="M212" s="1133" t="str">
        <f t="shared" si="7"/>
        <v/>
      </c>
      <c r="N212" s="1134"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
      <c r="A213" s="39"/>
      <c r="B213" s="2003"/>
      <c r="C213" s="2004"/>
      <c r="D213" s="2005"/>
      <c r="E213" s="2006"/>
      <c r="F213" s="2007"/>
      <c r="G213" s="2008"/>
      <c r="H213" s="2008"/>
      <c r="I213" s="2008"/>
      <c r="J213" s="2008"/>
      <c r="K213" s="2008"/>
      <c r="L213" s="2009"/>
      <c r="M213" s="1133" t="str">
        <f t="shared" si="7"/>
        <v/>
      </c>
      <c r="N213" s="1134"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
      <c r="A214" s="39"/>
      <c r="B214" s="2003"/>
      <c r="C214" s="2004"/>
      <c r="D214" s="2005"/>
      <c r="E214" s="2006"/>
      <c r="F214" s="2007"/>
      <c r="G214" s="2008"/>
      <c r="H214" s="2008"/>
      <c r="I214" s="2008"/>
      <c r="J214" s="2008"/>
      <c r="K214" s="2008"/>
      <c r="L214" s="2009"/>
      <c r="M214" s="1133" t="str">
        <f t="shared" si="7"/>
        <v/>
      </c>
      <c r="N214" s="1134"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
      <c r="A215" s="39"/>
      <c r="B215" s="2003"/>
      <c r="C215" s="2004"/>
      <c r="D215" s="2005"/>
      <c r="E215" s="2006"/>
      <c r="F215" s="2007"/>
      <c r="G215" s="2008"/>
      <c r="H215" s="2008"/>
      <c r="I215" s="2008"/>
      <c r="J215" s="2008"/>
      <c r="K215" s="2008"/>
      <c r="L215" s="2009"/>
      <c r="M215" s="1133" t="str">
        <f t="shared" si="7"/>
        <v/>
      </c>
      <c r="N215" s="1134"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
      <c r="A216" s="39"/>
      <c r="B216" s="2003"/>
      <c r="C216" s="2004"/>
      <c r="D216" s="2005"/>
      <c r="E216" s="2006"/>
      <c r="F216" s="2007"/>
      <c r="G216" s="2008"/>
      <c r="H216" s="2008"/>
      <c r="I216" s="2008"/>
      <c r="J216" s="2008"/>
      <c r="K216" s="2008"/>
      <c r="L216" s="2009"/>
      <c r="M216" s="1133" t="str">
        <f t="shared" si="7"/>
        <v/>
      </c>
      <c r="N216" s="1134"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
      <c r="A217" s="39"/>
      <c r="B217" s="2003"/>
      <c r="C217" s="2004"/>
      <c r="D217" s="2005"/>
      <c r="E217" s="2006"/>
      <c r="F217" s="2007"/>
      <c r="G217" s="2008"/>
      <c r="H217" s="2008"/>
      <c r="I217" s="2008"/>
      <c r="J217" s="2008"/>
      <c r="K217" s="2008"/>
      <c r="L217" s="2009"/>
      <c r="M217" s="1133" t="str">
        <f t="shared" si="7"/>
        <v/>
      </c>
      <c r="N217" s="1134"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
      <c r="A218" s="39"/>
      <c r="B218" s="2003"/>
      <c r="C218" s="2004"/>
      <c r="D218" s="2005"/>
      <c r="E218" s="2006"/>
      <c r="F218" s="2007"/>
      <c r="G218" s="2008"/>
      <c r="H218" s="2008"/>
      <c r="I218" s="2008"/>
      <c r="J218" s="2008"/>
      <c r="K218" s="2008"/>
      <c r="L218" s="2009"/>
      <c r="M218" s="1133" t="str">
        <f t="shared" si="7"/>
        <v/>
      </c>
      <c r="N218" s="1134"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
      <c r="A219" s="39"/>
      <c r="B219" s="2003"/>
      <c r="C219" s="2004"/>
      <c r="D219" s="2005"/>
      <c r="E219" s="2006"/>
      <c r="F219" s="2007"/>
      <c r="G219" s="2008"/>
      <c r="H219" s="2008"/>
      <c r="I219" s="2008"/>
      <c r="J219" s="2008"/>
      <c r="K219" s="2008"/>
      <c r="L219" s="2009"/>
      <c r="M219" s="1133" t="str">
        <f t="shared" si="7"/>
        <v/>
      </c>
      <c r="N219" s="1134"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
      <c r="A220" s="39"/>
      <c r="B220" s="2003"/>
      <c r="C220" s="2004"/>
      <c r="D220" s="2005"/>
      <c r="E220" s="2006"/>
      <c r="F220" s="2007"/>
      <c r="G220" s="2008"/>
      <c r="H220" s="2008"/>
      <c r="I220" s="2008"/>
      <c r="J220" s="2008"/>
      <c r="K220" s="2008"/>
      <c r="L220" s="2009"/>
      <c r="M220" s="1133" t="str">
        <f t="shared" si="7"/>
        <v/>
      </c>
      <c r="N220" s="1134"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
      <c r="A221" s="39"/>
      <c r="B221" s="2003"/>
      <c r="C221" s="2004"/>
      <c r="D221" s="2005"/>
      <c r="E221" s="2006"/>
      <c r="F221" s="2007"/>
      <c r="G221" s="2008"/>
      <c r="H221" s="2008"/>
      <c r="I221" s="2008"/>
      <c r="J221" s="2008"/>
      <c r="K221" s="2008"/>
      <c r="L221" s="2009"/>
      <c r="M221" s="1133" t="str">
        <f t="shared" si="7"/>
        <v/>
      </c>
      <c r="N221" s="1134"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
      <c r="A222" s="39"/>
      <c r="B222" s="2003"/>
      <c r="C222" s="2004"/>
      <c r="D222" s="2005"/>
      <c r="E222" s="2006"/>
      <c r="F222" s="2007"/>
      <c r="G222" s="2008"/>
      <c r="H222" s="2008"/>
      <c r="I222" s="2008"/>
      <c r="J222" s="2008"/>
      <c r="K222" s="2008"/>
      <c r="L222" s="2009"/>
      <c r="M222" s="1133" t="str">
        <f t="shared" si="7"/>
        <v/>
      </c>
      <c r="N222" s="1134"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
      <c r="A223" s="39"/>
      <c r="B223" s="2003"/>
      <c r="C223" s="2004"/>
      <c r="D223" s="2005"/>
      <c r="E223" s="2006"/>
      <c r="F223" s="2007"/>
      <c r="G223" s="2008"/>
      <c r="H223" s="2008"/>
      <c r="I223" s="2008"/>
      <c r="J223" s="2008"/>
      <c r="K223" s="2008"/>
      <c r="L223" s="2009"/>
      <c r="M223" s="1133" t="str">
        <f t="shared" si="7"/>
        <v/>
      </c>
      <c r="N223" s="1134"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
      <c r="A224" s="39"/>
      <c r="B224" s="2003"/>
      <c r="C224" s="2004"/>
      <c r="D224" s="2005"/>
      <c r="E224" s="2006"/>
      <c r="F224" s="2007"/>
      <c r="G224" s="2008"/>
      <c r="H224" s="2008"/>
      <c r="I224" s="2008"/>
      <c r="J224" s="2008"/>
      <c r="K224" s="2008"/>
      <c r="L224" s="2009"/>
      <c r="M224" s="1133" t="str">
        <f t="shared" si="7"/>
        <v/>
      </c>
      <c r="N224" s="1134"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
      <c r="A225" s="39"/>
      <c r="B225" s="2003"/>
      <c r="C225" s="2004"/>
      <c r="D225" s="2005"/>
      <c r="E225" s="2006"/>
      <c r="F225" s="2007"/>
      <c r="G225" s="2008"/>
      <c r="H225" s="2008"/>
      <c r="I225" s="2008"/>
      <c r="J225" s="2008"/>
      <c r="K225" s="2008"/>
      <c r="L225" s="2009"/>
      <c r="M225" s="1133" t="str">
        <f t="shared" si="7"/>
        <v/>
      </c>
      <c r="N225" s="1134"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
      <c r="A226" s="39"/>
      <c r="B226" s="2003"/>
      <c r="C226" s="2004"/>
      <c r="D226" s="2005"/>
      <c r="E226" s="2006"/>
      <c r="F226" s="2007"/>
      <c r="G226" s="2008"/>
      <c r="H226" s="2008"/>
      <c r="I226" s="2008"/>
      <c r="J226" s="2008"/>
      <c r="K226" s="2008"/>
      <c r="L226" s="2009"/>
      <c r="M226" s="1133" t="str">
        <f t="shared" si="7"/>
        <v/>
      </c>
      <c r="N226" s="1134"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
      <c r="A227" s="39"/>
      <c r="B227" s="2003"/>
      <c r="C227" s="2004"/>
      <c r="D227" s="2005"/>
      <c r="E227" s="2006"/>
      <c r="F227" s="2007"/>
      <c r="G227" s="2008"/>
      <c r="H227" s="2008"/>
      <c r="I227" s="2008"/>
      <c r="J227" s="2008"/>
      <c r="K227" s="2008"/>
      <c r="L227" s="2009"/>
      <c r="M227" s="1133" t="str">
        <f t="shared" si="7"/>
        <v/>
      </c>
      <c r="N227" s="1134"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
      <c r="A228" s="39"/>
      <c r="B228" s="2003"/>
      <c r="C228" s="2004"/>
      <c r="D228" s="2005"/>
      <c r="E228" s="2006"/>
      <c r="F228" s="2007"/>
      <c r="G228" s="2008"/>
      <c r="H228" s="2008"/>
      <c r="I228" s="2008"/>
      <c r="J228" s="2008"/>
      <c r="K228" s="2008"/>
      <c r="L228" s="2009"/>
      <c r="M228" s="1133" t="str">
        <f t="shared" si="7"/>
        <v/>
      </c>
      <c r="N228" s="1134"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
      <c r="A229" s="39"/>
      <c r="B229" s="2003"/>
      <c r="C229" s="2004"/>
      <c r="D229" s="2005"/>
      <c r="E229" s="2006"/>
      <c r="F229" s="2007"/>
      <c r="G229" s="2008"/>
      <c r="H229" s="2008"/>
      <c r="I229" s="2008"/>
      <c r="J229" s="2008"/>
      <c r="K229" s="2008"/>
      <c r="L229" s="2009"/>
      <c r="M229" s="1133" t="str">
        <f t="shared" si="7"/>
        <v/>
      </c>
      <c r="N229" s="1134"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
      <c r="A230" s="39"/>
      <c r="B230" s="2003"/>
      <c r="C230" s="2004"/>
      <c r="D230" s="2005"/>
      <c r="E230" s="2006"/>
      <c r="F230" s="2007"/>
      <c r="G230" s="2008"/>
      <c r="H230" s="2008"/>
      <c r="I230" s="2008"/>
      <c r="J230" s="2008"/>
      <c r="K230" s="2008"/>
      <c r="L230" s="2009"/>
      <c r="M230" s="1133" t="str">
        <f t="shared" si="7"/>
        <v/>
      </c>
      <c r="N230" s="1134"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
      <c r="A231" s="39"/>
      <c r="B231" s="2003"/>
      <c r="C231" s="2004"/>
      <c r="D231" s="2005"/>
      <c r="E231" s="2006"/>
      <c r="F231" s="2007"/>
      <c r="G231" s="2008"/>
      <c r="H231" s="2008"/>
      <c r="I231" s="2008"/>
      <c r="J231" s="2008"/>
      <c r="K231" s="2008"/>
      <c r="L231" s="2009"/>
      <c r="M231" s="1133" t="str">
        <f t="shared" ref="M231:M294" si="9">UPPER(C231)</f>
        <v/>
      </c>
      <c r="N231" s="1134"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
      <c r="A232" s="39"/>
      <c r="B232" s="2003"/>
      <c r="C232" s="2004"/>
      <c r="D232" s="2005"/>
      <c r="E232" s="2006"/>
      <c r="F232" s="2007"/>
      <c r="G232" s="2008"/>
      <c r="H232" s="2008"/>
      <c r="I232" s="2008"/>
      <c r="J232" s="2008"/>
      <c r="K232" s="2008"/>
      <c r="L232" s="2009"/>
      <c r="M232" s="1133" t="str">
        <f t="shared" si="9"/>
        <v/>
      </c>
      <c r="N232" s="1134"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
      <c r="A233" s="39"/>
      <c r="B233" s="2003"/>
      <c r="C233" s="2004"/>
      <c r="D233" s="2005"/>
      <c r="E233" s="2006"/>
      <c r="F233" s="2007"/>
      <c r="G233" s="2008"/>
      <c r="H233" s="2008"/>
      <c r="I233" s="2008"/>
      <c r="J233" s="2008"/>
      <c r="K233" s="2008"/>
      <c r="L233" s="2009"/>
      <c r="M233" s="1133" t="str">
        <f t="shared" si="9"/>
        <v/>
      </c>
      <c r="N233" s="1134"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
      <c r="A234" s="39"/>
      <c r="B234" s="2003"/>
      <c r="C234" s="2004"/>
      <c r="D234" s="2005"/>
      <c r="E234" s="2006"/>
      <c r="F234" s="2007"/>
      <c r="G234" s="2008"/>
      <c r="H234" s="2008"/>
      <c r="I234" s="2008"/>
      <c r="J234" s="2008"/>
      <c r="K234" s="2008"/>
      <c r="L234" s="2009"/>
      <c r="M234" s="1133" t="str">
        <f t="shared" si="9"/>
        <v/>
      </c>
      <c r="N234" s="1134"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
      <c r="A235" s="39"/>
      <c r="B235" s="2003"/>
      <c r="C235" s="2004"/>
      <c r="D235" s="2005"/>
      <c r="E235" s="2006"/>
      <c r="F235" s="2007"/>
      <c r="G235" s="2008"/>
      <c r="H235" s="2008"/>
      <c r="I235" s="2008"/>
      <c r="J235" s="2008"/>
      <c r="K235" s="2008"/>
      <c r="L235" s="2009"/>
      <c r="M235" s="1133" t="str">
        <f t="shared" si="9"/>
        <v/>
      </c>
      <c r="N235" s="1134"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
      <c r="A236" s="39"/>
      <c r="B236" s="2003"/>
      <c r="C236" s="2004"/>
      <c r="D236" s="2005"/>
      <c r="E236" s="2006"/>
      <c r="F236" s="2007"/>
      <c r="G236" s="2008"/>
      <c r="H236" s="2008"/>
      <c r="I236" s="2008"/>
      <c r="J236" s="2008"/>
      <c r="K236" s="2008"/>
      <c r="L236" s="2009"/>
      <c r="M236" s="1133" t="str">
        <f t="shared" si="9"/>
        <v/>
      </c>
      <c r="N236" s="1134"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
      <c r="A237" s="39"/>
      <c r="B237" s="2003"/>
      <c r="C237" s="2004"/>
      <c r="D237" s="2005"/>
      <c r="E237" s="2006"/>
      <c r="F237" s="2007"/>
      <c r="G237" s="2008"/>
      <c r="H237" s="2008"/>
      <c r="I237" s="2008"/>
      <c r="J237" s="2008"/>
      <c r="K237" s="2008"/>
      <c r="L237" s="2009"/>
      <c r="M237" s="1133" t="str">
        <f t="shared" si="9"/>
        <v/>
      </c>
      <c r="N237" s="1134"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
      <c r="A238" s="39"/>
      <c r="B238" s="2003"/>
      <c r="C238" s="2004"/>
      <c r="D238" s="2005"/>
      <c r="E238" s="2006"/>
      <c r="F238" s="2007"/>
      <c r="G238" s="2008"/>
      <c r="H238" s="2008"/>
      <c r="I238" s="2008"/>
      <c r="J238" s="2008"/>
      <c r="K238" s="2008"/>
      <c r="L238" s="2009"/>
      <c r="M238" s="1133" t="str">
        <f t="shared" si="9"/>
        <v/>
      </c>
      <c r="N238" s="1134"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
      <c r="A239" s="39"/>
      <c r="B239" s="2003"/>
      <c r="C239" s="2004"/>
      <c r="D239" s="2005"/>
      <c r="E239" s="2006"/>
      <c r="F239" s="2007"/>
      <c r="G239" s="2008"/>
      <c r="H239" s="2008"/>
      <c r="I239" s="2008"/>
      <c r="J239" s="2008"/>
      <c r="K239" s="2008"/>
      <c r="L239" s="2009"/>
      <c r="M239" s="1133" t="str">
        <f t="shared" si="9"/>
        <v/>
      </c>
      <c r="N239" s="1134"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
      <c r="A240" s="39"/>
      <c r="B240" s="2003"/>
      <c r="C240" s="2004"/>
      <c r="D240" s="2005"/>
      <c r="E240" s="2006"/>
      <c r="F240" s="2007"/>
      <c r="G240" s="2008"/>
      <c r="H240" s="2008"/>
      <c r="I240" s="2008"/>
      <c r="J240" s="2008"/>
      <c r="K240" s="2008"/>
      <c r="L240" s="2009"/>
      <c r="M240" s="1133" t="str">
        <f t="shared" si="9"/>
        <v/>
      </c>
      <c r="N240" s="1134"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
      <c r="A241" s="39"/>
      <c r="B241" s="2003"/>
      <c r="C241" s="2004"/>
      <c r="D241" s="2005"/>
      <c r="E241" s="2006"/>
      <c r="F241" s="2007"/>
      <c r="G241" s="2008"/>
      <c r="H241" s="2008"/>
      <c r="I241" s="2008"/>
      <c r="J241" s="2008"/>
      <c r="K241" s="2008"/>
      <c r="L241" s="2009"/>
      <c r="M241" s="1133" t="str">
        <f t="shared" si="9"/>
        <v/>
      </c>
      <c r="N241" s="1134"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
      <c r="A242" s="39"/>
      <c r="B242" s="2003"/>
      <c r="C242" s="2004"/>
      <c r="D242" s="2005"/>
      <c r="E242" s="2006"/>
      <c r="F242" s="2007"/>
      <c r="G242" s="2008"/>
      <c r="H242" s="2008"/>
      <c r="I242" s="2008"/>
      <c r="J242" s="2008"/>
      <c r="K242" s="2008"/>
      <c r="L242" s="2009"/>
      <c r="M242" s="1133" t="str">
        <f t="shared" si="9"/>
        <v/>
      </c>
      <c r="N242" s="1134"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
      <c r="A243" s="39"/>
      <c r="B243" s="2003"/>
      <c r="C243" s="2004"/>
      <c r="D243" s="2005"/>
      <c r="E243" s="2006"/>
      <c r="F243" s="2007"/>
      <c r="G243" s="2008"/>
      <c r="H243" s="2008"/>
      <c r="I243" s="2008"/>
      <c r="J243" s="2008"/>
      <c r="K243" s="2008"/>
      <c r="L243" s="2009"/>
      <c r="M243" s="1133" t="str">
        <f t="shared" si="9"/>
        <v/>
      </c>
      <c r="N243" s="1134"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
      <c r="A244" s="39"/>
      <c r="B244" s="2003"/>
      <c r="C244" s="2004"/>
      <c r="D244" s="2005"/>
      <c r="E244" s="2006"/>
      <c r="F244" s="2007"/>
      <c r="G244" s="2008"/>
      <c r="H244" s="2008"/>
      <c r="I244" s="2008"/>
      <c r="J244" s="2008"/>
      <c r="K244" s="2008"/>
      <c r="L244" s="2009"/>
      <c r="M244" s="1133" t="str">
        <f t="shared" si="9"/>
        <v/>
      </c>
      <c r="N244" s="1134"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
      <c r="A245" s="39"/>
      <c r="B245" s="2003"/>
      <c r="C245" s="2004"/>
      <c r="D245" s="2005"/>
      <c r="E245" s="2006"/>
      <c r="F245" s="2007"/>
      <c r="G245" s="2008"/>
      <c r="H245" s="2008"/>
      <c r="I245" s="2008"/>
      <c r="J245" s="2008"/>
      <c r="K245" s="2008"/>
      <c r="L245" s="2009"/>
      <c r="M245" s="1133" t="str">
        <f t="shared" si="9"/>
        <v/>
      </c>
      <c r="N245" s="1134"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
      <c r="A246" s="39"/>
      <c r="B246" s="2003"/>
      <c r="C246" s="2004"/>
      <c r="D246" s="2005"/>
      <c r="E246" s="2006"/>
      <c r="F246" s="2007"/>
      <c r="G246" s="2008"/>
      <c r="H246" s="2008"/>
      <c r="I246" s="2008"/>
      <c r="J246" s="2008"/>
      <c r="K246" s="2008"/>
      <c r="L246" s="2009"/>
      <c r="M246" s="1133" t="str">
        <f t="shared" si="9"/>
        <v/>
      </c>
      <c r="N246" s="1134"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
      <c r="A247" s="39"/>
      <c r="B247" s="2003"/>
      <c r="C247" s="2004"/>
      <c r="D247" s="2005"/>
      <c r="E247" s="2006"/>
      <c r="F247" s="2007"/>
      <c r="G247" s="2008"/>
      <c r="H247" s="2008"/>
      <c r="I247" s="2008"/>
      <c r="J247" s="2008"/>
      <c r="K247" s="2008"/>
      <c r="L247" s="2009"/>
      <c r="M247" s="1133" t="str">
        <f t="shared" si="9"/>
        <v/>
      </c>
      <c r="N247" s="1134"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
      <c r="A248" s="39"/>
      <c r="B248" s="2003"/>
      <c r="C248" s="2004"/>
      <c r="D248" s="2005"/>
      <c r="E248" s="2006"/>
      <c r="F248" s="2007"/>
      <c r="G248" s="2008"/>
      <c r="H248" s="2008"/>
      <c r="I248" s="2008"/>
      <c r="J248" s="2008"/>
      <c r="K248" s="2008"/>
      <c r="L248" s="2009"/>
      <c r="M248" s="1133" t="str">
        <f t="shared" si="9"/>
        <v/>
      </c>
      <c r="N248" s="1134"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
      <c r="A249" s="39"/>
      <c r="B249" s="2003"/>
      <c r="C249" s="2004"/>
      <c r="D249" s="2005"/>
      <c r="E249" s="2006"/>
      <c r="F249" s="2007"/>
      <c r="G249" s="2008"/>
      <c r="H249" s="2008"/>
      <c r="I249" s="2008"/>
      <c r="J249" s="2008"/>
      <c r="K249" s="2008"/>
      <c r="L249" s="2009"/>
      <c r="M249" s="1133" t="str">
        <f t="shared" si="9"/>
        <v/>
      </c>
      <c r="N249" s="1134"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
      <c r="A250" s="39"/>
      <c r="B250" s="2003"/>
      <c r="C250" s="2004"/>
      <c r="D250" s="2005"/>
      <c r="E250" s="2006"/>
      <c r="F250" s="2007"/>
      <c r="G250" s="2008"/>
      <c r="H250" s="2008"/>
      <c r="I250" s="2008"/>
      <c r="J250" s="2008"/>
      <c r="K250" s="2008"/>
      <c r="L250" s="2009"/>
      <c r="M250" s="1133" t="str">
        <f t="shared" si="9"/>
        <v/>
      </c>
      <c r="N250" s="1134"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
      <c r="A251" s="39"/>
      <c r="B251" s="2003"/>
      <c r="C251" s="2004"/>
      <c r="D251" s="2005"/>
      <c r="E251" s="2006"/>
      <c r="F251" s="2007"/>
      <c r="G251" s="2008"/>
      <c r="H251" s="2008"/>
      <c r="I251" s="2008"/>
      <c r="J251" s="2008"/>
      <c r="K251" s="2008"/>
      <c r="L251" s="2009"/>
      <c r="M251" s="1133" t="str">
        <f t="shared" si="9"/>
        <v/>
      </c>
      <c r="N251" s="1134"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
      <c r="A252" s="39"/>
      <c r="B252" s="2003"/>
      <c r="C252" s="2004"/>
      <c r="D252" s="2005"/>
      <c r="E252" s="2006"/>
      <c r="F252" s="2007"/>
      <c r="G252" s="2008"/>
      <c r="H252" s="2008"/>
      <c r="I252" s="2008"/>
      <c r="J252" s="2008"/>
      <c r="K252" s="2008"/>
      <c r="L252" s="2009"/>
      <c r="M252" s="1133" t="str">
        <f t="shared" si="9"/>
        <v/>
      </c>
      <c r="N252" s="1134"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
      <c r="A253" s="39"/>
      <c r="B253" s="2003"/>
      <c r="C253" s="2004"/>
      <c r="D253" s="2005"/>
      <c r="E253" s="2006"/>
      <c r="F253" s="2007"/>
      <c r="G253" s="2008"/>
      <c r="H253" s="2008"/>
      <c r="I253" s="2008"/>
      <c r="J253" s="2008"/>
      <c r="K253" s="2008"/>
      <c r="L253" s="2009"/>
      <c r="M253" s="1133" t="str">
        <f t="shared" si="9"/>
        <v/>
      </c>
      <c r="N253" s="1134"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
      <c r="A254" s="39"/>
      <c r="B254" s="2003"/>
      <c r="C254" s="2004"/>
      <c r="D254" s="2005"/>
      <c r="E254" s="2006"/>
      <c r="F254" s="2007"/>
      <c r="G254" s="2008"/>
      <c r="H254" s="2008"/>
      <c r="I254" s="2008"/>
      <c r="J254" s="2008"/>
      <c r="K254" s="2008"/>
      <c r="L254" s="2009"/>
      <c r="M254" s="1133" t="str">
        <f t="shared" si="9"/>
        <v/>
      </c>
      <c r="N254" s="1134"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
      <c r="A255" s="39"/>
      <c r="B255" s="2003"/>
      <c r="C255" s="2004"/>
      <c r="D255" s="2005"/>
      <c r="E255" s="2006"/>
      <c r="F255" s="2007"/>
      <c r="G255" s="2008"/>
      <c r="H255" s="2008"/>
      <c r="I255" s="2008"/>
      <c r="J255" s="2008"/>
      <c r="K255" s="2008"/>
      <c r="L255" s="2009"/>
      <c r="M255" s="1133" t="str">
        <f t="shared" si="9"/>
        <v/>
      </c>
      <c r="N255" s="1134"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
      <c r="A256" s="39"/>
      <c r="B256" s="2003"/>
      <c r="C256" s="2004"/>
      <c r="D256" s="2005"/>
      <c r="E256" s="2006"/>
      <c r="F256" s="2007"/>
      <c r="G256" s="2008"/>
      <c r="H256" s="2008"/>
      <c r="I256" s="2008"/>
      <c r="J256" s="2008"/>
      <c r="K256" s="2008"/>
      <c r="L256" s="2009"/>
      <c r="M256" s="1133" t="str">
        <f t="shared" si="9"/>
        <v/>
      </c>
      <c r="N256" s="1134"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
      <c r="A257" s="39"/>
      <c r="B257" s="2003"/>
      <c r="C257" s="2004"/>
      <c r="D257" s="2005"/>
      <c r="E257" s="2006"/>
      <c r="F257" s="2007"/>
      <c r="G257" s="2008"/>
      <c r="H257" s="2008"/>
      <c r="I257" s="2008"/>
      <c r="J257" s="2008"/>
      <c r="K257" s="2008"/>
      <c r="L257" s="2009"/>
      <c r="M257" s="1133" t="str">
        <f t="shared" si="9"/>
        <v/>
      </c>
      <c r="N257" s="1134"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
      <c r="A258" s="39"/>
      <c r="B258" s="2003"/>
      <c r="C258" s="2004"/>
      <c r="D258" s="2005"/>
      <c r="E258" s="2006"/>
      <c r="F258" s="2007"/>
      <c r="G258" s="2008"/>
      <c r="H258" s="2008"/>
      <c r="I258" s="2008"/>
      <c r="J258" s="2008"/>
      <c r="K258" s="2008"/>
      <c r="L258" s="2009"/>
      <c r="M258" s="1133" t="str">
        <f t="shared" si="9"/>
        <v/>
      </c>
      <c r="N258" s="1134"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
      <c r="A259" s="39"/>
      <c r="B259" s="2003"/>
      <c r="C259" s="2004"/>
      <c r="D259" s="2005"/>
      <c r="E259" s="2006"/>
      <c r="F259" s="2007"/>
      <c r="G259" s="2008"/>
      <c r="H259" s="2008"/>
      <c r="I259" s="2008"/>
      <c r="J259" s="2008"/>
      <c r="K259" s="2008"/>
      <c r="L259" s="2009"/>
      <c r="M259" s="1133" t="str">
        <f t="shared" si="9"/>
        <v/>
      </c>
      <c r="N259" s="1134"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
      <c r="A260" s="39"/>
      <c r="B260" s="2003"/>
      <c r="C260" s="2004"/>
      <c r="D260" s="2005"/>
      <c r="E260" s="2006"/>
      <c r="F260" s="2007"/>
      <c r="G260" s="2008"/>
      <c r="H260" s="2008"/>
      <c r="I260" s="2008"/>
      <c r="J260" s="2008"/>
      <c r="K260" s="2008"/>
      <c r="L260" s="2009"/>
      <c r="M260" s="1133" t="str">
        <f t="shared" si="9"/>
        <v/>
      </c>
      <c r="N260" s="1134"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
      <c r="A261" s="39"/>
      <c r="B261" s="2003"/>
      <c r="C261" s="2004"/>
      <c r="D261" s="2005"/>
      <c r="E261" s="2006"/>
      <c r="F261" s="2007"/>
      <c r="G261" s="2008"/>
      <c r="H261" s="2008"/>
      <c r="I261" s="2008"/>
      <c r="J261" s="2008"/>
      <c r="K261" s="2008"/>
      <c r="L261" s="2009"/>
      <c r="M261" s="1133" t="str">
        <f t="shared" si="9"/>
        <v/>
      </c>
      <c r="N261" s="1134"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
      <c r="A262" s="39"/>
      <c r="B262" s="2003"/>
      <c r="C262" s="2004"/>
      <c r="D262" s="2005"/>
      <c r="E262" s="2006"/>
      <c r="F262" s="2007"/>
      <c r="G262" s="2008"/>
      <c r="H262" s="2008"/>
      <c r="I262" s="2008"/>
      <c r="J262" s="2008"/>
      <c r="K262" s="2008"/>
      <c r="L262" s="2009"/>
      <c r="M262" s="1133" t="str">
        <f t="shared" si="9"/>
        <v/>
      </c>
      <c r="N262" s="1134"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
      <c r="A263" s="39"/>
      <c r="B263" s="2003"/>
      <c r="C263" s="2004"/>
      <c r="D263" s="2005"/>
      <c r="E263" s="2006"/>
      <c r="F263" s="2007"/>
      <c r="G263" s="2008"/>
      <c r="H263" s="2008"/>
      <c r="I263" s="2008"/>
      <c r="J263" s="2008"/>
      <c r="K263" s="2008"/>
      <c r="L263" s="2009"/>
      <c r="M263" s="1133" t="str">
        <f t="shared" si="9"/>
        <v/>
      </c>
      <c r="N263" s="1134"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
      <c r="A264" s="39"/>
      <c r="B264" s="2003"/>
      <c r="C264" s="2004"/>
      <c r="D264" s="2005"/>
      <c r="E264" s="2006"/>
      <c r="F264" s="2007"/>
      <c r="G264" s="2008"/>
      <c r="H264" s="2008"/>
      <c r="I264" s="2008"/>
      <c r="J264" s="2008"/>
      <c r="K264" s="2008"/>
      <c r="L264" s="2009"/>
      <c r="M264" s="1133" t="str">
        <f t="shared" si="9"/>
        <v/>
      </c>
      <c r="N264" s="1134"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
      <c r="A265" s="39"/>
      <c r="B265" s="2003"/>
      <c r="C265" s="2004"/>
      <c r="D265" s="2005"/>
      <c r="E265" s="2006"/>
      <c r="F265" s="2007"/>
      <c r="G265" s="2008"/>
      <c r="H265" s="2008"/>
      <c r="I265" s="2008"/>
      <c r="J265" s="2008"/>
      <c r="K265" s="2008"/>
      <c r="L265" s="2009"/>
      <c r="M265" s="1133" t="str">
        <f t="shared" si="9"/>
        <v/>
      </c>
      <c r="N265" s="1134"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
      <c r="A266" s="39"/>
      <c r="B266" s="2003"/>
      <c r="C266" s="2004"/>
      <c r="D266" s="2005"/>
      <c r="E266" s="2006"/>
      <c r="F266" s="2007"/>
      <c r="G266" s="2008"/>
      <c r="H266" s="2008"/>
      <c r="I266" s="2008"/>
      <c r="J266" s="2008"/>
      <c r="K266" s="2008"/>
      <c r="L266" s="2009"/>
      <c r="M266" s="1133" t="str">
        <f t="shared" si="9"/>
        <v/>
      </c>
      <c r="N266" s="1134"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
      <c r="A267" s="39"/>
      <c r="B267" s="2003"/>
      <c r="C267" s="2004"/>
      <c r="D267" s="2005"/>
      <c r="E267" s="2006"/>
      <c r="F267" s="2007"/>
      <c r="G267" s="2008"/>
      <c r="H267" s="2008"/>
      <c r="I267" s="2008"/>
      <c r="J267" s="2008"/>
      <c r="K267" s="2008"/>
      <c r="L267" s="2009"/>
      <c r="M267" s="1133" t="str">
        <f t="shared" si="9"/>
        <v/>
      </c>
      <c r="N267" s="1134"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
      <c r="A268" s="39"/>
      <c r="B268" s="2003"/>
      <c r="C268" s="2004"/>
      <c r="D268" s="2005"/>
      <c r="E268" s="2006"/>
      <c r="F268" s="2007"/>
      <c r="G268" s="2008"/>
      <c r="H268" s="2008"/>
      <c r="I268" s="2008"/>
      <c r="J268" s="2008"/>
      <c r="K268" s="2008"/>
      <c r="L268" s="2009"/>
      <c r="M268" s="1133" t="str">
        <f t="shared" si="9"/>
        <v/>
      </c>
      <c r="N268" s="1134"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
      <c r="A269" s="39"/>
      <c r="B269" s="2003"/>
      <c r="C269" s="2004"/>
      <c r="D269" s="2005"/>
      <c r="E269" s="2006"/>
      <c r="F269" s="2007"/>
      <c r="G269" s="2008"/>
      <c r="H269" s="2008"/>
      <c r="I269" s="2008"/>
      <c r="J269" s="2008"/>
      <c r="K269" s="2008"/>
      <c r="L269" s="2009"/>
      <c r="M269" s="1133" t="str">
        <f t="shared" si="9"/>
        <v/>
      </c>
      <c r="N269" s="1134"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
      <c r="A270" s="39"/>
      <c r="B270" s="2003"/>
      <c r="C270" s="2004"/>
      <c r="D270" s="2005"/>
      <c r="E270" s="2006"/>
      <c r="F270" s="2007"/>
      <c r="G270" s="2008"/>
      <c r="H270" s="2008"/>
      <c r="I270" s="2008"/>
      <c r="J270" s="2008"/>
      <c r="K270" s="2008"/>
      <c r="L270" s="2009"/>
      <c r="M270" s="1133" t="str">
        <f t="shared" si="9"/>
        <v/>
      </c>
      <c r="N270" s="1134"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
      <c r="A271" s="39"/>
      <c r="B271" s="2003"/>
      <c r="C271" s="2004"/>
      <c r="D271" s="2005"/>
      <c r="E271" s="2006"/>
      <c r="F271" s="2007"/>
      <c r="G271" s="2008"/>
      <c r="H271" s="2008"/>
      <c r="I271" s="2008"/>
      <c r="J271" s="2008"/>
      <c r="K271" s="2008"/>
      <c r="L271" s="2009"/>
      <c r="M271" s="1133" t="str">
        <f t="shared" si="9"/>
        <v/>
      </c>
      <c r="N271" s="1134"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
      <c r="A272" s="39"/>
      <c r="B272" s="2003"/>
      <c r="C272" s="2004"/>
      <c r="D272" s="2005"/>
      <c r="E272" s="2006"/>
      <c r="F272" s="2007"/>
      <c r="G272" s="2008"/>
      <c r="H272" s="2008"/>
      <c r="I272" s="2008"/>
      <c r="J272" s="2008"/>
      <c r="K272" s="2008"/>
      <c r="L272" s="2009"/>
      <c r="M272" s="1133" t="str">
        <f t="shared" si="9"/>
        <v/>
      </c>
      <c r="N272" s="1134"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
      <c r="A273" s="39"/>
      <c r="B273" s="2003"/>
      <c r="C273" s="2004"/>
      <c r="D273" s="2005"/>
      <c r="E273" s="2006"/>
      <c r="F273" s="2007"/>
      <c r="G273" s="2008"/>
      <c r="H273" s="2008"/>
      <c r="I273" s="2008"/>
      <c r="J273" s="2008"/>
      <c r="K273" s="2008"/>
      <c r="L273" s="2009"/>
      <c r="M273" s="1133" t="str">
        <f t="shared" si="9"/>
        <v/>
      </c>
      <c r="N273" s="1134"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
      <c r="A274" s="39"/>
      <c r="B274" s="2003"/>
      <c r="C274" s="2004"/>
      <c r="D274" s="2005"/>
      <c r="E274" s="2006"/>
      <c r="F274" s="2007"/>
      <c r="G274" s="2008"/>
      <c r="H274" s="2008"/>
      <c r="I274" s="2008"/>
      <c r="J274" s="2008"/>
      <c r="K274" s="2008"/>
      <c r="L274" s="2009"/>
      <c r="M274" s="1133" t="str">
        <f t="shared" si="9"/>
        <v/>
      </c>
      <c r="N274" s="1134"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
      <c r="A275" s="39"/>
      <c r="B275" s="2003"/>
      <c r="C275" s="2004"/>
      <c r="D275" s="2005"/>
      <c r="E275" s="2006"/>
      <c r="F275" s="2007"/>
      <c r="G275" s="2008"/>
      <c r="H275" s="2008"/>
      <c r="I275" s="2008"/>
      <c r="J275" s="2008"/>
      <c r="K275" s="2008"/>
      <c r="L275" s="2009"/>
      <c r="M275" s="1133" t="str">
        <f t="shared" si="9"/>
        <v/>
      </c>
      <c r="N275" s="1134"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
      <c r="A276" s="39"/>
      <c r="B276" s="2003"/>
      <c r="C276" s="2004"/>
      <c r="D276" s="2005"/>
      <c r="E276" s="2006"/>
      <c r="F276" s="2007"/>
      <c r="G276" s="2008"/>
      <c r="H276" s="2008"/>
      <c r="I276" s="2008"/>
      <c r="J276" s="2008"/>
      <c r="K276" s="2008"/>
      <c r="L276" s="2009"/>
      <c r="M276" s="1133" t="str">
        <f t="shared" si="9"/>
        <v/>
      </c>
      <c r="N276" s="1134"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
      <c r="A277" s="39"/>
      <c r="B277" s="2003"/>
      <c r="C277" s="2004"/>
      <c r="D277" s="2005"/>
      <c r="E277" s="2006"/>
      <c r="F277" s="2007"/>
      <c r="G277" s="2008"/>
      <c r="H277" s="2008"/>
      <c r="I277" s="2008"/>
      <c r="J277" s="2008"/>
      <c r="K277" s="2008"/>
      <c r="L277" s="2009"/>
      <c r="M277" s="1133" t="str">
        <f t="shared" si="9"/>
        <v/>
      </c>
      <c r="N277" s="1134"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
      <c r="A278" s="39"/>
      <c r="B278" s="2003"/>
      <c r="C278" s="2004"/>
      <c r="D278" s="2005"/>
      <c r="E278" s="2006"/>
      <c r="F278" s="2007"/>
      <c r="G278" s="2008"/>
      <c r="H278" s="2008"/>
      <c r="I278" s="2008"/>
      <c r="J278" s="2008"/>
      <c r="K278" s="2008"/>
      <c r="L278" s="2009"/>
      <c r="M278" s="1133" t="str">
        <f t="shared" si="9"/>
        <v/>
      </c>
      <c r="N278" s="1134"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
      <c r="A279" s="39"/>
      <c r="B279" s="2003"/>
      <c r="C279" s="2004"/>
      <c r="D279" s="2005"/>
      <c r="E279" s="2006"/>
      <c r="F279" s="2007"/>
      <c r="G279" s="2008"/>
      <c r="H279" s="2008"/>
      <c r="I279" s="2008"/>
      <c r="J279" s="2008"/>
      <c r="K279" s="2008"/>
      <c r="L279" s="2009"/>
      <c r="M279" s="1133" t="str">
        <f t="shared" si="9"/>
        <v/>
      </c>
      <c r="N279" s="1134"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
      <c r="A280" s="39"/>
      <c r="B280" s="2003"/>
      <c r="C280" s="2004"/>
      <c r="D280" s="2005"/>
      <c r="E280" s="2006"/>
      <c r="F280" s="2007"/>
      <c r="G280" s="2008"/>
      <c r="H280" s="2008"/>
      <c r="I280" s="2008"/>
      <c r="J280" s="2008"/>
      <c r="K280" s="2008"/>
      <c r="L280" s="2009"/>
      <c r="M280" s="1133" t="str">
        <f t="shared" si="9"/>
        <v/>
      </c>
      <c r="N280" s="1134"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
      <c r="A281" s="39"/>
      <c r="B281" s="2003"/>
      <c r="C281" s="2004"/>
      <c r="D281" s="2005"/>
      <c r="E281" s="2006"/>
      <c r="F281" s="2007"/>
      <c r="G281" s="2008"/>
      <c r="H281" s="2008"/>
      <c r="I281" s="2008"/>
      <c r="J281" s="2008"/>
      <c r="K281" s="2008"/>
      <c r="L281" s="2009"/>
      <c r="M281" s="1133" t="str">
        <f t="shared" si="9"/>
        <v/>
      </c>
      <c r="N281" s="1134"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
      <c r="A282" s="39"/>
      <c r="B282" s="2003"/>
      <c r="C282" s="2004"/>
      <c r="D282" s="2005"/>
      <c r="E282" s="2006"/>
      <c r="F282" s="2007"/>
      <c r="G282" s="2008"/>
      <c r="H282" s="2008"/>
      <c r="I282" s="2008"/>
      <c r="J282" s="2008"/>
      <c r="K282" s="2008"/>
      <c r="L282" s="2009"/>
      <c r="M282" s="1133" t="str">
        <f t="shared" si="9"/>
        <v/>
      </c>
      <c r="N282" s="1134"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
      <c r="A283" s="39"/>
      <c r="B283" s="2003"/>
      <c r="C283" s="2004"/>
      <c r="D283" s="2005"/>
      <c r="E283" s="2006"/>
      <c r="F283" s="2007"/>
      <c r="G283" s="2008"/>
      <c r="H283" s="2008"/>
      <c r="I283" s="2008"/>
      <c r="J283" s="2008"/>
      <c r="K283" s="2008"/>
      <c r="L283" s="2009"/>
      <c r="M283" s="1133" t="str">
        <f t="shared" si="9"/>
        <v/>
      </c>
      <c r="N283" s="1134"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
      <c r="A284" s="39"/>
      <c r="B284" s="2003"/>
      <c r="C284" s="2004"/>
      <c r="D284" s="2005"/>
      <c r="E284" s="2006"/>
      <c r="F284" s="2007"/>
      <c r="G284" s="2008"/>
      <c r="H284" s="2008"/>
      <c r="I284" s="2008"/>
      <c r="J284" s="2008"/>
      <c r="K284" s="2008"/>
      <c r="L284" s="2009"/>
      <c r="M284" s="1133" t="str">
        <f t="shared" si="9"/>
        <v/>
      </c>
      <c r="N284" s="1134"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
      <c r="A285" s="39"/>
      <c r="B285" s="2003"/>
      <c r="C285" s="2004"/>
      <c r="D285" s="2005"/>
      <c r="E285" s="2006"/>
      <c r="F285" s="2007"/>
      <c r="G285" s="2008"/>
      <c r="H285" s="2008"/>
      <c r="I285" s="2008"/>
      <c r="J285" s="2008"/>
      <c r="K285" s="2008"/>
      <c r="L285" s="2009"/>
      <c r="M285" s="1133" t="str">
        <f t="shared" si="9"/>
        <v/>
      </c>
      <c r="N285" s="1134"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
      <c r="A286" s="39"/>
      <c r="B286" s="2003"/>
      <c r="C286" s="2004"/>
      <c r="D286" s="2005"/>
      <c r="E286" s="2006"/>
      <c r="F286" s="2007"/>
      <c r="G286" s="2008"/>
      <c r="H286" s="2008"/>
      <c r="I286" s="2008"/>
      <c r="J286" s="2008"/>
      <c r="K286" s="2008"/>
      <c r="L286" s="2009"/>
      <c r="M286" s="1133" t="str">
        <f t="shared" si="9"/>
        <v/>
      </c>
      <c r="N286" s="1134"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
      <c r="A287" s="39"/>
      <c r="B287" s="2003"/>
      <c r="C287" s="2004"/>
      <c r="D287" s="2005"/>
      <c r="E287" s="2006"/>
      <c r="F287" s="2007"/>
      <c r="G287" s="2008"/>
      <c r="H287" s="2008"/>
      <c r="I287" s="2008"/>
      <c r="J287" s="2008"/>
      <c r="K287" s="2008"/>
      <c r="L287" s="2009"/>
      <c r="M287" s="1133" t="str">
        <f t="shared" si="9"/>
        <v/>
      </c>
      <c r="N287" s="1134"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
      <c r="A288" s="39"/>
      <c r="B288" s="2003"/>
      <c r="C288" s="2004"/>
      <c r="D288" s="2005"/>
      <c r="E288" s="2006"/>
      <c r="F288" s="2007"/>
      <c r="G288" s="2008"/>
      <c r="H288" s="2008"/>
      <c r="I288" s="2008"/>
      <c r="J288" s="2008"/>
      <c r="K288" s="2008"/>
      <c r="L288" s="2009"/>
      <c r="M288" s="1133" t="str">
        <f t="shared" si="9"/>
        <v/>
      </c>
      <c r="N288" s="1134"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
      <c r="A289" s="39"/>
      <c r="B289" s="2003"/>
      <c r="C289" s="2004"/>
      <c r="D289" s="2005"/>
      <c r="E289" s="2006"/>
      <c r="F289" s="2007"/>
      <c r="G289" s="2008"/>
      <c r="H289" s="2008"/>
      <c r="I289" s="2008"/>
      <c r="J289" s="2008"/>
      <c r="K289" s="2008"/>
      <c r="L289" s="2009"/>
      <c r="M289" s="1133" t="str">
        <f t="shared" si="9"/>
        <v/>
      </c>
      <c r="N289" s="1134"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
      <c r="A290" s="39"/>
      <c r="B290" s="2003"/>
      <c r="C290" s="2004"/>
      <c r="D290" s="2005"/>
      <c r="E290" s="2006"/>
      <c r="F290" s="2007"/>
      <c r="G290" s="2008"/>
      <c r="H290" s="2008"/>
      <c r="I290" s="2008"/>
      <c r="J290" s="2008"/>
      <c r="K290" s="2008"/>
      <c r="L290" s="2009"/>
      <c r="M290" s="1133" t="str">
        <f t="shared" si="9"/>
        <v/>
      </c>
      <c r="N290" s="1134"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
      <c r="A291" s="39"/>
      <c r="B291" s="2003"/>
      <c r="C291" s="2004"/>
      <c r="D291" s="2005"/>
      <c r="E291" s="2006"/>
      <c r="F291" s="2007"/>
      <c r="G291" s="2008"/>
      <c r="H291" s="2008"/>
      <c r="I291" s="2008"/>
      <c r="J291" s="2008"/>
      <c r="K291" s="2008"/>
      <c r="L291" s="2009"/>
      <c r="M291" s="1133" t="str">
        <f t="shared" si="9"/>
        <v/>
      </c>
      <c r="N291" s="1134"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
      <c r="A292" s="39"/>
      <c r="B292" s="2003"/>
      <c r="C292" s="2004"/>
      <c r="D292" s="2005"/>
      <c r="E292" s="2006"/>
      <c r="F292" s="2007"/>
      <c r="G292" s="2008"/>
      <c r="H292" s="2008"/>
      <c r="I292" s="2008"/>
      <c r="J292" s="2008"/>
      <c r="K292" s="2008"/>
      <c r="L292" s="2009"/>
      <c r="M292" s="1133" t="str">
        <f t="shared" si="9"/>
        <v/>
      </c>
      <c r="N292" s="1134"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
      <c r="A293" s="39"/>
      <c r="B293" s="2003"/>
      <c r="C293" s="2004"/>
      <c r="D293" s="2005"/>
      <c r="E293" s="2006"/>
      <c r="F293" s="2007"/>
      <c r="G293" s="2008"/>
      <c r="H293" s="2008"/>
      <c r="I293" s="2008"/>
      <c r="J293" s="2008"/>
      <c r="K293" s="2008"/>
      <c r="L293" s="2009"/>
      <c r="M293" s="1133" t="str">
        <f t="shared" si="9"/>
        <v/>
      </c>
      <c r="N293" s="1134"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
      <c r="A294" s="39"/>
      <c r="B294" s="2003"/>
      <c r="C294" s="2004"/>
      <c r="D294" s="2005"/>
      <c r="E294" s="2006"/>
      <c r="F294" s="2007"/>
      <c r="G294" s="2008"/>
      <c r="H294" s="2008"/>
      <c r="I294" s="2008"/>
      <c r="J294" s="2008"/>
      <c r="K294" s="2008"/>
      <c r="L294" s="2009"/>
      <c r="M294" s="1133" t="str">
        <f t="shared" si="9"/>
        <v/>
      </c>
      <c r="N294" s="1134"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
      <c r="A295" s="39"/>
      <c r="B295" s="2003"/>
      <c r="C295" s="2004"/>
      <c r="D295" s="2005"/>
      <c r="E295" s="2006"/>
      <c r="F295" s="2007"/>
      <c r="G295" s="2008"/>
      <c r="H295" s="2008"/>
      <c r="I295" s="2008"/>
      <c r="J295" s="2008"/>
      <c r="K295" s="2008"/>
      <c r="L295" s="2009"/>
      <c r="M295" s="1133" t="str">
        <f t="shared" ref="M295:M358" si="11">UPPER(C295)</f>
        <v/>
      </c>
      <c r="N295" s="1134"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
      <c r="A296" s="39"/>
      <c r="B296" s="2003"/>
      <c r="C296" s="2004"/>
      <c r="D296" s="2005"/>
      <c r="E296" s="2006"/>
      <c r="F296" s="2007"/>
      <c r="G296" s="2008"/>
      <c r="H296" s="2008"/>
      <c r="I296" s="2008"/>
      <c r="J296" s="2008"/>
      <c r="K296" s="2008"/>
      <c r="L296" s="2009"/>
      <c r="M296" s="1133" t="str">
        <f t="shared" si="11"/>
        <v/>
      </c>
      <c r="N296" s="1134"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
      <c r="A297" s="39"/>
      <c r="B297" s="2003"/>
      <c r="C297" s="2004"/>
      <c r="D297" s="2005"/>
      <c r="E297" s="2006"/>
      <c r="F297" s="2007"/>
      <c r="G297" s="2008"/>
      <c r="H297" s="2008"/>
      <c r="I297" s="2008"/>
      <c r="J297" s="2008"/>
      <c r="K297" s="2008"/>
      <c r="L297" s="2009"/>
      <c r="M297" s="1133" t="str">
        <f t="shared" si="11"/>
        <v/>
      </c>
      <c r="N297" s="1134"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
      <c r="A298" s="39"/>
      <c r="B298" s="2003"/>
      <c r="C298" s="2004"/>
      <c r="D298" s="2005"/>
      <c r="E298" s="2006"/>
      <c r="F298" s="2007"/>
      <c r="G298" s="2008"/>
      <c r="H298" s="2008"/>
      <c r="I298" s="2008"/>
      <c r="J298" s="2008"/>
      <c r="K298" s="2008"/>
      <c r="L298" s="2009"/>
      <c r="M298" s="1133" t="str">
        <f t="shared" si="11"/>
        <v/>
      </c>
      <c r="N298" s="1134"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
      <c r="A299" s="39"/>
      <c r="B299" s="2003"/>
      <c r="C299" s="2004"/>
      <c r="D299" s="2005"/>
      <c r="E299" s="2006"/>
      <c r="F299" s="2007"/>
      <c r="G299" s="2008"/>
      <c r="H299" s="2008"/>
      <c r="I299" s="2008"/>
      <c r="J299" s="2008"/>
      <c r="K299" s="2008"/>
      <c r="L299" s="2009"/>
      <c r="M299" s="1133" t="str">
        <f t="shared" si="11"/>
        <v/>
      </c>
      <c r="N299" s="1134"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
      <c r="A300" s="39"/>
      <c r="B300" s="2003"/>
      <c r="C300" s="2004"/>
      <c r="D300" s="2005"/>
      <c r="E300" s="2006"/>
      <c r="F300" s="2007"/>
      <c r="G300" s="2008"/>
      <c r="H300" s="2008"/>
      <c r="I300" s="2008"/>
      <c r="J300" s="2008"/>
      <c r="K300" s="2008"/>
      <c r="L300" s="2009"/>
      <c r="M300" s="1133" t="str">
        <f t="shared" si="11"/>
        <v/>
      </c>
      <c r="N300" s="1134"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
      <c r="A301" s="39"/>
      <c r="B301" s="2003"/>
      <c r="C301" s="2004"/>
      <c r="D301" s="2005"/>
      <c r="E301" s="2006"/>
      <c r="F301" s="2007"/>
      <c r="G301" s="2008"/>
      <c r="H301" s="2008"/>
      <c r="I301" s="2008"/>
      <c r="J301" s="2008"/>
      <c r="K301" s="2008"/>
      <c r="L301" s="2009"/>
      <c r="M301" s="1133" t="str">
        <f t="shared" si="11"/>
        <v/>
      </c>
      <c r="N301" s="1134"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
      <c r="A302" s="39"/>
      <c r="B302" s="2003"/>
      <c r="C302" s="2004"/>
      <c r="D302" s="2005"/>
      <c r="E302" s="2006"/>
      <c r="F302" s="2007"/>
      <c r="G302" s="2008"/>
      <c r="H302" s="2008"/>
      <c r="I302" s="2008"/>
      <c r="J302" s="2008"/>
      <c r="K302" s="2008"/>
      <c r="L302" s="2009"/>
      <c r="M302" s="1133" t="str">
        <f t="shared" si="11"/>
        <v/>
      </c>
      <c r="N302" s="1134"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
      <c r="A303" s="39"/>
      <c r="B303" s="2003"/>
      <c r="C303" s="2004"/>
      <c r="D303" s="2005"/>
      <c r="E303" s="2006"/>
      <c r="F303" s="2007"/>
      <c r="G303" s="2008"/>
      <c r="H303" s="2008"/>
      <c r="I303" s="2008"/>
      <c r="J303" s="2008"/>
      <c r="K303" s="2008"/>
      <c r="L303" s="2009"/>
      <c r="M303" s="1133" t="str">
        <f t="shared" si="11"/>
        <v/>
      </c>
      <c r="N303" s="1134"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
      <c r="A304" s="39"/>
      <c r="B304" s="2003"/>
      <c r="C304" s="2004"/>
      <c r="D304" s="2005"/>
      <c r="E304" s="2006"/>
      <c r="F304" s="2007"/>
      <c r="G304" s="2008"/>
      <c r="H304" s="2008"/>
      <c r="I304" s="2008"/>
      <c r="J304" s="2008"/>
      <c r="K304" s="2008"/>
      <c r="L304" s="2009"/>
      <c r="M304" s="1133" t="str">
        <f t="shared" si="11"/>
        <v/>
      </c>
      <c r="N304" s="1134"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
      <c r="A305" s="39"/>
      <c r="B305" s="2003"/>
      <c r="C305" s="2004"/>
      <c r="D305" s="2005"/>
      <c r="E305" s="2006"/>
      <c r="F305" s="2007"/>
      <c r="G305" s="2008"/>
      <c r="H305" s="2008"/>
      <c r="I305" s="2008"/>
      <c r="J305" s="2008"/>
      <c r="K305" s="2008"/>
      <c r="L305" s="2009"/>
      <c r="M305" s="1133" t="str">
        <f t="shared" si="11"/>
        <v/>
      </c>
      <c r="N305" s="1134"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
      <c r="A306" s="39"/>
      <c r="B306" s="2003"/>
      <c r="C306" s="2004"/>
      <c r="D306" s="2005"/>
      <c r="E306" s="2006"/>
      <c r="F306" s="2007"/>
      <c r="G306" s="2008"/>
      <c r="H306" s="2008"/>
      <c r="I306" s="2008"/>
      <c r="J306" s="2008"/>
      <c r="K306" s="2008"/>
      <c r="L306" s="2009"/>
      <c r="M306" s="1133" t="str">
        <f t="shared" si="11"/>
        <v/>
      </c>
      <c r="N306" s="1134"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
      <c r="A307" s="39"/>
      <c r="B307" s="2003"/>
      <c r="C307" s="2004"/>
      <c r="D307" s="2005"/>
      <c r="E307" s="2006"/>
      <c r="F307" s="2007"/>
      <c r="G307" s="2008"/>
      <c r="H307" s="2008"/>
      <c r="I307" s="2008"/>
      <c r="J307" s="2008"/>
      <c r="K307" s="2008"/>
      <c r="L307" s="2009"/>
      <c r="M307" s="1133" t="str">
        <f t="shared" si="11"/>
        <v/>
      </c>
      <c r="N307" s="1134"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
      <c r="A308" s="39"/>
      <c r="B308" s="2003"/>
      <c r="C308" s="2004"/>
      <c r="D308" s="2005"/>
      <c r="E308" s="2006"/>
      <c r="F308" s="2007"/>
      <c r="G308" s="2008"/>
      <c r="H308" s="2008"/>
      <c r="I308" s="2008"/>
      <c r="J308" s="2008"/>
      <c r="K308" s="2008"/>
      <c r="L308" s="2009"/>
      <c r="M308" s="1133" t="str">
        <f t="shared" si="11"/>
        <v/>
      </c>
      <c r="N308" s="1134"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
      <c r="A309" s="39"/>
      <c r="B309" s="2003"/>
      <c r="C309" s="2004"/>
      <c r="D309" s="2005"/>
      <c r="E309" s="2006"/>
      <c r="F309" s="2007"/>
      <c r="G309" s="2008"/>
      <c r="H309" s="2008"/>
      <c r="I309" s="2008"/>
      <c r="J309" s="2008"/>
      <c r="K309" s="2008"/>
      <c r="L309" s="2009"/>
      <c r="M309" s="1133" t="str">
        <f t="shared" si="11"/>
        <v/>
      </c>
      <c r="N309" s="1134"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
      <c r="A310" s="39"/>
      <c r="B310" s="2003"/>
      <c r="C310" s="2004"/>
      <c r="D310" s="2005"/>
      <c r="E310" s="2006"/>
      <c r="F310" s="2007"/>
      <c r="G310" s="2008"/>
      <c r="H310" s="2008"/>
      <c r="I310" s="2008"/>
      <c r="J310" s="2008"/>
      <c r="K310" s="2008"/>
      <c r="L310" s="2009"/>
      <c r="M310" s="1133" t="str">
        <f t="shared" si="11"/>
        <v/>
      </c>
      <c r="N310" s="1134"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
      <c r="A311" s="39"/>
      <c r="B311" s="2003"/>
      <c r="C311" s="2004"/>
      <c r="D311" s="2005"/>
      <c r="E311" s="2006"/>
      <c r="F311" s="2007"/>
      <c r="G311" s="2008"/>
      <c r="H311" s="2008"/>
      <c r="I311" s="2008"/>
      <c r="J311" s="2008"/>
      <c r="K311" s="2008"/>
      <c r="L311" s="2009"/>
      <c r="M311" s="1133" t="str">
        <f t="shared" si="11"/>
        <v/>
      </c>
      <c r="N311" s="1134"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
      <c r="A312" s="39"/>
      <c r="B312" s="2003"/>
      <c r="C312" s="2004"/>
      <c r="D312" s="2005"/>
      <c r="E312" s="2006"/>
      <c r="F312" s="2007"/>
      <c r="G312" s="2008"/>
      <c r="H312" s="2008"/>
      <c r="I312" s="2008"/>
      <c r="J312" s="2008"/>
      <c r="K312" s="2008"/>
      <c r="L312" s="2009"/>
      <c r="M312" s="1133" t="str">
        <f t="shared" si="11"/>
        <v/>
      </c>
      <c r="N312" s="1134"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
      <c r="A313" s="39"/>
      <c r="B313" s="2003"/>
      <c r="C313" s="2004"/>
      <c r="D313" s="2005"/>
      <c r="E313" s="2006"/>
      <c r="F313" s="2007"/>
      <c r="G313" s="2008"/>
      <c r="H313" s="2008"/>
      <c r="I313" s="2008"/>
      <c r="J313" s="2008"/>
      <c r="K313" s="2008"/>
      <c r="L313" s="2009"/>
      <c r="M313" s="1133" t="str">
        <f t="shared" si="11"/>
        <v/>
      </c>
      <c r="N313" s="1134"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
      <c r="A314" s="39"/>
      <c r="B314" s="2003"/>
      <c r="C314" s="2004"/>
      <c r="D314" s="2005"/>
      <c r="E314" s="2006"/>
      <c r="F314" s="2007"/>
      <c r="G314" s="2008"/>
      <c r="H314" s="2008"/>
      <c r="I314" s="2008"/>
      <c r="J314" s="2008"/>
      <c r="K314" s="2008"/>
      <c r="L314" s="2009"/>
      <c r="M314" s="1133" t="str">
        <f t="shared" si="11"/>
        <v/>
      </c>
      <c r="N314" s="1134"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
      <c r="A315" s="39"/>
      <c r="B315" s="2003"/>
      <c r="C315" s="2004"/>
      <c r="D315" s="2005"/>
      <c r="E315" s="2006"/>
      <c r="F315" s="2007"/>
      <c r="G315" s="2008"/>
      <c r="H315" s="2008"/>
      <c r="I315" s="2008"/>
      <c r="J315" s="2008"/>
      <c r="K315" s="2008"/>
      <c r="L315" s="2009"/>
      <c r="M315" s="1133" t="str">
        <f t="shared" si="11"/>
        <v/>
      </c>
      <c r="N315" s="1134"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
      <c r="A316" s="39"/>
      <c r="B316" s="2003"/>
      <c r="C316" s="2004"/>
      <c r="D316" s="2005"/>
      <c r="E316" s="2006"/>
      <c r="F316" s="2007"/>
      <c r="G316" s="2008"/>
      <c r="H316" s="2008"/>
      <c r="I316" s="2008"/>
      <c r="J316" s="2008"/>
      <c r="K316" s="2008"/>
      <c r="L316" s="2009"/>
      <c r="M316" s="1133" t="str">
        <f t="shared" si="11"/>
        <v/>
      </c>
      <c r="N316" s="1134"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
      <c r="A317" s="39"/>
      <c r="B317" s="2003"/>
      <c r="C317" s="2004"/>
      <c r="D317" s="2005"/>
      <c r="E317" s="2006"/>
      <c r="F317" s="2007"/>
      <c r="G317" s="2008"/>
      <c r="H317" s="2008"/>
      <c r="I317" s="2008"/>
      <c r="J317" s="2008"/>
      <c r="K317" s="2008"/>
      <c r="L317" s="2009"/>
      <c r="M317" s="1133" t="str">
        <f t="shared" si="11"/>
        <v/>
      </c>
      <c r="N317" s="1134"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
      <c r="A318" s="39"/>
      <c r="B318" s="2003"/>
      <c r="C318" s="2004"/>
      <c r="D318" s="2005"/>
      <c r="E318" s="2006"/>
      <c r="F318" s="2007"/>
      <c r="G318" s="2008"/>
      <c r="H318" s="2008"/>
      <c r="I318" s="2008"/>
      <c r="J318" s="2008"/>
      <c r="K318" s="2008"/>
      <c r="L318" s="2009"/>
      <c r="M318" s="1133" t="str">
        <f t="shared" si="11"/>
        <v/>
      </c>
      <c r="N318" s="1134"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
      <c r="A319" s="39"/>
      <c r="B319" s="2003"/>
      <c r="C319" s="2004"/>
      <c r="D319" s="2005"/>
      <c r="E319" s="2006"/>
      <c r="F319" s="2007"/>
      <c r="G319" s="2008"/>
      <c r="H319" s="2008"/>
      <c r="I319" s="2008"/>
      <c r="J319" s="2008"/>
      <c r="K319" s="2008"/>
      <c r="L319" s="2009"/>
      <c r="M319" s="1133" t="str">
        <f t="shared" si="11"/>
        <v/>
      </c>
      <c r="N319" s="1134"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
      <c r="A320" s="39"/>
      <c r="B320" s="2003"/>
      <c r="C320" s="2004"/>
      <c r="D320" s="2005"/>
      <c r="E320" s="2006"/>
      <c r="F320" s="2007"/>
      <c r="G320" s="2008"/>
      <c r="H320" s="2008"/>
      <c r="I320" s="2008"/>
      <c r="J320" s="2008"/>
      <c r="K320" s="2008"/>
      <c r="L320" s="2009"/>
      <c r="M320" s="1133" t="str">
        <f t="shared" si="11"/>
        <v/>
      </c>
      <c r="N320" s="1134"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
      <c r="A321" s="39"/>
      <c r="B321" s="2003"/>
      <c r="C321" s="2004"/>
      <c r="D321" s="2005"/>
      <c r="E321" s="2006"/>
      <c r="F321" s="2007"/>
      <c r="G321" s="2008"/>
      <c r="H321" s="2008"/>
      <c r="I321" s="2008"/>
      <c r="J321" s="2008"/>
      <c r="K321" s="2008"/>
      <c r="L321" s="2009"/>
      <c r="M321" s="1133" t="str">
        <f t="shared" si="11"/>
        <v/>
      </c>
      <c r="N321" s="1134"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
      <c r="A322" s="39"/>
      <c r="B322" s="2003"/>
      <c r="C322" s="2004"/>
      <c r="D322" s="2005"/>
      <c r="E322" s="2006"/>
      <c r="F322" s="2007"/>
      <c r="G322" s="2008"/>
      <c r="H322" s="2008"/>
      <c r="I322" s="2008"/>
      <c r="J322" s="2008"/>
      <c r="K322" s="2008"/>
      <c r="L322" s="2009"/>
      <c r="M322" s="1133" t="str">
        <f t="shared" si="11"/>
        <v/>
      </c>
      <c r="N322" s="1134"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
      <c r="A323" s="39"/>
      <c r="B323" s="2003"/>
      <c r="C323" s="2004"/>
      <c r="D323" s="2005"/>
      <c r="E323" s="2006"/>
      <c r="F323" s="2007"/>
      <c r="G323" s="2008"/>
      <c r="H323" s="2008"/>
      <c r="I323" s="2008"/>
      <c r="J323" s="2008"/>
      <c r="K323" s="2008"/>
      <c r="L323" s="2009"/>
      <c r="M323" s="1133" t="str">
        <f t="shared" si="11"/>
        <v/>
      </c>
      <c r="N323" s="1134"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
      <c r="A324" s="39"/>
      <c r="B324" s="2003"/>
      <c r="C324" s="2004"/>
      <c r="D324" s="2005"/>
      <c r="E324" s="2006"/>
      <c r="F324" s="2007"/>
      <c r="G324" s="2008"/>
      <c r="H324" s="2008"/>
      <c r="I324" s="2008"/>
      <c r="J324" s="2008"/>
      <c r="K324" s="2008"/>
      <c r="L324" s="2009"/>
      <c r="M324" s="1133" t="str">
        <f t="shared" si="11"/>
        <v/>
      </c>
      <c r="N324" s="1134"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
      <c r="A325" s="39"/>
      <c r="B325" s="2003"/>
      <c r="C325" s="2004"/>
      <c r="D325" s="2005"/>
      <c r="E325" s="2006"/>
      <c r="F325" s="2007"/>
      <c r="G325" s="2008"/>
      <c r="H325" s="2008"/>
      <c r="I325" s="2008"/>
      <c r="J325" s="2008"/>
      <c r="K325" s="2008"/>
      <c r="L325" s="2009"/>
      <c r="M325" s="1133" t="str">
        <f t="shared" si="11"/>
        <v/>
      </c>
      <c r="N325" s="1134"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
      <c r="A326" s="39"/>
      <c r="B326" s="2003"/>
      <c r="C326" s="2004"/>
      <c r="D326" s="2005"/>
      <c r="E326" s="2006"/>
      <c r="F326" s="2007"/>
      <c r="G326" s="2008"/>
      <c r="H326" s="2008"/>
      <c r="I326" s="2008"/>
      <c r="J326" s="2008"/>
      <c r="K326" s="2008"/>
      <c r="L326" s="2009"/>
      <c r="M326" s="1133" t="str">
        <f t="shared" si="11"/>
        <v/>
      </c>
      <c r="N326" s="1134"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
      <c r="A327" s="39"/>
      <c r="B327" s="2003"/>
      <c r="C327" s="2004"/>
      <c r="D327" s="2005"/>
      <c r="E327" s="2006"/>
      <c r="F327" s="2007"/>
      <c r="G327" s="2008"/>
      <c r="H327" s="2008"/>
      <c r="I327" s="2008"/>
      <c r="J327" s="2008"/>
      <c r="K327" s="2008"/>
      <c r="L327" s="2009"/>
      <c r="M327" s="1133" t="str">
        <f t="shared" si="11"/>
        <v/>
      </c>
      <c r="N327" s="1134"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
      <c r="A328" s="39"/>
      <c r="B328" s="2003"/>
      <c r="C328" s="2004"/>
      <c r="D328" s="2005"/>
      <c r="E328" s="2006"/>
      <c r="F328" s="2007"/>
      <c r="G328" s="2008"/>
      <c r="H328" s="2008"/>
      <c r="I328" s="2008"/>
      <c r="J328" s="2008"/>
      <c r="K328" s="2008"/>
      <c r="L328" s="2009"/>
      <c r="M328" s="1133" t="str">
        <f t="shared" si="11"/>
        <v/>
      </c>
      <c r="N328" s="1134"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
      <c r="A329" s="39"/>
      <c r="B329" s="2003"/>
      <c r="C329" s="2004"/>
      <c r="D329" s="2005"/>
      <c r="E329" s="2006"/>
      <c r="F329" s="2007"/>
      <c r="G329" s="2008"/>
      <c r="H329" s="2008"/>
      <c r="I329" s="2008"/>
      <c r="J329" s="2008"/>
      <c r="K329" s="2008"/>
      <c r="L329" s="2009"/>
      <c r="M329" s="1133" t="str">
        <f t="shared" si="11"/>
        <v/>
      </c>
      <c r="N329" s="1134"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
      <c r="A330" s="39"/>
      <c r="B330" s="2003"/>
      <c r="C330" s="2004"/>
      <c r="D330" s="2005"/>
      <c r="E330" s="2006"/>
      <c r="F330" s="2007"/>
      <c r="G330" s="2008"/>
      <c r="H330" s="2008"/>
      <c r="I330" s="2008"/>
      <c r="J330" s="2008"/>
      <c r="K330" s="2008"/>
      <c r="L330" s="2009"/>
      <c r="M330" s="1133" t="str">
        <f t="shared" si="11"/>
        <v/>
      </c>
      <c r="N330" s="1134"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
      <c r="A331" s="39"/>
      <c r="B331" s="2003"/>
      <c r="C331" s="2004"/>
      <c r="D331" s="2005"/>
      <c r="E331" s="2006"/>
      <c r="F331" s="2007"/>
      <c r="G331" s="2008"/>
      <c r="H331" s="2008"/>
      <c r="I331" s="2008"/>
      <c r="J331" s="2008"/>
      <c r="K331" s="2008"/>
      <c r="L331" s="2009"/>
      <c r="M331" s="1133" t="str">
        <f t="shared" si="11"/>
        <v/>
      </c>
      <c r="N331" s="1134"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
      <c r="A332" s="39"/>
      <c r="B332" s="2003"/>
      <c r="C332" s="2004"/>
      <c r="D332" s="2005"/>
      <c r="E332" s="2006"/>
      <c r="F332" s="2007"/>
      <c r="G332" s="2008"/>
      <c r="H332" s="2008"/>
      <c r="I332" s="2008"/>
      <c r="J332" s="2008"/>
      <c r="K332" s="2008"/>
      <c r="L332" s="2009"/>
      <c r="M332" s="1133" t="str">
        <f t="shared" si="11"/>
        <v/>
      </c>
      <c r="N332" s="1134"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
      <c r="A333" s="39"/>
      <c r="B333" s="2003"/>
      <c r="C333" s="2004"/>
      <c r="D333" s="2005"/>
      <c r="E333" s="2006"/>
      <c r="F333" s="2007"/>
      <c r="G333" s="2008"/>
      <c r="H333" s="2008"/>
      <c r="I333" s="2008"/>
      <c r="J333" s="2008"/>
      <c r="K333" s="2008"/>
      <c r="L333" s="2009"/>
      <c r="M333" s="1133" t="str">
        <f t="shared" si="11"/>
        <v/>
      </c>
      <c r="N333" s="1134"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
      <c r="A334" s="39"/>
      <c r="B334" s="2003"/>
      <c r="C334" s="2004"/>
      <c r="D334" s="2005"/>
      <c r="E334" s="2006"/>
      <c r="F334" s="2007"/>
      <c r="G334" s="2008"/>
      <c r="H334" s="2008"/>
      <c r="I334" s="2008"/>
      <c r="J334" s="2008"/>
      <c r="K334" s="2008"/>
      <c r="L334" s="2009"/>
      <c r="M334" s="1133" t="str">
        <f t="shared" si="11"/>
        <v/>
      </c>
      <c r="N334" s="1134"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
      <c r="A335" s="39"/>
      <c r="B335" s="2003"/>
      <c r="C335" s="2004"/>
      <c r="D335" s="2005"/>
      <c r="E335" s="2006"/>
      <c r="F335" s="2007"/>
      <c r="G335" s="2008"/>
      <c r="H335" s="2008"/>
      <c r="I335" s="2008"/>
      <c r="J335" s="2008"/>
      <c r="K335" s="2008"/>
      <c r="L335" s="2009"/>
      <c r="M335" s="1133" t="str">
        <f t="shared" si="11"/>
        <v/>
      </c>
      <c r="N335" s="1134"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
      <c r="A336" s="39"/>
      <c r="B336" s="2003"/>
      <c r="C336" s="2004"/>
      <c r="D336" s="2005"/>
      <c r="E336" s="2006"/>
      <c r="F336" s="2007"/>
      <c r="G336" s="2008"/>
      <c r="H336" s="2008"/>
      <c r="I336" s="2008"/>
      <c r="J336" s="2008"/>
      <c r="K336" s="2008"/>
      <c r="L336" s="2009"/>
      <c r="M336" s="1133" t="str">
        <f t="shared" si="11"/>
        <v/>
      </c>
      <c r="N336" s="1134"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
      <c r="A337" s="39"/>
      <c r="B337" s="2003"/>
      <c r="C337" s="2004"/>
      <c r="D337" s="2005"/>
      <c r="E337" s="2006"/>
      <c r="F337" s="2007"/>
      <c r="G337" s="2008"/>
      <c r="H337" s="2008"/>
      <c r="I337" s="2008"/>
      <c r="J337" s="2008"/>
      <c r="K337" s="2008"/>
      <c r="L337" s="2009"/>
      <c r="M337" s="1133" t="str">
        <f t="shared" si="11"/>
        <v/>
      </c>
      <c r="N337" s="1134"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
      <c r="A338" s="39"/>
      <c r="B338" s="2003"/>
      <c r="C338" s="2004"/>
      <c r="D338" s="2005"/>
      <c r="E338" s="2006"/>
      <c r="F338" s="2007"/>
      <c r="G338" s="2008"/>
      <c r="H338" s="2008"/>
      <c r="I338" s="2008"/>
      <c r="J338" s="2008"/>
      <c r="K338" s="2008"/>
      <c r="L338" s="2009"/>
      <c r="M338" s="1133" t="str">
        <f t="shared" si="11"/>
        <v/>
      </c>
      <c r="N338" s="1134"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
      <c r="A339" s="39"/>
      <c r="B339" s="2003"/>
      <c r="C339" s="2004"/>
      <c r="D339" s="2005"/>
      <c r="E339" s="2006"/>
      <c r="F339" s="2007"/>
      <c r="G339" s="2008"/>
      <c r="H339" s="2008"/>
      <c r="I339" s="2008"/>
      <c r="J339" s="2008"/>
      <c r="K339" s="2008"/>
      <c r="L339" s="2009"/>
      <c r="M339" s="1133" t="str">
        <f t="shared" si="11"/>
        <v/>
      </c>
      <c r="N339" s="1134"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
      <c r="A340" s="39"/>
      <c r="B340" s="2003"/>
      <c r="C340" s="2004"/>
      <c r="D340" s="2005"/>
      <c r="E340" s="2006"/>
      <c r="F340" s="2007"/>
      <c r="G340" s="2008"/>
      <c r="H340" s="2008"/>
      <c r="I340" s="2008"/>
      <c r="J340" s="2008"/>
      <c r="K340" s="2008"/>
      <c r="L340" s="2009"/>
      <c r="M340" s="1133" t="str">
        <f t="shared" si="11"/>
        <v/>
      </c>
      <c r="N340" s="1134"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
      <c r="A341" s="39"/>
      <c r="B341" s="2003"/>
      <c r="C341" s="2004"/>
      <c r="D341" s="2005"/>
      <c r="E341" s="2006"/>
      <c r="F341" s="2007"/>
      <c r="G341" s="2008"/>
      <c r="H341" s="2008"/>
      <c r="I341" s="2008"/>
      <c r="J341" s="2008"/>
      <c r="K341" s="2008"/>
      <c r="L341" s="2009"/>
      <c r="M341" s="1133" t="str">
        <f t="shared" si="11"/>
        <v/>
      </c>
      <c r="N341" s="1134"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
      <c r="A342" s="39"/>
      <c r="B342" s="2003"/>
      <c r="C342" s="2004"/>
      <c r="D342" s="2005"/>
      <c r="E342" s="2006"/>
      <c r="F342" s="2007"/>
      <c r="G342" s="2008"/>
      <c r="H342" s="2008"/>
      <c r="I342" s="2008"/>
      <c r="J342" s="2008"/>
      <c r="K342" s="2008"/>
      <c r="L342" s="2009"/>
      <c r="M342" s="1133" t="str">
        <f t="shared" si="11"/>
        <v/>
      </c>
      <c r="N342" s="1134"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
      <c r="A343" s="39"/>
      <c r="B343" s="2003"/>
      <c r="C343" s="2004"/>
      <c r="D343" s="2005"/>
      <c r="E343" s="2006"/>
      <c r="F343" s="2007"/>
      <c r="G343" s="2008"/>
      <c r="H343" s="2008"/>
      <c r="I343" s="2008"/>
      <c r="J343" s="2008"/>
      <c r="K343" s="2008"/>
      <c r="L343" s="2009"/>
      <c r="M343" s="1133" t="str">
        <f t="shared" si="11"/>
        <v/>
      </c>
      <c r="N343" s="1134"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
      <c r="A344" s="39"/>
      <c r="B344" s="2003"/>
      <c r="C344" s="2004"/>
      <c r="D344" s="2005"/>
      <c r="E344" s="2006"/>
      <c r="F344" s="2007"/>
      <c r="G344" s="2008"/>
      <c r="H344" s="2008"/>
      <c r="I344" s="2008"/>
      <c r="J344" s="2008"/>
      <c r="K344" s="2008"/>
      <c r="L344" s="2009"/>
      <c r="M344" s="1133" t="str">
        <f t="shared" si="11"/>
        <v/>
      </c>
      <c r="N344" s="1134"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
      <c r="A345" s="39"/>
      <c r="B345" s="2003"/>
      <c r="C345" s="2004"/>
      <c r="D345" s="2005"/>
      <c r="E345" s="2006"/>
      <c r="F345" s="2007"/>
      <c r="G345" s="2008"/>
      <c r="H345" s="2008"/>
      <c r="I345" s="2008"/>
      <c r="J345" s="2008"/>
      <c r="K345" s="2008"/>
      <c r="L345" s="2009"/>
      <c r="M345" s="1133" t="str">
        <f t="shared" si="11"/>
        <v/>
      </c>
      <c r="N345" s="1134"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
      <c r="A346" s="39"/>
      <c r="B346" s="2003"/>
      <c r="C346" s="2004"/>
      <c r="D346" s="2005"/>
      <c r="E346" s="2006"/>
      <c r="F346" s="2007"/>
      <c r="G346" s="2008"/>
      <c r="H346" s="2008"/>
      <c r="I346" s="2008"/>
      <c r="J346" s="2008"/>
      <c r="K346" s="2008"/>
      <c r="L346" s="2009"/>
      <c r="M346" s="1133" t="str">
        <f t="shared" si="11"/>
        <v/>
      </c>
      <c r="N346" s="1134"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
      <c r="A347" s="39"/>
      <c r="B347" s="2003"/>
      <c r="C347" s="2004"/>
      <c r="D347" s="2005"/>
      <c r="E347" s="2006"/>
      <c r="F347" s="2007"/>
      <c r="G347" s="2008"/>
      <c r="H347" s="2008"/>
      <c r="I347" s="2008"/>
      <c r="J347" s="2008"/>
      <c r="K347" s="2008"/>
      <c r="L347" s="2009"/>
      <c r="M347" s="1133" t="str">
        <f t="shared" si="11"/>
        <v/>
      </c>
      <c r="N347" s="1134"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
      <c r="A348" s="39"/>
      <c r="B348" s="2003"/>
      <c r="C348" s="2004"/>
      <c r="D348" s="2005"/>
      <c r="E348" s="2006"/>
      <c r="F348" s="2007"/>
      <c r="G348" s="2008"/>
      <c r="H348" s="2008"/>
      <c r="I348" s="2008"/>
      <c r="J348" s="2008"/>
      <c r="K348" s="2008"/>
      <c r="L348" s="2009"/>
      <c r="M348" s="1133" t="str">
        <f t="shared" si="11"/>
        <v/>
      </c>
      <c r="N348" s="1134"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
      <c r="A349" s="39"/>
      <c r="B349" s="2003"/>
      <c r="C349" s="2004"/>
      <c r="D349" s="2005"/>
      <c r="E349" s="2006"/>
      <c r="F349" s="2007"/>
      <c r="G349" s="2008"/>
      <c r="H349" s="2008"/>
      <c r="I349" s="2008"/>
      <c r="J349" s="2008"/>
      <c r="K349" s="2008"/>
      <c r="L349" s="2009"/>
      <c r="M349" s="1133" t="str">
        <f t="shared" si="11"/>
        <v/>
      </c>
      <c r="N349" s="1134"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
      <c r="A350" s="39"/>
      <c r="B350" s="2003"/>
      <c r="C350" s="2004"/>
      <c r="D350" s="2005"/>
      <c r="E350" s="2006"/>
      <c r="F350" s="2007"/>
      <c r="G350" s="2008"/>
      <c r="H350" s="2008"/>
      <c r="I350" s="2008"/>
      <c r="J350" s="2008"/>
      <c r="K350" s="2008"/>
      <c r="L350" s="2009"/>
      <c r="M350" s="1133" t="str">
        <f t="shared" si="11"/>
        <v/>
      </c>
      <c r="N350" s="1134"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
      <c r="A351" s="39"/>
      <c r="B351" s="2003"/>
      <c r="C351" s="2004"/>
      <c r="D351" s="2005"/>
      <c r="E351" s="2006"/>
      <c r="F351" s="2007"/>
      <c r="G351" s="2008"/>
      <c r="H351" s="2008"/>
      <c r="I351" s="2008"/>
      <c r="J351" s="2008"/>
      <c r="K351" s="2008"/>
      <c r="L351" s="2009"/>
      <c r="M351" s="1133" t="str">
        <f t="shared" si="11"/>
        <v/>
      </c>
      <c r="N351" s="1134"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
      <c r="A352" s="39"/>
      <c r="B352" s="2003"/>
      <c r="C352" s="2004"/>
      <c r="D352" s="2005"/>
      <c r="E352" s="2006"/>
      <c r="F352" s="2007"/>
      <c r="G352" s="2008"/>
      <c r="H352" s="2008"/>
      <c r="I352" s="2008"/>
      <c r="J352" s="2008"/>
      <c r="K352" s="2008"/>
      <c r="L352" s="2009"/>
      <c r="M352" s="1133" t="str">
        <f t="shared" si="11"/>
        <v/>
      </c>
      <c r="N352" s="1134"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
      <c r="A353" s="39"/>
      <c r="B353" s="2003"/>
      <c r="C353" s="2004"/>
      <c r="D353" s="2005"/>
      <c r="E353" s="2006"/>
      <c r="F353" s="2007"/>
      <c r="G353" s="2008"/>
      <c r="H353" s="2008"/>
      <c r="I353" s="2008"/>
      <c r="J353" s="2008"/>
      <c r="K353" s="2008"/>
      <c r="L353" s="2009"/>
      <c r="M353" s="1133" t="str">
        <f t="shared" si="11"/>
        <v/>
      </c>
      <c r="N353" s="1134"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
      <c r="A354" s="39"/>
      <c r="B354" s="2003"/>
      <c r="C354" s="2004"/>
      <c r="D354" s="2005"/>
      <c r="E354" s="2006"/>
      <c r="F354" s="2007"/>
      <c r="G354" s="2008"/>
      <c r="H354" s="2008"/>
      <c r="I354" s="2008"/>
      <c r="J354" s="2008"/>
      <c r="K354" s="2008"/>
      <c r="L354" s="2009"/>
      <c r="M354" s="1133" t="str">
        <f t="shared" si="11"/>
        <v/>
      </c>
      <c r="N354" s="1134"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
      <c r="A355" s="39"/>
      <c r="B355" s="2003"/>
      <c r="C355" s="2004"/>
      <c r="D355" s="2005"/>
      <c r="E355" s="2006"/>
      <c r="F355" s="2007"/>
      <c r="G355" s="2008"/>
      <c r="H355" s="2008"/>
      <c r="I355" s="2008"/>
      <c r="J355" s="2008"/>
      <c r="K355" s="2008"/>
      <c r="L355" s="2009"/>
      <c r="M355" s="1133" t="str">
        <f t="shared" si="11"/>
        <v/>
      </c>
      <c r="N355" s="1134"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
      <c r="A356" s="39"/>
      <c r="B356" s="2003"/>
      <c r="C356" s="2004"/>
      <c r="D356" s="2005"/>
      <c r="E356" s="2006"/>
      <c r="F356" s="2007"/>
      <c r="G356" s="2008"/>
      <c r="H356" s="2008"/>
      <c r="I356" s="2008"/>
      <c r="J356" s="2008"/>
      <c r="K356" s="2008"/>
      <c r="L356" s="2009"/>
      <c r="M356" s="1133" t="str">
        <f t="shared" si="11"/>
        <v/>
      </c>
      <c r="N356" s="1134"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
      <c r="A357" s="39"/>
      <c r="B357" s="2003"/>
      <c r="C357" s="2004"/>
      <c r="D357" s="2005"/>
      <c r="E357" s="2006"/>
      <c r="F357" s="2007"/>
      <c r="G357" s="2008"/>
      <c r="H357" s="2008"/>
      <c r="I357" s="2008"/>
      <c r="J357" s="2008"/>
      <c r="K357" s="2008"/>
      <c r="L357" s="2009"/>
      <c r="M357" s="1133" t="str">
        <f t="shared" si="11"/>
        <v/>
      </c>
      <c r="N357" s="1134"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
      <c r="A358" s="39"/>
      <c r="B358" s="2003"/>
      <c r="C358" s="2004"/>
      <c r="D358" s="2005"/>
      <c r="E358" s="2006"/>
      <c r="F358" s="2007"/>
      <c r="G358" s="2008"/>
      <c r="H358" s="2008"/>
      <c r="I358" s="2008"/>
      <c r="J358" s="2008"/>
      <c r="K358" s="2008"/>
      <c r="L358" s="2009"/>
      <c r="M358" s="1133" t="str">
        <f t="shared" si="11"/>
        <v/>
      </c>
      <c r="N358" s="1134"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
      <c r="A359" s="39"/>
      <c r="B359" s="2003"/>
      <c r="C359" s="2004"/>
      <c r="D359" s="2005"/>
      <c r="E359" s="2006"/>
      <c r="F359" s="2007"/>
      <c r="G359" s="2008"/>
      <c r="H359" s="2008"/>
      <c r="I359" s="2008"/>
      <c r="J359" s="2008"/>
      <c r="K359" s="2008"/>
      <c r="L359" s="2009"/>
      <c r="M359" s="1133" t="str">
        <f t="shared" ref="M359:M422" si="13">UPPER(C359)</f>
        <v/>
      </c>
      <c r="N359" s="1134"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
      <c r="A360" s="39"/>
      <c r="B360" s="2003"/>
      <c r="C360" s="2004"/>
      <c r="D360" s="2005"/>
      <c r="E360" s="2006"/>
      <c r="F360" s="2007"/>
      <c r="G360" s="2008"/>
      <c r="H360" s="2008"/>
      <c r="I360" s="2008"/>
      <c r="J360" s="2008"/>
      <c r="K360" s="2008"/>
      <c r="L360" s="2009"/>
      <c r="M360" s="1133" t="str">
        <f t="shared" si="13"/>
        <v/>
      </c>
      <c r="N360" s="1134"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
      <c r="A361" s="39"/>
      <c r="B361" s="2003"/>
      <c r="C361" s="2004"/>
      <c r="D361" s="2005"/>
      <c r="E361" s="2006"/>
      <c r="F361" s="2007"/>
      <c r="G361" s="2008"/>
      <c r="H361" s="2008"/>
      <c r="I361" s="2008"/>
      <c r="J361" s="2008"/>
      <c r="K361" s="2008"/>
      <c r="L361" s="2009"/>
      <c r="M361" s="1133" t="str">
        <f t="shared" si="13"/>
        <v/>
      </c>
      <c r="N361" s="1134"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
      <c r="A362" s="39"/>
      <c r="B362" s="2003"/>
      <c r="C362" s="2004"/>
      <c r="D362" s="2005"/>
      <c r="E362" s="2006"/>
      <c r="F362" s="2007"/>
      <c r="G362" s="2008"/>
      <c r="H362" s="2008"/>
      <c r="I362" s="2008"/>
      <c r="J362" s="2008"/>
      <c r="K362" s="2008"/>
      <c r="L362" s="2009"/>
      <c r="M362" s="1133" t="str">
        <f t="shared" si="13"/>
        <v/>
      </c>
      <c r="N362" s="1134"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
      <c r="A363" s="39"/>
      <c r="B363" s="2003"/>
      <c r="C363" s="2004"/>
      <c r="D363" s="2005"/>
      <c r="E363" s="2006"/>
      <c r="F363" s="2007"/>
      <c r="G363" s="2008"/>
      <c r="H363" s="2008"/>
      <c r="I363" s="2008"/>
      <c r="J363" s="2008"/>
      <c r="K363" s="2008"/>
      <c r="L363" s="2009"/>
      <c r="M363" s="1133" t="str">
        <f t="shared" si="13"/>
        <v/>
      </c>
      <c r="N363" s="1134"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
      <c r="A364" s="39"/>
      <c r="B364" s="2003"/>
      <c r="C364" s="2004"/>
      <c r="D364" s="2005"/>
      <c r="E364" s="2006"/>
      <c r="F364" s="2007"/>
      <c r="G364" s="2008"/>
      <c r="H364" s="2008"/>
      <c r="I364" s="2008"/>
      <c r="J364" s="2008"/>
      <c r="K364" s="2008"/>
      <c r="L364" s="2009"/>
      <c r="M364" s="1133" t="str">
        <f t="shared" si="13"/>
        <v/>
      </c>
      <c r="N364" s="1134"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
      <c r="A365" s="39"/>
      <c r="B365" s="2003"/>
      <c r="C365" s="2004"/>
      <c r="D365" s="2005"/>
      <c r="E365" s="2006"/>
      <c r="F365" s="2007"/>
      <c r="G365" s="2008"/>
      <c r="H365" s="2008"/>
      <c r="I365" s="2008"/>
      <c r="J365" s="2008"/>
      <c r="K365" s="2008"/>
      <c r="L365" s="2009"/>
      <c r="M365" s="1133" t="str">
        <f t="shared" si="13"/>
        <v/>
      </c>
      <c r="N365" s="1134"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
      <c r="A366" s="39"/>
      <c r="B366" s="2003"/>
      <c r="C366" s="2004"/>
      <c r="D366" s="2005"/>
      <c r="E366" s="2006"/>
      <c r="F366" s="2007"/>
      <c r="G366" s="2008"/>
      <c r="H366" s="2008"/>
      <c r="I366" s="2008"/>
      <c r="J366" s="2008"/>
      <c r="K366" s="2008"/>
      <c r="L366" s="2009"/>
      <c r="M366" s="1133" t="str">
        <f t="shared" si="13"/>
        <v/>
      </c>
      <c r="N366" s="1134"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
      <c r="A367" s="39"/>
      <c r="B367" s="2003"/>
      <c r="C367" s="2004"/>
      <c r="D367" s="2005"/>
      <c r="E367" s="2006"/>
      <c r="F367" s="2007"/>
      <c r="G367" s="2008"/>
      <c r="H367" s="2008"/>
      <c r="I367" s="2008"/>
      <c r="J367" s="2008"/>
      <c r="K367" s="2008"/>
      <c r="L367" s="2009"/>
      <c r="M367" s="1133" t="str">
        <f t="shared" si="13"/>
        <v/>
      </c>
      <c r="N367" s="1134"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
      <c r="A368" s="39"/>
      <c r="B368" s="2003"/>
      <c r="C368" s="2004"/>
      <c r="D368" s="2005"/>
      <c r="E368" s="2006"/>
      <c r="F368" s="2007"/>
      <c r="G368" s="2008"/>
      <c r="H368" s="2008"/>
      <c r="I368" s="2008"/>
      <c r="J368" s="2008"/>
      <c r="K368" s="2008"/>
      <c r="L368" s="2009"/>
      <c r="M368" s="1133" t="str">
        <f t="shared" si="13"/>
        <v/>
      </c>
      <c r="N368" s="1134"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
      <c r="A369" s="39"/>
      <c r="B369" s="2003"/>
      <c r="C369" s="2004"/>
      <c r="D369" s="2005"/>
      <c r="E369" s="2006"/>
      <c r="F369" s="2007"/>
      <c r="G369" s="2008"/>
      <c r="H369" s="2008"/>
      <c r="I369" s="2008"/>
      <c r="J369" s="2008"/>
      <c r="K369" s="2008"/>
      <c r="L369" s="2009"/>
      <c r="M369" s="1133" t="str">
        <f t="shared" si="13"/>
        <v/>
      </c>
      <c r="N369" s="1134"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
      <c r="A370" s="39"/>
      <c r="B370" s="2003"/>
      <c r="C370" s="2004"/>
      <c r="D370" s="2005"/>
      <c r="E370" s="2006"/>
      <c r="F370" s="2007"/>
      <c r="G370" s="2008"/>
      <c r="H370" s="2008"/>
      <c r="I370" s="2008"/>
      <c r="J370" s="2008"/>
      <c r="K370" s="2008"/>
      <c r="L370" s="2009"/>
      <c r="M370" s="1133" t="str">
        <f t="shared" si="13"/>
        <v/>
      </c>
      <c r="N370" s="1134"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
      <c r="A371" s="39"/>
      <c r="B371" s="2003"/>
      <c r="C371" s="2004"/>
      <c r="D371" s="2005"/>
      <c r="E371" s="2006"/>
      <c r="F371" s="2007"/>
      <c r="G371" s="2008"/>
      <c r="H371" s="2008"/>
      <c r="I371" s="2008"/>
      <c r="J371" s="2008"/>
      <c r="K371" s="2008"/>
      <c r="L371" s="2009"/>
      <c r="M371" s="1133" t="str">
        <f t="shared" si="13"/>
        <v/>
      </c>
      <c r="N371" s="1134"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
      <c r="A372" s="39"/>
      <c r="B372" s="2003"/>
      <c r="C372" s="2004"/>
      <c r="D372" s="2005"/>
      <c r="E372" s="2006"/>
      <c r="F372" s="2007"/>
      <c r="G372" s="2008"/>
      <c r="H372" s="2008"/>
      <c r="I372" s="2008"/>
      <c r="J372" s="2008"/>
      <c r="K372" s="2008"/>
      <c r="L372" s="2009"/>
      <c r="M372" s="1133" t="str">
        <f t="shared" si="13"/>
        <v/>
      </c>
      <c r="N372" s="1134"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
      <c r="A373" s="39"/>
      <c r="B373" s="2003"/>
      <c r="C373" s="2004"/>
      <c r="D373" s="2005"/>
      <c r="E373" s="2006"/>
      <c r="F373" s="2007"/>
      <c r="G373" s="2008"/>
      <c r="H373" s="2008"/>
      <c r="I373" s="2008"/>
      <c r="J373" s="2008"/>
      <c r="K373" s="2008"/>
      <c r="L373" s="2009"/>
      <c r="M373" s="1133" t="str">
        <f t="shared" si="13"/>
        <v/>
      </c>
      <c r="N373" s="1134"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
      <c r="A374" s="39"/>
      <c r="B374" s="2003"/>
      <c r="C374" s="2004"/>
      <c r="D374" s="2005"/>
      <c r="E374" s="2006"/>
      <c r="F374" s="2007"/>
      <c r="G374" s="2008"/>
      <c r="H374" s="2008"/>
      <c r="I374" s="2008"/>
      <c r="J374" s="2008"/>
      <c r="K374" s="2008"/>
      <c r="L374" s="2009"/>
      <c r="M374" s="1133" t="str">
        <f t="shared" si="13"/>
        <v/>
      </c>
      <c r="N374" s="1134"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
      <c r="A375" s="39"/>
      <c r="B375" s="2003"/>
      <c r="C375" s="2004"/>
      <c r="D375" s="2005"/>
      <c r="E375" s="2006"/>
      <c r="F375" s="2007"/>
      <c r="G375" s="2008"/>
      <c r="H375" s="2008"/>
      <c r="I375" s="2008"/>
      <c r="J375" s="2008"/>
      <c r="K375" s="2008"/>
      <c r="L375" s="2009"/>
      <c r="M375" s="1133" t="str">
        <f t="shared" si="13"/>
        <v/>
      </c>
      <c r="N375" s="1134"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
      <c r="A376" s="39"/>
      <c r="B376" s="2003"/>
      <c r="C376" s="2004"/>
      <c r="D376" s="2005"/>
      <c r="E376" s="2006"/>
      <c r="F376" s="2007"/>
      <c r="G376" s="2008"/>
      <c r="H376" s="2008"/>
      <c r="I376" s="2008"/>
      <c r="J376" s="2008"/>
      <c r="K376" s="2008"/>
      <c r="L376" s="2009"/>
      <c r="M376" s="1133" t="str">
        <f t="shared" si="13"/>
        <v/>
      </c>
      <c r="N376" s="1134"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
      <c r="A377" s="39"/>
      <c r="B377" s="2003"/>
      <c r="C377" s="2004"/>
      <c r="D377" s="2005"/>
      <c r="E377" s="2006"/>
      <c r="F377" s="2007"/>
      <c r="G377" s="2008"/>
      <c r="H377" s="2008"/>
      <c r="I377" s="2008"/>
      <c r="J377" s="2008"/>
      <c r="K377" s="2008"/>
      <c r="L377" s="2009"/>
      <c r="M377" s="1133" t="str">
        <f t="shared" si="13"/>
        <v/>
      </c>
      <c r="N377" s="1134"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
      <c r="A378" s="39"/>
      <c r="B378" s="2003"/>
      <c r="C378" s="2004"/>
      <c r="D378" s="2005"/>
      <c r="E378" s="2006"/>
      <c r="F378" s="2007"/>
      <c r="G378" s="2008"/>
      <c r="H378" s="2008"/>
      <c r="I378" s="2008"/>
      <c r="J378" s="2008"/>
      <c r="K378" s="2008"/>
      <c r="L378" s="2009"/>
      <c r="M378" s="1133" t="str">
        <f t="shared" si="13"/>
        <v/>
      </c>
      <c r="N378" s="1134"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
      <c r="A379" s="39"/>
      <c r="B379" s="2003"/>
      <c r="C379" s="2004"/>
      <c r="D379" s="2005"/>
      <c r="E379" s="2006"/>
      <c r="F379" s="2007"/>
      <c r="G379" s="2008"/>
      <c r="H379" s="2008"/>
      <c r="I379" s="2008"/>
      <c r="J379" s="2008"/>
      <c r="K379" s="2008"/>
      <c r="L379" s="2009"/>
      <c r="M379" s="1133" t="str">
        <f t="shared" si="13"/>
        <v/>
      </c>
      <c r="N379" s="1134"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
      <c r="A380" s="39"/>
      <c r="B380" s="2003"/>
      <c r="C380" s="2004"/>
      <c r="D380" s="2005"/>
      <c r="E380" s="2006"/>
      <c r="F380" s="2007"/>
      <c r="G380" s="2008"/>
      <c r="H380" s="2008"/>
      <c r="I380" s="2008"/>
      <c r="J380" s="2008"/>
      <c r="K380" s="2008"/>
      <c r="L380" s="2009"/>
      <c r="M380" s="1133" t="str">
        <f t="shared" si="13"/>
        <v/>
      </c>
      <c r="N380" s="1134"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
      <c r="A381" s="39"/>
      <c r="B381" s="2003"/>
      <c r="C381" s="2004"/>
      <c r="D381" s="2005"/>
      <c r="E381" s="2006"/>
      <c r="F381" s="2007"/>
      <c r="G381" s="2008"/>
      <c r="H381" s="2008"/>
      <c r="I381" s="2008"/>
      <c r="J381" s="2008"/>
      <c r="K381" s="2008"/>
      <c r="L381" s="2009"/>
      <c r="M381" s="1133" t="str">
        <f t="shared" si="13"/>
        <v/>
      </c>
      <c r="N381" s="1134"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
      <c r="A382" s="39"/>
      <c r="B382" s="2003"/>
      <c r="C382" s="2004"/>
      <c r="D382" s="2005"/>
      <c r="E382" s="2006"/>
      <c r="F382" s="2007"/>
      <c r="G382" s="2008"/>
      <c r="H382" s="2008"/>
      <c r="I382" s="2008"/>
      <c r="J382" s="2008"/>
      <c r="K382" s="2008"/>
      <c r="L382" s="2009"/>
      <c r="M382" s="1133" t="str">
        <f t="shared" si="13"/>
        <v/>
      </c>
      <c r="N382" s="1134"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
      <c r="A383" s="39"/>
      <c r="B383" s="2003"/>
      <c r="C383" s="2004"/>
      <c r="D383" s="2005"/>
      <c r="E383" s="2006"/>
      <c r="F383" s="2007"/>
      <c r="G383" s="2008"/>
      <c r="H383" s="2008"/>
      <c r="I383" s="2008"/>
      <c r="J383" s="2008"/>
      <c r="K383" s="2008"/>
      <c r="L383" s="2009"/>
      <c r="M383" s="1133" t="str">
        <f t="shared" si="13"/>
        <v/>
      </c>
      <c r="N383" s="1134"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
      <c r="A384" s="39"/>
      <c r="B384" s="2003"/>
      <c r="C384" s="2004"/>
      <c r="D384" s="2005"/>
      <c r="E384" s="2006"/>
      <c r="F384" s="2007"/>
      <c r="G384" s="2008"/>
      <c r="H384" s="2008"/>
      <c r="I384" s="2008"/>
      <c r="J384" s="2008"/>
      <c r="K384" s="2008"/>
      <c r="L384" s="2009"/>
      <c r="M384" s="1133" t="str">
        <f t="shared" si="13"/>
        <v/>
      </c>
      <c r="N384" s="1134"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
      <c r="A385" s="39"/>
      <c r="B385" s="2003"/>
      <c r="C385" s="2004"/>
      <c r="D385" s="2005"/>
      <c r="E385" s="2006"/>
      <c r="F385" s="2007"/>
      <c r="G385" s="2008"/>
      <c r="H385" s="2008"/>
      <c r="I385" s="2008"/>
      <c r="J385" s="2008"/>
      <c r="K385" s="2008"/>
      <c r="L385" s="2009"/>
      <c r="M385" s="1133" t="str">
        <f t="shared" si="13"/>
        <v/>
      </c>
      <c r="N385" s="1134"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
      <c r="A386" s="39"/>
      <c r="B386" s="2003"/>
      <c r="C386" s="2004"/>
      <c r="D386" s="2005"/>
      <c r="E386" s="2006"/>
      <c r="F386" s="2007"/>
      <c r="G386" s="2008"/>
      <c r="H386" s="2008"/>
      <c r="I386" s="2008"/>
      <c r="J386" s="2008"/>
      <c r="K386" s="2008"/>
      <c r="L386" s="2009"/>
      <c r="M386" s="1133" t="str">
        <f t="shared" si="13"/>
        <v/>
      </c>
      <c r="N386" s="1134"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
      <c r="A387" s="39"/>
      <c r="B387" s="2003"/>
      <c r="C387" s="2004"/>
      <c r="D387" s="2005"/>
      <c r="E387" s="2006"/>
      <c r="F387" s="2007"/>
      <c r="G387" s="2008"/>
      <c r="H387" s="2008"/>
      <c r="I387" s="2008"/>
      <c r="J387" s="2008"/>
      <c r="K387" s="2008"/>
      <c r="L387" s="2009"/>
      <c r="M387" s="1133" t="str">
        <f t="shared" si="13"/>
        <v/>
      </c>
      <c r="N387" s="1134"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
      <c r="A388" s="39"/>
      <c r="B388" s="2003"/>
      <c r="C388" s="2004"/>
      <c r="D388" s="2005"/>
      <c r="E388" s="2006"/>
      <c r="F388" s="2007"/>
      <c r="G388" s="2008"/>
      <c r="H388" s="2008"/>
      <c r="I388" s="2008"/>
      <c r="J388" s="2008"/>
      <c r="K388" s="2008"/>
      <c r="L388" s="2009"/>
      <c r="M388" s="1133" t="str">
        <f t="shared" si="13"/>
        <v/>
      </c>
      <c r="N388" s="1134"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
      <c r="A389" s="39"/>
      <c r="B389" s="2003"/>
      <c r="C389" s="2004"/>
      <c r="D389" s="2005"/>
      <c r="E389" s="2006"/>
      <c r="F389" s="2007"/>
      <c r="G389" s="2008"/>
      <c r="H389" s="2008"/>
      <c r="I389" s="2008"/>
      <c r="J389" s="2008"/>
      <c r="K389" s="2008"/>
      <c r="L389" s="2009"/>
      <c r="M389" s="1133" t="str">
        <f t="shared" si="13"/>
        <v/>
      </c>
      <c r="N389" s="1134"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
      <c r="A390" s="39"/>
      <c r="B390" s="2003"/>
      <c r="C390" s="2004"/>
      <c r="D390" s="2005"/>
      <c r="E390" s="2006"/>
      <c r="F390" s="2007"/>
      <c r="G390" s="2008"/>
      <c r="H390" s="2008"/>
      <c r="I390" s="2008"/>
      <c r="J390" s="2008"/>
      <c r="K390" s="2008"/>
      <c r="L390" s="2009"/>
      <c r="M390" s="1133" t="str">
        <f t="shared" si="13"/>
        <v/>
      </c>
      <c r="N390" s="1134"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
      <c r="A391" s="39"/>
      <c r="B391" s="2003"/>
      <c r="C391" s="2004"/>
      <c r="D391" s="2005"/>
      <c r="E391" s="2006"/>
      <c r="F391" s="2007"/>
      <c r="G391" s="2008"/>
      <c r="H391" s="2008"/>
      <c r="I391" s="2008"/>
      <c r="J391" s="2008"/>
      <c r="K391" s="2008"/>
      <c r="L391" s="2009"/>
      <c r="M391" s="1133" t="str">
        <f t="shared" si="13"/>
        <v/>
      </c>
      <c r="N391" s="1134"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
      <c r="A392" s="39"/>
      <c r="B392" s="2003"/>
      <c r="C392" s="2004"/>
      <c r="D392" s="2005"/>
      <c r="E392" s="2006"/>
      <c r="F392" s="2007"/>
      <c r="G392" s="2008"/>
      <c r="H392" s="2008"/>
      <c r="I392" s="2008"/>
      <c r="J392" s="2008"/>
      <c r="K392" s="2008"/>
      <c r="L392" s="2009"/>
      <c r="M392" s="1133" t="str">
        <f t="shared" si="13"/>
        <v/>
      </c>
      <c r="N392" s="1134"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
      <c r="A393" s="39"/>
      <c r="B393" s="2003"/>
      <c r="C393" s="2004"/>
      <c r="D393" s="2005"/>
      <c r="E393" s="2006"/>
      <c r="F393" s="2007"/>
      <c r="G393" s="2008"/>
      <c r="H393" s="2008"/>
      <c r="I393" s="2008"/>
      <c r="J393" s="2008"/>
      <c r="K393" s="2008"/>
      <c r="L393" s="2009"/>
      <c r="M393" s="1133" t="str">
        <f t="shared" si="13"/>
        <v/>
      </c>
      <c r="N393" s="1134"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
      <c r="A394" s="39"/>
      <c r="B394" s="2003"/>
      <c r="C394" s="2004"/>
      <c r="D394" s="2005"/>
      <c r="E394" s="2006"/>
      <c r="F394" s="2007"/>
      <c r="G394" s="2008"/>
      <c r="H394" s="2008"/>
      <c r="I394" s="2008"/>
      <c r="J394" s="2008"/>
      <c r="K394" s="2008"/>
      <c r="L394" s="2009"/>
      <c r="M394" s="1133" t="str">
        <f t="shared" si="13"/>
        <v/>
      </c>
      <c r="N394" s="1134"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
      <c r="A395" s="39"/>
      <c r="B395" s="2003"/>
      <c r="C395" s="2004"/>
      <c r="D395" s="2005"/>
      <c r="E395" s="2006"/>
      <c r="F395" s="2007"/>
      <c r="G395" s="2008"/>
      <c r="H395" s="2008"/>
      <c r="I395" s="2008"/>
      <c r="J395" s="2008"/>
      <c r="K395" s="2008"/>
      <c r="L395" s="2009"/>
      <c r="M395" s="1133" t="str">
        <f t="shared" si="13"/>
        <v/>
      </c>
      <c r="N395" s="1134"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
      <c r="A396" s="39"/>
      <c r="B396" s="2003"/>
      <c r="C396" s="2004"/>
      <c r="D396" s="2005"/>
      <c r="E396" s="2006"/>
      <c r="F396" s="2007"/>
      <c r="G396" s="2008"/>
      <c r="H396" s="2008"/>
      <c r="I396" s="2008"/>
      <c r="J396" s="2008"/>
      <c r="K396" s="2008"/>
      <c r="L396" s="2009"/>
      <c r="M396" s="1133" t="str">
        <f t="shared" si="13"/>
        <v/>
      </c>
      <c r="N396" s="1134"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
      <c r="A397" s="39"/>
      <c r="B397" s="2003"/>
      <c r="C397" s="2004"/>
      <c r="D397" s="2005"/>
      <c r="E397" s="2006"/>
      <c r="F397" s="2007"/>
      <c r="G397" s="2008"/>
      <c r="H397" s="2008"/>
      <c r="I397" s="2008"/>
      <c r="J397" s="2008"/>
      <c r="K397" s="2008"/>
      <c r="L397" s="2009"/>
      <c r="M397" s="1133" t="str">
        <f t="shared" si="13"/>
        <v/>
      </c>
      <c r="N397" s="1134"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
      <c r="A398" s="39"/>
      <c r="B398" s="2003"/>
      <c r="C398" s="2004"/>
      <c r="D398" s="2005"/>
      <c r="E398" s="2006"/>
      <c r="F398" s="2007"/>
      <c r="G398" s="2008"/>
      <c r="H398" s="2008"/>
      <c r="I398" s="2008"/>
      <c r="J398" s="2008"/>
      <c r="K398" s="2008"/>
      <c r="L398" s="2009"/>
      <c r="M398" s="1133" t="str">
        <f t="shared" si="13"/>
        <v/>
      </c>
      <c r="N398" s="1134"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
      <c r="A399" s="39"/>
      <c r="B399" s="2003"/>
      <c r="C399" s="2004"/>
      <c r="D399" s="2005"/>
      <c r="E399" s="2006"/>
      <c r="F399" s="2007"/>
      <c r="G399" s="2008"/>
      <c r="H399" s="2008"/>
      <c r="I399" s="2008"/>
      <c r="J399" s="2008"/>
      <c r="K399" s="2008"/>
      <c r="L399" s="2009"/>
      <c r="M399" s="1133" t="str">
        <f t="shared" si="13"/>
        <v/>
      </c>
      <c r="N399" s="1134"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
      <c r="A400" s="39"/>
      <c r="B400" s="2003"/>
      <c r="C400" s="2004"/>
      <c r="D400" s="2005"/>
      <c r="E400" s="2006"/>
      <c r="F400" s="2007"/>
      <c r="G400" s="2008"/>
      <c r="H400" s="2008"/>
      <c r="I400" s="2008"/>
      <c r="J400" s="2008"/>
      <c r="K400" s="2008"/>
      <c r="L400" s="2009"/>
      <c r="M400" s="1133" t="str">
        <f t="shared" si="13"/>
        <v/>
      </c>
      <c r="N400" s="1134"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
      <c r="A401" s="39"/>
      <c r="B401" s="2003"/>
      <c r="C401" s="2004"/>
      <c r="D401" s="2005"/>
      <c r="E401" s="2006"/>
      <c r="F401" s="2007"/>
      <c r="G401" s="2008"/>
      <c r="H401" s="2008"/>
      <c r="I401" s="2008"/>
      <c r="J401" s="2008"/>
      <c r="K401" s="2008"/>
      <c r="L401" s="2009"/>
      <c r="M401" s="1133" t="str">
        <f t="shared" si="13"/>
        <v/>
      </c>
      <c r="N401" s="1134"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
      <c r="A402" s="39"/>
      <c r="B402" s="2003"/>
      <c r="C402" s="2004"/>
      <c r="D402" s="2005"/>
      <c r="E402" s="2006"/>
      <c r="F402" s="2007"/>
      <c r="G402" s="2008"/>
      <c r="H402" s="2008"/>
      <c r="I402" s="2008"/>
      <c r="J402" s="2008"/>
      <c r="K402" s="2008"/>
      <c r="L402" s="2009"/>
      <c r="M402" s="1133" t="str">
        <f t="shared" si="13"/>
        <v/>
      </c>
      <c r="N402" s="1134"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
      <c r="A403" s="39"/>
      <c r="B403" s="2003"/>
      <c r="C403" s="2004"/>
      <c r="D403" s="2005"/>
      <c r="E403" s="2006"/>
      <c r="F403" s="2007"/>
      <c r="G403" s="2008"/>
      <c r="H403" s="2008"/>
      <c r="I403" s="2008"/>
      <c r="J403" s="2008"/>
      <c r="K403" s="2008"/>
      <c r="L403" s="2009"/>
      <c r="M403" s="1133" t="str">
        <f t="shared" si="13"/>
        <v/>
      </c>
      <c r="N403" s="1134"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
      <c r="A404" s="39"/>
      <c r="B404" s="2003"/>
      <c r="C404" s="2004"/>
      <c r="D404" s="2005"/>
      <c r="E404" s="2006"/>
      <c r="F404" s="2007"/>
      <c r="G404" s="2008"/>
      <c r="H404" s="2008"/>
      <c r="I404" s="2008"/>
      <c r="J404" s="2008"/>
      <c r="K404" s="2008"/>
      <c r="L404" s="2009"/>
      <c r="M404" s="1133" t="str">
        <f t="shared" si="13"/>
        <v/>
      </c>
      <c r="N404" s="1134"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
      <c r="A405" s="39"/>
      <c r="B405" s="2003"/>
      <c r="C405" s="2004"/>
      <c r="D405" s="2005"/>
      <c r="E405" s="2006"/>
      <c r="F405" s="2007"/>
      <c r="G405" s="2008"/>
      <c r="H405" s="2008"/>
      <c r="I405" s="2008"/>
      <c r="J405" s="2008"/>
      <c r="K405" s="2008"/>
      <c r="L405" s="2009"/>
      <c r="M405" s="1133" t="str">
        <f t="shared" si="13"/>
        <v/>
      </c>
      <c r="N405" s="1134"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
      <c r="A406" s="39"/>
      <c r="B406" s="2003"/>
      <c r="C406" s="2004"/>
      <c r="D406" s="2005"/>
      <c r="E406" s="2006"/>
      <c r="F406" s="2007"/>
      <c r="G406" s="2008"/>
      <c r="H406" s="2008"/>
      <c r="I406" s="2008"/>
      <c r="J406" s="2008"/>
      <c r="K406" s="2008"/>
      <c r="L406" s="2009"/>
      <c r="M406" s="1133" t="str">
        <f t="shared" si="13"/>
        <v/>
      </c>
      <c r="N406" s="1134"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
      <c r="A407" s="39"/>
      <c r="B407" s="2003"/>
      <c r="C407" s="2004"/>
      <c r="D407" s="2005"/>
      <c r="E407" s="2006"/>
      <c r="F407" s="2007"/>
      <c r="G407" s="2008"/>
      <c r="H407" s="2008"/>
      <c r="I407" s="2008"/>
      <c r="J407" s="2008"/>
      <c r="K407" s="2008"/>
      <c r="L407" s="2009"/>
      <c r="M407" s="1133" t="str">
        <f t="shared" si="13"/>
        <v/>
      </c>
      <c r="N407" s="1134"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
      <c r="A408" s="39"/>
      <c r="B408" s="2003"/>
      <c r="C408" s="2004"/>
      <c r="D408" s="2005"/>
      <c r="E408" s="2006"/>
      <c r="F408" s="2007"/>
      <c r="G408" s="2008"/>
      <c r="H408" s="2008"/>
      <c r="I408" s="2008"/>
      <c r="J408" s="2008"/>
      <c r="K408" s="2008"/>
      <c r="L408" s="2009"/>
      <c r="M408" s="1133" t="str">
        <f t="shared" si="13"/>
        <v/>
      </c>
      <c r="N408" s="1134"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
      <c r="A409" s="39"/>
      <c r="B409" s="2003"/>
      <c r="C409" s="2004"/>
      <c r="D409" s="2005"/>
      <c r="E409" s="2006"/>
      <c r="F409" s="2007"/>
      <c r="G409" s="2008"/>
      <c r="H409" s="2008"/>
      <c r="I409" s="2008"/>
      <c r="J409" s="2008"/>
      <c r="K409" s="2008"/>
      <c r="L409" s="2009"/>
      <c r="M409" s="1133" t="str">
        <f t="shared" si="13"/>
        <v/>
      </c>
      <c r="N409" s="1134"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
      <c r="A410" s="39"/>
      <c r="B410" s="2003"/>
      <c r="C410" s="2004"/>
      <c r="D410" s="2005"/>
      <c r="E410" s="2006"/>
      <c r="F410" s="2007"/>
      <c r="G410" s="2008"/>
      <c r="H410" s="2008"/>
      <c r="I410" s="2008"/>
      <c r="J410" s="2008"/>
      <c r="K410" s="2008"/>
      <c r="L410" s="2009"/>
      <c r="M410" s="1133" t="str">
        <f t="shared" si="13"/>
        <v/>
      </c>
      <c r="N410" s="1134"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
      <c r="A411" s="39"/>
      <c r="B411" s="2003"/>
      <c r="C411" s="2004"/>
      <c r="D411" s="2005"/>
      <c r="E411" s="2006"/>
      <c r="F411" s="2007"/>
      <c r="G411" s="2008"/>
      <c r="H411" s="2008"/>
      <c r="I411" s="2008"/>
      <c r="J411" s="2008"/>
      <c r="K411" s="2008"/>
      <c r="L411" s="2009"/>
      <c r="M411" s="1133" t="str">
        <f t="shared" si="13"/>
        <v/>
      </c>
      <c r="N411" s="1134"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
      <c r="A412" s="39"/>
      <c r="B412" s="2003"/>
      <c r="C412" s="2004"/>
      <c r="D412" s="2005"/>
      <c r="E412" s="2006"/>
      <c r="F412" s="2007"/>
      <c r="G412" s="2008"/>
      <c r="H412" s="2008"/>
      <c r="I412" s="2008"/>
      <c r="J412" s="2008"/>
      <c r="K412" s="2008"/>
      <c r="L412" s="2009"/>
      <c r="M412" s="1133" t="str">
        <f t="shared" si="13"/>
        <v/>
      </c>
      <c r="N412" s="1134"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
      <c r="A413" s="39"/>
      <c r="B413" s="2003"/>
      <c r="C413" s="2004"/>
      <c r="D413" s="2005"/>
      <c r="E413" s="2006"/>
      <c r="F413" s="2007"/>
      <c r="G413" s="2008"/>
      <c r="H413" s="2008"/>
      <c r="I413" s="2008"/>
      <c r="J413" s="2008"/>
      <c r="K413" s="2008"/>
      <c r="L413" s="2009"/>
      <c r="M413" s="1133" t="str">
        <f t="shared" si="13"/>
        <v/>
      </c>
      <c r="N413" s="1134"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
      <c r="A414" s="39"/>
      <c r="B414" s="2003"/>
      <c r="C414" s="2004"/>
      <c r="D414" s="2005"/>
      <c r="E414" s="2006"/>
      <c r="F414" s="2007"/>
      <c r="G414" s="2008"/>
      <c r="H414" s="2008"/>
      <c r="I414" s="2008"/>
      <c r="J414" s="2008"/>
      <c r="K414" s="2008"/>
      <c r="L414" s="2009"/>
      <c r="M414" s="1133" t="str">
        <f t="shared" si="13"/>
        <v/>
      </c>
      <c r="N414" s="1134"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
      <c r="A415" s="39"/>
      <c r="B415" s="2003"/>
      <c r="C415" s="2004"/>
      <c r="D415" s="2005"/>
      <c r="E415" s="2006"/>
      <c r="F415" s="2007"/>
      <c r="G415" s="2008"/>
      <c r="H415" s="2008"/>
      <c r="I415" s="2008"/>
      <c r="J415" s="2008"/>
      <c r="K415" s="2008"/>
      <c r="L415" s="2009"/>
      <c r="M415" s="1133" t="str">
        <f t="shared" si="13"/>
        <v/>
      </c>
      <c r="N415" s="1134"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
      <c r="A416" s="39"/>
      <c r="B416" s="2003"/>
      <c r="C416" s="2004"/>
      <c r="D416" s="2005"/>
      <c r="E416" s="2006"/>
      <c r="F416" s="2007"/>
      <c r="G416" s="2008"/>
      <c r="H416" s="2008"/>
      <c r="I416" s="2008"/>
      <c r="J416" s="2008"/>
      <c r="K416" s="2008"/>
      <c r="L416" s="2009"/>
      <c r="M416" s="1133" t="str">
        <f t="shared" si="13"/>
        <v/>
      </c>
      <c r="N416" s="1134"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
      <c r="A417" s="39"/>
      <c r="B417" s="2003"/>
      <c r="C417" s="2004"/>
      <c r="D417" s="2005"/>
      <c r="E417" s="2006"/>
      <c r="F417" s="2007"/>
      <c r="G417" s="2008"/>
      <c r="H417" s="2008"/>
      <c r="I417" s="2008"/>
      <c r="J417" s="2008"/>
      <c r="K417" s="2008"/>
      <c r="L417" s="2009"/>
      <c r="M417" s="1133" t="str">
        <f t="shared" si="13"/>
        <v/>
      </c>
      <c r="N417" s="1134"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
      <c r="A418" s="39"/>
      <c r="B418" s="2003"/>
      <c r="C418" s="2004"/>
      <c r="D418" s="2005"/>
      <c r="E418" s="2006"/>
      <c r="F418" s="2007"/>
      <c r="G418" s="2008"/>
      <c r="H418" s="2008"/>
      <c r="I418" s="2008"/>
      <c r="J418" s="2008"/>
      <c r="K418" s="2008"/>
      <c r="L418" s="2009"/>
      <c r="M418" s="1133" t="str">
        <f t="shared" si="13"/>
        <v/>
      </c>
      <c r="N418" s="1134"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
      <c r="A419" s="39"/>
      <c r="B419" s="2003"/>
      <c r="C419" s="2004"/>
      <c r="D419" s="2005"/>
      <c r="E419" s="2006"/>
      <c r="F419" s="2007"/>
      <c r="G419" s="2008"/>
      <c r="H419" s="2008"/>
      <c r="I419" s="2008"/>
      <c r="J419" s="2008"/>
      <c r="K419" s="2008"/>
      <c r="L419" s="2009"/>
      <c r="M419" s="1133" t="str">
        <f t="shared" si="13"/>
        <v/>
      </c>
      <c r="N419" s="1134"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
      <c r="A420" s="39"/>
      <c r="B420" s="2003"/>
      <c r="C420" s="2004"/>
      <c r="D420" s="2005"/>
      <c r="E420" s="2006"/>
      <c r="F420" s="2007"/>
      <c r="G420" s="2008"/>
      <c r="H420" s="2008"/>
      <c r="I420" s="2008"/>
      <c r="J420" s="2008"/>
      <c r="K420" s="2008"/>
      <c r="L420" s="2009"/>
      <c r="M420" s="1133" t="str">
        <f t="shared" si="13"/>
        <v/>
      </c>
      <c r="N420" s="1134"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
      <c r="A421" s="39"/>
      <c r="B421" s="2003"/>
      <c r="C421" s="2004"/>
      <c r="D421" s="2005"/>
      <c r="E421" s="2006"/>
      <c r="F421" s="2007"/>
      <c r="G421" s="2008"/>
      <c r="H421" s="2008"/>
      <c r="I421" s="2008"/>
      <c r="J421" s="2008"/>
      <c r="K421" s="2008"/>
      <c r="L421" s="2009"/>
      <c r="M421" s="1133" t="str">
        <f t="shared" si="13"/>
        <v/>
      </c>
      <c r="N421" s="1134"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
      <c r="A422" s="39"/>
      <c r="B422" s="2003"/>
      <c r="C422" s="2004"/>
      <c r="D422" s="2005"/>
      <c r="E422" s="2006"/>
      <c r="F422" s="2007"/>
      <c r="G422" s="2008"/>
      <c r="H422" s="2008"/>
      <c r="I422" s="2008"/>
      <c r="J422" s="2008"/>
      <c r="K422" s="2008"/>
      <c r="L422" s="2009"/>
      <c r="M422" s="1133" t="str">
        <f t="shared" si="13"/>
        <v/>
      </c>
      <c r="N422" s="1134"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
      <c r="A423" s="39"/>
      <c r="B423" s="2003"/>
      <c r="C423" s="2004"/>
      <c r="D423" s="2005"/>
      <c r="E423" s="2006"/>
      <c r="F423" s="2007"/>
      <c r="G423" s="2008"/>
      <c r="H423" s="2008"/>
      <c r="I423" s="2008"/>
      <c r="J423" s="2008"/>
      <c r="K423" s="2008"/>
      <c r="L423" s="2009"/>
      <c r="M423" s="1133" t="str">
        <f t="shared" ref="M423:M486" si="15">UPPER(C423)</f>
        <v/>
      </c>
      <c r="N423" s="1134"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
      <c r="A424" s="39"/>
      <c r="B424" s="2003"/>
      <c r="C424" s="2004"/>
      <c r="D424" s="2005"/>
      <c r="E424" s="2006"/>
      <c r="F424" s="2007"/>
      <c r="G424" s="2008"/>
      <c r="H424" s="2008"/>
      <c r="I424" s="2008"/>
      <c r="J424" s="2008"/>
      <c r="K424" s="2008"/>
      <c r="L424" s="2009"/>
      <c r="M424" s="1133" t="str">
        <f t="shared" si="15"/>
        <v/>
      </c>
      <c r="N424" s="1134"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
      <c r="A425" s="39"/>
      <c r="B425" s="2003"/>
      <c r="C425" s="2004"/>
      <c r="D425" s="2005"/>
      <c r="E425" s="2006"/>
      <c r="F425" s="2007"/>
      <c r="G425" s="2008"/>
      <c r="H425" s="2008"/>
      <c r="I425" s="2008"/>
      <c r="J425" s="2008"/>
      <c r="K425" s="2008"/>
      <c r="L425" s="2009"/>
      <c r="M425" s="1133" t="str">
        <f t="shared" si="15"/>
        <v/>
      </c>
      <c r="N425" s="1134"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
      <c r="A426" s="39"/>
      <c r="B426" s="2003"/>
      <c r="C426" s="2004"/>
      <c r="D426" s="2005"/>
      <c r="E426" s="2006"/>
      <c r="F426" s="2007"/>
      <c r="G426" s="2008"/>
      <c r="H426" s="2008"/>
      <c r="I426" s="2008"/>
      <c r="J426" s="2008"/>
      <c r="K426" s="2008"/>
      <c r="L426" s="2009"/>
      <c r="M426" s="1133" t="str">
        <f t="shared" si="15"/>
        <v/>
      </c>
      <c r="N426" s="1134"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
      <c r="A427" s="39"/>
      <c r="B427" s="2003"/>
      <c r="C427" s="2004"/>
      <c r="D427" s="2005"/>
      <c r="E427" s="2006"/>
      <c r="F427" s="2007"/>
      <c r="G427" s="2008"/>
      <c r="H427" s="2008"/>
      <c r="I427" s="2008"/>
      <c r="J427" s="2008"/>
      <c r="K427" s="2008"/>
      <c r="L427" s="2009"/>
      <c r="M427" s="1133" t="str">
        <f t="shared" si="15"/>
        <v/>
      </c>
      <c r="N427" s="1134"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
      <c r="A428" s="39"/>
      <c r="B428" s="2003"/>
      <c r="C428" s="2004"/>
      <c r="D428" s="2005"/>
      <c r="E428" s="2006"/>
      <c r="F428" s="2007"/>
      <c r="G428" s="2008"/>
      <c r="H428" s="2008"/>
      <c r="I428" s="2008"/>
      <c r="J428" s="2008"/>
      <c r="K428" s="2008"/>
      <c r="L428" s="2009"/>
      <c r="M428" s="1133" t="str">
        <f t="shared" si="15"/>
        <v/>
      </c>
      <c r="N428" s="1134"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
      <c r="A429" s="39"/>
      <c r="B429" s="2003"/>
      <c r="C429" s="2004"/>
      <c r="D429" s="2005"/>
      <c r="E429" s="2006"/>
      <c r="F429" s="2007"/>
      <c r="G429" s="2008"/>
      <c r="H429" s="2008"/>
      <c r="I429" s="2008"/>
      <c r="J429" s="2008"/>
      <c r="K429" s="2008"/>
      <c r="L429" s="2009"/>
      <c r="M429" s="1133" t="str">
        <f t="shared" si="15"/>
        <v/>
      </c>
      <c r="N429" s="1134"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
      <c r="A430" s="39"/>
      <c r="B430" s="2003"/>
      <c r="C430" s="2004"/>
      <c r="D430" s="2005"/>
      <c r="E430" s="2006"/>
      <c r="F430" s="2007"/>
      <c r="G430" s="2008"/>
      <c r="H430" s="2008"/>
      <c r="I430" s="2008"/>
      <c r="J430" s="2008"/>
      <c r="K430" s="2008"/>
      <c r="L430" s="2009"/>
      <c r="M430" s="1133" t="str">
        <f t="shared" si="15"/>
        <v/>
      </c>
      <c r="N430" s="1134"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
      <c r="A431" s="39"/>
      <c r="B431" s="2003"/>
      <c r="C431" s="2004"/>
      <c r="D431" s="2005"/>
      <c r="E431" s="2006"/>
      <c r="F431" s="2007"/>
      <c r="G431" s="2008"/>
      <c r="H431" s="2008"/>
      <c r="I431" s="2008"/>
      <c r="J431" s="2008"/>
      <c r="K431" s="2008"/>
      <c r="L431" s="2009"/>
      <c r="M431" s="1133" t="str">
        <f t="shared" si="15"/>
        <v/>
      </c>
      <c r="N431" s="1134"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
      <c r="A432" s="39"/>
      <c r="B432" s="2003"/>
      <c r="C432" s="2004"/>
      <c r="D432" s="2005"/>
      <c r="E432" s="2006"/>
      <c r="F432" s="2007"/>
      <c r="G432" s="2008"/>
      <c r="H432" s="2008"/>
      <c r="I432" s="2008"/>
      <c r="J432" s="2008"/>
      <c r="K432" s="2008"/>
      <c r="L432" s="2009"/>
      <c r="M432" s="1133" t="str">
        <f t="shared" si="15"/>
        <v/>
      </c>
      <c r="N432" s="1134"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
      <c r="A433" s="39"/>
      <c r="B433" s="2003"/>
      <c r="C433" s="2004"/>
      <c r="D433" s="2005"/>
      <c r="E433" s="2006"/>
      <c r="F433" s="2007"/>
      <c r="G433" s="2008"/>
      <c r="H433" s="2008"/>
      <c r="I433" s="2008"/>
      <c r="J433" s="2008"/>
      <c r="K433" s="2008"/>
      <c r="L433" s="2009"/>
      <c r="M433" s="1133" t="str">
        <f t="shared" si="15"/>
        <v/>
      </c>
      <c r="N433" s="1134"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
      <c r="A434" s="39"/>
      <c r="B434" s="2003"/>
      <c r="C434" s="2004"/>
      <c r="D434" s="2005"/>
      <c r="E434" s="2006"/>
      <c r="F434" s="2007"/>
      <c r="G434" s="2008"/>
      <c r="H434" s="2008"/>
      <c r="I434" s="2008"/>
      <c r="J434" s="2008"/>
      <c r="K434" s="2008"/>
      <c r="L434" s="2009"/>
      <c r="M434" s="1133" t="str">
        <f t="shared" si="15"/>
        <v/>
      </c>
      <c r="N434" s="1134"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
      <c r="A435" s="39"/>
      <c r="B435" s="2003"/>
      <c r="C435" s="2004"/>
      <c r="D435" s="2005"/>
      <c r="E435" s="2006"/>
      <c r="F435" s="2007"/>
      <c r="G435" s="2008"/>
      <c r="H435" s="2008"/>
      <c r="I435" s="2008"/>
      <c r="J435" s="2008"/>
      <c r="K435" s="2008"/>
      <c r="L435" s="2009"/>
      <c r="M435" s="1133" t="str">
        <f t="shared" si="15"/>
        <v/>
      </c>
      <c r="N435" s="1134"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
      <c r="A436" s="39"/>
      <c r="B436" s="2003"/>
      <c r="C436" s="2004"/>
      <c r="D436" s="2005"/>
      <c r="E436" s="2006"/>
      <c r="F436" s="2007"/>
      <c r="G436" s="2008"/>
      <c r="H436" s="2008"/>
      <c r="I436" s="2008"/>
      <c r="J436" s="2008"/>
      <c r="K436" s="2008"/>
      <c r="L436" s="2009"/>
      <c r="M436" s="1133" t="str">
        <f t="shared" si="15"/>
        <v/>
      </c>
      <c r="N436" s="1134"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
      <c r="A437" s="39"/>
      <c r="B437" s="2003"/>
      <c r="C437" s="2004"/>
      <c r="D437" s="2005"/>
      <c r="E437" s="2006"/>
      <c r="F437" s="2007"/>
      <c r="G437" s="2008"/>
      <c r="H437" s="2008"/>
      <c r="I437" s="2008"/>
      <c r="J437" s="2008"/>
      <c r="K437" s="2008"/>
      <c r="L437" s="2009"/>
      <c r="M437" s="1133" t="str">
        <f t="shared" si="15"/>
        <v/>
      </c>
      <c r="N437" s="1134"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
      <c r="A438" s="39"/>
      <c r="B438" s="2003"/>
      <c r="C438" s="2004"/>
      <c r="D438" s="2005"/>
      <c r="E438" s="2006"/>
      <c r="F438" s="2007"/>
      <c r="G438" s="2008"/>
      <c r="H438" s="2008"/>
      <c r="I438" s="2008"/>
      <c r="J438" s="2008"/>
      <c r="K438" s="2008"/>
      <c r="L438" s="2009"/>
      <c r="M438" s="1133" t="str">
        <f t="shared" si="15"/>
        <v/>
      </c>
      <c r="N438" s="1134"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
      <c r="A439" s="39"/>
      <c r="B439" s="2003"/>
      <c r="C439" s="2004"/>
      <c r="D439" s="2005"/>
      <c r="E439" s="2006"/>
      <c r="F439" s="2007"/>
      <c r="G439" s="2008"/>
      <c r="H439" s="2008"/>
      <c r="I439" s="2008"/>
      <c r="J439" s="2008"/>
      <c r="K439" s="2008"/>
      <c r="L439" s="2009"/>
      <c r="M439" s="1133" t="str">
        <f t="shared" si="15"/>
        <v/>
      </c>
      <c r="N439" s="1134"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
      <c r="A440" s="39"/>
      <c r="B440" s="2003"/>
      <c r="C440" s="2004"/>
      <c r="D440" s="2005"/>
      <c r="E440" s="2006"/>
      <c r="F440" s="2007"/>
      <c r="G440" s="2008"/>
      <c r="H440" s="2008"/>
      <c r="I440" s="2008"/>
      <c r="J440" s="2008"/>
      <c r="K440" s="2008"/>
      <c r="L440" s="2009"/>
      <c r="M440" s="1133" t="str">
        <f t="shared" si="15"/>
        <v/>
      </c>
      <c r="N440" s="1134"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
      <c r="A441" s="39"/>
      <c r="B441" s="2003"/>
      <c r="C441" s="2004"/>
      <c r="D441" s="2005"/>
      <c r="E441" s="2006"/>
      <c r="F441" s="2007"/>
      <c r="G441" s="2008"/>
      <c r="H441" s="2008"/>
      <c r="I441" s="2008"/>
      <c r="J441" s="2008"/>
      <c r="K441" s="2008"/>
      <c r="L441" s="2009"/>
      <c r="M441" s="1133" t="str">
        <f t="shared" si="15"/>
        <v/>
      </c>
      <c r="N441" s="1134"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
      <c r="A442" s="39"/>
      <c r="B442" s="2003"/>
      <c r="C442" s="2004"/>
      <c r="D442" s="2005"/>
      <c r="E442" s="2006"/>
      <c r="F442" s="2007"/>
      <c r="G442" s="2008"/>
      <c r="H442" s="2008"/>
      <c r="I442" s="2008"/>
      <c r="J442" s="2008"/>
      <c r="K442" s="2008"/>
      <c r="L442" s="2009"/>
      <c r="M442" s="1133" t="str">
        <f t="shared" si="15"/>
        <v/>
      </c>
      <c r="N442" s="1134"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
      <c r="A443" s="39"/>
      <c r="B443" s="2003"/>
      <c r="C443" s="2004"/>
      <c r="D443" s="2005"/>
      <c r="E443" s="2006"/>
      <c r="F443" s="2007"/>
      <c r="G443" s="2008"/>
      <c r="H443" s="2008"/>
      <c r="I443" s="2008"/>
      <c r="J443" s="2008"/>
      <c r="K443" s="2008"/>
      <c r="L443" s="2009"/>
      <c r="M443" s="1133" t="str">
        <f t="shared" si="15"/>
        <v/>
      </c>
      <c r="N443" s="1134"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
      <c r="A444" s="39"/>
      <c r="B444" s="2003"/>
      <c r="C444" s="2004"/>
      <c r="D444" s="2005"/>
      <c r="E444" s="2006"/>
      <c r="F444" s="2007"/>
      <c r="G444" s="2008"/>
      <c r="H444" s="2008"/>
      <c r="I444" s="2008"/>
      <c r="J444" s="2008"/>
      <c r="K444" s="2008"/>
      <c r="L444" s="2009"/>
      <c r="M444" s="1133" t="str">
        <f t="shared" si="15"/>
        <v/>
      </c>
      <c r="N444" s="1134"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
      <c r="A445" s="39"/>
      <c r="B445" s="2003"/>
      <c r="C445" s="2004"/>
      <c r="D445" s="2005"/>
      <c r="E445" s="2006"/>
      <c r="F445" s="2007"/>
      <c r="G445" s="2008"/>
      <c r="H445" s="2008"/>
      <c r="I445" s="2008"/>
      <c r="J445" s="2008"/>
      <c r="K445" s="2008"/>
      <c r="L445" s="2009"/>
      <c r="M445" s="1133" t="str">
        <f t="shared" si="15"/>
        <v/>
      </c>
      <c r="N445" s="1134"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
      <c r="A446" s="39"/>
      <c r="B446" s="2003"/>
      <c r="C446" s="2004"/>
      <c r="D446" s="2005"/>
      <c r="E446" s="2006"/>
      <c r="F446" s="2007"/>
      <c r="G446" s="2008"/>
      <c r="H446" s="2008"/>
      <c r="I446" s="2008"/>
      <c r="J446" s="2008"/>
      <c r="K446" s="2008"/>
      <c r="L446" s="2009"/>
      <c r="M446" s="1133" t="str">
        <f t="shared" si="15"/>
        <v/>
      </c>
      <c r="N446" s="1134"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
      <c r="A447" s="39"/>
      <c r="B447" s="2003"/>
      <c r="C447" s="2004"/>
      <c r="D447" s="2005"/>
      <c r="E447" s="2006"/>
      <c r="F447" s="2007"/>
      <c r="G447" s="2008"/>
      <c r="H447" s="2008"/>
      <c r="I447" s="2008"/>
      <c r="J447" s="2008"/>
      <c r="K447" s="2008"/>
      <c r="L447" s="2009"/>
      <c r="M447" s="1133" t="str">
        <f t="shared" si="15"/>
        <v/>
      </c>
      <c r="N447" s="1134"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
      <c r="A448" s="39"/>
      <c r="B448" s="2003"/>
      <c r="C448" s="2004"/>
      <c r="D448" s="2005"/>
      <c r="E448" s="2006"/>
      <c r="F448" s="2007"/>
      <c r="G448" s="2008"/>
      <c r="H448" s="2008"/>
      <c r="I448" s="2008"/>
      <c r="J448" s="2008"/>
      <c r="K448" s="2008"/>
      <c r="L448" s="2009"/>
      <c r="M448" s="1133" t="str">
        <f t="shared" si="15"/>
        <v/>
      </c>
      <c r="N448" s="1134"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
      <c r="A449" s="39"/>
      <c r="B449" s="2003"/>
      <c r="C449" s="2004"/>
      <c r="D449" s="2005"/>
      <c r="E449" s="2006"/>
      <c r="F449" s="2007"/>
      <c r="G449" s="2008"/>
      <c r="H449" s="2008"/>
      <c r="I449" s="2008"/>
      <c r="J449" s="2008"/>
      <c r="K449" s="2008"/>
      <c r="L449" s="2009"/>
      <c r="M449" s="1133" t="str">
        <f t="shared" si="15"/>
        <v/>
      </c>
      <c r="N449" s="1134"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
      <c r="A450" s="39"/>
      <c r="B450" s="2003"/>
      <c r="C450" s="2004"/>
      <c r="D450" s="2005"/>
      <c r="E450" s="2006"/>
      <c r="F450" s="2007"/>
      <c r="G450" s="2008"/>
      <c r="H450" s="2008"/>
      <c r="I450" s="2008"/>
      <c r="J450" s="2008"/>
      <c r="K450" s="2008"/>
      <c r="L450" s="2009"/>
      <c r="M450" s="1133" t="str">
        <f t="shared" si="15"/>
        <v/>
      </c>
      <c r="N450" s="1134"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
      <c r="A451" s="39"/>
      <c r="B451" s="2003"/>
      <c r="C451" s="2004"/>
      <c r="D451" s="2005"/>
      <c r="E451" s="2006"/>
      <c r="F451" s="2007"/>
      <c r="G451" s="2008"/>
      <c r="H451" s="2008"/>
      <c r="I451" s="2008"/>
      <c r="J451" s="2008"/>
      <c r="K451" s="2008"/>
      <c r="L451" s="2009"/>
      <c r="M451" s="1133" t="str">
        <f t="shared" si="15"/>
        <v/>
      </c>
      <c r="N451" s="1134"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
      <c r="A452" s="39"/>
      <c r="B452" s="2003"/>
      <c r="C452" s="2004"/>
      <c r="D452" s="2005"/>
      <c r="E452" s="2006"/>
      <c r="F452" s="2007"/>
      <c r="G452" s="2008"/>
      <c r="H452" s="2008"/>
      <c r="I452" s="2008"/>
      <c r="J452" s="2008"/>
      <c r="K452" s="2008"/>
      <c r="L452" s="2009"/>
      <c r="M452" s="1133" t="str">
        <f t="shared" si="15"/>
        <v/>
      </c>
      <c r="N452" s="1134"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
      <c r="A453" s="39"/>
      <c r="B453" s="2003"/>
      <c r="C453" s="2004"/>
      <c r="D453" s="2005"/>
      <c r="E453" s="2006"/>
      <c r="F453" s="2007"/>
      <c r="G453" s="2008"/>
      <c r="H453" s="2008"/>
      <c r="I453" s="2008"/>
      <c r="J453" s="2008"/>
      <c r="K453" s="2008"/>
      <c r="L453" s="2009"/>
      <c r="M453" s="1133" t="str">
        <f t="shared" si="15"/>
        <v/>
      </c>
      <c r="N453" s="1134"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
      <c r="A454" s="39"/>
      <c r="B454" s="2003"/>
      <c r="C454" s="2004"/>
      <c r="D454" s="2005"/>
      <c r="E454" s="2006"/>
      <c r="F454" s="2007"/>
      <c r="G454" s="2008"/>
      <c r="H454" s="2008"/>
      <c r="I454" s="2008"/>
      <c r="J454" s="2008"/>
      <c r="K454" s="2008"/>
      <c r="L454" s="2009"/>
      <c r="M454" s="1133" t="str">
        <f t="shared" si="15"/>
        <v/>
      </c>
      <c r="N454" s="1134"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
      <c r="A455" s="39"/>
      <c r="B455" s="2003"/>
      <c r="C455" s="2004"/>
      <c r="D455" s="2005"/>
      <c r="E455" s="2006"/>
      <c r="F455" s="2007"/>
      <c r="G455" s="2008"/>
      <c r="H455" s="2008"/>
      <c r="I455" s="2008"/>
      <c r="J455" s="2008"/>
      <c r="K455" s="2008"/>
      <c r="L455" s="2009"/>
      <c r="M455" s="1133" t="str">
        <f t="shared" si="15"/>
        <v/>
      </c>
      <c r="N455" s="1134" t="str">
        <f t="shared" si="16"/>
        <v/>
      </c>
      <c r="O455" s="39"/>
      <c r="P455" s="39"/>
      <c r="Q455" s="39"/>
      <c r="R455" s="39"/>
      <c r="S455" s="39"/>
      <c r="T455" s="39"/>
      <c r="AZ455" s="235"/>
      <c r="BA455" s="235"/>
      <c r="BB455" s="235"/>
      <c r="BC455" s="235"/>
      <c r="BD455" s="235"/>
      <c r="BE455" s="235"/>
      <c r="BF455" s="235"/>
      <c r="BG455" s="235"/>
      <c r="BH455" s="235"/>
      <c r="BI455" s="235"/>
      <c r="BJ455" s="235"/>
      <c r="BK455" s="235"/>
    </row>
    <row r="456" spans="1:63" ht="15" customHeight="1" x14ac:dyDescent="0.2">
      <c r="A456" s="39"/>
      <c r="B456" s="2003"/>
      <c r="C456" s="2004"/>
      <c r="D456" s="2005"/>
      <c r="E456" s="2006"/>
      <c r="F456" s="2007"/>
      <c r="G456" s="2008"/>
      <c r="H456" s="2008"/>
      <c r="I456" s="2008"/>
      <c r="J456" s="2008"/>
      <c r="K456" s="2008"/>
      <c r="L456" s="2009"/>
      <c r="M456" s="1133" t="str">
        <f t="shared" si="15"/>
        <v/>
      </c>
      <c r="N456" s="1134"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
      <c r="A457" s="39"/>
      <c r="B457" s="2003"/>
      <c r="C457" s="2004"/>
      <c r="D457" s="2005"/>
      <c r="E457" s="2006"/>
      <c r="F457" s="2007"/>
      <c r="G457" s="2008"/>
      <c r="H457" s="2008"/>
      <c r="I457" s="2008"/>
      <c r="J457" s="2008"/>
      <c r="K457" s="2008"/>
      <c r="L457" s="2009"/>
      <c r="M457" s="1133" t="str">
        <f t="shared" si="15"/>
        <v/>
      </c>
      <c r="N457" s="1134"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
      <c r="A458" s="39"/>
      <c r="B458" s="2003"/>
      <c r="C458" s="2004"/>
      <c r="D458" s="2005"/>
      <c r="E458" s="2006"/>
      <c r="F458" s="2007"/>
      <c r="G458" s="2008"/>
      <c r="H458" s="2008"/>
      <c r="I458" s="2008"/>
      <c r="J458" s="2008"/>
      <c r="K458" s="2008"/>
      <c r="L458" s="2009"/>
      <c r="M458" s="1133" t="str">
        <f t="shared" si="15"/>
        <v/>
      </c>
      <c r="N458" s="1134"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
      <c r="A459" s="39"/>
      <c r="B459" s="2003"/>
      <c r="C459" s="2004"/>
      <c r="D459" s="2005"/>
      <c r="E459" s="2006"/>
      <c r="F459" s="2007"/>
      <c r="G459" s="2008"/>
      <c r="H459" s="2008"/>
      <c r="I459" s="2008"/>
      <c r="J459" s="2008"/>
      <c r="K459" s="2008"/>
      <c r="L459" s="2009"/>
      <c r="M459" s="1133" t="str">
        <f t="shared" si="15"/>
        <v/>
      </c>
      <c r="N459" s="1134"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
      <c r="A460" s="39"/>
      <c r="B460" s="2003"/>
      <c r="C460" s="2004"/>
      <c r="D460" s="2005"/>
      <c r="E460" s="2006"/>
      <c r="F460" s="2007"/>
      <c r="G460" s="2008"/>
      <c r="H460" s="2008"/>
      <c r="I460" s="2008"/>
      <c r="J460" s="2008"/>
      <c r="K460" s="2008"/>
      <c r="L460" s="2009"/>
      <c r="M460" s="1133" t="str">
        <f t="shared" si="15"/>
        <v/>
      </c>
      <c r="N460" s="1134"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
      <c r="A461" s="39"/>
      <c r="B461" s="2003"/>
      <c r="C461" s="2004"/>
      <c r="D461" s="2005"/>
      <c r="E461" s="2006"/>
      <c r="F461" s="2007"/>
      <c r="G461" s="2008"/>
      <c r="H461" s="2008"/>
      <c r="I461" s="2008"/>
      <c r="J461" s="2008"/>
      <c r="K461" s="2008"/>
      <c r="L461" s="2009"/>
      <c r="M461" s="1133" t="str">
        <f t="shared" si="15"/>
        <v/>
      </c>
      <c r="N461" s="1134"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
      <c r="A462" s="39"/>
      <c r="B462" s="2003"/>
      <c r="C462" s="2004"/>
      <c r="D462" s="2005"/>
      <c r="E462" s="2006"/>
      <c r="F462" s="2007"/>
      <c r="G462" s="2008"/>
      <c r="H462" s="2008"/>
      <c r="I462" s="2008"/>
      <c r="J462" s="2008"/>
      <c r="K462" s="2008"/>
      <c r="L462" s="2009"/>
      <c r="M462" s="1133" t="str">
        <f t="shared" si="15"/>
        <v/>
      </c>
      <c r="N462" s="1134"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
      <c r="A463" s="39"/>
      <c r="B463" s="2003"/>
      <c r="C463" s="2004"/>
      <c r="D463" s="2005"/>
      <c r="E463" s="2006"/>
      <c r="F463" s="2007"/>
      <c r="G463" s="2008"/>
      <c r="H463" s="2008"/>
      <c r="I463" s="2008"/>
      <c r="J463" s="2008"/>
      <c r="K463" s="2008"/>
      <c r="L463" s="2009"/>
      <c r="M463" s="1133" t="str">
        <f t="shared" si="15"/>
        <v/>
      </c>
      <c r="N463" s="1134"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
      <c r="A464" s="39"/>
      <c r="B464" s="2003"/>
      <c r="C464" s="2004"/>
      <c r="D464" s="2005"/>
      <c r="E464" s="2006"/>
      <c r="F464" s="2007"/>
      <c r="G464" s="2008"/>
      <c r="H464" s="2008"/>
      <c r="I464" s="2008"/>
      <c r="J464" s="2008"/>
      <c r="K464" s="2008"/>
      <c r="L464" s="2009"/>
      <c r="M464" s="1133" t="str">
        <f t="shared" si="15"/>
        <v/>
      </c>
      <c r="N464" s="1134"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
      <c r="A465" s="39"/>
      <c r="B465" s="2003"/>
      <c r="C465" s="2004"/>
      <c r="D465" s="2005"/>
      <c r="E465" s="2006"/>
      <c r="F465" s="2007"/>
      <c r="G465" s="2008"/>
      <c r="H465" s="2008"/>
      <c r="I465" s="2008"/>
      <c r="J465" s="2008"/>
      <c r="K465" s="2008"/>
      <c r="L465" s="2009"/>
      <c r="M465" s="1133" t="str">
        <f t="shared" si="15"/>
        <v/>
      </c>
      <c r="N465" s="1134"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
      <c r="A466" s="39"/>
      <c r="B466" s="2003"/>
      <c r="C466" s="2004"/>
      <c r="D466" s="2005"/>
      <c r="E466" s="2006"/>
      <c r="F466" s="2007"/>
      <c r="G466" s="2008"/>
      <c r="H466" s="2008"/>
      <c r="I466" s="2008"/>
      <c r="J466" s="2008"/>
      <c r="K466" s="2008"/>
      <c r="L466" s="2009"/>
      <c r="M466" s="1133" t="str">
        <f t="shared" si="15"/>
        <v/>
      </c>
      <c r="N466" s="1134"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
      <c r="A467" s="39"/>
      <c r="B467" s="2003"/>
      <c r="C467" s="2004"/>
      <c r="D467" s="2005"/>
      <c r="E467" s="2006"/>
      <c r="F467" s="2007"/>
      <c r="G467" s="2008"/>
      <c r="H467" s="2008"/>
      <c r="I467" s="2008"/>
      <c r="J467" s="2008"/>
      <c r="K467" s="2008"/>
      <c r="L467" s="2009"/>
      <c r="M467" s="1133" t="str">
        <f t="shared" si="15"/>
        <v/>
      </c>
      <c r="N467" s="1134"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
      <c r="A468" s="39"/>
      <c r="B468" s="2003"/>
      <c r="C468" s="2004"/>
      <c r="D468" s="2005"/>
      <c r="E468" s="2006"/>
      <c r="F468" s="2007"/>
      <c r="G468" s="2008"/>
      <c r="H468" s="2008"/>
      <c r="I468" s="2008"/>
      <c r="J468" s="2008"/>
      <c r="K468" s="2008"/>
      <c r="L468" s="2009"/>
      <c r="M468" s="1133" t="str">
        <f t="shared" si="15"/>
        <v/>
      </c>
      <c r="N468" s="1134"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
      <c r="A469" s="39"/>
      <c r="B469" s="2003"/>
      <c r="C469" s="2004"/>
      <c r="D469" s="2005"/>
      <c r="E469" s="2006"/>
      <c r="F469" s="2007"/>
      <c r="G469" s="2008"/>
      <c r="H469" s="2008"/>
      <c r="I469" s="2008"/>
      <c r="J469" s="2008"/>
      <c r="K469" s="2008"/>
      <c r="L469" s="2009"/>
      <c r="M469" s="1133" t="str">
        <f t="shared" si="15"/>
        <v/>
      </c>
      <c r="N469" s="1134"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
      <c r="A470" s="39"/>
      <c r="B470" s="2003"/>
      <c r="C470" s="2004"/>
      <c r="D470" s="2005"/>
      <c r="E470" s="2006"/>
      <c r="F470" s="2007"/>
      <c r="G470" s="2008"/>
      <c r="H470" s="2008"/>
      <c r="I470" s="2008"/>
      <c r="J470" s="2008"/>
      <c r="K470" s="2008"/>
      <c r="L470" s="2009"/>
      <c r="M470" s="1133" t="str">
        <f t="shared" si="15"/>
        <v/>
      </c>
      <c r="N470" s="1134"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
      <c r="A471" s="39"/>
      <c r="B471" s="2003"/>
      <c r="C471" s="2004"/>
      <c r="D471" s="2005"/>
      <c r="E471" s="2006"/>
      <c r="F471" s="2007"/>
      <c r="G471" s="2008"/>
      <c r="H471" s="2008"/>
      <c r="I471" s="2008"/>
      <c r="J471" s="2008"/>
      <c r="K471" s="2008"/>
      <c r="L471" s="2009"/>
      <c r="M471" s="1133" t="str">
        <f t="shared" si="15"/>
        <v/>
      </c>
      <c r="N471" s="1134"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
      <c r="A472" s="39"/>
      <c r="B472" s="2003"/>
      <c r="C472" s="2004"/>
      <c r="D472" s="2005"/>
      <c r="E472" s="2006"/>
      <c r="F472" s="2007"/>
      <c r="G472" s="2008"/>
      <c r="H472" s="2008"/>
      <c r="I472" s="2008"/>
      <c r="J472" s="2008"/>
      <c r="K472" s="2008"/>
      <c r="L472" s="2009"/>
      <c r="M472" s="1133" t="str">
        <f t="shared" si="15"/>
        <v/>
      </c>
      <c r="N472" s="1134"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
      <c r="A473" s="39"/>
      <c r="B473" s="2003"/>
      <c r="C473" s="2004"/>
      <c r="D473" s="2005"/>
      <c r="E473" s="2006"/>
      <c r="F473" s="2007"/>
      <c r="G473" s="2008"/>
      <c r="H473" s="2008"/>
      <c r="I473" s="2008"/>
      <c r="J473" s="2008"/>
      <c r="K473" s="2008"/>
      <c r="L473" s="2009"/>
      <c r="M473" s="1133" t="str">
        <f t="shared" si="15"/>
        <v/>
      </c>
      <c r="N473" s="1134"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
      <c r="A474" s="39"/>
      <c r="B474" s="2003"/>
      <c r="C474" s="2004"/>
      <c r="D474" s="2005"/>
      <c r="E474" s="2006"/>
      <c r="F474" s="2007"/>
      <c r="G474" s="2008"/>
      <c r="H474" s="2008"/>
      <c r="I474" s="2008"/>
      <c r="J474" s="2008"/>
      <c r="K474" s="2008"/>
      <c r="L474" s="2009"/>
      <c r="M474" s="1133" t="str">
        <f t="shared" si="15"/>
        <v/>
      </c>
      <c r="N474" s="1134"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
      <c r="A475" s="39"/>
      <c r="B475" s="2003"/>
      <c r="C475" s="2004"/>
      <c r="D475" s="2005"/>
      <c r="E475" s="2006"/>
      <c r="F475" s="2007"/>
      <c r="G475" s="2008"/>
      <c r="H475" s="2008"/>
      <c r="I475" s="2008"/>
      <c r="J475" s="2008"/>
      <c r="K475" s="2008"/>
      <c r="L475" s="2009"/>
      <c r="M475" s="1133" t="str">
        <f t="shared" si="15"/>
        <v/>
      </c>
      <c r="N475" s="1134"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
      <c r="A476" s="39"/>
      <c r="B476" s="2003"/>
      <c r="C476" s="2004"/>
      <c r="D476" s="2005"/>
      <c r="E476" s="2006"/>
      <c r="F476" s="2007"/>
      <c r="G476" s="2008"/>
      <c r="H476" s="2008"/>
      <c r="I476" s="2008"/>
      <c r="J476" s="2008"/>
      <c r="K476" s="2008"/>
      <c r="L476" s="2009"/>
      <c r="M476" s="1133" t="str">
        <f t="shared" si="15"/>
        <v/>
      </c>
      <c r="N476" s="1134"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
      <c r="A477" s="39"/>
      <c r="B477" s="2003"/>
      <c r="C477" s="2004"/>
      <c r="D477" s="2005"/>
      <c r="E477" s="2006"/>
      <c r="F477" s="2007"/>
      <c r="G477" s="2008"/>
      <c r="H477" s="2008"/>
      <c r="I477" s="2008"/>
      <c r="J477" s="2008"/>
      <c r="K477" s="2008"/>
      <c r="L477" s="2009"/>
      <c r="M477" s="1133" t="str">
        <f t="shared" si="15"/>
        <v/>
      </c>
      <c r="N477" s="1134"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
      <c r="A478" s="39"/>
      <c r="B478" s="2003"/>
      <c r="C478" s="2004"/>
      <c r="D478" s="2005"/>
      <c r="E478" s="2006"/>
      <c r="F478" s="2007"/>
      <c r="G478" s="2008"/>
      <c r="H478" s="2008"/>
      <c r="I478" s="2008"/>
      <c r="J478" s="2008"/>
      <c r="K478" s="2008"/>
      <c r="L478" s="2009"/>
      <c r="M478" s="1133" t="str">
        <f t="shared" si="15"/>
        <v/>
      </c>
      <c r="N478" s="1134"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
      <c r="A479" s="39"/>
      <c r="B479" s="2003"/>
      <c r="C479" s="2004"/>
      <c r="D479" s="2005"/>
      <c r="E479" s="2006"/>
      <c r="F479" s="2007"/>
      <c r="G479" s="2008"/>
      <c r="H479" s="2008"/>
      <c r="I479" s="2008"/>
      <c r="J479" s="2008"/>
      <c r="K479" s="2008"/>
      <c r="L479" s="2009"/>
      <c r="M479" s="1133" t="str">
        <f t="shared" si="15"/>
        <v/>
      </c>
      <c r="N479" s="1134"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
      <c r="A480" s="39"/>
      <c r="B480" s="2003"/>
      <c r="C480" s="2004"/>
      <c r="D480" s="2005"/>
      <c r="E480" s="2006"/>
      <c r="F480" s="2007"/>
      <c r="G480" s="2008"/>
      <c r="H480" s="2008"/>
      <c r="I480" s="2008"/>
      <c r="J480" s="2008"/>
      <c r="K480" s="2008"/>
      <c r="L480" s="2009"/>
      <c r="M480" s="1133" t="str">
        <f t="shared" si="15"/>
        <v/>
      </c>
      <c r="N480" s="1134"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
      <c r="A481" s="39"/>
      <c r="B481" s="2003"/>
      <c r="C481" s="2004"/>
      <c r="D481" s="2005"/>
      <c r="E481" s="2006"/>
      <c r="F481" s="2007"/>
      <c r="G481" s="2008"/>
      <c r="H481" s="2008"/>
      <c r="I481" s="2008"/>
      <c r="J481" s="2008"/>
      <c r="K481" s="2008"/>
      <c r="L481" s="2009"/>
      <c r="M481" s="1133" t="str">
        <f t="shared" si="15"/>
        <v/>
      </c>
      <c r="N481" s="1134"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
      <c r="A482" s="39"/>
      <c r="B482" s="2003"/>
      <c r="C482" s="2004"/>
      <c r="D482" s="2005"/>
      <c r="E482" s="2006"/>
      <c r="F482" s="2007"/>
      <c r="G482" s="2008"/>
      <c r="H482" s="2008"/>
      <c r="I482" s="2008"/>
      <c r="J482" s="2008"/>
      <c r="K482" s="2008"/>
      <c r="L482" s="2009"/>
      <c r="M482" s="1133" t="str">
        <f t="shared" si="15"/>
        <v/>
      </c>
      <c r="N482" s="1134"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
      <c r="A483" s="39"/>
      <c r="B483" s="2003"/>
      <c r="C483" s="2004"/>
      <c r="D483" s="2005"/>
      <c r="E483" s="2006"/>
      <c r="F483" s="2007"/>
      <c r="G483" s="2008"/>
      <c r="H483" s="2008"/>
      <c r="I483" s="2008"/>
      <c r="J483" s="2008"/>
      <c r="K483" s="2008"/>
      <c r="L483" s="2009"/>
      <c r="M483" s="1133" t="str">
        <f t="shared" si="15"/>
        <v/>
      </c>
      <c r="N483" s="1134"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
      <c r="A484" s="39"/>
      <c r="B484" s="2003"/>
      <c r="C484" s="2004"/>
      <c r="D484" s="2005"/>
      <c r="E484" s="2006"/>
      <c r="F484" s="2007"/>
      <c r="G484" s="2008"/>
      <c r="H484" s="2008"/>
      <c r="I484" s="2008"/>
      <c r="J484" s="2008"/>
      <c r="K484" s="2008"/>
      <c r="L484" s="2009"/>
      <c r="M484" s="1133" t="str">
        <f t="shared" si="15"/>
        <v/>
      </c>
      <c r="N484" s="1134"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
      <c r="A485" s="39"/>
      <c r="B485" s="2003"/>
      <c r="C485" s="2004"/>
      <c r="D485" s="2005"/>
      <c r="E485" s="2006"/>
      <c r="F485" s="2007"/>
      <c r="G485" s="2008"/>
      <c r="H485" s="2008"/>
      <c r="I485" s="2008"/>
      <c r="J485" s="2008"/>
      <c r="K485" s="2008"/>
      <c r="L485" s="2009"/>
      <c r="M485" s="1133" t="str">
        <f t="shared" si="15"/>
        <v/>
      </c>
      <c r="N485" s="1134"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
      <c r="A486" s="39"/>
      <c r="B486" s="2003"/>
      <c r="C486" s="2004"/>
      <c r="D486" s="2005"/>
      <c r="E486" s="2006"/>
      <c r="F486" s="2007"/>
      <c r="G486" s="2008"/>
      <c r="H486" s="2008"/>
      <c r="I486" s="2008"/>
      <c r="J486" s="2008"/>
      <c r="K486" s="2008"/>
      <c r="L486" s="2009"/>
      <c r="M486" s="1133" t="str">
        <f t="shared" si="15"/>
        <v/>
      </c>
      <c r="N486" s="1134"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
      <c r="A487" s="39"/>
      <c r="B487" s="2003"/>
      <c r="C487" s="2004"/>
      <c r="D487" s="2005"/>
      <c r="E487" s="2006"/>
      <c r="F487" s="2007"/>
      <c r="G487" s="2008"/>
      <c r="H487" s="2008"/>
      <c r="I487" s="2008"/>
      <c r="J487" s="2008"/>
      <c r="K487" s="2008"/>
      <c r="L487" s="2009"/>
      <c r="M487" s="1133" t="str">
        <f t="shared" ref="M487:M498" si="17">UPPER(C487)</f>
        <v/>
      </c>
      <c r="N487" s="1134"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
      <c r="A488" s="39"/>
      <c r="B488" s="2003"/>
      <c r="C488" s="2004"/>
      <c r="D488" s="2005"/>
      <c r="E488" s="2006"/>
      <c r="F488" s="2007"/>
      <c r="G488" s="2008"/>
      <c r="H488" s="2008"/>
      <c r="I488" s="2008"/>
      <c r="J488" s="2008"/>
      <c r="K488" s="2008"/>
      <c r="L488" s="2009"/>
      <c r="M488" s="1133" t="str">
        <f t="shared" si="17"/>
        <v/>
      </c>
      <c r="N488" s="1134"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
      <c r="A489" s="39"/>
      <c r="B489" s="2003"/>
      <c r="C489" s="2004"/>
      <c r="D489" s="2005"/>
      <c r="E489" s="2006"/>
      <c r="F489" s="2007"/>
      <c r="G489" s="2008"/>
      <c r="H489" s="2008"/>
      <c r="I489" s="2008"/>
      <c r="J489" s="2008"/>
      <c r="K489" s="2008"/>
      <c r="L489" s="2009"/>
      <c r="M489" s="1133" t="str">
        <f t="shared" si="17"/>
        <v/>
      </c>
      <c r="N489" s="1134"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
      <c r="A490" s="39"/>
      <c r="B490" s="2003"/>
      <c r="C490" s="2004"/>
      <c r="D490" s="2005"/>
      <c r="E490" s="2006"/>
      <c r="F490" s="2007"/>
      <c r="G490" s="2008"/>
      <c r="H490" s="2008"/>
      <c r="I490" s="2008"/>
      <c r="J490" s="2008"/>
      <c r="K490" s="2008"/>
      <c r="L490" s="2009"/>
      <c r="M490" s="1133" t="str">
        <f t="shared" si="17"/>
        <v/>
      </c>
      <c r="N490" s="1134"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
      <c r="A491" s="39"/>
      <c r="B491" s="2003"/>
      <c r="C491" s="2004"/>
      <c r="D491" s="2005"/>
      <c r="E491" s="2006"/>
      <c r="F491" s="2007"/>
      <c r="G491" s="2008"/>
      <c r="H491" s="2008"/>
      <c r="I491" s="2008"/>
      <c r="J491" s="2008"/>
      <c r="K491" s="2008"/>
      <c r="L491" s="2009"/>
      <c r="M491" s="1133" t="str">
        <f t="shared" si="17"/>
        <v/>
      </c>
      <c r="N491" s="1134"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
      <c r="A492" s="39"/>
      <c r="B492" s="2003"/>
      <c r="C492" s="2004"/>
      <c r="D492" s="2005"/>
      <c r="E492" s="2006"/>
      <c r="F492" s="2007"/>
      <c r="G492" s="2008"/>
      <c r="H492" s="2008"/>
      <c r="I492" s="2008"/>
      <c r="J492" s="2008"/>
      <c r="K492" s="2008"/>
      <c r="L492" s="2009"/>
      <c r="M492" s="1133" t="str">
        <f t="shared" si="17"/>
        <v/>
      </c>
      <c r="N492" s="1134"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
      <c r="A493" s="39"/>
      <c r="B493" s="2003"/>
      <c r="C493" s="2004"/>
      <c r="D493" s="2005"/>
      <c r="E493" s="2006"/>
      <c r="F493" s="2007"/>
      <c r="G493" s="2008"/>
      <c r="H493" s="2008"/>
      <c r="I493" s="2008"/>
      <c r="J493" s="2008"/>
      <c r="K493" s="2008"/>
      <c r="L493" s="2009"/>
      <c r="M493" s="1133" t="str">
        <f t="shared" si="17"/>
        <v/>
      </c>
      <c r="N493" s="1134"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
      <c r="A494" s="39"/>
      <c r="B494" s="2003"/>
      <c r="C494" s="2004"/>
      <c r="D494" s="2005"/>
      <c r="E494" s="2006"/>
      <c r="F494" s="2007"/>
      <c r="G494" s="2008"/>
      <c r="H494" s="2008"/>
      <c r="I494" s="2008"/>
      <c r="J494" s="2008"/>
      <c r="K494" s="2008"/>
      <c r="L494" s="2009"/>
      <c r="M494" s="1133" t="str">
        <f t="shared" si="17"/>
        <v/>
      </c>
      <c r="N494" s="1134"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
      <c r="A495" s="39"/>
      <c r="B495" s="2003"/>
      <c r="C495" s="2004"/>
      <c r="D495" s="2005"/>
      <c r="E495" s="2006"/>
      <c r="F495" s="2007"/>
      <c r="G495" s="2008"/>
      <c r="H495" s="2008"/>
      <c r="I495" s="2008"/>
      <c r="J495" s="2008"/>
      <c r="K495" s="2008"/>
      <c r="L495" s="2009"/>
      <c r="M495" s="1133" t="str">
        <f t="shared" si="17"/>
        <v/>
      </c>
      <c r="N495" s="1134"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
      <c r="A496" s="39"/>
      <c r="B496" s="2003"/>
      <c r="C496" s="2004"/>
      <c r="D496" s="2005"/>
      <c r="E496" s="2006"/>
      <c r="F496" s="2007"/>
      <c r="G496" s="2008"/>
      <c r="H496" s="2008"/>
      <c r="I496" s="2008"/>
      <c r="J496" s="2008"/>
      <c r="K496" s="2008"/>
      <c r="L496" s="2009"/>
      <c r="M496" s="1133" t="str">
        <f t="shared" si="17"/>
        <v/>
      </c>
      <c r="N496" s="1134"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
      <c r="A497" s="39"/>
      <c r="B497" s="2003"/>
      <c r="C497" s="2004"/>
      <c r="D497" s="2005"/>
      <c r="E497" s="2006"/>
      <c r="F497" s="2007"/>
      <c r="G497" s="2008"/>
      <c r="H497" s="2008"/>
      <c r="I497" s="2008"/>
      <c r="J497" s="2008"/>
      <c r="K497" s="2008"/>
      <c r="L497" s="2009"/>
      <c r="M497" s="1133" t="str">
        <f t="shared" si="17"/>
        <v/>
      </c>
      <c r="N497" s="1134"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25">
      <c r="A498" s="39"/>
      <c r="B498" s="2010"/>
      <c r="C498" s="2011"/>
      <c r="D498" s="2012"/>
      <c r="E498" s="2013"/>
      <c r="F498" s="2014"/>
      <c r="G498" s="2015"/>
      <c r="H498" s="2015"/>
      <c r="I498" s="2015"/>
      <c r="J498" s="2015"/>
      <c r="K498" s="2015"/>
      <c r="L498" s="2016"/>
      <c r="M498" s="1133" t="str">
        <f t="shared" si="17"/>
        <v/>
      </c>
      <c r="N498" s="1134"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
      <c r="B499" s="1024"/>
      <c r="C499" s="1024"/>
      <c r="D499" s="1137"/>
      <c r="E499" s="1141"/>
      <c r="F499" s="1024"/>
      <c r="G499" s="1025"/>
      <c r="H499" s="1025"/>
      <c r="I499" s="1025"/>
      <c r="J499" s="1025"/>
      <c r="K499" s="1025"/>
      <c r="L499" s="1026"/>
    </row>
    <row r="500" spans="1:63" x14ac:dyDescent="0.2">
      <c r="B500" s="1024"/>
      <c r="C500" s="1024"/>
      <c r="D500" s="1137"/>
      <c r="E500" s="1141"/>
      <c r="F500" s="1024"/>
      <c r="G500" s="1025"/>
      <c r="H500" s="1025"/>
      <c r="I500" s="1025"/>
      <c r="J500" s="1025"/>
      <c r="K500" s="1025"/>
      <c r="L500" s="1026"/>
    </row>
    <row r="501" spans="1:63" x14ac:dyDescent="0.2">
      <c r="B501" s="1024"/>
      <c r="C501" s="1024"/>
      <c r="D501" s="1137"/>
      <c r="E501" s="1141"/>
      <c r="F501" s="1024"/>
      <c r="G501" s="1025"/>
      <c r="H501" s="1025"/>
      <c r="I501" s="1025"/>
      <c r="J501" s="1025"/>
      <c r="K501" s="1025"/>
      <c r="L501" s="1026"/>
    </row>
    <row r="502" spans="1:63" x14ac:dyDescent="0.2">
      <c r="B502" s="1024"/>
      <c r="C502" s="1024"/>
      <c r="D502" s="1137"/>
      <c r="E502" s="1141"/>
      <c r="F502" s="1024"/>
      <c r="G502" s="1025"/>
      <c r="H502" s="1025"/>
      <c r="I502" s="1025"/>
      <c r="J502" s="1025"/>
      <c r="K502" s="1025"/>
      <c r="L502" s="1026"/>
    </row>
    <row r="503" spans="1:63" x14ac:dyDescent="0.2">
      <c r="B503" s="1"/>
      <c r="C503" s="1"/>
      <c r="D503" s="1138"/>
      <c r="E503" s="1142"/>
      <c r="F503" s="1"/>
      <c r="G503" s="1027"/>
      <c r="H503" s="1027"/>
      <c r="I503" s="1027"/>
      <c r="J503" s="1027"/>
      <c r="K503" s="1027"/>
      <c r="L503" s="1028"/>
    </row>
    <row r="504" spans="1:63" x14ac:dyDescent="0.2">
      <c r="B504" s="1"/>
      <c r="C504" s="1"/>
      <c r="D504" s="1138"/>
      <c r="E504" s="1142"/>
      <c r="F504" s="1"/>
      <c r="G504" s="1027"/>
      <c r="H504" s="1027"/>
      <c r="I504" s="1027"/>
      <c r="J504" s="1027"/>
      <c r="K504" s="1027"/>
      <c r="L504" s="1028"/>
    </row>
  </sheetData>
  <sheetProtection selectLockedCells="1"/>
  <mergeCells count="2">
    <mergeCell ref="D2:E2"/>
    <mergeCell ref="AD2:AE2"/>
  </mergeCells>
  <phoneticPr fontId="28" type="noConversion"/>
  <conditionalFormatting sqref="G3:G498">
    <cfRule type="expression" dxfId="1508" priority="39" stopIfTrue="1">
      <formula>AND(M3&lt;&gt;"",G3="")</formula>
    </cfRule>
  </conditionalFormatting>
  <conditionalFormatting sqref="J3:J498">
    <cfRule type="expression" dxfId="1507" priority="40" stopIfTrue="1">
      <formula>AND(M3="C",J3="")</formula>
    </cfRule>
  </conditionalFormatting>
  <conditionalFormatting sqref="H3:H498">
    <cfRule type="expression" dxfId="1506" priority="2" stopIfTrue="1">
      <formula>AND(H3="",M3="C")</formula>
    </cfRule>
    <cfRule type="expression" dxfId="1505" priority="45" stopIfTrue="1">
      <formula>AND(H3="",OR(M3="B",M3="G"))</formula>
    </cfRule>
  </conditionalFormatting>
  <conditionalFormatting sqref="I3:I498">
    <cfRule type="expression" dxfId="1504" priority="46" stopIfTrue="1">
      <formula>AND(H3&lt;&gt;"",I3="")</formula>
    </cfRule>
  </conditionalFormatting>
  <conditionalFormatting sqref="K3:K498">
    <cfRule type="expression" dxfId="1503" priority="3" stopIfTrue="1">
      <formula>AND(M3="C",K3="")</formula>
    </cfRule>
    <cfRule type="expression" dxfId="1502" priority="47" stopIfTrue="1">
      <formula>AND(M3="C",K3="")</formula>
    </cfRule>
  </conditionalFormatting>
  <conditionalFormatting sqref="L3:L498">
    <cfRule type="expression" dxfId="1501" priority="48" stopIfTrue="1">
      <formula>AND(M3="C",L3="",K3&lt;&gt;"")</formula>
    </cfRule>
  </conditionalFormatting>
  <conditionalFormatting sqref="C3:C498">
    <cfRule type="expression" dxfId="1500" priority="18" stopIfTrue="1">
      <formula>AND(NOT(ISBLANK(B3)),ISBLANK(C3))</formula>
    </cfRule>
  </conditionalFormatting>
  <conditionalFormatting sqref="E3:E498">
    <cfRule type="expression" dxfId="1499" priority="41" stopIfTrue="1">
      <formula>AND(NOT(ISBLANK(C3)),ISBLANK(E3))</formula>
    </cfRule>
  </conditionalFormatting>
  <conditionalFormatting sqref="D3:D498">
    <cfRule type="expression" dxfId="1498" priority="43" stopIfTrue="1">
      <formula>AND(NOT(ISBLANK(C3)),ISBLANK(D3))</formula>
    </cfRule>
  </conditionalFormatting>
  <conditionalFormatting sqref="B3:L498">
    <cfRule type="expression" dxfId="1497" priority="1" stopIfTrue="1">
      <formula>$BK3</formula>
    </cfRule>
  </conditionalFormatting>
  <dataValidations count="3">
    <dataValidation type="whole" allowBlank="1" showInputMessage="1" showErrorMessage="1" errorTitle="Dimensional Error" error="&quot;Feet&quot; must be a whole number between -100 and 100." sqref="D3:D498">
      <formula1>-100</formula1>
      <formula2>100</formula2>
    </dataValidation>
    <dataValidation type="decimal" allowBlank="1" showErrorMessage="1" errorTitle="Dimensional Error" error="&quot;Inches&quot; must be a number from -11.875  to 11.875." sqref="E3:E498">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G3:K498">
      <formula1>-1200</formula1>
      <formula2>1200</formula2>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18.1019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P301"/>
  <sheetViews>
    <sheetView showGridLines="0" zoomScaleNormal="100" workbookViewId="0">
      <selection activeCell="Y6" sqref="Y6:AA6"/>
    </sheetView>
  </sheetViews>
  <sheetFormatPr defaultRowHeight="12.75" x14ac:dyDescent="0.2"/>
  <cols>
    <col min="1" max="2" width="5.7109375" style="1" customWidth="1"/>
    <col min="3" max="3" width="15.7109375" style="1" customWidth="1"/>
    <col min="4" max="5" width="25.7109375" style="1" customWidth="1"/>
    <col min="6" max="6" width="10.7109375" style="1" customWidth="1"/>
    <col min="7" max="7" width="15.7109375" style="1" hidden="1" customWidth="1"/>
    <col min="8" max="14" width="5.7109375" style="1" hidden="1" customWidth="1"/>
    <col min="15" max="15" width="7.28515625" style="1" hidden="1" customWidth="1"/>
    <col min="16" max="16" width="4.140625" style="1" hidden="1" customWidth="1"/>
    <col min="17" max="17" width="13.85546875" style="1" hidden="1" customWidth="1"/>
    <col min="18" max="18" width="75.7109375" style="1" hidden="1" customWidth="1"/>
    <col min="19" max="19" width="3.7109375" style="1" customWidth="1"/>
    <col min="20" max="20" width="20" style="1" hidden="1" customWidth="1"/>
    <col min="21" max="21" width="12.7109375" style="1" hidden="1" customWidth="1"/>
    <col min="22" max="26" width="6.7109375" style="92" hidden="1" customWidth="1"/>
    <col min="27" max="27" width="20.7109375" style="92" hidden="1" customWidth="1"/>
    <col min="28" max="28" width="6.7109375" style="92" hidden="1" customWidth="1"/>
    <col min="29" max="29" width="2.7109375" style="1" customWidth="1"/>
    <col min="30" max="30" width="30.7109375" style="1" customWidth="1"/>
    <col min="31" max="31" width="12.7109375" style="1" customWidth="1"/>
    <col min="32" max="32" width="15.7109375" style="1570" customWidth="1"/>
    <col min="33" max="33" width="12.7109375" style="980" customWidth="1"/>
    <col min="34" max="34" width="10.7109375" style="1" customWidth="1"/>
    <col min="35" max="41" width="9.140625" style="1" hidden="1" customWidth="1"/>
    <col min="42" max="42" width="10.7109375" style="1" customWidth="1"/>
    <col min="43" max="16384" width="9.140625" style="1"/>
  </cols>
  <sheetData>
    <row r="1" spans="2:42" ht="15" x14ac:dyDescent="0.3">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71" t="s">
        <v>490</v>
      </c>
      <c r="AF1" s="3014" t="s">
        <v>1231</v>
      </c>
      <c r="AG1" s="2314" t="s">
        <v>1227</v>
      </c>
      <c r="AH1" s="1572" t="s">
        <v>1229</v>
      </c>
      <c r="AI1" s="1282" t="s">
        <v>1169</v>
      </c>
      <c r="AJ1" s="1283"/>
      <c r="AK1" s="1283"/>
      <c r="AL1" s="1283"/>
      <c r="AM1" s="1283"/>
      <c r="AN1" s="1283"/>
      <c r="AO1" s="1283"/>
      <c r="AP1" s="281" t="s">
        <v>1228</v>
      </c>
    </row>
    <row r="2" spans="2:42" ht="13.5" thickBot="1" x14ac:dyDescent="0.25">
      <c r="B2" s="6"/>
      <c r="T2" s="35" t="s">
        <v>133</v>
      </c>
      <c r="U2" s="120">
        <f>COUNTIF(Y:Y,FALSE)</f>
        <v>0</v>
      </c>
      <c r="X2" s="61"/>
      <c r="Z2" s="93"/>
      <c r="AC2" s="55">
        <f>IF(ISBLANK(W1),"",W1)</f>
        <v>1</v>
      </c>
      <c r="AD2" s="91" t="str">
        <f>IF(ISBLANK(V1),"",V1)</f>
        <v>Master</v>
      </c>
      <c r="AE2" s="96" t="str">
        <f>IF(ISBLANK(Z1),"",Z1)</f>
        <v/>
      </c>
      <c r="AF2" s="3015"/>
      <c r="AG2" s="2316"/>
      <c r="AI2" s="1285" t="s">
        <v>638</v>
      </c>
      <c r="AJ2" s="1293" t="s">
        <v>1170</v>
      </c>
      <c r="AK2" s="1286"/>
      <c r="AL2" s="1286"/>
      <c r="AM2" s="1286"/>
      <c r="AN2" s="1286"/>
      <c r="AO2" s="1286"/>
    </row>
    <row r="3" spans="2:42" ht="14.25" thickTop="1" thickBot="1" x14ac:dyDescent="0.25">
      <c r="C3" s="13" t="s">
        <v>67</v>
      </c>
      <c r="D3" s="3016" t="s">
        <v>1996</v>
      </c>
      <c r="E3" s="3017"/>
      <c r="G3" s="3018" t="s">
        <v>609</v>
      </c>
      <c r="H3" s="3019"/>
      <c r="I3" s="3019"/>
      <c r="J3" s="3019"/>
      <c r="K3" s="3019"/>
      <c r="L3" s="3019"/>
      <c r="M3" s="3019"/>
      <c r="N3" s="3019"/>
      <c r="O3" s="3020"/>
      <c r="T3" s="35" t="s">
        <v>498</v>
      </c>
      <c r="U3" s="1581" t="b">
        <v>0</v>
      </c>
      <c r="X3" s="61"/>
      <c r="Z3" s="93"/>
      <c r="AC3" s="1582" t="str">
        <f t="shared" ref="AC3:AC66" si="0">IF(ISBLANK(W2),"",W2)</f>
        <v/>
      </c>
      <c r="AD3" s="1573" t="str">
        <f>IF(ISBLANK(V2),"",V2)</f>
        <v/>
      </c>
      <c r="AE3" s="1574" t="str">
        <f t="shared" ref="AE3:AE66" si="1">IF(ISBLANK(Z2),"",Z2)</f>
        <v/>
      </c>
      <c r="AF3" s="1579"/>
      <c r="AG3" s="1580"/>
      <c r="AI3" s="1284">
        <v>0</v>
      </c>
      <c r="AJ3" s="1287">
        <v>1.1499999999999999</v>
      </c>
      <c r="AK3" s="1287"/>
      <c r="AL3" s="1287"/>
      <c r="AM3" s="1287"/>
      <c r="AN3" s="1287"/>
      <c r="AO3" s="1287"/>
    </row>
    <row r="4" spans="2:42" x14ac:dyDescent="0.2">
      <c r="C4" s="14" t="s">
        <v>68</v>
      </c>
      <c r="D4" s="2997" t="s">
        <v>1997</v>
      </c>
      <c r="E4" s="2998"/>
      <c r="G4" s="3027" t="s">
        <v>610</v>
      </c>
      <c r="H4" s="3021" t="s">
        <v>617</v>
      </c>
      <c r="I4" s="3021" t="s">
        <v>611</v>
      </c>
      <c r="J4" s="3021" t="s">
        <v>612</v>
      </c>
      <c r="K4" s="3021" t="s">
        <v>620</v>
      </c>
      <c r="L4" s="3021" t="s">
        <v>613</v>
      </c>
      <c r="M4" s="3021" t="s">
        <v>614</v>
      </c>
      <c r="N4" s="3021" t="s">
        <v>985</v>
      </c>
      <c r="O4" s="3024" t="s">
        <v>725</v>
      </c>
      <c r="T4" s="35" t="s">
        <v>666</v>
      </c>
      <c r="U4" s="1581" t="b">
        <v>0</v>
      </c>
      <c r="X4" s="94"/>
      <c r="Z4" s="93"/>
      <c r="AC4" s="1582" t="str">
        <f t="shared" si="0"/>
        <v/>
      </c>
      <c r="AD4" s="1573" t="str">
        <f t="shared" ref="AD4:AD66" si="2">IF(ISBLANK(V3),"",V3)</f>
        <v/>
      </c>
      <c r="AE4" s="1574" t="str">
        <f t="shared" si="1"/>
        <v/>
      </c>
      <c r="AF4" s="1575"/>
      <c r="AG4" s="1576"/>
      <c r="AI4" s="1284" t="s">
        <v>1171</v>
      </c>
      <c r="AJ4" s="1287">
        <v>1.1499999999999999</v>
      </c>
      <c r="AK4" s="1288"/>
      <c r="AL4" s="1288"/>
      <c r="AM4" s="1288"/>
      <c r="AN4" s="1288"/>
      <c r="AO4" s="1288"/>
    </row>
    <row r="5" spans="2:42" x14ac:dyDescent="0.2">
      <c r="C5" s="14" t="s">
        <v>69</v>
      </c>
      <c r="D5" s="2997" t="s">
        <v>1998</v>
      </c>
      <c r="E5" s="2998"/>
      <c r="G5" s="3028"/>
      <c r="H5" s="3022"/>
      <c r="I5" s="3022"/>
      <c r="J5" s="3022"/>
      <c r="K5" s="3022"/>
      <c r="L5" s="3022"/>
      <c r="M5" s="3022"/>
      <c r="N5" s="3022"/>
      <c r="O5" s="3025"/>
      <c r="T5" s="35" t="s">
        <v>834</v>
      </c>
      <c r="U5" s="1581" t="b">
        <v>0</v>
      </c>
      <c r="X5" s="94"/>
      <c r="Z5" s="93"/>
      <c r="AC5" s="1582" t="str">
        <f t="shared" si="0"/>
        <v/>
      </c>
      <c r="AD5" s="1573" t="str">
        <f t="shared" si="2"/>
        <v/>
      </c>
      <c r="AE5" s="1574" t="str">
        <f t="shared" si="1"/>
        <v/>
      </c>
      <c r="AF5" s="1575"/>
      <c r="AG5" s="1576"/>
      <c r="AI5" s="1280" t="s">
        <v>1172</v>
      </c>
      <c r="AJ5" s="1288">
        <v>0.87</v>
      </c>
      <c r="AK5" s="1288"/>
      <c r="AL5" s="1288"/>
      <c r="AM5" s="1288"/>
      <c r="AN5" s="1288"/>
      <c r="AO5" s="1288"/>
    </row>
    <row r="6" spans="2:42" ht="13.5" thickBot="1" x14ac:dyDescent="0.25">
      <c r="C6" s="14" t="s">
        <v>70</v>
      </c>
      <c r="D6" s="2997" t="s">
        <v>1999</v>
      </c>
      <c r="E6" s="2998"/>
      <c r="G6" s="3029"/>
      <c r="H6" s="3023"/>
      <c r="I6" s="3023"/>
      <c r="J6" s="3023"/>
      <c r="K6" s="3023"/>
      <c r="L6" s="3023"/>
      <c r="M6" s="3023"/>
      <c r="N6" s="3023"/>
      <c r="O6" s="3026"/>
      <c r="T6" s="35" t="s">
        <v>833</v>
      </c>
      <c r="U6" s="1581" t="b">
        <v>0</v>
      </c>
      <c r="X6" s="94"/>
      <c r="Z6" s="93"/>
      <c r="AC6" s="1582" t="str">
        <f t="shared" si="0"/>
        <v/>
      </c>
      <c r="AD6" s="1573" t="str">
        <f t="shared" si="2"/>
        <v/>
      </c>
      <c r="AE6" s="1574" t="str">
        <f t="shared" si="1"/>
        <v/>
      </c>
      <c r="AF6" s="1575"/>
      <c r="AG6" s="1576"/>
      <c r="AI6" s="1280" t="s">
        <v>1173</v>
      </c>
      <c r="AJ6" s="1288">
        <v>1</v>
      </c>
      <c r="AK6" s="1288"/>
      <c r="AL6" s="1288"/>
      <c r="AM6" s="1288"/>
      <c r="AN6" s="1288"/>
      <c r="AO6" s="1288"/>
    </row>
    <row r="7" spans="2:42" ht="13.5" thickTop="1" x14ac:dyDescent="0.2">
      <c r="C7" s="14" t="s">
        <v>71</v>
      </c>
      <c r="D7" s="2997" t="s">
        <v>2000</v>
      </c>
      <c r="E7" s="2998"/>
      <c r="G7" s="1227" t="s">
        <v>615</v>
      </c>
      <c r="H7" s="1228">
        <v>2.5</v>
      </c>
      <c r="I7" s="1228">
        <v>2.5</v>
      </c>
      <c r="J7" s="1228">
        <v>4</v>
      </c>
      <c r="K7" s="1228">
        <v>3.5</v>
      </c>
      <c r="L7" s="1228">
        <v>1.5</v>
      </c>
      <c r="M7" s="1229">
        <v>0.5625</v>
      </c>
      <c r="N7" s="1228">
        <v>1</v>
      </c>
      <c r="O7" s="1230">
        <v>2.5</v>
      </c>
      <c r="T7" s="35" t="s">
        <v>840</v>
      </c>
      <c r="U7" s="1581" t="b">
        <v>0</v>
      </c>
      <c r="X7" s="94"/>
      <c r="Z7" s="93"/>
      <c r="AC7" s="1582" t="str">
        <f t="shared" si="0"/>
        <v/>
      </c>
      <c r="AD7" s="1573" t="str">
        <f t="shared" si="2"/>
        <v/>
      </c>
      <c r="AE7" s="1574" t="str">
        <f t="shared" si="1"/>
        <v/>
      </c>
      <c r="AF7" s="1575"/>
      <c r="AG7" s="1576"/>
      <c r="AI7" s="1280" t="s">
        <v>1174</v>
      </c>
      <c r="AJ7" s="1288">
        <v>1.1499999999999999</v>
      </c>
      <c r="AK7" s="1288"/>
      <c r="AL7" s="1288"/>
      <c r="AM7" s="1288"/>
      <c r="AN7" s="1288"/>
      <c r="AO7" s="1288"/>
    </row>
    <row r="8" spans="2:42" x14ac:dyDescent="0.2">
      <c r="C8" s="14" t="s">
        <v>72</v>
      </c>
      <c r="D8" s="3003">
        <v>43406</v>
      </c>
      <c r="E8" s="3004"/>
      <c r="G8" s="1231" t="s">
        <v>1162</v>
      </c>
      <c r="H8" s="1232">
        <v>2.5</v>
      </c>
      <c r="I8" s="1232">
        <v>2.5</v>
      </c>
      <c r="J8" s="1232">
        <v>4</v>
      </c>
      <c r="K8" s="1232">
        <v>3.5</v>
      </c>
      <c r="L8" s="1232">
        <v>1.5</v>
      </c>
      <c r="M8" s="1233">
        <v>0.5625</v>
      </c>
      <c r="N8" s="1232">
        <v>1</v>
      </c>
      <c r="O8" s="1234">
        <v>2.5</v>
      </c>
      <c r="T8" s="35" t="s">
        <v>1217</v>
      </c>
      <c r="U8" s="1581" t="b">
        <v>1</v>
      </c>
      <c r="X8" s="94"/>
      <c r="Z8" s="93"/>
      <c r="AC8" s="1582" t="str">
        <f t="shared" si="0"/>
        <v/>
      </c>
      <c r="AD8" s="1573" t="str">
        <f t="shared" si="2"/>
        <v/>
      </c>
      <c r="AE8" s="1574" t="str">
        <f t="shared" si="1"/>
        <v/>
      </c>
      <c r="AF8" s="1575"/>
      <c r="AG8" s="1576"/>
      <c r="AI8" s="1280" t="s">
        <v>1175</v>
      </c>
      <c r="AJ8" s="1288">
        <v>1</v>
      </c>
      <c r="AK8" s="1288"/>
      <c r="AL8" s="1288"/>
      <c r="AM8" s="1288"/>
      <c r="AN8" s="1288"/>
      <c r="AO8" s="1288"/>
    </row>
    <row r="9" spans="2:42" x14ac:dyDescent="0.2">
      <c r="C9" s="14" t="s">
        <v>73</v>
      </c>
      <c r="D9" s="2997">
        <v>42</v>
      </c>
      <c r="E9" s="2998"/>
      <c r="G9" s="1231" t="s">
        <v>1163</v>
      </c>
      <c r="H9" s="1232">
        <v>2.5</v>
      </c>
      <c r="I9" s="1232">
        <v>2.5</v>
      </c>
      <c r="J9" s="1232">
        <v>4</v>
      </c>
      <c r="K9" s="1232">
        <v>3.5</v>
      </c>
      <c r="L9" s="1232">
        <v>1.5</v>
      </c>
      <c r="M9" s="1233">
        <v>0.5625</v>
      </c>
      <c r="N9" s="1232">
        <v>1</v>
      </c>
      <c r="O9" s="1234">
        <v>2.5</v>
      </c>
      <c r="T9" s="35" t="s">
        <v>1230</v>
      </c>
      <c r="U9" s="1581">
        <f>COUNTA(AF:AF)-1</f>
        <v>0</v>
      </c>
      <c r="X9" s="94"/>
      <c r="Z9" s="93"/>
      <c r="AC9" s="1582" t="str">
        <f t="shared" si="0"/>
        <v/>
      </c>
      <c r="AD9" s="1573" t="str">
        <f t="shared" si="2"/>
        <v/>
      </c>
      <c r="AE9" s="1574" t="str">
        <f t="shared" si="1"/>
        <v/>
      </c>
      <c r="AF9" s="1577"/>
      <c r="AG9" s="1576"/>
      <c r="AI9" s="1280" t="s">
        <v>1176</v>
      </c>
      <c r="AJ9" s="1288">
        <v>1.1499999999999999</v>
      </c>
      <c r="AK9" s="1288"/>
      <c r="AL9" s="1288"/>
      <c r="AM9" s="1288"/>
      <c r="AN9" s="1288"/>
      <c r="AO9" s="1288"/>
    </row>
    <row r="10" spans="2:42" ht="13.5" thickBot="1" x14ac:dyDescent="0.25">
      <c r="C10" s="15"/>
      <c r="D10" s="3007"/>
      <c r="E10" s="3008"/>
      <c r="G10" s="1231" t="s">
        <v>1164</v>
      </c>
      <c r="H10" s="1232">
        <v>5</v>
      </c>
      <c r="I10" s="1232">
        <v>2.5</v>
      </c>
      <c r="J10" s="1232">
        <v>6</v>
      </c>
      <c r="K10" s="1232">
        <v>4</v>
      </c>
      <c r="L10" s="1232">
        <v>1.5</v>
      </c>
      <c r="M10" s="1233">
        <v>0.8125</v>
      </c>
      <c r="N10" s="1232">
        <v>2</v>
      </c>
      <c r="O10" s="1234">
        <v>4</v>
      </c>
      <c r="R10" s="999"/>
      <c r="X10" s="94"/>
      <c r="Z10" s="93"/>
      <c r="AC10" s="1582" t="str">
        <f t="shared" si="0"/>
        <v/>
      </c>
      <c r="AD10" s="1573" t="str">
        <f t="shared" si="2"/>
        <v/>
      </c>
      <c r="AE10" s="1574" t="str">
        <f t="shared" si="1"/>
        <v/>
      </c>
      <c r="AF10" s="1575"/>
      <c r="AG10" s="1576"/>
      <c r="AI10" s="1281"/>
      <c r="AJ10" s="1288"/>
      <c r="AK10" s="1288"/>
      <c r="AL10" s="1288"/>
      <c r="AM10" s="1288"/>
      <c r="AN10" s="1288"/>
      <c r="AO10" s="1288"/>
    </row>
    <row r="11" spans="2:42" x14ac:dyDescent="0.2">
      <c r="C11" s="16" t="s">
        <v>84</v>
      </c>
      <c r="D11" s="3005" t="str">
        <f ca="1">IF(P34=0,"",OFFSET(R33,1+((P34-1)*6),0))</f>
        <v>8200 Woolery Way | Fallon, NV 89406 | www.newmill.com</v>
      </c>
      <c r="E11" s="3006"/>
      <c r="G11" s="1231" t="s">
        <v>1165</v>
      </c>
      <c r="H11" s="1232">
        <v>5</v>
      </c>
      <c r="I11" s="1232">
        <v>4</v>
      </c>
      <c r="J11" s="1232">
        <v>6</v>
      </c>
      <c r="K11" s="1232">
        <v>4</v>
      </c>
      <c r="L11" s="1232">
        <v>1.5</v>
      </c>
      <c r="M11" s="1233">
        <v>0.8125</v>
      </c>
      <c r="N11" s="1232">
        <v>2</v>
      </c>
      <c r="O11" s="1234">
        <v>4</v>
      </c>
      <c r="X11" s="94"/>
      <c r="Z11" s="93"/>
      <c r="AC11" s="1582" t="str">
        <f t="shared" si="0"/>
        <v/>
      </c>
      <c r="AD11" s="1573" t="str">
        <f t="shared" si="2"/>
        <v/>
      </c>
      <c r="AE11" s="1574" t="str">
        <f t="shared" si="1"/>
        <v/>
      </c>
      <c r="AF11" s="1575"/>
      <c r="AG11" s="1576"/>
      <c r="AI11" s="1281"/>
      <c r="AJ11" s="1288"/>
      <c r="AK11" s="1288"/>
      <c r="AL11" s="1288"/>
      <c r="AM11" s="1288"/>
      <c r="AN11" s="1288"/>
      <c r="AO11" s="1288"/>
    </row>
    <row r="12" spans="2:42" x14ac:dyDescent="0.2">
      <c r="C12" s="17" t="s">
        <v>85</v>
      </c>
      <c r="D12" s="3012" t="str">
        <f ca="1">IF(P34=0,"",OFFSET(R33,2+((P34-1)*6),0))</f>
        <v>775-428-0600</v>
      </c>
      <c r="E12" s="3013"/>
      <c r="G12" s="1231" t="s">
        <v>1166</v>
      </c>
      <c r="H12" s="1232">
        <v>5</v>
      </c>
      <c r="I12" s="1232">
        <v>4</v>
      </c>
      <c r="J12" s="1232">
        <v>6</v>
      </c>
      <c r="K12" s="1232">
        <v>4</v>
      </c>
      <c r="L12" s="1232">
        <v>1.5</v>
      </c>
      <c r="M12" s="1233">
        <v>0.8125</v>
      </c>
      <c r="N12" s="1232">
        <v>2</v>
      </c>
      <c r="O12" s="1234">
        <v>4</v>
      </c>
      <c r="R12" s="1000"/>
      <c r="X12" s="94"/>
      <c r="Z12" s="93"/>
      <c r="AC12" s="1582" t="str">
        <f t="shared" si="0"/>
        <v/>
      </c>
      <c r="AD12" s="1573" t="str">
        <f t="shared" si="2"/>
        <v/>
      </c>
      <c r="AE12" s="1574" t="str">
        <f t="shared" si="1"/>
        <v/>
      </c>
      <c r="AF12" s="1575"/>
      <c r="AG12" s="1576"/>
      <c r="AI12" s="1289"/>
      <c r="AJ12" s="1290"/>
      <c r="AK12" s="1290"/>
      <c r="AL12" s="1290"/>
      <c r="AM12" s="1290"/>
      <c r="AN12" s="1290"/>
      <c r="AO12" s="1290"/>
    </row>
    <row r="13" spans="2:42" x14ac:dyDescent="0.2">
      <c r="C13" s="17" t="s">
        <v>86</v>
      </c>
      <c r="D13" s="3012" t="str">
        <f ca="1">IF(P34=0,"",OFFSET(R33,3+((P34-1)*6),0))</f>
        <v>775-867-2140</v>
      </c>
      <c r="E13" s="3013"/>
      <c r="G13" s="1231" t="s">
        <v>1167</v>
      </c>
      <c r="H13" s="1232">
        <v>5</v>
      </c>
      <c r="I13" s="1232">
        <v>4</v>
      </c>
      <c r="J13" s="1232">
        <v>6</v>
      </c>
      <c r="K13" s="1232">
        <v>4</v>
      </c>
      <c r="L13" s="1232">
        <v>1.5</v>
      </c>
      <c r="M13" s="1233">
        <v>0.8125</v>
      </c>
      <c r="N13" s="1232">
        <v>2</v>
      </c>
      <c r="O13" s="1234">
        <v>4</v>
      </c>
      <c r="T13" s="316"/>
      <c r="U13" s="317"/>
      <c r="X13" s="94"/>
      <c r="Z13" s="93"/>
      <c r="AC13" s="1582" t="str">
        <f t="shared" si="0"/>
        <v/>
      </c>
      <c r="AD13" s="1573" t="str">
        <f t="shared" si="2"/>
        <v/>
      </c>
      <c r="AE13" s="1574" t="str">
        <f t="shared" si="1"/>
        <v/>
      </c>
      <c r="AF13" s="1575"/>
      <c r="AG13" s="1576"/>
    </row>
    <row r="14" spans="2:42" x14ac:dyDescent="0.2">
      <c r="C14" s="17" t="s">
        <v>87</v>
      </c>
      <c r="D14" s="3012" t="str">
        <f ca="1">IF(P34=0,"",OFFSET(R33,4+((P34-1)*6),0))</f>
        <v>775-867-2169</v>
      </c>
      <c r="E14" s="3013"/>
      <c r="G14" s="1231" t="s">
        <v>1168</v>
      </c>
      <c r="H14" s="1232">
        <v>5</v>
      </c>
      <c r="I14" s="1232">
        <v>4</v>
      </c>
      <c r="J14" s="1232">
        <v>6</v>
      </c>
      <c r="K14" s="1232">
        <v>4</v>
      </c>
      <c r="L14" s="1232">
        <v>1.5</v>
      </c>
      <c r="M14" s="1233">
        <v>0.8125</v>
      </c>
      <c r="N14" s="1232">
        <v>2</v>
      </c>
      <c r="O14" s="1234">
        <v>4</v>
      </c>
      <c r="T14" s="316" t="s">
        <v>999</v>
      </c>
      <c r="U14" s="974">
        <v>43392</v>
      </c>
      <c r="X14" s="94"/>
      <c r="Z14" s="93"/>
      <c r="AC14" s="1582" t="str">
        <f t="shared" si="0"/>
        <v/>
      </c>
      <c r="AD14" s="1573" t="str">
        <f t="shared" si="2"/>
        <v/>
      </c>
      <c r="AE14" s="1574" t="str">
        <f t="shared" si="1"/>
        <v/>
      </c>
      <c r="AF14" s="1575"/>
      <c r="AG14" s="1578"/>
    </row>
    <row r="15" spans="2:42" ht="13.5" thickBot="1" x14ac:dyDescent="0.25">
      <c r="C15" s="18" t="s">
        <v>88</v>
      </c>
      <c r="D15" s="2999" t="str">
        <f ca="1">IF(P34=0,"",OFFSET(R33,5+((P34-1)*6),0))</f>
        <v>775-867-2060</v>
      </c>
      <c r="E15" s="3000"/>
      <c r="G15" s="1235" t="s">
        <v>606</v>
      </c>
      <c r="H15" s="1236">
        <v>7.5</v>
      </c>
      <c r="I15" s="1236">
        <v>4</v>
      </c>
      <c r="J15" s="1236">
        <v>6</v>
      </c>
      <c r="K15" s="1236">
        <v>5</v>
      </c>
      <c r="L15" s="1236">
        <v>1.5</v>
      </c>
      <c r="M15" s="1237">
        <v>0.8125</v>
      </c>
      <c r="N15" s="1236">
        <v>3</v>
      </c>
      <c r="O15" s="1238">
        <v>5</v>
      </c>
      <c r="T15" s="316" t="s">
        <v>997</v>
      </c>
      <c r="U15" s="1088" t="str">
        <f>CONCATENATE(TEXT(U14,"yy"),".",TEXT(U14,"mmdd"))</f>
        <v>18.1019</v>
      </c>
      <c r="X15" s="94"/>
      <c r="Z15" s="93"/>
      <c r="AC15" s="1582" t="str">
        <f t="shared" si="0"/>
        <v/>
      </c>
      <c r="AD15" s="1573" t="str">
        <f t="shared" si="2"/>
        <v/>
      </c>
      <c r="AE15" s="1574" t="str">
        <f t="shared" si="1"/>
        <v/>
      </c>
      <c r="AF15" s="1577"/>
      <c r="AG15" s="1576"/>
    </row>
    <row r="16" spans="2:42" x14ac:dyDescent="0.2">
      <c r="D16" s="103" t="s">
        <v>739</v>
      </c>
      <c r="E16" s="781">
        <v>18.101900000000001</v>
      </c>
      <c r="F16" s="91"/>
      <c r="T16" s="316" t="s">
        <v>998</v>
      </c>
      <c r="U16" s="1089">
        <v>1</v>
      </c>
      <c r="X16" s="94"/>
      <c r="Z16" s="93"/>
      <c r="AC16" s="1582" t="str">
        <f t="shared" si="0"/>
        <v/>
      </c>
      <c r="AD16" s="1573" t="str">
        <f t="shared" si="2"/>
        <v/>
      </c>
      <c r="AE16" s="1574" t="str">
        <f t="shared" si="1"/>
        <v/>
      </c>
      <c r="AF16" s="1575"/>
      <c r="AG16" s="1576"/>
    </row>
    <row r="17" spans="3:33" ht="13.5" thickBot="1" x14ac:dyDescent="0.25">
      <c r="T17" s="316"/>
      <c r="U17" s="1089" t="str">
        <f>CONCATENATE(TEXT(U14,"yy"),".",TEXT(U14,"mmdd"),".",TEXT(U16,"##"))</f>
        <v>18.1019.1</v>
      </c>
      <c r="X17" s="94"/>
      <c r="Z17" s="93"/>
      <c r="AC17" s="1582" t="str">
        <f t="shared" si="0"/>
        <v/>
      </c>
      <c r="AD17" s="1573" t="str">
        <f t="shared" si="2"/>
        <v/>
      </c>
      <c r="AE17" s="1574" t="str">
        <f t="shared" si="1"/>
        <v/>
      </c>
      <c r="AF17" s="1575"/>
      <c r="AG17" s="1576"/>
    </row>
    <row r="18" spans="3:33" ht="13.5" thickBot="1" x14ac:dyDescent="0.25">
      <c r="G18" s="3009" t="s">
        <v>1154</v>
      </c>
      <c r="H18" s="3010"/>
      <c r="I18" s="3010"/>
      <c r="J18" s="3010"/>
      <c r="K18" s="3010"/>
      <c r="L18" s="3010"/>
      <c r="M18" s="3011"/>
      <c r="X18" s="94"/>
      <c r="Z18" s="93"/>
      <c r="AC18" s="1582" t="str">
        <f t="shared" si="0"/>
        <v/>
      </c>
      <c r="AD18" s="1573" t="str">
        <f t="shared" si="2"/>
        <v/>
      </c>
      <c r="AE18" s="1574" t="str">
        <f t="shared" si="1"/>
        <v/>
      </c>
      <c r="AF18" s="1575"/>
      <c r="AG18" s="1576"/>
    </row>
    <row r="19" spans="3:33" ht="13.5" thickBot="1" x14ac:dyDescent="0.25">
      <c r="G19" s="3001" t="s">
        <v>691</v>
      </c>
      <c r="H19" s="3002"/>
      <c r="I19" s="3002"/>
      <c r="J19" s="3002"/>
      <c r="K19" s="3002"/>
      <c r="L19" s="1239">
        <v>0.375</v>
      </c>
      <c r="M19" s="1240" t="s">
        <v>616</v>
      </c>
      <c r="Z19" s="93"/>
      <c r="AC19" s="1582" t="str">
        <f t="shared" si="0"/>
        <v/>
      </c>
      <c r="AD19" s="1573" t="str">
        <f t="shared" si="2"/>
        <v/>
      </c>
      <c r="AE19" s="1574" t="str">
        <f t="shared" si="1"/>
        <v/>
      </c>
      <c r="AF19" s="1575"/>
      <c r="AG19" s="1576"/>
    </row>
    <row r="20" spans="3:33" ht="13.5" thickBot="1" x14ac:dyDescent="0.25">
      <c r="G20" s="3001" t="s">
        <v>694</v>
      </c>
      <c r="H20" s="3002"/>
      <c r="I20" s="3002"/>
      <c r="J20" s="3002"/>
      <c r="K20" s="3002"/>
      <c r="L20" s="1241">
        <v>0.1875</v>
      </c>
      <c r="M20" s="973"/>
      <c r="AC20" s="1582" t="str">
        <f t="shared" si="0"/>
        <v/>
      </c>
      <c r="AD20" s="1573" t="str">
        <f t="shared" si="2"/>
        <v/>
      </c>
      <c r="AE20" s="1574" t="str">
        <f t="shared" si="1"/>
        <v/>
      </c>
      <c r="AF20" s="1575"/>
      <c r="AG20" s="1576"/>
    </row>
    <row r="21" spans="3:33" ht="13.5" thickBot="1" x14ac:dyDescent="0.25">
      <c r="G21" s="3001" t="s">
        <v>692</v>
      </c>
      <c r="H21" s="3002"/>
      <c r="I21" s="3002"/>
      <c r="J21" s="3002"/>
      <c r="K21" s="3002"/>
      <c r="L21" s="1241">
        <v>0.5</v>
      </c>
      <c r="M21" s="973"/>
      <c r="AC21" s="1582" t="str">
        <f t="shared" si="0"/>
        <v/>
      </c>
      <c r="AD21" s="1573" t="str">
        <f t="shared" si="2"/>
        <v/>
      </c>
      <c r="AE21" s="1574" t="str">
        <f t="shared" si="1"/>
        <v/>
      </c>
      <c r="AF21" s="1575"/>
      <c r="AG21" s="1576"/>
    </row>
    <row r="22" spans="3:33" ht="13.5" thickBot="1" x14ac:dyDescent="0.25">
      <c r="G22" s="3001" t="s">
        <v>693</v>
      </c>
      <c r="H22" s="3002"/>
      <c r="I22" s="3002"/>
      <c r="J22" s="3002"/>
      <c r="K22" s="3002"/>
      <c r="L22" s="1241">
        <v>0.25</v>
      </c>
      <c r="M22" s="973"/>
      <c r="AC22" s="1582" t="str">
        <f t="shared" si="0"/>
        <v/>
      </c>
      <c r="AD22" s="1573" t="str">
        <f t="shared" si="2"/>
        <v/>
      </c>
      <c r="AE22" s="1574" t="str">
        <f t="shared" si="1"/>
        <v/>
      </c>
      <c r="AF22" s="1575"/>
      <c r="AG22" s="1576"/>
    </row>
    <row r="23" spans="3:33" ht="13.5" thickBot="1" x14ac:dyDescent="0.25">
      <c r="G23" s="3001" t="s">
        <v>1155</v>
      </c>
      <c r="H23" s="3002"/>
      <c r="I23" s="3002"/>
      <c r="J23" s="3002"/>
      <c r="K23" s="3002"/>
      <c r="L23" s="1239">
        <v>0.5</v>
      </c>
      <c r="M23" s="1240" t="s">
        <v>616</v>
      </c>
      <c r="AC23" s="1582" t="str">
        <f t="shared" si="0"/>
        <v/>
      </c>
      <c r="AD23" s="1573" t="str">
        <f t="shared" si="2"/>
        <v/>
      </c>
      <c r="AE23" s="1574" t="str">
        <f t="shared" si="1"/>
        <v/>
      </c>
      <c r="AF23" s="1575"/>
      <c r="AG23" s="1576"/>
    </row>
    <row r="24" spans="3:33" x14ac:dyDescent="0.2">
      <c r="AC24" s="1582" t="str">
        <f t="shared" si="0"/>
        <v/>
      </c>
      <c r="AD24" s="1573" t="str">
        <f t="shared" si="2"/>
        <v/>
      </c>
      <c r="AE24" s="1574" t="str">
        <f t="shared" si="1"/>
        <v/>
      </c>
      <c r="AF24" s="1575"/>
      <c r="AG24" s="1576"/>
    </row>
    <row r="25" spans="3:33" x14ac:dyDescent="0.2">
      <c r="T25" s="316" t="s">
        <v>774</v>
      </c>
      <c r="U25" s="317">
        <v>3</v>
      </c>
      <c r="AC25" s="1582" t="str">
        <f t="shared" si="0"/>
        <v/>
      </c>
      <c r="AD25" s="1573" t="str">
        <f t="shared" si="2"/>
        <v/>
      </c>
      <c r="AE25" s="1574" t="str">
        <f t="shared" si="1"/>
        <v/>
      </c>
      <c r="AF25" s="1575"/>
      <c r="AG25" s="1576"/>
    </row>
    <row r="26" spans="3:33" x14ac:dyDescent="0.2">
      <c r="T26" s="316" t="s">
        <v>775</v>
      </c>
      <c r="U26" s="317">
        <v>3</v>
      </c>
      <c r="AC26" s="1582" t="str">
        <f t="shared" si="0"/>
        <v/>
      </c>
      <c r="AD26" s="1573" t="str">
        <f t="shared" si="2"/>
        <v/>
      </c>
      <c r="AE26" s="1574" t="str">
        <f t="shared" si="1"/>
        <v/>
      </c>
      <c r="AF26" s="1575"/>
      <c r="AG26" s="1576"/>
    </row>
    <row r="27" spans="3:33" ht="15" customHeight="1" x14ac:dyDescent="0.2">
      <c r="C27" s="100" t="s">
        <v>120</v>
      </c>
      <c r="D27" s="102" t="s">
        <v>118</v>
      </c>
      <c r="T27" s="316" t="s">
        <v>983</v>
      </c>
      <c r="U27" s="973" t="s">
        <v>34</v>
      </c>
      <c r="AC27" s="1582" t="str">
        <f t="shared" si="0"/>
        <v/>
      </c>
      <c r="AD27" s="1573" t="str">
        <f t="shared" si="2"/>
        <v/>
      </c>
      <c r="AE27" s="1574" t="str">
        <f t="shared" si="1"/>
        <v/>
      </c>
      <c r="AF27" s="1575"/>
      <c r="AG27" s="1576"/>
    </row>
    <row r="28" spans="3:33" ht="20.100000000000001" customHeight="1" x14ac:dyDescent="0.2">
      <c r="AC28" s="1582" t="str">
        <f t="shared" si="0"/>
        <v/>
      </c>
      <c r="AD28" s="1573" t="str">
        <f t="shared" si="2"/>
        <v/>
      </c>
      <c r="AE28" s="1574" t="str">
        <f t="shared" si="1"/>
        <v/>
      </c>
      <c r="AF28" s="1575"/>
      <c r="AG28" s="1576"/>
    </row>
    <row r="29" spans="3:33" ht="15" customHeight="1" x14ac:dyDescent="0.2">
      <c r="D29" s="104" t="str">
        <f>IF(ISBLANK(VLOOKUP(D27,V:Z,5,FALSE)),"",VLOOKUP(D27,V:Z,5,FALSE))</f>
        <v/>
      </c>
      <c r="O29" s="36"/>
      <c r="Q29" s="1" t="s">
        <v>788</v>
      </c>
      <c r="AC29" s="1582" t="str">
        <f t="shared" si="0"/>
        <v/>
      </c>
      <c r="AD29" s="1573" t="str">
        <f t="shared" si="2"/>
        <v/>
      </c>
      <c r="AE29" s="1574" t="str">
        <f t="shared" si="1"/>
        <v/>
      </c>
      <c r="AF29" s="1575"/>
      <c r="AG29" s="1576"/>
    </row>
    <row r="30" spans="3:33" ht="12.75" customHeight="1" x14ac:dyDescent="0.2">
      <c r="Q30" s="277" t="str">
        <f>VLOOKUP(D27,V:Z,3,FALSE)</f>
        <v>M</v>
      </c>
      <c r="R30" s="1" t="s">
        <v>726</v>
      </c>
      <c r="AC30" s="1582" t="str">
        <f t="shared" si="0"/>
        <v/>
      </c>
      <c r="AD30" s="1573" t="str">
        <f t="shared" si="2"/>
        <v/>
      </c>
      <c r="AE30" s="1574" t="str">
        <f t="shared" si="1"/>
        <v/>
      </c>
      <c r="AF30" s="1575"/>
      <c r="AG30" s="1576"/>
    </row>
    <row r="31" spans="3:33" ht="12.75" customHeight="1" x14ac:dyDescent="0.2">
      <c r="Q31" s="277">
        <f>VLOOKUP(D27,V:Z,2,FALSE)</f>
        <v>1</v>
      </c>
      <c r="R31" s="1" t="s">
        <v>727</v>
      </c>
      <c r="AC31" s="1582" t="str">
        <f t="shared" si="0"/>
        <v/>
      </c>
      <c r="AD31" s="1573" t="str">
        <f t="shared" si="2"/>
        <v/>
      </c>
      <c r="AE31" s="1574" t="str">
        <f t="shared" si="1"/>
        <v/>
      </c>
      <c r="AF31" s="1575"/>
      <c r="AG31" s="1576"/>
    </row>
    <row r="32" spans="3:33" ht="12.75" customHeight="1" x14ac:dyDescent="0.2">
      <c r="Q32" s="278" t="b">
        <v>0</v>
      </c>
      <c r="R32" s="1" t="s">
        <v>728</v>
      </c>
      <c r="AC32" s="1582" t="str">
        <f t="shared" si="0"/>
        <v/>
      </c>
      <c r="AD32" s="1573" t="str">
        <f t="shared" si="2"/>
        <v/>
      </c>
      <c r="AE32" s="1574" t="str">
        <f t="shared" si="1"/>
        <v/>
      </c>
      <c r="AF32" s="1575"/>
      <c r="AG32" s="1576"/>
    </row>
    <row r="33" spans="1:33" ht="12.75" customHeight="1" thickBot="1" x14ac:dyDescent="0.25">
      <c r="A33" s="155"/>
      <c r="Q33" s="100" t="b">
        <f>AND(Q31=U1,Q31&gt;1)</f>
        <v>0</v>
      </c>
      <c r="R33" s="1" t="s">
        <v>729</v>
      </c>
      <c r="AC33" s="1582" t="str">
        <f t="shared" si="0"/>
        <v/>
      </c>
      <c r="AD33" s="1573" t="str">
        <f t="shared" si="2"/>
        <v/>
      </c>
      <c r="AE33" s="1574" t="str">
        <f t="shared" si="1"/>
        <v/>
      </c>
      <c r="AF33" s="1575"/>
      <c r="AG33" s="1576"/>
    </row>
    <row r="34" spans="1:33" ht="12.75" customHeight="1" x14ac:dyDescent="0.2">
      <c r="P34" s="977">
        <v>6</v>
      </c>
      <c r="Q34" s="7" t="s">
        <v>84</v>
      </c>
      <c r="R34" s="10" t="s">
        <v>90</v>
      </c>
      <c r="AC34" s="1582" t="str">
        <f t="shared" si="0"/>
        <v/>
      </c>
      <c r="AD34" s="1573" t="str">
        <f t="shared" si="2"/>
        <v/>
      </c>
      <c r="AE34" s="1574" t="str">
        <f t="shared" si="1"/>
        <v/>
      </c>
      <c r="AF34" s="1575"/>
      <c r="AG34" s="1576"/>
    </row>
    <row r="35" spans="1:33" ht="12.75" customHeight="1" x14ac:dyDescent="0.2">
      <c r="Q35" s="8" t="s">
        <v>85</v>
      </c>
      <c r="R35" s="11" t="s">
        <v>92</v>
      </c>
      <c r="AC35" s="1582" t="str">
        <f t="shared" si="0"/>
        <v/>
      </c>
      <c r="AD35" s="1573" t="str">
        <f t="shared" si="2"/>
        <v/>
      </c>
      <c r="AE35" s="1574" t="str">
        <f t="shared" si="1"/>
        <v/>
      </c>
      <c r="AF35" s="1575"/>
      <c r="AG35" s="1576"/>
    </row>
    <row r="36" spans="1:33" ht="12.75" customHeight="1" x14ac:dyDescent="0.2">
      <c r="A36" s="1279"/>
      <c r="Q36" s="8" t="s">
        <v>86</v>
      </c>
      <c r="R36" s="11" t="s">
        <v>93</v>
      </c>
      <c r="AC36" s="1582" t="str">
        <f t="shared" si="0"/>
        <v/>
      </c>
      <c r="AD36" s="1573" t="str">
        <f t="shared" si="2"/>
        <v/>
      </c>
      <c r="AE36" s="1574" t="str">
        <f t="shared" si="1"/>
        <v/>
      </c>
      <c r="AF36" s="1575"/>
      <c r="AG36" s="1576"/>
    </row>
    <row r="37" spans="1:33" ht="12.75" customHeight="1" x14ac:dyDescent="0.2">
      <c r="Q37" s="8" t="s">
        <v>87</v>
      </c>
      <c r="R37" s="11" t="s">
        <v>94</v>
      </c>
      <c r="AC37" s="1582" t="str">
        <f t="shared" si="0"/>
        <v/>
      </c>
      <c r="AD37" s="1573" t="str">
        <f t="shared" si="2"/>
        <v/>
      </c>
      <c r="AE37" s="1574" t="str">
        <f t="shared" si="1"/>
        <v/>
      </c>
      <c r="AF37" s="1575"/>
      <c r="AG37" s="1576"/>
    </row>
    <row r="38" spans="1:33" ht="12.75" customHeight="1" thickBot="1" x14ac:dyDescent="0.25">
      <c r="Q38" s="9" t="s">
        <v>88</v>
      </c>
      <c r="R38" s="12" t="s">
        <v>95</v>
      </c>
      <c r="AC38" s="1582" t="str">
        <f t="shared" si="0"/>
        <v/>
      </c>
      <c r="AD38" s="1573" t="str">
        <f t="shared" si="2"/>
        <v/>
      </c>
      <c r="AE38" s="1574" t="str">
        <f t="shared" si="1"/>
        <v/>
      </c>
      <c r="AF38" s="1575"/>
      <c r="AG38" s="1576"/>
    </row>
    <row r="39" spans="1:33" ht="12.75" customHeight="1" thickBot="1" x14ac:dyDescent="0.25">
      <c r="AC39" s="1582" t="str">
        <f t="shared" si="0"/>
        <v/>
      </c>
      <c r="AD39" s="1573" t="str">
        <f t="shared" si="2"/>
        <v/>
      </c>
      <c r="AE39" s="1574" t="str">
        <f t="shared" si="1"/>
        <v/>
      </c>
      <c r="AF39" s="1575"/>
      <c r="AG39" s="1576"/>
    </row>
    <row r="40" spans="1:33" ht="12.75" customHeight="1" x14ac:dyDescent="0.2">
      <c r="Q40" s="7" t="s">
        <v>84</v>
      </c>
      <c r="R40" s="10" t="s">
        <v>851</v>
      </c>
      <c r="AC40" s="1582" t="str">
        <f t="shared" si="0"/>
        <v/>
      </c>
      <c r="AD40" s="1573" t="str">
        <f t="shared" si="2"/>
        <v/>
      </c>
      <c r="AE40" s="1574" t="str">
        <f t="shared" si="1"/>
        <v/>
      </c>
      <c r="AF40" s="1575"/>
      <c r="AG40" s="1576"/>
    </row>
    <row r="41" spans="1:33" ht="12.75" customHeight="1" x14ac:dyDescent="0.2">
      <c r="Q41" s="8" t="s">
        <v>85</v>
      </c>
      <c r="R41" s="11" t="s">
        <v>104</v>
      </c>
      <c r="AC41" s="1582" t="str">
        <f t="shared" si="0"/>
        <v/>
      </c>
      <c r="AD41" s="1573" t="str">
        <f t="shared" si="2"/>
        <v/>
      </c>
      <c r="AE41" s="1574" t="str">
        <f t="shared" si="1"/>
        <v/>
      </c>
      <c r="AF41" s="1575"/>
      <c r="AG41" s="1576"/>
    </row>
    <row r="42" spans="1:33" ht="12.75" customHeight="1" x14ac:dyDescent="0.2">
      <c r="Q42" s="8" t="s">
        <v>86</v>
      </c>
      <c r="R42" s="11" t="s">
        <v>105</v>
      </c>
      <c r="AC42" s="1582" t="str">
        <f t="shared" si="0"/>
        <v/>
      </c>
      <c r="AD42" s="1573" t="str">
        <f t="shared" si="2"/>
        <v/>
      </c>
      <c r="AE42" s="1574" t="str">
        <f t="shared" si="1"/>
        <v/>
      </c>
      <c r="AF42" s="1575"/>
      <c r="AG42" s="1576"/>
    </row>
    <row r="43" spans="1:33" ht="12.75" customHeight="1" x14ac:dyDescent="0.2">
      <c r="Q43" s="8" t="s">
        <v>87</v>
      </c>
      <c r="R43" s="11" t="s">
        <v>106</v>
      </c>
      <c r="AC43" s="1582" t="str">
        <f t="shared" si="0"/>
        <v/>
      </c>
      <c r="AD43" s="1573" t="str">
        <f t="shared" si="2"/>
        <v/>
      </c>
      <c r="AE43" s="1574" t="str">
        <f t="shared" si="1"/>
        <v/>
      </c>
      <c r="AF43" s="1575"/>
      <c r="AG43" s="1576"/>
    </row>
    <row r="44" spans="1:33" ht="12.75" customHeight="1" thickBot="1" x14ac:dyDescent="0.25">
      <c r="Q44" s="9" t="s">
        <v>88</v>
      </c>
      <c r="R44" s="12" t="s">
        <v>107</v>
      </c>
      <c r="AC44" s="1582" t="str">
        <f t="shared" si="0"/>
        <v/>
      </c>
      <c r="AD44" s="1573" t="str">
        <f t="shared" si="2"/>
        <v/>
      </c>
      <c r="AE44" s="1574" t="str">
        <f t="shared" si="1"/>
        <v/>
      </c>
      <c r="AF44" s="1575"/>
      <c r="AG44" s="1576"/>
    </row>
    <row r="45" spans="1:33" ht="12.75" customHeight="1" thickBot="1" x14ac:dyDescent="0.25">
      <c r="AC45" s="1582" t="str">
        <f t="shared" si="0"/>
        <v/>
      </c>
      <c r="AD45" s="1573" t="str">
        <f t="shared" si="2"/>
        <v/>
      </c>
      <c r="AE45" s="1574" t="str">
        <f t="shared" si="1"/>
        <v/>
      </c>
      <c r="AF45" s="1575"/>
      <c r="AG45" s="1576"/>
    </row>
    <row r="46" spans="1:33" ht="12.75" customHeight="1" x14ac:dyDescent="0.2">
      <c r="Q46" s="7" t="s">
        <v>84</v>
      </c>
      <c r="R46" s="10" t="s">
        <v>1001</v>
      </c>
      <c r="AC46" s="1582" t="str">
        <f t="shared" si="0"/>
        <v/>
      </c>
      <c r="AD46" s="1573" t="str">
        <f t="shared" si="2"/>
        <v/>
      </c>
      <c r="AE46" s="1574" t="str">
        <f t="shared" si="1"/>
        <v/>
      </c>
      <c r="AF46" s="1575"/>
      <c r="AG46" s="1576"/>
    </row>
    <row r="47" spans="1:33" ht="12.75" customHeight="1" x14ac:dyDescent="0.2">
      <c r="Q47" s="8" t="s">
        <v>85</v>
      </c>
      <c r="R47" s="11" t="s">
        <v>100</v>
      </c>
      <c r="AC47" s="1582" t="str">
        <f t="shared" si="0"/>
        <v/>
      </c>
      <c r="AD47" s="1573" t="str">
        <f t="shared" si="2"/>
        <v/>
      </c>
      <c r="AE47" s="1574" t="str">
        <f t="shared" si="1"/>
        <v/>
      </c>
      <c r="AF47" s="1575"/>
      <c r="AG47" s="1576"/>
    </row>
    <row r="48" spans="1:33" ht="12.75" customHeight="1" x14ac:dyDescent="0.2">
      <c r="Q48" s="8" t="s">
        <v>86</v>
      </c>
      <c r="R48" s="11" t="s">
        <v>101</v>
      </c>
      <c r="AC48" s="1582" t="str">
        <f t="shared" si="0"/>
        <v/>
      </c>
      <c r="AD48" s="1573" t="str">
        <f t="shared" si="2"/>
        <v/>
      </c>
      <c r="AE48" s="1574" t="str">
        <f t="shared" si="1"/>
        <v/>
      </c>
      <c r="AF48" s="1575"/>
      <c r="AG48" s="1576"/>
    </row>
    <row r="49" spans="1:33" ht="12.75" customHeight="1" x14ac:dyDescent="0.2">
      <c r="Q49" s="8" t="s">
        <v>87</v>
      </c>
      <c r="R49" s="11" t="s">
        <v>102</v>
      </c>
      <c r="AC49" s="1582" t="str">
        <f t="shared" si="0"/>
        <v/>
      </c>
      <c r="AD49" s="1573" t="str">
        <f t="shared" si="2"/>
        <v/>
      </c>
      <c r="AE49" s="1574" t="str">
        <f t="shared" si="1"/>
        <v/>
      </c>
      <c r="AF49" s="1575"/>
      <c r="AG49" s="1576"/>
    </row>
    <row r="50" spans="1:33" ht="12.75" customHeight="1" thickBot="1" x14ac:dyDescent="0.25">
      <c r="Q50" s="9" t="s">
        <v>88</v>
      </c>
      <c r="R50" s="12" t="s">
        <v>103</v>
      </c>
      <c r="AC50" s="1582" t="str">
        <f t="shared" si="0"/>
        <v/>
      </c>
      <c r="AD50" s="1573" t="str">
        <f t="shared" si="2"/>
        <v/>
      </c>
      <c r="AE50" s="1574" t="str">
        <f t="shared" si="1"/>
        <v/>
      </c>
      <c r="AF50" s="1575"/>
      <c r="AG50" s="1576"/>
    </row>
    <row r="51" spans="1:33" ht="12.75" customHeight="1" thickBot="1" x14ac:dyDescent="0.25">
      <c r="AC51" s="1582" t="str">
        <f t="shared" si="0"/>
        <v/>
      </c>
      <c r="AD51" s="1573" t="str">
        <f t="shared" si="2"/>
        <v/>
      </c>
      <c r="AE51" s="1574" t="str">
        <f t="shared" si="1"/>
        <v/>
      </c>
      <c r="AF51" s="1575"/>
      <c r="AG51" s="1576"/>
    </row>
    <row r="52" spans="1:33" ht="12.75" customHeight="1" x14ac:dyDescent="0.2">
      <c r="Q52" s="7" t="s">
        <v>84</v>
      </c>
      <c r="R52" s="10" t="s">
        <v>1002</v>
      </c>
      <c r="AC52" s="1582" t="str">
        <f t="shared" si="0"/>
        <v/>
      </c>
      <c r="AD52" s="1573" t="str">
        <f t="shared" si="2"/>
        <v/>
      </c>
      <c r="AE52" s="1574" t="str">
        <f t="shared" si="1"/>
        <v/>
      </c>
      <c r="AF52" s="1575"/>
      <c r="AG52" s="1576"/>
    </row>
    <row r="53" spans="1:33" ht="12.75" customHeight="1" x14ac:dyDescent="0.2">
      <c r="Q53" s="8" t="s">
        <v>85</v>
      </c>
      <c r="R53" s="11" t="s">
        <v>1005</v>
      </c>
      <c r="AC53" s="1582" t="str">
        <f t="shared" si="0"/>
        <v/>
      </c>
      <c r="AD53" s="1573" t="str">
        <f t="shared" si="2"/>
        <v/>
      </c>
      <c r="AE53" s="1574" t="str">
        <f t="shared" si="1"/>
        <v/>
      </c>
      <c r="AF53" s="1575"/>
      <c r="AG53" s="1576"/>
    </row>
    <row r="54" spans="1:33" ht="12.75" customHeight="1" x14ac:dyDescent="0.2">
      <c r="Q54" s="8" t="s">
        <v>86</v>
      </c>
      <c r="R54" s="11" t="s">
        <v>734</v>
      </c>
      <c r="AC54" s="1582" t="str">
        <f t="shared" si="0"/>
        <v/>
      </c>
      <c r="AD54" s="1573" t="str">
        <f t="shared" si="2"/>
        <v/>
      </c>
      <c r="AE54" s="1574" t="str">
        <f t="shared" si="1"/>
        <v/>
      </c>
      <c r="AF54" s="1575"/>
      <c r="AG54" s="1576"/>
    </row>
    <row r="55" spans="1:33" ht="12.75" customHeight="1" x14ac:dyDescent="0.2">
      <c r="Q55" s="8" t="s">
        <v>87</v>
      </c>
      <c r="R55" s="11" t="s">
        <v>735</v>
      </c>
      <c r="AC55" s="1582" t="str">
        <f t="shared" si="0"/>
        <v/>
      </c>
      <c r="AD55" s="1573" t="str">
        <f t="shared" si="2"/>
        <v/>
      </c>
      <c r="AE55" s="1574" t="str">
        <f t="shared" si="1"/>
        <v/>
      </c>
      <c r="AF55" s="1575"/>
      <c r="AG55" s="1576"/>
    </row>
    <row r="56" spans="1:33" ht="12.75" customHeight="1" thickBot="1" x14ac:dyDescent="0.25">
      <c r="Q56" s="9" t="s">
        <v>88</v>
      </c>
      <c r="R56" s="12" t="s">
        <v>731</v>
      </c>
      <c r="AC56" s="1582" t="str">
        <f t="shared" si="0"/>
        <v/>
      </c>
      <c r="AD56" s="1573" t="str">
        <f t="shared" si="2"/>
        <v/>
      </c>
      <c r="AE56" s="1574" t="str">
        <f t="shared" si="1"/>
        <v/>
      </c>
      <c r="AF56" s="1575"/>
      <c r="AG56" s="1576"/>
    </row>
    <row r="57" spans="1:33" ht="12.75" customHeight="1" thickBot="1" x14ac:dyDescent="0.25">
      <c r="AC57" s="1582" t="str">
        <f t="shared" si="0"/>
        <v/>
      </c>
      <c r="AD57" s="1573" t="str">
        <f t="shared" si="2"/>
        <v/>
      </c>
      <c r="AE57" s="1574" t="str">
        <f t="shared" si="1"/>
        <v/>
      </c>
      <c r="AF57" s="1575"/>
      <c r="AG57" s="1576"/>
    </row>
    <row r="58" spans="1:33" ht="12.75" customHeight="1" x14ac:dyDescent="0.2">
      <c r="Q58" s="7" t="s">
        <v>84</v>
      </c>
      <c r="R58" s="10" t="s">
        <v>730</v>
      </c>
      <c r="AC58" s="1582" t="str">
        <f t="shared" si="0"/>
        <v/>
      </c>
      <c r="AD58" s="1573" t="str">
        <f t="shared" si="2"/>
        <v/>
      </c>
      <c r="AE58" s="1574" t="str">
        <f t="shared" si="1"/>
        <v/>
      </c>
      <c r="AF58" s="1575"/>
      <c r="AG58" s="1576"/>
    </row>
    <row r="59" spans="1:33" ht="12.75" customHeight="1" x14ac:dyDescent="0.2">
      <c r="Q59" s="8" t="s">
        <v>85</v>
      </c>
      <c r="R59" s="11" t="s">
        <v>732</v>
      </c>
      <c r="AC59" s="1582" t="str">
        <f t="shared" si="0"/>
        <v/>
      </c>
      <c r="AD59" s="1573" t="str">
        <f t="shared" si="2"/>
        <v/>
      </c>
      <c r="AE59" s="1574" t="str">
        <f t="shared" si="1"/>
        <v/>
      </c>
      <c r="AF59" s="1575"/>
      <c r="AG59" s="1576"/>
    </row>
    <row r="60" spans="1:33" ht="12.75" customHeight="1" x14ac:dyDescent="0.2">
      <c r="Q60" s="8" t="s">
        <v>86</v>
      </c>
      <c r="R60" s="11" t="s">
        <v>733</v>
      </c>
      <c r="AC60" s="1582" t="str">
        <f t="shared" si="0"/>
        <v/>
      </c>
      <c r="AD60" s="1573" t="str">
        <f t="shared" si="2"/>
        <v/>
      </c>
      <c r="AE60" s="1574" t="str">
        <f t="shared" si="1"/>
        <v/>
      </c>
      <c r="AF60" s="1575"/>
      <c r="AG60" s="1576"/>
    </row>
    <row r="61" spans="1:33" ht="12.75" customHeight="1" x14ac:dyDescent="0.2">
      <c r="A61" s="1566" t="s">
        <v>1219</v>
      </c>
      <c r="Q61" s="8" t="s">
        <v>87</v>
      </c>
      <c r="R61" s="11" t="s">
        <v>733</v>
      </c>
      <c r="AC61" s="1582" t="str">
        <f t="shared" si="0"/>
        <v/>
      </c>
      <c r="AD61" s="1573" t="str">
        <f t="shared" si="2"/>
        <v/>
      </c>
      <c r="AE61" s="1574" t="str">
        <f t="shared" si="1"/>
        <v/>
      </c>
      <c r="AF61" s="1575"/>
      <c r="AG61" s="1576"/>
    </row>
    <row r="62" spans="1:33" ht="12.75" customHeight="1" thickBot="1" x14ac:dyDescent="0.25">
      <c r="Q62" s="9" t="s">
        <v>88</v>
      </c>
      <c r="R62" s="12" t="s">
        <v>733</v>
      </c>
      <c r="AC62" s="1582" t="str">
        <f t="shared" si="0"/>
        <v/>
      </c>
      <c r="AD62" s="1573" t="str">
        <f t="shared" si="2"/>
        <v/>
      </c>
      <c r="AE62" s="1574" t="str">
        <f t="shared" si="1"/>
        <v/>
      </c>
      <c r="AF62" s="1575"/>
      <c r="AG62" s="1576"/>
    </row>
    <row r="63" spans="1:33" ht="12.75" customHeight="1" thickBot="1" x14ac:dyDescent="0.25">
      <c r="AC63" s="1582" t="str">
        <f t="shared" si="0"/>
        <v/>
      </c>
      <c r="AD63" s="1573" t="str">
        <f t="shared" si="2"/>
        <v/>
      </c>
      <c r="AE63" s="1574" t="str">
        <f t="shared" si="1"/>
        <v/>
      </c>
      <c r="AF63" s="1575"/>
      <c r="AG63" s="1576"/>
    </row>
    <row r="64" spans="1:33" ht="12.75" customHeight="1" x14ac:dyDescent="0.2">
      <c r="Q64" s="7" t="s">
        <v>84</v>
      </c>
      <c r="R64" s="10" t="s">
        <v>721</v>
      </c>
      <c r="AC64" s="1582" t="str">
        <f t="shared" si="0"/>
        <v/>
      </c>
      <c r="AD64" s="1573" t="str">
        <f t="shared" si="2"/>
        <v/>
      </c>
      <c r="AE64" s="1574" t="str">
        <f t="shared" si="1"/>
        <v/>
      </c>
      <c r="AF64" s="1575"/>
      <c r="AG64" s="1576"/>
    </row>
    <row r="65" spans="1:33" ht="12.75" customHeight="1" x14ac:dyDescent="0.2">
      <c r="Q65" s="8" t="s">
        <v>85</v>
      </c>
      <c r="R65" s="11" t="s">
        <v>1003</v>
      </c>
      <c r="AC65" s="1582" t="str">
        <f t="shared" si="0"/>
        <v/>
      </c>
      <c r="AD65" s="1573" t="str">
        <f t="shared" si="2"/>
        <v/>
      </c>
      <c r="AE65" s="1574" t="str">
        <f t="shared" si="1"/>
        <v/>
      </c>
      <c r="AF65" s="1575"/>
      <c r="AG65" s="1576"/>
    </row>
    <row r="66" spans="1:33" ht="12.75" customHeight="1" x14ac:dyDescent="0.2">
      <c r="Q66" s="8" t="s">
        <v>86</v>
      </c>
      <c r="R66" s="11" t="s">
        <v>736</v>
      </c>
      <c r="AC66" s="1582" t="str">
        <f t="shared" si="0"/>
        <v/>
      </c>
      <c r="AD66" s="1573" t="str">
        <f t="shared" si="2"/>
        <v/>
      </c>
      <c r="AE66" s="1574" t="str">
        <f t="shared" si="1"/>
        <v/>
      </c>
      <c r="AF66" s="1575"/>
      <c r="AG66" s="1576"/>
    </row>
    <row r="67" spans="1:33" ht="12.75" customHeight="1" x14ac:dyDescent="0.2">
      <c r="Q67" s="8" t="s">
        <v>87</v>
      </c>
      <c r="R67" s="11" t="s">
        <v>1004</v>
      </c>
      <c r="AC67" s="1582" t="str">
        <f t="shared" ref="AC67:AC130" si="3">IF(ISBLANK(W66),"",W66)</f>
        <v/>
      </c>
      <c r="AD67" s="1573" t="str">
        <f t="shared" ref="AD67:AD130" si="4">IF(ISBLANK(V66),"",V66)</f>
        <v/>
      </c>
      <c r="AE67" s="1574" t="str">
        <f t="shared" ref="AE67:AE130" si="5">IF(ISBLANK(Z66),"",Z66)</f>
        <v/>
      </c>
      <c r="AF67" s="1575"/>
      <c r="AG67" s="1576"/>
    </row>
    <row r="68" spans="1:33" ht="12.75" customHeight="1" thickBot="1" x14ac:dyDescent="0.25">
      <c r="Q68" s="9" t="s">
        <v>88</v>
      </c>
      <c r="R68" s="12" t="s">
        <v>737</v>
      </c>
      <c r="AC68" s="1582" t="str">
        <f t="shared" si="3"/>
        <v/>
      </c>
      <c r="AD68" s="1573" t="str">
        <f t="shared" si="4"/>
        <v/>
      </c>
      <c r="AE68" s="1574" t="str">
        <f t="shared" si="5"/>
        <v/>
      </c>
      <c r="AF68" s="1575"/>
      <c r="AG68" s="1576"/>
    </row>
    <row r="69" spans="1:33" ht="12.75" customHeight="1" thickBot="1" x14ac:dyDescent="0.25">
      <c r="AC69" s="1582" t="str">
        <f t="shared" si="3"/>
        <v/>
      </c>
      <c r="AD69" s="1573" t="str">
        <f t="shared" si="4"/>
        <v/>
      </c>
      <c r="AE69" s="1574" t="str">
        <f t="shared" si="5"/>
        <v/>
      </c>
      <c r="AF69" s="1575"/>
      <c r="AG69" s="1576"/>
    </row>
    <row r="70" spans="1:33" ht="12.75" customHeight="1" x14ac:dyDescent="0.2">
      <c r="Q70" s="7" t="s">
        <v>84</v>
      </c>
      <c r="R70" s="10" t="s">
        <v>988</v>
      </c>
      <c r="AC70" s="1582" t="str">
        <f t="shared" si="3"/>
        <v/>
      </c>
      <c r="AD70" s="1573" t="str">
        <f t="shared" si="4"/>
        <v/>
      </c>
      <c r="AE70" s="1574" t="str">
        <f t="shared" si="5"/>
        <v/>
      </c>
      <c r="AF70" s="1575"/>
      <c r="AG70" s="1576"/>
    </row>
    <row r="71" spans="1:33" ht="12.75" customHeight="1" x14ac:dyDescent="0.2">
      <c r="Q71" s="8" t="s">
        <v>85</v>
      </c>
      <c r="R71" s="11" t="s">
        <v>92</v>
      </c>
      <c r="AC71" s="1582" t="str">
        <f t="shared" si="3"/>
        <v/>
      </c>
      <c r="AD71" s="1573" t="str">
        <f t="shared" si="4"/>
        <v/>
      </c>
      <c r="AE71" s="1574" t="str">
        <f t="shared" si="5"/>
        <v/>
      </c>
      <c r="AF71" s="1575"/>
      <c r="AG71" s="1576"/>
    </row>
    <row r="72" spans="1:33" ht="12.75" customHeight="1" x14ac:dyDescent="0.2">
      <c r="Q72" s="8" t="s">
        <v>86</v>
      </c>
      <c r="R72" s="11" t="s">
        <v>93</v>
      </c>
      <c r="AC72" s="1582" t="str">
        <f t="shared" si="3"/>
        <v/>
      </c>
      <c r="AD72" s="1573" t="str">
        <f t="shared" si="4"/>
        <v/>
      </c>
      <c r="AE72" s="1574" t="str">
        <f t="shared" si="5"/>
        <v/>
      </c>
      <c r="AF72" s="1575"/>
      <c r="AG72" s="1576"/>
    </row>
    <row r="73" spans="1:33" ht="12.75" customHeight="1" x14ac:dyDescent="0.2">
      <c r="Q73" s="8" t="s">
        <v>87</v>
      </c>
      <c r="R73" s="11" t="s">
        <v>94</v>
      </c>
      <c r="AC73" s="1582" t="str">
        <f t="shared" si="3"/>
        <v/>
      </c>
      <c r="AD73" s="1573" t="str">
        <f t="shared" si="4"/>
        <v/>
      </c>
      <c r="AE73" s="1574" t="str">
        <f t="shared" si="5"/>
        <v/>
      </c>
      <c r="AF73" s="1575"/>
      <c r="AG73" s="1576"/>
    </row>
    <row r="74" spans="1:33" ht="12.75" customHeight="1" thickBot="1" x14ac:dyDescent="0.25">
      <c r="Q74" s="9" t="s">
        <v>88</v>
      </c>
      <c r="R74" s="12" t="s">
        <v>95</v>
      </c>
      <c r="AC74" s="1582" t="str">
        <f t="shared" si="3"/>
        <v/>
      </c>
      <c r="AD74" s="1573" t="str">
        <f t="shared" si="4"/>
        <v/>
      </c>
      <c r="AE74" s="1574" t="str">
        <f t="shared" si="5"/>
        <v/>
      </c>
      <c r="AF74" s="1575"/>
      <c r="AG74" s="1576"/>
    </row>
    <row r="75" spans="1:33" ht="12.75" customHeight="1" thickBot="1" x14ac:dyDescent="0.25">
      <c r="AC75" s="1582" t="str">
        <f t="shared" si="3"/>
        <v/>
      </c>
      <c r="AD75" s="1573" t="str">
        <f t="shared" si="4"/>
        <v/>
      </c>
      <c r="AE75" s="1574" t="str">
        <f t="shared" si="5"/>
        <v/>
      </c>
      <c r="AF75" s="1575"/>
      <c r="AG75" s="1576"/>
    </row>
    <row r="76" spans="1:33" ht="12.75" customHeight="1" x14ac:dyDescent="0.2">
      <c r="Q76" s="7" t="s">
        <v>84</v>
      </c>
      <c r="R76" s="10" t="s">
        <v>986</v>
      </c>
      <c r="AC76" s="1582" t="str">
        <f t="shared" si="3"/>
        <v/>
      </c>
      <c r="AD76" s="1573" t="str">
        <f t="shared" si="4"/>
        <v/>
      </c>
      <c r="AE76" s="1574" t="str">
        <f t="shared" si="5"/>
        <v/>
      </c>
      <c r="AF76" s="1575"/>
      <c r="AG76" s="1576"/>
    </row>
    <row r="77" spans="1:33" ht="12.75" customHeight="1" x14ac:dyDescent="0.2">
      <c r="A77" s="36"/>
      <c r="Q77" s="8" t="s">
        <v>85</v>
      </c>
      <c r="R77" s="11" t="s">
        <v>986</v>
      </c>
      <c r="AC77" s="1582" t="str">
        <f t="shared" si="3"/>
        <v/>
      </c>
      <c r="AD77" s="1573" t="str">
        <f t="shared" si="4"/>
        <v/>
      </c>
      <c r="AE77" s="1574" t="str">
        <f t="shared" si="5"/>
        <v/>
      </c>
      <c r="AF77" s="1575"/>
      <c r="AG77" s="1576"/>
    </row>
    <row r="78" spans="1:33" ht="12.75" customHeight="1" x14ac:dyDescent="0.2">
      <c r="Q78" s="8" t="s">
        <v>86</v>
      </c>
      <c r="R78" s="11" t="s">
        <v>986</v>
      </c>
      <c r="AC78" s="1582" t="str">
        <f t="shared" si="3"/>
        <v/>
      </c>
      <c r="AD78" s="1573" t="str">
        <f t="shared" si="4"/>
        <v/>
      </c>
      <c r="AE78" s="1574" t="str">
        <f t="shared" si="5"/>
        <v/>
      </c>
      <c r="AF78" s="1575"/>
      <c r="AG78" s="1576"/>
    </row>
    <row r="79" spans="1:33" ht="12.75" customHeight="1" x14ac:dyDescent="0.2">
      <c r="Q79" s="8" t="s">
        <v>87</v>
      </c>
      <c r="R79" s="11" t="s">
        <v>986</v>
      </c>
      <c r="AC79" s="1582" t="str">
        <f t="shared" si="3"/>
        <v/>
      </c>
      <c r="AD79" s="1573" t="str">
        <f t="shared" si="4"/>
        <v/>
      </c>
      <c r="AE79" s="1574" t="str">
        <f t="shared" si="5"/>
        <v/>
      </c>
      <c r="AF79" s="1575"/>
      <c r="AG79" s="1576"/>
    </row>
    <row r="80" spans="1:33" ht="12.75" customHeight="1" thickBot="1" x14ac:dyDescent="0.25">
      <c r="Q80" s="9" t="s">
        <v>88</v>
      </c>
      <c r="R80" s="12">
        <v>8</v>
      </c>
      <c r="AC80" s="1582" t="str">
        <f t="shared" si="3"/>
        <v/>
      </c>
      <c r="AD80" s="1573" t="str">
        <f t="shared" si="4"/>
        <v/>
      </c>
      <c r="AE80" s="1574" t="str">
        <f t="shared" si="5"/>
        <v/>
      </c>
      <c r="AF80" s="1575"/>
      <c r="AG80" s="1576"/>
    </row>
    <row r="81" spans="17:33" ht="12.75" customHeight="1" thickBot="1" x14ac:dyDescent="0.25">
      <c r="AC81" s="1582" t="str">
        <f t="shared" si="3"/>
        <v/>
      </c>
      <c r="AD81" s="1573" t="str">
        <f t="shared" si="4"/>
        <v/>
      </c>
      <c r="AE81" s="1574" t="str">
        <f t="shared" si="5"/>
        <v/>
      </c>
      <c r="AF81" s="1575"/>
      <c r="AG81" s="1576"/>
    </row>
    <row r="82" spans="17:33" ht="12.75" customHeight="1" x14ac:dyDescent="0.2">
      <c r="Q82" s="7" t="s">
        <v>84</v>
      </c>
      <c r="R82" s="10" t="s">
        <v>987</v>
      </c>
      <c r="AC82" s="1582" t="str">
        <f t="shared" si="3"/>
        <v/>
      </c>
      <c r="AD82" s="1573" t="str">
        <f t="shared" si="4"/>
        <v/>
      </c>
      <c r="AE82" s="1574" t="str">
        <f t="shared" si="5"/>
        <v/>
      </c>
      <c r="AF82" s="1575"/>
      <c r="AG82" s="1576"/>
    </row>
    <row r="83" spans="17:33" ht="12.75" customHeight="1" x14ac:dyDescent="0.2">
      <c r="Q83" s="8" t="s">
        <v>85</v>
      </c>
      <c r="R83" s="11" t="s">
        <v>987</v>
      </c>
      <c r="AC83" s="1582" t="str">
        <f t="shared" si="3"/>
        <v/>
      </c>
      <c r="AD83" s="1573" t="str">
        <f t="shared" si="4"/>
        <v/>
      </c>
      <c r="AE83" s="1574" t="str">
        <f t="shared" si="5"/>
        <v/>
      </c>
      <c r="AF83" s="1575"/>
      <c r="AG83" s="1576"/>
    </row>
    <row r="84" spans="17:33" ht="12.75" customHeight="1" x14ac:dyDescent="0.2">
      <c r="Q84" s="8" t="s">
        <v>86</v>
      </c>
      <c r="R84" s="11" t="s">
        <v>987</v>
      </c>
      <c r="AC84" s="1582" t="str">
        <f t="shared" si="3"/>
        <v/>
      </c>
      <c r="AD84" s="1573" t="str">
        <f t="shared" si="4"/>
        <v/>
      </c>
      <c r="AE84" s="1574" t="str">
        <f t="shared" si="5"/>
        <v/>
      </c>
      <c r="AF84" s="1575"/>
      <c r="AG84" s="1576"/>
    </row>
    <row r="85" spans="17:33" ht="12.75" customHeight="1" x14ac:dyDescent="0.2">
      <c r="Q85" s="8" t="s">
        <v>87</v>
      </c>
      <c r="R85" s="11" t="s">
        <v>987</v>
      </c>
      <c r="AC85" s="1582" t="str">
        <f t="shared" si="3"/>
        <v/>
      </c>
      <c r="AD85" s="1573" t="str">
        <f t="shared" si="4"/>
        <v/>
      </c>
      <c r="AE85" s="1574" t="str">
        <f t="shared" si="5"/>
        <v/>
      </c>
      <c r="AF85" s="1575"/>
      <c r="AG85" s="1576"/>
    </row>
    <row r="86" spans="17:33" ht="12.75" customHeight="1" thickBot="1" x14ac:dyDescent="0.25">
      <c r="Q86" s="9" t="s">
        <v>88</v>
      </c>
      <c r="R86" s="12">
        <v>9</v>
      </c>
      <c r="AC86" s="1582" t="str">
        <f t="shared" si="3"/>
        <v/>
      </c>
      <c r="AD86" s="1573" t="str">
        <f t="shared" si="4"/>
        <v/>
      </c>
      <c r="AE86" s="1574" t="str">
        <f t="shared" si="5"/>
        <v/>
      </c>
      <c r="AF86" s="1575"/>
      <c r="AG86" s="1576"/>
    </row>
    <row r="87" spans="17:33" ht="12.75" customHeight="1" x14ac:dyDescent="0.2">
      <c r="AC87" s="1582" t="str">
        <f t="shared" si="3"/>
        <v/>
      </c>
      <c r="AD87" s="1573" t="str">
        <f t="shared" si="4"/>
        <v/>
      </c>
      <c r="AE87" s="1574" t="str">
        <f t="shared" si="5"/>
        <v/>
      </c>
      <c r="AF87" s="1575"/>
      <c r="AG87" s="1576"/>
    </row>
    <row r="88" spans="17:33" ht="12.75" customHeight="1" x14ac:dyDescent="0.2">
      <c r="AC88" s="1582" t="str">
        <f t="shared" si="3"/>
        <v/>
      </c>
      <c r="AD88" s="1573" t="str">
        <f t="shared" si="4"/>
        <v/>
      </c>
      <c r="AE88" s="1574" t="str">
        <f t="shared" si="5"/>
        <v/>
      </c>
      <c r="AF88" s="1575"/>
      <c r="AG88" s="1576"/>
    </row>
    <row r="89" spans="17:33" ht="12.75" customHeight="1" x14ac:dyDescent="0.2">
      <c r="AC89" s="1582" t="str">
        <f t="shared" si="3"/>
        <v/>
      </c>
      <c r="AD89" s="1573" t="str">
        <f t="shared" si="4"/>
        <v/>
      </c>
      <c r="AE89" s="1574" t="str">
        <f t="shared" si="5"/>
        <v/>
      </c>
      <c r="AF89" s="1575"/>
      <c r="AG89" s="1576"/>
    </row>
    <row r="90" spans="17:33" ht="12.75" customHeight="1" x14ac:dyDescent="0.2">
      <c r="AC90" s="1582" t="str">
        <f t="shared" si="3"/>
        <v/>
      </c>
      <c r="AD90" s="1573" t="str">
        <f t="shared" si="4"/>
        <v/>
      </c>
      <c r="AE90" s="1574" t="str">
        <f t="shared" si="5"/>
        <v/>
      </c>
      <c r="AF90" s="1575"/>
      <c r="AG90" s="1576"/>
    </row>
    <row r="91" spans="17:33" ht="12.75" customHeight="1" x14ac:dyDescent="0.2">
      <c r="AC91" s="1582" t="str">
        <f t="shared" si="3"/>
        <v/>
      </c>
      <c r="AD91" s="1573" t="str">
        <f t="shared" si="4"/>
        <v/>
      </c>
      <c r="AE91" s="1574" t="str">
        <f t="shared" si="5"/>
        <v/>
      </c>
      <c r="AF91" s="1575"/>
      <c r="AG91" s="1576"/>
    </row>
    <row r="92" spans="17:33" ht="12.75" customHeight="1" x14ac:dyDescent="0.2">
      <c r="AC92" s="1582" t="str">
        <f t="shared" si="3"/>
        <v/>
      </c>
      <c r="AD92" s="1573" t="str">
        <f t="shared" si="4"/>
        <v/>
      </c>
      <c r="AE92" s="1574" t="str">
        <f t="shared" si="5"/>
        <v/>
      </c>
      <c r="AF92" s="1575"/>
      <c r="AG92" s="1576"/>
    </row>
    <row r="93" spans="17:33" ht="12.75" customHeight="1" x14ac:dyDescent="0.2">
      <c r="AC93" s="1582" t="str">
        <f t="shared" si="3"/>
        <v/>
      </c>
      <c r="AD93" s="1573" t="str">
        <f t="shared" si="4"/>
        <v/>
      </c>
      <c r="AE93" s="1574" t="str">
        <f t="shared" si="5"/>
        <v/>
      </c>
      <c r="AF93" s="1575"/>
      <c r="AG93" s="1576"/>
    </row>
    <row r="94" spans="17:33" x14ac:dyDescent="0.2">
      <c r="AC94" s="1582" t="str">
        <f t="shared" si="3"/>
        <v/>
      </c>
      <c r="AD94" s="1573" t="str">
        <f t="shared" si="4"/>
        <v/>
      </c>
      <c r="AE94" s="1574" t="str">
        <f t="shared" si="5"/>
        <v/>
      </c>
      <c r="AF94" s="1575"/>
      <c r="AG94" s="1576"/>
    </row>
    <row r="95" spans="17:33" x14ac:dyDescent="0.2">
      <c r="AC95" s="1582" t="str">
        <f t="shared" si="3"/>
        <v/>
      </c>
      <c r="AD95" s="1573" t="str">
        <f t="shared" si="4"/>
        <v/>
      </c>
      <c r="AE95" s="1574" t="str">
        <f t="shared" si="5"/>
        <v/>
      </c>
      <c r="AF95" s="1575"/>
      <c r="AG95" s="1576"/>
    </row>
    <row r="96" spans="17:33" x14ac:dyDescent="0.2">
      <c r="AC96" s="1582" t="str">
        <f t="shared" si="3"/>
        <v/>
      </c>
      <c r="AD96" s="1573" t="str">
        <f t="shared" si="4"/>
        <v/>
      </c>
      <c r="AE96" s="1574" t="str">
        <f t="shared" si="5"/>
        <v/>
      </c>
      <c r="AF96" s="1575"/>
      <c r="AG96" s="1576"/>
    </row>
    <row r="97" spans="29:33" x14ac:dyDescent="0.2">
      <c r="AC97" s="1582" t="str">
        <f t="shared" si="3"/>
        <v/>
      </c>
      <c r="AD97" s="1573" t="str">
        <f t="shared" si="4"/>
        <v/>
      </c>
      <c r="AE97" s="1574" t="str">
        <f t="shared" si="5"/>
        <v/>
      </c>
      <c r="AF97" s="1575"/>
      <c r="AG97" s="1576"/>
    </row>
    <row r="98" spans="29:33" x14ac:dyDescent="0.2">
      <c r="AC98" s="1582" t="str">
        <f t="shared" si="3"/>
        <v/>
      </c>
      <c r="AD98" s="1573" t="str">
        <f t="shared" si="4"/>
        <v/>
      </c>
      <c r="AE98" s="1574" t="str">
        <f t="shared" si="5"/>
        <v/>
      </c>
      <c r="AF98" s="1575"/>
      <c r="AG98" s="1576"/>
    </row>
    <row r="99" spans="29:33" x14ac:dyDescent="0.2">
      <c r="AC99" s="1582" t="str">
        <f t="shared" si="3"/>
        <v/>
      </c>
      <c r="AD99" s="1573" t="str">
        <f t="shared" si="4"/>
        <v/>
      </c>
      <c r="AE99" s="1574" t="str">
        <f t="shared" si="5"/>
        <v/>
      </c>
      <c r="AF99" s="1575"/>
      <c r="AG99" s="1576"/>
    </row>
    <row r="100" spans="29:33" x14ac:dyDescent="0.2">
      <c r="AC100" s="1582" t="str">
        <f t="shared" si="3"/>
        <v/>
      </c>
      <c r="AD100" s="1573" t="str">
        <f t="shared" si="4"/>
        <v/>
      </c>
      <c r="AE100" s="1574" t="str">
        <f t="shared" si="5"/>
        <v/>
      </c>
      <c r="AF100" s="1575"/>
      <c r="AG100" s="1576"/>
    </row>
    <row r="101" spans="29:33" x14ac:dyDescent="0.2">
      <c r="AC101" s="1582" t="str">
        <f t="shared" si="3"/>
        <v/>
      </c>
      <c r="AD101" s="1573" t="str">
        <f t="shared" si="4"/>
        <v/>
      </c>
      <c r="AE101" s="1574" t="str">
        <f t="shared" si="5"/>
        <v/>
      </c>
      <c r="AF101" s="1575"/>
      <c r="AG101" s="1576"/>
    </row>
    <row r="102" spans="29:33" x14ac:dyDescent="0.2">
      <c r="AC102" s="1582" t="str">
        <f t="shared" si="3"/>
        <v/>
      </c>
      <c r="AD102" s="1573" t="str">
        <f t="shared" si="4"/>
        <v/>
      </c>
      <c r="AE102" s="1574" t="str">
        <f t="shared" si="5"/>
        <v/>
      </c>
      <c r="AF102" s="1575"/>
      <c r="AG102" s="1576"/>
    </row>
    <row r="103" spans="29:33" x14ac:dyDescent="0.2">
      <c r="AC103" s="1582" t="str">
        <f t="shared" si="3"/>
        <v/>
      </c>
      <c r="AD103" s="1573" t="str">
        <f t="shared" si="4"/>
        <v/>
      </c>
      <c r="AE103" s="1574" t="str">
        <f t="shared" si="5"/>
        <v/>
      </c>
      <c r="AF103" s="1575"/>
      <c r="AG103" s="1576"/>
    </row>
    <row r="104" spans="29:33" x14ac:dyDescent="0.2">
      <c r="AC104" s="1582" t="str">
        <f t="shared" si="3"/>
        <v/>
      </c>
      <c r="AD104" s="1573" t="str">
        <f t="shared" si="4"/>
        <v/>
      </c>
      <c r="AE104" s="1574" t="str">
        <f t="shared" si="5"/>
        <v/>
      </c>
      <c r="AF104" s="1575"/>
      <c r="AG104" s="1576"/>
    </row>
    <row r="105" spans="29:33" x14ac:dyDescent="0.2">
      <c r="AC105" s="1582" t="str">
        <f t="shared" si="3"/>
        <v/>
      </c>
      <c r="AD105" s="1573" t="str">
        <f t="shared" si="4"/>
        <v/>
      </c>
      <c r="AE105" s="1574" t="str">
        <f t="shared" si="5"/>
        <v/>
      </c>
      <c r="AF105" s="1575"/>
      <c r="AG105" s="1576"/>
    </row>
    <row r="106" spans="29:33" x14ac:dyDescent="0.2">
      <c r="AC106" s="1582" t="str">
        <f t="shared" si="3"/>
        <v/>
      </c>
      <c r="AD106" s="1573" t="str">
        <f t="shared" si="4"/>
        <v/>
      </c>
      <c r="AE106" s="1574" t="str">
        <f t="shared" si="5"/>
        <v/>
      </c>
      <c r="AF106" s="1575"/>
      <c r="AG106" s="1576"/>
    </row>
    <row r="107" spans="29:33" x14ac:dyDescent="0.2">
      <c r="AC107" s="1582" t="str">
        <f t="shared" si="3"/>
        <v/>
      </c>
      <c r="AD107" s="1573" t="str">
        <f t="shared" si="4"/>
        <v/>
      </c>
      <c r="AE107" s="1574" t="str">
        <f t="shared" si="5"/>
        <v/>
      </c>
      <c r="AF107" s="1575"/>
      <c r="AG107" s="1576"/>
    </row>
    <row r="108" spans="29:33" x14ac:dyDescent="0.2">
      <c r="AC108" s="1582" t="str">
        <f t="shared" si="3"/>
        <v/>
      </c>
      <c r="AD108" s="1573" t="str">
        <f t="shared" si="4"/>
        <v/>
      </c>
      <c r="AE108" s="1574" t="str">
        <f t="shared" si="5"/>
        <v/>
      </c>
      <c r="AF108" s="1575"/>
      <c r="AG108" s="1576"/>
    </row>
    <row r="109" spans="29:33" x14ac:dyDescent="0.2">
      <c r="AC109" s="1582" t="str">
        <f t="shared" si="3"/>
        <v/>
      </c>
      <c r="AD109" s="1573" t="str">
        <f t="shared" si="4"/>
        <v/>
      </c>
      <c r="AE109" s="1574" t="str">
        <f t="shared" si="5"/>
        <v/>
      </c>
      <c r="AF109" s="1575"/>
      <c r="AG109" s="1576"/>
    </row>
    <row r="110" spans="29:33" x14ac:dyDescent="0.2">
      <c r="AC110" s="1582" t="str">
        <f t="shared" si="3"/>
        <v/>
      </c>
      <c r="AD110" s="1573" t="str">
        <f t="shared" si="4"/>
        <v/>
      </c>
      <c r="AE110" s="1574" t="str">
        <f t="shared" si="5"/>
        <v/>
      </c>
      <c r="AF110" s="1575"/>
      <c r="AG110" s="1576"/>
    </row>
    <row r="111" spans="29:33" x14ac:dyDescent="0.2">
      <c r="AC111" s="1582" t="str">
        <f t="shared" si="3"/>
        <v/>
      </c>
      <c r="AD111" s="1573" t="str">
        <f t="shared" si="4"/>
        <v/>
      </c>
      <c r="AE111" s="1574" t="str">
        <f t="shared" si="5"/>
        <v/>
      </c>
      <c r="AF111" s="1575"/>
      <c r="AG111" s="1576"/>
    </row>
    <row r="112" spans="29:33" x14ac:dyDescent="0.2">
      <c r="AC112" s="1582" t="str">
        <f t="shared" si="3"/>
        <v/>
      </c>
      <c r="AD112" s="1573" t="str">
        <f t="shared" si="4"/>
        <v/>
      </c>
      <c r="AE112" s="1574" t="str">
        <f t="shared" si="5"/>
        <v/>
      </c>
      <c r="AF112" s="1575"/>
      <c r="AG112" s="1576"/>
    </row>
    <row r="113" spans="29:33" x14ac:dyDescent="0.2">
      <c r="AC113" s="1582" t="str">
        <f t="shared" si="3"/>
        <v/>
      </c>
      <c r="AD113" s="1573" t="str">
        <f t="shared" si="4"/>
        <v/>
      </c>
      <c r="AE113" s="1574" t="str">
        <f t="shared" si="5"/>
        <v/>
      </c>
      <c r="AF113" s="1575"/>
      <c r="AG113" s="1576"/>
    </row>
    <row r="114" spans="29:33" x14ac:dyDescent="0.2">
      <c r="AC114" s="1582" t="str">
        <f t="shared" si="3"/>
        <v/>
      </c>
      <c r="AD114" s="1573" t="str">
        <f t="shared" si="4"/>
        <v/>
      </c>
      <c r="AE114" s="1574" t="str">
        <f t="shared" si="5"/>
        <v/>
      </c>
      <c r="AF114" s="1575"/>
      <c r="AG114" s="1576"/>
    </row>
    <row r="115" spans="29:33" x14ac:dyDescent="0.2">
      <c r="AC115" s="1582" t="str">
        <f t="shared" si="3"/>
        <v/>
      </c>
      <c r="AD115" s="1573" t="str">
        <f t="shared" si="4"/>
        <v/>
      </c>
      <c r="AE115" s="1574" t="str">
        <f t="shared" si="5"/>
        <v/>
      </c>
      <c r="AF115" s="1575"/>
      <c r="AG115" s="1576"/>
    </row>
    <row r="116" spans="29:33" x14ac:dyDescent="0.2">
      <c r="AC116" s="1582" t="str">
        <f t="shared" si="3"/>
        <v/>
      </c>
      <c r="AD116" s="1573" t="str">
        <f t="shared" si="4"/>
        <v/>
      </c>
      <c r="AE116" s="1574" t="str">
        <f t="shared" si="5"/>
        <v/>
      </c>
      <c r="AF116" s="1575"/>
      <c r="AG116" s="1576"/>
    </row>
    <row r="117" spans="29:33" x14ac:dyDescent="0.2">
      <c r="AC117" s="1582" t="str">
        <f t="shared" si="3"/>
        <v/>
      </c>
      <c r="AD117" s="1573" t="str">
        <f t="shared" si="4"/>
        <v/>
      </c>
      <c r="AE117" s="1574" t="str">
        <f t="shared" si="5"/>
        <v/>
      </c>
      <c r="AF117" s="1575"/>
      <c r="AG117" s="1576"/>
    </row>
    <row r="118" spans="29:33" x14ac:dyDescent="0.2">
      <c r="AC118" s="1582" t="str">
        <f t="shared" si="3"/>
        <v/>
      </c>
      <c r="AD118" s="1573" t="str">
        <f t="shared" si="4"/>
        <v/>
      </c>
      <c r="AE118" s="1574" t="str">
        <f t="shared" si="5"/>
        <v/>
      </c>
      <c r="AF118" s="1575"/>
      <c r="AG118" s="1576"/>
    </row>
    <row r="119" spans="29:33" x14ac:dyDescent="0.2">
      <c r="AC119" s="1582" t="str">
        <f t="shared" si="3"/>
        <v/>
      </c>
      <c r="AD119" s="1573" t="str">
        <f t="shared" si="4"/>
        <v/>
      </c>
      <c r="AE119" s="1574" t="str">
        <f t="shared" si="5"/>
        <v/>
      </c>
      <c r="AF119" s="1575"/>
      <c r="AG119" s="1576"/>
    </row>
    <row r="120" spans="29:33" x14ac:dyDescent="0.2">
      <c r="AC120" s="1582" t="str">
        <f t="shared" si="3"/>
        <v/>
      </c>
      <c r="AD120" s="1573" t="str">
        <f t="shared" si="4"/>
        <v/>
      </c>
      <c r="AE120" s="1574" t="str">
        <f t="shared" si="5"/>
        <v/>
      </c>
      <c r="AF120" s="1575"/>
      <c r="AG120" s="1576"/>
    </row>
    <row r="121" spans="29:33" x14ac:dyDescent="0.2">
      <c r="AC121" s="1582" t="str">
        <f t="shared" si="3"/>
        <v/>
      </c>
      <c r="AD121" s="1573" t="str">
        <f t="shared" si="4"/>
        <v/>
      </c>
      <c r="AE121" s="1574" t="str">
        <f t="shared" si="5"/>
        <v/>
      </c>
      <c r="AF121" s="1575"/>
      <c r="AG121" s="1576"/>
    </row>
    <row r="122" spans="29:33" x14ac:dyDescent="0.2">
      <c r="AC122" s="1582" t="str">
        <f t="shared" si="3"/>
        <v/>
      </c>
      <c r="AD122" s="1573" t="str">
        <f t="shared" si="4"/>
        <v/>
      </c>
      <c r="AE122" s="1574" t="str">
        <f t="shared" si="5"/>
        <v/>
      </c>
      <c r="AF122" s="1575"/>
      <c r="AG122" s="1576"/>
    </row>
    <row r="123" spans="29:33" x14ac:dyDescent="0.2">
      <c r="AC123" s="1582" t="str">
        <f t="shared" si="3"/>
        <v/>
      </c>
      <c r="AD123" s="1573" t="str">
        <f t="shared" si="4"/>
        <v/>
      </c>
      <c r="AE123" s="1574" t="str">
        <f t="shared" si="5"/>
        <v/>
      </c>
      <c r="AF123" s="1575"/>
      <c r="AG123" s="1576"/>
    </row>
    <row r="124" spans="29:33" x14ac:dyDescent="0.2">
      <c r="AC124" s="1582" t="str">
        <f t="shared" si="3"/>
        <v/>
      </c>
      <c r="AD124" s="1573" t="str">
        <f t="shared" si="4"/>
        <v/>
      </c>
      <c r="AE124" s="1574" t="str">
        <f t="shared" si="5"/>
        <v/>
      </c>
      <c r="AF124" s="1575"/>
      <c r="AG124" s="1576"/>
    </row>
    <row r="125" spans="29:33" x14ac:dyDescent="0.2">
      <c r="AC125" s="1582" t="str">
        <f t="shared" si="3"/>
        <v/>
      </c>
      <c r="AD125" s="1573" t="str">
        <f t="shared" si="4"/>
        <v/>
      </c>
      <c r="AE125" s="1574" t="str">
        <f t="shared" si="5"/>
        <v/>
      </c>
      <c r="AF125" s="1575"/>
      <c r="AG125" s="1576"/>
    </row>
    <row r="126" spans="29:33" x14ac:dyDescent="0.2">
      <c r="AC126" s="1582" t="str">
        <f t="shared" si="3"/>
        <v/>
      </c>
      <c r="AD126" s="1573" t="str">
        <f t="shared" si="4"/>
        <v/>
      </c>
      <c r="AE126" s="1574" t="str">
        <f t="shared" si="5"/>
        <v/>
      </c>
      <c r="AF126" s="1575"/>
      <c r="AG126" s="1576"/>
    </row>
    <row r="127" spans="29:33" x14ac:dyDescent="0.2">
      <c r="AC127" s="1582" t="str">
        <f t="shared" si="3"/>
        <v/>
      </c>
      <c r="AD127" s="1573" t="str">
        <f t="shared" si="4"/>
        <v/>
      </c>
      <c r="AE127" s="1574" t="str">
        <f t="shared" si="5"/>
        <v/>
      </c>
      <c r="AF127" s="1575"/>
      <c r="AG127" s="1576"/>
    </row>
    <row r="128" spans="29:33" x14ac:dyDescent="0.2">
      <c r="AC128" s="1582" t="str">
        <f t="shared" si="3"/>
        <v/>
      </c>
      <c r="AD128" s="1573" t="str">
        <f t="shared" si="4"/>
        <v/>
      </c>
      <c r="AE128" s="1574" t="str">
        <f t="shared" si="5"/>
        <v/>
      </c>
      <c r="AF128" s="1575"/>
      <c r="AG128" s="1576"/>
    </row>
    <row r="129" spans="29:33" x14ac:dyDescent="0.2">
      <c r="AC129" s="1582" t="str">
        <f t="shared" si="3"/>
        <v/>
      </c>
      <c r="AD129" s="1573" t="str">
        <f t="shared" si="4"/>
        <v/>
      </c>
      <c r="AE129" s="1574" t="str">
        <f t="shared" si="5"/>
        <v/>
      </c>
      <c r="AF129" s="1575"/>
      <c r="AG129" s="1576"/>
    </row>
    <row r="130" spans="29:33" x14ac:dyDescent="0.2">
      <c r="AC130" s="1582" t="str">
        <f t="shared" si="3"/>
        <v/>
      </c>
      <c r="AD130" s="1573" t="str">
        <f t="shared" si="4"/>
        <v/>
      </c>
      <c r="AE130" s="1574" t="str">
        <f t="shared" si="5"/>
        <v/>
      </c>
      <c r="AF130" s="1575"/>
      <c r="AG130" s="1576"/>
    </row>
    <row r="131" spans="29:33" x14ac:dyDescent="0.2">
      <c r="AC131" s="1582" t="str">
        <f t="shared" ref="AC131:AC194" si="6">IF(ISBLANK(W130),"",W130)</f>
        <v/>
      </c>
      <c r="AD131" s="1573" t="str">
        <f t="shared" ref="AD131:AD194" si="7">IF(ISBLANK(V130),"",V130)</f>
        <v/>
      </c>
      <c r="AE131" s="1574" t="str">
        <f t="shared" ref="AE131:AE194" si="8">IF(ISBLANK(Z130),"",Z130)</f>
        <v/>
      </c>
      <c r="AF131" s="1575"/>
      <c r="AG131" s="1576"/>
    </row>
    <row r="132" spans="29:33" x14ac:dyDescent="0.2">
      <c r="AC132" s="1582" t="str">
        <f t="shared" si="6"/>
        <v/>
      </c>
      <c r="AD132" s="1573" t="str">
        <f t="shared" si="7"/>
        <v/>
      </c>
      <c r="AE132" s="1574" t="str">
        <f t="shared" si="8"/>
        <v/>
      </c>
      <c r="AF132" s="1575"/>
      <c r="AG132" s="1576"/>
    </row>
    <row r="133" spans="29:33" x14ac:dyDescent="0.2">
      <c r="AC133" s="1582" t="str">
        <f t="shared" si="6"/>
        <v/>
      </c>
      <c r="AD133" s="1573" t="str">
        <f t="shared" si="7"/>
        <v/>
      </c>
      <c r="AE133" s="1574" t="str">
        <f t="shared" si="8"/>
        <v/>
      </c>
      <c r="AF133" s="1575"/>
      <c r="AG133" s="1576"/>
    </row>
    <row r="134" spans="29:33" x14ac:dyDescent="0.2">
      <c r="AC134" s="1582" t="str">
        <f t="shared" si="6"/>
        <v/>
      </c>
      <c r="AD134" s="1573" t="str">
        <f t="shared" si="7"/>
        <v/>
      </c>
      <c r="AE134" s="1574" t="str">
        <f t="shared" si="8"/>
        <v/>
      </c>
      <c r="AF134" s="1575"/>
      <c r="AG134" s="1576"/>
    </row>
    <row r="135" spans="29:33" x14ac:dyDescent="0.2">
      <c r="AC135" s="1582" t="str">
        <f t="shared" si="6"/>
        <v/>
      </c>
      <c r="AD135" s="1573" t="str">
        <f t="shared" si="7"/>
        <v/>
      </c>
      <c r="AE135" s="1574" t="str">
        <f t="shared" si="8"/>
        <v/>
      </c>
      <c r="AF135" s="1575"/>
      <c r="AG135" s="1576"/>
    </row>
    <row r="136" spans="29:33" x14ac:dyDescent="0.2">
      <c r="AC136" s="1582" t="str">
        <f t="shared" si="6"/>
        <v/>
      </c>
      <c r="AD136" s="1573" t="str">
        <f t="shared" si="7"/>
        <v/>
      </c>
      <c r="AE136" s="1574" t="str">
        <f t="shared" si="8"/>
        <v/>
      </c>
      <c r="AF136" s="1575"/>
      <c r="AG136" s="1576"/>
    </row>
    <row r="137" spans="29:33" x14ac:dyDescent="0.2">
      <c r="AC137" s="1582" t="str">
        <f t="shared" si="6"/>
        <v/>
      </c>
      <c r="AD137" s="1573" t="str">
        <f t="shared" si="7"/>
        <v/>
      </c>
      <c r="AE137" s="1574" t="str">
        <f t="shared" si="8"/>
        <v/>
      </c>
      <c r="AF137" s="1575"/>
      <c r="AG137" s="1576"/>
    </row>
    <row r="138" spans="29:33" x14ac:dyDescent="0.2">
      <c r="AC138" s="1582" t="str">
        <f t="shared" si="6"/>
        <v/>
      </c>
      <c r="AD138" s="1573" t="str">
        <f t="shared" si="7"/>
        <v/>
      </c>
      <c r="AE138" s="1574" t="str">
        <f t="shared" si="8"/>
        <v/>
      </c>
      <c r="AF138" s="1575"/>
      <c r="AG138" s="1576"/>
    </row>
    <row r="139" spans="29:33" x14ac:dyDescent="0.2">
      <c r="AC139" s="1582" t="str">
        <f t="shared" si="6"/>
        <v/>
      </c>
      <c r="AD139" s="1573" t="str">
        <f t="shared" si="7"/>
        <v/>
      </c>
      <c r="AE139" s="1574" t="str">
        <f t="shared" si="8"/>
        <v/>
      </c>
      <c r="AF139" s="1575"/>
      <c r="AG139" s="1576"/>
    </row>
    <row r="140" spans="29:33" x14ac:dyDescent="0.2">
      <c r="AC140" s="1582" t="str">
        <f t="shared" si="6"/>
        <v/>
      </c>
      <c r="AD140" s="1573" t="str">
        <f t="shared" si="7"/>
        <v/>
      </c>
      <c r="AE140" s="1574" t="str">
        <f t="shared" si="8"/>
        <v/>
      </c>
      <c r="AF140" s="1575"/>
      <c r="AG140" s="1576"/>
    </row>
    <row r="141" spans="29:33" x14ac:dyDescent="0.2">
      <c r="AC141" s="1582" t="str">
        <f t="shared" si="6"/>
        <v/>
      </c>
      <c r="AD141" s="1573" t="str">
        <f t="shared" si="7"/>
        <v/>
      </c>
      <c r="AE141" s="1574" t="str">
        <f t="shared" si="8"/>
        <v/>
      </c>
      <c r="AF141" s="1575"/>
      <c r="AG141" s="1576"/>
    </row>
    <row r="142" spans="29:33" x14ac:dyDescent="0.2">
      <c r="AC142" s="1582" t="str">
        <f t="shared" si="6"/>
        <v/>
      </c>
      <c r="AD142" s="1573" t="str">
        <f t="shared" si="7"/>
        <v/>
      </c>
      <c r="AE142" s="1574" t="str">
        <f t="shared" si="8"/>
        <v/>
      </c>
      <c r="AF142" s="1575"/>
      <c r="AG142" s="1576"/>
    </row>
    <row r="143" spans="29:33" x14ac:dyDescent="0.2">
      <c r="AC143" s="1582" t="str">
        <f t="shared" si="6"/>
        <v/>
      </c>
      <c r="AD143" s="1573" t="str">
        <f t="shared" si="7"/>
        <v/>
      </c>
      <c r="AE143" s="1574" t="str">
        <f t="shared" si="8"/>
        <v/>
      </c>
      <c r="AF143" s="1575"/>
      <c r="AG143" s="1576"/>
    </row>
    <row r="144" spans="29:33" x14ac:dyDescent="0.2">
      <c r="AC144" s="1582" t="str">
        <f t="shared" si="6"/>
        <v/>
      </c>
      <c r="AD144" s="1573" t="str">
        <f t="shared" si="7"/>
        <v/>
      </c>
      <c r="AE144" s="1574" t="str">
        <f t="shared" si="8"/>
        <v/>
      </c>
      <c r="AF144" s="1575"/>
      <c r="AG144" s="1576"/>
    </row>
    <row r="145" spans="29:33" x14ac:dyDescent="0.2">
      <c r="AC145" s="1582" t="str">
        <f t="shared" si="6"/>
        <v/>
      </c>
      <c r="AD145" s="1573" t="str">
        <f t="shared" si="7"/>
        <v/>
      </c>
      <c r="AE145" s="1574" t="str">
        <f t="shared" si="8"/>
        <v/>
      </c>
      <c r="AF145" s="1575"/>
      <c r="AG145" s="1576"/>
    </row>
    <row r="146" spans="29:33" x14ac:dyDescent="0.2">
      <c r="AC146" s="1582" t="str">
        <f t="shared" si="6"/>
        <v/>
      </c>
      <c r="AD146" s="1573" t="str">
        <f t="shared" si="7"/>
        <v/>
      </c>
      <c r="AE146" s="1574" t="str">
        <f t="shared" si="8"/>
        <v/>
      </c>
      <c r="AF146" s="1575"/>
      <c r="AG146" s="1576"/>
    </row>
    <row r="147" spans="29:33" x14ac:dyDescent="0.2">
      <c r="AC147" s="1582" t="str">
        <f t="shared" si="6"/>
        <v/>
      </c>
      <c r="AD147" s="1573" t="str">
        <f t="shared" si="7"/>
        <v/>
      </c>
      <c r="AE147" s="1574" t="str">
        <f t="shared" si="8"/>
        <v/>
      </c>
      <c r="AF147" s="1575"/>
      <c r="AG147" s="1576"/>
    </row>
    <row r="148" spans="29:33" x14ac:dyDescent="0.2">
      <c r="AC148" s="1582" t="str">
        <f t="shared" si="6"/>
        <v/>
      </c>
      <c r="AD148" s="1573" t="str">
        <f t="shared" si="7"/>
        <v/>
      </c>
      <c r="AE148" s="1574" t="str">
        <f t="shared" si="8"/>
        <v/>
      </c>
      <c r="AF148" s="1575"/>
      <c r="AG148" s="1576"/>
    </row>
    <row r="149" spans="29:33" x14ac:dyDescent="0.2">
      <c r="AC149" s="1582" t="str">
        <f t="shared" si="6"/>
        <v/>
      </c>
      <c r="AD149" s="1573" t="str">
        <f t="shared" si="7"/>
        <v/>
      </c>
      <c r="AE149" s="1574" t="str">
        <f t="shared" si="8"/>
        <v/>
      </c>
      <c r="AF149" s="1575"/>
      <c r="AG149" s="1576"/>
    </row>
    <row r="150" spans="29:33" x14ac:dyDescent="0.2">
      <c r="AC150" s="1582" t="str">
        <f t="shared" si="6"/>
        <v/>
      </c>
      <c r="AD150" s="1573" t="str">
        <f t="shared" si="7"/>
        <v/>
      </c>
      <c r="AE150" s="1574" t="str">
        <f t="shared" si="8"/>
        <v/>
      </c>
      <c r="AF150" s="1575"/>
      <c r="AG150" s="1576"/>
    </row>
    <row r="151" spans="29:33" x14ac:dyDescent="0.2">
      <c r="AC151" s="1582" t="str">
        <f t="shared" si="6"/>
        <v/>
      </c>
      <c r="AD151" s="1573" t="str">
        <f t="shared" si="7"/>
        <v/>
      </c>
      <c r="AE151" s="1574" t="str">
        <f t="shared" si="8"/>
        <v/>
      </c>
      <c r="AF151" s="1575"/>
      <c r="AG151" s="1576"/>
    </row>
    <row r="152" spans="29:33" x14ac:dyDescent="0.2">
      <c r="AC152" s="1582" t="str">
        <f t="shared" si="6"/>
        <v/>
      </c>
      <c r="AD152" s="1573" t="str">
        <f t="shared" si="7"/>
        <v/>
      </c>
      <c r="AE152" s="1574" t="str">
        <f t="shared" si="8"/>
        <v/>
      </c>
      <c r="AF152" s="1575"/>
      <c r="AG152" s="1576"/>
    </row>
    <row r="153" spans="29:33" x14ac:dyDescent="0.2">
      <c r="AC153" s="1582" t="str">
        <f t="shared" si="6"/>
        <v/>
      </c>
      <c r="AD153" s="1573" t="str">
        <f t="shared" si="7"/>
        <v/>
      </c>
      <c r="AE153" s="1574" t="str">
        <f t="shared" si="8"/>
        <v/>
      </c>
      <c r="AF153" s="1575"/>
      <c r="AG153" s="1576"/>
    </row>
    <row r="154" spans="29:33" x14ac:dyDescent="0.2">
      <c r="AC154" s="1582" t="str">
        <f t="shared" si="6"/>
        <v/>
      </c>
      <c r="AD154" s="1573" t="str">
        <f t="shared" si="7"/>
        <v/>
      </c>
      <c r="AE154" s="1574" t="str">
        <f t="shared" si="8"/>
        <v/>
      </c>
      <c r="AF154" s="1575"/>
      <c r="AG154" s="1576"/>
    </row>
    <row r="155" spans="29:33" x14ac:dyDescent="0.2">
      <c r="AC155" s="1582" t="str">
        <f t="shared" si="6"/>
        <v/>
      </c>
      <c r="AD155" s="1573" t="str">
        <f t="shared" si="7"/>
        <v/>
      </c>
      <c r="AE155" s="1574" t="str">
        <f t="shared" si="8"/>
        <v/>
      </c>
      <c r="AF155" s="1575"/>
      <c r="AG155" s="1576"/>
    </row>
    <row r="156" spans="29:33" x14ac:dyDescent="0.2">
      <c r="AC156" s="1582" t="str">
        <f t="shared" si="6"/>
        <v/>
      </c>
      <c r="AD156" s="1573" t="str">
        <f t="shared" si="7"/>
        <v/>
      </c>
      <c r="AE156" s="1574" t="str">
        <f t="shared" si="8"/>
        <v/>
      </c>
      <c r="AF156" s="1575"/>
      <c r="AG156" s="1576"/>
    </row>
    <row r="157" spans="29:33" x14ac:dyDescent="0.2">
      <c r="AC157" s="1582" t="str">
        <f t="shared" si="6"/>
        <v/>
      </c>
      <c r="AD157" s="1573" t="str">
        <f t="shared" si="7"/>
        <v/>
      </c>
      <c r="AE157" s="1574" t="str">
        <f t="shared" si="8"/>
        <v/>
      </c>
      <c r="AF157" s="1575"/>
      <c r="AG157" s="1576"/>
    </row>
    <row r="158" spans="29:33" x14ac:dyDescent="0.2">
      <c r="AC158" s="1582" t="str">
        <f t="shared" si="6"/>
        <v/>
      </c>
      <c r="AD158" s="1573" t="str">
        <f t="shared" si="7"/>
        <v/>
      </c>
      <c r="AE158" s="1574" t="str">
        <f t="shared" si="8"/>
        <v/>
      </c>
      <c r="AF158" s="1575"/>
      <c r="AG158" s="1576"/>
    </row>
    <row r="159" spans="29:33" x14ac:dyDescent="0.2">
      <c r="AC159" s="1582" t="str">
        <f t="shared" si="6"/>
        <v/>
      </c>
      <c r="AD159" s="1573" t="str">
        <f t="shared" si="7"/>
        <v/>
      </c>
      <c r="AE159" s="1574" t="str">
        <f t="shared" si="8"/>
        <v/>
      </c>
      <c r="AF159" s="1575"/>
      <c r="AG159" s="1576"/>
    </row>
    <row r="160" spans="29:33" x14ac:dyDescent="0.2">
      <c r="AC160" s="1582" t="str">
        <f t="shared" si="6"/>
        <v/>
      </c>
      <c r="AD160" s="1573" t="str">
        <f t="shared" si="7"/>
        <v/>
      </c>
      <c r="AE160" s="1574" t="str">
        <f t="shared" si="8"/>
        <v/>
      </c>
      <c r="AF160" s="1575"/>
      <c r="AG160" s="1576"/>
    </row>
    <row r="161" spans="29:33" x14ac:dyDescent="0.2">
      <c r="AC161" s="1582" t="str">
        <f t="shared" si="6"/>
        <v/>
      </c>
      <c r="AD161" s="1573" t="str">
        <f t="shared" si="7"/>
        <v/>
      </c>
      <c r="AE161" s="1574" t="str">
        <f t="shared" si="8"/>
        <v/>
      </c>
      <c r="AF161" s="1575"/>
      <c r="AG161" s="1576"/>
    </row>
    <row r="162" spans="29:33" x14ac:dyDescent="0.2">
      <c r="AC162" s="1582" t="str">
        <f t="shared" si="6"/>
        <v/>
      </c>
      <c r="AD162" s="1573" t="str">
        <f t="shared" si="7"/>
        <v/>
      </c>
      <c r="AE162" s="1574" t="str">
        <f t="shared" si="8"/>
        <v/>
      </c>
      <c r="AF162" s="1575"/>
      <c r="AG162" s="1576"/>
    </row>
    <row r="163" spans="29:33" x14ac:dyDescent="0.2">
      <c r="AC163" s="1582" t="str">
        <f t="shared" si="6"/>
        <v/>
      </c>
      <c r="AD163" s="1573" t="str">
        <f t="shared" si="7"/>
        <v/>
      </c>
      <c r="AE163" s="1574" t="str">
        <f t="shared" si="8"/>
        <v/>
      </c>
      <c r="AF163" s="1575"/>
      <c r="AG163" s="1576"/>
    </row>
    <row r="164" spans="29:33" x14ac:dyDescent="0.2">
      <c r="AC164" s="1582" t="str">
        <f t="shared" si="6"/>
        <v/>
      </c>
      <c r="AD164" s="1573" t="str">
        <f t="shared" si="7"/>
        <v/>
      </c>
      <c r="AE164" s="1574" t="str">
        <f t="shared" si="8"/>
        <v/>
      </c>
      <c r="AF164" s="1575"/>
      <c r="AG164" s="1576"/>
    </row>
    <row r="165" spans="29:33" x14ac:dyDescent="0.2">
      <c r="AC165" s="1582" t="str">
        <f t="shared" si="6"/>
        <v/>
      </c>
      <c r="AD165" s="1573" t="str">
        <f t="shared" si="7"/>
        <v/>
      </c>
      <c r="AE165" s="1574" t="str">
        <f t="shared" si="8"/>
        <v/>
      </c>
      <c r="AF165" s="1575"/>
      <c r="AG165" s="1576"/>
    </row>
    <row r="166" spans="29:33" x14ac:dyDescent="0.2">
      <c r="AC166" s="1582" t="str">
        <f t="shared" si="6"/>
        <v/>
      </c>
      <c r="AD166" s="1573" t="str">
        <f t="shared" si="7"/>
        <v/>
      </c>
      <c r="AE166" s="1574" t="str">
        <f t="shared" si="8"/>
        <v/>
      </c>
      <c r="AF166" s="1575"/>
      <c r="AG166" s="1576"/>
    </row>
    <row r="167" spans="29:33" x14ac:dyDescent="0.2">
      <c r="AC167" s="1582" t="str">
        <f t="shared" si="6"/>
        <v/>
      </c>
      <c r="AD167" s="1573" t="str">
        <f t="shared" si="7"/>
        <v/>
      </c>
      <c r="AE167" s="1574" t="str">
        <f t="shared" si="8"/>
        <v/>
      </c>
      <c r="AF167" s="1575"/>
      <c r="AG167" s="1576"/>
    </row>
    <row r="168" spans="29:33" x14ac:dyDescent="0.2">
      <c r="AC168" s="1582" t="str">
        <f t="shared" si="6"/>
        <v/>
      </c>
      <c r="AD168" s="1573" t="str">
        <f t="shared" si="7"/>
        <v/>
      </c>
      <c r="AE168" s="1574" t="str">
        <f t="shared" si="8"/>
        <v/>
      </c>
      <c r="AF168" s="1575"/>
      <c r="AG168" s="1576"/>
    </row>
    <row r="169" spans="29:33" x14ac:dyDescent="0.2">
      <c r="AC169" s="1582" t="str">
        <f t="shared" si="6"/>
        <v/>
      </c>
      <c r="AD169" s="1573" t="str">
        <f t="shared" si="7"/>
        <v/>
      </c>
      <c r="AE169" s="1574" t="str">
        <f t="shared" si="8"/>
        <v/>
      </c>
      <c r="AF169" s="1575"/>
      <c r="AG169" s="1576"/>
    </row>
    <row r="170" spans="29:33" x14ac:dyDescent="0.2">
      <c r="AC170" s="1582" t="str">
        <f t="shared" si="6"/>
        <v/>
      </c>
      <c r="AD170" s="1573" t="str">
        <f t="shared" si="7"/>
        <v/>
      </c>
      <c r="AE170" s="1574" t="str">
        <f t="shared" si="8"/>
        <v/>
      </c>
      <c r="AF170" s="1575"/>
      <c r="AG170" s="1576"/>
    </row>
    <row r="171" spans="29:33" x14ac:dyDescent="0.2">
      <c r="AC171" s="1582" t="str">
        <f t="shared" si="6"/>
        <v/>
      </c>
      <c r="AD171" s="1573" t="str">
        <f t="shared" si="7"/>
        <v/>
      </c>
      <c r="AE171" s="1574" t="str">
        <f t="shared" si="8"/>
        <v/>
      </c>
      <c r="AF171" s="1575"/>
      <c r="AG171" s="1576"/>
    </row>
    <row r="172" spans="29:33" x14ac:dyDescent="0.2">
      <c r="AC172" s="1582" t="str">
        <f t="shared" si="6"/>
        <v/>
      </c>
      <c r="AD172" s="1573" t="str">
        <f t="shared" si="7"/>
        <v/>
      </c>
      <c r="AE172" s="1574" t="str">
        <f t="shared" si="8"/>
        <v/>
      </c>
      <c r="AF172" s="1575"/>
      <c r="AG172" s="1576"/>
    </row>
    <row r="173" spans="29:33" x14ac:dyDescent="0.2">
      <c r="AC173" s="1582" t="str">
        <f t="shared" si="6"/>
        <v/>
      </c>
      <c r="AD173" s="1573" t="str">
        <f t="shared" si="7"/>
        <v/>
      </c>
      <c r="AE173" s="1574" t="str">
        <f t="shared" si="8"/>
        <v/>
      </c>
      <c r="AF173" s="1575"/>
      <c r="AG173" s="1576"/>
    </row>
    <row r="174" spans="29:33" x14ac:dyDescent="0.2">
      <c r="AC174" s="1582" t="str">
        <f t="shared" si="6"/>
        <v/>
      </c>
      <c r="AD174" s="1573" t="str">
        <f t="shared" si="7"/>
        <v/>
      </c>
      <c r="AE174" s="1574" t="str">
        <f t="shared" si="8"/>
        <v/>
      </c>
      <c r="AF174" s="1575"/>
      <c r="AG174" s="1576"/>
    </row>
    <row r="175" spans="29:33" x14ac:dyDescent="0.2">
      <c r="AC175" s="1582" t="str">
        <f t="shared" si="6"/>
        <v/>
      </c>
      <c r="AD175" s="1573" t="str">
        <f t="shared" si="7"/>
        <v/>
      </c>
      <c r="AE175" s="1574" t="str">
        <f t="shared" si="8"/>
        <v/>
      </c>
      <c r="AF175" s="1575"/>
      <c r="AG175" s="1576"/>
    </row>
    <row r="176" spans="29:33" x14ac:dyDescent="0.2">
      <c r="AC176" s="1582" t="str">
        <f t="shared" si="6"/>
        <v/>
      </c>
      <c r="AD176" s="1573" t="str">
        <f t="shared" si="7"/>
        <v/>
      </c>
      <c r="AE176" s="1574" t="str">
        <f t="shared" si="8"/>
        <v/>
      </c>
      <c r="AF176" s="1575"/>
      <c r="AG176" s="1576"/>
    </row>
    <row r="177" spans="29:33" x14ac:dyDescent="0.2">
      <c r="AC177" s="1582" t="str">
        <f t="shared" si="6"/>
        <v/>
      </c>
      <c r="AD177" s="1573" t="str">
        <f t="shared" si="7"/>
        <v/>
      </c>
      <c r="AE177" s="1574" t="str">
        <f t="shared" si="8"/>
        <v/>
      </c>
      <c r="AF177" s="1575"/>
      <c r="AG177" s="1576"/>
    </row>
    <row r="178" spans="29:33" x14ac:dyDescent="0.2">
      <c r="AC178" s="1582" t="str">
        <f t="shared" si="6"/>
        <v/>
      </c>
      <c r="AD178" s="1573" t="str">
        <f t="shared" si="7"/>
        <v/>
      </c>
      <c r="AE178" s="1574" t="str">
        <f t="shared" si="8"/>
        <v/>
      </c>
      <c r="AF178" s="1575"/>
      <c r="AG178" s="1576"/>
    </row>
    <row r="179" spans="29:33" x14ac:dyDescent="0.2">
      <c r="AC179" s="1582" t="str">
        <f t="shared" si="6"/>
        <v/>
      </c>
      <c r="AD179" s="1573" t="str">
        <f t="shared" si="7"/>
        <v/>
      </c>
      <c r="AE179" s="1574" t="str">
        <f t="shared" si="8"/>
        <v/>
      </c>
      <c r="AF179" s="1575"/>
      <c r="AG179" s="1576"/>
    </row>
    <row r="180" spans="29:33" x14ac:dyDescent="0.2">
      <c r="AC180" s="1582" t="str">
        <f t="shared" si="6"/>
        <v/>
      </c>
      <c r="AD180" s="1573" t="str">
        <f t="shared" si="7"/>
        <v/>
      </c>
      <c r="AE180" s="1574" t="str">
        <f t="shared" si="8"/>
        <v/>
      </c>
      <c r="AF180" s="1575"/>
      <c r="AG180" s="1576"/>
    </row>
    <row r="181" spans="29:33" x14ac:dyDescent="0.2">
      <c r="AC181" s="1582" t="str">
        <f t="shared" si="6"/>
        <v/>
      </c>
      <c r="AD181" s="1573" t="str">
        <f t="shared" si="7"/>
        <v/>
      </c>
      <c r="AE181" s="1574" t="str">
        <f t="shared" si="8"/>
        <v/>
      </c>
      <c r="AF181" s="1575"/>
      <c r="AG181" s="1576"/>
    </row>
    <row r="182" spans="29:33" x14ac:dyDescent="0.2">
      <c r="AC182" s="1582" t="str">
        <f t="shared" si="6"/>
        <v/>
      </c>
      <c r="AD182" s="1573" t="str">
        <f t="shared" si="7"/>
        <v/>
      </c>
      <c r="AE182" s="1574" t="str">
        <f t="shared" si="8"/>
        <v/>
      </c>
      <c r="AF182" s="1575"/>
      <c r="AG182" s="1576"/>
    </row>
    <row r="183" spans="29:33" x14ac:dyDescent="0.2">
      <c r="AC183" s="1582" t="str">
        <f t="shared" si="6"/>
        <v/>
      </c>
      <c r="AD183" s="1573" t="str">
        <f t="shared" si="7"/>
        <v/>
      </c>
      <c r="AE183" s="1574" t="str">
        <f t="shared" si="8"/>
        <v/>
      </c>
      <c r="AF183" s="1575"/>
      <c r="AG183" s="1576"/>
    </row>
    <row r="184" spans="29:33" x14ac:dyDescent="0.2">
      <c r="AC184" s="1582" t="str">
        <f t="shared" si="6"/>
        <v/>
      </c>
      <c r="AD184" s="1573" t="str">
        <f t="shared" si="7"/>
        <v/>
      </c>
      <c r="AE184" s="1574" t="str">
        <f t="shared" si="8"/>
        <v/>
      </c>
      <c r="AF184" s="1575"/>
      <c r="AG184" s="1576"/>
    </row>
    <row r="185" spans="29:33" x14ac:dyDescent="0.2">
      <c r="AC185" s="1582" t="str">
        <f t="shared" si="6"/>
        <v/>
      </c>
      <c r="AD185" s="1573" t="str">
        <f t="shared" si="7"/>
        <v/>
      </c>
      <c r="AE185" s="1574" t="str">
        <f t="shared" si="8"/>
        <v/>
      </c>
      <c r="AF185" s="1575"/>
      <c r="AG185" s="1576"/>
    </row>
    <row r="186" spans="29:33" x14ac:dyDescent="0.2">
      <c r="AC186" s="1582" t="str">
        <f t="shared" si="6"/>
        <v/>
      </c>
      <c r="AD186" s="1573" t="str">
        <f t="shared" si="7"/>
        <v/>
      </c>
      <c r="AE186" s="1574" t="str">
        <f t="shared" si="8"/>
        <v/>
      </c>
      <c r="AF186" s="1575"/>
      <c r="AG186" s="1576"/>
    </row>
    <row r="187" spans="29:33" x14ac:dyDescent="0.2">
      <c r="AC187" s="1582" t="str">
        <f t="shared" si="6"/>
        <v/>
      </c>
      <c r="AD187" s="1573" t="str">
        <f t="shared" si="7"/>
        <v/>
      </c>
      <c r="AE187" s="1574" t="str">
        <f t="shared" si="8"/>
        <v/>
      </c>
      <c r="AF187" s="1575"/>
      <c r="AG187" s="1576"/>
    </row>
    <row r="188" spans="29:33" x14ac:dyDescent="0.2">
      <c r="AC188" s="1582" t="str">
        <f t="shared" si="6"/>
        <v/>
      </c>
      <c r="AD188" s="1573" t="str">
        <f t="shared" si="7"/>
        <v/>
      </c>
      <c r="AE188" s="1574" t="str">
        <f t="shared" si="8"/>
        <v/>
      </c>
      <c r="AF188" s="1575"/>
      <c r="AG188" s="1576"/>
    </row>
    <row r="189" spans="29:33" x14ac:dyDescent="0.2">
      <c r="AC189" s="1582" t="str">
        <f t="shared" si="6"/>
        <v/>
      </c>
      <c r="AD189" s="1573" t="str">
        <f t="shared" si="7"/>
        <v/>
      </c>
      <c r="AE189" s="1574" t="str">
        <f t="shared" si="8"/>
        <v/>
      </c>
      <c r="AF189" s="1575"/>
      <c r="AG189" s="1576"/>
    </row>
    <row r="190" spans="29:33" x14ac:dyDescent="0.2">
      <c r="AC190" s="1582" t="str">
        <f t="shared" si="6"/>
        <v/>
      </c>
      <c r="AD190" s="1573" t="str">
        <f t="shared" si="7"/>
        <v/>
      </c>
      <c r="AE190" s="1574" t="str">
        <f t="shared" si="8"/>
        <v/>
      </c>
      <c r="AF190" s="1575"/>
      <c r="AG190" s="1576"/>
    </row>
    <row r="191" spans="29:33" x14ac:dyDescent="0.2">
      <c r="AC191" s="1582" t="str">
        <f t="shared" si="6"/>
        <v/>
      </c>
      <c r="AD191" s="1573" t="str">
        <f t="shared" si="7"/>
        <v/>
      </c>
      <c r="AE191" s="1574" t="str">
        <f t="shared" si="8"/>
        <v/>
      </c>
      <c r="AF191" s="1575"/>
      <c r="AG191" s="1576"/>
    </row>
    <row r="192" spans="29:33" x14ac:dyDescent="0.2">
      <c r="AC192" s="1582" t="str">
        <f t="shared" si="6"/>
        <v/>
      </c>
      <c r="AD192" s="1573" t="str">
        <f t="shared" si="7"/>
        <v/>
      </c>
      <c r="AE192" s="1574" t="str">
        <f t="shared" si="8"/>
        <v/>
      </c>
      <c r="AF192" s="1575"/>
      <c r="AG192" s="1576"/>
    </row>
    <row r="193" spans="29:33" x14ac:dyDescent="0.2">
      <c r="AC193" s="1582" t="str">
        <f t="shared" si="6"/>
        <v/>
      </c>
      <c r="AD193" s="1573" t="str">
        <f t="shared" si="7"/>
        <v/>
      </c>
      <c r="AE193" s="1574" t="str">
        <f t="shared" si="8"/>
        <v/>
      </c>
      <c r="AF193" s="1575"/>
      <c r="AG193" s="1576"/>
    </row>
    <row r="194" spans="29:33" x14ac:dyDescent="0.2">
      <c r="AC194" s="1582" t="str">
        <f t="shared" si="6"/>
        <v/>
      </c>
      <c r="AD194" s="1573" t="str">
        <f t="shared" si="7"/>
        <v/>
      </c>
      <c r="AE194" s="1574" t="str">
        <f t="shared" si="8"/>
        <v/>
      </c>
      <c r="AF194" s="1575"/>
      <c r="AG194" s="1576"/>
    </row>
    <row r="195" spans="29:33" x14ac:dyDescent="0.2">
      <c r="AC195" s="1582" t="str">
        <f t="shared" ref="AC195:AC258" si="9">IF(ISBLANK(W194),"",W194)</f>
        <v/>
      </c>
      <c r="AD195" s="1573" t="str">
        <f t="shared" ref="AD195:AD258" si="10">IF(ISBLANK(V194),"",V194)</f>
        <v/>
      </c>
      <c r="AE195" s="1574" t="str">
        <f t="shared" ref="AE195:AE258" si="11">IF(ISBLANK(Z194),"",Z194)</f>
        <v/>
      </c>
      <c r="AF195" s="1575"/>
      <c r="AG195" s="1576"/>
    </row>
    <row r="196" spans="29:33" x14ac:dyDescent="0.2">
      <c r="AC196" s="1582" t="str">
        <f t="shared" si="9"/>
        <v/>
      </c>
      <c r="AD196" s="1573" t="str">
        <f t="shared" si="10"/>
        <v/>
      </c>
      <c r="AE196" s="1574" t="str">
        <f t="shared" si="11"/>
        <v/>
      </c>
      <c r="AF196" s="1575"/>
      <c r="AG196" s="1576"/>
    </row>
    <row r="197" spans="29:33" x14ac:dyDescent="0.2">
      <c r="AC197" s="1582" t="str">
        <f t="shared" si="9"/>
        <v/>
      </c>
      <c r="AD197" s="1573" t="str">
        <f t="shared" si="10"/>
        <v/>
      </c>
      <c r="AE197" s="1574" t="str">
        <f t="shared" si="11"/>
        <v/>
      </c>
      <c r="AF197" s="1575"/>
      <c r="AG197" s="1576"/>
    </row>
    <row r="198" spans="29:33" x14ac:dyDescent="0.2">
      <c r="AC198" s="1582" t="str">
        <f t="shared" si="9"/>
        <v/>
      </c>
      <c r="AD198" s="1573" t="str">
        <f t="shared" si="10"/>
        <v/>
      </c>
      <c r="AE198" s="1574" t="str">
        <f t="shared" si="11"/>
        <v/>
      </c>
      <c r="AF198" s="1575"/>
      <c r="AG198" s="1576"/>
    </row>
    <row r="199" spans="29:33" x14ac:dyDescent="0.2">
      <c r="AC199" s="1582" t="str">
        <f t="shared" si="9"/>
        <v/>
      </c>
      <c r="AD199" s="1573" t="str">
        <f t="shared" si="10"/>
        <v/>
      </c>
      <c r="AE199" s="1574" t="str">
        <f t="shared" si="11"/>
        <v/>
      </c>
      <c r="AF199" s="1575"/>
      <c r="AG199" s="1576"/>
    </row>
    <row r="200" spans="29:33" x14ac:dyDescent="0.2">
      <c r="AC200" s="1582" t="str">
        <f t="shared" si="9"/>
        <v/>
      </c>
      <c r="AD200" s="1573" t="str">
        <f t="shared" si="10"/>
        <v/>
      </c>
      <c r="AE200" s="1574" t="str">
        <f t="shared" si="11"/>
        <v/>
      </c>
      <c r="AF200" s="1575"/>
      <c r="AG200" s="1576"/>
    </row>
    <row r="201" spans="29:33" x14ac:dyDescent="0.2">
      <c r="AC201" s="55" t="str">
        <f t="shared" si="9"/>
        <v/>
      </c>
      <c r="AD201" s="91" t="str">
        <f t="shared" si="10"/>
        <v/>
      </c>
      <c r="AE201" s="96" t="str">
        <f t="shared" si="11"/>
        <v/>
      </c>
    </row>
    <row r="202" spans="29:33" x14ac:dyDescent="0.2">
      <c r="AC202" s="55" t="str">
        <f t="shared" si="9"/>
        <v/>
      </c>
      <c r="AD202" s="91" t="str">
        <f t="shared" si="10"/>
        <v/>
      </c>
      <c r="AE202" s="96" t="str">
        <f t="shared" si="11"/>
        <v/>
      </c>
    </row>
    <row r="203" spans="29:33" x14ac:dyDescent="0.2">
      <c r="AC203" s="55" t="str">
        <f t="shared" si="9"/>
        <v/>
      </c>
      <c r="AD203" s="91" t="str">
        <f t="shared" si="10"/>
        <v/>
      </c>
      <c r="AE203" s="96" t="str">
        <f t="shared" si="11"/>
        <v/>
      </c>
    </row>
    <row r="204" spans="29:33" x14ac:dyDescent="0.2">
      <c r="AC204" s="55" t="str">
        <f t="shared" si="9"/>
        <v/>
      </c>
      <c r="AD204" s="91" t="str">
        <f t="shared" si="10"/>
        <v/>
      </c>
      <c r="AE204" s="96" t="str">
        <f t="shared" si="11"/>
        <v/>
      </c>
    </row>
    <row r="205" spans="29:33" x14ac:dyDescent="0.2">
      <c r="AC205" s="55" t="str">
        <f t="shared" si="9"/>
        <v/>
      </c>
      <c r="AD205" s="91" t="str">
        <f t="shared" si="10"/>
        <v/>
      </c>
      <c r="AE205" s="96" t="str">
        <f t="shared" si="11"/>
        <v/>
      </c>
    </row>
    <row r="206" spans="29:33" x14ac:dyDescent="0.2">
      <c r="AC206" s="55" t="str">
        <f t="shared" si="9"/>
        <v/>
      </c>
      <c r="AD206" s="91" t="str">
        <f t="shared" si="10"/>
        <v/>
      </c>
      <c r="AE206" s="96" t="str">
        <f t="shared" si="11"/>
        <v/>
      </c>
    </row>
    <row r="207" spans="29:33" x14ac:dyDescent="0.2">
      <c r="AC207" s="55" t="str">
        <f t="shared" si="9"/>
        <v/>
      </c>
      <c r="AD207" s="91" t="str">
        <f t="shared" si="10"/>
        <v/>
      </c>
      <c r="AE207" s="96" t="str">
        <f t="shared" si="11"/>
        <v/>
      </c>
    </row>
    <row r="208" spans="29:33" x14ac:dyDescent="0.2">
      <c r="AC208" s="55" t="str">
        <f t="shared" si="9"/>
        <v/>
      </c>
      <c r="AD208" s="91" t="str">
        <f t="shared" si="10"/>
        <v/>
      </c>
      <c r="AE208" s="96" t="str">
        <f t="shared" si="11"/>
        <v/>
      </c>
    </row>
    <row r="209" spans="29:31" x14ac:dyDescent="0.2">
      <c r="AC209" s="55" t="str">
        <f t="shared" si="9"/>
        <v/>
      </c>
      <c r="AD209" s="91" t="str">
        <f t="shared" si="10"/>
        <v/>
      </c>
      <c r="AE209" s="96" t="str">
        <f t="shared" si="11"/>
        <v/>
      </c>
    </row>
    <row r="210" spans="29:31" x14ac:dyDescent="0.2">
      <c r="AC210" s="55" t="str">
        <f t="shared" si="9"/>
        <v/>
      </c>
      <c r="AD210" s="91" t="str">
        <f t="shared" si="10"/>
        <v/>
      </c>
      <c r="AE210" s="96" t="str">
        <f t="shared" si="11"/>
        <v/>
      </c>
    </row>
    <row r="211" spans="29:31" x14ac:dyDescent="0.2">
      <c r="AC211" s="55" t="str">
        <f t="shared" si="9"/>
        <v/>
      </c>
      <c r="AD211" s="91" t="str">
        <f t="shared" si="10"/>
        <v/>
      </c>
      <c r="AE211" s="96" t="str">
        <f t="shared" si="11"/>
        <v/>
      </c>
    </row>
    <row r="212" spans="29:31" x14ac:dyDescent="0.2">
      <c r="AC212" s="55" t="str">
        <f t="shared" si="9"/>
        <v/>
      </c>
      <c r="AD212" s="91" t="str">
        <f t="shared" si="10"/>
        <v/>
      </c>
      <c r="AE212" s="96" t="str">
        <f t="shared" si="11"/>
        <v/>
      </c>
    </row>
    <row r="213" spans="29:31" x14ac:dyDescent="0.2">
      <c r="AC213" s="55" t="str">
        <f t="shared" si="9"/>
        <v/>
      </c>
      <c r="AD213" s="91" t="str">
        <f t="shared" si="10"/>
        <v/>
      </c>
      <c r="AE213" s="96" t="str">
        <f t="shared" si="11"/>
        <v/>
      </c>
    </row>
    <row r="214" spans="29:31" x14ac:dyDescent="0.2">
      <c r="AC214" s="55" t="str">
        <f t="shared" si="9"/>
        <v/>
      </c>
      <c r="AD214" s="91" t="str">
        <f t="shared" si="10"/>
        <v/>
      </c>
      <c r="AE214" s="96" t="str">
        <f t="shared" si="11"/>
        <v/>
      </c>
    </row>
    <row r="215" spans="29:31" x14ac:dyDescent="0.2">
      <c r="AC215" s="55" t="str">
        <f t="shared" si="9"/>
        <v/>
      </c>
      <c r="AD215" s="91" t="str">
        <f t="shared" si="10"/>
        <v/>
      </c>
      <c r="AE215" s="96" t="str">
        <f t="shared" si="11"/>
        <v/>
      </c>
    </row>
    <row r="216" spans="29:31" x14ac:dyDescent="0.2">
      <c r="AC216" s="55" t="str">
        <f t="shared" si="9"/>
        <v/>
      </c>
      <c r="AD216" s="91" t="str">
        <f t="shared" si="10"/>
        <v/>
      </c>
      <c r="AE216" s="96" t="str">
        <f t="shared" si="11"/>
        <v/>
      </c>
    </row>
    <row r="217" spans="29:31" x14ac:dyDescent="0.2">
      <c r="AC217" s="55" t="str">
        <f t="shared" si="9"/>
        <v/>
      </c>
      <c r="AD217" s="91" t="str">
        <f t="shared" si="10"/>
        <v/>
      </c>
      <c r="AE217" s="96" t="str">
        <f t="shared" si="11"/>
        <v/>
      </c>
    </row>
    <row r="218" spans="29:31" x14ac:dyDescent="0.2">
      <c r="AC218" s="55" t="str">
        <f t="shared" si="9"/>
        <v/>
      </c>
      <c r="AD218" s="91" t="str">
        <f t="shared" si="10"/>
        <v/>
      </c>
      <c r="AE218" s="96" t="str">
        <f t="shared" si="11"/>
        <v/>
      </c>
    </row>
    <row r="219" spans="29:31" x14ac:dyDescent="0.2">
      <c r="AC219" s="55" t="str">
        <f t="shared" si="9"/>
        <v/>
      </c>
      <c r="AD219" s="91" t="str">
        <f t="shared" si="10"/>
        <v/>
      </c>
      <c r="AE219" s="96" t="str">
        <f t="shared" si="11"/>
        <v/>
      </c>
    </row>
    <row r="220" spans="29:31" x14ac:dyDescent="0.2">
      <c r="AC220" s="55" t="str">
        <f t="shared" si="9"/>
        <v/>
      </c>
      <c r="AD220" s="91" t="str">
        <f t="shared" si="10"/>
        <v/>
      </c>
      <c r="AE220" s="96" t="str">
        <f t="shared" si="11"/>
        <v/>
      </c>
    </row>
    <row r="221" spans="29:31" x14ac:dyDescent="0.2">
      <c r="AC221" s="55" t="str">
        <f t="shared" si="9"/>
        <v/>
      </c>
      <c r="AD221" s="91" t="str">
        <f t="shared" si="10"/>
        <v/>
      </c>
      <c r="AE221" s="96" t="str">
        <f t="shared" si="11"/>
        <v/>
      </c>
    </row>
    <row r="222" spans="29:31" x14ac:dyDescent="0.2">
      <c r="AC222" s="55" t="str">
        <f t="shared" si="9"/>
        <v/>
      </c>
      <c r="AD222" s="91" t="str">
        <f t="shared" si="10"/>
        <v/>
      </c>
      <c r="AE222" s="96" t="str">
        <f t="shared" si="11"/>
        <v/>
      </c>
    </row>
    <row r="223" spans="29:31" x14ac:dyDescent="0.2">
      <c r="AC223" s="55" t="str">
        <f t="shared" si="9"/>
        <v/>
      </c>
      <c r="AD223" s="91" t="str">
        <f t="shared" si="10"/>
        <v/>
      </c>
      <c r="AE223" s="96" t="str">
        <f t="shared" si="11"/>
        <v/>
      </c>
    </row>
    <row r="224" spans="29:31" x14ac:dyDescent="0.2">
      <c r="AC224" s="55" t="str">
        <f t="shared" si="9"/>
        <v/>
      </c>
      <c r="AD224" s="91" t="str">
        <f t="shared" si="10"/>
        <v/>
      </c>
      <c r="AE224" s="96" t="str">
        <f t="shared" si="11"/>
        <v/>
      </c>
    </row>
    <row r="225" spans="29:31" x14ac:dyDescent="0.2">
      <c r="AC225" s="55" t="str">
        <f t="shared" si="9"/>
        <v/>
      </c>
      <c r="AD225" s="91" t="str">
        <f t="shared" si="10"/>
        <v/>
      </c>
      <c r="AE225" s="96" t="str">
        <f t="shared" si="11"/>
        <v/>
      </c>
    </row>
    <row r="226" spans="29:31" x14ac:dyDescent="0.2">
      <c r="AC226" s="55" t="str">
        <f t="shared" si="9"/>
        <v/>
      </c>
      <c r="AD226" s="91" t="str">
        <f t="shared" si="10"/>
        <v/>
      </c>
      <c r="AE226" s="96" t="str">
        <f t="shared" si="11"/>
        <v/>
      </c>
    </row>
    <row r="227" spans="29:31" x14ac:dyDescent="0.2">
      <c r="AC227" s="55" t="str">
        <f t="shared" si="9"/>
        <v/>
      </c>
      <c r="AD227" s="91" t="str">
        <f t="shared" si="10"/>
        <v/>
      </c>
      <c r="AE227" s="96" t="str">
        <f t="shared" si="11"/>
        <v/>
      </c>
    </row>
    <row r="228" spans="29:31" x14ac:dyDescent="0.2">
      <c r="AC228" s="55" t="str">
        <f t="shared" si="9"/>
        <v/>
      </c>
      <c r="AD228" s="91" t="str">
        <f t="shared" si="10"/>
        <v/>
      </c>
      <c r="AE228" s="96" t="str">
        <f t="shared" si="11"/>
        <v/>
      </c>
    </row>
    <row r="229" spans="29:31" x14ac:dyDescent="0.2">
      <c r="AC229" s="55" t="str">
        <f t="shared" si="9"/>
        <v/>
      </c>
      <c r="AD229" s="91" t="str">
        <f t="shared" si="10"/>
        <v/>
      </c>
      <c r="AE229" s="96" t="str">
        <f t="shared" si="11"/>
        <v/>
      </c>
    </row>
    <row r="230" spans="29:31" x14ac:dyDescent="0.2">
      <c r="AC230" s="55" t="str">
        <f t="shared" si="9"/>
        <v/>
      </c>
      <c r="AD230" s="91" t="str">
        <f t="shared" si="10"/>
        <v/>
      </c>
      <c r="AE230" s="96" t="str">
        <f t="shared" si="11"/>
        <v/>
      </c>
    </row>
    <row r="231" spans="29:31" x14ac:dyDescent="0.2">
      <c r="AC231" s="55" t="str">
        <f t="shared" si="9"/>
        <v/>
      </c>
      <c r="AD231" s="91" t="str">
        <f t="shared" si="10"/>
        <v/>
      </c>
      <c r="AE231" s="96" t="str">
        <f t="shared" si="11"/>
        <v/>
      </c>
    </row>
    <row r="232" spans="29:31" x14ac:dyDescent="0.2">
      <c r="AC232" s="55" t="str">
        <f t="shared" si="9"/>
        <v/>
      </c>
      <c r="AD232" s="91" t="str">
        <f t="shared" si="10"/>
        <v/>
      </c>
      <c r="AE232" s="96" t="str">
        <f t="shared" si="11"/>
        <v/>
      </c>
    </row>
    <row r="233" spans="29:31" x14ac:dyDescent="0.2">
      <c r="AC233" s="55" t="str">
        <f t="shared" si="9"/>
        <v/>
      </c>
      <c r="AD233" s="91" t="str">
        <f t="shared" si="10"/>
        <v/>
      </c>
      <c r="AE233" s="96" t="str">
        <f t="shared" si="11"/>
        <v/>
      </c>
    </row>
    <row r="234" spans="29:31" x14ac:dyDescent="0.2">
      <c r="AC234" s="55" t="str">
        <f t="shared" si="9"/>
        <v/>
      </c>
      <c r="AD234" s="91" t="str">
        <f t="shared" si="10"/>
        <v/>
      </c>
      <c r="AE234" s="96" t="str">
        <f t="shared" si="11"/>
        <v/>
      </c>
    </row>
    <row r="235" spans="29:31" x14ac:dyDescent="0.2">
      <c r="AC235" s="55" t="str">
        <f t="shared" si="9"/>
        <v/>
      </c>
      <c r="AD235" s="91" t="str">
        <f t="shared" si="10"/>
        <v/>
      </c>
      <c r="AE235" s="96" t="str">
        <f t="shared" si="11"/>
        <v/>
      </c>
    </row>
    <row r="236" spans="29:31" x14ac:dyDescent="0.2">
      <c r="AC236" s="55" t="str">
        <f t="shared" si="9"/>
        <v/>
      </c>
      <c r="AD236" s="91" t="str">
        <f t="shared" si="10"/>
        <v/>
      </c>
      <c r="AE236" s="96" t="str">
        <f t="shared" si="11"/>
        <v/>
      </c>
    </row>
    <row r="237" spans="29:31" x14ac:dyDescent="0.2">
      <c r="AC237" s="55" t="str">
        <f t="shared" si="9"/>
        <v/>
      </c>
      <c r="AD237" s="91" t="str">
        <f t="shared" si="10"/>
        <v/>
      </c>
      <c r="AE237" s="96" t="str">
        <f t="shared" si="11"/>
        <v/>
      </c>
    </row>
    <row r="238" spans="29:31" x14ac:dyDescent="0.2">
      <c r="AC238" s="55" t="str">
        <f t="shared" si="9"/>
        <v/>
      </c>
      <c r="AD238" s="91" t="str">
        <f t="shared" si="10"/>
        <v/>
      </c>
      <c r="AE238" s="96" t="str">
        <f t="shared" si="11"/>
        <v/>
      </c>
    </row>
    <row r="239" spans="29:31" x14ac:dyDescent="0.2">
      <c r="AC239" s="55" t="str">
        <f t="shared" si="9"/>
        <v/>
      </c>
      <c r="AD239" s="91" t="str">
        <f t="shared" si="10"/>
        <v/>
      </c>
      <c r="AE239" s="96" t="str">
        <f t="shared" si="11"/>
        <v/>
      </c>
    </row>
    <row r="240" spans="29:31" x14ac:dyDescent="0.2">
      <c r="AC240" s="55" t="str">
        <f t="shared" si="9"/>
        <v/>
      </c>
      <c r="AD240" s="91" t="str">
        <f t="shared" si="10"/>
        <v/>
      </c>
      <c r="AE240" s="96" t="str">
        <f t="shared" si="11"/>
        <v/>
      </c>
    </row>
    <row r="241" spans="29:31" x14ac:dyDescent="0.2">
      <c r="AC241" s="55" t="str">
        <f t="shared" si="9"/>
        <v/>
      </c>
      <c r="AD241" s="91" t="str">
        <f t="shared" si="10"/>
        <v/>
      </c>
      <c r="AE241" s="96" t="str">
        <f t="shared" si="11"/>
        <v/>
      </c>
    </row>
    <row r="242" spans="29:31" x14ac:dyDescent="0.2">
      <c r="AC242" s="55" t="str">
        <f t="shared" si="9"/>
        <v/>
      </c>
      <c r="AD242" s="91" t="str">
        <f t="shared" si="10"/>
        <v/>
      </c>
      <c r="AE242" s="96" t="str">
        <f t="shared" si="11"/>
        <v/>
      </c>
    </row>
    <row r="243" spans="29:31" x14ac:dyDescent="0.2">
      <c r="AC243" s="55" t="str">
        <f t="shared" si="9"/>
        <v/>
      </c>
      <c r="AD243" s="91" t="str">
        <f t="shared" si="10"/>
        <v/>
      </c>
      <c r="AE243" s="96" t="str">
        <f t="shared" si="11"/>
        <v/>
      </c>
    </row>
    <row r="244" spans="29:31" x14ac:dyDescent="0.2">
      <c r="AC244" s="55" t="str">
        <f t="shared" si="9"/>
        <v/>
      </c>
      <c r="AD244" s="91" t="str">
        <f t="shared" si="10"/>
        <v/>
      </c>
      <c r="AE244" s="96" t="str">
        <f t="shared" si="11"/>
        <v/>
      </c>
    </row>
    <row r="245" spans="29:31" x14ac:dyDescent="0.2">
      <c r="AC245" s="55" t="str">
        <f t="shared" si="9"/>
        <v/>
      </c>
      <c r="AD245" s="91" t="str">
        <f t="shared" si="10"/>
        <v/>
      </c>
      <c r="AE245" s="96" t="str">
        <f t="shared" si="11"/>
        <v/>
      </c>
    </row>
    <row r="246" spans="29:31" x14ac:dyDescent="0.2">
      <c r="AC246" s="55" t="str">
        <f t="shared" si="9"/>
        <v/>
      </c>
      <c r="AD246" s="91" t="str">
        <f t="shared" si="10"/>
        <v/>
      </c>
      <c r="AE246" s="96" t="str">
        <f t="shared" si="11"/>
        <v/>
      </c>
    </row>
    <row r="247" spans="29:31" x14ac:dyDescent="0.2">
      <c r="AC247" s="55" t="str">
        <f t="shared" si="9"/>
        <v/>
      </c>
      <c r="AD247" s="91" t="str">
        <f t="shared" si="10"/>
        <v/>
      </c>
      <c r="AE247" s="96" t="str">
        <f t="shared" si="11"/>
        <v/>
      </c>
    </row>
    <row r="248" spans="29:31" x14ac:dyDescent="0.2">
      <c r="AC248" s="55" t="str">
        <f t="shared" si="9"/>
        <v/>
      </c>
      <c r="AD248" s="91" t="str">
        <f t="shared" si="10"/>
        <v/>
      </c>
      <c r="AE248" s="96" t="str">
        <f t="shared" si="11"/>
        <v/>
      </c>
    </row>
    <row r="249" spans="29:31" x14ac:dyDescent="0.2">
      <c r="AC249" s="55" t="str">
        <f t="shared" si="9"/>
        <v/>
      </c>
      <c r="AD249" s="91" t="str">
        <f t="shared" si="10"/>
        <v/>
      </c>
      <c r="AE249" s="96" t="str">
        <f t="shared" si="11"/>
        <v/>
      </c>
    </row>
    <row r="250" spans="29:31" x14ac:dyDescent="0.2">
      <c r="AC250" s="55" t="str">
        <f t="shared" si="9"/>
        <v/>
      </c>
      <c r="AD250" s="91" t="str">
        <f t="shared" si="10"/>
        <v/>
      </c>
      <c r="AE250" s="96" t="str">
        <f t="shared" si="11"/>
        <v/>
      </c>
    </row>
    <row r="251" spans="29:31" x14ac:dyDescent="0.2">
      <c r="AC251" s="55" t="str">
        <f t="shared" si="9"/>
        <v/>
      </c>
      <c r="AD251" s="91" t="str">
        <f t="shared" si="10"/>
        <v/>
      </c>
      <c r="AE251" s="96" t="str">
        <f t="shared" si="11"/>
        <v/>
      </c>
    </row>
    <row r="252" spans="29:31" x14ac:dyDescent="0.2">
      <c r="AC252" s="55" t="str">
        <f t="shared" si="9"/>
        <v/>
      </c>
      <c r="AD252" s="91" t="str">
        <f t="shared" si="10"/>
        <v/>
      </c>
      <c r="AE252" s="96" t="str">
        <f t="shared" si="11"/>
        <v/>
      </c>
    </row>
    <row r="253" spans="29:31" x14ac:dyDescent="0.2">
      <c r="AC253" s="55" t="str">
        <f t="shared" si="9"/>
        <v/>
      </c>
      <c r="AD253" s="91" t="str">
        <f t="shared" si="10"/>
        <v/>
      </c>
      <c r="AE253" s="96" t="str">
        <f t="shared" si="11"/>
        <v/>
      </c>
    </row>
    <row r="254" spans="29:31" x14ac:dyDescent="0.2">
      <c r="AC254" s="55" t="str">
        <f t="shared" si="9"/>
        <v/>
      </c>
      <c r="AD254" s="91" t="str">
        <f t="shared" si="10"/>
        <v/>
      </c>
      <c r="AE254" s="96" t="str">
        <f t="shared" si="11"/>
        <v/>
      </c>
    </row>
    <row r="255" spans="29:31" x14ac:dyDescent="0.2">
      <c r="AC255" s="55" t="str">
        <f t="shared" si="9"/>
        <v/>
      </c>
      <c r="AD255" s="91" t="str">
        <f t="shared" si="10"/>
        <v/>
      </c>
      <c r="AE255" s="96" t="str">
        <f t="shared" si="11"/>
        <v/>
      </c>
    </row>
    <row r="256" spans="29:31" x14ac:dyDescent="0.2">
      <c r="AC256" s="55" t="str">
        <f t="shared" si="9"/>
        <v/>
      </c>
      <c r="AD256" s="91" t="str">
        <f t="shared" si="10"/>
        <v/>
      </c>
      <c r="AE256" s="96" t="str">
        <f t="shared" si="11"/>
        <v/>
      </c>
    </row>
    <row r="257" spans="29:31" x14ac:dyDescent="0.2">
      <c r="AC257" s="55" t="str">
        <f t="shared" si="9"/>
        <v/>
      </c>
      <c r="AD257" s="91" t="str">
        <f t="shared" si="10"/>
        <v/>
      </c>
      <c r="AE257" s="96" t="str">
        <f t="shared" si="11"/>
        <v/>
      </c>
    </row>
    <row r="258" spans="29:31" x14ac:dyDescent="0.2">
      <c r="AC258" s="55" t="str">
        <f t="shared" si="9"/>
        <v/>
      </c>
      <c r="AD258" s="91" t="str">
        <f t="shared" si="10"/>
        <v/>
      </c>
      <c r="AE258" s="96" t="str">
        <f t="shared" si="11"/>
        <v/>
      </c>
    </row>
    <row r="259" spans="29:31" x14ac:dyDescent="0.2">
      <c r="AC259" s="55" t="str">
        <f t="shared" ref="AC259:AC301" si="12">IF(ISBLANK(W258),"",W258)</f>
        <v/>
      </c>
      <c r="AD259" s="91" t="str">
        <f t="shared" ref="AD259:AD301" si="13">IF(ISBLANK(V258),"",V258)</f>
        <v/>
      </c>
      <c r="AE259" s="96" t="str">
        <f t="shared" ref="AE259:AE301" si="14">IF(ISBLANK(Z258),"",Z258)</f>
        <v/>
      </c>
    </row>
    <row r="260" spans="29:31" x14ac:dyDescent="0.2">
      <c r="AC260" s="55" t="str">
        <f t="shared" si="12"/>
        <v/>
      </c>
      <c r="AD260" s="91" t="str">
        <f t="shared" si="13"/>
        <v/>
      </c>
      <c r="AE260" s="96" t="str">
        <f t="shared" si="14"/>
        <v/>
      </c>
    </row>
    <row r="261" spans="29:31" x14ac:dyDescent="0.2">
      <c r="AC261" s="55" t="str">
        <f t="shared" si="12"/>
        <v/>
      </c>
      <c r="AD261" s="91" t="str">
        <f t="shared" si="13"/>
        <v/>
      </c>
      <c r="AE261" s="96" t="str">
        <f t="shared" si="14"/>
        <v/>
      </c>
    </row>
    <row r="262" spans="29:31" x14ac:dyDescent="0.2">
      <c r="AC262" s="55" t="str">
        <f t="shared" si="12"/>
        <v/>
      </c>
      <c r="AD262" s="91" t="str">
        <f t="shared" si="13"/>
        <v/>
      </c>
      <c r="AE262" s="96" t="str">
        <f t="shared" si="14"/>
        <v/>
      </c>
    </row>
    <row r="263" spans="29:31" x14ac:dyDescent="0.2">
      <c r="AC263" s="55" t="str">
        <f t="shared" si="12"/>
        <v/>
      </c>
      <c r="AD263" s="91" t="str">
        <f t="shared" si="13"/>
        <v/>
      </c>
      <c r="AE263" s="96" t="str">
        <f t="shared" si="14"/>
        <v/>
      </c>
    </row>
    <row r="264" spans="29:31" x14ac:dyDescent="0.2">
      <c r="AC264" s="55" t="str">
        <f t="shared" si="12"/>
        <v/>
      </c>
      <c r="AD264" s="91" t="str">
        <f t="shared" si="13"/>
        <v/>
      </c>
      <c r="AE264" s="96" t="str">
        <f t="shared" si="14"/>
        <v/>
      </c>
    </row>
    <row r="265" spans="29:31" x14ac:dyDescent="0.2">
      <c r="AC265" s="55" t="str">
        <f t="shared" si="12"/>
        <v/>
      </c>
      <c r="AD265" s="91" t="str">
        <f t="shared" si="13"/>
        <v/>
      </c>
      <c r="AE265" s="96" t="str">
        <f t="shared" si="14"/>
        <v/>
      </c>
    </row>
    <row r="266" spans="29:31" x14ac:dyDescent="0.2">
      <c r="AC266" s="55" t="str">
        <f t="shared" si="12"/>
        <v/>
      </c>
      <c r="AD266" s="91" t="str">
        <f t="shared" si="13"/>
        <v/>
      </c>
      <c r="AE266" s="96" t="str">
        <f t="shared" si="14"/>
        <v/>
      </c>
    </row>
    <row r="267" spans="29:31" x14ac:dyDescent="0.2">
      <c r="AC267" s="55" t="str">
        <f t="shared" si="12"/>
        <v/>
      </c>
      <c r="AD267" s="91" t="str">
        <f t="shared" si="13"/>
        <v/>
      </c>
      <c r="AE267" s="96" t="str">
        <f t="shared" si="14"/>
        <v/>
      </c>
    </row>
    <row r="268" spans="29:31" x14ac:dyDescent="0.2">
      <c r="AC268" s="55" t="str">
        <f t="shared" si="12"/>
        <v/>
      </c>
      <c r="AD268" s="91" t="str">
        <f t="shared" si="13"/>
        <v/>
      </c>
      <c r="AE268" s="96" t="str">
        <f t="shared" si="14"/>
        <v/>
      </c>
    </row>
    <row r="269" spans="29:31" x14ac:dyDescent="0.2">
      <c r="AC269" s="55" t="str">
        <f t="shared" si="12"/>
        <v/>
      </c>
      <c r="AD269" s="91" t="str">
        <f t="shared" si="13"/>
        <v/>
      </c>
      <c r="AE269" s="96" t="str">
        <f t="shared" si="14"/>
        <v/>
      </c>
    </row>
    <row r="270" spans="29:31" x14ac:dyDescent="0.2">
      <c r="AC270" s="55" t="str">
        <f t="shared" si="12"/>
        <v/>
      </c>
      <c r="AD270" s="91" t="str">
        <f t="shared" si="13"/>
        <v/>
      </c>
      <c r="AE270" s="96" t="str">
        <f t="shared" si="14"/>
        <v/>
      </c>
    </row>
    <row r="271" spans="29:31" x14ac:dyDescent="0.2">
      <c r="AC271" s="55" t="str">
        <f t="shared" si="12"/>
        <v/>
      </c>
      <c r="AD271" s="91" t="str">
        <f t="shared" si="13"/>
        <v/>
      </c>
      <c r="AE271" s="96" t="str">
        <f t="shared" si="14"/>
        <v/>
      </c>
    </row>
    <row r="272" spans="29:31" x14ac:dyDescent="0.2">
      <c r="AC272" s="55" t="str">
        <f t="shared" si="12"/>
        <v/>
      </c>
      <c r="AD272" s="91" t="str">
        <f t="shared" si="13"/>
        <v/>
      </c>
      <c r="AE272" s="96" t="str">
        <f t="shared" si="14"/>
        <v/>
      </c>
    </row>
    <row r="273" spans="29:31" x14ac:dyDescent="0.2">
      <c r="AC273" s="55" t="str">
        <f t="shared" si="12"/>
        <v/>
      </c>
      <c r="AD273" s="91" t="str">
        <f t="shared" si="13"/>
        <v/>
      </c>
      <c r="AE273" s="96" t="str">
        <f t="shared" si="14"/>
        <v/>
      </c>
    </row>
    <row r="274" spans="29:31" x14ac:dyDescent="0.2">
      <c r="AC274" s="55" t="str">
        <f t="shared" si="12"/>
        <v/>
      </c>
      <c r="AD274" s="91" t="str">
        <f t="shared" si="13"/>
        <v/>
      </c>
      <c r="AE274" s="96" t="str">
        <f t="shared" si="14"/>
        <v/>
      </c>
    </row>
    <row r="275" spans="29:31" x14ac:dyDescent="0.2">
      <c r="AC275" s="55" t="str">
        <f t="shared" si="12"/>
        <v/>
      </c>
      <c r="AD275" s="91" t="str">
        <f t="shared" si="13"/>
        <v/>
      </c>
      <c r="AE275" s="96" t="str">
        <f t="shared" si="14"/>
        <v/>
      </c>
    </row>
    <row r="276" spans="29:31" x14ac:dyDescent="0.2">
      <c r="AC276" s="55" t="str">
        <f t="shared" si="12"/>
        <v/>
      </c>
      <c r="AD276" s="91" t="str">
        <f t="shared" si="13"/>
        <v/>
      </c>
      <c r="AE276" s="96" t="str">
        <f t="shared" si="14"/>
        <v/>
      </c>
    </row>
    <row r="277" spans="29:31" x14ac:dyDescent="0.2">
      <c r="AC277" s="55" t="str">
        <f t="shared" si="12"/>
        <v/>
      </c>
      <c r="AD277" s="91" t="str">
        <f t="shared" si="13"/>
        <v/>
      </c>
      <c r="AE277" s="96" t="str">
        <f t="shared" si="14"/>
        <v/>
      </c>
    </row>
    <row r="278" spans="29:31" x14ac:dyDescent="0.2">
      <c r="AC278" s="55" t="str">
        <f t="shared" si="12"/>
        <v/>
      </c>
      <c r="AD278" s="91" t="str">
        <f t="shared" si="13"/>
        <v/>
      </c>
      <c r="AE278" s="96" t="str">
        <f t="shared" si="14"/>
        <v/>
      </c>
    </row>
    <row r="279" spans="29:31" x14ac:dyDescent="0.2">
      <c r="AC279" s="55" t="str">
        <f t="shared" si="12"/>
        <v/>
      </c>
      <c r="AD279" s="91" t="str">
        <f t="shared" si="13"/>
        <v/>
      </c>
      <c r="AE279" s="96" t="str">
        <f t="shared" si="14"/>
        <v/>
      </c>
    </row>
    <row r="280" spans="29:31" x14ac:dyDescent="0.2">
      <c r="AC280" s="55" t="str">
        <f t="shared" si="12"/>
        <v/>
      </c>
      <c r="AD280" s="91" t="str">
        <f t="shared" si="13"/>
        <v/>
      </c>
      <c r="AE280" s="96" t="str">
        <f t="shared" si="14"/>
        <v/>
      </c>
    </row>
    <row r="281" spans="29:31" x14ac:dyDescent="0.2">
      <c r="AC281" s="55" t="str">
        <f t="shared" si="12"/>
        <v/>
      </c>
      <c r="AD281" s="91" t="str">
        <f t="shared" si="13"/>
        <v/>
      </c>
      <c r="AE281" s="96" t="str">
        <f t="shared" si="14"/>
        <v/>
      </c>
    </row>
    <row r="282" spans="29:31" x14ac:dyDescent="0.2">
      <c r="AC282" s="55" t="str">
        <f t="shared" si="12"/>
        <v/>
      </c>
      <c r="AD282" s="91" t="str">
        <f t="shared" si="13"/>
        <v/>
      </c>
      <c r="AE282" s="96" t="str">
        <f t="shared" si="14"/>
        <v/>
      </c>
    </row>
    <row r="283" spans="29:31" x14ac:dyDescent="0.2">
      <c r="AC283" s="55" t="str">
        <f t="shared" si="12"/>
        <v/>
      </c>
      <c r="AD283" s="91" t="str">
        <f t="shared" si="13"/>
        <v/>
      </c>
      <c r="AE283" s="96" t="str">
        <f t="shared" si="14"/>
        <v/>
      </c>
    </row>
    <row r="284" spans="29:31" x14ac:dyDescent="0.2">
      <c r="AC284" s="55" t="str">
        <f t="shared" si="12"/>
        <v/>
      </c>
      <c r="AD284" s="91" t="str">
        <f t="shared" si="13"/>
        <v/>
      </c>
      <c r="AE284" s="96" t="str">
        <f t="shared" si="14"/>
        <v/>
      </c>
    </row>
    <row r="285" spans="29:31" x14ac:dyDescent="0.2">
      <c r="AC285" s="55" t="str">
        <f t="shared" si="12"/>
        <v/>
      </c>
      <c r="AD285" s="91" t="str">
        <f t="shared" si="13"/>
        <v/>
      </c>
      <c r="AE285" s="96" t="str">
        <f t="shared" si="14"/>
        <v/>
      </c>
    </row>
    <row r="286" spans="29:31" x14ac:dyDescent="0.2">
      <c r="AC286" s="55" t="str">
        <f t="shared" si="12"/>
        <v/>
      </c>
      <c r="AD286" s="91" t="str">
        <f t="shared" si="13"/>
        <v/>
      </c>
      <c r="AE286" s="96" t="str">
        <f t="shared" si="14"/>
        <v/>
      </c>
    </row>
    <row r="287" spans="29:31" x14ac:dyDescent="0.2">
      <c r="AC287" s="55" t="str">
        <f t="shared" si="12"/>
        <v/>
      </c>
      <c r="AD287" s="91" t="str">
        <f t="shared" si="13"/>
        <v/>
      </c>
      <c r="AE287" s="96" t="str">
        <f t="shared" si="14"/>
        <v/>
      </c>
    </row>
    <row r="288" spans="29:31" x14ac:dyDescent="0.2">
      <c r="AC288" s="55" t="str">
        <f t="shared" si="12"/>
        <v/>
      </c>
      <c r="AD288" s="91" t="str">
        <f t="shared" si="13"/>
        <v/>
      </c>
      <c r="AE288" s="96" t="str">
        <f t="shared" si="14"/>
        <v/>
      </c>
    </row>
    <row r="289" spans="29:31" x14ac:dyDescent="0.2">
      <c r="AC289" s="55" t="str">
        <f t="shared" si="12"/>
        <v/>
      </c>
      <c r="AD289" s="91" t="str">
        <f t="shared" si="13"/>
        <v/>
      </c>
      <c r="AE289" s="96" t="str">
        <f t="shared" si="14"/>
        <v/>
      </c>
    </row>
    <row r="290" spans="29:31" x14ac:dyDescent="0.2">
      <c r="AC290" s="55" t="str">
        <f t="shared" si="12"/>
        <v/>
      </c>
      <c r="AD290" s="91" t="str">
        <f t="shared" si="13"/>
        <v/>
      </c>
      <c r="AE290" s="96" t="str">
        <f t="shared" si="14"/>
        <v/>
      </c>
    </row>
    <row r="291" spans="29:31" x14ac:dyDescent="0.2">
      <c r="AC291" s="55" t="str">
        <f t="shared" si="12"/>
        <v/>
      </c>
      <c r="AD291" s="91" t="str">
        <f t="shared" si="13"/>
        <v/>
      </c>
      <c r="AE291" s="96" t="str">
        <f t="shared" si="14"/>
        <v/>
      </c>
    </row>
    <row r="292" spans="29:31" x14ac:dyDescent="0.2">
      <c r="AC292" s="55" t="str">
        <f t="shared" si="12"/>
        <v/>
      </c>
      <c r="AD292" s="91" t="str">
        <f t="shared" si="13"/>
        <v/>
      </c>
      <c r="AE292" s="96" t="str">
        <f t="shared" si="14"/>
        <v/>
      </c>
    </row>
    <row r="293" spans="29:31" x14ac:dyDescent="0.2">
      <c r="AC293" s="55" t="str">
        <f t="shared" si="12"/>
        <v/>
      </c>
      <c r="AD293" s="91" t="str">
        <f t="shared" si="13"/>
        <v/>
      </c>
      <c r="AE293" s="96" t="str">
        <f t="shared" si="14"/>
        <v/>
      </c>
    </row>
    <row r="294" spans="29:31" x14ac:dyDescent="0.2">
      <c r="AC294" s="55" t="str">
        <f t="shared" si="12"/>
        <v/>
      </c>
      <c r="AD294" s="91" t="str">
        <f t="shared" si="13"/>
        <v/>
      </c>
      <c r="AE294" s="96" t="str">
        <f t="shared" si="14"/>
        <v/>
      </c>
    </row>
    <row r="295" spans="29:31" x14ac:dyDescent="0.2">
      <c r="AC295" s="55" t="str">
        <f t="shared" si="12"/>
        <v/>
      </c>
      <c r="AD295" s="91" t="str">
        <f t="shared" si="13"/>
        <v/>
      </c>
      <c r="AE295" s="96" t="str">
        <f t="shared" si="14"/>
        <v/>
      </c>
    </row>
    <row r="296" spans="29:31" x14ac:dyDescent="0.2">
      <c r="AC296" s="55" t="str">
        <f t="shared" si="12"/>
        <v/>
      </c>
      <c r="AD296" s="91" t="str">
        <f t="shared" si="13"/>
        <v/>
      </c>
      <c r="AE296" s="96" t="str">
        <f t="shared" si="14"/>
        <v/>
      </c>
    </row>
    <row r="297" spans="29:31" x14ac:dyDescent="0.2">
      <c r="AC297" s="55" t="str">
        <f t="shared" si="12"/>
        <v/>
      </c>
      <c r="AD297" s="91" t="str">
        <f t="shared" si="13"/>
        <v/>
      </c>
      <c r="AE297" s="96" t="str">
        <f t="shared" si="14"/>
        <v/>
      </c>
    </row>
    <row r="298" spans="29:31" x14ac:dyDescent="0.2">
      <c r="AC298" s="55" t="str">
        <f t="shared" si="12"/>
        <v/>
      </c>
      <c r="AD298" s="91" t="str">
        <f t="shared" si="13"/>
        <v/>
      </c>
      <c r="AE298" s="96" t="str">
        <f t="shared" si="14"/>
        <v/>
      </c>
    </row>
    <row r="299" spans="29:31" x14ac:dyDescent="0.2">
      <c r="AC299" s="55" t="str">
        <f t="shared" si="12"/>
        <v/>
      </c>
      <c r="AD299" s="91" t="str">
        <f t="shared" si="13"/>
        <v/>
      </c>
      <c r="AE299" s="96" t="str">
        <f t="shared" si="14"/>
        <v/>
      </c>
    </row>
    <row r="300" spans="29:31" x14ac:dyDescent="0.2">
      <c r="AC300" s="55" t="str">
        <f t="shared" si="12"/>
        <v/>
      </c>
      <c r="AD300" s="91" t="str">
        <f t="shared" si="13"/>
        <v/>
      </c>
      <c r="AE300" s="96" t="str">
        <f t="shared" si="14"/>
        <v/>
      </c>
    </row>
    <row r="301" spans="29:31" x14ac:dyDescent="0.2">
      <c r="AC301" s="55" t="str">
        <f t="shared" si="12"/>
        <v/>
      </c>
      <c r="AD301" s="91" t="str">
        <f t="shared" si="13"/>
        <v/>
      </c>
      <c r="AE301" s="96" t="str">
        <f t="shared" si="14"/>
        <v/>
      </c>
    </row>
  </sheetData>
  <sheetProtection algorithmName="SHA-512" hashValue="vCztPMuv42NswUhfk7YwweWeFCZ6pBwJ7OOy+ihB08l5Ubk2ZtEIr0tvDSxuQ9FlODTh1m9GNBlFB+xm6JvGKQ==" saltValue="YbSPZBOk4S4+IMpi/vnB9A==" spinCount="100000" sheet="1" objects="1" scenarios="1" selectLockedCells="1"/>
  <dataConsolidate/>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1496" priority="2" stopIfTrue="1">
      <formula>AD2&lt;&gt;""</formula>
    </cfRule>
  </conditionalFormatting>
  <conditionalFormatting sqref="AC2:AD301">
    <cfRule type="cellIs" dxfId="1495" priority="3" stopIfTrue="1" operator="notEqual">
      <formula>""</formula>
    </cfRule>
  </conditionalFormatting>
  <conditionalFormatting sqref="AF3:AG302">
    <cfRule type="expression" dxfId="1494" priority="1">
      <formula>NOT(ISBLANK(AF3))</formula>
    </cfRule>
  </conditionalFormatting>
  <dataValidations disablePrompts="1" count="2">
    <dataValidation type="list" allowBlank="1" showErrorMessage="1" errorTitle="Invalid Release Name" error="You must select a Release Name from the provided list." sqref="D27">
      <formula1>OFFSET($V$1,0,0,$U$1)</formula1>
    </dataValidation>
    <dataValidation type="list" allowBlank="1" showInputMessage="1" showErrorMessage="1" sqref="U27">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disabled="1" autoFill="0" autoLine="0" r:id="rId5">
            <anchor moveWithCells="1" sizeWithCells="1">
              <from>
                <xdr:col>4</xdr:col>
                <xdr:colOff>428625</xdr:colOff>
                <xdr:row>26</xdr:row>
                <xdr:rowOff>38100</xdr:rowOff>
              </from>
              <to>
                <xdr:col>4</xdr:col>
                <xdr:colOff>1524000</xdr:colOff>
                <xdr:row>28</xdr:row>
                <xdr:rowOff>57150</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moveWithCells="1">
              <from>
                <xdr:col>2</xdr:col>
                <xdr:colOff>1038225</xdr:colOff>
                <xdr:row>27</xdr:row>
                <xdr:rowOff>9525</xdr:rowOff>
              </from>
              <to>
                <xdr:col>4</xdr:col>
                <xdr:colOff>76200</xdr:colOff>
                <xdr:row>28</xdr:row>
                <xdr:rowOff>9525</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r:id="rId9">
            <anchor moveWithCells="1">
              <from>
                <xdr:col>2</xdr:col>
                <xdr:colOff>523875</xdr:colOff>
                <xdr:row>29</xdr:row>
                <xdr:rowOff>114300</xdr:rowOff>
              </from>
              <to>
                <xdr:col>3</xdr:col>
                <xdr:colOff>809625</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r:id="rId11">
            <anchor moveWithCells="1">
              <from>
                <xdr:col>3</xdr:col>
                <xdr:colOff>876300</xdr:colOff>
                <xdr:row>29</xdr:row>
                <xdr:rowOff>114300</xdr:rowOff>
              </from>
              <to>
                <xdr:col>4</xdr:col>
                <xdr:colOff>495300</xdr:colOff>
                <xdr:row>32</xdr:row>
                <xdr:rowOff>85725</xdr:rowOff>
              </to>
            </anchor>
          </controlPr>
        </control>
      </mc:Choice>
      <mc:Fallback>
        <control shapeId="414826" r:id="rId10" name="cmdDeleteView"/>
      </mc:Fallback>
    </mc:AlternateContent>
    <mc:AlternateContent xmlns:mc="http://schemas.openxmlformats.org/markup-compatibility/2006">
      <mc:Choice Requires="x14">
        <control shapeId="414910" r:id="rId12" name="ckbxCheckerBOM">
          <controlPr defaultSize="0" autoLine="0" r:id="rId13">
            <anchor moveWithCells="1" sizeWithCells="1">
              <from>
                <xdr:col>4</xdr:col>
                <xdr:colOff>304800</xdr:colOff>
                <xdr:row>17</xdr:row>
                <xdr:rowOff>28575</xdr:rowOff>
              </from>
              <to>
                <xdr:col>4</xdr:col>
                <xdr:colOff>1428750</xdr:colOff>
                <xdr:row>18</xdr:row>
                <xdr:rowOff>85725</xdr:rowOff>
              </to>
            </anchor>
          </controlPr>
        </control>
      </mc:Choice>
      <mc:Fallback>
        <control shapeId="414910" r:id="rId12" name="ckbxCheckerBOM"/>
      </mc:Fallback>
    </mc:AlternateContent>
    <mc:AlternateContent xmlns:mc="http://schemas.openxmlformats.org/markup-compatibility/2006">
      <mc:Choice Requires="x14">
        <control shapeId="414927" r:id="rId14" name="cmdCreateSeq">
          <controlPr defaultSize="0" disabled="1" autoFill="0" autoLine="0" r:id="rId15">
            <anchor moveWithCells="1">
              <from>
                <xdr:col>2</xdr:col>
                <xdr:colOff>523875</xdr:colOff>
                <xdr:row>32</xdr:row>
                <xdr:rowOff>152400</xdr:rowOff>
              </from>
              <to>
                <xdr:col>3</xdr:col>
                <xdr:colOff>809625</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autoPict="0" r:id="rId17">
            <anchor moveWithCells="1" sizeWithCells="1">
              <from>
                <xdr:col>4</xdr:col>
                <xdr:colOff>304800</xdr:colOff>
                <xdr:row>19</xdr:row>
                <xdr:rowOff>123825</xdr:rowOff>
              </from>
              <to>
                <xdr:col>4</xdr:col>
                <xdr:colOff>1219200</xdr:colOff>
                <xdr:row>21</xdr:row>
                <xdr:rowOff>9525</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autoPict="0" r:id="rId19">
            <anchor moveWithCells="1" sizeWithCells="1">
              <from>
                <xdr:col>4</xdr:col>
                <xdr:colOff>304800</xdr:colOff>
                <xdr:row>20</xdr:row>
                <xdr:rowOff>142875</xdr:rowOff>
              </from>
              <to>
                <xdr:col>4</xdr:col>
                <xdr:colOff>1162050</xdr:colOff>
                <xdr:row>22</xdr:row>
                <xdr:rowOff>28575</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autoPict="0" r:id="rId21">
            <anchor moveWithCells="1">
              <from>
                <xdr:col>4</xdr:col>
                <xdr:colOff>304800</xdr:colOff>
                <xdr:row>22</xdr:row>
                <xdr:rowOff>0</xdr:rowOff>
              </from>
              <to>
                <xdr:col>4</xdr:col>
                <xdr:colOff>1409700</xdr:colOff>
                <xdr:row>23</xdr:row>
                <xdr:rowOff>57150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r:id="rId23">
            <anchor moveWithCells="1">
              <from>
                <xdr:col>3</xdr:col>
                <xdr:colOff>876300</xdr:colOff>
                <xdr:row>32</xdr:row>
                <xdr:rowOff>152400</xdr:rowOff>
              </from>
              <to>
                <xdr:col>4</xdr:col>
                <xdr:colOff>495300</xdr:colOff>
                <xdr:row>35</xdr:row>
                <xdr:rowOff>123825</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disabled="1" autoFill="0" autoLine="0" r:id="rId25">
            <anchor moveWithCells="1" sizeWithCells="1">
              <from>
                <xdr:col>4</xdr:col>
                <xdr:colOff>304800</xdr:colOff>
                <xdr:row>24</xdr:row>
                <xdr:rowOff>95250</xdr:rowOff>
              </from>
              <to>
                <xdr:col>4</xdr:col>
                <xdr:colOff>1628775</xdr:colOff>
                <xdr:row>26</xdr:row>
                <xdr:rowOff>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133350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57150</xdr:rowOff>
              </from>
              <to>
                <xdr:col>5</xdr:col>
                <xdr:colOff>85725</xdr:colOff>
                <xdr:row>23</xdr:row>
                <xdr:rowOff>66675</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257175</xdr:colOff>
                <xdr:row>16</xdr:row>
                <xdr:rowOff>76200</xdr:rowOff>
              </from>
              <to>
                <xdr:col>4</xdr:col>
                <xdr:colOff>161925</xdr:colOff>
                <xdr:row>21</xdr:row>
                <xdr:rowOff>66675</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9525</xdr:rowOff>
              </from>
              <to>
                <xdr:col>2</xdr:col>
                <xdr:colOff>990600</xdr:colOff>
                <xdr:row>18</xdr:row>
                <xdr:rowOff>57150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57150</xdr:rowOff>
              </from>
              <to>
                <xdr:col>2</xdr:col>
                <xdr:colOff>990600</xdr:colOff>
                <xdr:row>19</xdr:row>
                <xdr:rowOff>104775</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114300</xdr:rowOff>
              </from>
              <to>
                <xdr:col>2</xdr:col>
                <xdr:colOff>990600</xdr:colOff>
                <xdr:row>20</xdr:row>
                <xdr:rowOff>171450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885825</xdr:colOff>
                <xdr:row>17</xdr:row>
                <xdr:rowOff>9525</xdr:rowOff>
              </from>
              <to>
                <xdr:col>3</xdr:col>
                <xdr:colOff>866775</xdr:colOff>
                <xdr:row>18</xdr:row>
                <xdr:rowOff>57150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885825</xdr:colOff>
                <xdr:row>18</xdr:row>
                <xdr:rowOff>57150</xdr:rowOff>
              </from>
              <to>
                <xdr:col>3</xdr:col>
                <xdr:colOff>866775</xdr:colOff>
                <xdr:row>19</xdr:row>
                <xdr:rowOff>104775</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885825</xdr:colOff>
                <xdr:row>19</xdr:row>
                <xdr:rowOff>114300</xdr:rowOff>
              </from>
              <to>
                <xdr:col>3</xdr:col>
                <xdr:colOff>866775</xdr:colOff>
                <xdr:row>20</xdr:row>
                <xdr:rowOff>171450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762000</xdr:colOff>
                <xdr:row>17</xdr:row>
                <xdr:rowOff>9525</xdr:rowOff>
              </from>
              <to>
                <xdr:col>4</xdr:col>
                <xdr:colOff>76200</xdr:colOff>
                <xdr:row>18</xdr:row>
                <xdr:rowOff>57150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762000</xdr:colOff>
                <xdr:row>18</xdr:row>
                <xdr:rowOff>57150</xdr:rowOff>
              </from>
              <to>
                <xdr:col>4</xdr:col>
                <xdr:colOff>76200</xdr:colOff>
                <xdr:row>19</xdr:row>
                <xdr:rowOff>104775</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762000</xdr:colOff>
                <xdr:row>19</xdr:row>
                <xdr:rowOff>114300</xdr:rowOff>
              </from>
              <to>
                <xdr:col>4</xdr:col>
                <xdr:colOff>76200</xdr:colOff>
                <xdr:row>20</xdr:row>
                <xdr:rowOff>171450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85725</xdr:colOff>
                <xdr:row>28</xdr:row>
                <xdr:rowOff>152400</xdr:rowOff>
              </to>
            </anchor>
          </controlPr>
        </control>
      </mc:Choice>
    </mc:AlternateContent>
  </controls>
</worksheet>
</file>

<file path=xl/worksheets/sheet19.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63">
    <x:tabColor indexed="10"/>
  </x:sheetPr>
  <x:dimension ref="A1:H65"/>
  <x:sheetViews>
    <x:sheetView showGridLines="0" zoomScaleNormal="100" workbookViewId="0">
      <x:selection activeCell="A28" sqref="A28"/>
    </x:sheetView>
  </x:sheetViews>
  <x:sheetFormatPr defaultRowHeight="12.75" x14ac:dyDescent="0.2"/>
  <x:cols>
    <x:col min="1" max="1" width="10.7109375" style="2" customWidth="1"/>
    <x:col min="2" max="2" width="10.28515625" style="2" customWidth="1"/>
    <x:col min="3" max="3" width="32.7109375" style="2" customWidth="1"/>
    <x:col min="4" max="4" width="13.7109375" style="2" customWidth="1"/>
    <x:col min="5" max="5" width="10.7109375" style="2" customWidth="1"/>
    <x:col min="6" max="6" width="6.7109375" style="2" customWidth="1"/>
    <x:col min="7" max="7" width="7.28515625" style="2" customWidth="1"/>
    <x:col min="8" max="8" width="10.7109375" style="2" customWidth="1"/>
    <x:col min="9" max="16384" width="9.140625" style="2"/>
  </x:cols>
  <x:sheetData>
    <x:row r="1" spans="1:8" s="19" customFormat="1" ht="39.950000000000003" customHeight="1" x14ac:dyDescent="0.3">
      <x:c r="A1" s="662" t="s">
        <x:v>44</x:v>
      </x:c>
      <x:c r="B1" s="444"/>
      <x:c r="C1" s="444"/>
      <x:c r="D1" s="444"/>
      <x:c r="E1" s="1836" t="s">
        <x:v>20</x:v>
      </x:c>
      <x:c r="F1" s="2223">
        <x:f>IF(ISBLANK('Job Info.'!D8),"",'Job Info.'!D8)</x:f>
        <x:v>43406</x:v>
      </x:c>
      <x:c r="G1" s="2223"/>
      <x:c r="H1" s="444"/>
    </x:row>
    <x:row r="2" spans="1:8" ht="39.950000000000003" customHeight="1" x14ac:dyDescent="0.2">
      <x:c r="A2" s="20" t="s">
        <x:v>42</x:v>
      </x:c>
      <x:c r="B2" s="473"/>
      <x:c r="C2" s="473"/>
      <x:c r="D2" s="444"/>
      <x:c r="E2" s="1835" t="s">
        <x:v>21</x:v>
      </x:c>
      <x:c r="F2" s="663">
        <x:v>1</x:v>
      </x:c>
      <x:c r="G2" s="663">
        <x:v>7</x:v>
      </x:c>
      <x:c r="H2" s="473"/>
    </x:row>
    <x:row r="3" spans="1:8" ht="6" customHeight="1" x14ac:dyDescent="0.2">
      <x:c r="A3" s="473"/>
      <x:c r="B3" s="473"/>
      <x:c r="C3" s="473"/>
      <x:c r="D3" s="473"/>
      <x:c r="E3" s="473"/>
      <x:c r="F3" s="473"/>
      <x:c r="G3" s="473"/>
      <x:c r="H3" s="473"/>
    </x:row>
    <x:row r="4" spans="1:8" ht="15.95" customHeight="1" x14ac:dyDescent="0.2">
      <x:c r="A4" s="1830" t="s">
        <x:v>1</x:v>
      </x:c>
      <x:c r="B4" s="2225" t="str">
        <x:f>IF(ISBLANK('Job Info.'!D3),"",'Job Info.'!D3)</x:f>
        <x:v>SUNPOINT CROSSING</x:v>
      </x:c>
      <x:c r="C4" s="2226"/>
      <x:c r="D4" s="1830" t="s">
        <x:v>2</x:v>
      </x:c>
      <x:c r="E4" s="2225" t="str">
        <x:f>IF(ISBLANK('Job Info.'!D5),"",'Job Info.'!D5)</x:f>
        <x:v>9118-0062</x:v>
      </x:c>
      <x:c r="F4" s="2225"/>
      <x:c r="G4" s="2225"/>
      <x:c r="H4" s="2226"/>
    </x:row>
    <x:row r="5" spans="1:8" ht="15.95" customHeight="1" x14ac:dyDescent="0.2">
      <x:c r="A5" s="1830" t="s">
        <x:v>3</x:v>
      </x:c>
      <x:c r="B5" s="2225" t="str">
        <x:f>IF(ISBLANK('Job Info.'!D4),"",'Job Info.'!D4)</x:f>
        <x:v>LAS VEGAS, NV</x:v>
      </x:c>
      <x:c r="C5" s="2226"/>
      <x:c r="D5" s="1830" t="s">
        <x:v>22</x:v>
      </x:c>
      <x:c r="E5" s="1823" t="str">
        <x:f>IF(ISBLANK('Job Info.'!D6),"",'Job Info.'!D6)</x:f>
        <x:v>CJA</x:v>
      </x:c>
      <x:c r="F5" s="286"/>
      <x:c r="G5" s="1825" t="s">
        <x:v>23</x:v>
      </x:c>
      <x:c r="H5" s="1823" t="str">
        <x:f>IF(ISBLANK('Job Info.'!D7),"",'Job Info.'!D7)</x:f>
        <x:v>LS</x:v>
      </x:c>
    </x:row>
    <x:row r="6" spans="1:8" ht="6" customHeight="1" x14ac:dyDescent="0.2">
      <x:c r="A6" s="473"/>
      <x:c r="B6" s="473"/>
      <x:c r="C6" s="473"/>
      <x:c r="D6" s="473"/>
      <x:c r="E6" s="473"/>
      <x:c r="F6" s="473"/>
      <x:c r="G6" s="473"/>
      <x:c r="H6" s="473"/>
    </x:row>
    <x:row r="7" spans="1:8" s="23" customFormat="1" ht="15.95" customHeight="1" x14ac:dyDescent="0.2">
      <x:c r="A7" s="1821" t="s">
        <x:v>30</x:v>
      </x:c>
      <x:c r="B7" s="2224" t="s">
        <x:v>15</x:v>
      </x:c>
      <x:c r="C7" s="2224"/>
      <x:c r="D7" s="2224"/>
      <x:c r="E7" s="2224"/>
      <x:c r="F7" s="2224"/>
      <x:c r="G7" s="2224"/>
      <x:c r="H7" s="2224"/>
    </x:row>
    <x:row r="8" spans="1:8" ht="15" customHeight="1" x14ac:dyDescent="0.2">
      <x:c r="A8" s="1350">
        <x:v>1</x:v>
      </x:c>
      <x:c r="B8" s="2222" t="s">
        <x:v>1982</x:v>
      </x:c>
      <x:c r="C8" s="2222"/>
      <x:c r="D8" s="2222"/>
      <x:c r="E8" s="2222"/>
      <x:c r="F8" s="2222"/>
      <x:c r="G8" s="2222"/>
      <x:c r="H8" s="2222"/>
    </x:row>
    <x:row r="9" spans="1:8" ht="15" customHeight="1" x14ac:dyDescent="0.2">
      <x:c r="A9" s="1352">
        <x:v>2</x:v>
      </x:c>
      <x:c r="B9" s="2220" t="s">
        <x:v>1983</x:v>
      </x:c>
      <x:c r="C9" s="2220"/>
      <x:c r="D9" s="2220"/>
      <x:c r="E9" s="2220"/>
      <x:c r="F9" s="2220"/>
      <x:c r="G9" s="2220"/>
      <x:c r="H9" s="2220"/>
    </x:row>
    <x:row r="10" spans="1:8" ht="15" customHeight="1" x14ac:dyDescent="0.2">
      <x:c r="A10" s="1352">
        <x:v>3</x:v>
      </x:c>
      <x:c r="B10" s="2220" t="s">
        <x:v>1984</x:v>
      </x:c>
      <x:c r="C10" s="2220"/>
      <x:c r="D10" s="2220"/>
      <x:c r="E10" s="2220"/>
      <x:c r="F10" s="2220"/>
      <x:c r="G10" s="2220"/>
      <x:c r="H10" s="2220"/>
    </x:row>
    <x:row r="11" spans="1:8" ht="15" customHeight="1" x14ac:dyDescent="0.2">
      <x:c r="A11" s="1352">
        <x:v>4</x:v>
      </x:c>
      <x:c r="B11" s="2220" t="s">
        <x:v>1985</x:v>
      </x:c>
      <x:c r="C11" s="2220"/>
      <x:c r="D11" s="2220"/>
      <x:c r="E11" s="2220"/>
      <x:c r="F11" s="2220"/>
      <x:c r="G11" s="2220"/>
      <x:c r="H11" s="2220"/>
    </x:row>
    <x:row r="12" spans="1:8" ht="15" customHeight="1" x14ac:dyDescent="0.2">
      <x:c r="A12" s="1352">
        <x:v>5</x:v>
      </x:c>
      <x:c r="B12" s="2220" t="s">
        <x:v>1986</x:v>
      </x:c>
      <x:c r="C12" s="2220"/>
      <x:c r="D12" s="2220"/>
      <x:c r="E12" s="2220"/>
      <x:c r="F12" s="2220"/>
      <x:c r="G12" s="2220"/>
      <x:c r="H12" s="2220"/>
    </x:row>
    <x:row r="13" spans="1:8" ht="15" customHeight="1" x14ac:dyDescent="0.2">
      <x:c r="A13" s="1352"/>
      <x:c r="B13" s="2220" t="s">
        <x:v>1987</x:v>
      </x:c>
      <x:c r="C13" s="2220"/>
      <x:c r="D13" s="2220"/>
      <x:c r="E13" s="2220"/>
      <x:c r="F13" s="2220"/>
      <x:c r="G13" s="2220"/>
      <x:c r="H13" s="2220"/>
    </x:row>
    <x:row r="14" spans="1:8" ht="15" customHeight="1" x14ac:dyDescent="0.2">
      <x:c r="A14" s="1352">
        <x:v>6</x:v>
      </x:c>
      <x:c r="B14" s="2220" t="s">
        <x:v>1988</x:v>
      </x:c>
      <x:c r="C14" s="2220"/>
      <x:c r="D14" s="2220"/>
      <x:c r="E14" s="2220"/>
      <x:c r="F14" s="2220"/>
      <x:c r="G14" s="2220"/>
      <x:c r="H14" s="2220"/>
    </x:row>
    <x:row r="15" spans="1:8" ht="15" customHeight="1" x14ac:dyDescent="0.2">
      <x:c r="A15" s="1352">
        <x:v>7</x:v>
      </x:c>
      <x:c r="B15" s="2220" t="s">
        <x:v>1989</x:v>
      </x:c>
      <x:c r="C15" s="2220"/>
      <x:c r="D15" s="2220"/>
      <x:c r="E15" s="2220"/>
      <x:c r="F15" s="2220"/>
      <x:c r="G15" s="2220"/>
      <x:c r="H15" s="2220"/>
    </x:row>
    <x:row r="16" spans="1:8" ht="15" customHeight="1" x14ac:dyDescent="0.2">
      <x:c r="A16" s="1352">
        <x:v>8</x:v>
      </x:c>
      <x:c r="B16" s="2220" t="s">
        <x:v>1990</x:v>
      </x:c>
      <x:c r="C16" s="2220"/>
      <x:c r="D16" s="2220"/>
      <x:c r="E16" s="2220"/>
      <x:c r="F16" s="2220"/>
      <x:c r="G16" s="2220"/>
      <x:c r="H16" s="2220"/>
    </x:row>
    <x:row r="17" spans="1:8" ht="15" customHeight="1" x14ac:dyDescent="0.2">
      <x:c r="A17" s="1352">
        <x:v>9</x:v>
      </x:c>
      <x:c r="B17" s="2220" t="s">
        <x:v>1991</x:v>
      </x:c>
      <x:c r="C17" s="2220"/>
      <x:c r="D17" s="2220"/>
      <x:c r="E17" s="2220"/>
      <x:c r="F17" s="2220"/>
      <x:c r="G17" s="2220"/>
      <x:c r="H17" s="2220"/>
    </x:row>
    <x:row r="18" spans="1:8" ht="15" customHeight="1" x14ac:dyDescent="0.2">
      <x:c r="A18" s="1352"/>
      <x:c r="B18" s="2220" t="s">
        <x:v>1992</x:v>
      </x:c>
      <x:c r="C18" s="2220"/>
      <x:c r="D18" s="2220"/>
      <x:c r="E18" s="2220"/>
      <x:c r="F18" s="2220"/>
      <x:c r="G18" s="2220"/>
      <x:c r="H18" s="2220"/>
    </x:row>
    <x:row r="19" spans="1:8" ht="15" customHeight="1" x14ac:dyDescent="0.2">
      <x:c r="A19" s="1352">
        <x:v>10</x:v>
      </x:c>
      <x:c r="B19" s="2220" t="s">
        <x:v>1993</x:v>
      </x:c>
      <x:c r="C19" s="2220"/>
      <x:c r="D19" s="2220"/>
      <x:c r="E19" s="2220"/>
      <x:c r="F19" s="2220"/>
      <x:c r="G19" s="2220"/>
      <x:c r="H19" s="2220"/>
    </x:row>
    <x:row r="20" spans="1:8" ht="15" customHeight="1" x14ac:dyDescent="0.2">
      <x:c r="A20" s="1352">
        <x:v>11</x:v>
      </x:c>
      <x:c r="B20" s="2220" t="s">
        <x:v>1994</x:v>
      </x:c>
      <x:c r="C20" s="2220"/>
      <x:c r="D20" s="2220"/>
      <x:c r="E20" s="2220"/>
      <x:c r="F20" s="2220"/>
      <x:c r="G20" s="2220"/>
      <x:c r="H20" s="2220"/>
    </x:row>
    <x:row r="21" spans="1:8" ht="15" customHeight="1" x14ac:dyDescent="0.2">
      <x:c r="A21" s="1352">
        <x:v>12</x:v>
      </x:c>
      <x:c r="B21" s="2220" t="s">
        <x:v>1995</x:v>
      </x:c>
      <x:c r="C21" s="2220"/>
      <x:c r="D21" s="2220"/>
      <x:c r="E21" s="2220"/>
      <x:c r="F21" s="2220"/>
      <x:c r="G21" s="2220"/>
      <x:c r="H21" s="2220"/>
    </x:row>
    <x:row r="22" spans="1:8" ht="15" customHeight="1" x14ac:dyDescent="0.2">
      <x:c r="A22" s="1352" t="s">
        <x:v>1650</x:v>
      </x:c>
      <x:c r="B22" s="2220" t="s">
        <x:v>2331</x:v>
      </x:c>
      <x:c r="C22" s="2220"/>
      <x:c r="D22" s="2220"/>
      <x:c r="E22" s="2220"/>
      <x:c r="F22" s="2220"/>
      <x:c r="G22" s="2220"/>
      <x:c r="H22" s="2220"/>
    </x:row>
    <x:row r="23" spans="1:8" ht="15" customHeight="1" x14ac:dyDescent="0.2">
      <x:c r="A23" s="1352"/>
      <x:c r="B23" s="2220"/>
      <x:c r="C23" s="2220"/>
      <x:c r="D23" s="2220"/>
      <x:c r="E23" s="2220"/>
      <x:c r="F23" s="2220"/>
      <x:c r="G23" s="2220"/>
      <x:c r="H23" s="2220"/>
    </x:row>
    <x:row r="24" spans="1:8" ht="15" customHeight="1" x14ac:dyDescent="0.2">
      <x:c r="A24" s="1352"/>
      <x:c r="B24" s="2220"/>
      <x:c r="C24" s="2220"/>
      <x:c r="D24" s="2220"/>
      <x:c r="E24" s="2220"/>
      <x:c r="F24" s="2220"/>
      <x:c r="G24" s="2220"/>
      <x:c r="H24" s="2220"/>
    </x:row>
    <x:row r="25" spans="1:8" ht="15" customHeight="1" x14ac:dyDescent="0.2">
      <x:c r="A25" s="1352"/>
      <x:c r="B25" s="2220"/>
      <x:c r="C25" s="2220"/>
      <x:c r="D25" s="2220"/>
      <x:c r="E25" s="2220"/>
      <x:c r="F25" s="2220"/>
      <x:c r="G25" s="2220"/>
      <x:c r="H25" s="2220"/>
    </x:row>
    <x:row r="26" spans="1:8" ht="15" customHeight="1" x14ac:dyDescent="0.2">
      <x:c r="A26" s="1352"/>
      <x:c r="B26" s="2220"/>
      <x:c r="C26" s="2220"/>
      <x:c r="D26" s="2220"/>
      <x:c r="E26" s="2220"/>
      <x:c r="F26" s="2220"/>
      <x:c r="G26" s="2220"/>
      <x:c r="H26" s="2220"/>
    </x:row>
    <x:row r="27" spans="1:8" ht="15" customHeight="1" x14ac:dyDescent="0.2">
      <x:c r="A27" s="1352"/>
      <x:c r="B27" s="2220"/>
      <x:c r="C27" s="2220"/>
      <x:c r="D27" s="2220"/>
      <x:c r="E27" s="2220"/>
      <x:c r="F27" s="2220"/>
      <x:c r="G27" s="2220"/>
      <x:c r="H27" s="2220"/>
    </x:row>
    <x:row r="28" spans="1:8" ht="15" customHeight="1" x14ac:dyDescent="0.2">
      <x:c r="A28" s="1352"/>
      <x:c r="B28" s="2220"/>
      <x:c r="C28" s="2220"/>
      <x:c r="D28" s="2220"/>
      <x:c r="E28" s="2220"/>
      <x:c r="F28" s="2220"/>
      <x:c r="G28" s="2220"/>
      <x:c r="H28" s="2220"/>
    </x:row>
    <x:row r="29" spans="1:8" ht="15" customHeight="1" x14ac:dyDescent="0.2">
      <x:c r="A29" s="1352"/>
      <x:c r="B29" s="2220"/>
      <x:c r="C29" s="2220"/>
      <x:c r="D29" s="2220"/>
      <x:c r="E29" s="2220"/>
      <x:c r="F29" s="2220"/>
      <x:c r="G29" s="2220"/>
      <x:c r="H29" s="2220"/>
    </x:row>
    <x:row r="30" spans="1:8" ht="15" customHeight="1" x14ac:dyDescent="0.2">
      <x:c r="A30" s="1352"/>
      <x:c r="B30" s="2220"/>
      <x:c r="C30" s="2220"/>
      <x:c r="D30" s="2220"/>
      <x:c r="E30" s="2220"/>
      <x:c r="F30" s="2220"/>
      <x:c r="G30" s="2220"/>
      <x:c r="H30" s="2220"/>
    </x:row>
    <x:row r="31" spans="1:8" ht="15" customHeight="1" x14ac:dyDescent="0.2">
      <x:c r="A31" s="1352"/>
      <x:c r="B31" s="2220"/>
      <x:c r="C31" s="2220"/>
      <x:c r="D31" s="2220"/>
      <x:c r="E31" s="2220"/>
      <x:c r="F31" s="2220"/>
      <x:c r="G31" s="2220"/>
      <x:c r="H31" s="2220"/>
    </x:row>
    <x:row r="32" spans="1:8" ht="15" customHeight="1" x14ac:dyDescent="0.2">
      <x:c r="A32" s="1352"/>
      <x:c r="B32" s="2220"/>
      <x:c r="C32" s="2220"/>
      <x:c r="D32" s="2220"/>
      <x:c r="E32" s="2220"/>
      <x:c r="F32" s="2220"/>
      <x:c r="G32" s="2220"/>
      <x:c r="H32" s="2220"/>
    </x:row>
    <x:row r="33" spans="1:8" ht="15" customHeight="1" x14ac:dyDescent="0.2">
      <x:c r="A33" s="1352"/>
      <x:c r="B33" s="2220"/>
      <x:c r="C33" s="2220"/>
      <x:c r="D33" s="2220"/>
      <x:c r="E33" s="2220"/>
      <x:c r="F33" s="2220"/>
      <x:c r="G33" s="2220"/>
      <x:c r="H33" s="2220"/>
    </x:row>
    <x:row r="34" spans="1:8" ht="15" customHeight="1" x14ac:dyDescent="0.2">
      <x:c r="A34" s="1352"/>
      <x:c r="B34" s="2220"/>
      <x:c r="C34" s="2220"/>
      <x:c r="D34" s="2220"/>
      <x:c r="E34" s="2220"/>
      <x:c r="F34" s="2220"/>
      <x:c r="G34" s="2220"/>
      <x:c r="H34" s="2220"/>
    </x:row>
    <x:row r="35" spans="1:8" ht="15" customHeight="1" x14ac:dyDescent="0.2">
      <x:c r="A35" s="1352"/>
      <x:c r="B35" s="2220"/>
      <x:c r="C35" s="2220"/>
      <x:c r="D35" s="2220"/>
      <x:c r="E35" s="2220"/>
      <x:c r="F35" s="2220"/>
      <x:c r="G35" s="2220"/>
      <x:c r="H35" s="2220"/>
    </x:row>
    <x:row r="36" spans="1:8" ht="15" customHeight="1" x14ac:dyDescent="0.2">
      <x:c r="A36" s="1352"/>
      <x:c r="B36" s="2220"/>
      <x:c r="C36" s="2220"/>
      <x:c r="D36" s="2220"/>
      <x:c r="E36" s="2220"/>
      <x:c r="F36" s="2220"/>
      <x:c r="G36" s="2220"/>
      <x:c r="H36" s="2220"/>
    </x:row>
    <x:row r="37" spans="1:8" ht="15" customHeight="1" x14ac:dyDescent="0.2">
      <x:c r="A37" s="1352"/>
      <x:c r="B37" s="2220"/>
      <x:c r="C37" s="2220"/>
      <x:c r="D37" s="2220"/>
      <x:c r="E37" s="2220"/>
      <x:c r="F37" s="2220"/>
      <x:c r="G37" s="2220"/>
      <x:c r="H37" s="2220"/>
    </x:row>
    <x:row r="38" spans="1:8" ht="15" customHeight="1" x14ac:dyDescent="0.2">
      <x:c r="A38" s="1352"/>
      <x:c r="B38" s="2220"/>
      <x:c r="C38" s="2220"/>
      <x:c r="D38" s="2220"/>
      <x:c r="E38" s="2220"/>
      <x:c r="F38" s="2220"/>
      <x:c r="G38" s="2220"/>
      <x:c r="H38" s="2220"/>
    </x:row>
    <x:row r="39" spans="1:8" ht="15" customHeight="1" x14ac:dyDescent="0.2">
      <x:c r="A39" s="1352"/>
      <x:c r="B39" s="2220"/>
      <x:c r="C39" s="2220"/>
      <x:c r="D39" s="2220"/>
      <x:c r="E39" s="2220"/>
      <x:c r="F39" s="2220"/>
      <x:c r="G39" s="2220"/>
      <x:c r="H39" s="2220"/>
    </x:row>
    <x:row r="40" spans="1:8" ht="15" customHeight="1" x14ac:dyDescent="0.2">
      <x:c r="A40" s="1352"/>
      <x:c r="B40" s="2220"/>
      <x:c r="C40" s="2220"/>
      <x:c r="D40" s="2220"/>
      <x:c r="E40" s="2220"/>
      <x:c r="F40" s="2220"/>
      <x:c r="G40" s="2220"/>
      <x:c r="H40" s="2220"/>
    </x:row>
    <x:row r="41" spans="1:8" ht="15" customHeight="1" x14ac:dyDescent="0.2">
      <x:c r="A41" s="1352"/>
      <x:c r="B41" s="2220"/>
      <x:c r="C41" s="2220"/>
      <x:c r="D41" s="2220"/>
      <x:c r="E41" s="2220"/>
      <x:c r="F41" s="2220"/>
      <x:c r="G41" s="2220"/>
      <x:c r="H41" s="2220"/>
    </x:row>
    <x:row r="42" spans="1:8" ht="15" customHeight="1" x14ac:dyDescent="0.2">
      <x:c r="A42" s="1352"/>
      <x:c r="B42" s="2220"/>
      <x:c r="C42" s="2220"/>
      <x:c r="D42" s="2220"/>
      <x:c r="E42" s="2220"/>
      <x:c r="F42" s="2220"/>
      <x:c r="G42" s="2220"/>
      <x:c r="H42" s="2220"/>
    </x:row>
    <x:row r="43" spans="1:8" ht="15" customHeight="1" x14ac:dyDescent="0.2">
      <x:c r="A43" s="1352"/>
      <x:c r="B43" s="2220"/>
      <x:c r="C43" s="2220"/>
      <x:c r="D43" s="2220"/>
      <x:c r="E43" s="2220"/>
      <x:c r="F43" s="2220"/>
      <x:c r="G43" s="2220"/>
      <x:c r="H43" s="2220"/>
    </x:row>
    <x:row r="44" spans="1:8" ht="15" customHeight="1" x14ac:dyDescent="0.2">
      <x:c r="A44" s="1352"/>
      <x:c r="B44" s="2220"/>
      <x:c r="C44" s="2220"/>
      <x:c r="D44" s="2220"/>
      <x:c r="E44" s="2220"/>
      <x:c r="F44" s="2220"/>
      <x:c r="G44" s="2220"/>
      <x:c r="H44" s="2220"/>
    </x:row>
    <x:row r="45" spans="1:8" ht="15" customHeight="1" x14ac:dyDescent="0.2">
      <x:c r="A45" s="1352"/>
      <x:c r="B45" s="2220"/>
      <x:c r="C45" s="2220"/>
      <x:c r="D45" s="2220"/>
      <x:c r="E45" s="2220"/>
      <x:c r="F45" s="2220"/>
      <x:c r="G45" s="2220"/>
      <x:c r="H45" s="2220"/>
    </x:row>
    <x:row r="46" spans="1:8" ht="15" customHeight="1" x14ac:dyDescent="0.2">
      <x:c r="A46" s="1352"/>
      <x:c r="B46" s="2220"/>
      <x:c r="C46" s="2220"/>
      <x:c r="D46" s="2220"/>
      <x:c r="E46" s="2220"/>
      <x:c r="F46" s="2220"/>
      <x:c r="G46" s="2220"/>
      <x:c r="H46" s="2220"/>
    </x:row>
    <x:row r="47" spans="1:8" ht="15" customHeight="1" x14ac:dyDescent="0.2">
      <x:c r="A47" s="1355"/>
      <x:c r="B47" s="2221"/>
      <x:c r="C47" s="2221"/>
      <x:c r="D47" s="2221"/>
      <x:c r="E47" s="2221"/>
      <x:c r="F47" s="2221"/>
      <x:c r="G47" s="2221"/>
      <x:c r="H47" s="2221"/>
    </x:row>
    <x:row r="59" spans="1:1" x14ac:dyDescent="0.2">
      <x:c r="A59" s="973" t="s">
        <x:v>1062</x:v>
      </x:c>
    </x:row>
    <x:row r="60" spans="1:1" hidden="1" x14ac:dyDescent="0.2">
      <x:c r="A60" s="1128" t="s">
        <x:v>1061</x:v>
      </x:c>
    </x:row>
    <x:row r="61" spans="1:1" hidden="1" x14ac:dyDescent="0.2">
      <x:c r="A61" s="1130"/>
    </x:row>
    <x:row r="62" spans="1:1" hidden="1" x14ac:dyDescent="0.2"/>
    <x:row r="63" spans="1:1" hidden="1" x14ac:dyDescent="0.2"/>
    <x:row r="64" spans="1:1" hidden="1" x14ac:dyDescent="0.2"/>
    <x:row r="65" spans="1:1" x14ac:dyDescent="0.2">
      <x:c r="A65" s="973" t="s">
        <x:v>1063</x:v>
      </x:c>
    </x:row>
  </x:sheetData>
  <x:sheetProtection algorithmName="SHA-512" hashValue="JHGoTNq1v5S6pnmbhXMhcAPSOL23EFl8p63x+z1rfmEEbEBdokpcRxDmcnM3EzwrNegTXxcx6CsKOPs2fkV9Kg==" saltValue="AKUVhaAOyQnbyppby1ksAQ==" spinCount="100000" sheet="1" objects="1" scenarios="1" selectLockedCells="1"/>
  <x:dataConsolidate link="1"/>
  <x:mergeCells count="45">
    <x:mergeCell ref="B14:H14"/>
    <x:mergeCell ref="F1:G1"/>
    <x:mergeCell ref="B4:C4"/>
    <x:mergeCell ref="E4:H4"/>
    <x:mergeCell ref="B5:C5"/>
    <x:mergeCell ref="B7:H7"/>
    <x:mergeCell ref="B8:H8"/>
    <x:mergeCell ref="B9:H9"/>
    <x:mergeCell ref="B10:H10"/>
    <x:mergeCell ref="B11:H11"/>
    <x:mergeCell ref="B12:H12"/>
    <x:mergeCell ref="B13:H13"/>
    <x:mergeCell ref="B26:H26"/>
    <x:mergeCell ref="B15:H15"/>
    <x:mergeCell ref="B16:H16"/>
    <x:mergeCell ref="B17:H17"/>
    <x:mergeCell ref="B18:H18"/>
    <x:mergeCell ref="B19:H19"/>
    <x:mergeCell ref="B20:H20"/>
    <x:mergeCell ref="B21:H21"/>
    <x:mergeCell ref="B22:H22"/>
    <x:mergeCell ref="B23:H23"/>
    <x:mergeCell ref="B24:H24"/>
    <x:mergeCell ref="B25:H25"/>
    <x:mergeCell ref="B38:H38"/>
    <x:mergeCell ref="B27:H27"/>
    <x:mergeCell ref="B28:H28"/>
    <x:mergeCell ref="B29:H29"/>
    <x:mergeCell ref="B30:H30"/>
    <x:mergeCell ref="B31:H31"/>
    <x:mergeCell ref="B32:H32"/>
    <x:mergeCell ref="B33:H33"/>
    <x:mergeCell ref="B34:H34"/>
    <x:mergeCell ref="B35:H35"/>
    <x:mergeCell ref="B36:H36"/>
    <x:mergeCell ref="B37:H37"/>
    <x:mergeCell ref="B45:H45"/>
    <x:mergeCell ref="B46:H46"/>
    <x:mergeCell ref="B47:H47"/>
    <x:mergeCell ref="B39:H39"/>
    <x:mergeCell ref="B40:H40"/>
    <x:mergeCell ref="B41:H41"/>
    <x:mergeCell ref="B42:H42"/>
    <x:mergeCell ref="B43:H43"/>
    <x:mergeCell ref="B44:H44"/>
  </x:mergeCells>
  <x:printOptions horizontalCentered="1"/>
  <x:pageMargins left="0.3" right="0.3" top="0.5" bottom="0.5" header="0" footer="0.25"/>
  <x:pageSetup orientation="portrait" blackAndWhite="1" r:id="rId1"/>
  <x:headerFooter alignWithMargins="0">
    <x:oddFooter>&amp;L&amp;8Form Revised: 3/18/2008
File: &amp;F&amp;R&amp;8Printed: &amp;D &amp;T</x:oddFooter>
  </x:headerFooter>
  <x:drawing r:id="rId2"/>
</x: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2</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1263</v>
      </c>
      <c r="B8" s="2222" t="s">
        <v>1966</v>
      </c>
      <c r="C8" s="2222"/>
      <c r="D8" s="2222"/>
      <c r="E8" s="2222"/>
      <c r="F8" s="2222"/>
      <c r="G8" s="2222"/>
      <c r="H8" s="2222"/>
    </row>
    <row r="9" spans="1:8" ht="15" customHeight="1" x14ac:dyDescent="0.2">
      <c r="A9" s="1352"/>
      <c r="B9" s="2220" t="s">
        <v>1967</v>
      </c>
      <c r="C9" s="2220"/>
      <c r="D9" s="2220"/>
      <c r="E9" s="2220"/>
      <c r="F9" s="2220"/>
      <c r="G9" s="2220"/>
      <c r="H9" s="2220"/>
    </row>
    <row r="10" spans="1:8" ht="15" customHeight="1" x14ac:dyDescent="0.2">
      <c r="A10" s="1352" t="s">
        <v>1263</v>
      </c>
      <c r="B10" s="2220" t="s">
        <v>1968</v>
      </c>
      <c r="C10" s="2220"/>
      <c r="D10" s="2220"/>
      <c r="E10" s="2220"/>
      <c r="F10" s="2220"/>
      <c r="G10" s="2220"/>
      <c r="H10" s="2220"/>
    </row>
    <row r="11" spans="1:8" ht="15" customHeight="1" x14ac:dyDescent="0.2">
      <c r="A11" s="1352" t="s">
        <v>1265</v>
      </c>
      <c r="B11" s="2220" t="s">
        <v>1966</v>
      </c>
      <c r="C11" s="2220"/>
      <c r="D11" s="2220"/>
      <c r="E11" s="2220"/>
      <c r="F11" s="2220"/>
      <c r="G11" s="2220"/>
      <c r="H11" s="2220"/>
    </row>
    <row r="12" spans="1:8" ht="15" customHeight="1" x14ac:dyDescent="0.2">
      <c r="A12" s="1352"/>
      <c r="B12" s="2220" t="s">
        <v>1967</v>
      </c>
      <c r="C12" s="2220"/>
      <c r="D12" s="2220"/>
      <c r="E12" s="2220"/>
      <c r="F12" s="2220"/>
      <c r="G12" s="2220"/>
      <c r="H12" s="2220"/>
    </row>
    <row r="13" spans="1:8" ht="15" customHeight="1" x14ac:dyDescent="0.2">
      <c r="A13" s="1352" t="s">
        <v>1266</v>
      </c>
      <c r="B13" s="2220" t="s">
        <v>1966</v>
      </c>
      <c r="C13" s="2220"/>
      <c r="D13" s="2220"/>
      <c r="E13" s="2220"/>
      <c r="F13" s="2220"/>
      <c r="G13" s="2220"/>
      <c r="H13" s="2220"/>
    </row>
    <row r="14" spans="1:8" ht="15" customHeight="1" x14ac:dyDescent="0.2">
      <c r="A14" s="1352"/>
      <c r="B14" s="2220" t="s">
        <v>1967</v>
      </c>
      <c r="C14" s="2220"/>
      <c r="D14" s="2220"/>
      <c r="E14" s="2220"/>
      <c r="F14" s="2220"/>
      <c r="G14" s="2220"/>
      <c r="H14" s="2220"/>
    </row>
    <row r="15" spans="1:8" ht="15" customHeight="1" x14ac:dyDescent="0.2">
      <c r="A15" s="1352" t="s">
        <v>1267</v>
      </c>
      <c r="B15" s="2220" t="s">
        <v>1966</v>
      </c>
      <c r="C15" s="2220"/>
      <c r="D15" s="2220"/>
      <c r="E15" s="2220"/>
      <c r="F15" s="2220"/>
      <c r="G15" s="2220"/>
      <c r="H15" s="2220"/>
    </row>
    <row r="16" spans="1:8" ht="15" customHeight="1" x14ac:dyDescent="0.2">
      <c r="A16" s="1352"/>
      <c r="B16" s="2220" t="s">
        <v>1967</v>
      </c>
      <c r="C16" s="2220"/>
      <c r="D16" s="2220"/>
      <c r="E16" s="2220"/>
      <c r="F16" s="2220"/>
      <c r="G16" s="2220"/>
      <c r="H16" s="2220"/>
    </row>
    <row r="17" spans="1:8" ht="15" customHeight="1" x14ac:dyDescent="0.2">
      <c r="A17" s="1352" t="s">
        <v>1268</v>
      </c>
      <c r="B17" s="2220" t="s">
        <v>1966</v>
      </c>
      <c r="C17" s="2220"/>
      <c r="D17" s="2220"/>
      <c r="E17" s="2220"/>
      <c r="F17" s="2220"/>
      <c r="G17" s="2220"/>
      <c r="H17" s="2220"/>
    </row>
    <row r="18" spans="1:8" ht="15" customHeight="1" x14ac:dyDescent="0.2">
      <c r="A18" s="1352"/>
      <c r="B18" s="2220" t="s">
        <v>1967</v>
      </c>
      <c r="C18" s="2220"/>
      <c r="D18" s="2220"/>
      <c r="E18" s="2220"/>
      <c r="F18" s="2220"/>
      <c r="G18" s="2220"/>
      <c r="H18" s="2220"/>
    </row>
    <row r="19" spans="1:8" ht="15" customHeight="1" x14ac:dyDescent="0.2">
      <c r="A19" s="1352" t="s">
        <v>1268</v>
      </c>
      <c r="B19" s="2220" t="s">
        <v>1968</v>
      </c>
      <c r="C19" s="2220"/>
      <c r="D19" s="2220"/>
      <c r="E19" s="2220"/>
      <c r="F19" s="2220"/>
      <c r="G19" s="2220"/>
      <c r="H19" s="2220"/>
    </row>
    <row r="20" spans="1:8" ht="15" customHeight="1" x14ac:dyDescent="0.2">
      <c r="A20" s="1352" t="s">
        <v>1269</v>
      </c>
      <c r="B20" s="2220" t="s">
        <v>1969</v>
      </c>
      <c r="C20" s="2220"/>
      <c r="D20" s="2220"/>
      <c r="E20" s="2220"/>
      <c r="F20" s="2220"/>
      <c r="G20" s="2220"/>
      <c r="H20" s="2220"/>
    </row>
    <row r="21" spans="1:8" ht="15" customHeight="1" x14ac:dyDescent="0.2">
      <c r="A21" s="1352"/>
      <c r="B21" s="2220" t="s">
        <v>1970</v>
      </c>
      <c r="C21" s="2220"/>
      <c r="D21" s="2220"/>
      <c r="E21" s="2220"/>
      <c r="F21" s="2220"/>
      <c r="G21" s="2220"/>
      <c r="H21" s="2220"/>
    </row>
    <row r="22" spans="1:8" ht="15" customHeight="1" x14ac:dyDescent="0.2">
      <c r="A22" s="1352" t="s">
        <v>1274</v>
      </c>
      <c r="B22" s="2220" t="s">
        <v>1966</v>
      </c>
      <c r="C22" s="2220"/>
      <c r="D22" s="2220"/>
      <c r="E22" s="2220"/>
      <c r="F22" s="2220"/>
      <c r="G22" s="2220"/>
      <c r="H22" s="2220"/>
    </row>
    <row r="23" spans="1:8" ht="15" customHeight="1" x14ac:dyDescent="0.2">
      <c r="A23" s="1352"/>
      <c r="B23" s="2220" t="s">
        <v>1967</v>
      </c>
      <c r="C23" s="2220"/>
      <c r="D23" s="2220"/>
      <c r="E23" s="2220"/>
      <c r="F23" s="2220"/>
      <c r="G23" s="2220"/>
      <c r="H23" s="2220"/>
    </row>
    <row r="24" spans="1:8" ht="15" customHeight="1" x14ac:dyDescent="0.2">
      <c r="A24" s="1352" t="s">
        <v>1275</v>
      </c>
      <c r="B24" s="2220" t="s">
        <v>1966</v>
      </c>
      <c r="C24" s="2220"/>
      <c r="D24" s="2220"/>
      <c r="E24" s="2220"/>
      <c r="F24" s="2220"/>
      <c r="G24" s="2220"/>
      <c r="H24" s="2220"/>
    </row>
    <row r="25" spans="1:8" ht="15" customHeight="1" x14ac:dyDescent="0.2">
      <c r="A25" s="1352"/>
      <c r="B25" s="2220" t="s">
        <v>1967</v>
      </c>
      <c r="C25" s="2220"/>
      <c r="D25" s="2220"/>
      <c r="E25" s="2220"/>
      <c r="F25" s="2220"/>
      <c r="G25" s="2220"/>
      <c r="H25" s="2220"/>
    </row>
    <row r="26" spans="1:8" ht="15" customHeight="1" x14ac:dyDescent="0.2">
      <c r="A26" s="1352" t="s">
        <v>1276</v>
      </c>
      <c r="B26" s="2220" t="s">
        <v>1966</v>
      </c>
      <c r="C26" s="2220"/>
      <c r="D26" s="2220"/>
      <c r="E26" s="2220"/>
      <c r="F26" s="2220"/>
      <c r="G26" s="2220"/>
      <c r="H26" s="2220"/>
    </row>
    <row r="27" spans="1:8" ht="15" customHeight="1" x14ac:dyDescent="0.2">
      <c r="A27" s="1352"/>
      <c r="B27" s="2220" t="s">
        <v>1967</v>
      </c>
      <c r="C27" s="2220"/>
      <c r="D27" s="2220"/>
      <c r="E27" s="2220"/>
      <c r="F27" s="2220"/>
      <c r="G27" s="2220"/>
      <c r="H27" s="2220"/>
    </row>
    <row r="28" spans="1:8" ht="15" customHeight="1" x14ac:dyDescent="0.2">
      <c r="A28" s="1352" t="s">
        <v>1279</v>
      </c>
      <c r="B28" s="2220" t="s">
        <v>1968</v>
      </c>
      <c r="C28" s="2220"/>
      <c r="D28" s="2220"/>
      <c r="E28" s="2220"/>
      <c r="F28" s="2220"/>
      <c r="G28" s="2220"/>
      <c r="H28" s="2220"/>
    </row>
    <row r="29" spans="1:8" ht="15" customHeight="1" x14ac:dyDescent="0.2">
      <c r="A29" s="1352" t="s">
        <v>1286</v>
      </c>
      <c r="B29" s="2220" t="s">
        <v>1969</v>
      </c>
      <c r="C29" s="2220"/>
      <c r="D29" s="2220"/>
      <c r="E29" s="2220"/>
      <c r="F29" s="2220"/>
      <c r="G29" s="2220"/>
      <c r="H29" s="2220"/>
    </row>
    <row r="30" spans="1:8" ht="15" customHeight="1" x14ac:dyDescent="0.2">
      <c r="A30" s="1352"/>
      <c r="B30" s="2220" t="s">
        <v>1970</v>
      </c>
      <c r="C30" s="2220"/>
      <c r="D30" s="2220"/>
      <c r="E30" s="2220"/>
      <c r="F30" s="2220"/>
      <c r="G30" s="2220"/>
      <c r="H30" s="2220"/>
    </row>
    <row r="31" spans="1:8" ht="15" customHeight="1" x14ac:dyDescent="0.2">
      <c r="A31" s="1352" t="s">
        <v>1288</v>
      </c>
      <c r="B31" s="2220" t="s">
        <v>1971</v>
      </c>
      <c r="C31" s="2220"/>
      <c r="D31" s="2220"/>
      <c r="E31" s="2220"/>
      <c r="F31" s="2220"/>
      <c r="G31" s="2220"/>
      <c r="H31" s="2220"/>
    </row>
    <row r="32" spans="1:8" ht="15" customHeight="1" x14ac:dyDescent="0.2">
      <c r="A32" s="1352"/>
      <c r="B32" s="2220" t="s">
        <v>1972</v>
      </c>
      <c r="C32" s="2220"/>
      <c r="D32" s="2220"/>
      <c r="E32" s="2220"/>
      <c r="F32" s="2220"/>
      <c r="G32" s="2220"/>
      <c r="H32" s="2220"/>
    </row>
    <row r="33" spans="1:8" ht="15" customHeight="1" x14ac:dyDescent="0.2">
      <c r="A33" s="1352" t="s">
        <v>1289</v>
      </c>
      <c r="B33" s="2220" t="s">
        <v>1973</v>
      </c>
      <c r="C33" s="2220"/>
      <c r="D33" s="2220"/>
      <c r="E33" s="2220"/>
      <c r="F33" s="2220"/>
      <c r="G33" s="2220"/>
      <c r="H33" s="2220"/>
    </row>
    <row r="34" spans="1:8" ht="15" customHeight="1" x14ac:dyDescent="0.2">
      <c r="A34" s="1352" t="s">
        <v>1295</v>
      </c>
      <c r="B34" s="2220" t="s">
        <v>1974</v>
      </c>
      <c r="C34" s="2220"/>
      <c r="D34" s="2220"/>
      <c r="E34" s="2220"/>
      <c r="F34" s="2220"/>
      <c r="G34" s="2220"/>
      <c r="H34" s="2220"/>
    </row>
    <row r="35" spans="1:8" ht="15" customHeight="1" x14ac:dyDescent="0.2">
      <c r="A35" s="1352"/>
      <c r="B35" s="2220" t="s">
        <v>1975</v>
      </c>
      <c r="C35" s="2220"/>
      <c r="D35" s="2220"/>
      <c r="E35" s="2220"/>
      <c r="F35" s="2220"/>
      <c r="G35" s="2220"/>
      <c r="H35" s="2220"/>
    </row>
    <row r="36" spans="1:8" ht="15" customHeight="1" x14ac:dyDescent="0.2">
      <c r="A36" s="1352" t="s">
        <v>1295</v>
      </c>
      <c r="B36" s="2220" t="s">
        <v>1971</v>
      </c>
      <c r="C36" s="2220"/>
      <c r="D36" s="2220"/>
      <c r="E36" s="2220"/>
      <c r="F36" s="2220"/>
      <c r="G36" s="2220"/>
      <c r="H36" s="2220"/>
    </row>
    <row r="37" spans="1:8" ht="15" customHeight="1" x14ac:dyDescent="0.2">
      <c r="A37" s="1352"/>
      <c r="B37" s="2220" t="s">
        <v>1972</v>
      </c>
      <c r="C37" s="2220"/>
      <c r="D37" s="2220"/>
      <c r="E37" s="2220"/>
      <c r="F37" s="2220"/>
      <c r="G37" s="2220"/>
      <c r="H37" s="2220"/>
    </row>
    <row r="38" spans="1:8" ht="15" customHeight="1" x14ac:dyDescent="0.2">
      <c r="A38" s="1352" t="s">
        <v>1298</v>
      </c>
      <c r="B38" s="2220" t="s">
        <v>1971</v>
      </c>
      <c r="C38" s="2220"/>
      <c r="D38" s="2220"/>
      <c r="E38" s="2220"/>
      <c r="F38" s="2220"/>
      <c r="G38" s="2220"/>
      <c r="H38" s="2220"/>
    </row>
    <row r="39" spans="1:8" ht="15" customHeight="1" x14ac:dyDescent="0.2">
      <c r="A39" s="1352"/>
      <c r="B39" s="2220" t="s">
        <v>1972</v>
      </c>
      <c r="C39" s="2220"/>
      <c r="D39" s="2220"/>
      <c r="E39" s="2220"/>
      <c r="F39" s="2220"/>
      <c r="G39" s="2220"/>
      <c r="H39" s="2220"/>
    </row>
    <row r="40" spans="1:8" ht="15" customHeight="1" x14ac:dyDescent="0.2">
      <c r="A40" s="1352" t="s">
        <v>1299</v>
      </c>
      <c r="B40" s="2220" t="s">
        <v>1976</v>
      </c>
      <c r="C40" s="2220"/>
      <c r="D40" s="2220"/>
      <c r="E40" s="2220"/>
      <c r="F40" s="2220"/>
      <c r="G40" s="2220"/>
      <c r="H40" s="2220"/>
    </row>
    <row r="41" spans="1:8" ht="15" customHeight="1" x14ac:dyDescent="0.2">
      <c r="A41" s="1352"/>
      <c r="B41" s="2220" t="s">
        <v>1970</v>
      </c>
      <c r="C41" s="2220"/>
      <c r="D41" s="2220"/>
      <c r="E41" s="2220"/>
      <c r="F41" s="2220"/>
      <c r="G41" s="2220"/>
      <c r="H41" s="2220"/>
    </row>
    <row r="42" spans="1:8" ht="15" customHeight="1" x14ac:dyDescent="0.2">
      <c r="A42" s="1352" t="s">
        <v>1300</v>
      </c>
      <c r="B42" s="2220" t="s">
        <v>1966</v>
      </c>
      <c r="C42" s="2220"/>
      <c r="D42" s="2220"/>
      <c r="E42" s="2220"/>
      <c r="F42" s="2220"/>
      <c r="G42" s="2220"/>
      <c r="H42" s="2220"/>
    </row>
    <row r="43" spans="1:8" ht="15" customHeight="1" x14ac:dyDescent="0.2">
      <c r="A43" s="1352"/>
      <c r="B43" s="2220" t="s">
        <v>1967</v>
      </c>
      <c r="C43" s="2220"/>
      <c r="D43" s="2220"/>
      <c r="E43" s="2220"/>
      <c r="F43" s="2220"/>
      <c r="G43" s="2220"/>
      <c r="H43" s="2220"/>
    </row>
    <row r="44" spans="1:8" ht="15" customHeight="1" x14ac:dyDescent="0.2">
      <c r="A44" s="1352" t="s">
        <v>1301</v>
      </c>
      <c r="B44" s="2220" t="s">
        <v>1966</v>
      </c>
      <c r="C44" s="2220"/>
      <c r="D44" s="2220"/>
      <c r="E44" s="2220"/>
      <c r="F44" s="2220"/>
      <c r="G44" s="2220"/>
      <c r="H44" s="2220"/>
    </row>
    <row r="45" spans="1:8" ht="15" customHeight="1" x14ac:dyDescent="0.2">
      <c r="A45" s="1352"/>
      <c r="B45" s="2220" t="s">
        <v>1967</v>
      </c>
      <c r="C45" s="2220"/>
      <c r="D45" s="2220"/>
      <c r="E45" s="2220"/>
      <c r="F45" s="2220"/>
      <c r="G45" s="2220"/>
      <c r="H45" s="2220"/>
    </row>
    <row r="46" spans="1:8" ht="15" customHeight="1" x14ac:dyDescent="0.2">
      <c r="A46" s="1352" t="s">
        <v>1302</v>
      </c>
      <c r="B46" s="2220" t="s">
        <v>1966</v>
      </c>
      <c r="C46" s="2220"/>
      <c r="D46" s="2220"/>
      <c r="E46" s="2220"/>
      <c r="F46" s="2220"/>
      <c r="G46" s="2220"/>
      <c r="H46" s="2220"/>
    </row>
    <row r="47" spans="1:8" ht="15" customHeight="1" x14ac:dyDescent="0.2">
      <c r="A47" s="1355"/>
      <c r="B47" s="2221" t="s">
        <v>1967</v>
      </c>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Csmief3aIbf70kBd6JlZXUsBSLenKyqFWr6afK5vdjy2t2NG9kdM3dY4L5hRtxQLdG2lj9zJssYcq3Tr2hTObQ==" saltValue="A+aWmsUjEpitOCdrHcUB8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3</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1302</v>
      </c>
      <c r="B8" s="2222" t="s">
        <v>1968</v>
      </c>
      <c r="C8" s="2222"/>
      <c r="D8" s="2222"/>
      <c r="E8" s="2222"/>
      <c r="F8" s="2222"/>
      <c r="G8" s="2222"/>
      <c r="H8" s="2222"/>
    </row>
    <row r="9" spans="1:8" ht="15" customHeight="1" x14ac:dyDescent="0.2">
      <c r="A9" s="1352" t="s">
        <v>1303</v>
      </c>
      <c r="B9" s="2220" t="s">
        <v>1966</v>
      </c>
      <c r="C9" s="2220"/>
      <c r="D9" s="2220"/>
      <c r="E9" s="2220"/>
      <c r="F9" s="2220"/>
      <c r="G9" s="2220"/>
      <c r="H9" s="2220"/>
    </row>
    <row r="10" spans="1:8" ht="15" customHeight="1" x14ac:dyDescent="0.2">
      <c r="A10" s="1352"/>
      <c r="B10" s="2220" t="s">
        <v>1967</v>
      </c>
      <c r="C10" s="2220"/>
      <c r="D10" s="2220"/>
      <c r="E10" s="2220"/>
      <c r="F10" s="2220"/>
      <c r="G10" s="2220"/>
      <c r="H10" s="2220"/>
    </row>
    <row r="11" spans="1:8" ht="15" customHeight="1" x14ac:dyDescent="0.2">
      <c r="A11" s="1352" t="s">
        <v>1303</v>
      </c>
      <c r="B11" s="2220" t="s">
        <v>1977</v>
      </c>
      <c r="C11" s="2220"/>
      <c r="D11" s="2220"/>
      <c r="E11" s="2220"/>
      <c r="F11" s="2220"/>
      <c r="G11" s="2220"/>
      <c r="H11" s="2220"/>
    </row>
    <row r="12" spans="1:8" ht="15" customHeight="1" x14ac:dyDescent="0.2">
      <c r="A12" s="1352"/>
      <c r="B12" s="2220" t="s">
        <v>1970</v>
      </c>
      <c r="C12" s="2220"/>
      <c r="D12" s="2220"/>
      <c r="E12" s="2220"/>
      <c r="F12" s="2220"/>
      <c r="G12" s="2220"/>
      <c r="H12" s="2220"/>
    </row>
    <row r="13" spans="1:8" ht="15" customHeight="1" x14ac:dyDescent="0.2">
      <c r="A13" s="1352" t="s">
        <v>1304</v>
      </c>
      <c r="B13" s="2220" t="s">
        <v>1966</v>
      </c>
      <c r="C13" s="2220"/>
      <c r="D13" s="2220"/>
      <c r="E13" s="2220"/>
      <c r="F13" s="2220"/>
      <c r="G13" s="2220"/>
      <c r="H13" s="2220"/>
    </row>
    <row r="14" spans="1:8" ht="15" customHeight="1" x14ac:dyDescent="0.2">
      <c r="A14" s="1352"/>
      <c r="B14" s="2220" t="s">
        <v>1967</v>
      </c>
      <c r="C14" s="2220"/>
      <c r="D14" s="2220"/>
      <c r="E14" s="2220"/>
      <c r="F14" s="2220"/>
      <c r="G14" s="2220"/>
      <c r="H14" s="2220"/>
    </row>
    <row r="15" spans="1:8" ht="15" customHeight="1" x14ac:dyDescent="0.2">
      <c r="A15" s="1352" t="s">
        <v>1304</v>
      </c>
      <c r="B15" s="2220" t="s">
        <v>1969</v>
      </c>
      <c r="C15" s="2220"/>
      <c r="D15" s="2220"/>
      <c r="E15" s="2220"/>
      <c r="F15" s="2220"/>
      <c r="G15" s="2220"/>
      <c r="H15" s="2220"/>
    </row>
    <row r="16" spans="1:8" ht="15" customHeight="1" x14ac:dyDescent="0.2">
      <c r="A16" s="1352"/>
      <c r="B16" s="2220" t="s">
        <v>1970</v>
      </c>
      <c r="C16" s="2220"/>
      <c r="D16" s="2220"/>
      <c r="E16" s="2220"/>
      <c r="F16" s="2220"/>
      <c r="G16" s="2220"/>
      <c r="H16" s="2220"/>
    </row>
    <row r="17" spans="1:8" ht="15" customHeight="1" x14ac:dyDescent="0.2">
      <c r="A17" s="1352" t="s">
        <v>1305</v>
      </c>
      <c r="B17" s="2220" t="s">
        <v>1971</v>
      </c>
      <c r="C17" s="2220"/>
      <c r="D17" s="2220"/>
      <c r="E17" s="2220"/>
      <c r="F17" s="2220"/>
      <c r="G17" s="2220"/>
      <c r="H17" s="2220"/>
    </row>
    <row r="18" spans="1:8" ht="15" customHeight="1" x14ac:dyDescent="0.2">
      <c r="A18" s="1352"/>
      <c r="B18" s="2220" t="s">
        <v>1972</v>
      </c>
      <c r="C18" s="2220"/>
      <c r="D18" s="2220"/>
      <c r="E18" s="2220"/>
      <c r="F18" s="2220"/>
      <c r="G18" s="2220"/>
      <c r="H18" s="2220"/>
    </row>
    <row r="19" spans="1:8" ht="15" customHeight="1" x14ac:dyDescent="0.2">
      <c r="A19" s="1352" t="s">
        <v>1306</v>
      </c>
      <c r="B19" s="2220" t="s">
        <v>1971</v>
      </c>
      <c r="C19" s="2220"/>
      <c r="D19" s="2220"/>
      <c r="E19" s="2220"/>
      <c r="F19" s="2220"/>
      <c r="G19" s="2220"/>
      <c r="H19" s="2220"/>
    </row>
    <row r="20" spans="1:8" ht="15" customHeight="1" x14ac:dyDescent="0.2">
      <c r="A20" s="1352"/>
      <c r="B20" s="2220" t="s">
        <v>1972</v>
      </c>
      <c r="C20" s="2220"/>
      <c r="D20" s="2220"/>
      <c r="E20" s="2220"/>
      <c r="F20" s="2220"/>
      <c r="G20" s="2220"/>
      <c r="H20" s="2220"/>
    </row>
    <row r="21" spans="1:8" ht="15" customHeight="1" x14ac:dyDescent="0.2">
      <c r="A21" s="1352" t="s">
        <v>1315</v>
      </c>
      <c r="B21" s="2220" t="s">
        <v>1971</v>
      </c>
      <c r="C21" s="2220"/>
      <c r="D21" s="2220"/>
      <c r="E21" s="2220"/>
      <c r="F21" s="2220"/>
      <c r="G21" s="2220"/>
      <c r="H21" s="2220"/>
    </row>
    <row r="22" spans="1:8" ht="15" customHeight="1" x14ac:dyDescent="0.2">
      <c r="A22" s="1352"/>
      <c r="B22" s="2220" t="s">
        <v>1972</v>
      </c>
      <c r="C22" s="2220"/>
      <c r="D22" s="2220"/>
      <c r="E22" s="2220"/>
      <c r="F22" s="2220"/>
      <c r="G22" s="2220"/>
      <c r="H22" s="2220"/>
    </row>
    <row r="23" spans="1:8" ht="15" customHeight="1" x14ac:dyDescent="0.2">
      <c r="A23" s="1352" t="s">
        <v>1317</v>
      </c>
      <c r="B23" s="2220" t="s">
        <v>1968</v>
      </c>
      <c r="C23" s="2220"/>
      <c r="D23" s="2220"/>
      <c r="E23" s="2220"/>
      <c r="F23" s="2220"/>
      <c r="G23" s="2220"/>
      <c r="H23" s="2220"/>
    </row>
    <row r="24" spans="1:8" ht="15" customHeight="1" x14ac:dyDescent="0.2">
      <c r="A24" s="1352" t="s">
        <v>1318</v>
      </c>
      <c r="B24" s="2220" t="s">
        <v>1968</v>
      </c>
      <c r="C24" s="2220"/>
      <c r="D24" s="2220"/>
      <c r="E24" s="2220"/>
      <c r="F24" s="2220"/>
      <c r="G24" s="2220"/>
      <c r="H24" s="2220"/>
    </row>
    <row r="25" spans="1:8" ht="15" customHeight="1" x14ac:dyDescent="0.2">
      <c r="A25" s="1352" t="s">
        <v>1319</v>
      </c>
      <c r="B25" s="2220" t="s">
        <v>1966</v>
      </c>
      <c r="C25" s="2220"/>
      <c r="D25" s="2220"/>
      <c r="E25" s="2220"/>
      <c r="F25" s="2220"/>
      <c r="G25" s="2220"/>
      <c r="H25" s="2220"/>
    </row>
    <row r="26" spans="1:8" ht="15" customHeight="1" x14ac:dyDescent="0.2">
      <c r="A26" s="1352"/>
      <c r="B26" s="2220" t="s">
        <v>1967</v>
      </c>
      <c r="C26" s="2220"/>
      <c r="D26" s="2220"/>
      <c r="E26" s="2220"/>
      <c r="F26" s="2220"/>
      <c r="G26" s="2220"/>
      <c r="H26" s="2220"/>
    </row>
    <row r="27" spans="1:8" ht="15" customHeight="1" x14ac:dyDescent="0.2">
      <c r="A27" s="1352" t="s">
        <v>1319</v>
      </c>
      <c r="B27" s="2220" t="s">
        <v>1968</v>
      </c>
      <c r="C27" s="2220"/>
      <c r="D27" s="2220"/>
      <c r="E27" s="2220"/>
      <c r="F27" s="2220"/>
      <c r="G27" s="2220"/>
      <c r="H27" s="2220"/>
    </row>
    <row r="28" spans="1:8" ht="15" customHeight="1" x14ac:dyDescent="0.2">
      <c r="A28" s="1352" t="s">
        <v>1320</v>
      </c>
      <c r="B28" s="2220" t="s">
        <v>1966</v>
      </c>
      <c r="C28" s="2220"/>
      <c r="D28" s="2220"/>
      <c r="E28" s="2220"/>
      <c r="F28" s="2220"/>
      <c r="G28" s="2220"/>
      <c r="H28" s="2220"/>
    </row>
    <row r="29" spans="1:8" ht="15" customHeight="1" x14ac:dyDescent="0.2">
      <c r="A29" s="1352"/>
      <c r="B29" s="2220" t="s">
        <v>1967</v>
      </c>
      <c r="C29" s="2220"/>
      <c r="D29" s="2220"/>
      <c r="E29" s="2220"/>
      <c r="F29" s="2220"/>
      <c r="G29" s="2220"/>
      <c r="H29" s="2220"/>
    </row>
    <row r="30" spans="1:8" ht="15" customHeight="1" x14ac:dyDescent="0.2">
      <c r="A30" s="1352" t="s">
        <v>1321</v>
      </c>
      <c r="B30" s="2220" t="s">
        <v>1966</v>
      </c>
      <c r="C30" s="2220"/>
      <c r="D30" s="2220"/>
      <c r="E30" s="2220"/>
      <c r="F30" s="2220"/>
      <c r="G30" s="2220"/>
      <c r="H30" s="2220"/>
    </row>
    <row r="31" spans="1:8" ht="15" customHeight="1" x14ac:dyDescent="0.2">
      <c r="A31" s="1352"/>
      <c r="B31" s="2220" t="s">
        <v>1967</v>
      </c>
      <c r="C31" s="2220"/>
      <c r="D31" s="2220"/>
      <c r="E31" s="2220"/>
      <c r="F31" s="2220"/>
      <c r="G31" s="2220"/>
      <c r="H31" s="2220"/>
    </row>
    <row r="32" spans="1:8" ht="15" customHeight="1" x14ac:dyDescent="0.2">
      <c r="A32" s="1352" t="s">
        <v>1323</v>
      </c>
      <c r="B32" s="2220" t="s">
        <v>1969</v>
      </c>
      <c r="C32" s="2220"/>
      <c r="D32" s="2220"/>
      <c r="E32" s="2220"/>
      <c r="F32" s="2220"/>
      <c r="G32" s="2220"/>
      <c r="H32" s="2220"/>
    </row>
    <row r="33" spans="1:8" ht="15" customHeight="1" x14ac:dyDescent="0.2">
      <c r="A33" s="1352"/>
      <c r="B33" s="2220" t="s">
        <v>1970</v>
      </c>
      <c r="C33" s="2220"/>
      <c r="D33" s="2220"/>
      <c r="E33" s="2220"/>
      <c r="F33" s="2220"/>
      <c r="G33" s="2220"/>
      <c r="H33" s="2220"/>
    </row>
    <row r="34" spans="1:8" ht="15" customHeight="1" x14ac:dyDescent="0.2">
      <c r="A34" s="1352" t="s">
        <v>1325</v>
      </c>
      <c r="B34" s="2220" t="s">
        <v>1973</v>
      </c>
      <c r="C34" s="2220"/>
      <c r="D34" s="2220"/>
      <c r="E34" s="2220"/>
      <c r="F34" s="2220"/>
      <c r="G34" s="2220"/>
      <c r="H34" s="2220"/>
    </row>
    <row r="35" spans="1:8" ht="15" customHeight="1" x14ac:dyDescent="0.2">
      <c r="A35" s="1352" t="s">
        <v>1326</v>
      </c>
      <c r="B35" s="2220" t="s">
        <v>1973</v>
      </c>
      <c r="C35" s="2220"/>
      <c r="D35" s="2220"/>
      <c r="E35" s="2220"/>
      <c r="F35" s="2220"/>
      <c r="G35" s="2220"/>
      <c r="H35" s="2220"/>
    </row>
    <row r="36" spans="1:8" ht="15" customHeight="1" x14ac:dyDescent="0.2">
      <c r="A36" s="1352" t="s">
        <v>1327</v>
      </c>
      <c r="B36" s="2220" t="s">
        <v>1973</v>
      </c>
      <c r="C36" s="2220"/>
      <c r="D36" s="2220"/>
      <c r="E36" s="2220"/>
      <c r="F36" s="2220"/>
      <c r="G36" s="2220"/>
      <c r="H36" s="2220"/>
    </row>
    <row r="37" spans="1:8" ht="15" customHeight="1" x14ac:dyDescent="0.2">
      <c r="A37" s="1352" t="s">
        <v>1328</v>
      </c>
      <c r="B37" s="2220" t="s">
        <v>1973</v>
      </c>
      <c r="C37" s="2220"/>
      <c r="D37" s="2220"/>
      <c r="E37" s="2220"/>
      <c r="F37" s="2220"/>
      <c r="G37" s="2220"/>
      <c r="H37" s="2220"/>
    </row>
    <row r="38" spans="1:8" ht="15" customHeight="1" x14ac:dyDescent="0.2">
      <c r="A38" s="1352" t="s">
        <v>1329</v>
      </c>
      <c r="B38" s="2220" t="s">
        <v>1973</v>
      </c>
      <c r="C38" s="2220"/>
      <c r="D38" s="2220"/>
      <c r="E38" s="2220"/>
      <c r="F38" s="2220"/>
      <c r="G38" s="2220"/>
      <c r="H38" s="2220"/>
    </row>
    <row r="39" spans="1:8" ht="15" customHeight="1" x14ac:dyDescent="0.2">
      <c r="A39" s="1352" t="s">
        <v>1338</v>
      </c>
      <c r="B39" s="2220" t="s">
        <v>1968</v>
      </c>
      <c r="C39" s="2220"/>
      <c r="D39" s="2220"/>
      <c r="E39" s="2220"/>
      <c r="F39" s="2220"/>
      <c r="G39" s="2220"/>
      <c r="H39" s="2220"/>
    </row>
    <row r="40" spans="1:8" ht="15" customHeight="1" x14ac:dyDescent="0.2">
      <c r="A40" s="1352" t="s">
        <v>1339</v>
      </c>
      <c r="B40" s="2220" t="s">
        <v>1968</v>
      </c>
      <c r="C40" s="2220"/>
      <c r="D40" s="2220"/>
      <c r="E40" s="2220"/>
      <c r="F40" s="2220"/>
      <c r="G40" s="2220"/>
      <c r="H40" s="2220"/>
    </row>
    <row r="41" spans="1:8" ht="15" customHeight="1" x14ac:dyDescent="0.2">
      <c r="A41" s="1352" t="s">
        <v>1340</v>
      </c>
      <c r="B41" s="2220" t="s">
        <v>1968</v>
      </c>
      <c r="C41" s="2220"/>
      <c r="D41" s="2220"/>
      <c r="E41" s="2220"/>
      <c r="F41" s="2220"/>
      <c r="G41" s="2220"/>
      <c r="H41" s="2220"/>
    </row>
    <row r="42" spans="1:8" ht="15" customHeight="1" x14ac:dyDescent="0.2">
      <c r="A42" s="1352" t="s">
        <v>1341</v>
      </c>
      <c r="B42" s="2220" t="s">
        <v>1968</v>
      </c>
      <c r="C42" s="2220"/>
      <c r="D42" s="2220"/>
      <c r="E42" s="2220"/>
      <c r="F42" s="2220"/>
      <c r="G42" s="2220"/>
      <c r="H42" s="2220"/>
    </row>
    <row r="43" spans="1:8" ht="15" customHeight="1" x14ac:dyDescent="0.2">
      <c r="A43" s="1352" t="s">
        <v>1342</v>
      </c>
      <c r="B43" s="2220" t="s">
        <v>1968</v>
      </c>
      <c r="C43" s="2220"/>
      <c r="D43" s="2220"/>
      <c r="E43" s="2220"/>
      <c r="F43" s="2220"/>
      <c r="G43" s="2220"/>
      <c r="H43" s="2220"/>
    </row>
    <row r="44" spans="1:8" ht="15" customHeight="1" x14ac:dyDescent="0.2">
      <c r="A44" s="1352" t="s">
        <v>1343</v>
      </c>
      <c r="B44" s="2220" t="s">
        <v>1968</v>
      </c>
      <c r="C44" s="2220"/>
      <c r="D44" s="2220"/>
      <c r="E44" s="2220"/>
      <c r="F44" s="2220"/>
      <c r="G44" s="2220"/>
      <c r="H44" s="2220"/>
    </row>
    <row r="45" spans="1:8" ht="15" customHeight="1" x14ac:dyDescent="0.2">
      <c r="A45" s="1352" t="s">
        <v>1344</v>
      </c>
      <c r="B45" s="2220" t="s">
        <v>1968</v>
      </c>
      <c r="C45" s="2220"/>
      <c r="D45" s="2220"/>
      <c r="E45" s="2220"/>
      <c r="F45" s="2220"/>
      <c r="G45" s="2220"/>
      <c r="H45" s="2220"/>
    </row>
    <row r="46" spans="1:8" ht="15" customHeight="1" x14ac:dyDescent="0.2">
      <c r="A46" s="1352" t="s">
        <v>1345</v>
      </c>
      <c r="B46" s="2220" t="s">
        <v>1968</v>
      </c>
      <c r="C46" s="2220"/>
      <c r="D46" s="2220"/>
      <c r="E46" s="2220"/>
      <c r="F46" s="2220"/>
      <c r="G46" s="2220"/>
      <c r="H46" s="2220"/>
    </row>
    <row r="47" spans="1:8" ht="15" customHeight="1" x14ac:dyDescent="0.2">
      <c r="A47" s="1355" t="s">
        <v>1346</v>
      </c>
      <c r="B47" s="2221" t="s">
        <v>1968</v>
      </c>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1x86aCUPl7522XaCyL8Qe13lk+iODqXkIm0Bv4cwrR39W0U3MfsQqiioKJfbwvBvemitiuPIsdut+G4qmiXSug==" saltValue="OTsKUo7eih+vx3qUNFrmtw=="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4</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1347</v>
      </c>
      <c r="B8" s="2222" t="s">
        <v>1968</v>
      </c>
      <c r="C8" s="2222"/>
      <c r="D8" s="2222"/>
      <c r="E8" s="2222"/>
      <c r="F8" s="2222"/>
      <c r="G8" s="2222"/>
      <c r="H8" s="2222"/>
    </row>
    <row r="9" spans="1:8" ht="15" customHeight="1" x14ac:dyDescent="0.2">
      <c r="A9" s="1352" t="s">
        <v>1348</v>
      </c>
      <c r="B9" s="2220" t="s">
        <v>1968</v>
      </c>
      <c r="C9" s="2220"/>
      <c r="D9" s="2220"/>
      <c r="E9" s="2220"/>
      <c r="F9" s="2220"/>
      <c r="G9" s="2220"/>
      <c r="H9" s="2220"/>
    </row>
    <row r="10" spans="1:8" ht="15" customHeight="1" x14ac:dyDescent="0.2">
      <c r="A10" s="1352" t="s">
        <v>1349</v>
      </c>
      <c r="B10" s="2220" t="s">
        <v>1968</v>
      </c>
      <c r="C10" s="2220"/>
      <c r="D10" s="2220"/>
      <c r="E10" s="2220"/>
      <c r="F10" s="2220"/>
      <c r="G10" s="2220"/>
      <c r="H10" s="2220"/>
    </row>
    <row r="11" spans="1:8" ht="15" customHeight="1" x14ac:dyDescent="0.2">
      <c r="A11" s="1352" t="s">
        <v>1350</v>
      </c>
      <c r="B11" s="2220" t="s">
        <v>1968</v>
      </c>
      <c r="C11" s="2220"/>
      <c r="D11" s="2220"/>
      <c r="E11" s="2220"/>
      <c r="F11" s="2220"/>
      <c r="G11" s="2220"/>
      <c r="H11" s="2220"/>
    </row>
    <row r="12" spans="1:8" ht="15" customHeight="1" x14ac:dyDescent="0.2">
      <c r="A12" s="1352" t="s">
        <v>1351</v>
      </c>
      <c r="B12" s="2220" t="s">
        <v>1968</v>
      </c>
      <c r="C12" s="2220"/>
      <c r="D12" s="2220"/>
      <c r="E12" s="2220"/>
      <c r="F12" s="2220"/>
      <c r="G12" s="2220"/>
      <c r="H12" s="2220"/>
    </row>
    <row r="13" spans="1:8" ht="15" customHeight="1" x14ac:dyDescent="0.2">
      <c r="A13" s="1352" t="s">
        <v>1352</v>
      </c>
      <c r="B13" s="2220" t="s">
        <v>1968</v>
      </c>
      <c r="C13" s="2220"/>
      <c r="D13" s="2220"/>
      <c r="E13" s="2220"/>
      <c r="F13" s="2220"/>
      <c r="G13" s="2220"/>
      <c r="H13" s="2220"/>
    </row>
    <row r="14" spans="1:8" ht="15" customHeight="1" x14ac:dyDescent="0.2">
      <c r="A14" s="1352" t="s">
        <v>1353</v>
      </c>
      <c r="B14" s="2220" t="s">
        <v>1968</v>
      </c>
      <c r="C14" s="2220"/>
      <c r="D14" s="2220"/>
      <c r="E14" s="2220"/>
      <c r="F14" s="2220"/>
      <c r="G14" s="2220"/>
      <c r="H14" s="2220"/>
    </row>
    <row r="15" spans="1:8" ht="15" customHeight="1" x14ac:dyDescent="0.2">
      <c r="A15" s="1352" t="s">
        <v>1354</v>
      </c>
      <c r="B15" s="2220" t="s">
        <v>1968</v>
      </c>
      <c r="C15" s="2220"/>
      <c r="D15" s="2220"/>
      <c r="E15" s="2220"/>
      <c r="F15" s="2220"/>
      <c r="G15" s="2220"/>
      <c r="H15" s="2220"/>
    </row>
    <row r="16" spans="1:8" ht="15" customHeight="1" x14ac:dyDescent="0.2">
      <c r="A16" s="1352" t="s">
        <v>1355</v>
      </c>
      <c r="B16" s="2220" t="s">
        <v>1968</v>
      </c>
      <c r="C16" s="2220"/>
      <c r="D16" s="2220"/>
      <c r="E16" s="2220"/>
      <c r="F16" s="2220"/>
      <c r="G16" s="2220"/>
      <c r="H16" s="2220"/>
    </row>
    <row r="17" spans="1:8" ht="15" customHeight="1" x14ac:dyDescent="0.2">
      <c r="A17" s="1352" t="s">
        <v>1356</v>
      </c>
      <c r="B17" s="2220" t="s">
        <v>1968</v>
      </c>
      <c r="C17" s="2220"/>
      <c r="D17" s="2220"/>
      <c r="E17" s="2220"/>
      <c r="F17" s="2220"/>
      <c r="G17" s="2220"/>
      <c r="H17" s="2220"/>
    </row>
    <row r="18" spans="1:8" ht="15" customHeight="1" x14ac:dyDescent="0.2">
      <c r="A18" s="1352" t="s">
        <v>1357</v>
      </c>
      <c r="B18" s="2220" t="s">
        <v>1968</v>
      </c>
      <c r="C18" s="2220"/>
      <c r="D18" s="2220"/>
      <c r="E18" s="2220"/>
      <c r="F18" s="2220"/>
      <c r="G18" s="2220"/>
      <c r="H18" s="2220"/>
    </row>
    <row r="19" spans="1:8" ht="15" customHeight="1" x14ac:dyDescent="0.2">
      <c r="A19" s="1352" t="s">
        <v>1358</v>
      </c>
      <c r="B19" s="2220" t="s">
        <v>1968</v>
      </c>
      <c r="C19" s="2220"/>
      <c r="D19" s="2220"/>
      <c r="E19" s="2220"/>
      <c r="F19" s="2220"/>
      <c r="G19" s="2220"/>
      <c r="H19" s="2220"/>
    </row>
    <row r="20" spans="1:8" ht="15" customHeight="1" x14ac:dyDescent="0.2">
      <c r="A20" s="1352" t="s">
        <v>1390</v>
      </c>
      <c r="B20" s="2220" t="s">
        <v>1968</v>
      </c>
      <c r="C20" s="2220"/>
      <c r="D20" s="2220"/>
      <c r="E20" s="2220"/>
      <c r="F20" s="2220"/>
      <c r="G20" s="2220"/>
      <c r="H20" s="2220"/>
    </row>
    <row r="21" spans="1:8" ht="15" customHeight="1" x14ac:dyDescent="0.2">
      <c r="A21" s="1352" t="s">
        <v>1391</v>
      </c>
      <c r="B21" s="2220" t="s">
        <v>1968</v>
      </c>
      <c r="C21" s="2220"/>
      <c r="D21" s="2220"/>
      <c r="E21" s="2220"/>
      <c r="F21" s="2220"/>
      <c r="G21" s="2220"/>
      <c r="H21" s="2220"/>
    </row>
    <row r="22" spans="1:8" ht="15" customHeight="1" x14ac:dyDescent="0.2">
      <c r="A22" s="1352" t="s">
        <v>1392</v>
      </c>
      <c r="B22" s="2220" t="s">
        <v>1968</v>
      </c>
      <c r="C22" s="2220"/>
      <c r="D22" s="2220"/>
      <c r="E22" s="2220"/>
      <c r="F22" s="2220"/>
      <c r="G22" s="2220"/>
      <c r="H22" s="2220"/>
    </row>
    <row r="23" spans="1:8" ht="15" customHeight="1" x14ac:dyDescent="0.2">
      <c r="A23" s="1352" t="s">
        <v>1393</v>
      </c>
      <c r="B23" s="2220" t="s">
        <v>1968</v>
      </c>
      <c r="C23" s="2220"/>
      <c r="D23" s="2220"/>
      <c r="E23" s="2220"/>
      <c r="F23" s="2220"/>
      <c r="G23" s="2220"/>
      <c r="H23" s="2220"/>
    </row>
    <row r="24" spans="1:8" ht="15" customHeight="1" x14ac:dyDescent="0.2">
      <c r="A24" s="1352" t="s">
        <v>1394</v>
      </c>
      <c r="B24" s="2220" t="s">
        <v>1968</v>
      </c>
      <c r="C24" s="2220"/>
      <c r="D24" s="2220"/>
      <c r="E24" s="2220"/>
      <c r="F24" s="2220"/>
      <c r="G24" s="2220"/>
      <c r="H24" s="2220"/>
    </row>
    <row r="25" spans="1:8" ht="15" customHeight="1" x14ac:dyDescent="0.2">
      <c r="A25" s="1352" t="s">
        <v>1395</v>
      </c>
      <c r="B25" s="2220" t="s">
        <v>1968</v>
      </c>
      <c r="C25" s="2220"/>
      <c r="D25" s="2220"/>
      <c r="E25" s="2220"/>
      <c r="F25" s="2220"/>
      <c r="G25" s="2220"/>
      <c r="H25" s="2220"/>
    </row>
    <row r="26" spans="1:8" ht="15" customHeight="1" x14ac:dyDescent="0.2">
      <c r="A26" s="1352" t="s">
        <v>1396</v>
      </c>
      <c r="B26" s="2220" t="s">
        <v>1968</v>
      </c>
      <c r="C26" s="2220"/>
      <c r="D26" s="2220"/>
      <c r="E26" s="2220"/>
      <c r="F26" s="2220"/>
      <c r="G26" s="2220"/>
      <c r="H26" s="2220"/>
    </row>
    <row r="27" spans="1:8" ht="15" customHeight="1" x14ac:dyDescent="0.2">
      <c r="A27" s="1352" t="s">
        <v>1397</v>
      </c>
      <c r="B27" s="2220" t="s">
        <v>1968</v>
      </c>
      <c r="C27" s="2220"/>
      <c r="D27" s="2220"/>
      <c r="E27" s="2220"/>
      <c r="F27" s="2220"/>
      <c r="G27" s="2220"/>
      <c r="H27" s="2220"/>
    </row>
    <row r="28" spans="1:8" ht="15" customHeight="1" x14ac:dyDescent="0.2">
      <c r="A28" s="1352" t="s">
        <v>1398</v>
      </c>
      <c r="B28" s="2220" t="s">
        <v>1968</v>
      </c>
      <c r="C28" s="2220"/>
      <c r="D28" s="2220"/>
      <c r="E28" s="2220"/>
      <c r="F28" s="2220"/>
      <c r="G28" s="2220"/>
      <c r="H28" s="2220"/>
    </row>
    <row r="29" spans="1:8" ht="15" customHeight="1" x14ac:dyDescent="0.2">
      <c r="A29" s="1352" t="s">
        <v>1399</v>
      </c>
      <c r="B29" s="2220" t="s">
        <v>1968</v>
      </c>
      <c r="C29" s="2220"/>
      <c r="D29" s="2220"/>
      <c r="E29" s="2220"/>
      <c r="F29" s="2220"/>
      <c r="G29" s="2220"/>
      <c r="H29" s="2220"/>
    </row>
    <row r="30" spans="1:8" ht="15" customHeight="1" x14ac:dyDescent="0.2">
      <c r="A30" s="1352" t="s">
        <v>1400</v>
      </c>
      <c r="B30" s="2220" t="s">
        <v>1968</v>
      </c>
      <c r="C30" s="2220"/>
      <c r="D30" s="2220"/>
      <c r="E30" s="2220"/>
      <c r="F30" s="2220"/>
      <c r="G30" s="2220"/>
      <c r="H30" s="2220"/>
    </row>
    <row r="31" spans="1:8" ht="15" customHeight="1" x14ac:dyDescent="0.2">
      <c r="A31" s="1352" t="s">
        <v>1430</v>
      </c>
      <c r="B31" s="2220" t="s">
        <v>1973</v>
      </c>
      <c r="C31" s="2220"/>
      <c r="D31" s="2220"/>
      <c r="E31" s="2220"/>
      <c r="F31" s="2220"/>
      <c r="G31" s="2220"/>
      <c r="H31" s="2220"/>
    </row>
    <row r="32" spans="1:8" ht="15" customHeight="1" x14ac:dyDescent="0.2">
      <c r="A32" s="1352" t="s">
        <v>1431</v>
      </c>
      <c r="B32" s="2220" t="s">
        <v>1973</v>
      </c>
      <c r="C32" s="2220"/>
      <c r="D32" s="2220"/>
      <c r="E32" s="2220"/>
      <c r="F32" s="2220"/>
      <c r="G32" s="2220"/>
      <c r="H32" s="2220"/>
    </row>
    <row r="33" spans="1:8" ht="15" customHeight="1" x14ac:dyDescent="0.2">
      <c r="A33" s="1352" t="s">
        <v>1432</v>
      </c>
      <c r="B33" s="2220" t="s">
        <v>1973</v>
      </c>
      <c r="C33" s="2220"/>
      <c r="D33" s="2220"/>
      <c r="E33" s="2220"/>
      <c r="F33" s="2220"/>
      <c r="G33" s="2220"/>
      <c r="H33" s="2220"/>
    </row>
    <row r="34" spans="1:8" ht="15" customHeight="1" x14ac:dyDescent="0.2">
      <c r="A34" s="1352" t="s">
        <v>1433</v>
      </c>
      <c r="B34" s="2220" t="s">
        <v>1973</v>
      </c>
      <c r="C34" s="2220"/>
      <c r="D34" s="2220"/>
      <c r="E34" s="2220"/>
      <c r="F34" s="2220"/>
      <c r="G34" s="2220"/>
      <c r="H34" s="2220"/>
    </row>
    <row r="35" spans="1:8" ht="15" customHeight="1" x14ac:dyDescent="0.2">
      <c r="A35" s="1352" t="s">
        <v>1434</v>
      </c>
      <c r="B35" s="2220" t="s">
        <v>1973</v>
      </c>
      <c r="C35" s="2220"/>
      <c r="D35" s="2220"/>
      <c r="E35" s="2220"/>
      <c r="F35" s="2220"/>
      <c r="G35" s="2220"/>
      <c r="H35" s="2220"/>
    </row>
    <row r="36" spans="1:8" ht="15" customHeight="1" x14ac:dyDescent="0.2">
      <c r="A36" s="1352" t="s">
        <v>1435</v>
      </c>
      <c r="B36" s="2220" t="s">
        <v>1973</v>
      </c>
      <c r="C36" s="2220"/>
      <c r="D36" s="2220"/>
      <c r="E36" s="2220"/>
      <c r="F36" s="2220"/>
      <c r="G36" s="2220"/>
      <c r="H36" s="2220"/>
    </row>
    <row r="37" spans="1:8" ht="15" customHeight="1" x14ac:dyDescent="0.2">
      <c r="A37" s="1352" t="s">
        <v>1438</v>
      </c>
      <c r="B37" s="2220" t="s">
        <v>1968</v>
      </c>
      <c r="C37" s="2220"/>
      <c r="D37" s="2220"/>
      <c r="E37" s="2220"/>
      <c r="F37" s="2220"/>
      <c r="G37" s="2220"/>
      <c r="H37" s="2220"/>
    </row>
    <row r="38" spans="1:8" ht="15" customHeight="1" x14ac:dyDescent="0.2">
      <c r="A38" s="1352" t="s">
        <v>1439</v>
      </c>
      <c r="B38" s="2220" t="s">
        <v>1968</v>
      </c>
      <c r="C38" s="2220"/>
      <c r="D38" s="2220"/>
      <c r="E38" s="2220"/>
      <c r="F38" s="2220"/>
      <c r="G38" s="2220"/>
      <c r="H38" s="2220"/>
    </row>
    <row r="39" spans="1:8" ht="15" customHeight="1" x14ac:dyDescent="0.2">
      <c r="A39" s="1352" t="s">
        <v>1440</v>
      </c>
      <c r="B39" s="2220" t="s">
        <v>1968</v>
      </c>
      <c r="C39" s="2220"/>
      <c r="D39" s="2220"/>
      <c r="E39" s="2220"/>
      <c r="F39" s="2220"/>
      <c r="G39" s="2220"/>
      <c r="H39" s="2220"/>
    </row>
    <row r="40" spans="1:8" ht="15" customHeight="1" x14ac:dyDescent="0.2">
      <c r="A40" s="1352" t="s">
        <v>1441</v>
      </c>
      <c r="B40" s="2220" t="s">
        <v>1968</v>
      </c>
      <c r="C40" s="2220"/>
      <c r="D40" s="2220"/>
      <c r="E40" s="2220"/>
      <c r="F40" s="2220"/>
      <c r="G40" s="2220"/>
      <c r="H40" s="2220"/>
    </row>
    <row r="41" spans="1:8" ht="15" customHeight="1" x14ac:dyDescent="0.2">
      <c r="A41" s="1352" t="s">
        <v>1442</v>
      </c>
      <c r="B41" s="2220" t="s">
        <v>1968</v>
      </c>
      <c r="C41" s="2220"/>
      <c r="D41" s="2220"/>
      <c r="E41" s="2220"/>
      <c r="F41" s="2220"/>
      <c r="G41" s="2220"/>
      <c r="H41" s="2220"/>
    </row>
    <row r="42" spans="1:8" ht="15" customHeight="1" x14ac:dyDescent="0.2">
      <c r="A42" s="1352" t="s">
        <v>1443</v>
      </c>
      <c r="B42" s="2220" t="s">
        <v>1968</v>
      </c>
      <c r="C42" s="2220"/>
      <c r="D42" s="2220"/>
      <c r="E42" s="2220"/>
      <c r="F42" s="2220"/>
      <c r="G42" s="2220"/>
      <c r="H42" s="2220"/>
    </row>
    <row r="43" spans="1:8" ht="15" customHeight="1" x14ac:dyDescent="0.2">
      <c r="A43" s="1352" t="s">
        <v>1444</v>
      </c>
      <c r="B43" s="2220" t="s">
        <v>1968</v>
      </c>
      <c r="C43" s="2220"/>
      <c r="D43" s="2220"/>
      <c r="E43" s="2220"/>
      <c r="F43" s="2220"/>
      <c r="G43" s="2220"/>
      <c r="H43" s="2220"/>
    </row>
    <row r="44" spans="1:8" ht="15" customHeight="1" x14ac:dyDescent="0.2">
      <c r="A44" s="1352" t="s">
        <v>1445</v>
      </c>
      <c r="B44" s="2220" t="s">
        <v>1968</v>
      </c>
      <c r="C44" s="2220"/>
      <c r="D44" s="2220"/>
      <c r="E44" s="2220"/>
      <c r="F44" s="2220"/>
      <c r="G44" s="2220"/>
      <c r="H44" s="2220"/>
    </row>
    <row r="45" spans="1:8" ht="15" customHeight="1" x14ac:dyDescent="0.2">
      <c r="A45" s="1352" t="s">
        <v>1446</v>
      </c>
      <c r="B45" s="2220" t="s">
        <v>1968</v>
      </c>
      <c r="C45" s="2220"/>
      <c r="D45" s="2220"/>
      <c r="E45" s="2220"/>
      <c r="F45" s="2220"/>
      <c r="G45" s="2220"/>
      <c r="H45" s="2220"/>
    </row>
    <row r="46" spans="1:8" ht="15" customHeight="1" x14ac:dyDescent="0.2">
      <c r="A46" s="1352" t="s">
        <v>1447</v>
      </c>
      <c r="B46" s="2220" t="s">
        <v>1968</v>
      </c>
      <c r="C46" s="2220"/>
      <c r="D46" s="2220"/>
      <c r="E46" s="2220"/>
      <c r="F46" s="2220"/>
      <c r="G46" s="2220"/>
      <c r="H46" s="2220"/>
    </row>
    <row r="47" spans="1:8" ht="15" customHeight="1" x14ac:dyDescent="0.2">
      <c r="A47" s="1355" t="s">
        <v>1448</v>
      </c>
      <c r="B47" s="2221" t="s">
        <v>1968</v>
      </c>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dl1WSO8M8qFQBCsv6WEEsGpL1WnaqofK7MFD8/aeROuBQqBeMJAXQMSONAoTavQCV3ihbs/4E1oZneegx6Qsmg==" saltValue="k72aqFqHRyllhm//HLaQxQ=="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5</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1449</v>
      </c>
      <c r="B8" s="2222" t="s">
        <v>1968</v>
      </c>
      <c r="C8" s="2222"/>
      <c r="D8" s="2222"/>
      <c r="E8" s="2222"/>
      <c r="F8" s="2222"/>
      <c r="G8" s="2222"/>
      <c r="H8" s="2222"/>
    </row>
    <row r="9" spans="1:8" ht="15" customHeight="1" x14ac:dyDescent="0.2">
      <c r="A9" s="1352" t="s">
        <v>1450</v>
      </c>
      <c r="B9" s="2220" t="s">
        <v>1968</v>
      </c>
      <c r="C9" s="2220"/>
      <c r="D9" s="2220"/>
      <c r="E9" s="2220"/>
      <c r="F9" s="2220"/>
      <c r="G9" s="2220"/>
      <c r="H9" s="2220"/>
    </row>
    <row r="10" spans="1:8" ht="15" customHeight="1" x14ac:dyDescent="0.2">
      <c r="A10" s="1352" t="s">
        <v>1451</v>
      </c>
      <c r="B10" s="2220" t="s">
        <v>1968</v>
      </c>
      <c r="C10" s="2220"/>
      <c r="D10" s="2220"/>
      <c r="E10" s="2220"/>
      <c r="F10" s="2220"/>
      <c r="G10" s="2220"/>
      <c r="H10" s="2220"/>
    </row>
    <row r="11" spans="1:8" ht="15" customHeight="1" x14ac:dyDescent="0.2">
      <c r="A11" s="1352" t="s">
        <v>1452</v>
      </c>
      <c r="B11" s="2220" t="s">
        <v>1968</v>
      </c>
      <c r="C11" s="2220"/>
      <c r="D11" s="2220"/>
      <c r="E11" s="2220"/>
      <c r="F11" s="2220"/>
      <c r="G11" s="2220"/>
      <c r="H11" s="2220"/>
    </row>
    <row r="12" spans="1:8" ht="15" customHeight="1" x14ac:dyDescent="0.2">
      <c r="A12" s="1352" t="s">
        <v>1453</v>
      </c>
      <c r="B12" s="2220" t="s">
        <v>1968</v>
      </c>
      <c r="C12" s="2220"/>
      <c r="D12" s="2220"/>
      <c r="E12" s="2220"/>
      <c r="F12" s="2220"/>
      <c r="G12" s="2220"/>
      <c r="H12" s="2220"/>
    </row>
    <row r="13" spans="1:8" ht="15" customHeight="1" x14ac:dyDescent="0.2">
      <c r="A13" s="1352" t="s">
        <v>1454</v>
      </c>
      <c r="B13" s="2220" t="s">
        <v>1968</v>
      </c>
      <c r="C13" s="2220"/>
      <c r="D13" s="2220"/>
      <c r="E13" s="2220"/>
      <c r="F13" s="2220"/>
      <c r="G13" s="2220"/>
      <c r="H13" s="2220"/>
    </row>
    <row r="14" spans="1:8" ht="15" customHeight="1" x14ac:dyDescent="0.2">
      <c r="A14" s="1352" t="s">
        <v>1455</v>
      </c>
      <c r="B14" s="2220" t="s">
        <v>1968</v>
      </c>
      <c r="C14" s="2220"/>
      <c r="D14" s="2220"/>
      <c r="E14" s="2220"/>
      <c r="F14" s="2220"/>
      <c r="G14" s="2220"/>
      <c r="H14" s="2220"/>
    </row>
    <row r="15" spans="1:8" ht="15" customHeight="1" x14ac:dyDescent="0.2">
      <c r="A15" s="1352" t="s">
        <v>1456</v>
      </c>
      <c r="B15" s="2220" t="s">
        <v>1968</v>
      </c>
      <c r="C15" s="2220"/>
      <c r="D15" s="2220"/>
      <c r="E15" s="2220"/>
      <c r="F15" s="2220"/>
      <c r="G15" s="2220"/>
      <c r="H15" s="2220"/>
    </row>
    <row r="16" spans="1:8" ht="15" customHeight="1" x14ac:dyDescent="0.2">
      <c r="A16" s="1352" t="s">
        <v>1457</v>
      </c>
      <c r="B16" s="2220" t="s">
        <v>1968</v>
      </c>
      <c r="C16" s="2220"/>
      <c r="D16" s="2220"/>
      <c r="E16" s="2220"/>
      <c r="F16" s="2220"/>
      <c r="G16" s="2220"/>
      <c r="H16" s="2220"/>
    </row>
    <row r="17" spans="1:8" ht="15" customHeight="1" x14ac:dyDescent="0.2">
      <c r="A17" s="1352" t="s">
        <v>1458</v>
      </c>
      <c r="B17" s="2220" t="s">
        <v>1968</v>
      </c>
      <c r="C17" s="2220"/>
      <c r="D17" s="2220"/>
      <c r="E17" s="2220"/>
      <c r="F17" s="2220"/>
      <c r="G17" s="2220"/>
      <c r="H17" s="2220"/>
    </row>
    <row r="18" spans="1:8" ht="15" customHeight="1" x14ac:dyDescent="0.2">
      <c r="A18" s="1352" t="s">
        <v>1488</v>
      </c>
      <c r="B18" s="2220" t="s">
        <v>1968</v>
      </c>
      <c r="C18" s="2220"/>
      <c r="D18" s="2220"/>
      <c r="E18" s="2220"/>
      <c r="F18" s="2220"/>
      <c r="G18" s="2220"/>
      <c r="H18" s="2220"/>
    </row>
    <row r="19" spans="1:8" ht="15" customHeight="1" x14ac:dyDescent="0.2">
      <c r="A19" s="1352" t="s">
        <v>1489</v>
      </c>
      <c r="B19" s="2220" t="s">
        <v>1968</v>
      </c>
      <c r="C19" s="2220"/>
      <c r="D19" s="2220"/>
      <c r="E19" s="2220"/>
      <c r="F19" s="2220"/>
      <c r="G19" s="2220"/>
      <c r="H19" s="2220"/>
    </row>
    <row r="20" spans="1:8" ht="15" customHeight="1" x14ac:dyDescent="0.2">
      <c r="A20" s="1352" t="s">
        <v>1490</v>
      </c>
      <c r="B20" s="2220" t="s">
        <v>1968</v>
      </c>
      <c r="C20" s="2220"/>
      <c r="D20" s="2220"/>
      <c r="E20" s="2220"/>
      <c r="F20" s="2220"/>
      <c r="G20" s="2220"/>
      <c r="H20" s="2220"/>
    </row>
    <row r="21" spans="1:8" ht="15" customHeight="1" x14ac:dyDescent="0.2">
      <c r="A21" s="1352" t="s">
        <v>1491</v>
      </c>
      <c r="B21" s="2220" t="s">
        <v>1968</v>
      </c>
      <c r="C21" s="2220"/>
      <c r="D21" s="2220"/>
      <c r="E21" s="2220"/>
      <c r="F21" s="2220"/>
      <c r="G21" s="2220"/>
      <c r="H21" s="2220"/>
    </row>
    <row r="22" spans="1:8" ht="15" customHeight="1" x14ac:dyDescent="0.2">
      <c r="A22" s="1352" t="s">
        <v>1492</v>
      </c>
      <c r="B22" s="2220" t="s">
        <v>1968</v>
      </c>
      <c r="C22" s="2220"/>
      <c r="D22" s="2220"/>
      <c r="E22" s="2220"/>
      <c r="F22" s="2220"/>
      <c r="G22" s="2220"/>
      <c r="H22" s="2220"/>
    </row>
    <row r="23" spans="1:8" ht="15" customHeight="1" x14ac:dyDescent="0.2">
      <c r="A23" s="1352" t="s">
        <v>1493</v>
      </c>
      <c r="B23" s="2220" t="s">
        <v>1968</v>
      </c>
      <c r="C23" s="2220"/>
      <c r="D23" s="2220"/>
      <c r="E23" s="2220"/>
      <c r="F23" s="2220"/>
      <c r="G23" s="2220"/>
      <c r="H23" s="2220"/>
    </row>
    <row r="24" spans="1:8" ht="15" customHeight="1" x14ac:dyDescent="0.2">
      <c r="A24" s="1352" t="s">
        <v>1502</v>
      </c>
      <c r="B24" s="2220" t="s">
        <v>1968</v>
      </c>
      <c r="C24" s="2220"/>
      <c r="D24" s="2220"/>
      <c r="E24" s="2220"/>
      <c r="F24" s="2220"/>
      <c r="G24" s="2220"/>
      <c r="H24" s="2220"/>
    </row>
    <row r="25" spans="1:8" ht="15" customHeight="1" x14ac:dyDescent="0.2">
      <c r="A25" s="1352" t="s">
        <v>1503</v>
      </c>
      <c r="B25" s="2220" t="s">
        <v>1968</v>
      </c>
      <c r="C25" s="2220"/>
      <c r="D25" s="2220"/>
      <c r="E25" s="2220"/>
      <c r="F25" s="2220"/>
      <c r="G25" s="2220"/>
      <c r="H25" s="2220"/>
    </row>
    <row r="26" spans="1:8" ht="15" customHeight="1" x14ac:dyDescent="0.2">
      <c r="A26" s="1352" t="s">
        <v>1504</v>
      </c>
      <c r="B26" s="2220" t="s">
        <v>1968</v>
      </c>
      <c r="C26" s="2220"/>
      <c r="D26" s="2220"/>
      <c r="E26" s="2220"/>
      <c r="F26" s="2220"/>
      <c r="G26" s="2220"/>
      <c r="H26" s="2220"/>
    </row>
    <row r="27" spans="1:8" ht="15" customHeight="1" x14ac:dyDescent="0.2">
      <c r="A27" s="1352" t="s">
        <v>1505</v>
      </c>
      <c r="B27" s="2220" t="s">
        <v>1968</v>
      </c>
      <c r="C27" s="2220"/>
      <c r="D27" s="2220"/>
      <c r="E27" s="2220"/>
      <c r="F27" s="2220"/>
      <c r="G27" s="2220"/>
      <c r="H27" s="2220"/>
    </row>
    <row r="28" spans="1:8" ht="15" customHeight="1" x14ac:dyDescent="0.2">
      <c r="A28" s="1352" t="s">
        <v>1506</v>
      </c>
      <c r="B28" s="2220" t="s">
        <v>1968</v>
      </c>
      <c r="C28" s="2220"/>
      <c r="D28" s="2220"/>
      <c r="E28" s="2220"/>
      <c r="F28" s="2220"/>
      <c r="G28" s="2220"/>
      <c r="H28" s="2220"/>
    </row>
    <row r="29" spans="1:8" ht="15" customHeight="1" x14ac:dyDescent="0.2">
      <c r="A29" s="1352" t="s">
        <v>1507</v>
      </c>
      <c r="B29" s="2220" t="s">
        <v>1968</v>
      </c>
      <c r="C29" s="2220"/>
      <c r="D29" s="2220"/>
      <c r="E29" s="2220"/>
      <c r="F29" s="2220"/>
      <c r="G29" s="2220"/>
      <c r="H29" s="2220"/>
    </row>
    <row r="30" spans="1:8" ht="15" customHeight="1" x14ac:dyDescent="0.2">
      <c r="A30" s="1352" t="s">
        <v>1508</v>
      </c>
      <c r="B30" s="2220" t="s">
        <v>1968</v>
      </c>
      <c r="C30" s="2220"/>
      <c r="D30" s="2220"/>
      <c r="E30" s="2220"/>
      <c r="F30" s="2220"/>
      <c r="G30" s="2220"/>
      <c r="H30" s="2220"/>
    </row>
    <row r="31" spans="1:8" ht="15" customHeight="1" x14ac:dyDescent="0.2">
      <c r="A31" s="1352" t="s">
        <v>1509</v>
      </c>
      <c r="B31" s="2220" t="s">
        <v>1968</v>
      </c>
      <c r="C31" s="2220"/>
      <c r="D31" s="2220"/>
      <c r="E31" s="2220"/>
      <c r="F31" s="2220"/>
      <c r="G31" s="2220"/>
      <c r="H31" s="2220"/>
    </row>
    <row r="32" spans="1:8" ht="15" customHeight="1" x14ac:dyDescent="0.2">
      <c r="A32" s="1352" t="s">
        <v>1510</v>
      </c>
      <c r="B32" s="2220" t="s">
        <v>1968</v>
      </c>
      <c r="C32" s="2220"/>
      <c r="D32" s="2220"/>
      <c r="E32" s="2220"/>
      <c r="F32" s="2220"/>
      <c r="G32" s="2220"/>
      <c r="H32" s="2220"/>
    </row>
    <row r="33" spans="1:8" ht="15" customHeight="1" x14ac:dyDescent="0.2">
      <c r="A33" s="1352" t="s">
        <v>1511</v>
      </c>
      <c r="B33" s="2220" t="s">
        <v>1968</v>
      </c>
      <c r="C33" s="2220"/>
      <c r="D33" s="2220"/>
      <c r="E33" s="2220"/>
      <c r="F33" s="2220"/>
      <c r="G33" s="2220"/>
      <c r="H33" s="2220"/>
    </row>
    <row r="34" spans="1:8" ht="15" customHeight="1" x14ac:dyDescent="0.2">
      <c r="A34" s="1352" t="s">
        <v>1512</v>
      </c>
      <c r="B34" s="2220" t="s">
        <v>1968</v>
      </c>
      <c r="C34" s="2220"/>
      <c r="D34" s="2220"/>
      <c r="E34" s="2220"/>
      <c r="F34" s="2220"/>
      <c r="G34" s="2220"/>
      <c r="H34" s="2220"/>
    </row>
    <row r="35" spans="1:8" ht="15" customHeight="1" x14ac:dyDescent="0.2">
      <c r="A35" s="1352" t="s">
        <v>1513</v>
      </c>
      <c r="B35" s="2220" t="s">
        <v>1968</v>
      </c>
      <c r="C35" s="2220"/>
      <c r="D35" s="2220"/>
      <c r="E35" s="2220"/>
      <c r="F35" s="2220"/>
      <c r="G35" s="2220"/>
      <c r="H35" s="2220"/>
    </row>
    <row r="36" spans="1:8" ht="15" customHeight="1" x14ac:dyDescent="0.2">
      <c r="A36" s="1352" t="s">
        <v>1542</v>
      </c>
      <c r="B36" s="2220" t="s">
        <v>1973</v>
      </c>
      <c r="C36" s="2220"/>
      <c r="D36" s="2220"/>
      <c r="E36" s="2220"/>
      <c r="F36" s="2220"/>
      <c r="G36" s="2220"/>
      <c r="H36" s="2220"/>
    </row>
    <row r="37" spans="1:8" ht="15" customHeight="1" x14ac:dyDescent="0.2">
      <c r="A37" s="1352" t="s">
        <v>1543</v>
      </c>
      <c r="B37" s="2220" t="s">
        <v>1973</v>
      </c>
      <c r="C37" s="2220"/>
      <c r="D37" s="2220"/>
      <c r="E37" s="2220"/>
      <c r="F37" s="2220"/>
      <c r="G37" s="2220"/>
      <c r="H37" s="2220"/>
    </row>
    <row r="38" spans="1:8" ht="15" customHeight="1" x14ac:dyDescent="0.2">
      <c r="A38" s="1352" t="s">
        <v>1544</v>
      </c>
      <c r="B38" s="2220" t="s">
        <v>1973</v>
      </c>
      <c r="C38" s="2220"/>
      <c r="D38" s="2220"/>
      <c r="E38" s="2220"/>
      <c r="F38" s="2220"/>
      <c r="G38" s="2220"/>
      <c r="H38" s="2220"/>
    </row>
    <row r="39" spans="1:8" ht="15" customHeight="1" x14ac:dyDescent="0.2">
      <c r="A39" s="1352" t="s">
        <v>1545</v>
      </c>
      <c r="B39" s="2220" t="s">
        <v>1973</v>
      </c>
      <c r="C39" s="2220"/>
      <c r="D39" s="2220"/>
      <c r="E39" s="2220"/>
      <c r="F39" s="2220"/>
      <c r="G39" s="2220"/>
      <c r="H39" s="2220"/>
    </row>
    <row r="40" spans="1:8" ht="15" customHeight="1" x14ac:dyDescent="0.2">
      <c r="A40" s="1352" t="s">
        <v>1546</v>
      </c>
      <c r="B40" s="2220" t="s">
        <v>1973</v>
      </c>
      <c r="C40" s="2220"/>
      <c r="D40" s="2220"/>
      <c r="E40" s="2220"/>
      <c r="F40" s="2220"/>
      <c r="G40" s="2220"/>
      <c r="H40" s="2220"/>
    </row>
    <row r="41" spans="1:8" ht="15" customHeight="1" x14ac:dyDescent="0.2">
      <c r="A41" s="1352" t="s">
        <v>1547</v>
      </c>
      <c r="B41" s="2220" t="s">
        <v>1973</v>
      </c>
      <c r="C41" s="2220"/>
      <c r="D41" s="2220"/>
      <c r="E41" s="2220"/>
      <c r="F41" s="2220"/>
      <c r="G41" s="2220"/>
      <c r="H41" s="2220"/>
    </row>
    <row r="42" spans="1:8" ht="15" customHeight="1" x14ac:dyDescent="0.2">
      <c r="A42" s="1352" t="s">
        <v>1548</v>
      </c>
      <c r="B42" s="2220" t="s">
        <v>1973</v>
      </c>
      <c r="C42" s="2220"/>
      <c r="D42" s="2220"/>
      <c r="E42" s="2220"/>
      <c r="F42" s="2220"/>
      <c r="G42" s="2220"/>
      <c r="H42" s="2220"/>
    </row>
    <row r="43" spans="1:8" ht="15" customHeight="1" x14ac:dyDescent="0.2">
      <c r="A43" s="1352" t="s">
        <v>1549</v>
      </c>
      <c r="B43" s="2220" t="s">
        <v>1973</v>
      </c>
      <c r="C43" s="2220"/>
      <c r="D43" s="2220"/>
      <c r="E43" s="2220"/>
      <c r="F43" s="2220"/>
      <c r="G43" s="2220"/>
      <c r="H43" s="2220"/>
    </row>
    <row r="44" spans="1:8" ht="15" customHeight="1" x14ac:dyDescent="0.2">
      <c r="A44" s="1352" t="s">
        <v>1550</v>
      </c>
      <c r="B44" s="2220" t="s">
        <v>1973</v>
      </c>
      <c r="C44" s="2220"/>
      <c r="D44" s="2220"/>
      <c r="E44" s="2220"/>
      <c r="F44" s="2220"/>
      <c r="G44" s="2220"/>
      <c r="H44" s="2220"/>
    </row>
    <row r="45" spans="1:8" ht="15" customHeight="1" x14ac:dyDescent="0.2">
      <c r="A45" s="1352" t="s">
        <v>1582</v>
      </c>
      <c r="B45" s="2220" t="s">
        <v>1968</v>
      </c>
      <c r="C45" s="2220"/>
      <c r="D45" s="2220"/>
      <c r="E45" s="2220"/>
      <c r="F45" s="2220"/>
      <c r="G45" s="2220"/>
      <c r="H45" s="2220"/>
    </row>
    <row r="46" spans="1:8" ht="15" customHeight="1" x14ac:dyDescent="0.2">
      <c r="A46" s="1352" t="s">
        <v>1583</v>
      </c>
      <c r="B46" s="2220" t="s">
        <v>1968</v>
      </c>
      <c r="C46" s="2220"/>
      <c r="D46" s="2220"/>
      <c r="E46" s="2220"/>
      <c r="F46" s="2220"/>
      <c r="G46" s="2220"/>
      <c r="H46" s="2220"/>
    </row>
    <row r="47" spans="1:8" ht="15" customHeight="1" x14ac:dyDescent="0.2">
      <c r="A47" s="1355" t="s">
        <v>1584</v>
      </c>
      <c r="B47" s="2221" t="s">
        <v>1968</v>
      </c>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spitp/4poR7SQNMIMX266hACN5Y6A4/o/iOAxYKtTra08ULo6T6vN+fZM7Fbq56T/NtYmlLESSsAxrk3DVBjDQ==" saltValue="dqdX8gucV9gx4dPuFO+hkw=="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6</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1585</v>
      </c>
      <c r="B8" s="2222" t="s">
        <v>1968</v>
      </c>
      <c r="C8" s="2222"/>
      <c r="D8" s="2222"/>
      <c r="E8" s="2222"/>
      <c r="F8" s="2222"/>
      <c r="G8" s="2222"/>
      <c r="H8" s="2222"/>
    </row>
    <row r="9" spans="1:8" ht="15" customHeight="1" x14ac:dyDescent="0.2">
      <c r="A9" s="1352" t="s">
        <v>1586</v>
      </c>
      <c r="B9" s="2220" t="s">
        <v>1968</v>
      </c>
      <c r="C9" s="2220"/>
      <c r="D9" s="2220"/>
      <c r="E9" s="2220"/>
      <c r="F9" s="2220"/>
      <c r="G9" s="2220"/>
      <c r="H9" s="2220"/>
    </row>
    <row r="10" spans="1:8" ht="15" customHeight="1" x14ac:dyDescent="0.2">
      <c r="A10" s="1352" t="s">
        <v>1587</v>
      </c>
      <c r="B10" s="2220" t="s">
        <v>1968</v>
      </c>
      <c r="C10" s="2220"/>
      <c r="D10" s="2220"/>
      <c r="E10" s="2220"/>
      <c r="F10" s="2220"/>
      <c r="G10" s="2220"/>
      <c r="H10" s="2220"/>
    </row>
    <row r="11" spans="1:8" ht="15" customHeight="1" x14ac:dyDescent="0.2">
      <c r="A11" s="1352" t="s">
        <v>1588</v>
      </c>
      <c r="B11" s="2220" t="s">
        <v>1968</v>
      </c>
      <c r="C11" s="2220"/>
      <c r="D11" s="2220"/>
      <c r="E11" s="2220"/>
      <c r="F11" s="2220"/>
      <c r="G11" s="2220"/>
      <c r="H11" s="2220"/>
    </row>
    <row r="12" spans="1:8" ht="15" customHeight="1" x14ac:dyDescent="0.2">
      <c r="A12" s="1352" t="s">
        <v>1589</v>
      </c>
      <c r="B12" s="2220" t="s">
        <v>1968</v>
      </c>
      <c r="C12" s="2220"/>
      <c r="D12" s="2220"/>
      <c r="E12" s="2220"/>
      <c r="F12" s="2220"/>
      <c r="G12" s="2220"/>
      <c r="H12" s="2220"/>
    </row>
    <row r="13" spans="1:8" ht="15" customHeight="1" x14ac:dyDescent="0.2">
      <c r="A13" s="1352" t="s">
        <v>1590</v>
      </c>
      <c r="B13" s="2220" t="s">
        <v>1968</v>
      </c>
      <c r="C13" s="2220"/>
      <c r="D13" s="2220"/>
      <c r="E13" s="2220"/>
      <c r="F13" s="2220"/>
      <c r="G13" s="2220"/>
      <c r="H13" s="2220"/>
    </row>
    <row r="14" spans="1:8" ht="15" customHeight="1" x14ac:dyDescent="0.2">
      <c r="A14" s="1352" t="s">
        <v>1591</v>
      </c>
      <c r="B14" s="2220" t="s">
        <v>1968</v>
      </c>
      <c r="C14" s="2220"/>
      <c r="D14" s="2220"/>
      <c r="E14" s="2220"/>
      <c r="F14" s="2220"/>
      <c r="G14" s="2220"/>
      <c r="H14" s="2220"/>
    </row>
    <row r="15" spans="1:8" ht="15" customHeight="1" x14ac:dyDescent="0.2">
      <c r="A15" s="1352" t="s">
        <v>1592</v>
      </c>
      <c r="B15" s="2220" t="s">
        <v>1968</v>
      </c>
      <c r="C15" s="2220"/>
      <c r="D15" s="2220"/>
      <c r="E15" s="2220"/>
      <c r="F15" s="2220"/>
      <c r="G15" s="2220"/>
      <c r="H15" s="2220"/>
    </row>
    <row r="16" spans="1:8" ht="15" customHeight="1" x14ac:dyDescent="0.2">
      <c r="A16" s="1352" t="s">
        <v>1593</v>
      </c>
      <c r="B16" s="2220" t="s">
        <v>1968</v>
      </c>
      <c r="C16" s="2220"/>
      <c r="D16" s="2220"/>
      <c r="E16" s="2220"/>
      <c r="F16" s="2220"/>
      <c r="G16" s="2220"/>
      <c r="H16" s="2220"/>
    </row>
    <row r="17" spans="1:8" ht="15" customHeight="1" x14ac:dyDescent="0.2">
      <c r="A17" s="1352" t="s">
        <v>1594</v>
      </c>
      <c r="B17" s="2220" t="s">
        <v>1968</v>
      </c>
      <c r="C17" s="2220"/>
      <c r="D17" s="2220"/>
      <c r="E17" s="2220"/>
      <c r="F17" s="2220"/>
      <c r="G17" s="2220"/>
      <c r="H17" s="2220"/>
    </row>
    <row r="18" spans="1:8" ht="15" customHeight="1" x14ac:dyDescent="0.2">
      <c r="A18" s="1352" t="s">
        <v>1595</v>
      </c>
      <c r="B18" s="2220" t="s">
        <v>1968</v>
      </c>
      <c r="C18" s="2220"/>
      <c r="D18" s="2220"/>
      <c r="E18" s="2220"/>
      <c r="F18" s="2220"/>
      <c r="G18" s="2220"/>
      <c r="H18" s="2220"/>
    </row>
    <row r="19" spans="1:8" ht="15" customHeight="1" x14ac:dyDescent="0.2">
      <c r="A19" s="1352" t="s">
        <v>1596</v>
      </c>
      <c r="B19" s="2220" t="s">
        <v>1968</v>
      </c>
      <c r="C19" s="2220"/>
      <c r="D19" s="2220"/>
      <c r="E19" s="2220"/>
      <c r="F19" s="2220"/>
      <c r="G19" s="2220"/>
      <c r="H19" s="2220"/>
    </row>
    <row r="20" spans="1:8" ht="15" customHeight="1" x14ac:dyDescent="0.2">
      <c r="A20" s="1352" t="s">
        <v>1597</v>
      </c>
      <c r="B20" s="2220" t="s">
        <v>1968</v>
      </c>
      <c r="C20" s="2220"/>
      <c r="D20" s="2220"/>
      <c r="E20" s="2220"/>
      <c r="F20" s="2220"/>
      <c r="G20" s="2220"/>
      <c r="H20" s="2220"/>
    </row>
    <row r="21" spans="1:8" ht="15" customHeight="1" x14ac:dyDescent="0.2">
      <c r="A21" s="1352" t="s">
        <v>1598</v>
      </c>
      <c r="B21" s="2220" t="s">
        <v>1968</v>
      </c>
      <c r="C21" s="2220"/>
      <c r="D21" s="2220"/>
      <c r="E21" s="2220"/>
      <c r="F21" s="2220"/>
      <c r="G21" s="2220"/>
      <c r="H21" s="2220"/>
    </row>
    <row r="22" spans="1:8" ht="15" customHeight="1" x14ac:dyDescent="0.2">
      <c r="A22" s="1352" t="s">
        <v>1599</v>
      </c>
      <c r="B22" s="2220" t="s">
        <v>1968</v>
      </c>
      <c r="C22" s="2220"/>
      <c r="D22" s="2220"/>
      <c r="E22" s="2220"/>
      <c r="F22" s="2220"/>
      <c r="G22" s="2220"/>
      <c r="H22" s="2220"/>
    </row>
    <row r="23" spans="1:8" ht="15" customHeight="1" x14ac:dyDescent="0.2">
      <c r="A23" s="1352" t="s">
        <v>1600</v>
      </c>
      <c r="B23" s="2220" t="s">
        <v>1968</v>
      </c>
      <c r="C23" s="2220"/>
      <c r="D23" s="2220"/>
      <c r="E23" s="2220"/>
      <c r="F23" s="2220"/>
      <c r="G23" s="2220"/>
      <c r="H23" s="2220"/>
    </row>
    <row r="24" spans="1:8" ht="15" customHeight="1" x14ac:dyDescent="0.2">
      <c r="A24" s="1352" t="s">
        <v>1601</v>
      </c>
      <c r="B24" s="2220" t="s">
        <v>1968</v>
      </c>
      <c r="C24" s="2220"/>
      <c r="D24" s="2220"/>
      <c r="E24" s="2220"/>
      <c r="F24" s="2220"/>
      <c r="G24" s="2220"/>
      <c r="H24" s="2220"/>
    </row>
    <row r="25" spans="1:8" ht="15" customHeight="1" x14ac:dyDescent="0.2">
      <c r="A25" s="1352" t="s">
        <v>1602</v>
      </c>
      <c r="B25" s="2220" t="s">
        <v>1968</v>
      </c>
      <c r="C25" s="2220"/>
      <c r="D25" s="2220"/>
      <c r="E25" s="2220"/>
      <c r="F25" s="2220"/>
      <c r="G25" s="2220"/>
      <c r="H25" s="2220"/>
    </row>
    <row r="26" spans="1:8" ht="15" customHeight="1" x14ac:dyDescent="0.2">
      <c r="A26" s="1352" t="s">
        <v>1603</v>
      </c>
      <c r="B26" s="2220" t="s">
        <v>1968</v>
      </c>
      <c r="C26" s="2220"/>
      <c r="D26" s="2220"/>
      <c r="E26" s="2220"/>
      <c r="F26" s="2220"/>
      <c r="G26" s="2220"/>
      <c r="H26" s="2220"/>
    </row>
    <row r="27" spans="1:8" ht="15" customHeight="1" x14ac:dyDescent="0.2">
      <c r="A27" s="1352" t="s">
        <v>1604</v>
      </c>
      <c r="B27" s="2220" t="s">
        <v>1968</v>
      </c>
      <c r="C27" s="2220"/>
      <c r="D27" s="2220"/>
      <c r="E27" s="2220"/>
      <c r="F27" s="2220"/>
      <c r="G27" s="2220"/>
      <c r="H27" s="2220"/>
    </row>
    <row r="28" spans="1:8" ht="15" customHeight="1" x14ac:dyDescent="0.2">
      <c r="A28" s="1352" t="s">
        <v>1605</v>
      </c>
      <c r="B28" s="2220" t="s">
        <v>1968</v>
      </c>
      <c r="C28" s="2220"/>
      <c r="D28" s="2220"/>
      <c r="E28" s="2220"/>
      <c r="F28" s="2220"/>
      <c r="G28" s="2220"/>
      <c r="H28" s="2220"/>
    </row>
    <row r="29" spans="1:8" ht="15" customHeight="1" x14ac:dyDescent="0.2">
      <c r="A29" s="1352" t="s">
        <v>1606</v>
      </c>
      <c r="B29" s="2220" t="s">
        <v>1968</v>
      </c>
      <c r="C29" s="2220"/>
      <c r="D29" s="2220"/>
      <c r="E29" s="2220"/>
      <c r="F29" s="2220"/>
      <c r="G29" s="2220"/>
      <c r="H29" s="2220"/>
    </row>
    <row r="30" spans="1:8" ht="15" customHeight="1" x14ac:dyDescent="0.2">
      <c r="A30" s="1352" t="s">
        <v>1607</v>
      </c>
      <c r="B30" s="2220" t="s">
        <v>1968</v>
      </c>
      <c r="C30" s="2220"/>
      <c r="D30" s="2220"/>
      <c r="E30" s="2220"/>
      <c r="F30" s="2220"/>
      <c r="G30" s="2220"/>
      <c r="H30" s="2220"/>
    </row>
    <row r="31" spans="1:8" ht="15" customHeight="1" x14ac:dyDescent="0.2">
      <c r="A31" s="1352" t="s">
        <v>1608</v>
      </c>
      <c r="B31" s="2220" t="s">
        <v>1968</v>
      </c>
      <c r="C31" s="2220"/>
      <c r="D31" s="2220"/>
      <c r="E31" s="2220"/>
      <c r="F31" s="2220"/>
      <c r="G31" s="2220"/>
      <c r="H31" s="2220"/>
    </row>
    <row r="32" spans="1:8" ht="15" customHeight="1" x14ac:dyDescent="0.2">
      <c r="A32" s="1352" t="s">
        <v>1609</v>
      </c>
      <c r="B32" s="2220" t="s">
        <v>1968</v>
      </c>
      <c r="C32" s="2220"/>
      <c r="D32" s="2220"/>
      <c r="E32" s="2220"/>
      <c r="F32" s="2220"/>
      <c r="G32" s="2220"/>
      <c r="H32" s="2220"/>
    </row>
    <row r="33" spans="1:8" ht="15" customHeight="1" x14ac:dyDescent="0.2">
      <c r="A33" s="1352" t="s">
        <v>1610</v>
      </c>
      <c r="B33" s="2220" t="s">
        <v>1968</v>
      </c>
      <c r="C33" s="2220"/>
      <c r="D33" s="2220"/>
      <c r="E33" s="2220"/>
      <c r="F33" s="2220"/>
      <c r="G33" s="2220"/>
      <c r="H33" s="2220"/>
    </row>
    <row r="34" spans="1:8" ht="15" customHeight="1" x14ac:dyDescent="0.2">
      <c r="A34" s="1352" t="s">
        <v>1611</v>
      </c>
      <c r="B34" s="2220" t="s">
        <v>1968</v>
      </c>
      <c r="C34" s="2220"/>
      <c r="D34" s="2220"/>
      <c r="E34" s="2220"/>
      <c r="F34" s="2220"/>
      <c r="G34" s="2220"/>
      <c r="H34" s="2220"/>
    </row>
    <row r="35" spans="1:8" ht="15" customHeight="1" x14ac:dyDescent="0.2">
      <c r="A35" s="1352" t="s">
        <v>1612</v>
      </c>
      <c r="B35" s="2220" t="s">
        <v>1973</v>
      </c>
      <c r="C35" s="2220"/>
      <c r="D35" s="2220"/>
      <c r="E35" s="2220"/>
      <c r="F35" s="2220"/>
      <c r="G35" s="2220"/>
      <c r="H35" s="2220"/>
    </row>
    <row r="36" spans="1:8" ht="15" customHeight="1" x14ac:dyDescent="0.2">
      <c r="A36" s="1352" t="s">
        <v>1613</v>
      </c>
      <c r="B36" s="2220" t="s">
        <v>1973</v>
      </c>
      <c r="C36" s="2220"/>
      <c r="D36" s="2220"/>
      <c r="E36" s="2220"/>
      <c r="F36" s="2220"/>
      <c r="G36" s="2220"/>
      <c r="H36" s="2220"/>
    </row>
    <row r="37" spans="1:8" ht="15" customHeight="1" x14ac:dyDescent="0.2">
      <c r="A37" s="1352" t="s">
        <v>1614</v>
      </c>
      <c r="B37" s="2220" t="s">
        <v>1973</v>
      </c>
      <c r="C37" s="2220"/>
      <c r="D37" s="2220"/>
      <c r="E37" s="2220"/>
      <c r="F37" s="2220"/>
      <c r="G37" s="2220"/>
      <c r="H37" s="2220"/>
    </row>
    <row r="38" spans="1:8" ht="15" customHeight="1" x14ac:dyDescent="0.2">
      <c r="A38" s="1352" t="s">
        <v>1615</v>
      </c>
      <c r="B38" s="2220" t="s">
        <v>1973</v>
      </c>
      <c r="C38" s="2220"/>
      <c r="D38" s="2220"/>
      <c r="E38" s="2220"/>
      <c r="F38" s="2220"/>
      <c r="G38" s="2220"/>
      <c r="H38" s="2220"/>
    </row>
    <row r="39" spans="1:8" ht="15" customHeight="1" x14ac:dyDescent="0.2">
      <c r="A39" s="1352" t="s">
        <v>1618</v>
      </c>
      <c r="B39" s="2220" t="s">
        <v>1968</v>
      </c>
      <c r="C39" s="2220"/>
      <c r="D39" s="2220"/>
      <c r="E39" s="2220"/>
      <c r="F39" s="2220"/>
      <c r="G39" s="2220"/>
      <c r="H39" s="2220"/>
    </row>
    <row r="40" spans="1:8" ht="15" customHeight="1" x14ac:dyDescent="0.2">
      <c r="A40" s="1352" t="s">
        <v>1619</v>
      </c>
      <c r="B40" s="2220" t="s">
        <v>1968</v>
      </c>
      <c r="C40" s="2220"/>
      <c r="D40" s="2220"/>
      <c r="E40" s="2220"/>
      <c r="F40" s="2220"/>
      <c r="G40" s="2220"/>
      <c r="H40" s="2220"/>
    </row>
    <row r="41" spans="1:8" ht="15" customHeight="1" x14ac:dyDescent="0.2">
      <c r="A41" s="1352" t="s">
        <v>1620</v>
      </c>
      <c r="B41" s="2220" t="s">
        <v>1968</v>
      </c>
      <c r="C41" s="2220"/>
      <c r="D41" s="2220"/>
      <c r="E41" s="2220"/>
      <c r="F41" s="2220"/>
      <c r="G41" s="2220"/>
      <c r="H41" s="2220"/>
    </row>
    <row r="42" spans="1:8" ht="15" customHeight="1" x14ac:dyDescent="0.2">
      <c r="A42" s="1352" t="s">
        <v>1621</v>
      </c>
      <c r="B42" s="2220" t="s">
        <v>1968</v>
      </c>
      <c r="C42" s="2220"/>
      <c r="D42" s="2220"/>
      <c r="E42" s="2220"/>
      <c r="F42" s="2220"/>
      <c r="G42" s="2220"/>
      <c r="H42" s="2220"/>
    </row>
    <row r="43" spans="1:8" ht="15" customHeight="1" x14ac:dyDescent="0.2">
      <c r="A43" s="1352" t="s">
        <v>1622</v>
      </c>
      <c r="B43" s="2220" t="s">
        <v>1968</v>
      </c>
      <c r="C43" s="2220"/>
      <c r="D43" s="2220"/>
      <c r="E43" s="2220"/>
      <c r="F43" s="2220"/>
      <c r="G43" s="2220"/>
      <c r="H43" s="2220"/>
    </row>
    <row r="44" spans="1:8" ht="15" customHeight="1" x14ac:dyDescent="0.2">
      <c r="A44" s="1352" t="s">
        <v>1623</v>
      </c>
      <c r="B44" s="2220" t="s">
        <v>1968</v>
      </c>
      <c r="C44" s="2220"/>
      <c r="D44" s="2220"/>
      <c r="E44" s="2220"/>
      <c r="F44" s="2220"/>
      <c r="G44" s="2220"/>
      <c r="H44" s="2220"/>
    </row>
    <row r="45" spans="1:8" ht="15" customHeight="1" x14ac:dyDescent="0.2">
      <c r="A45" s="1352" t="s">
        <v>1624</v>
      </c>
      <c r="B45" s="2220" t="s">
        <v>1968</v>
      </c>
      <c r="C45" s="2220"/>
      <c r="D45" s="2220"/>
      <c r="E45" s="2220"/>
      <c r="F45" s="2220"/>
      <c r="G45" s="2220"/>
      <c r="H45" s="2220"/>
    </row>
    <row r="46" spans="1:8" ht="15" customHeight="1" x14ac:dyDescent="0.2">
      <c r="A46" s="1352" t="s">
        <v>1625</v>
      </c>
      <c r="B46" s="2220" t="s">
        <v>1968</v>
      </c>
      <c r="C46" s="2220"/>
      <c r="D46" s="2220"/>
      <c r="E46" s="2220"/>
      <c r="F46" s="2220"/>
      <c r="G46" s="2220"/>
      <c r="H46" s="2220"/>
    </row>
    <row r="47" spans="1:8" ht="15" customHeight="1" x14ac:dyDescent="0.2">
      <c r="A47" s="1355" t="s">
        <v>1626</v>
      </c>
      <c r="B47" s="2221" t="s">
        <v>1968</v>
      </c>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65M6tPAmto1XsXMKQ2pn5LpTUHywC24kZYxXuAyXw7SOWZTxvMKiQjK3/a2MS7N0/2qkyYCkKnVRJyhxin7JKA==" saltValue="+6Sz0ZobqBCEsTwXFD/PjA=="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10"/>
  </sheetPr>
  <dimension ref="A1:H65"/>
  <sheetViews>
    <sheetView showGridLines="0" zoomScaleNormal="100" workbookViewId="0">
      <selection activeCell="A8" sqref="A8"/>
    </sheetView>
  </sheetViews>
  <sheetFormatPr defaultRowHeight="12.75" x14ac:dyDescent="0.2"/>
  <cols>
    <col min="1" max="1" width="10.7109375" style="2" customWidth="1"/>
    <col min="2" max="2" width="10.28515625" style="2" customWidth="1"/>
    <col min="3" max="3" width="32.7109375" style="2" customWidth="1"/>
    <col min="4" max="4" width="13.7109375" style="2" customWidth="1"/>
    <col min="5" max="5" width="10.7109375" style="2" customWidth="1"/>
    <col min="6" max="6" width="6.7109375" style="2" customWidth="1"/>
    <col min="7" max="7" width="7.28515625" style="2" customWidth="1"/>
    <col min="8" max="8" width="10.7109375" style="2" customWidth="1"/>
    <col min="9" max="16384" width="9.140625" style="2"/>
  </cols>
  <sheetData>
    <row r="1" spans="1:8" s="19" customFormat="1" ht="39.950000000000003" customHeight="1" x14ac:dyDescent="0.3">
      <c r="A1" s="662" t="s">
        <v>44</v>
      </c>
      <c r="B1" s="444"/>
      <c r="C1" s="444"/>
      <c r="D1" s="444"/>
      <c r="E1" s="1836" t="s">
        <v>20</v>
      </c>
      <c r="F1" s="2223">
        <f>IF(ISBLANK('Job Info.'!D8),"",'Job Info.'!D8)</f>
        <v>43406</v>
      </c>
      <c r="G1" s="2223"/>
      <c r="H1" s="444"/>
    </row>
    <row r="2" spans="1:8" ht="39.950000000000003" customHeight="1" x14ac:dyDescent="0.2">
      <c r="A2" s="20" t="s">
        <v>41</v>
      </c>
      <c r="B2" s="473"/>
      <c r="C2" s="473"/>
      <c r="D2" s="444"/>
      <c r="E2" s="1835" t="s">
        <v>21</v>
      </c>
      <c r="F2" s="663">
        <v>7</v>
      </c>
      <c r="G2" s="663">
        <v>7</v>
      </c>
      <c r="H2" s="473"/>
    </row>
    <row r="3" spans="1:8" ht="6" customHeight="1" x14ac:dyDescent="0.2">
      <c r="A3" s="473"/>
      <c r="B3" s="473"/>
      <c r="C3" s="473"/>
      <c r="D3" s="473"/>
      <c r="E3" s="473"/>
      <c r="F3" s="473"/>
      <c r="G3" s="473"/>
      <c r="H3" s="473"/>
    </row>
    <row r="4" spans="1:8" ht="15.95" customHeight="1" x14ac:dyDescent="0.2">
      <c r="A4" s="1830" t="s">
        <v>1</v>
      </c>
      <c r="B4" s="2225" t="str">
        <f>IF(ISBLANK('Job Info.'!D3),"",'Job Info.'!D3)</f>
        <v>SUNPOINT CROSSING</v>
      </c>
      <c r="C4" s="2226"/>
      <c r="D4" s="1830" t="s">
        <v>2</v>
      </c>
      <c r="E4" s="2225" t="str">
        <f>IF(ISBLANK('Job Info.'!D5),"",'Job Info.'!D5)</f>
        <v>9118-0062</v>
      </c>
      <c r="F4" s="2225"/>
      <c r="G4" s="2225"/>
      <c r="H4" s="2226"/>
    </row>
    <row r="5" spans="1:8" ht="15.95" customHeight="1" x14ac:dyDescent="0.2">
      <c r="A5" s="1830" t="s">
        <v>3</v>
      </c>
      <c r="B5" s="2225" t="str">
        <f>IF(ISBLANK('Job Info.'!D4),"",'Job Info.'!D4)</f>
        <v>LAS VEGAS, NV</v>
      </c>
      <c r="C5" s="2226"/>
      <c r="D5" s="1830" t="s">
        <v>22</v>
      </c>
      <c r="E5" s="1823" t="str">
        <f>IF(ISBLANK('Job Info.'!D6),"",'Job Info.'!D6)</f>
        <v>CJA</v>
      </c>
      <c r="F5" s="286"/>
      <c r="G5" s="1825" t="s">
        <v>23</v>
      </c>
      <c r="H5" s="1823" t="str">
        <f>IF(ISBLANK('Job Info.'!D7),"",'Job Info.'!D7)</f>
        <v>LS</v>
      </c>
    </row>
    <row r="6" spans="1:8" ht="6" customHeight="1" x14ac:dyDescent="0.2">
      <c r="A6" s="473"/>
      <c r="B6" s="473"/>
      <c r="C6" s="473"/>
      <c r="D6" s="473"/>
      <c r="E6" s="473"/>
      <c r="F6" s="473"/>
      <c r="G6" s="473"/>
      <c r="H6" s="473"/>
    </row>
    <row r="7" spans="1:8" s="23" customFormat="1" ht="15.95" customHeight="1" x14ac:dyDescent="0.2">
      <c r="A7" s="1821" t="s">
        <v>40</v>
      </c>
      <c r="B7" s="2224" t="s">
        <v>15</v>
      </c>
      <c r="C7" s="2224"/>
      <c r="D7" s="2224"/>
      <c r="E7" s="2224"/>
      <c r="F7" s="2224"/>
      <c r="G7" s="2224"/>
      <c r="H7" s="2224"/>
    </row>
    <row r="8" spans="1:8" ht="15" customHeight="1" x14ac:dyDescent="0.2">
      <c r="A8" s="1350" t="s">
        <v>1627</v>
      </c>
      <c r="B8" s="2222" t="s">
        <v>1968</v>
      </c>
      <c r="C8" s="2222"/>
      <c r="D8" s="2222"/>
      <c r="E8" s="2222"/>
      <c r="F8" s="2222"/>
      <c r="G8" s="2222"/>
      <c r="H8" s="2222"/>
    </row>
    <row r="9" spans="1:8" ht="15" customHeight="1" x14ac:dyDescent="0.2">
      <c r="A9" s="1352" t="s">
        <v>1628</v>
      </c>
      <c r="B9" s="2220" t="s">
        <v>1968</v>
      </c>
      <c r="C9" s="2220"/>
      <c r="D9" s="2220"/>
      <c r="E9" s="2220"/>
      <c r="F9" s="2220"/>
      <c r="G9" s="2220"/>
      <c r="H9" s="2220"/>
    </row>
    <row r="10" spans="1:8" ht="15" customHeight="1" x14ac:dyDescent="0.2">
      <c r="A10" s="1352" t="s">
        <v>1629</v>
      </c>
      <c r="B10" s="2220" t="s">
        <v>1968</v>
      </c>
      <c r="C10" s="2220"/>
      <c r="D10" s="2220"/>
      <c r="E10" s="2220"/>
      <c r="F10" s="2220"/>
      <c r="G10" s="2220"/>
      <c r="H10" s="2220"/>
    </row>
    <row r="11" spans="1:8" ht="15" customHeight="1" x14ac:dyDescent="0.2">
      <c r="A11" s="1352" t="s">
        <v>1630</v>
      </c>
      <c r="B11" s="2220" t="s">
        <v>1968</v>
      </c>
      <c r="C11" s="2220"/>
      <c r="D11" s="2220"/>
      <c r="E11" s="2220"/>
      <c r="F11" s="2220"/>
      <c r="G11" s="2220"/>
      <c r="H11" s="2220"/>
    </row>
    <row r="12" spans="1:8" ht="15" customHeight="1" x14ac:dyDescent="0.2">
      <c r="A12" s="1352" t="s">
        <v>1631</v>
      </c>
      <c r="B12" s="2220" t="s">
        <v>1968</v>
      </c>
      <c r="C12" s="2220"/>
      <c r="D12" s="2220"/>
      <c r="E12" s="2220"/>
      <c r="F12" s="2220"/>
      <c r="G12" s="2220"/>
      <c r="H12" s="2220"/>
    </row>
    <row r="13" spans="1:8" ht="15" customHeight="1" x14ac:dyDescent="0.2">
      <c r="A13" s="1352" t="s">
        <v>1632</v>
      </c>
      <c r="B13" s="2220" t="s">
        <v>1968</v>
      </c>
      <c r="C13" s="2220"/>
      <c r="D13" s="2220"/>
      <c r="E13" s="2220"/>
      <c r="F13" s="2220"/>
      <c r="G13" s="2220"/>
      <c r="H13" s="2220"/>
    </row>
    <row r="14" spans="1:8" ht="15" customHeight="1" x14ac:dyDescent="0.2">
      <c r="A14" s="1352" t="s">
        <v>1633</v>
      </c>
      <c r="B14" s="2220" t="s">
        <v>1968</v>
      </c>
      <c r="C14" s="2220"/>
      <c r="D14" s="2220"/>
      <c r="E14" s="2220"/>
      <c r="F14" s="2220"/>
      <c r="G14" s="2220"/>
      <c r="H14" s="2220"/>
    </row>
    <row r="15" spans="1:8" ht="15" customHeight="1" x14ac:dyDescent="0.2">
      <c r="A15" s="1352" t="s">
        <v>1634</v>
      </c>
      <c r="B15" s="2220" t="s">
        <v>1968</v>
      </c>
      <c r="C15" s="2220"/>
      <c r="D15" s="2220"/>
      <c r="E15" s="2220"/>
      <c r="F15" s="2220"/>
      <c r="G15" s="2220"/>
      <c r="H15" s="2220"/>
    </row>
    <row r="16" spans="1:8" ht="15" customHeight="1" x14ac:dyDescent="0.2">
      <c r="A16" s="1352" t="s">
        <v>1635</v>
      </c>
      <c r="B16" s="2220" t="s">
        <v>1968</v>
      </c>
      <c r="C16" s="2220"/>
      <c r="D16" s="2220"/>
      <c r="E16" s="2220"/>
      <c r="F16" s="2220"/>
      <c r="G16" s="2220"/>
      <c r="H16" s="2220"/>
    </row>
    <row r="17" spans="1:8" ht="15" customHeight="1" x14ac:dyDescent="0.2">
      <c r="A17" s="1352"/>
      <c r="B17" s="2220"/>
      <c r="C17" s="2220"/>
      <c r="D17" s="2220"/>
      <c r="E17" s="2220"/>
      <c r="F17" s="2220"/>
      <c r="G17" s="2220"/>
      <c r="H17" s="2220"/>
    </row>
    <row r="18" spans="1:8" ht="15" customHeight="1" x14ac:dyDescent="0.2">
      <c r="A18" s="1352"/>
      <c r="B18" s="2220"/>
      <c r="C18" s="2220"/>
      <c r="D18" s="2220"/>
      <c r="E18" s="2220"/>
      <c r="F18" s="2220"/>
      <c r="G18" s="2220"/>
      <c r="H18" s="2220"/>
    </row>
    <row r="19" spans="1:8" ht="15" customHeight="1" x14ac:dyDescent="0.2">
      <c r="A19" s="1352"/>
      <c r="B19" s="2220"/>
      <c r="C19" s="2220"/>
      <c r="D19" s="2220"/>
      <c r="E19" s="2220"/>
      <c r="F19" s="2220"/>
      <c r="G19" s="2220"/>
      <c r="H19" s="2220"/>
    </row>
    <row r="20" spans="1:8" ht="15" customHeight="1" x14ac:dyDescent="0.2">
      <c r="A20" s="1352"/>
      <c r="B20" s="2220"/>
      <c r="C20" s="2220"/>
      <c r="D20" s="2220"/>
      <c r="E20" s="2220"/>
      <c r="F20" s="2220"/>
      <c r="G20" s="2220"/>
      <c r="H20" s="2220"/>
    </row>
    <row r="21" spans="1:8" ht="15" customHeight="1" x14ac:dyDescent="0.2">
      <c r="A21" s="1352"/>
      <c r="B21" s="2220"/>
      <c r="C21" s="2220"/>
      <c r="D21" s="2220"/>
      <c r="E21" s="2220"/>
      <c r="F21" s="2220"/>
      <c r="G21" s="2220"/>
      <c r="H21" s="2220"/>
    </row>
    <row r="22" spans="1:8" ht="15" customHeight="1" x14ac:dyDescent="0.2">
      <c r="A22" s="1352"/>
      <c r="B22" s="2220"/>
      <c r="C22" s="2220"/>
      <c r="D22" s="2220"/>
      <c r="E22" s="2220"/>
      <c r="F22" s="2220"/>
      <c r="G22" s="2220"/>
      <c r="H22" s="2220"/>
    </row>
    <row r="23" spans="1:8" ht="15" customHeight="1" x14ac:dyDescent="0.2">
      <c r="A23" s="1352"/>
      <c r="B23" s="2220"/>
      <c r="C23" s="2220"/>
      <c r="D23" s="2220"/>
      <c r="E23" s="2220"/>
      <c r="F23" s="2220"/>
      <c r="G23" s="2220"/>
      <c r="H23" s="2220"/>
    </row>
    <row r="24" spans="1:8" ht="15" customHeight="1" x14ac:dyDescent="0.2">
      <c r="A24" s="1352"/>
      <c r="B24" s="2220"/>
      <c r="C24" s="2220"/>
      <c r="D24" s="2220"/>
      <c r="E24" s="2220"/>
      <c r="F24" s="2220"/>
      <c r="G24" s="2220"/>
      <c r="H24" s="2220"/>
    </row>
    <row r="25" spans="1:8" ht="15" customHeight="1" x14ac:dyDescent="0.2">
      <c r="A25" s="1352"/>
      <c r="B25" s="2220"/>
      <c r="C25" s="2220"/>
      <c r="D25" s="2220"/>
      <c r="E25" s="2220"/>
      <c r="F25" s="2220"/>
      <c r="G25" s="2220"/>
      <c r="H25" s="2220"/>
    </row>
    <row r="26" spans="1:8" ht="15" customHeight="1" x14ac:dyDescent="0.2">
      <c r="A26" s="1352"/>
      <c r="B26" s="2220"/>
      <c r="C26" s="2220"/>
      <c r="D26" s="2220"/>
      <c r="E26" s="2220"/>
      <c r="F26" s="2220"/>
      <c r="G26" s="2220"/>
      <c r="H26" s="2220"/>
    </row>
    <row r="27" spans="1:8" ht="15" customHeight="1" x14ac:dyDescent="0.2">
      <c r="A27" s="1352"/>
      <c r="B27" s="2220"/>
      <c r="C27" s="2220"/>
      <c r="D27" s="2220"/>
      <c r="E27" s="2220"/>
      <c r="F27" s="2220"/>
      <c r="G27" s="2220"/>
      <c r="H27" s="2220"/>
    </row>
    <row r="28" spans="1:8" ht="15" customHeight="1" x14ac:dyDescent="0.2">
      <c r="A28" s="1352"/>
      <c r="B28" s="2220"/>
      <c r="C28" s="2220"/>
      <c r="D28" s="2220"/>
      <c r="E28" s="2220"/>
      <c r="F28" s="2220"/>
      <c r="G28" s="2220"/>
      <c r="H28" s="2220"/>
    </row>
    <row r="29" spans="1:8" ht="15" customHeight="1" x14ac:dyDescent="0.2">
      <c r="A29" s="1352"/>
      <c r="B29" s="2220"/>
      <c r="C29" s="2220"/>
      <c r="D29" s="2220"/>
      <c r="E29" s="2220"/>
      <c r="F29" s="2220"/>
      <c r="G29" s="2220"/>
      <c r="H29" s="2220"/>
    </row>
    <row r="30" spans="1:8" ht="15" customHeight="1" x14ac:dyDescent="0.2">
      <c r="A30" s="1352"/>
      <c r="B30" s="2220"/>
      <c r="C30" s="2220"/>
      <c r="D30" s="2220"/>
      <c r="E30" s="2220"/>
      <c r="F30" s="2220"/>
      <c r="G30" s="2220"/>
      <c r="H30" s="2220"/>
    </row>
    <row r="31" spans="1:8" ht="15" customHeight="1" x14ac:dyDescent="0.2">
      <c r="A31" s="1352"/>
      <c r="B31" s="2220"/>
      <c r="C31" s="2220"/>
      <c r="D31" s="2220"/>
      <c r="E31" s="2220"/>
      <c r="F31" s="2220"/>
      <c r="G31" s="2220"/>
      <c r="H31" s="2220"/>
    </row>
    <row r="32" spans="1:8" ht="15" customHeight="1" x14ac:dyDescent="0.2">
      <c r="A32" s="1352"/>
      <c r="B32" s="2220"/>
      <c r="C32" s="2220"/>
      <c r="D32" s="2220"/>
      <c r="E32" s="2220"/>
      <c r="F32" s="2220"/>
      <c r="G32" s="2220"/>
      <c r="H32" s="2220"/>
    </row>
    <row r="33" spans="1:8" ht="15" customHeight="1" x14ac:dyDescent="0.2">
      <c r="A33" s="1352"/>
      <c r="B33" s="2220"/>
      <c r="C33" s="2220"/>
      <c r="D33" s="2220"/>
      <c r="E33" s="2220"/>
      <c r="F33" s="2220"/>
      <c r="G33" s="2220"/>
      <c r="H33" s="2220"/>
    </row>
    <row r="34" spans="1:8" ht="15" customHeight="1" x14ac:dyDescent="0.2">
      <c r="A34" s="1352"/>
      <c r="B34" s="2220"/>
      <c r="C34" s="2220"/>
      <c r="D34" s="2220"/>
      <c r="E34" s="2220"/>
      <c r="F34" s="2220"/>
      <c r="G34" s="2220"/>
      <c r="H34" s="2220"/>
    </row>
    <row r="35" spans="1:8" ht="15" customHeight="1" x14ac:dyDescent="0.2">
      <c r="A35" s="1352"/>
      <c r="B35" s="2220"/>
      <c r="C35" s="2220"/>
      <c r="D35" s="2220"/>
      <c r="E35" s="2220"/>
      <c r="F35" s="2220"/>
      <c r="G35" s="2220"/>
      <c r="H35" s="2220"/>
    </row>
    <row r="36" spans="1:8" ht="15" customHeight="1" x14ac:dyDescent="0.2">
      <c r="A36" s="1352"/>
      <c r="B36" s="2220"/>
      <c r="C36" s="2220"/>
      <c r="D36" s="2220"/>
      <c r="E36" s="2220"/>
      <c r="F36" s="2220"/>
      <c r="G36" s="2220"/>
      <c r="H36" s="2220"/>
    </row>
    <row r="37" spans="1:8" ht="15" customHeight="1" x14ac:dyDescent="0.2">
      <c r="A37" s="1352"/>
      <c r="B37" s="2220"/>
      <c r="C37" s="2220"/>
      <c r="D37" s="2220"/>
      <c r="E37" s="2220"/>
      <c r="F37" s="2220"/>
      <c r="G37" s="2220"/>
      <c r="H37" s="2220"/>
    </row>
    <row r="38" spans="1:8" ht="15" customHeight="1" x14ac:dyDescent="0.2">
      <c r="A38" s="1352"/>
      <c r="B38" s="2220"/>
      <c r="C38" s="2220"/>
      <c r="D38" s="2220"/>
      <c r="E38" s="2220"/>
      <c r="F38" s="2220"/>
      <c r="G38" s="2220"/>
      <c r="H38" s="2220"/>
    </row>
    <row r="39" spans="1:8" ht="15" customHeight="1" x14ac:dyDescent="0.2">
      <c r="A39" s="1352"/>
      <c r="B39" s="2220"/>
      <c r="C39" s="2220"/>
      <c r="D39" s="2220"/>
      <c r="E39" s="2220"/>
      <c r="F39" s="2220"/>
      <c r="G39" s="2220"/>
      <c r="H39" s="2220"/>
    </row>
    <row r="40" spans="1:8" ht="15" customHeight="1" x14ac:dyDescent="0.2">
      <c r="A40" s="1352"/>
      <c r="B40" s="2220"/>
      <c r="C40" s="2220"/>
      <c r="D40" s="2220"/>
      <c r="E40" s="2220"/>
      <c r="F40" s="2220"/>
      <c r="G40" s="2220"/>
      <c r="H40" s="2220"/>
    </row>
    <row r="41" spans="1:8" ht="15" customHeight="1" x14ac:dyDescent="0.2">
      <c r="A41" s="1352"/>
      <c r="B41" s="2220"/>
      <c r="C41" s="2220"/>
      <c r="D41" s="2220"/>
      <c r="E41" s="2220"/>
      <c r="F41" s="2220"/>
      <c r="G41" s="2220"/>
      <c r="H41" s="2220"/>
    </row>
    <row r="42" spans="1:8" ht="15" customHeight="1" x14ac:dyDescent="0.2">
      <c r="A42" s="1352"/>
      <c r="B42" s="2220"/>
      <c r="C42" s="2220"/>
      <c r="D42" s="2220"/>
      <c r="E42" s="2220"/>
      <c r="F42" s="2220"/>
      <c r="G42" s="2220"/>
      <c r="H42" s="2220"/>
    </row>
    <row r="43" spans="1:8" ht="15" customHeight="1" x14ac:dyDescent="0.2">
      <c r="A43" s="1352"/>
      <c r="B43" s="2220"/>
      <c r="C43" s="2220"/>
      <c r="D43" s="2220"/>
      <c r="E43" s="2220"/>
      <c r="F43" s="2220"/>
      <c r="G43" s="2220"/>
      <c r="H43" s="2220"/>
    </row>
    <row r="44" spans="1:8" ht="15" customHeight="1" x14ac:dyDescent="0.2">
      <c r="A44" s="1352"/>
      <c r="B44" s="2220"/>
      <c r="C44" s="2220"/>
      <c r="D44" s="2220"/>
      <c r="E44" s="2220"/>
      <c r="F44" s="2220"/>
      <c r="G44" s="2220"/>
      <c r="H44" s="2220"/>
    </row>
    <row r="45" spans="1:8" ht="15" customHeight="1" x14ac:dyDescent="0.2">
      <c r="A45" s="1352"/>
      <c r="B45" s="2220"/>
      <c r="C45" s="2220"/>
      <c r="D45" s="2220"/>
      <c r="E45" s="2220"/>
      <c r="F45" s="2220"/>
      <c r="G45" s="2220"/>
      <c r="H45" s="2220"/>
    </row>
    <row r="46" spans="1:8" ht="15" customHeight="1" x14ac:dyDescent="0.2">
      <c r="A46" s="1352"/>
      <c r="B46" s="2220"/>
      <c r="C46" s="2220"/>
      <c r="D46" s="2220"/>
      <c r="E46" s="2220"/>
      <c r="F46" s="2220"/>
      <c r="G46" s="2220"/>
      <c r="H46" s="2220"/>
    </row>
    <row r="47" spans="1:8" ht="15" customHeight="1" x14ac:dyDescent="0.2">
      <c r="A47" s="1355"/>
      <c r="B47" s="2221"/>
      <c r="C47" s="2221"/>
      <c r="D47" s="2221"/>
      <c r="E47" s="2221"/>
      <c r="F47" s="2221"/>
      <c r="G47" s="2221"/>
      <c r="H47" s="2221"/>
    </row>
    <row r="59" spans="1:1" x14ac:dyDescent="0.2">
      <c r="A59" s="973" t="s">
        <v>1062</v>
      </c>
    </row>
    <row r="60" spans="1:1" hidden="1" x14ac:dyDescent="0.2">
      <c r="A60" s="1128" t="s">
        <v>149</v>
      </c>
    </row>
    <row r="61" spans="1:1" hidden="1" x14ac:dyDescent="0.2">
      <c r="A61" s="1130"/>
    </row>
    <row r="62" spans="1:1" hidden="1" x14ac:dyDescent="0.2"/>
    <row r="63" spans="1:1" hidden="1" x14ac:dyDescent="0.2"/>
    <row r="64" spans="1:1" hidden="1" x14ac:dyDescent="0.2"/>
    <row r="65" spans="1:1" x14ac:dyDescent="0.2">
      <c r="A65" s="973" t="s">
        <v>1063</v>
      </c>
    </row>
  </sheetData>
  <sheetProtection algorithmName="SHA-512" hashValue="Zbkd8LmChWjKc/FVFK94JGZjw09uVRUEpYIEDSrfS647gT5sUH8UxsxS10T8BsNCw8QmSiIRakgWVIuAAX12DA==" saltValue="F27eWSJSgzBaT6S92OeOo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36">
    <x:tabColor indexed="44"/>
  </x:sheetPr>
  <x:dimension ref="A1:R100"/>
  <x:sheetViews>
    <x:sheetView showGridLines="0" topLeftCell="A7" zoomScaleNormal="100" zoomScaleSheetLayoutView="100" workbookViewId="0">
      <x:selection activeCell="H7" sqref="H7"/>
    </x:sheetView>
  </x:sheetViews>
  <x:sheetFormatPr defaultRowHeight="12" x14ac:dyDescent="0.2"/>
  <x:cols>
    <x:col min="1" max="1" width="10.7109375" style="295" customWidth="1"/>
    <x:col min="2" max="2" width="30.7109375" style="295" customWidth="1"/>
    <x:col min="3" max="6" width="6.42578125" style="295" customWidth="1"/>
    <x:col min="7" max="7" width="10.7109375" style="295" customWidth="1"/>
    <x:col min="8" max="8" width="6.7109375" style="295" customWidth="1"/>
    <x:col min="9" max="9" width="7.28515625" style="295" customWidth="1"/>
    <x:col min="10" max="10" width="10.7109375" style="295" customWidth="1"/>
    <x:col min="11" max="11" width="6.7109375" style="295" customWidth="1"/>
    <x:col min="12" max="13" width="5.7109375" style="295" hidden="1" customWidth="1"/>
    <x:col min="14" max="14" width="5.7109375" style="1010" hidden="1" customWidth="1"/>
    <x:col min="15" max="15" width="11.28515625" style="295" hidden="1" customWidth="1"/>
    <x:col min="16" max="16" width="68.140625" style="295" hidden="1" customWidth="1"/>
    <x:col min="17" max="17" width="135.5703125" style="295" hidden="1" customWidth="1"/>
    <x:col min="18" max="16384" width="9.140625" style="295"/>
  </x:cols>
  <x:sheetData>
    <x:row r="1" spans="1:18" s="449" customFormat="1" ht="15" customHeight="1" thickBot="1" x14ac:dyDescent="0.25">
      <x:c r="A1" s="444"/>
      <x:c r="B1" s="444"/>
      <x:c r="C1" s="444"/>
      <x:c r="D1" s="2227" t="str">
        <x:f>IF(L1="","",VLOOKUP(L1,'Job Info.'!X:AA,4,FALSE))</x:f>
        <x:v>Master</x:v>
      </x:c>
      <x:c r="E1" s="2266"/>
      <x:c r="F1" s="2266"/>
      <x:c r="G1" s="2265" t="s">
        <x:v>96</x:v>
      </x:c>
      <x:c r="H1" s="2277"/>
      <x:c r="I1" s="2259" t="str">
        <x:f ca="1">'Job Info.'!D12</x:f>
        <x:v>775-428-0600</x:v>
      </x:c>
      <x:c r="J1" s="2260"/>
      <x:c r="K1" s="578" t="s">
        <x:v>763</x:v>
      </x:c>
      <x:c r="L1" s="448" t="str">
        <x:f>'Job Info.'!Q30</x:f>
        <x:v>M</x:v>
      </x:c>
      <x:c r="M1" s="448" t="b">
        <x:f>'Job Info.'!Q32</x:f>
        <x:v>0</x:v>
      </x:c>
      <x:c r="N1" s="1008"/>
      <x:c r="R1" s="579" t="s">
        <x:v>764</x:v>
      </x:c>
    </x:row>
    <x:row r="2" spans="1:18" s="449" customFormat="1" ht="12.95" customHeight="1" thickTop="1" x14ac:dyDescent="0.2">
      <x:c r="A2" s="444"/>
      <x:c r="B2" s="444"/>
      <x:c r="C2" s="444"/>
      <x:c r="D2" s="2228" t="str">
        <x:f>IF(L1="","",IF(VLOOKUP(L1,'Job Info.'!X:Z,2,FALSE),"Released for Fabrication",""))</x:f>
        <x:v/>
      </x:c>
      <x:c r="E2" s="2267"/>
      <x:c r="F2" s="2268"/>
      <x:c r="G2" s="2265" t="s">
        <x:v>97</x:v>
      </x:c>
      <x:c r="H2" s="2265"/>
      <x:c r="I2" s="2259" t="str">
        <x:f ca="1">'Job Info.'!D13</x:f>
        <x:v>775-867-2140</x:v>
      </x:c>
      <x:c r="J2" s="2260"/>
      <x:c r="N2" s="1008"/>
    </x:row>
    <x:row r="3" spans="1:18" s="449" customFormat="1" ht="12.95" customHeight="1" x14ac:dyDescent="0.2">
      <x:c r="A3" s="444"/>
      <x:c r="B3" s="444"/>
      <x:c r="C3" s="444"/>
      <x:c r="D3" s="2269"/>
      <x:c r="E3" s="2270"/>
      <x:c r="F3" s="2271"/>
      <x:c r="G3" s="2265" t="s">
        <x:v>99</x:v>
      </x:c>
      <x:c r="H3" s="2265"/>
      <x:c r="I3" s="2259" t="str">
        <x:f ca="1">'Job Info.'!D14</x:f>
        <x:v>775-867-2169</x:v>
      </x:c>
      <x:c r="J3" s="2260"/>
      <x:c r="N3" s="1008"/>
    </x:row>
    <x:row r="4" spans="1:18" s="449" customFormat="1" ht="12.95" customHeight="1" thickBot="1" x14ac:dyDescent="0.25">
      <x:c r="A4" s="444"/>
      <x:c r="B4" s="444"/>
      <x:c r="C4" s="444"/>
      <x:c r="D4" s="2234" t="str">
        <x:f>IF(L1="","",IF(VLOOKUP(L1,'Job Info.'!X:Z,2,FALSE),VLOOKUP(L1,'Job Info.'!X:Z,3,FALSE),""))</x:f>
        <x:v/>
      </x:c>
      <x:c r="E4" s="2272"/>
      <x:c r="F4" s="2273"/>
      <x:c r="G4" s="2265" t="s">
        <x:v>98</x:v>
      </x:c>
      <x:c r="H4" s="2265"/>
      <x:c r="I4" s="2259" t="str">
        <x:f ca="1">'Job Info.'!D15</x:f>
        <x:v>775-867-2060</x:v>
      </x:c>
      <x:c r="J4" s="2260"/>
      <x:c r="N4" s="1008"/>
    </x:row>
    <x:row r="5" spans="1:18" s="449" customFormat="1" ht="12.95" customHeight="1" thickTop="1" x14ac:dyDescent="0.2">
      <x:c r="A5" s="2237" t="str">
        <x:f ca="1">'Job Info.'!D11</x:f>
        <x:v>8200 Woolery Way | Fallon, NV 89406 | www.newmill.com</x:v>
      </x:c>
      <x:c r="B5" s="2237"/>
      <x:c r="C5" s="2237"/>
      <x:c r="D5" s="2237"/>
      <x:c r="E5" s="2237"/>
      <x:c r="F5" s="2237"/>
      <x:c r="G5" s="1824"/>
      <x:c r="H5" s="444"/>
      <x:c r="I5" s="444"/>
      <x:c r="J5" s="444"/>
      <x:c r="N5" s="1008"/>
    </x:row>
    <x:row r="6" spans="1:18" s="449" customFormat="1" ht="12.95" customHeight="1" x14ac:dyDescent="0.2">
      <x:c r="A6" s="444"/>
      <x:c r="B6" s="444"/>
      <x:c r="C6" s="444"/>
      <x:c r="D6" s="444"/>
      <x:c r="E6" s="444"/>
      <x:c r="F6" s="444"/>
      <x:c r="G6" s="550" t="s">
        <x:v>20</x:v>
      </x:c>
      <x:c r="H6" s="2261">
        <x:f>IF(ISBLANK('Job Info.'!D8),"",'Job Info.'!D8)</x:f>
        <x:v>43406</x:v>
      </x:c>
      <x:c r="I6" s="2261"/>
      <x:c r="J6" s="444"/>
      <x:c r="L6" s="1392" t="s">
        <x:v>1180</x:v>
      </x:c>
      <x:c r="M6" s="979"/>
      <x:c r="N6" s="1008"/>
    </x:row>
    <x:row r="7" spans="1:18" ht="12.95" customHeight="1" x14ac:dyDescent="0.2">
      <x:c r="A7" s="472" t="s">
        <x:v>29</x:v>
      </x:c>
      <x:c r="B7" s="473"/>
      <x:c r="C7" s="473"/>
      <x:c r="D7" s="473"/>
      <x:c r="E7" s="473"/>
      <x:c r="F7" s="1023"/>
      <x:c r="G7" s="551" t="s">
        <x:v>21</x:v>
      </x:c>
      <x:c r="H7" s="1527" t="str">
        <x:f>CONCATENATE(L7, " of ",IF(ISBLANK('Job Info.'!D9),"",'Job Info.'!D9))</x:f>
        <x:v>2 of 42</x:v>
      </x:c>
      <x:c r="I7" s="822"/>
      <x:c r="J7" s="573"/>
      <x:c r="L7" s="1394">
        <x:v>2</x:v>
      </x:c>
      <x:c r="M7" s="453"/>
      <x:c r="P7" s="1009"/>
    </x:row>
    <x:row r="8" spans="1:18" ht="3.95" customHeight="1" x14ac:dyDescent="0.2">
      <x:c r="A8" s="473"/>
      <x:c r="B8" s="473"/>
      <x:c r="C8" s="473"/>
      <x:c r="D8" s="473"/>
      <x:c r="E8" s="473"/>
      <x:c r="F8" s="473"/>
      <x:c r="G8" s="473"/>
      <x:c r="H8" s="473"/>
      <x:c r="I8" s="473"/>
      <x:c r="J8" s="473"/>
    </x:row>
    <x:row r="9" spans="1:18" ht="12.6" customHeight="1" x14ac:dyDescent="0.2">
      <x:c r="A9" s="572" t="s">
        <x:v>1</x:v>
      </x:c>
      <x:c r="B9" s="2225" t="str">
        <x:f>IF(ISBLANK('Job Info.'!D3),"",'Job Info.'!D3)</x:f>
        <x:v>SUNPOINT CROSSING</x:v>
      </x:c>
      <x:c r="C9" s="2225"/>
      <x:c r="D9" s="2226"/>
      <x:c r="E9" s="574"/>
      <x:c r="F9" s="575" t="s">
        <x:v>2</x:v>
      </x:c>
      <x:c r="G9" s="2225" t="str">
        <x:f>IF(ISBLANK('Job Info.'!D5),"",'Job Info.'!D5)</x:f>
        <x:v>9118-0062</x:v>
      </x:c>
      <x:c r="H9" s="2225"/>
      <x:c r="I9" s="2225"/>
      <x:c r="J9" s="2226"/>
      <x:c r="L9" s="453"/>
    </x:row>
    <x:row r="10" spans="1:18" ht="12.6" customHeight="1" x14ac:dyDescent="0.2">
      <x:c r="A10" s="572" t="s">
        <x:v>3</x:v>
      </x:c>
      <x:c r="B10" s="2225" t="str">
        <x:f>IF(ISBLANK('Job Info.'!D4),"",'Job Info.'!D4)</x:f>
        <x:v>LAS VEGAS, NV</x:v>
      </x:c>
      <x:c r="C10" s="2225"/>
      <x:c r="D10" s="2226"/>
      <x:c r="E10" s="567"/>
      <x:c r="F10" s="572" t="s">
        <x:v>22</x:v>
      </x:c>
      <x:c r="G10" s="1823" t="str">
        <x:f>IF(ISBLANK('Job Info.'!D6),"",'Job Info.'!D6)</x:f>
        <x:v>CJA</x:v>
      </x:c>
      <x:c r="H10" s="286"/>
      <x:c r="I10" s="575" t="s">
        <x:v>23</x:v>
      </x:c>
      <x:c r="J10" s="1823" t="str">
        <x:f>IF(ISBLANK('Job Info.'!D7),"",'Job Info.'!D7)</x:f>
        <x:v>LS</x:v>
      </x:c>
      <x:c r="L10" s="1201" t="s">
        <x:v>1016</x:v>
      </x:c>
      <x:c r="M10" s="1201" t="s">
        <x:v>171</x:v>
      </x:c>
      <x:c r="O10" s="295">
        <x:f>COUNTA(P13:P99)</x:f>
        <x:v>56</x:v>
      </x:c>
      <x:c r="Q10" s="1010"/>
    </x:row>
    <x:row r="11" spans="1:18" ht="3.95" customHeight="1" x14ac:dyDescent="0.2">
      <x:c r="A11" s="1396"/>
      <x:c r="B11" s="473"/>
      <x:c r="C11" s="473"/>
      <x:c r="D11" s="473"/>
      <x:c r="E11" s="473"/>
      <x:c r="F11" s="473"/>
      <x:c r="G11" s="473"/>
      <x:c r="H11" s="473"/>
      <x:c r="I11" s="473"/>
      <x:c r="J11" s="473"/>
      <x:c r="Q11" s="1010"/>
    </x:row>
    <x:row r="12" spans="1:18" s="570" customFormat="1" ht="15.4" customHeight="1" thickBot="1" x14ac:dyDescent="0.25">
      <x:c r="A12" s="1821" t="s">
        <x:v>30</x:v>
      </x:c>
      <x:c r="B12" s="2262" t="s">
        <x:v>15</x:v>
      </x:c>
      <x:c r="C12" s="2263"/>
      <x:c r="D12" s="2263"/>
      <x:c r="E12" s="2263"/>
      <x:c r="F12" s="2263"/>
      <x:c r="G12" s="2263"/>
      <x:c r="H12" s="2263"/>
      <x:c r="I12" s="2263"/>
      <x:c r="J12" s="2264"/>
      <x:c r="O12" s="1015" t="s">
        <x:v>1006</x:v>
      </x:c>
      <x:c r="P12" s="1016" t="s">
        <x:v>1007</x:v>
      </x:c>
      <x:c r="Q12" s="1011" t="s">
        <x:v>1011</x:v>
      </x:c>
    </x:row>
    <x:row r="13" spans="1:18" ht="15.4" customHeight="1" thickTop="1" x14ac:dyDescent="0.2">
      <x:c r="A13" s="2017" t="s">
        <x:v>32</x:v>
      </x:c>
      <x:c r="B13" s="3036" t="s">
        <x:v>1698</x:v>
      </x:c>
      <x:c r="C13" s="3037"/>
      <x:c r="D13" s="3037"/>
      <x:c r="E13" s="3037"/>
      <x:c r="F13" s="3037"/>
      <x:c r="G13" s="3037"/>
      <x:c r="H13" s="3037"/>
      <x:c r="I13" s="3037"/>
      <x:c r="J13" s="3038"/>
      <x:c r="L13" s="1203" t="str">
        <x:f>IF(ISBLANK(A13),"",A13)</x:f>
        <x:v>A</x:v>
      </x:c>
      <x:c r="M13" s="1203" t="b">
        <x:v>0</x:v>
      </x:c>
      <x:c r="O13" s="1017"/>
      <x:c r="P13" s="1018" t="s">
        <x:v>1065</x:v>
      </x:c>
      <x:c r="Q13" s="1012" t="str">
        <x:f>CONCATENATE("[",O13, "] - ", P13)</x:f>
        <x:v>[] - SHAPES</x:v>
      </x:c>
    </x:row>
    <x:row r="14" spans="1:18" ht="15.4" customHeight="1" x14ac:dyDescent="0.2">
      <x:c r="A14" s="2018" t="s">
        <x:v>35</x:v>
      </x:c>
      <x:c r="B14" s="3030" t="s">
        <x:v>1699</x:v>
      </x:c>
      <x:c r="C14" s="3031"/>
      <x:c r="D14" s="3031"/>
      <x:c r="E14" s="3031"/>
      <x:c r="F14" s="3031"/>
      <x:c r="G14" s="3031"/>
      <x:c r="H14" s="3031"/>
      <x:c r="I14" s="3031"/>
      <x:c r="J14" s="3032"/>
      <x:c r="L14" s="1203" t="str">
        <x:f>IF(ISBLANK(A14),L13,A14)</x:f>
        <x:v>B</x:v>
      </x:c>
      <x:c r="M14" s="1203" t="b">
        <x:v>0</x:v>
      </x:c>
      <x:c r="O14" s="1019" t="s">
        <x:v>1008</x:v>
      </x:c>
      <x:c r="P14" s="1020" t="s">
        <x:v>1066</x:v>
      </x:c>
      <x:c r="Q14" s="1013" t="str">
        <x:f t="shared" ref="Q14:Q77" si="0">CONCATENATE("[",O14, "] - ", P14)</x:f>
        <x:v>[SP] - Single Pitch: (Ctr Depth=Designation) ##" Depth @ LBL, ##" Depth @ RBL</x:v>
      </x:c>
    </x:row>
    <x:row r="15" spans="1:18" ht="15.4" customHeight="1" x14ac:dyDescent="0.2">
      <x:c r="A15" s="2018" t="s">
        <x:v>149</x:v>
      </x:c>
      <x:c r="B15" s="3030" t="s">
        <x:v>1700</x:v>
      </x:c>
      <x:c r="C15" s="3031"/>
      <x:c r="D15" s="3031"/>
      <x:c r="E15" s="3031"/>
      <x:c r="F15" s="3031"/>
      <x:c r="G15" s="3031"/>
      <x:c r="H15" s="3031"/>
      <x:c r="I15" s="3031"/>
      <x:c r="J15" s="3032"/>
      <x:c r="L15" s="1203" t="str">
        <x:f t="shared" ref="L15:L51" si="1">IF(ISBLANK(A15),L14,A15)</x:f>
        <x:v>C</x:v>
      </x:c>
      <x:c r="M15" s="1203" t="b">
        <x:v>0</x:v>
      </x:c>
      <x:c r="O15" s="1019" t="s">
        <x:v>1009</x:v>
      </x:c>
      <x:c r="P15" s="1020" t="s">
        <x:v>1067</x:v>
      </x:c>
      <x:c r="Q15" s="1013" t="str">
        <x:f t="shared" si="0"/>
        <x:v>[DP] - Double Pitch: Ridge @ ##’-## From LBL (Depth=Designation), ##" Depth @ LBL, ##" Depth @ RBL</x:v>
      </x:c>
    </x:row>
    <x:row r="16" spans="1:18" ht="15.4" customHeight="1" x14ac:dyDescent="0.2">
      <x:c r="A16" s="2018" t="s">
        <x:v>1701</x:v>
      </x:c>
      <x:c r="B16" s="3030" t="s">
        <x:v>1702</x:v>
      </x:c>
      <x:c r="C16" s="3031"/>
      <x:c r="D16" s="3031"/>
      <x:c r="E16" s="3031"/>
      <x:c r="F16" s="3031"/>
      <x:c r="G16" s="3031"/>
      <x:c r="H16" s="3031"/>
      <x:c r="I16" s="3031"/>
      <x:c r="J16" s="3032"/>
      <x:c r="L16" s="1203" t="str">
        <x:f t="shared" si="1"/>
        <x:v>D</x:v>
      </x:c>
      <x:c r="M16" s="1203" t="b">
        <x:v>0</x:v>
      </x:c>
      <x:c r="O16" s="1019" t="s">
        <x:v>1010</x:v>
      </x:c>
      <x:c r="P16" s="1020" t="s">
        <x:v>1068</x:v>
      </x:c>
      <x:c r="Q16" s="1013" t="str">
        <x:f t="shared" si="0"/>
        <x:v>[TP] - Triple Pitch: Ridge Left @ ##’-## From LBL (Depth=Designation), ##" Depth @ LBL, ##" Depth @ RBL, Ridge Right @ ##'-## From LBL</x:v>
      </x:c>
    </x:row>
    <x:row r="17" spans="1:17" ht="15.4" customHeight="1" x14ac:dyDescent="0.2">
      <x:c r="A17" s="2018" t="s">
        <x:v>1703</x:v>
      </x:c>
      <x:c r="B17" s="3030" t="s">
        <x:v>1704</x:v>
      </x:c>
      <x:c r="C17" s="3031"/>
      <x:c r="D17" s="3031"/>
      <x:c r="E17" s="3031"/>
      <x:c r="F17" s="3031"/>
      <x:c r="G17" s="3031"/>
      <x:c r="H17" s="3031"/>
      <x:c r="I17" s="3031"/>
      <x:c r="J17" s="3032"/>
      <x:c r="L17" s="1203" t="str">
        <x:f t="shared" si="1"/>
        <x:v>F</x:v>
      </x:c>
      <x:c r="M17" s="1203" t="b">
        <x:v>0</x:v>
      </x:c>
      <x:c r="O17" s="1019" t="s">
        <x:v>1034</x:v>
      </x:c>
      <x:c r="P17" s="1020" t="s">
        <x:v>1069</x:v>
      </x:c>
      <x:c r="Q17" s="1013" t="str">
        <x:f t="shared" si="0"/>
        <x:v>[AC] - Arched Chords: (Depth=Designation) ##" TC Radius</x:v>
      </x:c>
    </x:row>
    <x:row r="18" spans="1:17" ht="15.4" customHeight="1" x14ac:dyDescent="0.2">
      <x:c r="A18" s="2018" t="s">
        <x:v>475</x:v>
      </x:c>
      <x:c r="B18" s="3030" t="s">
        <x:v>1705</x:v>
      </x:c>
      <x:c r="C18" s="3031"/>
      <x:c r="D18" s="3031"/>
      <x:c r="E18" s="3031"/>
      <x:c r="F18" s="3031"/>
      <x:c r="G18" s="3031"/>
      <x:c r="H18" s="3031"/>
      <x:c r="I18" s="3031"/>
      <x:c r="J18" s="3032"/>
      <x:c r="L18" s="1203" t="str">
        <x:f t="shared" si="1"/>
        <x:v>G</x:v>
      </x:c>
      <x:c r="M18" s="1203" t="b">
        <x:v>0</x:v>
      </x:c>
      <x:c r="O18" s="1019" t="s">
        <x:v>1035</x:v>
      </x:c>
      <x:c r="P18" s="1020" t="s">
        <x:v>1070</x:v>
      </x:c>
      <x:c r="Q18" s="1013" t="str">
        <x:f t="shared" si="0"/>
        <x:v>[BW] - Bowstring: Ridge @ ##’-## From LBL (Depth=Designation), ##" Depth @ LBL, ##" TC Radius</x:v>
      </x:c>
    </x:row>
    <x:row r="19" spans="1:17" ht="15.4" customHeight="1" x14ac:dyDescent="0.2">
      <x:c r="A19" s="2018" t="s">
        <x:v>1706</x:v>
      </x:c>
      <x:c r="B19" s="3030" t="s">
        <x:v>1707</x:v>
      </x:c>
      <x:c r="C19" s="3031"/>
      <x:c r="D19" s="3031"/>
      <x:c r="E19" s="3031"/>
      <x:c r="F19" s="3031"/>
      <x:c r="G19" s="3031"/>
      <x:c r="H19" s="3031"/>
      <x:c r="I19" s="3031"/>
      <x:c r="J19" s="3032"/>
      <x:c r="L19" s="1203" t="str">
        <x:f t="shared" si="1"/>
        <x:v>H</x:v>
      </x:c>
      <x:c r="M19" s="1203" t="b">
        <x:v>0</x:v>
      </x:c>
      <x:c r="O19" s="1019" t="s">
        <x:v>1036</x:v>
      </x:c>
      <x:c r="P19" s="1020" t="s">
        <x:v>1119</x:v>
      </x:c>
      <x:c r="Q19" s="1013" t="str">
        <x:f t="shared" si="0"/>
        <x:v>[SC] - Scissor: Ridge @ ##’-## From LBL (Vert Depth=Designation), BC Rise ##” @ Ridge From LBL, ##" Vert Depth @ LBL, ##" Vert Depth @ RBL, ##" BC Elev difference @ RBL</x:v>
      </x:c>
    </x:row>
    <x:row r="20" spans="1:17" ht="15.4" customHeight="1" x14ac:dyDescent="0.2">
      <x:c r="A20" s="2018" t="s">
        <x:v>1708</x:v>
      </x:c>
      <x:c r="B20" s="3030" t="s">
        <x:v>1709</x:v>
      </x:c>
      <x:c r="C20" s="3031"/>
      <x:c r="D20" s="3031"/>
      <x:c r="E20" s="3031"/>
      <x:c r="F20" s="3031"/>
      <x:c r="G20" s="3031"/>
      <x:c r="H20" s="3031"/>
      <x:c r="I20" s="3031"/>
      <x:c r="J20" s="3032"/>
      <x:c r="L20" s="1203" t="str">
        <x:f t="shared" si="1"/>
        <x:v>I</x:v>
      </x:c>
      <x:c r="M20" s="1203" t="b">
        <x:v>0</x:v>
      </x:c>
      <x:c r="O20" s="1019"/>
      <x:c r="P20" s="1020" t="s">
        <x:v>1071</x:v>
      </x:c>
      <x:c r="Q20" s="1013" t="str">
        <x:f t="shared" si="0"/>
        <x:v>[] - DEFLECTION</x:v>
      </x:c>
    </x:row>
    <x:row r="21" spans="1:17" ht="15.4" customHeight="1" x14ac:dyDescent="0.2">
      <x:c r="A21" s="2018"/>
      <x:c r="B21" s="3039" t="s">
        <x:v>1710</x:v>
      </x:c>
      <x:c r="C21" s="3040"/>
      <x:c r="D21" s="3040"/>
      <x:c r="E21" s="3040"/>
      <x:c r="F21" s="3040"/>
      <x:c r="G21" s="3040"/>
      <x:c r="H21" s="3040"/>
      <x:c r="I21" s="3040"/>
      <x:c r="J21" s="3041"/>
      <x:c r="L21" s="1203" t="str">
        <x:f t="shared" si="1"/>
        <x:v>I</x:v>
      </x:c>
      <x:c r="M21" s="1203" t="b">
        <x:v>0</x:v>
      </x:c>
      <x:c r="O21" s="1019" t="s">
        <x:v>1029</x:v>
      </x:c>
      <x:c r="P21" s="1020" t="s">
        <x:v>1072</x:v>
      </x:c>
      <x:c r="Q21" s="1013" t="str">
        <x:f t="shared" si="0"/>
        <x:v>[DefLL] - LL Deflection = L/###|Deflection=L/### Due To ### PLF LL|LL Deflection=L/### (LL/TL Ratio = ##%)</x:v>
      </x:c>
    </x:row>
    <x:row r="22" spans="1:17" ht="15.4" customHeight="1" x14ac:dyDescent="0.2">
      <x:c r="A22" s="2018" t="s">
        <x:v>1711</x:v>
      </x:c>
      <x:c r="B22" s="3030" t="s">
        <x:v>1712</x:v>
      </x:c>
      <x:c r="C22" s="3031"/>
      <x:c r="D22" s="3031"/>
      <x:c r="E22" s="3031"/>
      <x:c r="F22" s="3031"/>
      <x:c r="G22" s="3031"/>
      <x:c r="H22" s="3031"/>
      <x:c r="I22" s="3031"/>
      <x:c r="J22" s="3032"/>
      <x:c r="L22" s="1203" t="str">
        <x:f t="shared" si="1"/>
        <x:v>J</x:v>
      </x:c>
      <x:c r="M22" s="1203" t="b">
        <x:v>0</x:v>
      </x:c>
      <x:c r="O22" s="1019" t="s">
        <x:v>1030</x:v>
      </x:c>
      <x:c r="P22" s="1020" t="s">
        <x:v>1073</x:v>
      </x:c>
      <x:c r="Q22" s="1013" t="str">
        <x:f t="shared" si="0"/>
        <x:v>[DefTL] - TL Deflection = L/###, Ck Std Camber Satisfies DL Def</x:v>
      </x:c>
    </x:row>
    <x:row r="23" spans="1:17" ht="15.4" customHeight="1" x14ac:dyDescent="0.2">
      <x:c r="A23" s="2018" t="s">
        <x:v>74</x:v>
      </x:c>
      <x:c r="B23" s="3036" t="s">
        <x:v>1713</x:v>
      </x:c>
      <x:c r="C23" s="3037"/>
      <x:c r="D23" s="3037"/>
      <x:c r="E23" s="3037"/>
      <x:c r="F23" s="3037"/>
      <x:c r="G23" s="3037"/>
      <x:c r="H23" s="3037"/>
      <x:c r="I23" s="3037"/>
      <x:c r="J23" s="3038"/>
      <x:c r="L23" s="1203" t="str">
        <x:f t="shared" si="1"/>
        <x:v>K</x:v>
      </x:c>
      <x:c r="M23" s="1203" t="b">
        <x:v>0</x:v>
      </x:c>
      <x:c r="O23" s="1019" t="s">
        <x:v>1031</x:v>
      </x:c>
      <x:c r="P23" s="1020" t="s">
        <x:v>1075</x:v>
      </x:c>
      <x:c r="Q23" s="1013" t="str">
        <x:f t="shared" si="0"/>
        <x:v>[DefTCX] - TCXL|TCXR Deflection = ##" Max Due To ### PLF LL|DL|TL</x:v>
      </x:c>
    </x:row>
    <x:row r="24" spans="1:17" ht="15.4" customHeight="1" x14ac:dyDescent="0.2">
      <x:c r="A24" s="2018" t="s">
        <x:v>113</x:v>
      </x:c>
      <x:c r="B24" s="3030" t="s">
        <x:v>1714</x:v>
      </x:c>
      <x:c r="C24" s="3031"/>
      <x:c r="D24" s="3031"/>
      <x:c r="E24" s="3031"/>
      <x:c r="F24" s="3031"/>
      <x:c r="G24" s="3031"/>
      <x:c r="H24" s="3031"/>
      <x:c r="I24" s="3031"/>
      <x:c r="J24" s="3032"/>
      <x:c r="L24" s="1203" t="str">
        <x:f t="shared" si="1"/>
        <x:v>L</x:v>
      </x:c>
      <x:c r="M24" s="1203" t="b">
        <x:v>0</x:v>
      </x:c>
      <x:c r="O24" s="1019" t="s">
        <x:v>1032</x:v>
      </x:c>
      <x:c r="P24" s="1020" t="s">
        <x:v>1074</x:v>
      </x:c>
      <x:c r="Q24" s="1013" t="str">
        <x:f t="shared" si="0"/>
        <x:v>[DefSP] - Special Deflection = ##" Max Due To ### PLF LL|DL|TL</x:v>
      </x:c>
    </x:row>
    <x:row r="25" spans="1:17" ht="15.4" customHeight="1" x14ac:dyDescent="0.2">
      <x:c r="A25" s="2018" t="s">
        <x:v>34</x:v>
      </x:c>
      <x:c r="B25" s="3030" t="s">
        <x:v>1715</x:v>
      </x:c>
      <x:c r="C25" s="3031"/>
      <x:c r="D25" s="3031"/>
      <x:c r="E25" s="3031"/>
      <x:c r="F25" s="3031"/>
      <x:c r="G25" s="3031"/>
      <x:c r="H25" s="3031"/>
      <x:c r="I25" s="3031"/>
      <x:c r="J25" s="3032"/>
      <x:c r="L25" s="1203" t="str">
        <x:f t="shared" si="1"/>
        <x:v>N</x:v>
      </x:c>
      <x:c r="M25" s="1203" t="b">
        <x:v>0</x:v>
      </x:c>
      <x:c r="O25" s="1019"/>
      <x:c r="P25" s="1020" t="s">
        <x:v>1076</x:v>
      </x:c>
      <x:c r="Q25" s="1013" t="str">
        <x:f t="shared" si="0"/>
        <x:v>[] - BEARING SEATS</x:v>
      </x:c>
    </x:row>
    <x:row r="26" spans="1:17" ht="15.4" customHeight="1" x14ac:dyDescent="0.2">
      <x:c r="A26" s="2018" t="s">
        <x:v>1716</x:v>
      </x:c>
      <x:c r="B26" s="3030" t="s">
        <x:v>1717</x:v>
      </x:c>
      <x:c r="C26" s="3031"/>
      <x:c r="D26" s="3031"/>
      <x:c r="E26" s="3031"/>
      <x:c r="F26" s="3031"/>
      <x:c r="G26" s="3031"/>
      <x:c r="H26" s="3031"/>
      <x:c r="I26" s="3031"/>
      <x:c r="J26" s="3032"/>
      <x:c r="L26" s="1203" t="str">
        <x:f t="shared" si="1"/>
        <x:v>O</x:v>
      </x:c>
      <x:c r="M26" s="1203" t="b">
        <x:v>0</x:v>
      </x:c>
      <x:c r="O26" s="1019" t="s">
        <x:v>1120</x:v>
      </x:c>
      <x:c r="P26" s="1020" t="s">
        <x:v>1121</x:v>
      </x:c>
      <x:c r="Q26" s="1013" t="str">
        <x:f t="shared" si="0"/>
        <x:v>[ShrtBrg] - Short Bearing = #” @ LE|RE|BE</x:v>
      </x:c>
    </x:row>
    <x:row r="27" spans="1:17" ht="15.4" customHeight="1" x14ac:dyDescent="0.2">
      <x:c r="A27" s="2018" t="s">
        <x:v>1061</x:v>
      </x:c>
      <x:c r="B27" s="3030" t="s">
        <x:v>1718</x:v>
      </x:c>
      <x:c r="C27" s="3031"/>
      <x:c r="D27" s="3031"/>
      <x:c r="E27" s="3031"/>
      <x:c r="F27" s="3031"/>
      <x:c r="G27" s="3031"/>
      <x:c r="H27" s="3031"/>
      <x:c r="I27" s="3031"/>
      <x:c r="J27" s="3032"/>
      <x:c r="L27" s="1203" t="str">
        <x:f t="shared" si="1"/>
        <x:v>P</x:v>
      </x:c>
      <x:c r="M27" s="1203" t="b">
        <x:v>0</x:v>
      </x:c>
      <x:c r="O27" s="1019" t="s">
        <x:v>1023</x:v>
      </x:c>
      <x:c r="P27" s="1020" t="s">
        <x:v>1077</x:v>
      </x:c>
      <x:c r="Q27" s="1013" t="str">
        <x:f t="shared" si="0"/>
        <x:v>[TCXMax] - Max Depth of TCXL|TCXR = ##"</x:v>
      </x:c>
    </x:row>
    <x:row r="28" spans="1:17" ht="15.4" customHeight="1" x14ac:dyDescent="0.2">
      <x:c r="A28" s="2018" t="s">
        <x:v>1719</x:v>
      </x:c>
      <x:c r="B28" s="3030" t="s">
        <x:v>1720</x:v>
      </x:c>
      <x:c r="C28" s="3031"/>
      <x:c r="D28" s="3031"/>
      <x:c r="E28" s="3031"/>
      <x:c r="F28" s="3031"/>
      <x:c r="G28" s="3031"/>
      <x:c r="H28" s="3031"/>
      <x:c r="I28" s="3031"/>
      <x:c r="J28" s="3032"/>
      <x:c r="L28" s="1203" t="str">
        <x:f t="shared" si="1"/>
        <x:v>Q</x:v>
      </x:c>
      <x:c r="M28" s="1203" t="b">
        <x:v>0</x:v>
      </x:c>
      <x:c r="O28" s="1019" t="s">
        <x:v>1017</x:v>
      </x:c>
      <x:c r="P28" s="1020" t="s">
        <x:v>1122</x:v>
      </x:c>
      <x:c r="Q28" s="1013" t="str">
        <x:f t="shared" si="0"/>
        <x:v>[TCXSup] - TCXL|TCXR Supported @ End</x:v>
      </x:c>
    </x:row>
    <x:row r="29" spans="1:17" ht="15.4" customHeight="1" x14ac:dyDescent="0.2">
      <x:c r="A29" s="2018" t="s">
        <x:v>114</x:v>
      </x:c>
      <x:c r="B29" s="3030" t="s">
        <x:v>1721</x:v>
      </x:c>
      <x:c r="C29" s="3031"/>
      <x:c r="D29" s="3031"/>
      <x:c r="E29" s="3031"/>
      <x:c r="F29" s="3031"/>
      <x:c r="G29" s="3031"/>
      <x:c r="H29" s="3031"/>
      <x:c r="I29" s="3031"/>
      <x:c r="J29" s="3032"/>
      <x:c r="L29" s="1203" t="str">
        <x:f t="shared" si="1"/>
        <x:v>R</x:v>
      </x:c>
      <x:c r="M29" s="1203" t="b">
        <x:v>0</x:v>
      </x:c>
      <x:c r="O29" s="1019" t="s">
        <x:v>1079</x:v>
      </x:c>
      <x:c r="P29" s="1020" t="s">
        <x:v>1123</x:v>
      </x:c>
      <x:c r="Q29" s="1013" t="str">
        <x:f t="shared" si="0"/>
        <x:v>[Rein] - Reinforce Seats @ LE|RE|BE for Axial Load Transfer</x:v>
      </x:c>
    </x:row>
    <x:row r="30" spans="1:17" ht="15.4" customHeight="1" x14ac:dyDescent="0.2">
      <x:c r="A30" s="2018" t="s">
        <x:v>159</x:v>
      </x:c>
      <x:c r="B30" s="3030" t="s">
        <x:v>1722</x:v>
      </x:c>
      <x:c r="C30" s="3031"/>
      <x:c r="D30" s="3031"/>
      <x:c r="E30" s="3031"/>
      <x:c r="F30" s="3031"/>
      <x:c r="G30" s="3031"/>
      <x:c r="H30" s="3031"/>
      <x:c r="I30" s="3031"/>
      <x:c r="J30" s="3032"/>
      <x:c r="L30" s="1203" t="str">
        <x:f t="shared" si="1"/>
        <x:v>S</x:v>
      </x:c>
      <x:c r="M30" s="1203" t="b">
        <x:v>0</x:v>
      </x:c>
      <x:c r="O30" s="1019" t="s">
        <x:v>1078</x:v>
      </x:c>
      <x:c r="P30" s="1020" t="s">
        <x:v>1080</x:v>
      </x:c>
      <x:c r="Q30" s="1013" t="str">
        <x:f t="shared" si="0"/>
        <x:v>[NoRein] - Tie Pl Provided for Load Transfer, No Rein Req’d</x:v>
      </x:c>
    </x:row>
    <x:row r="31" spans="1:17" ht="15.4" customHeight="1" x14ac:dyDescent="0.2">
      <x:c r="A31" s="2018" t="s">
        <x:v>1723</x:v>
      </x:c>
      <x:c r="B31" s="3030" t="s">
        <x:v>1724</x:v>
      </x:c>
      <x:c r="C31" s="3031"/>
      <x:c r="D31" s="3031"/>
      <x:c r="E31" s="3031"/>
      <x:c r="F31" s="3031"/>
      <x:c r="G31" s="3031"/>
      <x:c r="H31" s="3031"/>
      <x:c r="I31" s="3031"/>
      <x:c r="J31" s="3032"/>
      <x:c r="L31" s="1203" t="str">
        <x:f t="shared" si="1"/>
        <x:v>T</x:v>
      </x:c>
      <x:c r="M31" s="1203" t="b">
        <x:v>0</x:v>
      </x:c>
      <x:c r="O31" s="1019" t="s">
        <x:v>1081</x:v>
      </x:c>
      <x:c r="P31" s="1020" t="s">
        <x:v>1083</x:v>
      </x:c>
      <x:c r="Q31" s="1013" t="str">
        <x:f t="shared" si="0"/>
        <x:v>[KnifePL] - Knife Pl Provided for Load Transfer, TC/Seat Gap Clear for 1st ##” @ LE|RE|BE</x:v>
      </x:c>
    </x:row>
    <x:row r="32" spans="1:17" ht="15.4" customHeight="1" x14ac:dyDescent="0.2">
      <x:c r="A32" s="2018" t="s">
        <x:v>152</x:v>
      </x:c>
      <x:c r="B32" s="3030" t="s">
        <x:v>1725</x:v>
      </x:c>
      <x:c r="C32" s="3031"/>
      <x:c r="D32" s="3031"/>
      <x:c r="E32" s="3031"/>
      <x:c r="F32" s="3031"/>
      <x:c r="G32" s="3031"/>
      <x:c r="H32" s="3031"/>
      <x:c r="I32" s="3031"/>
      <x:c r="J32" s="3032"/>
      <x:c r="L32" s="1203" t="str">
        <x:f t="shared" si="1"/>
        <x:v>U</x:v>
      </x:c>
      <x:c r="M32" s="1203" t="b">
        <x:v>0</x:v>
      </x:c>
      <x:c r="O32" s="1019" t="s">
        <x:v>1082</x:v>
      </x:c>
      <x:c r="P32" s="1020" t="s">
        <x:v>1084</x:v>
      </x:c>
      <x:c r="Q32" s="1013" t="str">
        <x:f t="shared" si="0"/>
        <x:v>[KickLd] - Axial Load Due To Kicker, No Rein Req’d</x:v>
      </x:c>
    </x:row>
    <x:row r="33" spans="1:17" ht="15.4" customHeight="1" x14ac:dyDescent="0.2">
      <x:c r="A33" s="2018" t="s">
        <x:v>1726</x:v>
      </x:c>
      <x:c r="B33" s="3030" t="s">
        <x:v>1727</x:v>
      </x:c>
      <x:c r="C33" s="3031"/>
      <x:c r="D33" s="3031"/>
      <x:c r="E33" s="3031"/>
      <x:c r="F33" s="3031"/>
      <x:c r="G33" s="3031"/>
      <x:c r="H33" s="3031"/>
      <x:c r="I33" s="3031"/>
      <x:c r="J33" s="3032"/>
      <x:c r="L33" s="1203" t="str">
        <x:f t="shared" si="1"/>
        <x:v>V</x:v>
      </x:c>
      <x:c r="M33" s="1203" t="b">
        <x:v>0</x:v>
      </x:c>
      <x:c r="O33" s="1019" t="s">
        <x:v>1085</x:v>
      </x:c>
      <x:c r="P33" s="1020" t="s">
        <x:v>1086</x:v>
      </x:c>
      <x:c r="Q33" s="1013" t="str">
        <x:f t="shared" si="0"/>
        <x:v>[Roll] - Seat Rollover Force = ##Kips @ LE|RE|BE</x:v>
      </x:c>
    </x:row>
    <x:row r="34" spans="1:17" ht="15.4" customHeight="1" x14ac:dyDescent="0.2">
      <x:c r="A34" s="2018" t="s">
        <x:v>1728</x:v>
      </x:c>
      <x:c r="B34" s="3030" t="s">
        <x:v>1729</x:v>
      </x:c>
      <x:c r="C34" s="3031"/>
      <x:c r="D34" s="3031"/>
      <x:c r="E34" s="3031"/>
      <x:c r="F34" s="3031"/>
      <x:c r="G34" s="3031"/>
      <x:c r="H34" s="3031"/>
      <x:c r="I34" s="3031"/>
      <x:c r="J34" s="3032"/>
      <x:c r="L34" s="1203" t="str">
        <x:f t="shared" si="1"/>
        <x:v>W</x:v>
      </x:c>
      <x:c r="M34" s="1203" t="b">
        <x:v>0</x:v>
      </x:c>
      <x:c r="O34" s="1019" t="s">
        <x:v>1044</x:v>
      </x:c>
      <x:c r="P34" s="1020" t="s">
        <x:v>1045</x:v>
      </x:c>
      <x:c r="Q34" s="1013" t="str">
        <x:f t="shared" si="0"/>
        <x:v>[ClrBrg] - Min Clear Bearing = #" @ LE(RE)(BE)</x:v>
      </x:c>
    </x:row>
    <x:row r="35" spans="1:17" ht="15.4" customHeight="1" x14ac:dyDescent="0.2">
      <x:c r="A35" s="2018" t="s">
        <x:v>1730</x:v>
      </x:c>
      <x:c r="B35" s="3030" t="s">
        <x:v>1731</x:v>
      </x:c>
      <x:c r="C35" s="3031"/>
      <x:c r="D35" s="3031"/>
      <x:c r="E35" s="3031"/>
      <x:c r="F35" s="3031"/>
      <x:c r="G35" s="3031"/>
      <x:c r="H35" s="3031"/>
      <x:c r="I35" s="3031"/>
      <x:c r="J35" s="3032"/>
      <x:c r="L35" s="1203" t="str">
        <x:f t="shared" si="1"/>
        <x:v>X</x:v>
      </x:c>
      <x:c r="M35" s="1203" t="b">
        <x:v>0</x:v>
      </x:c>
      <x:c r="O35" s="1019" t="s">
        <x:v>1124</x:v>
      </x:c>
      <x:c r="P35" s="1020" t="s">
        <x:v>1033</x:v>
      </x:c>
      <x:c r="Q35" s="1013" t="str">
        <x:f t="shared" si="0"/>
        <x:v>[Skew] - ##º Half(Full)-Skew, NS(FS), LE(RE)</x:v>
      </x:c>
    </x:row>
    <x:row r="36" spans="1:17" ht="15.4" customHeight="1" x14ac:dyDescent="0.2">
      <x:c r="A36" s="2018" t="s">
        <x:v>1732</x:v>
      </x:c>
      <x:c r="B36" s="3030" t="s">
        <x:v>1733</x:v>
      </x:c>
      <x:c r="C36" s="3031"/>
      <x:c r="D36" s="3031"/>
      <x:c r="E36" s="3031"/>
      <x:c r="F36" s="3031"/>
      <x:c r="G36" s="3031"/>
      <x:c r="H36" s="3031"/>
      <x:c r="I36" s="3031"/>
      <x:c r="J36" s="3032"/>
      <x:c r="L36" s="1203" t="str">
        <x:f t="shared" si="1"/>
        <x:v>Y</x:v>
      </x:c>
      <x:c r="M36" s="1203" t="b">
        <x:v>0</x:v>
      </x:c>
      <x:c r="O36" s="1019" t="s">
        <x:v>1024</x:v>
      </x:c>
      <x:c r="P36" s="1020" t="s">
        <x:v>1087</x:v>
      </x:c>
      <x:c r="Q36" s="1013" t="str">
        <x:f t="shared" si="0"/>
        <x:v>[BCBrg] - Bottom Chord Bearing @ LE|RE|BE</x:v>
      </x:c>
    </x:row>
    <x:row r="37" spans="1:17" ht="15.4" customHeight="1" x14ac:dyDescent="0.2">
      <x:c r="A37" s="2018" t="s">
        <x:v>1734</x:v>
      </x:c>
      <x:c r="B37" s="3030" t="s">
        <x:v>1735</x:v>
      </x:c>
      <x:c r="C37" s="3031"/>
      <x:c r="D37" s="3031"/>
      <x:c r="E37" s="3031"/>
      <x:c r="F37" s="3031"/>
      <x:c r="G37" s="3031"/>
      <x:c r="H37" s="3031"/>
      <x:c r="I37" s="3031"/>
      <x:c r="J37" s="3032"/>
      <x:c r="L37" s="1203" t="str">
        <x:f t="shared" si="1"/>
        <x:v>Z</x:v>
      </x:c>
      <x:c r="M37" s="1203" t="b">
        <x:v>0</x:v>
      </x:c>
      <x:c r="O37" s="1019" t="s">
        <x:v>1018</x:v>
      </x:c>
      <x:c r="P37" s="1020" t="s">
        <x:v>1088</x:v>
      </x:c>
      <x:c r="Q37" s="1013" t="str">
        <x:f t="shared" si="0"/>
        <x:v>[StgSlt] - Stagger Seat Slots LE|RE: ##" NS, ##" FS</x:v>
      </x:c>
    </x:row>
    <x:row r="38" spans="1:17" ht="15.4" customHeight="1" x14ac:dyDescent="0.2">
      <x:c r="A38" s="2018" t="s">
        <x:v>1736</x:v>
      </x:c>
      <x:c r="B38" s="3030" t="s">
        <x:v>1737</x:v>
      </x:c>
      <x:c r="C38" s="3031"/>
      <x:c r="D38" s="3031"/>
      <x:c r="E38" s="3031"/>
      <x:c r="F38" s="3031"/>
      <x:c r="G38" s="3031"/>
      <x:c r="H38" s="3031"/>
      <x:c r="I38" s="3031"/>
      <x:c r="J38" s="3032"/>
      <x:c r="L38" s="1203" t="str">
        <x:f t="shared" si="1"/>
        <x:v>AA</x:v>
      </x:c>
      <x:c r="M38" s="1203" t="b">
        <x:v>0</x:v>
      </x:c>
      <x:c r="O38" s="1019" t="s">
        <x:v>1019</x:v>
      </x:c>
      <x:c r="P38" s="1020" t="s">
        <x:v>1089</x:v>
      </x:c>
      <x:c r="Q38" s="1013" t="str">
        <x:f t="shared" si="0"/>
        <x:v>[SpSlt] - Special Seat Slots: #"x#" Slots, Ga=#" @ LE|RE|BE</x:v>
      </x:c>
    </x:row>
    <x:row r="39" spans="1:17" ht="15.4" customHeight="1" x14ac:dyDescent="0.2">
      <x:c r="A39" s="2018" t="s">
        <x:v>1738</x:v>
      </x:c>
      <x:c r="B39" s="3030" t="s">
        <x:v>1739</x:v>
      </x:c>
      <x:c r="C39" s="3031"/>
      <x:c r="D39" s="3031"/>
      <x:c r="E39" s="3031"/>
      <x:c r="F39" s="3031"/>
      <x:c r="G39" s="3031"/>
      <x:c r="H39" s="3031"/>
      <x:c r="I39" s="3031"/>
      <x:c r="J39" s="3032"/>
      <x:c r="L39" s="1203" t="str">
        <x:f t="shared" si="1"/>
        <x:v>AB</x:v>
      </x:c>
      <x:c r="M39" s="1203" t="b">
        <x:v>0</x:v>
      </x:c>
      <x:c r="O39" s="1019" t="s">
        <x:v>1128</x:v>
      </x:c>
      <x:c r="P39" s="1020" t="s">
        <x:v>1129</x:v>
      </x:c>
      <x:c r="Q39" s="1013" t="str">
        <x:f t="shared" si="0"/>
        <x:v>[RndShrtSlt] - #/#" Round Holes|#/#”x1” Slots, Ga=#” @ LE|RE|BE</x:v>
      </x:c>
    </x:row>
    <x:row r="40" spans="1:17" ht="15.4" customHeight="1" x14ac:dyDescent="0.2">
      <x:c r="A40" s="2018" t="s">
        <x:v>1034</x:v>
      </x:c>
      <x:c r="B40" s="3030" t="s">
        <x:v>1740</x:v>
      </x:c>
      <x:c r="C40" s="3031"/>
      <x:c r="D40" s="3031"/>
      <x:c r="E40" s="3031"/>
      <x:c r="F40" s="3031"/>
      <x:c r="G40" s="3031"/>
      <x:c r="H40" s="3031"/>
      <x:c r="I40" s="3031"/>
      <x:c r="J40" s="3032"/>
      <x:c r="L40" s="1203" t="str">
        <x:f t="shared" si="1"/>
        <x:v>AC</x:v>
      </x:c>
      <x:c r="M40" s="1203" t="b">
        <x:v>0</x:v>
      </x:c>
      <x:c r="O40" s="1019" t="s">
        <x:v>1043</x:v>
      </x:c>
      <x:c r="P40" s="1020" t="s">
        <x:v>1090</x:v>
      </x:c>
      <x:c r="Q40" s="1013" t="str">
        <x:f t="shared" si="0"/>
        <x:v>[AddSlt] - Addn'l Seat Slots @ #" from L-OAL|R-OAL</x:v>
      </x:c>
    </x:row>
    <x:row r="41" spans="1:17" ht="15.4" customHeight="1" x14ac:dyDescent="0.2">
      <x:c r="A41" s="2018" t="s">
        <x:v>1741</x:v>
      </x:c>
      <x:c r="B41" s="3030" t="s">
        <x:v>1742</x:v>
      </x:c>
      <x:c r="C41" s="3031"/>
      <x:c r="D41" s="3031"/>
      <x:c r="E41" s="3031"/>
      <x:c r="F41" s="3031"/>
      <x:c r="G41" s="3031"/>
      <x:c r="H41" s="3031"/>
      <x:c r="I41" s="3031"/>
      <x:c r="J41" s="3032"/>
      <x:c r="L41" s="1203" t="str">
        <x:f t="shared" si="1"/>
        <x:v>AD</x:v>
      </x:c>
      <x:c r="M41" s="1203" t="b">
        <x:v>0</x:v>
      </x:c>
      <x:c r="O41" s="1019" t="s">
        <x:v>1022</x:v>
      </x:c>
      <x:c r="P41" s="1020" t="s">
        <x:v>1091</x:v>
      </x:c>
      <x:c r="Q41" s="1013" t="str">
        <x:f t="shared" si="0"/>
        <x:v>[BPThk] - Min Thickness of Base Plate = 0.xxx" @ LE|RE|BE</x:v>
      </x:c>
    </x:row>
    <x:row r="42" spans="1:17" ht="15.4" customHeight="1" x14ac:dyDescent="0.2">
      <x:c r="A42" s="2018" t="s">
        <x:v>1743</x:v>
      </x:c>
      <x:c r="B42" s="3030" t="s">
        <x:v>1744</x:v>
      </x:c>
      <x:c r="C42" s="3031"/>
      <x:c r="D42" s="3031"/>
      <x:c r="E42" s="3031"/>
      <x:c r="F42" s="3031"/>
      <x:c r="G42" s="3031"/>
      <x:c r="H42" s="3031"/>
      <x:c r="I42" s="3031"/>
      <x:c r="J42" s="3032"/>
      <x:c r="L42" s="1203" t="str">
        <x:f t="shared" si="1"/>
        <x:v>AE</x:v>
      </x:c>
      <x:c r="M42" s="1203" t="b">
        <x:v>0</x:v>
      </x:c>
      <x:c r="O42" s="1019" t="s">
        <x:v>1092</x:v>
      </x:c>
      <x:c r="P42" s="1020" t="s">
        <x:v>1093</x:v>
      </x:c>
      <x:c r="Q42" s="1013" t="str">
        <x:f t="shared" si="0"/>
        <x:v>[MaxWidth] - Max Width of TC &amp; Base Plate|BC for 1st ##” @ LE|RE|BE</x:v>
      </x:c>
    </x:row>
    <x:row r="43" spans="1:17" ht="15.4" customHeight="1" x14ac:dyDescent="0.2">
      <x:c r="A43" s="2018" t="s">
        <x:v>1745</x:v>
      </x:c>
      <x:c r="B43" s="3030" t="s">
        <x:v>1746</x:v>
      </x:c>
      <x:c r="C43" s="3031"/>
      <x:c r="D43" s="3031"/>
      <x:c r="E43" s="3031"/>
      <x:c r="F43" s="3031"/>
      <x:c r="G43" s="3031"/>
      <x:c r="H43" s="3031"/>
      <x:c r="I43" s="3031"/>
      <x:c r="J43" s="3032"/>
      <x:c r="L43" s="1203" t="str">
        <x:f t="shared" si="1"/>
        <x:v>AF</x:v>
      </x:c>
      <x:c r="M43" s="1203" t="b">
        <x:v>0</x:v>
      </x:c>
      <x:c r="O43" s="1019"/>
      <x:c r="P43" s="1020" t="s">
        <x:v>1094</x:v>
      </x:c>
      <x:c r="Q43" s="1013" t="str">
        <x:f t="shared" si="0"/>
        <x:v>[] - MISCELLANEOUS</x:v>
      </x:c>
    </x:row>
    <x:row r="44" spans="1:17" ht="15.4" customHeight="1" x14ac:dyDescent="0.2">
      <x:c r="A44" s="2018"/>
      <x:c r="B44" s="3030" t="s">
        <x:v>1710</x:v>
      </x:c>
      <x:c r="C44" s="3031"/>
      <x:c r="D44" s="3031"/>
      <x:c r="E44" s="3031"/>
      <x:c r="F44" s="3031"/>
      <x:c r="G44" s="3031"/>
      <x:c r="H44" s="3031"/>
      <x:c r="I44" s="3031"/>
      <x:c r="J44" s="3032"/>
      <x:c r="L44" s="1203" t="str">
        <x:f t="shared" si="1"/>
        <x:v>AF</x:v>
      </x:c>
      <x:c r="M44" s="1203" t="b">
        <x:v>0</x:v>
      </x:c>
      <x:c r="O44" s="1019" t="s">
        <x:v>1125</x:v>
      </x:c>
      <x:c r="P44" s="1020" t="s">
        <x:v>1096</x:v>
      </x:c>
      <x:c r="Q44" s="1013" t="str">
        <x:f t="shared" si="0"/>
        <x:v>[Camb] - Camber = #"|Camber for DL|50% Std Camber|No Camber</x:v>
      </x:c>
    </x:row>
    <x:row r="45" spans="1:17" ht="15.4" customHeight="1" x14ac:dyDescent="0.2">
      <x:c r="A45" s="2018"/>
      <x:c r="B45" s="3030"/>
      <x:c r="C45" s="3031"/>
      <x:c r="D45" s="3031"/>
      <x:c r="E45" s="3031"/>
      <x:c r="F45" s="3031"/>
      <x:c r="G45" s="3031"/>
      <x:c r="H45" s="3031"/>
      <x:c r="I45" s="3031"/>
      <x:c r="J45" s="3032"/>
      <x:c r="L45" s="1203" t="str">
        <x:f t="shared" si="1"/>
        <x:v>AF</x:v>
      </x:c>
      <x:c r="M45" s="1203" t="b">
        <x:v>0</x:v>
      </x:c>
      <x:c r="O45" s="1019" t="s">
        <x:v>1025</x:v>
      </x:c>
      <x:c r="P45" s="1020" t="s">
        <x:v>1097</x:v>
      </x:c>
      <x:c r="Q45" s="1013" t="str">
        <x:f t="shared" si="0"/>
        <x:v>[BClip] - Bridging Clip(s) Required per Plan</x:v>
      </x:c>
    </x:row>
    <x:row r="46" spans="1:17" ht="15.4" customHeight="1" x14ac:dyDescent="0.2">
      <x:c r="A46" s="2018"/>
      <x:c r="B46" s="3030"/>
      <x:c r="C46" s="3031"/>
      <x:c r="D46" s="3031"/>
      <x:c r="E46" s="3031"/>
      <x:c r="F46" s="3031"/>
      <x:c r="G46" s="3031"/>
      <x:c r="H46" s="3031"/>
      <x:c r="I46" s="3031"/>
      <x:c r="J46" s="3032"/>
      <x:c r="L46" s="1203" t="str">
        <x:f t="shared" si="1"/>
        <x:v>AF</x:v>
      </x:c>
      <x:c r="M46" s="1203" t="b">
        <x:v>0</x:v>
      </x:c>
      <x:c r="O46" s="1019" t="s">
        <x:v>1020</x:v>
      </x:c>
      <x:c r="P46" s="1020" t="s">
        <x:v>1012</x:v>
      </x:c>
      <x:c r="Q46" s="1013" t="str">
        <x:f t="shared" si="0"/>
        <x:v>[TCThk] - Min Thickness of TC = 0.xxx"</x:v>
      </x:c>
    </x:row>
    <x:row r="47" spans="1:17" ht="15.4" customHeight="1" x14ac:dyDescent="0.2">
      <x:c r="A47" s="2018"/>
      <x:c r="B47" s="3030"/>
      <x:c r="C47" s="3031"/>
      <x:c r="D47" s="3031"/>
      <x:c r="E47" s="3031"/>
      <x:c r="F47" s="3031"/>
      <x:c r="G47" s="3031"/>
      <x:c r="H47" s="3031"/>
      <x:c r="I47" s="3031"/>
      <x:c r="J47" s="3032"/>
      <x:c r="L47" s="1203" t="str">
        <x:f t="shared" si="1"/>
        <x:v>AF</x:v>
      </x:c>
      <x:c r="M47" s="1203" t="b">
        <x:v>0</x:v>
      </x:c>
      <x:c r="O47" s="1019" t="s">
        <x:v>1021</x:v>
      </x:c>
      <x:c r="P47" s="1020" t="s">
        <x:v>1013</x:v>
      </x:c>
      <x:c r="Q47" s="1013" t="str">
        <x:f t="shared" si="0"/>
        <x:v>[BCThk] - Min Thickness of BC = 0.xxx"</x:v>
      </x:c>
    </x:row>
    <x:row r="48" spans="1:17" ht="15.4" customHeight="1" x14ac:dyDescent="0.2">
      <x:c r="A48" s="2018"/>
      <x:c r="B48" s="3030"/>
      <x:c r="C48" s="3031"/>
      <x:c r="D48" s="3031"/>
      <x:c r="E48" s="3031"/>
      <x:c r="F48" s="3031"/>
      <x:c r="G48" s="3031"/>
      <x:c r="H48" s="3031"/>
      <x:c r="I48" s="3031"/>
      <x:c r="J48" s="3032"/>
      <x:c r="L48" s="1203" t="str">
        <x:f t="shared" si="1"/>
        <x:v>AF</x:v>
      </x:c>
      <x:c r="M48" s="1203" t="b">
        <x:v>0</x:v>
      </x:c>
      <x:c r="O48" s="1019" t="s">
        <x:v>1130</x:v>
      </x:c>
      <x:c r="P48" s="1020" t="s">
        <x:v>1131</x:v>
      </x:c>
      <x:c r="Q48" s="1013" t="str">
        <x:f t="shared" si="0"/>
        <x:v>[ChdWdth] - Min|Max Width of TC|BC = ##”</x:v>
      </x:c>
    </x:row>
    <x:row r="49" spans="1:17" ht="15.4" customHeight="1" x14ac:dyDescent="0.2">
      <x:c r="A49" s="2018"/>
      <x:c r="B49" s="3030"/>
      <x:c r="C49" s="3031"/>
      <x:c r="D49" s="3031"/>
      <x:c r="E49" s="3031"/>
      <x:c r="F49" s="3031"/>
      <x:c r="G49" s="3031"/>
      <x:c r="H49" s="3031"/>
      <x:c r="I49" s="3031"/>
      <x:c r="J49" s="3032"/>
      <x:c r="L49" s="1203" t="str">
        <x:f t="shared" si="1"/>
        <x:v>AF</x:v>
      </x:c>
      <x:c r="M49" s="1203" t="b">
        <x:v>0</x:v>
      </x:c>
      <x:c r="O49" s="1019" t="s">
        <x:v>1126</x:v>
      </x:c>
      <x:c r="P49" s="1020" t="s">
        <x:v>1041</x:v>
      </x:c>
      <x:c r="Q49" s="1013" t="str">
        <x:f t="shared" si="0"/>
        <x:v>[Duct] - ##" Dia (##"H x ##"W) Duct @ #'-# from L-OAL</x:v>
      </x:c>
    </x:row>
    <x:row r="50" spans="1:17" ht="15.4" customHeight="1" x14ac:dyDescent="0.2">
      <x:c r="A50" s="2018"/>
      <x:c r="B50" s="3030"/>
      <x:c r="C50" s="3031"/>
      <x:c r="D50" s="3031"/>
      <x:c r="E50" s="3031"/>
      <x:c r="F50" s="3031"/>
      <x:c r="G50" s="3031"/>
      <x:c r="H50" s="3031"/>
      <x:c r="I50" s="3031"/>
      <x:c r="J50" s="3032"/>
      <x:c r="L50" s="1203" t="str">
        <x:f t="shared" si="1"/>
        <x:v>AF</x:v>
      </x:c>
      <x:c r="M50" s="1203" t="b">
        <x:v>0</x:v>
      </x:c>
      <x:c r="O50" s="1019" t="s">
        <x:v>1037</x:v>
      </x:c>
      <x:c r="P50" s="1020" t="s">
        <x:v>1046</x:v>
      </x:c>
      <x:c r="Q50" s="1013" t="str">
        <x:f t="shared" si="0"/>
        <x:v>[HS] - Horiz Field Splice: See Detail on J1.xx</x:v>
      </x:c>
    </x:row>
    <x:row r="51" spans="1:17" ht="15.4" customHeight="1" x14ac:dyDescent="0.2">
      <x:c r="A51" s="2019"/>
      <x:c r="B51" s="3033"/>
      <x:c r="C51" s="3034"/>
      <x:c r="D51" s="3034"/>
      <x:c r="E51" s="3034"/>
      <x:c r="F51" s="3034"/>
      <x:c r="G51" s="3034"/>
      <x:c r="H51" s="3034"/>
      <x:c r="I51" s="3034"/>
      <x:c r="J51" s="3035"/>
      <x:c r="L51" s="1203" t="str">
        <x:f t="shared" si="1"/>
        <x:v>AF</x:v>
      </x:c>
      <x:c r="M51" s="1203" t="b">
        <x:v>0</x:v>
      </x:c>
      <x:c r="O51" s="1019" t="s">
        <x:v>1038</x:v>
      </x:c>
      <x:c r="P51" s="1020" t="s">
        <x:v>1047</x:v>
      </x:c>
      <x:c r="Q51" s="1013" t="str">
        <x:f t="shared" si="0"/>
        <x:v>[VS] - Vert Field Splice: Type xx, Near Midspan</x:v>
      </x:c>
    </x:row>
    <x:row r="52" spans="1:17" ht="15.6" customHeight="1" x14ac:dyDescent="0.2">
      <x:c r="O52" s="1019" t="s">
        <x:v>1039</x:v>
      </x:c>
      <x:c r="P52" s="1020" t="s">
        <x:v>1048</x:v>
      </x:c>
      <x:c r="Q52" s="1013" t="str">
        <x:f t="shared" si="0"/>
        <x:v>[MS] - Multiple Vert Field Splices: Type xx</x:v>
      </x:c>
    </x:row>
    <x:row r="53" spans="1:17" ht="15.6" customHeight="1" x14ac:dyDescent="0.2">
      <x:c r="O53" s="1019" t="s">
        <x:v>1098</x:v>
      </x:c>
      <x:c r="P53" s="1020" t="s">
        <x:v>1099</x:v>
      </x:c>
      <x:c r="Q53" s="1013" t="str">
        <x:f t="shared" si="0"/>
        <x:v>[SpConn] - Special Connection @ (location), See Section ##</x:v>
      </x:c>
    </x:row>
    <x:row r="54" spans="1:17" ht="15.6" customHeight="1" x14ac:dyDescent="0.2">
      <x:c r="O54" s="1019" t="s">
        <x:v>1132</x:v>
      </x:c>
      <x:c r="P54" s="1020" t="s">
        <x:v>1144</x:v>
      </x:c>
      <x:c r="Q54" s="1013" t="str">
        <x:f t="shared" si="0"/>
        <x:v>[Vier] - Vierendeel Panel, ##” W x ##” H, Bottom Left Corner of Opening @ ##” From Bot/Jst, ##’-##” From L-OAL</x:v>
      </x:c>
    </x:row>
    <x:row r="55" spans="1:17" ht="15.6" customHeight="1" x14ac:dyDescent="0.2">
      <x:c r="O55" s="1019"/>
      <x:c r="P55" s="1020" t="s">
        <x:v>1100</x:v>
      </x:c>
      <x:c r="Q55" s="1013" t="str">
        <x:f t="shared" si="0"/>
        <x:v>[] - GENERAL</x:v>
      </x:c>
    </x:row>
    <x:row r="56" spans="1:17" ht="15.6" customHeight="1" x14ac:dyDescent="0.2">
      <x:c r="O56" s="1019" t="s">
        <x:v>1056</x:v>
      </x:c>
      <x:c r="P56" s="1020" t="s">
        <x:v>1057</x:v>
      </x:c>
      <x:c r="Q56" s="1013" t="str">
        <x:f t="shared" si="0"/>
        <x:v>[LRFD] - **LRFD**   **LRFD**   **LRFD**</x:v>
      </x:c>
    </x:row>
    <x:row r="57" spans="1:17" ht="15.6" customHeight="1" x14ac:dyDescent="0.2">
      <x:c r="O57" s="1019" t="s">
        <x:v>1015</x:v>
      </x:c>
      <x:c r="P57" s="1020" t="s">
        <x:v>1042</x:v>
      </x:c>
      <x:c r="Q57" s="1013" t="str">
        <x:f t="shared" si="0"/>
        <x:v>[ESFR] - #"Dia Pipes, 8" Below Top/Jst, 15" Horiz Clearance @ ##'-#,  ##'-# &amp;  ##'-# from L-OAL</x:v>
      </x:c>
    </x:row>
    <x:row r="58" spans="1:17" ht="15.6" customHeight="1" x14ac:dyDescent="0.2">
      <x:c r="O58" s="1019" t="s">
        <x:v>1127</x:v>
      </x:c>
      <x:c r="P58" s="1020" t="s">
        <x:v>1014</x:v>
      </x:c>
      <x:c r="Q58" s="1013" t="str">
        <x:f t="shared" si="0"/>
        <x:v>[Self] - Add Self-Weight to Design</x:v>
      </x:c>
    </x:row>
    <x:row r="59" spans="1:17" ht="15.6" customHeight="1" x14ac:dyDescent="0.2">
      <x:c r="A59" s="973" t="s">
        <x:v>1062</x:v>
      </x:c>
      <x:c r="O59" s="1019" t="s">
        <x:v>1051</x:v>
      </x:c>
      <x:c r="P59" s="1020" t="s">
        <x:v>1053</x:v>
      </x:c>
      <x:c r="Q59" s="1013" t="str">
        <x:f t="shared" si="0"/>
        <x:v>[SpChd] - ##"^2 Min Chord Area</x:v>
      </x:c>
    </x:row>
    <x:row r="60" spans="1:17" ht="15.6" hidden="1" customHeight="1" x14ac:dyDescent="0.2">
      <x:c r="A60" s="1128" t="s">
        <x:v>34</x:v>
      </x:c>
      <x:c r="O60" s="1019" t="s">
        <x:v>1052</x:v>
      </x:c>
      <x:c r="P60" s="1020" t="s">
        <x:v>1054</x:v>
      </x:c>
      <x:c r="Q60" s="1013" t="str">
        <x:f t="shared" si="0"/>
        <x:v>[SpWeb] - ##"^2 Min Web Area</x:v>
      </x:c>
    </x:row>
    <x:row r="61" spans="1:17" ht="15.6" hidden="1" customHeight="1" x14ac:dyDescent="0.2">
      <x:c r="A61" s="1130" t="s">
        <x:v>2001</x:v>
      </x:c>
      <x:c r="O61" s="1019" t="s">
        <x:v>1095</x:v>
      </x:c>
      <x:c r="P61" s="1020" t="s">
        <x:v>1055</x:v>
      </x:c>
      <x:c r="Q61" s="1013" t="str">
        <x:f t="shared" si="0"/>
        <x:v>[DomStl] - Domestic Steel Required (ARRA)</x:v>
      </x:c>
    </x:row>
    <x:row r="62" spans="1:17" ht="15.6" hidden="1" customHeight="1" x14ac:dyDescent="0.2">
      <x:c r="O62" s="1019" t="s">
        <x:v>1040</x:v>
      </x:c>
      <x:c r="P62" s="1020" t="s">
        <x:v>1049</x:v>
      </x:c>
      <x:c r="Q62" s="1013" t="str">
        <x:f t="shared" si="0"/>
        <x:v>[SSR] - Standing Seam Roof: TC Lateral Support @ ##" Max.</x:v>
      </x:c>
    </x:row>
    <x:row r="63" spans="1:17" ht="15.6" hidden="1" customHeight="1" x14ac:dyDescent="0.2">
      <x:c r="O63" s="1019" t="s">
        <x:v>1133</x:v>
      </x:c>
      <x:c r="P63" s="1020" t="s">
        <x:v>1139</x:v>
      </x:c>
      <x:c r="Q63" s="1013" t="str">
        <x:f t="shared" si="0"/>
        <x:v>[AlignPnls] - Align Panels of Adjacent Jsts</x:v>
      </x:c>
    </x:row>
    <x:row r="64" spans="1:17" ht="15.6" hidden="1" customHeight="1" x14ac:dyDescent="0.2">
      <x:c r="O64" s="1019" t="s">
        <x:v>1134</x:v>
      </x:c>
      <x:c r="P64" s="1020" t="s">
        <x:v>1140</x:v>
      </x:c>
      <x:c r="Q64" s="1013" t="str">
        <x:f t="shared" si="0"/>
        <x:v>[SpBund] - Special Bundling Req’d, See Attached Listing</x:v>
      </x:c>
    </x:row>
    <x:row r="65" spans="1:17" ht="15.6" customHeight="1" x14ac:dyDescent="0.2">
      <x:c r="A65" s="973" t="s">
        <x:v>1063</x:v>
      </x:c>
      <x:c r="O65" s="1019" t="s">
        <x:v>1135</x:v>
      </x:c>
      <x:c r="P65" s="1020" t="s">
        <x:v>1141</x:v>
      </x:c>
      <x:c r="Q65" s="1013" t="str">
        <x:f t="shared" si="0"/>
        <x:v>[BIM] - Building Information Modeling, Inform Dtlr When Design Completed</x:v>
      </x:c>
    </x:row>
    <x:row r="66" spans="1:17" ht="15.6" customHeight="1" x14ac:dyDescent="0.2">
      <x:c r="O66" s="1019" t="s">
        <x:v>1136</x:v>
      </x:c>
      <x:c r="P66" s="1020" t="s">
        <x:v>1142</x:v>
      </x:c>
      <x:c r="Q66" s="1013" t="str">
        <x:f t="shared" si="0"/>
        <x:v>[Calcs] - Sealed Calcs req’d for Record|Appl</x:v>
      </x:c>
    </x:row>
    <x:row r="67" spans="1:17" ht="15.6" customHeight="1" x14ac:dyDescent="0.2">
      <x:c r="O67" s="1019" t="s">
        <x:v>1137</x:v>
      </x:c>
      <x:c r="P67" s="1020" t="s">
        <x:v>1143</x:v>
      </x:c>
      <x:c r="Q67" s="1013" t="str">
        <x:f t="shared" si="0"/>
        <x:v>[Prof] - Joist|Girder Profiles Req’d</x:v>
      </x:c>
    </x:row>
    <x:row r="68" spans="1:17" ht="15.6" customHeight="1" x14ac:dyDescent="0.2">
      <x:c r="O68" s="1019" t="s">
        <x:v>1138</x:v>
      </x:c>
      <x:c r="P68" s="1020" t="s">
        <x:v>1101</x:v>
      </x:c>
      <x:c r="Q68" s="1013" t="str">
        <x:f t="shared" si="0"/>
        <x:v>[UnDef] - Special Note Here (special condition not matching pre-defined codes)</x:v>
      </x:c>
    </x:row>
    <x:row r="69" spans="1:17" ht="15.6" customHeight="1" x14ac:dyDescent="0.2">
      <x:c r="O69" s="1019"/>
      <x:c r="P69" s="1020"/>
      <x:c r="Q69" s="1013" t="str">
        <x:f t="shared" si="0"/>
        <x:v xml:space="preserve">[] - </x:v>
      </x:c>
    </x:row>
    <x:row r="70" spans="1:17" ht="15.6" customHeight="1" x14ac:dyDescent="0.2">
      <x:c r="O70" s="1019"/>
      <x:c r="P70" s="1020"/>
      <x:c r="Q70" s="1013" t="str">
        <x:f t="shared" si="0"/>
        <x:v xml:space="preserve">[] - </x:v>
      </x:c>
    </x:row>
    <x:row r="71" spans="1:17" ht="15.6" customHeight="1" x14ac:dyDescent="0.2">
      <x:c r="O71" s="1019"/>
      <x:c r="P71" s="1020"/>
      <x:c r="Q71" s="1013" t="str">
        <x:f t="shared" si="0"/>
        <x:v xml:space="preserve">[] - </x:v>
      </x:c>
    </x:row>
    <x:row r="72" spans="1:17" ht="15.6" customHeight="1" x14ac:dyDescent="0.2">
      <x:c r="O72" s="1019"/>
      <x:c r="P72" s="1020"/>
      <x:c r="Q72" s="1013" t="str">
        <x:f t="shared" si="0"/>
        <x:v xml:space="preserve">[] - </x:v>
      </x:c>
    </x:row>
    <x:row r="73" spans="1:17" ht="15.6" customHeight="1" x14ac:dyDescent="0.2">
      <x:c r="O73" s="1019"/>
      <x:c r="P73" s="1020"/>
      <x:c r="Q73" s="1013" t="str">
        <x:f t="shared" si="0"/>
        <x:v xml:space="preserve">[] - </x:v>
      </x:c>
    </x:row>
    <x:row r="74" spans="1:17" ht="15.6" customHeight="1" x14ac:dyDescent="0.2">
      <x:c r="O74" s="1019"/>
      <x:c r="P74" s="1020"/>
      <x:c r="Q74" s="1013" t="str">
        <x:f t="shared" si="0"/>
        <x:v xml:space="preserve">[] - </x:v>
      </x:c>
    </x:row>
    <x:row r="75" spans="1:17" ht="15.6" customHeight="1" x14ac:dyDescent="0.2">
      <x:c r="O75" s="1019"/>
      <x:c r="P75" s="1020"/>
      <x:c r="Q75" s="1013" t="str">
        <x:f t="shared" si="0"/>
        <x:v xml:space="preserve">[] - </x:v>
      </x:c>
    </x:row>
    <x:row r="76" spans="1:17" ht="15.6" customHeight="1" x14ac:dyDescent="0.2">
      <x:c r="O76" s="1019"/>
      <x:c r="P76" s="1020"/>
      <x:c r="Q76" s="1013" t="str">
        <x:f t="shared" si="0"/>
        <x:v xml:space="preserve">[] - </x:v>
      </x:c>
    </x:row>
    <x:row r="77" spans="1:17" ht="15.6" customHeight="1" x14ac:dyDescent="0.2">
      <x:c r="O77" s="1019"/>
      <x:c r="P77" s="1020"/>
      <x:c r="Q77" s="1013" t="str">
        <x:f t="shared" si="0"/>
        <x:v xml:space="preserve">[] - </x:v>
      </x:c>
    </x:row>
    <x:row r="78" spans="1:17" ht="15.6" customHeight="1" x14ac:dyDescent="0.2">
      <x:c r="O78" s="1019"/>
      <x:c r="P78" s="1020"/>
      <x:c r="Q78" s="1013" t="str">
        <x:f t="shared" ref="Q78:Q99" si="2">CONCATENATE("[",O78, "] - ", P78)</x:f>
        <x:v xml:space="preserve">[] - </x:v>
      </x:c>
    </x:row>
    <x:row r="79" spans="1:17" ht="15.6" customHeight="1" x14ac:dyDescent="0.2">
      <x:c r="O79" s="1019"/>
      <x:c r="P79" s="1020"/>
      <x:c r="Q79" s="1013" t="str">
        <x:f t="shared" si="2"/>
        <x:v xml:space="preserve">[] - </x:v>
      </x:c>
    </x:row>
    <x:row r="80" spans="1:17" ht="15.6" customHeight="1" x14ac:dyDescent="0.2">
      <x:c r="O80" s="1019"/>
      <x:c r="P80" s="1020"/>
      <x:c r="Q80" s="1013" t="str">
        <x:f t="shared" si="2"/>
        <x:v xml:space="preserve">[] - </x:v>
      </x:c>
    </x:row>
    <x:row r="81" spans="15:17" ht="15.6" customHeight="1" x14ac:dyDescent="0.2">
      <x:c r="O81" s="1019"/>
      <x:c r="P81" s="1020"/>
      <x:c r="Q81" s="1013" t="str">
        <x:f t="shared" si="2"/>
        <x:v xml:space="preserve">[] - </x:v>
      </x:c>
    </x:row>
    <x:row r="82" spans="15:17" ht="15.6" customHeight="1" x14ac:dyDescent="0.2">
      <x:c r="O82" s="1019"/>
      <x:c r="P82" s="1020"/>
      <x:c r="Q82" s="1013" t="str">
        <x:f t="shared" si="2"/>
        <x:v xml:space="preserve">[] - </x:v>
      </x:c>
    </x:row>
    <x:row r="83" spans="15:17" ht="15.6" customHeight="1" x14ac:dyDescent="0.2">
      <x:c r="O83" s="1019"/>
      <x:c r="P83" s="1020"/>
      <x:c r="Q83" s="1013" t="str">
        <x:f t="shared" si="2"/>
        <x:v xml:space="preserve">[] - </x:v>
      </x:c>
    </x:row>
    <x:row r="84" spans="15:17" ht="15.6" customHeight="1" x14ac:dyDescent="0.2">
      <x:c r="O84" s="1019"/>
      <x:c r="P84" s="1020"/>
      <x:c r="Q84" s="1013" t="str">
        <x:f t="shared" si="2"/>
        <x:v xml:space="preserve">[] - </x:v>
      </x:c>
    </x:row>
    <x:row r="85" spans="15:17" ht="15.6" customHeight="1" x14ac:dyDescent="0.2">
      <x:c r="O85" s="1019"/>
      <x:c r="P85" s="1020"/>
      <x:c r="Q85" s="1013" t="str">
        <x:f t="shared" si="2"/>
        <x:v xml:space="preserve">[] - </x:v>
      </x:c>
    </x:row>
    <x:row r="86" spans="15:17" ht="15.6" customHeight="1" x14ac:dyDescent="0.2">
      <x:c r="O86" s="1019"/>
      <x:c r="P86" s="1020"/>
      <x:c r="Q86" s="1013" t="str">
        <x:f t="shared" si="2"/>
        <x:v xml:space="preserve">[] - </x:v>
      </x:c>
    </x:row>
    <x:row r="87" spans="15:17" ht="15.6" customHeight="1" x14ac:dyDescent="0.2">
      <x:c r="O87" s="1019"/>
      <x:c r="P87" s="1020"/>
      <x:c r="Q87" s="1013" t="str">
        <x:f t="shared" si="2"/>
        <x:v xml:space="preserve">[] - </x:v>
      </x:c>
    </x:row>
    <x:row r="88" spans="15:17" ht="15.6" customHeight="1" x14ac:dyDescent="0.2">
      <x:c r="O88" s="1019"/>
      <x:c r="P88" s="1020"/>
      <x:c r="Q88" s="1013" t="str">
        <x:f t="shared" si="2"/>
        <x:v xml:space="preserve">[] - </x:v>
      </x:c>
    </x:row>
    <x:row r="89" spans="15:17" ht="15.6" customHeight="1" x14ac:dyDescent="0.2">
      <x:c r="O89" s="1019"/>
      <x:c r="P89" s="1020"/>
      <x:c r="Q89" s="1013" t="str">
        <x:f t="shared" si="2"/>
        <x:v xml:space="preserve">[] - </x:v>
      </x:c>
    </x:row>
    <x:row r="90" spans="15:17" ht="15.6" customHeight="1" x14ac:dyDescent="0.2">
      <x:c r="O90" s="1019"/>
      <x:c r="P90" s="1020"/>
      <x:c r="Q90" s="1013" t="str">
        <x:f t="shared" si="2"/>
        <x:v xml:space="preserve">[] - </x:v>
      </x:c>
    </x:row>
    <x:row r="91" spans="15:17" ht="15.6" customHeight="1" x14ac:dyDescent="0.2">
      <x:c r="O91" s="1019"/>
      <x:c r="P91" s="1020"/>
      <x:c r="Q91" s="1013" t="str">
        <x:f t="shared" si="2"/>
        <x:v xml:space="preserve">[] - </x:v>
      </x:c>
    </x:row>
    <x:row r="92" spans="15:17" ht="15.6" customHeight="1" x14ac:dyDescent="0.2">
      <x:c r="O92" s="1019"/>
      <x:c r="P92" s="1020"/>
      <x:c r="Q92" s="1013" t="str">
        <x:f t="shared" si="2"/>
        <x:v xml:space="preserve">[] - </x:v>
      </x:c>
    </x:row>
    <x:row r="93" spans="15:17" ht="15.6" customHeight="1" x14ac:dyDescent="0.2">
      <x:c r="O93" s="1019"/>
      <x:c r="P93" s="1020"/>
      <x:c r="Q93" s="1013" t="str">
        <x:f t="shared" si="2"/>
        <x:v xml:space="preserve">[] - </x:v>
      </x:c>
    </x:row>
    <x:row r="94" spans="15:17" ht="15.6" customHeight="1" x14ac:dyDescent="0.2">
      <x:c r="O94" s="1019"/>
      <x:c r="P94" s="1020"/>
      <x:c r="Q94" s="1013" t="str">
        <x:f t="shared" si="2"/>
        <x:v xml:space="preserve">[] - </x:v>
      </x:c>
    </x:row>
    <x:row r="95" spans="15:17" ht="15.6" customHeight="1" x14ac:dyDescent="0.2">
      <x:c r="O95" s="1019"/>
      <x:c r="P95" s="1020"/>
      <x:c r="Q95" s="1013" t="str">
        <x:f t="shared" si="2"/>
        <x:v xml:space="preserve">[] - </x:v>
      </x:c>
    </x:row>
    <x:row r="96" spans="15:17" ht="15.6" customHeight="1" x14ac:dyDescent="0.2">
      <x:c r="O96" s="1019"/>
      <x:c r="P96" s="1020"/>
      <x:c r="Q96" s="1013" t="str">
        <x:f t="shared" si="2"/>
        <x:v xml:space="preserve">[] - </x:v>
      </x:c>
    </x:row>
    <x:row r="97" spans="15:17" ht="15.6" customHeight="1" x14ac:dyDescent="0.2">
      <x:c r="O97" s="1019"/>
      <x:c r="P97" s="1020"/>
      <x:c r="Q97" s="1013" t="str">
        <x:f t="shared" si="2"/>
        <x:v xml:space="preserve">[] - </x:v>
      </x:c>
    </x:row>
    <x:row r="98" spans="15:17" ht="15.6" customHeight="1" x14ac:dyDescent="0.2">
      <x:c r="O98" s="1019"/>
      <x:c r="P98" s="1020"/>
      <x:c r="Q98" s="1013" t="str">
        <x:f t="shared" si="2"/>
        <x:v xml:space="preserve">[] - </x:v>
      </x:c>
    </x:row>
    <x:row r="99" spans="15:17" ht="15.6" customHeight="1" x14ac:dyDescent="0.2">
      <x:c r="O99" s="1021"/>
      <x:c r="P99" s="1022"/>
      <x:c r="Q99" s="1014" t="str">
        <x:f t="shared" si="2"/>
        <x:v xml:space="preserve">[] - </x:v>
      </x:c>
    </x:row>
    <x:row r="100" spans="15:17" x14ac:dyDescent="0.2">
      <x:c r="Q100" s="1010"/>
    </x:row>
  </x:sheetData>
  <x:sheetProtection algorithmName="SHA-512" hashValue="rdgenZyNg5lYU8DwsgSmDXsjov2toPpKGQYJ3LKmJRglwfHNcAsi0gvb2x49T2tDjFgNhGJJqNmzyk6yU5+RBg==" saltValue="BK68oDJ4CHYM477cBkxN4Q=="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1493" priority="2" stopIfTrue="1" operator="equal">
      <x:formula>""</x:formula>
    </x:cfRule>
  </x:conditionalFormatting>
  <x:conditionalFormatting sqref="A13:J51">
    <x:cfRule type="expression" dxfId="1492" priority="1">
      <x:formula>$M13</x:formula>
    </x:cfRule>
  </x:conditionalFormatting>
  <x:dataValidations count="2">
    <x:dataValidation type="list" allowBlank="1" sqref="B13:J51">
      <x:formula1>OFFSET($Q$13,0,0,$O$10,1)</x:formula1>
    </x:dataValidation>
    <x:dataValidation type="list" allowBlank="1" showInputMessage="1" sqref="P7">
      <x:formula1>OFFSET($Q$13,0,0,$O$10,1)</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worksheet>
</file>

<file path=xl/worksheets/sheet27.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37">
    <x:tabColor indexed="44"/>
  </x:sheetPr>
  <x:dimension ref="A1:R100"/>
  <x:sheetViews>
    <x:sheetView showGridLines="0" topLeftCell="A7" zoomScaleNormal="100" zoomScaleSheetLayoutView="100" workbookViewId="0">
      <x:selection activeCell="H7" sqref="H7"/>
    </x:sheetView>
  </x:sheetViews>
  <x:sheetFormatPr defaultRowHeight="12" x14ac:dyDescent="0.2"/>
  <x:cols>
    <x:col min="1" max="1" width="10.7109375" style="295" customWidth="1"/>
    <x:col min="2" max="2" width="30.7109375" style="295" customWidth="1"/>
    <x:col min="3" max="6" width="6.42578125" style="295" customWidth="1"/>
    <x:col min="7" max="7" width="10.7109375" style="295" customWidth="1"/>
    <x:col min="8" max="8" width="6.7109375" style="295" customWidth="1"/>
    <x:col min="9" max="9" width="7.28515625" style="295" customWidth="1"/>
    <x:col min="10" max="10" width="10.7109375" style="295" customWidth="1"/>
    <x:col min="11" max="11" width="6.7109375" style="295" customWidth="1"/>
    <x:col min="12" max="13" width="5.7109375" style="295" hidden="1" customWidth="1"/>
    <x:col min="14" max="14" width="5.7109375" style="1010" hidden="1" customWidth="1"/>
    <x:col min="15" max="15" width="11.28515625" style="295" hidden="1" customWidth="1"/>
    <x:col min="16" max="16" width="68.140625" style="295" hidden="1" customWidth="1"/>
    <x:col min="17" max="17" width="135.5703125" style="295" hidden="1" customWidth="1"/>
    <x:col min="18" max="16384" width="9.140625" style="295"/>
  </x:cols>
  <x:sheetData>
    <x:row r="1" spans="1:18" s="449" customFormat="1" ht="15" customHeight="1" thickBot="1" x14ac:dyDescent="0.25">
      <x:c r="A1" s="444"/>
      <x:c r="B1" s="444"/>
      <x:c r="C1" s="444"/>
      <x:c r="D1" s="2227" t="str">
        <x:f>IF(L1="","",VLOOKUP(L1,'Job Info.'!X:AA,4,FALSE))</x:f>
        <x:v>Master</x:v>
      </x:c>
      <x:c r="E1" s="2266"/>
      <x:c r="F1" s="2266"/>
      <x:c r="G1" s="2265" t="s">
        <x:v>96</x:v>
      </x:c>
      <x:c r="H1" s="2277"/>
      <x:c r="I1" s="2259" t="str">
        <x:f ca="1">'Job Info.'!D12</x:f>
        <x:v>775-428-0600</x:v>
      </x:c>
      <x:c r="J1" s="2260"/>
      <x:c r="K1" s="578" t="s">
        <x:v>763</x:v>
      </x:c>
      <x:c r="L1" s="448" t="str">
        <x:f>'Job Info.'!Q30</x:f>
        <x:v>M</x:v>
      </x:c>
      <x:c r="M1" s="448" t="b">
        <x:f>'Job Info.'!Q32</x:f>
        <x:v>0</x:v>
      </x:c>
      <x:c r="N1" s="1008"/>
      <x:c r="R1" s="579" t="s">
        <x:v>764</x:v>
      </x:c>
    </x:row>
    <x:row r="2" spans="1:18" s="449" customFormat="1" ht="12.95" customHeight="1" thickTop="1" x14ac:dyDescent="0.2">
      <x:c r="A2" s="444"/>
      <x:c r="B2" s="444"/>
      <x:c r="C2" s="444"/>
      <x:c r="D2" s="2228" t="str">
        <x:f>IF(L1="","",IF(VLOOKUP(L1,'Job Info.'!X:Z,2,FALSE),"Released for Fabrication",""))</x:f>
        <x:v/>
      </x:c>
      <x:c r="E2" s="2267"/>
      <x:c r="F2" s="2268"/>
      <x:c r="G2" s="2265" t="s">
        <x:v>97</x:v>
      </x:c>
      <x:c r="H2" s="2265"/>
      <x:c r="I2" s="2259" t="str">
        <x:f ca="1">'Job Info.'!D13</x:f>
        <x:v>775-867-2140</x:v>
      </x:c>
      <x:c r="J2" s="2260"/>
      <x:c r="N2" s="1008"/>
    </x:row>
    <x:row r="3" spans="1:18" s="449" customFormat="1" ht="12.95" customHeight="1" x14ac:dyDescent="0.2">
      <x:c r="A3" s="444"/>
      <x:c r="B3" s="444"/>
      <x:c r="C3" s="444"/>
      <x:c r="D3" s="2269"/>
      <x:c r="E3" s="2270"/>
      <x:c r="F3" s="2271"/>
      <x:c r="G3" s="2265" t="s">
        <x:v>99</x:v>
      </x:c>
      <x:c r="H3" s="2265"/>
      <x:c r="I3" s="2259" t="str">
        <x:f ca="1">'Job Info.'!D14</x:f>
        <x:v>775-867-2169</x:v>
      </x:c>
      <x:c r="J3" s="2260"/>
      <x:c r="N3" s="1008"/>
    </x:row>
    <x:row r="4" spans="1:18" s="449" customFormat="1" ht="12.95" customHeight="1" thickBot="1" x14ac:dyDescent="0.25">
      <x:c r="A4" s="444"/>
      <x:c r="B4" s="444"/>
      <x:c r="C4" s="444"/>
      <x:c r="D4" s="2234" t="str">
        <x:f>IF(L1="","",IF(VLOOKUP(L1,'Job Info.'!X:Z,2,FALSE),VLOOKUP(L1,'Job Info.'!X:Z,3,FALSE),""))</x:f>
        <x:v/>
      </x:c>
      <x:c r="E4" s="2272"/>
      <x:c r="F4" s="2273"/>
      <x:c r="G4" s="2265" t="s">
        <x:v>98</x:v>
      </x:c>
      <x:c r="H4" s="2265"/>
      <x:c r="I4" s="2259" t="str">
        <x:f ca="1">'Job Info.'!D15</x:f>
        <x:v>775-867-2060</x:v>
      </x:c>
      <x:c r="J4" s="2260"/>
      <x:c r="N4" s="1008"/>
    </x:row>
    <x:row r="5" spans="1:18" s="449" customFormat="1" ht="12.95" customHeight="1" thickTop="1" x14ac:dyDescent="0.2">
      <x:c r="A5" s="2237" t="str">
        <x:f ca="1">'Job Info.'!D11</x:f>
        <x:v>8200 Woolery Way | Fallon, NV 89406 | www.newmill.com</x:v>
      </x:c>
      <x:c r="B5" s="2237"/>
      <x:c r="C5" s="2237"/>
      <x:c r="D5" s="2237"/>
      <x:c r="E5" s="2237"/>
      <x:c r="F5" s="2237"/>
      <x:c r="G5" s="1824"/>
      <x:c r="H5" s="444"/>
      <x:c r="I5" s="444"/>
      <x:c r="J5" s="444"/>
      <x:c r="N5" s="1008"/>
    </x:row>
    <x:row r="6" spans="1:18" s="449" customFormat="1" ht="12.95" customHeight="1" x14ac:dyDescent="0.2">
      <x:c r="A6" s="444"/>
      <x:c r="B6" s="444"/>
      <x:c r="C6" s="444"/>
      <x:c r="D6" s="444"/>
      <x:c r="E6" s="444"/>
      <x:c r="F6" s="444"/>
      <x:c r="G6" s="550" t="s">
        <x:v>20</x:v>
      </x:c>
      <x:c r="H6" s="2261">
        <x:f>IF(ISBLANK('Job Info.'!D8),"",'Job Info.'!D8)</x:f>
        <x:v>43406</x:v>
      </x:c>
      <x:c r="I6" s="2261"/>
      <x:c r="J6" s="444"/>
      <x:c r="L6" s="1392" t="s">
        <x:v>1180</x:v>
      </x:c>
      <x:c r="M6" s="979"/>
      <x:c r="N6" s="1008"/>
    </x:row>
    <x:row r="7" spans="1:18" ht="12.95" customHeight="1" x14ac:dyDescent="0.2">
      <x:c r="A7" s="472" t="s">
        <x:v>29</x:v>
      </x:c>
      <x:c r="B7" s="473"/>
      <x:c r="C7" s="473"/>
      <x:c r="D7" s="473"/>
      <x:c r="E7" s="473"/>
      <x:c r="F7" s="1023"/>
      <x:c r="G7" s="551" t="s">
        <x:v>21</x:v>
      </x:c>
      <x:c r="H7" s="1527" t="str">
        <x:f>CONCATENATE(L7, " of ",IF(ISBLANK('Job Info.'!D9),"",'Job Info.'!D9))</x:f>
        <x:v>3 of 42</x:v>
      </x:c>
      <x:c r="I7" s="822"/>
      <x:c r="J7" s="573"/>
      <x:c r="L7" s="1394">
        <x:v>3</x:v>
      </x:c>
      <x:c r="M7" s="453"/>
      <x:c r="P7" s="1009"/>
    </x:row>
    <x:row r="8" spans="1:18" ht="3.95" customHeight="1" x14ac:dyDescent="0.2">
      <x:c r="A8" s="473"/>
      <x:c r="B8" s="473"/>
      <x:c r="C8" s="473"/>
      <x:c r="D8" s="473"/>
      <x:c r="E8" s="473"/>
      <x:c r="F8" s="473"/>
      <x:c r="G8" s="473"/>
      <x:c r="H8" s="473"/>
      <x:c r="I8" s="473"/>
      <x:c r="J8" s="473"/>
    </x:row>
    <x:row r="9" spans="1:18" ht="12.6" customHeight="1" x14ac:dyDescent="0.2">
      <x:c r="A9" s="572" t="s">
        <x:v>1</x:v>
      </x:c>
      <x:c r="B9" s="2225" t="str">
        <x:f>IF(ISBLANK('Job Info.'!D3),"",'Job Info.'!D3)</x:f>
        <x:v>SUNPOINT CROSSING</x:v>
      </x:c>
      <x:c r="C9" s="2225"/>
      <x:c r="D9" s="2226"/>
      <x:c r="E9" s="574"/>
      <x:c r="F9" s="575" t="s">
        <x:v>2</x:v>
      </x:c>
      <x:c r="G9" s="2225" t="str">
        <x:f>IF(ISBLANK('Job Info.'!D5),"",'Job Info.'!D5)</x:f>
        <x:v>9118-0062</x:v>
      </x:c>
      <x:c r="H9" s="2225"/>
      <x:c r="I9" s="2225"/>
      <x:c r="J9" s="2226"/>
      <x:c r="L9" s="453"/>
    </x:row>
    <x:row r="10" spans="1:18" ht="12.6" customHeight="1" x14ac:dyDescent="0.2">
      <x:c r="A10" s="572" t="s">
        <x:v>3</x:v>
      </x:c>
      <x:c r="B10" s="2225" t="str">
        <x:f>IF(ISBLANK('Job Info.'!D4),"",'Job Info.'!D4)</x:f>
        <x:v>LAS VEGAS, NV</x:v>
      </x:c>
      <x:c r="C10" s="2225"/>
      <x:c r="D10" s="2226"/>
      <x:c r="E10" s="567"/>
      <x:c r="F10" s="572" t="s">
        <x:v>22</x:v>
      </x:c>
      <x:c r="G10" s="1823" t="str">
        <x:f>IF(ISBLANK('Job Info.'!D6),"",'Job Info.'!D6)</x:f>
        <x:v>CJA</x:v>
      </x:c>
      <x:c r="H10" s="286"/>
      <x:c r="I10" s="575" t="s">
        <x:v>23</x:v>
      </x:c>
      <x:c r="J10" s="1823" t="str">
        <x:f>IF(ISBLANK('Job Info.'!D7),"",'Job Info.'!D7)</x:f>
        <x:v>LS</x:v>
      </x:c>
      <x:c r="L10" s="1201" t="s">
        <x:v>1016</x:v>
      </x:c>
      <x:c r="M10" s="1201" t="s">
        <x:v>171</x:v>
      </x:c>
      <x:c r="O10" s="295">
        <x:f>COUNTA(P13:P99)</x:f>
        <x:v>56</x:v>
      </x:c>
      <x:c r="Q10" s="1010"/>
    </x:row>
    <x:row r="11" spans="1:18" ht="3.95" customHeight="1" x14ac:dyDescent="0.2">
      <x:c r="A11" s="1396"/>
      <x:c r="B11" s="473"/>
      <x:c r="C11" s="473"/>
      <x:c r="D11" s="473"/>
      <x:c r="E11" s="473"/>
      <x:c r="F11" s="473"/>
      <x:c r="G11" s="473"/>
      <x:c r="H11" s="473"/>
      <x:c r="I11" s="473"/>
      <x:c r="J11" s="473"/>
      <x:c r="Q11" s="1010"/>
    </x:row>
    <x:row r="12" spans="1:18" s="570" customFormat="1" ht="15.4" customHeight="1" thickBot="1" x14ac:dyDescent="0.25">
      <x:c r="A12" s="1821" t="s">
        <x:v>30</x:v>
      </x:c>
      <x:c r="B12" s="2262" t="s">
        <x:v>15</x:v>
      </x:c>
      <x:c r="C12" s="2263"/>
      <x:c r="D12" s="2263"/>
      <x:c r="E12" s="2263"/>
      <x:c r="F12" s="2263"/>
      <x:c r="G12" s="2263"/>
      <x:c r="H12" s="2263"/>
      <x:c r="I12" s="2263"/>
      <x:c r="J12" s="2264"/>
      <x:c r="O12" s="1015" t="s">
        <x:v>1006</x:v>
      </x:c>
      <x:c r="P12" s="1016" t="s">
        <x:v>1007</x:v>
      </x:c>
      <x:c r="Q12" s="1011" t="s">
        <x:v>1011</x:v>
      </x:c>
    </x:row>
    <x:row r="13" spans="1:18" ht="15.4" customHeight="1" thickTop="1" x14ac:dyDescent="0.2">
      <x:c r="A13" s="2017" t="s">
        <x:v>1747</x:v>
      </x:c>
      <x:c r="B13" s="3036" t="s">
        <x:v>1748</x:v>
      </x:c>
      <x:c r="C13" s="3037"/>
      <x:c r="D13" s="3037"/>
      <x:c r="E13" s="3037"/>
      <x:c r="F13" s="3037"/>
      <x:c r="G13" s="3037"/>
      <x:c r="H13" s="3037"/>
      <x:c r="I13" s="3037"/>
      <x:c r="J13" s="3038"/>
      <x:c r="L13" s="1203" t="str">
        <x:f>IF(ISBLANK(A13),"",A13)</x:f>
        <x:v>AG</x:v>
      </x:c>
      <x:c r="M13" s="1203" t="b">
        <x:v>0</x:v>
      </x:c>
      <x:c r="O13" s="1017"/>
      <x:c r="P13" s="1018" t="s">
        <x:v>1065</x:v>
      </x:c>
      <x:c r="Q13" s="1012" t="str">
        <x:f>CONCATENATE("[",O13, "] - ", P13)</x:f>
        <x:v>[] - SHAPES</x:v>
      </x:c>
    </x:row>
    <x:row r="14" spans="1:18" ht="15.4" customHeight="1" x14ac:dyDescent="0.2">
      <x:c r="A14" s="2018" t="s">
        <x:v>1749</x:v>
      </x:c>
      <x:c r="B14" s="3030" t="s">
        <x:v>1750</x:v>
      </x:c>
      <x:c r="C14" s="3031"/>
      <x:c r="D14" s="3031"/>
      <x:c r="E14" s="3031"/>
      <x:c r="F14" s="3031"/>
      <x:c r="G14" s="3031"/>
      <x:c r="H14" s="3031"/>
      <x:c r="I14" s="3031"/>
      <x:c r="J14" s="3032"/>
      <x:c r="L14" s="1203" t="str">
        <x:f>IF(ISBLANK(A14),L13,A14)</x:f>
        <x:v>AH</x:v>
      </x:c>
      <x:c r="M14" s="1203" t="b">
        <x:v>0</x:v>
      </x:c>
      <x:c r="O14" s="1019" t="s">
        <x:v>1008</x:v>
      </x:c>
      <x:c r="P14" s="1020" t="s">
        <x:v>1066</x:v>
      </x:c>
      <x:c r="Q14" s="1013" t="str">
        <x:f t="shared" ref="Q14:Q77" si="0">CONCATENATE("[",O14, "] - ", P14)</x:f>
        <x:v>[SP] - Single Pitch: (Ctr Depth=Designation) ##" Depth @ LBL, ##" Depth @ RBL</x:v>
      </x:c>
    </x:row>
    <x:row r="15" spans="1:18" ht="15.4" customHeight="1" x14ac:dyDescent="0.2">
      <x:c r="A15" s="2018" t="s">
        <x:v>1751</x:v>
      </x:c>
      <x:c r="B15" s="3030" t="s">
        <x:v>1752</x:v>
      </x:c>
      <x:c r="C15" s="3031"/>
      <x:c r="D15" s="3031"/>
      <x:c r="E15" s="3031"/>
      <x:c r="F15" s="3031"/>
      <x:c r="G15" s="3031"/>
      <x:c r="H15" s="3031"/>
      <x:c r="I15" s="3031"/>
      <x:c r="J15" s="3032"/>
      <x:c r="L15" s="1203" t="str">
        <x:f t="shared" ref="L15:L51" si="1">IF(ISBLANK(A15),L14,A15)</x:f>
        <x:v>AI</x:v>
      </x:c>
      <x:c r="M15" s="1203" t="b">
        <x:v>0</x:v>
      </x:c>
      <x:c r="O15" s="1019" t="s">
        <x:v>1009</x:v>
      </x:c>
      <x:c r="P15" s="1020" t="s">
        <x:v>1067</x:v>
      </x:c>
      <x:c r="Q15" s="1013" t="str">
        <x:f t="shared" si="0"/>
        <x:v>[DP] - Double Pitch: Ridge @ ##’-## From LBL (Depth=Designation), ##" Depth @ LBL, ##" Depth @ RBL</x:v>
      </x:c>
    </x:row>
    <x:row r="16" spans="1:18" ht="15.4" customHeight="1" x14ac:dyDescent="0.2">
      <x:c r="A16" s="2018" t="s">
        <x:v>1753</x:v>
      </x:c>
      <x:c r="B16" s="3030" t="s">
        <x:v>1754</x:v>
      </x:c>
      <x:c r="C16" s="3031"/>
      <x:c r="D16" s="3031"/>
      <x:c r="E16" s="3031"/>
      <x:c r="F16" s="3031"/>
      <x:c r="G16" s="3031"/>
      <x:c r="H16" s="3031"/>
      <x:c r="I16" s="3031"/>
      <x:c r="J16" s="3032"/>
      <x:c r="L16" s="1203" t="str">
        <x:f t="shared" si="1"/>
        <x:v>AJ</x:v>
      </x:c>
      <x:c r="M16" s="1203" t="b">
        <x:v>0</x:v>
      </x:c>
      <x:c r="O16" s="1019" t="s">
        <x:v>1010</x:v>
      </x:c>
      <x:c r="P16" s="1020" t="s">
        <x:v>1068</x:v>
      </x:c>
      <x:c r="Q16" s="1013" t="str">
        <x:f t="shared" si="0"/>
        <x:v>[TP] - Triple Pitch: Ridge Left @ ##’-## From LBL (Depth=Designation), ##" Depth @ LBL, ##" Depth @ RBL, Ridge Right @ ##'-## From LBL</x:v>
      </x:c>
    </x:row>
    <x:row r="17" spans="1:17" ht="15.4" customHeight="1" x14ac:dyDescent="0.2">
      <x:c r="A17" s="2018" t="s">
        <x:v>1755</x:v>
      </x:c>
      <x:c r="B17" s="3030" t="s">
        <x:v>1756</x:v>
      </x:c>
      <x:c r="C17" s="3031"/>
      <x:c r="D17" s="3031"/>
      <x:c r="E17" s="3031"/>
      <x:c r="F17" s="3031"/>
      <x:c r="G17" s="3031"/>
      <x:c r="H17" s="3031"/>
      <x:c r="I17" s="3031"/>
      <x:c r="J17" s="3032"/>
      <x:c r="L17" s="1203" t="str">
        <x:f t="shared" si="1"/>
        <x:v>AK</x:v>
      </x:c>
      <x:c r="M17" s="1203" t="b">
        <x:v>0</x:v>
      </x:c>
      <x:c r="O17" s="1019" t="s">
        <x:v>1034</x:v>
      </x:c>
      <x:c r="P17" s="1020" t="s">
        <x:v>1069</x:v>
      </x:c>
      <x:c r="Q17" s="1013" t="str">
        <x:f t="shared" si="0"/>
        <x:v>[AC] - Arched Chords: (Depth=Designation) ##" TC Radius</x:v>
      </x:c>
    </x:row>
    <x:row r="18" spans="1:17" ht="15.4" customHeight="1" x14ac:dyDescent="0.2">
      <x:c r="A18" s="2018" t="s">
        <x:v>1757</x:v>
      </x:c>
      <x:c r="B18" s="3030" t="s">
        <x:v>1758</x:v>
      </x:c>
      <x:c r="C18" s="3031"/>
      <x:c r="D18" s="3031"/>
      <x:c r="E18" s="3031"/>
      <x:c r="F18" s="3031"/>
      <x:c r="G18" s="3031"/>
      <x:c r="H18" s="3031"/>
      <x:c r="I18" s="3031"/>
      <x:c r="J18" s="3032"/>
      <x:c r="L18" s="1203" t="str">
        <x:f t="shared" si="1"/>
        <x:v>AL</x:v>
      </x:c>
      <x:c r="M18" s="1203" t="b">
        <x:v>0</x:v>
      </x:c>
      <x:c r="O18" s="1019" t="s">
        <x:v>1035</x:v>
      </x:c>
      <x:c r="P18" s="1020" t="s">
        <x:v>1070</x:v>
      </x:c>
      <x:c r="Q18" s="1013" t="str">
        <x:f t="shared" si="0"/>
        <x:v>[BW] - Bowstring: Ridge @ ##’-## From LBL (Depth=Designation), ##" Depth @ LBL, ##" TC Radius</x:v>
      </x:c>
    </x:row>
    <x:row r="19" spans="1:17" ht="15.4" customHeight="1" x14ac:dyDescent="0.2">
      <x:c r="A19" s="2018" t="s">
        <x:v>1759</x:v>
      </x:c>
      <x:c r="B19" s="3030" t="s">
        <x:v>1760</x:v>
      </x:c>
      <x:c r="C19" s="3031"/>
      <x:c r="D19" s="3031"/>
      <x:c r="E19" s="3031"/>
      <x:c r="F19" s="3031"/>
      <x:c r="G19" s="3031"/>
      <x:c r="H19" s="3031"/>
      <x:c r="I19" s="3031"/>
      <x:c r="J19" s="3032"/>
      <x:c r="L19" s="1203" t="str">
        <x:f t="shared" si="1"/>
        <x:v>AM</x:v>
      </x:c>
      <x:c r="M19" s="1203" t="b">
        <x:v>0</x:v>
      </x:c>
      <x:c r="O19" s="1019" t="s">
        <x:v>1036</x:v>
      </x:c>
      <x:c r="P19" s="1020" t="s">
        <x:v>1119</x:v>
      </x:c>
      <x:c r="Q19" s="1013" t="str">
        <x:f t="shared" si="0"/>
        <x:v>[SC] - Scissor: Ridge @ ##’-## From LBL (Vert Depth=Designation), BC Rise ##” @ Ridge From LBL, ##" Vert Depth @ LBL, ##" Vert Depth @ RBL, ##" BC Elev difference @ RBL</x:v>
      </x:c>
    </x:row>
    <x:row r="20" spans="1:17" ht="15.4" customHeight="1" x14ac:dyDescent="0.2">
      <x:c r="A20" s="2018" t="s">
        <x:v>1761</x:v>
      </x:c>
      <x:c r="B20" s="3030" t="s">
        <x:v>1762</x:v>
      </x:c>
      <x:c r="C20" s="3031"/>
      <x:c r="D20" s="3031"/>
      <x:c r="E20" s="3031"/>
      <x:c r="F20" s="3031"/>
      <x:c r="G20" s="3031"/>
      <x:c r="H20" s="3031"/>
      <x:c r="I20" s="3031"/>
      <x:c r="J20" s="3032"/>
      <x:c r="L20" s="1203" t="str">
        <x:f t="shared" si="1"/>
        <x:v>AN</x:v>
      </x:c>
      <x:c r="M20" s="1203" t="b">
        <x:v>0</x:v>
      </x:c>
      <x:c r="O20" s="1019"/>
      <x:c r="P20" s="1020" t="s">
        <x:v>1071</x:v>
      </x:c>
      <x:c r="Q20" s="1013" t="str">
        <x:f t="shared" si="0"/>
        <x:v>[] - DEFLECTION</x:v>
      </x:c>
    </x:row>
    <x:row r="21" spans="1:17" ht="15.4" customHeight="1" x14ac:dyDescent="0.2">
      <x:c r="A21" s="2018" t="s">
        <x:v>1763</x:v>
      </x:c>
      <x:c r="B21" s="3039" t="s">
        <x:v>1764</x:v>
      </x:c>
      <x:c r="C21" s="3040"/>
      <x:c r="D21" s="3040"/>
      <x:c r="E21" s="3040"/>
      <x:c r="F21" s="3040"/>
      <x:c r="G21" s="3040"/>
      <x:c r="H21" s="3040"/>
      <x:c r="I21" s="3040"/>
      <x:c r="J21" s="3041"/>
      <x:c r="L21" s="1203" t="str">
        <x:f t="shared" si="1"/>
        <x:v>AO</x:v>
      </x:c>
      <x:c r="M21" s="1203" t="b">
        <x:v>0</x:v>
      </x:c>
      <x:c r="O21" s="1019" t="s">
        <x:v>1029</x:v>
      </x:c>
      <x:c r="P21" s="1020" t="s">
        <x:v>1072</x:v>
      </x:c>
      <x:c r="Q21" s="1013" t="str">
        <x:f t="shared" si="0"/>
        <x:v>[DefLL] - LL Deflection = L/###|Deflection=L/### Due To ### PLF LL|LL Deflection=L/### (LL/TL Ratio = ##%)</x:v>
      </x:c>
    </x:row>
    <x:row r="22" spans="1:17" ht="15.4" customHeight="1" x14ac:dyDescent="0.2">
      <x:c r="A22" s="2018" t="s">
        <x:v>1765</x:v>
      </x:c>
      <x:c r="B22" s="3030" t="s">
        <x:v>1766</x:v>
      </x:c>
      <x:c r="C22" s="3031"/>
      <x:c r="D22" s="3031"/>
      <x:c r="E22" s="3031"/>
      <x:c r="F22" s="3031"/>
      <x:c r="G22" s="3031"/>
      <x:c r="H22" s="3031"/>
      <x:c r="I22" s="3031"/>
      <x:c r="J22" s="3032"/>
      <x:c r="L22" s="1203" t="str">
        <x:f t="shared" si="1"/>
        <x:v>AP</x:v>
      </x:c>
      <x:c r="M22" s="1203" t="b">
        <x:v>0</x:v>
      </x:c>
      <x:c r="O22" s="1019" t="s">
        <x:v>1030</x:v>
      </x:c>
      <x:c r="P22" s="1020" t="s">
        <x:v>1073</x:v>
      </x:c>
      <x:c r="Q22" s="1013" t="str">
        <x:f t="shared" si="0"/>
        <x:v>[DefTL] - TL Deflection = L/###, Ck Std Camber Satisfies DL Def</x:v>
      </x:c>
    </x:row>
    <x:row r="23" spans="1:17" ht="15.4" customHeight="1" x14ac:dyDescent="0.2">
      <x:c r="A23" s="2018" t="s">
        <x:v>1767</x:v>
      </x:c>
      <x:c r="B23" s="3036" t="s">
        <x:v>1768</x:v>
      </x:c>
      <x:c r="C23" s="3037"/>
      <x:c r="D23" s="3037"/>
      <x:c r="E23" s="3037"/>
      <x:c r="F23" s="3037"/>
      <x:c r="G23" s="3037"/>
      <x:c r="H23" s="3037"/>
      <x:c r="I23" s="3037"/>
      <x:c r="J23" s="3038"/>
      <x:c r="L23" s="1203" t="str">
        <x:f t="shared" si="1"/>
        <x:v>AQ</x:v>
      </x:c>
      <x:c r="M23" s="1203" t="b">
        <x:v>0</x:v>
      </x:c>
      <x:c r="O23" s="1019" t="s">
        <x:v>1031</x:v>
      </x:c>
      <x:c r="P23" s="1020" t="s">
        <x:v>1075</x:v>
      </x:c>
      <x:c r="Q23" s="1013" t="str">
        <x:f t="shared" si="0"/>
        <x:v>[DefTCX] - TCXL|TCXR Deflection = ##" Max Due To ### PLF LL|DL|TL</x:v>
      </x:c>
    </x:row>
    <x:row r="24" spans="1:17" ht="15.4" customHeight="1" x14ac:dyDescent="0.2">
      <x:c r="A24" s="2018" t="s">
        <x:v>1769</x:v>
      </x:c>
      <x:c r="B24" s="3030" t="s">
        <x:v>1770</x:v>
      </x:c>
      <x:c r="C24" s="3031"/>
      <x:c r="D24" s="3031"/>
      <x:c r="E24" s="3031"/>
      <x:c r="F24" s="3031"/>
      <x:c r="G24" s="3031"/>
      <x:c r="H24" s="3031"/>
      <x:c r="I24" s="3031"/>
      <x:c r="J24" s="3032"/>
      <x:c r="L24" s="1203" t="str">
        <x:f t="shared" si="1"/>
        <x:v>AR</x:v>
      </x:c>
      <x:c r="M24" s="1203" t="b">
        <x:v>0</x:v>
      </x:c>
      <x:c r="O24" s="1019" t="s">
        <x:v>1032</x:v>
      </x:c>
      <x:c r="P24" s="1020" t="s">
        <x:v>1074</x:v>
      </x:c>
      <x:c r="Q24" s="1013" t="str">
        <x:f t="shared" si="0"/>
        <x:v>[DefSP] - Special Deflection = ##" Max Due To ### PLF LL|DL|TL</x:v>
      </x:c>
    </x:row>
    <x:row r="25" spans="1:17" ht="15.4" customHeight="1" x14ac:dyDescent="0.2">
      <x:c r="A25" s="2018" t="s">
        <x:v>1771</x:v>
      </x:c>
      <x:c r="B25" s="3030" t="s">
        <x:v>1772</x:v>
      </x:c>
      <x:c r="C25" s="3031"/>
      <x:c r="D25" s="3031"/>
      <x:c r="E25" s="3031"/>
      <x:c r="F25" s="3031"/>
      <x:c r="G25" s="3031"/>
      <x:c r="H25" s="3031"/>
      <x:c r="I25" s="3031"/>
      <x:c r="J25" s="3032"/>
      <x:c r="L25" s="1203" t="str">
        <x:f t="shared" si="1"/>
        <x:v>AS</x:v>
      </x:c>
      <x:c r="M25" s="1203" t="b">
        <x:v>0</x:v>
      </x:c>
      <x:c r="O25" s="1019"/>
      <x:c r="P25" s="1020" t="s">
        <x:v>1076</x:v>
      </x:c>
      <x:c r="Q25" s="1013" t="str">
        <x:f t="shared" si="0"/>
        <x:v>[] - BEARING SEATS</x:v>
      </x:c>
    </x:row>
    <x:row r="26" spans="1:17" ht="15.4" customHeight="1" x14ac:dyDescent="0.2">
      <x:c r="A26" s="2018"/>
      <x:c r="B26" s="3030" t="s">
        <x:v>1710</x:v>
      </x:c>
      <x:c r="C26" s="3031"/>
      <x:c r="D26" s="3031"/>
      <x:c r="E26" s="3031"/>
      <x:c r="F26" s="3031"/>
      <x:c r="G26" s="3031"/>
      <x:c r="H26" s="3031"/>
      <x:c r="I26" s="3031"/>
      <x:c r="J26" s="3032"/>
      <x:c r="L26" s="1203" t="str">
        <x:f t="shared" si="1"/>
        <x:v>AS</x:v>
      </x:c>
      <x:c r="M26" s="1203" t="b">
        <x:v>0</x:v>
      </x:c>
      <x:c r="O26" s="1019" t="s">
        <x:v>1120</x:v>
      </x:c>
      <x:c r="P26" s="1020" t="s">
        <x:v>1121</x:v>
      </x:c>
      <x:c r="Q26" s="1013" t="str">
        <x:f t="shared" si="0"/>
        <x:v>[ShrtBrg] - Short Bearing = #” @ LE|RE|BE</x:v>
      </x:c>
    </x:row>
    <x:row r="27" spans="1:17" ht="15.4" customHeight="1" x14ac:dyDescent="0.2">
      <x:c r="A27" s="2018" t="s">
        <x:v>1773</x:v>
      </x:c>
      <x:c r="B27" s="3030" t="s">
        <x:v>1774</x:v>
      </x:c>
      <x:c r="C27" s="3031"/>
      <x:c r="D27" s="3031"/>
      <x:c r="E27" s="3031"/>
      <x:c r="F27" s="3031"/>
      <x:c r="G27" s="3031"/>
      <x:c r="H27" s="3031"/>
      <x:c r="I27" s="3031"/>
      <x:c r="J27" s="3032"/>
      <x:c r="L27" s="1203" t="str">
        <x:f t="shared" si="1"/>
        <x:v>AT</x:v>
      </x:c>
      <x:c r="M27" s="1203" t="b">
        <x:v>0</x:v>
      </x:c>
      <x:c r="O27" s="1019" t="s">
        <x:v>1023</x:v>
      </x:c>
      <x:c r="P27" s="1020" t="s">
        <x:v>1077</x:v>
      </x:c>
      <x:c r="Q27" s="1013" t="str">
        <x:f t="shared" si="0"/>
        <x:v>[TCXMax] - Max Depth of TCXL|TCXR = ##"</x:v>
      </x:c>
    </x:row>
    <x:row r="28" spans="1:17" ht="15.4" customHeight="1" x14ac:dyDescent="0.2">
      <x:c r="A28" s="2018" t="s">
        <x:v>1775</x:v>
      </x:c>
      <x:c r="B28" s="3030" t="s">
        <x:v>1776</x:v>
      </x:c>
      <x:c r="C28" s="3031"/>
      <x:c r="D28" s="3031"/>
      <x:c r="E28" s="3031"/>
      <x:c r="F28" s="3031"/>
      <x:c r="G28" s="3031"/>
      <x:c r="H28" s="3031"/>
      <x:c r="I28" s="3031"/>
      <x:c r="J28" s="3032"/>
      <x:c r="L28" s="1203" t="str">
        <x:f t="shared" si="1"/>
        <x:v>AU</x:v>
      </x:c>
      <x:c r="M28" s="1203" t="b">
        <x:v>0</x:v>
      </x:c>
      <x:c r="O28" s="1019" t="s">
        <x:v>1017</x:v>
      </x:c>
      <x:c r="P28" s="1020" t="s">
        <x:v>1122</x:v>
      </x:c>
      <x:c r="Q28" s="1013" t="str">
        <x:f t="shared" si="0"/>
        <x:v>[TCXSup] - TCXL|TCXR Supported @ End</x:v>
      </x:c>
    </x:row>
    <x:row r="29" spans="1:17" ht="15.4" customHeight="1" x14ac:dyDescent="0.2">
      <x:c r="A29" s="2018" t="s">
        <x:v>1777</x:v>
      </x:c>
      <x:c r="B29" s="3030" t="s">
        <x:v>1778</x:v>
      </x:c>
      <x:c r="C29" s="3031"/>
      <x:c r="D29" s="3031"/>
      <x:c r="E29" s="3031"/>
      <x:c r="F29" s="3031"/>
      <x:c r="G29" s="3031"/>
      <x:c r="H29" s="3031"/>
      <x:c r="I29" s="3031"/>
      <x:c r="J29" s="3032"/>
      <x:c r="L29" s="1203" t="str">
        <x:f t="shared" si="1"/>
        <x:v>AV</x:v>
      </x:c>
      <x:c r="M29" s="1203" t="b">
        <x:v>0</x:v>
      </x:c>
      <x:c r="O29" s="1019" t="s">
        <x:v>1079</x:v>
      </x:c>
      <x:c r="P29" s="1020" t="s">
        <x:v>1123</x:v>
      </x:c>
      <x:c r="Q29" s="1013" t="str">
        <x:f t="shared" si="0"/>
        <x:v>[Rein] - Reinforce Seats @ LE|RE|BE for Axial Load Transfer</x:v>
      </x:c>
    </x:row>
    <x:row r="30" spans="1:17" ht="15.4" customHeight="1" x14ac:dyDescent="0.2">
      <x:c r="A30" s="2018" t="s">
        <x:v>1779</x:v>
      </x:c>
      <x:c r="B30" s="3030" t="s">
        <x:v>1780</x:v>
      </x:c>
      <x:c r="C30" s="3031"/>
      <x:c r="D30" s="3031"/>
      <x:c r="E30" s="3031"/>
      <x:c r="F30" s="3031"/>
      <x:c r="G30" s="3031"/>
      <x:c r="H30" s="3031"/>
      <x:c r="I30" s="3031"/>
      <x:c r="J30" s="3032"/>
      <x:c r="L30" s="1203" t="str">
        <x:f t="shared" si="1"/>
        <x:v>AW</x:v>
      </x:c>
      <x:c r="M30" s="1203" t="b">
        <x:v>0</x:v>
      </x:c>
      <x:c r="O30" s="1019" t="s">
        <x:v>1078</x:v>
      </x:c>
      <x:c r="P30" s="1020" t="s">
        <x:v>1080</x:v>
      </x:c>
      <x:c r="Q30" s="1013" t="str">
        <x:f t="shared" si="0"/>
        <x:v>[NoRein] - Tie Pl Provided for Load Transfer, No Rein Req’d</x:v>
      </x:c>
    </x:row>
    <x:row r="31" spans="1:17" ht="15.4" customHeight="1" x14ac:dyDescent="0.2">
      <x:c r="A31" s="2018" t="s">
        <x:v>158</x:v>
      </x:c>
      <x:c r="B31" s="3030" t="s">
        <x:v>1781</x:v>
      </x:c>
      <x:c r="C31" s="3031"/>
      <x:c r="D31" s="3031"/>
      <x:c r="E31" s="3031"/>
      <x:c r="F31" s="3031"/>
      <x:c r="G31" s="3031"/>
      <x:c r="H31" s="3031"/>
      <x:c r="I31" s="3031"/>
      <x:c r="J31" s="3032"/>
      <x:c r="L31" s="1203" t="str">
        <x:f t="shared" si="1"/>
        <x:v>AX</x:v>
      </x:c>
      <x:c r="M31" s="1203" t="b">
        <x:v>0</x:v>
      </x:c>
      <x:c r="O31" s="1019" t="s">
        <x:v>1081</x:v>
      </x:c>
      <x:c r="P31" s="1020" t="s">
        <x:v>1083</x:v>
      </x:c>
      <x:c r="Q31" s="1013" t="str">
        <x:f t="shared" si="0"/>
        <x:v>[KnifePL] - Knife Pl Provided for Load Transfer, TC/Seat Gap Clear for 1st ##” @ LE|RE|BE</x:v>
      </x:c>
    </x:row>
    <x:row r="32" spans="1:17" ht="15.4" customHeight="1" x14ac:dyDescent="0.2">
      <x:c r="A32" s="2018" t="s">
        <x:v>1782</x:v>
      </x:c>
      <x:c r="B32" s="3030" t="s">
        <x:v>1783</x:v>
      </x:c>
      <x:c r="C32" s="3031"/>
      <x:c r="D32" s="3031"/>
      <x:c r="E32" s="3031"/>
      <x:c r="F32" s="3031"/>
      <x:c r="G32" s="3031"/>
      <x:c r="H32" s="3031"/>
      <x:c r="I32" s="3031"/>
      <x:c r="J32" s="3032"/>
      <x:c r="L32" s="1203" t="str">
        <x:f t="shared" si="1"/>
        <x:v>AY</x:v>
      </x:c>
      <x:c r="M32" s="1203" t="b">
        <x:v>0</x:v>
      </x:c>
      <x:c r="O32" s="1019" t="s">
        <x:v>1082</x:v>
      </x:c>
      <x:c r="P32" s="1020" t="s">
        <x:v>1084</x:v>
      </x:c>
      <x:c r="Q32" s="1013" t="str">
        <x:f t="shared" si="0"/>
        <x:v>[KickLd] - Axial Load Due To Kicker, No Rein Req’d</x:v>
      </x:c>
    </x:row>
    <x:row r="33" spans="1:17" ht="15.4" customHeight="1" x14ac:dyDescent="0.2">
      <x:c r="A33" s="2018" t="s">
        <x:v>1784</x:v>
      </x:c>
      <x:c r="B33" s="3030" t="s">
        <x:v>1785</x:v>
      </x:c>
      <x:c r="C33" s="3031"/>
      <x:c r="D33" s="3031"/>
      <x:c r="E33" s="3031"/>
      <x:c r="F33" s="3031"/>
      <x:c r="G33" s="3031"/>
      <x:c r="H33" s="3031"/>
      <x:c r="I33" s="3031"/>
      <x:c r="J33" s="3032"/>
      <x:c r="L33" s="1203" t="str">
        <x:f t="shared" si="1"/>
        <x:v>AZ</x:v>
      </x:c>
      <x:c r="M33" s="1203" t="b">
        <x:v>0</x:v>
      </x:c>
      <x:c r="O33" s="1019" t="s">
        <x:v>1085</x:v>
      </x:c>
      <x:c r="P33" s="1020" t="s">
        <x:v>1086</x:v>
      </x:c>
      <x:c r="Q33" s="1013" t="str">
        <x:f t="shared" si="0"/>
        <x:v>[Roll] - Seat Rollover Force = ##Kips @ LE|RE|BE</x:v>
      </x:c>
    </x:row>
    <x:row r="34" spans="1:17" ht="15.4" customHeight="1" x14ac:dyDescent="0.2">
      <x:c r="A34" s="2018" t="s">
        <x:v>1786</x:v>
      </x:c>
      <x:c r="B34" s="3030" t="s">
        <x:v>1787</x:v>
      </x:c>
      <x:c r="C34" s="3031"/>
      <x:c r="D34" s="3031"/>
      <x:c r="E34" s="3031"/>
      <x:c r="F34" s="3031"/>
      <x:c r="G34" s="3031"/>
      <x:c r="H34" s="3031"/>
      <x:c r="I34" s="3031"/>
      <x:c r="J34" s="3032"/>
      <x:c r="L34" s="1203" t="str">
        <x:f t="shared" si="1"/>
        <x:v>BA</x:v>
      </x:c>
      <x:c r="M34" s="1203" t="b">
        <x:v>0</x:v>
      </x:c>
      <x:c r="O34" s="1019" t="s">
        <x:v>1044</x:v>
      </x:c>
      <x:c r="P34" s="1020" t="s">
        <x:v>1045</x:v>
      </x:c>
      <x:c r="Q34" s="1013" t="str">
        <x:f t="shared" si="0"/>
        <x:v>[ClrBrg] - Min Clear Bearing = #" @ LE(RE)(BE)</x:v>
      </x:c>
    </x:row>
    <x:row r="35" spans="1:17" ht="15.4" customHeight="1" x14ac:dyDescent="0.2">
      <x:c r="A35" s="2018" t="s">
        <x:v>1788</x:v>
      </x:c>
      <x:c r="B35" s="3030" t="s">
        <x:v>1789</x:v>
      </x:c>
      <x:c r="C35" s="3031"/>
      <x:c r="D35" s="3031"/>
      <x:c r="E35" s="3031"/>
      <x:c r="F35" s="3031"/>
      <x:c r="G35" s="3031"/>
      <x:c r="H35" s="3031"/>
      <x:c r="I35" s="3031"/>
      <x:c r="J35" s="3032"/>
      <x:c r="L35" s="1203" t="str">
        <x:f t="shared" si="1"/>
        <x:v>BB</x:v>
      </x:c>
      <x:c r="M35" s="1203" t="b">
        <x:v>0</x:v>
      </x:c>
      <x:c r="O35" s="1019" t="s">
        <x:v>1124</x:v>
      </x:c>
      <x:c r="P35" s="1020" t="s">
        <x:v>1033</x:v>
      </x:c>
      <x:c r="Q35" s="1013" t="str">
        <x:f t="shared" si="0"/>
        <x:v>[Skew] - ##º Half(Full)-Skew, NS(FS), LE(RE)</x:v>
      </x:c>
    </x:row>
    <x:row r="36" spans="1:17" ht="15.4" customHeight="1" x14ac:dyDescent="0.2">
      <x:c r="A36" s="2018" t="s">
        <x:v>160</x:v>
      </x:c>
      <x:c r="B36" s="3030" t="s">
        <x:v>1790</x:v>
      </x:c>
      <x:c r="C36" s="3031"/>
      <x:c r="D36" s="3031"/>
      <x:c r="E36" s="3031"/>
      <x:c r="F36" s="3031"/>
      <x:c r="G36" s="3031"/>
      <x:c r="H36" s="3031"/>
      <x:c r="I36" s="3031"/>
      <x:c r="J36" s="3032"/>
      <x:c r="L36" s="1203" t="str">
        <x:f t="shared" si="1"/>
        <x:v>BC</x:v>
      </x:c>
      <x:c r="M36" s="1203" t="b">
        <x:v>0</x:v>
      </x:c>
      <x:c r="O36" s="1019" t="s">
        <x:v>1024</x:v>
      </x:c>
      <x:c r="P36" s="1020" t="s">
        <x:v>1087</x:v>
      </x:c>
      <x:c r="Q36" s="1013" t="str">
        <x:f t="shared" si="0"/>
        <x:v>[BCBrg] - Bottom Chord Bearing @ LE|RE|BE</x:v>
      </x:c>
    </x:row>
    <x:row r="37" spans="1:17" ht="15.4" customHeight="1" x14ac:dyDescent="0.2">
      <x:c r="A37" s="2018" t="s">
        <x:v>538</x:v>
      </x:c>
      <x:c r="B37" s="3030" t="s">
        <x:v>1791</x:v>
      </x:c>
      <x:c r="C37" s="3031"/>
      <x:c r="D37" s="3031"/>
      <x:c r="E37" s="3031"/>
      <x:c r="F37" s="3031"/>
      <x:c r="G37" s="3031"/>
      <x:c r="H37" s="3031"/>
      <x:c r="I37" s="3031"/>
      <x:c r="J37" s="3032"/>
      <x:c r="L37" s="1203" t="str">
        <x:f t="shared" si="1"/>
        <x:v>BD</x:v>
      </x:c>
      <x:c r="M37" s="1203" t="b">
        <x:v>0</x:v>
      </x:c>
      <x:c r="O37" s="1019" t="s">
        <x:v>1018</x:v>
      </x:c>
      <x:c r="P37" s="1020" t="s">
        <x:v>1088</x:v>
      </x:c>
      <x:c r="Q37" s="1013" t="str">
        <x:f t="shared" si="0"/>
        <x:v>[StgSlt] - Stagger Seat Slots LE|RE: ##" NS, ##" FS</x:v>
      </x:c>
    </x:row>
    <x:row r="38" spans="1:17" ht="15.4" customHeight="1" x14ac:dyDescent="0.2">
      <x:c r="A38" s="2018" t="s">
        <x:v>144</x:v>
      </x:c>
      <x:c r="B38" s="3030" t="s">
        <x:v>1792</x:v>
      </x:c>
      <x:c r="C38" s="3031"/>
      <x:c r="D38" s="3031"/>
      <x:c r="E38" s="3031"/>
      <x:c r="F38" s="3031"/>
      <x:c r="G38" s="3031"/>
      <x:c r="H38" s="3031"/>
      <x:c r="I38" s="3031"/>
      <x:c r="J38" s="3032"/>
      <x:c r="L38" s="1203" t="str">
        <x:f t="shared" si="1"/>
        <x:v>BE</x:v>
      </x:c>
      <x:c r="M38" s="1203" t="b">
        <x:v>0</x:v>
      </x:c>
      <x:c r="O38" s="1019" t="s">
        <x:v>1019</x:v>
      </x:c>
      <x:c r="P38" s="1020" t="s">
        <x:v>1089</x:v>
      </x:c>
      <x:c r="Q38" s="1013" t="str">
        <x:f t="shared" si="0"/>
        <x:v>[SpSlt] - Special Seat Slots: #"x#" Slots, Ga=#" @ LE|RE|BE</x:v>
      </x:c>
    </x:row>
    <x:row r="39" spans="1:17" ht="15.4" customHeight="1" x14ac:dyDescent="0.2">
      <x:c r="A39" s="2018" t="s">
        <x:v>1793</x:v>
      </x:c>
      <x:c r="B39" s="3030" t="s">
        <x:v>1794</x:v>
      </x:c>
      <x:c r="C39" s="3031"/>
      <x:c r="D39" s="3031"/>
      <x:c r="E39" s="3031"/>
      <x:c r="F39" s="3031"/>
      <x:c r="G39" s="3031"/>
      <x:c r="H39" s="3031"/>
      <x:c r="I39" s="3031"/>
      <x:c r="J39" s="3032"/>
      <x:c r="L39" s="1203" t="str">
        <x:f t="shared" si="1"/>
        <x:v>BF</x:v>
      </x:c>
      <x:c r="M39" s="1203" t="b">
        <x:v>0</x:v>
      </x:c>
      <x:c r="O39" s="1019" t="s">
        <x:v>1128</x:v>
      </x:c>
      <x:c r="P39" s="1020" t="s">
        <x:v>1129</x:v>
      </x:c>
      <x:c r="Q39" s="1013" t="str">
        <x:f t="shared" si="0"/>
        <x:v>[RndShrtSlt] - #/#" Round Holes|#/#”x1” Slots, Ga=#” @ LE|RE|BE</x:v>
      </x:c>
    </x:row>
    <x:row r="40" spans="1:17" ht="15.4" customHeight="1" x14ac:dyDescent="0.2">
      <x:c r="A40" s="2018" t="s">
        <x:v>1795</x:v>
      </x:c>
      <x:c r="B40" s="3030" t="s">
        <x:v>1796</x:v>
      </x:c>
      <x:c r="C40" s="3031"/>
      <x:c r="D40" s="3031"/>
      <x:c r="E40" s="3031"/>
      <x:c r="F40" s="3031"/>
      <x:c r="G40" s="3031"/>
      <x:c r="H40" s="3031"/>
      <x:c r="I40" s="3031"/>
      <x:c r="J40" s="3032"/>
      <x:c r="L40" s="1203" t="str">
        <x:f t="shared" si="1"/>
        <x:v>BG</x:v>
      </x:c>
      <x:c r="M40" s="1203" t="b">
        <x:v>0</x:v>
      </x:c>
      <x:c r="O40" s="1019" t="s">
        <x:v>1043</x:v>
      </x:c>
      <x:c r="P40" s="1020" t="s">
        <x:v>1090</x:v>
      </x:c>
      <x:c r="Q40" s="1013" t="str">
        <x:f t="shared" si="0"/>
        <x:v>[AddSlt] - Addn'l Seat Slots @ #" from L-OAL|R-OAL</x:v>
      </x:c>
    </x:row>
    <x:row r="41" spans="1:17" ht="15.4" customHeight="1" x14ac:dyDescent="0.2">
      <x:c r="A41" s="2018" t="s">
        <x:v>1797</x:v>
      </x:c>
      <x:c r="B41" s="3030" t="s">
        <x:v>1798</x:v>
      </x:c>
      <x:c r="C41" s="3031"/>
      <x:c r="D41" s="3031"/>
      <x:c r="E41" s="3031"/>
      <x:c r="F41" s="3031"/>
      <x:c r="G41" s="3031"/>
      <x:c r="H41" s="3031"/>
      <x:c r="I41" s="3031"/>
      <x:c r="J41" s="3032"/>
      <x:c r="L41" s="1203" t="str">
        <x:f t="shared" si="1"/>
        <x:v>BH</x:v>
      </x:c>
      <x:c r="M41" s="1203" t="b">
        <x:v>0</x:v>
      </x:c>
      <x:c r="O41" s="1019" t="s">
        <x:v>1022</x:v>
      </x:c>
      <x:c r="P41" s="1020" t="s">
        <x:v>1091</x:v>
      </x:c>
      <x:c r="Q41" s="1013" t="str">
        <x:f t="shared" si="0"/>
        <x:v>[BPThk] - Min Thickness of Base Plate = 0.xxx" @ LE|RE|BE</x:v>
      </x:c>
    </x:row>
    <x:row r="42" spans="1:17" ht="15.4" customHeight="1" x14ac:dyDescent="0.2">
      <x:c r="A42" s="2018" t="s">
        <x:v>1799</x:v>
      </x:c>
      <x:c r="B42" s="3030" t="s">
        <x:v>1800</x:v>
      </x:c>
      <x:c r="C42" s="3031"/>
      <x:c r="D42" s="3031"/>
      <x:c r="E42" s="3031"/>
      <x:c r="F42" s="3031"/>
      <x:c r="G42" s="3031"/>
      <x:c r="H42" s="3031"/>
      <x:c r="I42" s="3031"/>
      <x:c r="J42" s="3032"/>
      <x:c r="L42" s="1203" t="str">
        <x:f t="shared" si="1"/>
        <x:v>BI</x:v>
      </x:c>
      <x:c r="M42" s="1203" t="b">
        <x:v>0</x:v>
      </x:c>
      <x:c r="O42" s="1019" t="s">
        <x:v>1092</x:v>
      </x:c>
      <x:c r="P42" s="1020" t="s">
        <x:v>1093</x:v>
      </x:c>
      <x:c r="Q42" s="1013" t="str">
        <x:f t="shared" si="0"/>
        <x:v>[MaxWidth] - Max Width of TC &amp; Base Plate|BC for 1st ##” @ LE|RE|BE</x:v>
      </x:c>
    </x:row>
    <x:row r="43" spans="1:17" ht="15.4" customHeight="1" x14ac:dyDescent="0.2">
      <x:c r="A43" s="2018" t="s">
        <x:v>1801</x:v>
      </x:c>
      <x:c r="B43" s="3030" t="s">
        <x:v>1802</x:v>
      </x:c>
      <x:c r="C43" s="3031"/>
      <x:c r="D43" s="3031"/>
      <x:c r="E43" s="3031"/>
      <x:c r="F43" s="3031"/>
      <x:c r="G43" s="3031"/>
      <x:c r="H43" s="3031"/>
      <x:c r="I43" s="3031"/>
      <x:c r="J43" s="3032"/>
      <x:c r="L43" s="1203" t="str">
        <x:f t="shared" si="1"/>
        <x:v>BJ</x:v>
      </x:c>
      <x:c r="M43" s="1203" t="b">
        <x:v>0</x:v>
      </x:c>
      <x:c r="O43" s="1019"/>
      <x:c r="P43" s="1020" t="s">
        <x:v>1094</x:v>
      </x:c>
      <x:c r="Q43" s="1013" t="str">
        <x:f t="shared" si="0"/>
        <x:v>[] - MISCELLANEOUS</x:v>
      </x:c>
    </x:row>
    <x:row r="44" spans="1:17" ht="15.4" customHeight="1" x14ac:dyDescent="0.2">
      <x:c r="A44" s="2018" t="s">
        <x:v>1803</x:v>
      </x:c>
      <x:c r="B44" s="3030" t="s">
        <x:v>1804</x:v>
      </x:c>
      <x:c r="C44" s="3031"/>
      <x:c r="D44" s="3031"/>
      <x:c r="E44" s="3031"/>
      <x:c r="F44" s="3031"/>
      <x:c r="G44" s="3031"/>
      <x:c r="H44" s="3031"/>
      <x:c r="I44" s="3031"/>
      <x:c r="J44" s="3032"/>
      <x:c r="L44" s="1203" t="str">
        <x:f t="shared" si="1"/>
        <x:v>BK</x:v>
      </x:c>
      <x:c r="M44" s="1203" t="b">
        <x:v>0</x:v>
      </x:c>
      <x:c r="O44" s="1019" t="s">
        <x:v>1125</x:v>
      </x:c>
      <x:c r="P44" s="1020" t="s">
        <x:v>1096</x:v>
      </x:c>
      <x:c r="Q44" s="1013" t="str">
        <x:f t="shared" si="0"/>
        <x:v>[Camb] - Camber = #"|Camber for DL|50% Std Camber|No Camber</x:v>
      </x:c>
    </x:row>
    <x:row r="45" spans="1:17" ht="15.4" customHeight="1" x14ac:dyDescent="0.2">
      <x:c r="A45" s="2018"/>
      <x:c r="B45" s="3030"/>
      <x:c r="C45" s="3031"/>
      <x:c r="D45" s="3031"/>
      <x:c r="E45" s="3031"/>
      <x:c r="F45" s="3031"/>
      <x:c r="G45" s="3031"/>
      <x:c r="H45" s="3031"/>
      <x:c r="I45" s="3031"/>
      <x:c r="J45" s="3032"/>
      <x:c r="L45" s="1203" t="str">
        <x:f t="shared" si="1"/>
        <x:v>BK</x:v>
      </x:c>
      <x:c r="M45" s="1203" t="b">
        <x:v>0</x:v>
      </x:c>
      <x:c r="O45" s="1019" t="s">
        <x:v>1025</x:v>
      </x:c>
      <x:c r="P45" s="1020" t="s">
        <x:v>1097</x:v>
      </x:c>
      <x:c r="Q45" s="1013" t="str">
        <x:f t="shared" si="0"/>
        <x:v>[BClip] - Bridging Clip(s) Required per Plan</x:v>
      </x:c>
    </x:row>
    <x:row r="46" spans="1:17" ht="15.4" customHeight="1" x14ac:dyDescent="0.2">
      <x:c r="A46" s="2018"/>
      <x:c r="B46" s="3030"/>
      <x:c r="C46" s="3031"/>
      <x:c r="D46" s="3031"/>
      <x:c r="E46" s="3031"/>
      <x:c r="F46" s="3031"/>
      <x:c r="G46" s="3031"/>
      <x:c r="H46" s="3031"/>
      <x:c r="I46" s="3031"/>
      <x:c r="J46" s="3032"/>
      <x:c r="L46" s="1203" t="str">
        <x:f t="shared" si="1"/>
        <x:v>BK</x:v>
      </x:c>
      <x:c r="M46" s="1203" t="b">
        <x:v>0</x:v>
      </x:c>
      <x:c r="O46" s="1019" t="s">
        <x:v>1020</x:v>
      </x:c>
      <x:c r="P46" s="1020" t="s">
        <x:v>1012</x:v>
      </x:c>
      <x:c r="Q46" s="1013" t="str">
        <x:f t="shared" si="0"/>
        <x:v>[TCThk] - Min Thickness of TC = 0.xxx"</x:v>
      </x:c>
    </x:row>
    <x:row r="47" spans="1:17" ht="15.4" customHeight="1" x14ac:dyDescent="0.2">
      <x:c r="A47" s="2018"/>
      <x:c r="B47" s="3030"/>
      <x:c r="C47" s="3031"/>
      <x:c r="D47" s="3031"/>
      <x:c r="E47" s="3031"/>
      <x:c r="F47" s="3031"/>
      <x:c r="G47" s="3031"/>
      <x:c r="H47" s="3031"/>
      <x:c r="I47" s="3031"/>
      <x:c r="J47" s="3032"/>
      <x:c r="L47" s="1203" t="str">
        <x:f t="shared" si="1"/>
        <x:v>BK</x:v>
      </x:c>
      <x:c r="M47" s="1203" t="b">
        <x:v>0</x:v>
      </x:c>
      <x:c r="O47" s="1019" t="s">
        <x:v>1021</x:v>
      </x:c>
      <x:c r="P47" s="1020" t="s">
        <x:v>1013</x:v>
      </x:c>
      <x:c r="Q47" s="1013" t="str">
        <x:f t="shared" si="0"/>
        <x:v>[BCThk] - Min Thickness of BC = 0.xxx"</x:v>
      </x:c>
    </x:row>
    <x:row r="48" spans="1:17" ht="15.4" customHeight="1" x14ac:dyDescent="0.2">
      <x:c r="A48" s="2018"/>
      <x:c r="B48" s="3030"/>
      <x:c r="C48" s="3031"/>
      <x:c r="D48" s="3031"/>
      <x:c r="E48" s="3031"/>
      <x:c r="F48" s="3031"/>
      <x:c r="G48" s="3031"/>
      <x:c r="H48" s="3031"/>
      <x:c r="I48" s="3031"/>
      <x:c r="J48" s="3032"/>
      <x:c r="L48" s="1203" t="str">
        <x:f t="shared" si="1"/>
        <x:v>BK</x:v>
      </x:c>
      <x:c r="M48" s="1203" t="b">
        <x:v>0</x:v>
      </x:c>
      <x:c r="O48" s="1019" t="s">
        <x:v>1130</x:v>
      </x:c>
      <x:c r="P48" s="1020" t="s">
        <x:v>1131</x:v>
      </x:c>
      <x:c r="Q48" s="1013" t="str">
        <x:f t="shared" si="0"/>
        <x:v>[ChdWdth] - Min|Max Width of TC|BC = ##”</x:v>
      </x:c>
    </x:row>
    <x:row r="49" spans="1:17" ht="15.4" customHeight="1" x14ac:dyDescent="0.2">
      <x:c r="A49" s="2018"/>
      <x:c r="B49" s="3030"/>
      <x:c r="C49" s="3031"/>
      <x:c r="D49" s="3031"/>
      <x:c r="E49" s="3031"/>
      <x:c r="F49" s="3031"/>
      <x:c r="G49" s="3031"/>
      <x:c r="H49" s="3031"/>
      <x:c r="I49" s="3031"/>
      <x:c r="J49" s="3032"/>
      <x:c r="L49" s="1203" t="str">
        <x:f t="shared" si="1"/>
        <x:v>BK</x:v>
      </x:c>
      <x:c r="M49" s="1203" t="b">
        <x:v>0</x:v>
      </x:c>
      <x:c r="O49" s="1019" t="s">
        <x:v>1126</x:v>
      </x:c>
      <x:c r="P49" s="1020" t="s">
        <x:v>1041</x:v>
      </x:c>
      <x:c r="Q49" s="1013" t="str">
        <x:f t="shared" si="0"/>
        <x:v>[Duct] - ##" Dia (##"H x ##"W) Duct @ #'-# from L-OAL</x:v>
      </x:c>
    </x:row>
    <x:row r="50" spans="1:17" ht="15.4" customHeight="1" x14ac:dyDescent="0.2">
      <x:c r="A50" s="2018"/>
      <x:c r="B50" s="3030"/>
      <x:c r="C50" s="3031"/>
      <x:c r="D50" s="3031"/>
      <x:c r="E50" s="3031"/>
      <x:c r="F50" s="3031"/>
      <x:c r="G50" s="3031"/>
      <x:c r="H50" s="3031"/>
      <x:c r="I50" s="3031"/>
      <x:c r="J50" s="3032"/>
      <x:c r="L50" s="1203" t="str">
        <x:f t="shared" si="1"/>
        <x:v>BK</x:v>
      </x:c>
      <x:c r="M50" s="1203" t="b">
        <x:v>0</x:v>
      </x:c>
      <x:c r="O50" s="1019" t="s">
        <x:v>1037</x:v>
      </x:c>
      <x:c r="P50" s="1020" t="s">
        <x:v>1046</x:v>
      </x:c>
      <x:c r="Q50" s="1013" t="str">
        <x:f t="shared" si="0"/>
        <x:v>[HS] - Horiz Field Splice: See Detail on J1.xx</x:v>
      </x:c>
    </x:row>
    <x:row r="51" spans="1:17" ht="15.4" customHeight="1" x14ac:dyDescent="0.2">
      <x:c r="A51" s="2019"/>
      <x:c r="B51" s="3033"/>
      <x:c r="C51" s="3034"/>
      <x:c r="D51" s="3034"/>
      <x:c r="E51" s="3034"/>
      <x:c r="F51" s="3034"/>
      <x:c r="G51" s="3034"/>
      <x:c r="H51" s="3034"/>
      <x:c r="I51" s="3034"/>
      <x:c r="J51" s="3035"/>
      <x:c r="L51" s="1203" t="str">
        <x:f t="shared" si="1"/>
        <x:v>BK</x:v>
      </x:c>
      <x:c r="M51" s="1203" t="b">
        <x:v>0</x:v>
      </x:c>
      <x:c r="O51" s="1019" t="s">
        <x:v>1038</x:v>
      </x:c>
      <x:c r="P51" s="1020" t="s">
        <x:v>1047</x:v>
      </x:c>
      <x:c r="Q51" s="1013" t="str">
        <x:f t="shared" si="0"/>
        <x:v>[VS] - Vert Field Splice: Type xx, Near Midspan</x:v>
      </x:c>
    </x:row>
    <x:row r="52" spans="1:17" ht="15.6" customHeight="1" x14ac:dyDescent="0.2">
      <x:c r="O52" s="1019" t="s">
        <x:v>1039</x:v>
      </x:c>
      <x:c r="P52" s="1020" t="s">
        <x:v>1048</x:v>
      </x:c>
      <x:c r="Q52" s="1013" t="str">
        <x:f t="shared" si="0"/>
        <x:v>[MS] - Multiple Vert Field Splices: Type xx</x:v>
      </x:c>
    </x:row>
    <x:row r="53" spans="1:17" ht="15.6" customHeight="1" x14ac:dyDescent="0.2">
      <x:c r="O53" s="1019" t="s">
        <x:v>1098</x:v>
      </x:c>
      <x:c r="P53" s="1020" t="s">
        <x:v>1099</x:v>
      </x:c>
      <x:c r="Q53" s="1013" t="str">
        <x:f t="shared" si="0"/>
        <x:v>[SpConn] - Special Connection @ (location), See Section ##</x:v>
      </x:c>
    </x:row>
    <x:row r="54" spans="1:17" ht="15.6" customHeight="1" x14ac:dyDescent="0.2">
      <x:c r="O54" s="1019" t="s">
        <x:v>1132</x:v>
      </x:c>
      <x:c r="P54" s="1020" t="s">
        <x:v>1144</x:v>
      </x:c>
      <x:c r="Q54" s="1013" t="str">
        <x:f t="shared" si="0"/>
        <x:v>[Vier] - Vierendeel Panel, ##” W x ##” H, Bottom Left Corner of Opening @ ##” From Bot/Jst, ##’-##” From L-OAL</x:v>
      </x:c>
    </x:row>
    <x:row r="55" spans="1:17" ht="15.6" customHeight="1" x14ac:dyDescent="0.2">
      <x:c r="O55" s="1019"/>
      <x:c r="P55" s="1020" t="s">
        <x:v>1100</x:v>
      </x:c>
      <x:c r="Q55" s="1013" t="str">
        <x:f t="shared" si="0"/>
        <x:v>[] - GENERAL</x:v>
      </x:c>
    </x:row>
    <x:row r="56" spans="1:17" ht="15.6" customHeight="1" x14ac:dyDescent="0.2">
      <x:c r="O56" s="1019" t="s">
        <x:v>1056</x:v>
      </x:c>
      <x:c r="P56" s="1020" t="s">
        <x:v>1057</x:v>
      </x:c>
      <x:c r="Q56" s="1013" t="str">
        <x:f t="shared" si="0"/>
        <x:v>[LRFD] - **LRFD**   **LRFD**   **LRFD**</x:v>
      </x:c>
    </x:row>
    <x:row r="57" spans="1:17" ht="15.6" customHeight="1" x14ac:dyDescent="0.2">
      <x:c r="O57" s="1019" t="s">
        <x:v>1015</x:v>
      </x:c>
      <x:c r="P57" s="1020" t="s">
        <x:v>1042</x:v>
      </x:c>
      <x:c r="Q57" s="1013" t="str">
        <x:f t="shared" si="0"/>
        <x:v>[ESFR] - #"Dia Pipes, 8" Below Top/Jst, 15" Horiz Clearance @ ##'-#,  ##'-# &amp;  ##'-# from L-OAL</x:v>
      </x:c>
    </x:row>
    <x:row r="58" spans="1:17" ht="15.6" customHeight="1" x14ac:dyDescent="0.2">
      <x:c r="O58" s="1019" t="s">
        <x:v>1127</x:v>
      </x:c>
      <x:c r="P58" s="1020" t="s">
        <x:v>1014</x:v>
      </x:c>
      <x:c r="Q58" s="1013" t="str">
        <x:f t="shared" si="0"/>
        <x:v>[Self] - Add Self-Weight to Design</x:v>
      </x:c>
    </x:row>
    <x:row r="59" spans="1:17" ht="15.6" customHeight="1" x14ac:dyDescent="0.2">
      <x:c r="A59" s="973" t="s">
        <x:v>1062</x:v>
      </x:c>
      <x:c r="O59" s="1019" t="s">
        <x:v>1051</x:v>
      </x:c>
      <x:c r="P59" s="1020" t="s">
        <x:v>1053</x:v>
      </x:c>
      <x:c r="Q59" s="1013" t="str">
        <x:f t="shared" si="0"/>
        <x:v>[SpChd] - ##"^2 Min Chord Area</x:v>
      </x:c>
    </x:row>
    <x:row r="60" spans="1:17" ht="15.6" hidden="1" customHeight="1" x14ac:dyDescent="0.2">
      <x:c r="A60" s="1128" t="s">
        <x:v>34</x:v>
      </x:c>
      <x:c r="O60" s="1019" t="s">
        <x:v>1052</x:v>
      </x:c>
      <x:c r="P60" s="1020" t="s">
        <x:v>1054</x:v>
      </x:c>
      <x:c r="Q60" s="1013" t="str">
        <x:f t="shared" si="0"/>
        <x:v>[SpWeb] - ##"^2 Min Web Area</x:v>
      </x:c>
    </x:row>
    <x:row r="61" spans="1:17" ht="15.6" hidden="1" customHeight="1" x14ac:dyDescent="0.2">
      <x:c r="A61" s="1130" t="s">
        <x:v>2002</x:v>
      </x:c>
      <x:c r="O61" s="1019" t="s">
        <x:v>1095</x:v>
      </x:c>
      <x:c r="P61" s="1020" t="s">
        <x:v>1055</x:v>
      </x:c>
      <x:c r="Q61" s="1013" t="str">
        <x:f t="shared" si="0"/>
        <x:v>[DomStl] - Domestic Steel Required (ARRA)</x:v>
      </x:c>
    </x:row>
    <x:row r="62" spans="1:17" ht="15.6" hidden="1" customHeight="1" x14ac:dyDescent="0.2">
      <x:c r="O62" s="1019" t="s">
        <x:v>1040</x:v>
      </x:c>
      <x:c r="P62" s="1020" t="s">
        <x:v>1049</x:v>
      </x:c>
      <x:c r="Q62" s="1013" t="str">
        <x:f t="shared" si="0"/>
        <x:v>[SSR] - Standing Seam Roof: TC Lateral Support @ ##" Max.</x:v>
      </x:c>
    </x:row>
    <x:row r="63" spans="1:17" ht="15.6" hidden="1" customHeight="1" x14ac:dyDescent="0.2">
      <x:c r="O63" s="1019" t="s">
        <x:v>1133</x:v>
      </x:c>
      <x:c r="P63" s="1020" t="s">
        <x:v>1139</x:v>
      </x:c>
      <x:c r="Q63" s="1013" t="str">
        <x:f t="shared" si="0"/>
        <x:v>[AlignPnls] - Align Panels of Adjacent Jsts</x:v>
      </x:c>
    </x:row>
    <x:row r="64" spans="1:17" ht="15.6" hidden="1" customHeight="1" x14ac:dyDescent="0.2">
      <x:c r="O64" s="1019" t="s">
        <x:v>1134</x:v>
      </x:c>
      <x:c r="P64" s="1020" t="s">
        <x:v>1140</x:v>
      </x:c>
      <x:c r="Q64" s="1013" t="str">
        <x:f t="shared" si="0"/>
        <x:v>[SpBund] - Special Bundling Req’d, See Attached Listing</x:v>
      </x:c>
    </x:row>
    <x:row r="65" spans="1:17" ht="15.6" customHeight="1" x14ac:dyDescent="0.2">
      <x:c r="A65" s="973" t="s">
        <x:v>1063</x:v>
      </x:c>
      <x:c r="O65" s="1019" t="s">
        <x:v>1135</x:v>
      </x:c>
      <x:c r="P65" s="1020" t="s">
        <x:v>1141</x:v>
      </x:c>
      <x:c r="Q65" s="1013" t="str">
        <x:f t="shared" si="0"/>
        <x:v>[BIM] - Building Information Modeling, Inform Dtlr When Design Completed</x:v>
      </x:c>
    </x:row>
    <x:row r="66" spans="1:17" ht="15.6" customHeight="1" x14ac:dyDescent="0.2">
      <x:c r="O66" s="1019" t="s">
        <x:v>1136</x:v>
      </x:c>
      <x:c r="P66" s="1020" t="s">
        <x:v>1142</x:v>
      </x:c>
      <x:c r="Q66" s="1013" t="str">
        <x:f t="shared" si="0"/>
        <x:v>[Calcs] - Sealed Calcs req’d for Record|Appl</x:v>
      </x:c>
    </x:row>
    <x:row r="67" spans="1:17" ht="15.6" customHeight="1" x14ac:dyDescent="0.2">
      <x:c r="O67" s="1019" t="s">
        <x:v>1137</x:v>
      </x:c>
      <x:c r="P67" s="1020" t="s">
        <x:v>1143</x:v>
      </x:c>
      <x:c r="Q67" s="1013" t="str">
        <x:f t="shared" si="0"/>
        <x:v>[Prof] - Joist|Girder Profiles Req’d</x:v>
      </x:c>
    </x:row>
    <x:row r="68" spans="1:17" ht="15.6" customHeight="1" x14ac:dyDescent="0.2">
      <x:c r="O68" s="1019" t="s">
        <x:v>1138</x:v>
      </x:c>
      <x:c r="P68" s="1020" t="s">
        <x:v>1101</x:v>
      </x:c>
      <x:c r="Q68" s="1013" t="str">
        <x:f t="shared" si="0"/>
        <x:v>[UnDef] - Special Note Here (special condition not matching pre-defined codes)</x:v>
      </x:c>
    </x:row>
    <x:row r="69" spans="1:17" ht="15.6" customHeight="1" x14ac:dyDescent="0.2">
      <x:c r="O69" s="1019"/>
      <x:c r="P69" s="1020"/>
      <x:c r="Q69" s="1013" t="str">
        <x:f t="shared" si="0"/>
        <x:v xml:space="preserve">[] - </x:v>
      </x:c>
    </x:row>
    <x:row r="70" spans="1:17" ht="15.6" customHeight="1" x14ac:dyDescent="0.2">
      <x:c r="O70" s="1019"/>
      <x:c r="P70" s="1020"/>
      <x:c r="Q70" s="1013" t="str">
        <x:f t="shared" si="0"/>
        <x:v xml:space="preserve">[] - </x:v>
      </x:c>
    </x:row>
    <x:row r="71" spans="1:17" ht="15.6" customHeight="1" x14ac:dyDescent="0.2">
      <x:c r="O71" s="1019"/>
      <x:c r="P71" s="1020"/>
      <x:c r="Q71" s="1013" t="str">
        <x:f t="shared" si="0"/>
        <x:v xml:space="preserve">[] - </x:v>
      </x:c>
    </x:row>
    <x:row r="72" spans="1:17" ht="15.6" customHeight="1" x14ac:dyDescent="0.2">
      <x:c r="O72" s="1019"/>
      <x:c r="P72" s="1020"/>
      <x:c r="Q72" s="1013" t="str">
        <x:f t="shared" si="0"/>
        <x:v xml:space="preserve">[] - </x:v>
      </x:c>
    </x:row>
    <x:row r="73" spans="1:17" ht="15.6" customHeight="1" x14ac:dyDescent="0.2">
      <x:c r="O73" s="1019"/>
      <x:c r="P73" s="1020"/>
      <x:c r="Q73" s="1013" t="str">
        <x:f t="shared" si="0"/>
        <x:v xml:space="preserve">[] - </x:v>
      </x:c>
    </x:row>
    <x:row r="74" spans="1:17" ht="15.6" customHeight="1" x14ac:dyDescent="0.2">
      <x:c r="O74" s="1019"/>
      <x:c r="P74" s="1020"/>
      <x:c r="Q74" s="1013" t="str">
        <x:f t="shared" si="0"/>
        <x:v xml:space="preserve">[] - </x:v>
      </x:c>
    </x:row>
    <x:row r="75" spans="1:17" ht="15.6" customHeight="1" x14ac:dyDescent="0.2">
      <x:c r="O75" s="1019"/>
      <x:c r="P75" s="1020"/>
      <x:c r="Q75" s="1013" t="str">
        <x:f t="shared" si="0"/>
        <x:v xml:space="preserve">[] - </x:v>
      </x:c>
    </x:row>
    <x:row r="76" spans="1:17" ht="15.6" customHeight="1" x14ac:dyDescent="0.2">
      <x:c r="O76" s="1019"/>
      <x:c r="P76" s="1020"/>
      <x:c r="Q76" s="1013" t="str">
        <x:f t="shared" si="0"/>
        <x:v xml:space="preserve">[] - </x:v>
      </x:c>
    </x:row>
    <x:row r="77" spans="1:17" ht="15.6" customHeight="1" x14ac:dyDescent="0.2">
      <x:c r="O77" s="1019"/>
      <x:c r="P77" s="1020"/>
      <x:c r="Q77" s="1013" t="str">
        <x:f t="shared" si="0"/>
        <x:v xml:space="preserve">[] - </x:v>
      </x:c>
    </x:row>
    <x:row r="78" spans="1:17" ht="15.6" customHeight="1" x14ac:dyDescent="0.2">
      <x:c r="O78" s="1019"/>
      <x:c r="P78" s="1020"/>
      <x:c r="Q78" s="1013" t="str">
        <x:f t="shared" ref="Q78:Q99" si="2">CONCATENATE("[",O78, "] - ", P78)</x:f>
        <x:v xml:space="preserve">[] - </x:v>
      </x:c>
    </x:row>
    <x:row r="79" spans="1:17" ht="15.6" customHeight="1" x14ac:dyDescent="0.2">
      <x:c r="O79" s="1019"/>
      <x:c r="P79" s="1020"/>
      <x:c r="Q79" s="1013" t="str">
        <x:f t="shared" si="2"/>
        <x:v xml:space="preserve">[] - </x:v>
      </x:c>
    </x:row>
    <x:row r="80" spans="1:17" ht="15.6" customHeight="1" x14ac:dyDescent="0.2">
      <x:c r="O80" s="1019"/>
      <x:c r="P80" s="1020"/>
      <x:c r="Q80" s="1013" t="str">
        <x:f t="shared" si="2"/>
        <x:v xml:space="preserve">[] - </x:v>
      </x:c>
    </x:row>
    <x:row r="81" spans="15:17" ht="15.6" customHeight="1" x14ac:dyDescent="0.2">
      <x:c r="O81" s="1019"/>
      <x:c r="P81" s="1020"/>
      <x:c r="Q81" s="1013" t="str">
        <x:f t="shared" si="2"/>
        <x:v xml:space="preserve">[] - </x:v>
      </x:c>
    </x:row>
    <x:row r="82" spans="15:17" ht="15.6" customHeight="1" x14ac:dyDescent="0.2">
      <x:c r="O82" s="1019"/>
      <x:c r="P82" s="1020"/>
      <x:c r="Q82" s="1013" t="str">
        <x:f t="shared" si="2"/>
        <x:v xml:space="preserve">[] - </x:v>
      </x:c>
    </x:row>
    <x:row r="83" spans="15:17" ht="15.6" customHeight="1" x14ac:dyDescent="0.2">
      <x:c r="O83" s="1019"/>
      <x:c r="P83" s="1020"/>
      <x:c r="Q83" s="1013" t="str">
        <x:f t="shared" si="2"/>
        <x:v xml:space="preserve">[] - </x:v>
      </x:c>
    </x:row>
    <x:row r="84" spans="15:17" ht="15.6" customHeight="1" x14ac:dyDescent="0.2">
      <x:c r="O84" s="1019"/>
      <x:c r="P84" s="1020"/>
      <x:c r="Q84" s="1013" t="str">
        <x:f t="shared" si="2"/>
        <x:v xml:space="preserve">[] - </x:v>
      </x:c>
    </x:row>
    <x:row r="85" spans="15:17" ht="15.6" customHeight="1" x14ac:dyDescent="0.2">
      <x:c r="O85" s="1019"/>
      <x:c r="P85" s="1020"/>
      <x:c r="Q85" s="1013" t="str">
        <x:f t="shared" si="2"/>
        <x:v xml:space="preserve">[] - </x:v>
      </x:c>
    </x:row>
    <x:row r="86" spans="15:17" ht="15.6" customHeight="1" x14ac:dyDescent="0.2">
      <x:c r="O86" s="1019"/>
      <x:c r="P86" s="1020"/>
      <x:c r="Q86" s="1013" t="str">
        <x:f t="shared" si="2"/>
        <x:v xml:space="preserve">[] - </x:v>
      </x:c>
    </x:row>
    <x:row r="87" spans="15:17" ht="15.6" customHeight="1" x14ac:dyDescent="0.2">
      <x:c r="O87" s="1019"/>
      <x:c r="P87" s="1020"/>
      <x:c r="Q87" s="1013" t="str">
        <x:f t="shared" si="2"/>
        <x:v xml:space="preserve">[] - </x:v>
      </x:c>
    </x:row>
    <x:row r="88" spans="15:17" ht="15.6" customHeight="1" x14ac:dyDescent="0.2">
      <x:c r="O88" s="1019"/>
      <x:c r="P88" s="1020"/>
      <x:c r="Q88" s="1013" t="str">
        <x:f t="shared" si="2"/>
        <x:v xml:space="preserve">[] - </x:v>
      </x:c>
    </x:row>
    <x:row r="89" spans="15:17" ht="15.6" customHeight="1" x14ac:dyDescent="0.2">
      <x:c r="O89" s="1019"/>
      <x:c r="P89" s="1020"/>
      <x:c r="Q89" s="1013" t="str">
        <x:f t="shared" si="2"/>
        <x:v xml:space="preserve">[] - </x:v>
      </x:c>
    </x:row>
    <x:row r="90" spans="15:17" ht="15.6" customHeight="1" x14ac:dyDescent="0.2">
      <x:c r="O90" s="1019"/>
      <x:c r="P90" s="1020"/>
      <x:c r="Q90" s="1013" t="str">
        <x:f t="shared" si="2"/>
        <x:v xml:space="preserve">[] - </x:v>
      </x:c>
    </x:row>
    <x:row r="91" spans="15:17" ht="15.6" customHeight="1" x14ac:dyDescent="0.2">
      <x:c r="O91" s="1019"/>
      <x:c r="P91" s="1020"/>
      <x:c r="Q91" s="1013" t="str">
        <x:f t="shared" si="2"/>
        <x:v xml:space="preserve">[] - </x:v>
      </x:c>
    </x:row>
    <x:row r="92" spans="15:17" ht="15.6" customHeight="1" x14ac:dyDescent="0.2">
      <x:c r="O92" s="1019"/>
      <x:c r="P92" s="1020"/>
      <x:c r="Q92" s="1013" t="str">
        <x:f t="shared" si="2"/>
        <x:v xml:space="preserve">[] - </x:v>
      </x:c>
    </x:row>
    <x:row r="93" spans="15:17" ht="15.6" customHeight="1" x14ac:dyDescent="0.2">
      <x:c r="O93" s="1019"/>
      <x:c r="P93" s="1020"/>
      <x:c r="Q93" s="1013" t="str">
        <x:f t="shared" si="2"/>
        <x:v xml:space="preserve">[] - </x:v>
      </x:c>
    </x:row>
    <x:row r="94" spans="15:17" ht="15.6" customHeight="1" x14ac:dyDescent="0.2">
      <x:c r="O94" s="1019"/>
      <x:c r="P94" s="1020"/>
      <x:c r="Q94" s="1013" t="str">
        <x:f t="shared" si="2"/>
        <x:v xml:space="preserve">[] - </x:v>
      </x:c>
    </x:row>
    <x:row r="95" spans="15:17" ht="15.6" customHeight="1" x14ac:dyDescent="0.2">
      <x:c r="O95" s="1019"/>
      <x:c r="P95" s="1020"/>
      <x:c r="Q95" s="1013" t="str">
        <x:f t="shared" si="2"/>
        <x:v xml:space="preserve">[] - </x:v>
      </x:c>
    </x:row>
    <x:row r="96" spans="15:17" ht="15.6" customHeight="1" x14ac:dyDescent="0.2">
      <x:c r="O96" s="1019"/>
      <x:c r="P96" s="1020"/>
      <x:c r="Q96" s="1013" t="str">
        <x:f t="shared" si="2"/>
        <x:v xml:space="preserve">[] - </x:v>
      </x:c>
    </x:row>
    <x:row r="97" spans="15:17" ht="15.6" customHeight="1" x14ac:dyDescent="0.2">
      <x:c r="O97" s="1019"/>
      <x:c r="P97" s="1020"/>
      <x:c r="Q97" s="1013" t="str">
        <x:f t="shared" si="2"/>
        <x:v xml:space="preserve">[] - </x:v>
      </x:c>
    </x:row>
    <x:row r="98" spans="15:17" ht="15.6" customHeight="1" x14ac:dyDescent="0.2">
      <x:c r="O98" s="1019"/>
      <x:c r="P98" s="1020"/>
      <x:c r="Q98" s="1013" t="str">
        <x:f t="shared" si="2"/>
        <x:v xml:space="preserve">[] - </x:v>
      </x:c>
    </x:row>
    <x:row r="99" spans="15:17" ht="15.6" customHeight="1" x14ac:dyDescent="0.2">
      <x:c r="O99" s="1021"/>
      <x:c r="P99" s="1022"/>
      <x:c r="Q99" s="1014" t="str">
        <x:f t="shared" si="2"/>
        <x:v xml:space="preserve">[] - </x:v>
      </x:c>
    </x:row>
    <x:row r="100" spans="15:17" x14ac:dyDescent="0.2">
      <x:c r="Q100" s="1010"/>
    </x:row>
  </x:sheetData>
  <x:sheetProtection algorithmName="SHA-512" hashValue="862wJNrrNGZ72LXnplsmIpxhnHk8Q/aqlZQJqImQowBgRJe7CrH2tAOvIUmn05g4E108l+d0+6f1wd5/ktn+FA==" saltValue="SbolzN2OsVHtS1e74DilbA=="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1491" priority="2" stopIfTrue="1" operator="equal">
      <x:formula>""</x:formula>
    </x:cfRule>
  </x:conditionalFormatting>
  <x:conditionalFormatting sqref="A13:J51">
    <x:cfRule type="expression" dxfId="1490" priority="1">
      <x:formula>$M13</x:formula>
    </x:cfRule>
  </x:conditionalFormatting>
  <x:dataValidations count="2">
    <x:dataValidation type="list" allowBlank="1" sqref="B13:J51">
      <x:formula1>OFFSET($Q$13,0,0,$O$10,1)</x:formula1>
    </x:dataValidation>
    <x:dataValidation type="list" allowBlank="1" showInputMessage="1" sqref="P7">
      <x:formula1>OFFSET($Q$13,0,0,$O$10,1)</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worksheet>
</file>

<file path=xl/worksheets/sheet28.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38">
    <x:tabColor indexed="44"/>
  </x:sheetPr>
  <x:dimension ref="A1:R100"/>
  <x:sheetViews>
    <x:sheetView showGridLines="0" topLeftCell="A7" zoomScaleNormal="100" zoomScaleSheetLayoutView="100" workbookViewId="0">
      <x:selection activeCell="H7" sqref="H7"/>
    </x:sheetView>
  </x:sheetViews>
  <x:sheetFormatPr defaultRowHeight="12" x14ac:dyDescent="0.2"/>
  <x:cols>
    <x:col min="1" max="1" width="10.7109375" style="295" customWidth="1"/>
    <x:col min="2" max="2" width="30.7109375" style="295" customWidth="1"/>
    <x:col min="3" max="6" width="6.42578125" style="295" customWidth="1"/>
    <x:col min="7" max="7" width="10.7109375" style="295" customWidth="1"/>
    <x:col min="8" max="8" width="6.7109375" style="295" customWidth="1"/>
    <x:col min="9" max="9" width="7.28515625" style="295" customWidth="1"/>
    <x:col min="10" max="10" width="10.7109375" style="295" customWidth="1"/>
    <x:col min="11" max="11" width="6.7109375" style="295" customWidth="1"/>
    <x:col min="12" max="13" width="5.7109375" style="295" hidden="1" customWidth="1"/>
    <x:col min="14" max="14" width="5.7109375" style="1010" hidden="1" customWidth="1"/>
    <x:col min="15" max="15" width="11.28515625" style="295" hidden="1" customWidth="1"/>
    <x:col min="16" max="16" width="68.140625" style="295" hidden="1" customWidth="1"/>
    <x:col min="17" max="17" width="135.5703125" style="295" hidden="1" customWidth="1"/>
    <x:col min="18" max="16384" width="9.140625" style="295"/>
  </x:cols>
  <x:sheetData>
    <x:row r="1" spans="1:18" s="449" customFormat="1" ht="15" customHeight="1" thickBot="1" x14ac:dyDescent="0.25">
      <x:c r="A1" s="444"/>
      <x:c r="B1" s="444"/>
      <x:c r="C1" s="444"/>
      <x:c r="D1" s="2227" t="str">
        <x:f>IF(L1="","",VLOOKUP(L1,'Job Info.'!X:AA,4,FALSE))</x:f>
        <x:v>Master</x:v>
      </x:c>
      <x:c r="E1" s="2266"/>
      <x:c r="F1" s="2266"/>
      <x:c r="G1" s="2265" t="s">
        <x:v>96</x:v>
      </x:c>
      <x:c r="H1" s="2277"/>
      <x:c r="I1" s="2259" t="str">
        <x:f ca="1">'Job Info.'!D12</x:f>
        <x:v>775-428-0600</x:v>
      </x:c>
      <x:c r="J1" s="2260"/>
      <x:c r="K1" s="578" t="s">
        <x:v>763</x:v>
      </x:c>
      <x:c r="L1" s="448" t="str">
        <x:f>'Job Info.'!Q30</x:f>
        <x:v>M</x:v>
      </x:c>
      <x:c r="M1" s="448" t="b">
        <x:f>'Job Info.'!Q32</x:f>
        <x:v>0</x:v>
      </x:c>
      <x:c r="N1" s="1008"/>
      <x:c r="R1" s="579" t="s">
        <x:v>764</x:v>
      </x:c>
    </x:row>
    <x:row r="2" spans="1:18" s="449" customFormat="1" ht="12.95" customHeight="1" thickTop="1" x14ac:dyDescent="0.2">
      <x:c r="A2" s="444"/>
      <x:c r="B2" s="444"/>
      <x:c r="C2" s="444"/>
      <x:c r="D2" s="2228" t="str">
        <x:f>IF(L1="","",IF(VLOOKUP(L1,'Job Info.'!X:Z,2,FALSE),"Released for Fabrication",""))</x:f>
        <x:v/>
      </x:c>
      <x:c r="E2" s="2267"/>
      <x:c r="F2" s="2268"/>
      <x:c r="G2" s="2265" t="s">
        <x:v>97</x:v>
      </x:c>
      <x:c r="H2" s="2265"/>
      <x:c r="I2" s="2259" t="str">
        <x:f ca="1">'Job Info.'!D13</x:f>
        <x:v>775-867-2140</x:v>
      </x:c>
      <x:c r="J2" s="2260"/>
      <x:c r="N2" s="1008"/>
    </x:row>
    <x:row r="3" spans="1:18" s="449" customFormat="1" ht="12.95" customHeight="1" x14ac:dyDescent="0.2">
      <x:c r="A3" s="444"/>
      <x:c r="B3" s="444"/>
      <x:c r="C3" s="444"/>
      <x:c r="D3" s="2269"/>
      <x:c r="E3" s="2270"/>
      <x:c r="F3" s="2271"/>
      <x:c r="G3" s="2265" t="s">
        <x:v>99</x:v>
      </x:c>
      <x:c r="H3" s="2265"/>
      <x:c r="I3" s="2259" t="str">
        <x:f ca="1">'Job Info.'!D14</x:f>
        <x:v>775-867-2169</x:v>
      </x:c>
      <x:c r="J3" s="2260"/>
      <x:c r="N3" s="1008"/>
    </x:row>
    <x:row r="4" spans="1:18" s="449" customFormat="1" ht="12.95" customHeight="1" thickBot="1" x14ac:dyDescent="0.25">
      <x:c r="A4" s="444"/>
      <x:c r="B4" s="444"/>
      <x:c r="C4" s="444"/>
      <x:c r="D4" s="2234" t="str">
        <x:f>IF(L1="","",IF(VLOOKUP(L1,'Job Info.'!X:Z,2,FALSE),VLOOKUP(L1,'Job Info.'!X:Z,3,FALSE),""))</x:f>
        <x:v/>
      </x:c>
      <x:c r="E4" s="2272"/>
      <x:c r="F4" s="2273"/>
      <x:c r="G4" s="2265" t="s">
        <x:v>98</x:v>
      </x:c>
      <x:c r="H4" s="2265"/>
      <x:c r="I4" s="2259" t="str">
        <x:f ca="1">'Job Info.'!D15</x:f>
        <x:v>775-867-2060</x:v>
      </x:c>
      <x:c r="J4" s="2260"/>
      <x:c r="N4" s="1008"/>
    </x:row>
    <x:row r="5" spans="1:18" s="449" customFormat="1" ht="12.95" customHeight="1" thickTop="1" x14ac:dyDescent="0.2">
      <x:c r="A5" s="2237" t="str">
        <x:f ca="1">'Job Info.'!D11</x:f>
        <x:v>8200 Woolery Way | Fallon, NV 89406 | www.newmill.com</x:v>
      </x:c>
      <x:c r="B5" s="2237"/>
      <x:c r="C5" s="2237"/>
      <x:c r="D5" s="2237"/>
      <x:c r="E5" s="2237"/>
      <x:c r="F5" s="2237"/>
      <x:c r="G5" s="1824"/>
      <x:c r="H5" s="444"/>
      <x:c r="I5" s="444"/>
      <x:c r="J5" s="444"/>
      <x:c r="N5" s="1008"/>
    </x:row>
    <x:row r="6" spans="1:18" s="449" customFormat="1" ht="12.95" customHeight="1" x14ac:dyDescent="0.2">
      <x:c r="A6" s="444"/>
      <x:c r="B6" s="444"/>
      <x:c r="C6" s="444"/>
      <x:c r="D6" s="444"/>
      <x:c r="E6" s="444"/>
      <x:c r="F6" s="444"/>
      <x:c r="G6" s="550" t="s">
        <x:v>20</x:v>
      </x:c>
      <x:c r="H6" s="2261">
        <x:f>IF(ISBLANK('Job Info.'!D8),"",'Job Info.'!D8)</x:f>
        <x:v>43406</x:v>
      </x:c>
      <x:c r="I6" s="2261"/>
      <x:c r="J6" s="444"/>
      <x:c r="L6" s="1392" t="s">
        <x:v>1180</x:v>
      </x:c>
      <x:c r="M6" s="979"/>
      <x:c r="N6" s="1008"/>
    </x:row>
    <x:row r="7" spans="1:18" ht="12.95" customHeight="1" x14ac:dyDescent="0.2">
      <x:c r="A7" s="472" t="s">
        <x:v>29</x:v>
      </x:c>
      <x:c r="B7" s="473"/>
      <x:c r="C7" s="473"/>
      <x:c r="D7" s="473"/>
      <x:c r="E7" s="473"/>
      <x:c r="F7" s="1023"/>
      <x:c r="G7" s="551" t="s">
        <x:v>21</x:v>
      </x:c>
      <x:c r="H7" s="1527" t="str">
        <x:f>CONCATENATE(L7, " of ",IF(ISBLANK('Job Info.'!D9),"",'Job Info.'!D9))</x:f>
        <x:v>4 of 42</x:v>
      </x:c>
      <x:c r="I7" s="822"/>
      <x:c r="J7" s="573"/>
      <x:c r="L7" s="1394">
        <x:v>4</x:v>
      </x:c>
      <x:c r="M7" s="453"/>
      <x:c r="P7" s="1009"/>
    </x:row>
    <x:row r="8" spans="1:18" ht="3.95" customHeight="1" x14ac:dyDescent="0.2">
      <x:c r="A8" s="473"/>
      <x:c r="B8" s="473"/>
      <x:c r="C8" s="473"/>
      <x:c r="D8" s="473"/>
      <x:c r="E8" s="473"/>
      <x:c r="F8" s="473"/>
      <x:c r="G8" s="473"/>
      <x:c r="H8" s="473"/>
      <x:c r="I8" s="473"/>
      <x:c r="J8" s="473"/>
    </x:row>
    <x:row r="9" spans="1:18" ht="12.6" customHeight="1" x14ac:dyDescent="0.2">
      <x:c r="A9" s="572" t="s">
        <x:v>1</x:v>
      </x:c>
      <x:c r="B9" s="2225" t="str">
        <x:f>IF(ISBLANK('Job Info.'!D3),"",'Job Info.'!D3)</x:f>
        <x:v>SUNPOINT CROSSING</x:v>
      </x:c>
      <x:c r="C9" s="2225"/>
      <x:c r="D9" s="2226"/>
      <x:c r="E9" s="574"/>
      <x:c r="F9" s="575" t="s">
        <x:v>2</x:v>
      </x:c>
      <x:c r="G9" s="2225" t="str">
        <x:f>IF(ISBLANK('Job Info.'!D5),"",'Job Info.'!D5)</x:f>
        <x:v>9118-0062</x:v>
      </x:c>
      <x:c r="H9" s="2225"/>
      <x:c r="I9" s="2225"/>
      <x:c r="J9" s="2226"/>
      <x:c r="L9" s="453"/>
    </x:row>
    <x:row r="10" spans="1:18" ht="12.6" customHeight="1" x14ac:dyDescent="0.2">
      <x:c r="A10" s="572" t="s">
        <x:v>3</x:v>
      </x:c>
      <x:c r="B10" s="2225" t="str">
        <x:f>IF(ISBLANK('Job Info.'!D4),"",'Job Info.'!D4)</x:f>
        <x:v>LAS VEGAS, NV</x:v>
      </x:c>
      <x:c r="C10" s="2225"/>
      <x:c r="D10" s="2226"/>
      <x:c r="E10" s="567"/>
      <x:c r="F10" s="572" t="s">
        <x:v>22</x:v>
      </x:c>
      <x:c r="G10" s="1823" t="str">
        <x:f>IF(ISBLANK('Job Info.'!D6),"",'Job Info.'!D6)</x:f>
        <x:v>CJA</x:v>
      </x:c>
      <x:c r="H10" s="286"/>
      <x:c r="I10" s="575" t="s">
        <x:v>23</x:v>
      </x:c>
      <x:c r="J10" s="1823" t="str">
        <x:f>IF(ISBLANK('Job Info.'!D7),"",'Job Info.'!D7)</x:f>
        <x:v>LS</x:v>
      </x:c>
      <x:c r="L10" s="1201" t="s">
        <x:v>1016</x:v>
      </x:c>
      <x:c r="M10" s="1201" t="s">
        <x:v>171</x:v>
      </x:c>
      <x:c r="O10" s="295">
        <x:f>COUNTA(P13:P99)</x:f>
        <x:v>56</x:v>
      </x:c>
      <x:c r="Q10" s="1010"/>
    </x:row>
    <x:row r="11" spans="1:18" ht="3.95" customHeight="1" x14ac:dyDescent="0.2">
      <x:c r="A11" s="1396"/>
      <x:c r="B11" s="473"/>
      <x:c r="C11" s="473"/>
      <x:c r="D11" s="473"/>
      <x:c r="E11" s="473"/>
      <x:c r="F11" s="473"/>
      <x:c r="G11" s="473"/>
      <x:c r="H11" s="473"/>
      <x:c r="I11" s="473"/>
      <x:c r="J11" s="473"/>
      <x:c r="Q11" s="1010"/>
    </x:row>
    <x:row r="12" spans="1:18" s="570" customFormat="1" ht="15.4" customHeight="1" thickBot="1" x14ac:dyDescent="0.25">
      <x:c r="A12" s="1821" t="s">
        <x:v>30</x:v>
      </x:c>
      <x:c r="B12" s="2262" t="s">
        <x:v>15</x:v>
      </x:c>
      <x:c r="C12" s="2263"/>
      <x:c r="D12" s="2263"/>
      <x:c r="E12" s="2263"/>
      <x:c r="F12" s="2263"/>
      <x:c r="G12" s="2263"/>
      <x:c r="H12" s="2263"/>
      <x:c r="I12" s="2263"/>
      <x:c r="J12" s="2264"/>
      <x:c r="O12" s="1015" t="s">
        <x:v>1006</x:v>
      </x:c>
      <x:c r="P12" s="1016" t="s">
        <x:v>1007</x:v>
      </x:c>
      <x:c r="Q12" s="1011" t="s">
        <x:v>1011</x:v>
      </x:c>
    </x:row>
    <x:row r="13" spans="1:18" ht="15.4" customHeight="1" thickTop="1" x14ac:dyDescent="0.2">
      <x:c r="A13" s="2017" t="s">
        <x:v>177</x:v>
      </x:c>
      <x:c r="B13" s="3036" t="s">
        <x:v>1805</x:v>
      </x:c>
      <x:c r="C13" s="3037"/>
      <x:c r="D13" s="3037"/>
      <x:c r="E13" s="3037"/>
      <x:c r="F13" s="3037"/>
      <x:c r="G13" s="3037"/>
      <x:c r="H13" s="3037"/>
      <x:c r="I13" s="3037"/>
      <x:c r="J13" s="3038"/>
      <x:c r="L13" s="1203" t="str">
        <x:f>IF(ISBLANK(A13),"",A13)</x:f>
        <x:v>BL</x:v>
      </x:c>
      <x:c r="M13" s="1203" t="b">
        <x:v>0</x:v>
      </x:c>
      <x:c r="O13" s="1017"/>
      <x:c r="P13" s="1018" t="s">
        <x:v>1065</x:v>
      </x:c>
      <x:c r="Q13" s="1012" t="str">
        <x:f>CONCATENATE("[",O13, "] - ", P13)</x:f>
        <x:v>[] - SHAPES</x:v>
      </x:c>
    </x:row>
    <x:row r="14" spans="1:18" ht="15.4" customHeight="1" x14ac:dyDescent="0.2">
      <x:c r="A14" s="2018" t="s">
        <x:v>1806</x:v>
      </x:c>
      <x:c r="B14" s="3030" t="s">
        <x:v>1807</x:v>
      </x:c>
      <x:c r="C14" s="3031"/>
      <x:c r="D14" s="3031"/>
      <x:c r="E14" s="3031"/>
      <x:c r="F14" s="3031"/>
      <x:c r="G14" s="3031"/>
      <x:c r="H14" s="3031"/>
      <x:c r="I14" s="3031"/>
      <x:c r="J14" s="3032"/>
      <x:c r="L14" s="1203" t="str">
        <x:f>IF(ISBLANK(A14),L13,A14)</x:f>
        <x:v>BM</x:v>
      </x:c>
      <x:c r="M14" s="1203" t="b">
        <x:v>0</x:v>
      </x:c>
      <x:c r="O14" s="1019" t="s">
        <x:v>1008</x:v>
      </x:c>
      <x:c r="P14" s="1020" t="s">
        <x:v>1066</x:v>
      </x:c>
      <x:c r="Q14" s="1013" t="str">
        <x:f t="shared" ref="Q14:Q77" si="0">CONCATENATE("[",O14, "] - ", P14)</x:f>
        <x:v>[SP] - Single Pitch: (Ctr Depth=Designation) ##" Depth @ LBL, ##" Depth @ RBL</x:v>
      </x:c>
    </x:row>
    <x:row r="15" spans="1:18" ht="15.4" customHeight="1" x14ac:dyDescent="0.2">
      <x:c r="A15" s="2018" t="s">
        <x:v>1808</x:v>
      </x:c>
      <x:c r="B15" s="3030" t="s">
        <x:v>1809</x:v>
      </x:c>
      <x:c r="C15" s="3031"/>
      <x:c r="D15" s="3031"/>
      <x:c r="E15" s="3031"/>
      <x:c r="F15" s="3031"/>
      <x:c r="G15" s="3031"/>
      <x:c r="H15" s="3031"/>
      <x:c r="I15" s="3031"/>
      <x:c r="J15" s="3032"/>
      <x:c r="L15" s="1203" t="str">
        <x:f t="shared" ref="L15:L51" si="1">IF(ISBLANK(A15),L14,A15)</x:f>
        <x:v>BN</x:v>
      </x:c>
      <x:c r="M15" s="1203" t="b">
        <x:v>0</x:v>
      </x:c>
      <x:c r="O15" s="1019" t="s">
        <x:v>1009</x:v>
      </x:c>
      <x:c r="P15" s="1020" t="s">
        <x:v>1067</x:v>
      </x:c>
      <x:c r="Q15" s="1013" t="str">
        <x:f t="shared" si="0"/>
        <x:v>[DP] - Double Pitch: Ridge @ ##’-## From LBL (Depth=Designation), ##" Depth @ LBL, ##" Depth @ RBL</x:v>
      </x:c>
    </x:row>
    <x:row r="16" spans="1:18" ht="15.4" customHeight="1" x14ac:dyDescent="0.2">
      <x:c r="A16" s="2018" t="s">
        <x:v>1810</x:v>
      </x:c>
      <x:c r="B16" s="3030" t="s">
        <x:v>1811</x:v>
      </x:c>
      <x:c r="C16" s="3031"/>
      <x:c r="D16" s="3031"/>
      <x:c r="E16" s="3031"/>
      <x:c r="F16" s="3031"/>
      <x:c r="G16" s="3031"/>
      <x:c r="H16" s="3031"/>
      <x:c r="I16" s="3031"/>
      <x:c r="J16" s="3032"/>
      <x:c r="L16" s="1203" t="str">
        <x:f t="shared" si="1"/>
        <x:v>BO</x:v>
      </x:c>
      <x:c r="M16" s="1203" t="b">
        <x:v>0</x:v>
      </x:c>
      <x:c r="O16" s="1019" t="s">
        <x:v>1010</x:v>
      </x:c>
      <x:c r="P16" s="1020" t="s">
        <x:v>1068</x:v>
      </x:c>
      <x:c r="Q16" s="1013" t="str">
        <x:f t="shared" si="0"/>
        <x:v>[TP] - Triple Pitch: Ridge Left @ ##’-## From LBL (Depth=Designation), ##" Depth @ LBL, ##" Depth @ RBL, Ridge Right @ ##'-## From LBL</x:v>
      </x:c>
    </x:row>
    <x:row r="17" spans="1:17" ht="15.4" customHeight="1" x14ac:dyDescent="0.2">
      <x:c r="A17" s="2018" t="s">
        <x:v>1812</x:v>
      </x:c>
      <x:c r="B17" s="3030" t="s">
        <x:v>1813</x:v>
      </x:c>
      <x:c r="C17" s="3031"/>
      <x:c r="D17" s="3031"/>
      <x:c r="E17" s="3031"/>
      <x:c r="F17" s="3031"/>
      <x:c r="G17" s="3031"/>
      <x:c r="H17" s="3031"/>
      <x:c r="I17" s="3031"/>
      <x:c r="J17" s="3032"/>
      <x:c r="L17" s="1203" t="str">
        <x:f t="shared" si="1"/>
        <x:v>BP</x:v>
      </x:c>
      <x:c r="M17" s="1203" t="b">
        <x:v>0</x:v>
      </x:c>
      <x:c r="O17" s="1019" t="s">
        <x:v>1034</x:v>
      </x:c>
      <x:c r="P17" s="1020" t="s">
        <x:v>1069</x:v>
      </x:c>
      <x:c r="Q17" s="1013" t="str">
        <x:f t="shared" si="0"/>
        <x:v>[AC] - Arched Chords: (Depth=Designation) ##" TC Radius</x:v>
      </x:c>
    </x:row>
    <x:row r="18" spans="1:17" ht="15.4" customHeight="1" x14ac:dyDescent="0.2">
      <x:c r="A18" s="2018" t="s">
        <x:v>1814</x:v>
      </x:c>
      <x:c r="B18" s="3030" t="s">
        <x:v>1815</x:v>
      </x:c>
      <x:c r="C18" s="3031"/>
      <x:c r="D18" s="3031"/>
      <x:c r="E18" s="3031"/>
      <x:c r="F18" s="3031"/>
      <x:c r="G18" s="3031"/>
      <x:c r="H18" s="3031"/>
      <x:c r="I18" s="3031"/>
      <x:c r="J18" s="3032"/>
      <x:c r="L18" s="1203" t="str">
        <x:f t="shared" si="1"/>
        <x:v>BQ</x:v>
      </x:c>
      <x:c r="M18" s="1203" t="b">
        <x:v>0</x:v>
      </x:c>
      <x:c r="O18" s="1019" t="s">
        <x:v>1035</x:v>
      </x:c>
      <x:c r="P18" s="1020" t="s">
        <x:v>1070</x:v>
      </x:c>
      <x:c r="Q18" s="1013" t="str">
        <x:f t="shared" si="0"/>
        <x:v>[BW] - Bowstring: Ridge @ ##’-## From LBL (Depth=Designation), ##" Depth @ LBL, ##" TC Radius</x:v>
      </x:c>
    </x:row>
    <x:row r="19" spans="1:17" ht="15.4" customHeight="1" x14ac:dyDescent="0.2">
      <x:c r="A19" s="2018" t="s">
        <x:v>178</x:v>
      </x:c>
      <x:c r="B19" s="3030" t="s">
        <x:v>1816</x:v>
      </x:c>
      <x:c r="C19" s="3031"/>
      <x:c r="D19" s="3031"/>
      <x:c r="E19" s="3031"/>
      <x:c r="F19" s="3031"/>
      <x:c r="G19" s="3031"/>
      <x:c r="H19" s="3031"/>
      <x:c r="I19" s="3031"/>
      <x:c r="J19" s="3032"/>
      <x:c r="L19" s="1203" t="str">
        <x:f t="shared" si="1"/>
        <x:v>BR</x:v>
      </x:c>
      <x:c r="M19" s="1203" t="b">
        <x:v>0</x:v>
      </x:c>
      <x:c r="O19" s="1019" t="s">
        <x:v>1036</x:v>
      </x:c>
      <x:c r="P19" s="1020" t="s">
        <x:v>1119</x:v>
      </x:c>
      <x:c r="Q19" s="1013" t="str">
        <x:f t="shared" si="0"/>
        <x:v>[SC] - Scissor: Ridge @ ##’-## From LBL (Vert Depth=Designation), BC Rise ##” @ Ridge From LBL, ##" Vert Depth @ LBL, ##" Vert Depth @ RBL, ##" BC Elev difference @ RBL</x:v>
      </x:c>
    </x:row>
    <x:row r="20" spans="1:17" ht="15.4" customHeight="1" x14ac:dyDescent="0.2">
      <x:c r="A20" s="2018" t="s">
        <x:v>1817</x:v>
      </x:c>
      <x:c r="B20" s="3030" t="s">
        <x:v>1818</x:v>
      </x:c>
      <x:c r="C20" s="3031"/>
      <x:c r="D20" s="3031"/>
      <x:c r="E20" s="3031"/>
      <x:c r="F20" s="3031"/>
      <x:c r="G20" s="3031"/>
      <x:c r="H20" s="3031"/>
      <x:c r="I20" s="3031"/>
      <x:c r="J20" s="3032"/>
      <x:c r="L20" s="1203" t="str">
        <x:f t="shared" si="1"/>
        <x:v>BS</x:v>
      </x:c>
      <x:c r="M20" s="1203" t="b">
        <x:v>0</x:v>
      </x:c>
      <x:c r="O20" s="1019"/>
      <x:c r="P20" s="1020" t="s">
        <x:v>1071</x:v>
      </x:c>
      <x:c r="Q20" s="1013" t="str">
        <x:f t="shared" si="0"/>
        <x:v>[] - DEFLECTION</x:v>
      </x:c>
    </x:row>
    <x:row r="21" spans="1:17" ht="15.4" customHeight="1" x14ac:dyDescent="0.2">
      <x:c r="A21" s="2018" t="s">
        <x:v>1819</x:v>
      </x:c>
      <x:c r="B21" s="3039" t="s">
        <x:v>1820</x:v>
      </x:c>
      <x:c r="C21" s="3040"/>
      <x:c r="D21" s="3040"/>
      <x:c r="E21" s="3040"/>
      <x:c r="F21" s="3040"/>
      <x:c r="G21" s="3040"/>
      <x:c r="H21" s="3040"/>
      <x:c r="I21" s="3040"/>
      <x:c r="J21" s="3041"/>
      <x:c r="L21" s="1203" t="str">
        <x:f t="shared" si="1"/>
        <x:v>BT</x:v>
      </x:c>
      <x:c r="M21" s="1203" t="b">
        <x:v>0</x:v>
      </x:c>
      <x:c r="O21" s="1019" t="s">
        <x:v>1029</x:v>
      </x:c>
      <x:c r="P21" s="1020" t="s">
        <x:v>1072</x:v>
      </x:c>
      <x:c r="Q21" s="1013" t="str">
        <x:f t="shared" si="0"/>
        <x:v>[DefLL] - LL Deflection = L/###|Deflection=L/### Due To ### PLF LL|LL Deflection=L/### (LL/TL Ratio = ##%)</x:v>
      </x:c>
    </x:row>
    <x:row r="22" spans="1:17" ht="15.4" customHeight="1" x14ac:dyDescent="0.2">
      <x:c r="A22" s="2018" t="s">
        <x:v>1821</x:v>
      </x:c>
      <x:c r="B22" s="3030" t="s">
        <x:v>1822</x:v>
      </x:c>
      <x:c r="C22" s="3031"/>
      <x:c r="D22" s="3031"/>
      <x:c r="E22" s="3031"/>
      <x:c r="F22" s="3031"/>
      <x:c r="G22" s="3031"/>
      <x:c r="H22" s="3031"/>
      <x:c r="I22" s="3031"/>
      <x:c r="J22" s="3032"/>
      <x:c r="L22" s="1203" t="str">
        <x:f t="shared" si="1"/>
        <x:v>BU</x:v>
      </x:c>
      <x:c r="M22" s="1203" t="b">
        <x:v>0</x:v>
      </x:c>
      <x:c r="O22" s="1019" t="s">
        <x:v>1030</x:v>
      </x:c>
      <x:c r="P22" s="1020" t="s">
        <x:v>1073</x:v>
      </x:c>
      <x:c r="Q22" s="1013" t="str">
        <x:f t="shared" si="0"/>
        <x:v>[DefTL] - TL Deflection = L/###, Ck Std Camber Satisfies DL Def</x:v>
      </x:c>
    </x:row>
    <x:row r="23" spans="1:17" ht="15.4" customHeight="1" x14ac:dyDescent="0.2">
      <x:c r="A23" s="2018" t="s">
        <x:v>1823</x:v>
      </x:c>
      <x:c r="B23" s="3036" t="s">
        <x:v>1824</x:v>
      </x:c>
      <x:c r="C23" s="3037"/>
      <x:c r="D23" s="3037"/>
      <x:c r="E23" s="3037"/>
      <x:c r="F23" s="3037"/>
      <x:c r="G23" s="3037"/>
      <x:c r="H23" s="3037"/>
      <x:c r="I23" s="3037"/>
      <x:c r="J23" s="3038"/>
      <x:c r="L23" s="1203" t="str">
        <x:f t="shared" si="1"/>
        <x:v>BV</x:v>
      </x:c>
      <x:c r="M23" s="1203" t="b">
        <x:v>0</x:v>
      </x:c>
      <x:c r="O23" s="1019" t="s">
        <x:v>1031</x:v>
      </x:c>
      <x:c r="P23" s="1020" t="s">
        <x:v>1075</x:v>
      </x:c>
      <x:c r="Q23" s="1013" t="str">
        <x:f t="shared" si="0"/>
        <x:v>[DefTCX] - TCXL|TCXR Deflection = ##" Max Due To ### PLF LL|DL|TL</x:v>
      </x:c>
    </x:row>
    <x:row r="24" spans="1:17" ht="15.4" customHeight="1" x14ac:dyDescent="0.2">
      <x:c r="A24" s="2018" t="s">
        <x:v>1035</x:v>
      </x:c>
      <x:c r="B24" s="3030" t="s">
        <x:v>1825</x:v>
      </x:c>
      <x:c r="C24" s="3031"/>
      <x:c r="D24" s="3031"/>
      <x:c r="E24" s="3031"/>
      <x:c r="F24" s="3031"/>
      <x:c r="G24" s="3031"/>
      <x:c r="H24" s="3031"/>
      <x:c r="I24" s="3031"/>
      <x:c r="J24" s="3032"/>
      <x:c r="L24" s="1203" t="str">
        <x:f t="shared" si="1"/>
        <x:v>BW</x:v>
      </x:c>
      <x:c r="M24" s="1203" t="b">
        <x:v>0</x:v>
      </x:c>
      <x:c r="O24" s="1019" t="s">
        <x:v>1032</x:v>
      </x:c>
      <x:c r="P24" s="1020" t="s">
        <x:v>1074</x:v>
      </x:c>
      <x:c r="Q24" s="1013" t="str">
        <x:f t="shared" si="0"/>
        <x:v>[DefSP] - Special Deflection = ##" Max Due To ### PLF LL|DL|TL</x:v>
      </x:c>
    </x:row>
    <x:row r="25" spans="1:17" ht="15.4" customHeight="1" x14ac:dyDescent="0.2">
      <x:c r="A25" s="2018" t="s">
        <x:v>1826</x:v>
      </x:c>
      <x:c r="B25" s="3030" t="s">
        <x:v>1827</x:v>
      </x:c>
      <x:c r="C25" s="3031"/>
      <x:c r="D25" s="3031"/>
      <x:c r="E25" s="3031"/>
      <x:c r="F25" s="3031"/>
      <x:c r="G25" s="3031"/>
      <x:c r="H25" s="3031"/>
      <x:c r="I25" s="3031"/>
      <x:c r="J25" s="3032"/>
      <x:c r="L25" s="1203" t="str">
        <x:f t="shared" si="1"/>
        <x:v>BX</x:v>
      </x:c>
      <x:c r="M25" s="1203" t="b">
        <x:v>0</x:v>
      </x:c>
      <x:c r="O25" s="1019"/>
      <x:c r="P25" s="1020" t="s">
        <x:v>1076</x:v>
      </x:c>
      <x:c r="Q25" s="1013" t="str">
        <x:f t="shared" si="0"/>
        <x:v>[] - BEARING SEATS</x:v>
      </x:c>
    </x:row>
    <x:row r="26" spans="1:17" ht="15.4" customHeight="1" x14ac:dyDescent="0.2">
      <x:c r="A26" s="2018" t="s">
        <x:v>1828</x:v>
      </x:c>
      <x:c r="B26" s="3030" t="s">
        <x:v>1829</x:v>
      </x:c>
      <x:c r="C26" s="3031"/>
      <x:c r="D26" s="3031"/>
      <x:c r="E26" s="3031"/>
      <x:c r="F26" s="3031"/>
      <x:c r="G26" s="3031"/>
      <x:c r="H26" s="3031"/>
      <x:c r="I26" s="3031"/>
      <x:c r="J26" s="3032"/>
      <x:c r="L26" s="1203" t="str">
        <x:f t="shared" si="1"/>
        <x:v>BY</x:v>
      </x:c>
      <x:c r="M26" s="1203" t="b">
        <x:v>0</x:v>
      </x:c>
      <x:c r="O26" s="1019" t="s">
        <x:v>1120</x:v>
      </x:c>
      <x:c r="P26" s="1020" t="s">
        <x:v>1121</x:v>
      </x:c>
      <x:c r="Q26" s="1013" t="str">
        <x:f t="shared" si="0"/>
        <x:v>[ShrtBrg] - Short Bearing = #” @ LE|RE|BE</x:v>
      </x:c>
    </x:row>
    <x:row r="27" spans="1:17" ht="15.4" customHeight="1" x14ac:dyDescent="0.2">
      <x:c r="A27" s="2018" t="s">
        <x:v>1830</x:v>
      </x:c>
      <x:c r="B27" s="3030" t="s">
        <x:v>1831</x:v>
      </x:c>
      <x:c r="C27" s="3031"/>
      <x:c r="D27" s="3031"/>
      <x:c r="E27" s="3031"/>
      <x:c r="F27" s="3031"/>
      <x:c r="G27" s="3031"/>
      <x:c r="H27" s="3031"/>
      <x:c r="I27" s="3031"/>
      <x:c r="J27" s="3032"/>
      <x:c r="L27" s="1203" t="str">
        <x:f t="shared" si="1"/>
        <x:v>BZ</x:v>
      </x:c>
      <x:c r="M27" s="1203" t="b">
        <x:v>0</x:v>
      </x:c>
      <x:c r="O27" s="1019" t="s">
        <x:v>1023</x:v>
      </x:c>
      <x:c r="P27" s="1020" t="s">
        <x:v>1077</x:v>
      </x:c>
      <x:c r="Q27" s="1013" t="str">
        <x:f t="shared" si="0"/>
        <x:v>[TCXMax] - Max Depth of TCXL|TCXR = ##"</x:v>
      </x:c>
    </x:row>
    <x:row r="28" spans="1:17" ht="15.4" customHeight="1" x14ac:dyDescent="0.2">
      <x:c r="A28" s="2018" t="s">
        <x:v>156</x:v>
      </x:c>
      <x:c r="B28" s="3030" t="s">
        <x:v>1832</x:v>
      </x:c>
      <x:c r="C28" s="3031"/>
      <x:c r="D28" s="3031"/>
      <x:c r="E28" s="3031"/>
      <x:c r="F28" s="3031"/>
      <x:c r="G28" s="3031"/>
      <x:c r="H28" s="3031"/>
      <x:c r="I28" s="3031"/>
      <x:c r="J28" s="3032"/>
      <x:c r="L28" s="1203" t="str">
        <x:f t="shared" si="1"/>
        <x:v>CA</x:v>
      </x:c>
      <x:c r="M28" s="1203" t="b">
        <x:v>0</x:v>
      </x:c>
      <x:c r="O28" s="1019" t="s">
        <x:v>1017</x:v>
      </x:c>
      <x:c r="P28" s="1020" t="s">
        <x:v>1122</x:v>
      </x:c>
      <x:c r="Q28" s="1013" t="str">
        <x:f t="shared" si="0"/>
        <x:v>[TCXSup] - TCXL|TCXR Supported @ End</x:v>
      </x:c>
    </x:row>
    <x:row r="29" spans="1:17" ht="15.4" customHeight="1" x14ac:dyDescent="0.2">
      <x:c r="A29" s="2018" t="s">
        <x:v>154</x:v>
      </x:c>
      <x:c r="B29" s="3030" t="s">
        <x:v>1833</x:v>
      </x:c>
      <x:c r="C29" s="3031"/>
      <x:c r="D29" s="3031"/>
      <x:c r="E29" s="3031"/>
      <x:c r="F29" s="3031"/>
      <x:c r="G29" s="3031"/>
      <x:c r="H29" s="3031"/>
      <x:c r="I29" s="3031"/>
      <x:c r="J29" s="3032"/>
      <x:c r="L29" s="1203" t="str">
        <x:f t="shared" si="1"/>
        <x:v>CB</x:v>
      </x:c>
      <x:c r="M29" s="1203" t="b">
        <x:v>0</x:v>
      </x:c>
      <x:c r="O29" s="1019" t="s">
        <x:v>1079</x:v>
      </x:c>
      <x:c r="P29" s="1020" t="s">
        <x:v>1123</x:v>
      </x:c>
      <x:c r="Q29" s="1013" t="str">
        <x:f t="shared" si="0"/>
        <x:v>[Rein] - Reinforce Seats @ LE|RE|BE for Axial Load Transfer</x:v>
      </x:c>
    </x:row>
    <x:row r="30" spans="1:17" ht="15.4" customHeight="1" x14ac:dyDescent="0.2">
      <x:c r="A30" s="2018" t="s">
        <x:v>1834</x:v>
      </x:c>
      <x:c r="B30" s="3030" t="s">
        <x:v>1835</x:v>
      </x:c>
      <x:c r="C30" s="3031"/>
      <x:c r="D30" s="3031"/>
      <x:c r="E30" s="3031"/>
      <x:c r="F30" s="3031"/>
      <x:c r="G30" s="3031"/>
      <x:c r="H30" s="3031"/>
      <x:c r="I30" s="3031"/>
      <x:c r="J30" s="3032"/>
      <x:c r="L30" s="1203" t="str">
        <x:f t="shared" si="1"/>
        <x:v>CC</x:v>
      </x:c>
      <x:c r="M30" s="1203" t="b">
        <x:v>0</x:v>
      </x:c>
      <x:c r="O30" s="1019" t="s">
        <x:v>1078</x:v>
      </x:c>
      <x:c r="P30" s="1020" t="s">
        <x:v>1080</x:v>
      </x:c>
      <x:c r="Q30" s="1013" t="str">
        <x:f t="shared" si="0"/>
        <x:v>[NoRein] - Tie Pl Provided for Load Transfer, No Rein Req’d</x:v>
      </x:c>
    </x:row>
    <x:row r="31" spans="1:17" ht="15.4" customHeight="1" x14ac:dyDescent="0.2">
      <x:c r="A31" s="2018" t="s">
        <x:v>1836</x:v>
      </x:c>
      <x:c r="B31" s="3030" t="s">
        <x:v>1837</x:v>
      </x:c>
      <x:c r="C31" s="3031"/>
      <x:c r="D31" s="3031"/>
      <x:c r="E31" s="3031"/>
      <x:c r="F31" s="3031"/>
      <x:c r="G31" s="3031"/>
      <x:c r="H31" s="3031"/>
      <x:c r="I31" s="3031"/>
      <x:c r="J31" s="3032"/>
      <x:c r="L31" s="1203" t="str">
        <x:f t="shared" si="1"/>
        <x:v>CD</x:v>
      </x:c>
      <x:c r="M31" s="1203" t="b">
        <x:v>0</x:v>
      </x:c>
      <x:c r="O31" s="1019" t="s">
        <x:v>1081</x:v>
      </x:c>
      <x:c r="P31" s="1020" t="s">
        <x:v>1083</x:v>
      </x:c>
      <x:c r="Q31" s="1013" t="str">
        <x:f t="shared" si="0"/>
        <x:v>[KnifePL] - Knife Pl Provided for Load Transfer, TC/Seat Gap Clear for 1st ##” @ LE|RE|BE</x:v>
      </x:c>
    </x:row>
    <x:row r="32" spans="1:17" ht="15.4" customHeight="1" x14ac:dyDescent="0.2">
      <x:c r="A32" s="2018" t="s">
        <x:v>1838</x:v>
      </x:c>
      <x:c r="B32" s="3030" t="s">
        <x:v>1839</x:v>
      </x:c>
      <x:c r="C32" s="3031"/>
      <x:c r="D32" s="3031"/>
      <x:c r="E32" s="3031"/>
      <x:c r="F32" s="3031"/>
      <x:c r="G32" s="3031"/>
      <x:c r="H32" s="3031"/>
      <x:c r="I32" s="3031"/>
      <x:c r="J32" s="3032"/>
      <x:c r="L32" s="1203" t="str">
        <x:f t="shared" si="1"/>
        <x:v>CE</x:v>
      </x:c>
      <x:c r="M32" s="1203" t="b">
        <x:v>0</x:v>
      </x:c>
      <x:c r="O32" s="1019" t="s">
        <x:v>1082</x:v>
      </x:c>
      <x:c r="P32" s="1020" t="s">
        <x:v>1084</x:v>
      </x:c>
      <x:c r="Q32" s="1013" t="str">
        <x:f t="shared" si="0"/>
        <x:v>[KickLd] - Axial Load Due To Kicker, No Rein Req’d</x:v>
      </x:c>
    </x:row>
    <x:row r="33" spans="1:17" ht="15.4" customHeight="1" x14ac:dyDescent="0.2">
      <x:c r="A33" s="2018" t="s">
        <x:v>1840</x:v>
      </x:c>
      <x:c r="B33" s="3030" t="s">
        <x:v>1841</x:v>
      </x:c>
      <x:c r="C33" s="3031"/>
      <x:c r="D33" s="3031"/>
      <x:c r="E33" s="3031"/>
      <x:c r="F33" s="3031"/>
      <x:c r="G33" s="3031"/>
      <x:c r="H33" s="3031"/>
      <x:c r="I33" s="3031"/>
      <x:c r="J33" s="3032"/>
      <x:c r="L33" s="1203" t="str">
        <x:f t="shared" si="1"/>
        <x:v>CF</x:v>
      </x:c>
      <x:c r="M33" s="1203" t="b">
        <x:v>0</x:v>
      </x:c>
      <x:c r="O33" s="1019" t="s">
        <x:v>1085</x:v>
      </x:c>
      <x:c r="P33" s="1020" t="s">
        <x:v>1086</x:v>
      </x:c>
      <x:c r="Q33" s="1013" t="str">
        <x:f t="shared" si="0"/>
        <x:v>[Roll] - Seat Rollover Force = ##Kips @ LE|RE|BE</x:v>
      </x:c>
    </x:row>
    <x:row r="34" spans="1:17" ht="15.4" customHeight="1" x14ac:dyDescent="0.2">
      <x:c r="A34" s="2018" t="s">
        <x:v>1842</x:v>
      </x:c>
      <x:c r="B34" s="3030" t="s">
        <x:v>1843</x:v>
      </x:c>
      <x:c r="C34" s="3031"/>
      <x:c r="D34" s="3031"/>
      <x:c r="E34" s="3031"/>
      <x:c r="F34" s="3031"/>
      <x:c r="G34" s="3031"/>
      <x:c r="H34" s="3031"/>
      <x:c r="I34" s="3031"/>
      <x:c r="J34" s="3032"/>
      <x:c r="L34" s="1203" t="str">
        <x:f t="shared" si="1"/>
        <x:v>CG</x:v>
      </x:c>
      <x:c r="M34" s="1203" t="b">
        <x:v>0</x:v>
      </x:c>
      <x:c r="O34" s="1019" t="s">
        <x:v>1044</x:v>
      </x:c>
      <x:c r="P34" s="1020" t="s">
        <x:v>1045</x:v>
      </x:c>
      <x:c r="Q34" s="1013" t="str">
        <x:f t="shared" si="0"/>
        <x:v>[ClrBrg] - Min Clear Bearing = #" @ LE(RE)(BE)</x:v>
      </x:c>
    </x:row>
    <x:row r="35" spans="1:17" ht="15.4" customHeight="1" x14ac:dyDescent="0.2">
      <x:c r="A35" s="2018" t="s">
        <x:v>1844</x:v>
      </x:c>
      <x:c r="B35" s="3030" t="s">
        <x:v>1845</x:v>
      </x:c>
      <x:c r="C35" s="3031"/>
      <x:c r="D35" s="3031"/>
      <x:c r="E35" s="3031"/>
      <x:c r="F35" s="3031"/>
      <x:c r="G35" s="3031"/>
      <x:c r="H35" s="3031"/>
      <x:c r="I35" s="3031"/>
      <x:c r="J35" s="3032"/>
      <x:c r="L35" s="1203" t="str">
        <x:f t="shared" si="1"/>
        <x:v>CH</x:v>
      </x:c>
      <x:c r="M35" s="1203" t="b">
        <x:v>0</x:v>
      </x:c>
      <x:c r="O35" s="1019" t="s">
        <x:v>1124</x:v>
      </x:c>
      <x:c r="P35" s="1020" t="s">
        <x:v>1033</x:v>
      </x:c>
      <x:c r="Q35" s="1013" t="str">
        <x:f t="shared" si="0"/>
        <x:v>[Skew] - ##º Half(Full)-Skew, NS(FS), LE(RE)</x:v>
      </x:c>
    </x:row>
    <x:row r="36" spans="1:17" ht="15.4" customHeight="1" x14ac:dyDescent="0.2">
      <x:c r="A36" s="2018" t="s">
        <x:v>1846</x:v>
      </x:c>
      <x:c r="B36" s="3030" t="s">
        <x:v>1847</x:v>
      </x:c>
      <x:c r="C36" s="3031"/>
      <x:c r="D36" s="3031"/>
      <x:c r="E36" s="3031"/>
      <x:c r="F36" s="3031"/>
      <x:c r="G36" s="3031"/>
      <x:c r="H36" s="3031"/>
      <x:c r="I36" s="3031"/>
      <x:c r="J36" s="3032"/>
      <x:c r="L36" s="1203" t="str">
        <x:f t="shared" si="1"/>
        <x:v>CI</x:v>
      </x:c>
      <x:c r="M36" s="1203" t="b">
        <x:v>0</x:v>
      </x:c>
      <x:c r="O36" s="1019" t="s">
        <x:v>1024</x:v>
      </x:c>
      <x:c r="P36" s="1020" t="s">
        <x:v>1087</x:v>
      </x:c>
      <x:c r="Q36" s="1013" t="str">
        <x:f t="shared" si="0"/>
        <x:v>[BCBrg] - Bottom Chord Bearing @ LE|RE|BE</x:v>
      </x:c>
    </x:row>
    <x:row r="37" spans="1:17" ht="15.4" customHeight="1" x14ac:dyDescent="0.2">
      <x:c r="A37" s="2018" t="s">
        <x:v>115</x:v>
      </x:c>
      <x:c r="B37" s="3030" t="s">
        <x:v>1848</x:v>
      </x:c>
      <x:c r="C37" s="3031"/>
      <x:c r="D37" s="3031"/>
      <x:c r="E37" s="3031"/>
      <x:c r="F37" s="3031"/>
      <x:c r="G37" s="3031"/>
      <x:c r="H37" s="3031"/>
      <x:c r="I37" s="3031"/>
      <x:c r="J37" s="3032"/>
      <x:c r="L37" s="1203" t="str">
        <x:f t="shared" si="1"/>
        <x:v>CJ</x:v>
      </x:c>
      <x:c r="M37" s="1203" t="b">
        <x:v>0</x:v>
      </x:c>
      <x:c r="O37" s="1019" t="s">
        <x:v>1018</x:v>
      </x:c>
      <x:c r="P37" s="1020" t="s">
        <x:v>1088</x:v>
      </x:c>
      <x:c r="Q37" s="1013" t="str">
        <x:f t="shared" si="0"/>
        <x:v>[StgSlt] - Stagger Seat Slots LE|RE: ##" NS, ##" FS</x:v>
      </x:c>
    </x:row>
    <x:row r="38" spans="1:17" ht="15.4" customHeight="1" x14ac:dyDescent="0.2">
      <x:c r="A38" s="2018" t="s">
        <x:v>1849</x:v>
      </x:c>
      <x:c r="B38" s="3030" t="s">
        <x:v>1850</x:v>
      </x:c>
      <x:c r="C38" s="3031"/>
      <x:c r="D38" s="3031"/>
      <x:c r="E38" s="3031"/>
      <x:c r="F38" s="3031"/>
      <x:c r="G38" s="3031"/>
      <x:c r="H38" s="3031"/>
      <x:c r="I38" s="3031"/>
      <x:c r="J38" s="3032"/>
      <x:c r="L38" s="1203" t="str">
        <x:f t="shared" si="1"/>
        <x:v>CK</x:v>
      </x:c>
      <x:c r="M38" s="1203" t="b">
        <x:v>0</x:v>
      </x:c>
      <x:c r="O38" s="1019" t="s">
        <x:v>1019</x:v>
      </x:c>
      <x:c r="P38" s="1020" t="s">
        <x:v>1089</x:v>
      </x:c>
      <x:c r="Q38" s="1013" t="str">
        <x:f t="shared" si="0"/>
        <x:v>[SpSlt] - Special Seat Slots: #"x#" Slots, Ga=#" @ LE|RE|BE</x:v>
      </x:c>
    </x:row>
    <x:row r="39" spans="1:17" ht="15.4" customHeight="1" x14ac:dyDescent="0.2">
      <x:c r="A39" s="2018" t="s">
        <x:v>166</x:v>
      </x:c>
      <x:c r="B39" s="3030" t="s">
        <x:v>1851</x:v>
      </x:c>
      <x:c r="C39" s="3031"/>
      <x:c r="D39" s="3031"/>
      <x:c r="E39" s="3031"/>
      <x:c r="F39" s="3031"/>
      <x:c r="G39" s="3031"/>
      <x:c r="H39" s="3031"/>
      <x:c r="I39" s="3031"/>
      <x:c r="J39" s="3032"/>
      <x:c r="L39" s="1203" t="str">
        <x:f t="shared" si="1"/>
        <x:v>CL</x:v>
      </x:c>
      <x:c r="M39" s="1203" t="b">
        <x:v>0</x:v>
      </x:c>
      <x:c r="O39" s="1019" t="s">
        <x:v>1128</x:v>
      </x:c>
      <x:c r="P39" s="1020" t="s">
        <x:v>1129</x:v>
      </x:c>
      <x:c r="Q39" s="1013" t="str">
        <x:f t="shared" si="0"/>
        <x:v>[RndShrtSlt] - #/#" Round Holes|#/#”x1” Slots, Ga=#” @ LE|RE|BE</x:v>
      </x:c>
    </x:row>
    <x:row r="40" spans="1:17" ht="15.4" customHeight="1" x14ac:dyDescent="0.2">
      <x:c r="A40" s="2018" t="s">
        <x:v>1852</x:v>
      </x:c>
      <x:c r="B40" s="3030" t="s">
        <x:v>1853</x:v>
      </x:c>
      <x:c r="C40" s="3031"/>
      <x:c r="D40" s="3031"/>
      <x:c r="E40" s="3031"/>
      <x:c r="F40" s="3031"/>
      <x:c r="G40" s="3031"/>
      <x:c r="H40" s="3031"/>
      <x:c r="I40" s="3031"/>
      <x:c r="J40" s="3032"/>
      <x:c r="L40" s="1203" t="str">
        <x:f t="shared" si="1"/>
        <x:v>CM</x:v>
      </x:c>
      <x:c r="M40" s="1203" t="b">
        <x:v>0</x:v>
      </x:c>
      <x:c r="O40" s="1019" t="s">
        <x:v>1043</x:v>
      </x:c>
      <x:c r="P40" s="1020" t="s">
        <x:v>1090</x:v>
      </x:c>
      <x:c r="Q40" s="1013" t="str">
        <x:f t="shared" si="0"/>
        <x:v>[AddSlt] - Addn'l Seat Slots @ #" from L-OAL|R-OAL</x:v>
      </x:c>
    </x:row>
    <x:row r="41" spans="1:17" ht="15.4" customHeight="1" x14ac:dyDescent="0.2">
      <x:c r="A41" s="2018" t="s">
        <x:v>1854</x:v>
      </x:c>
      <x:c r="B41" s="3030" t="s">
        <x:v>1855</x:v>
      </x:c>
      <x:c r="C41" s="3031"/>
      <x:c r="D41" s="3031"/>
      <x:c r="E41" s="3031"/>
      <x:c r="F41" s="3031"/>
      <x:c r="G41" s="3031"/>
      <x:c r="H41" s="3031"/>
      <x:c r="I41" s="3031"/>
      <x:c r="J41" s="3032"/>
      <x:c r="L41" s="1203" t="str">
        <x:f t="shared" si="1"/>
        <x:v>CN</x:v>
      </x:c>
      <x:c r="M41" s="1203" t="b">
        <x:v>0</x:v>
      </x:c>
      <x:c r="O41" s="1019" t="s">
        <x:v>1022</x:v>
      </x:c>
      <x:c r="P41" s="1020" t="s">
        <x:v>1091</x:v>
      </x:c>
      <x:c r="Q41" s="1013" t="str">
        <x:f t="shared" si="0"/>
        <x:v>[BPThk] - Min Thickness of Base Plate = 0.xxx" @ LE|RE|BE</x:v>
      </x:c>
    </x:row>
    <x:row r="42" spans="1:17" ht="15.4" customHeight="1" x14ac:dyDescent="0.2">
      <x:c r="A42" s="2018" t="s">
        <x:v>1856</x:v>
      </x:c>
      <x:c r="B42" s="3030" t="s">
        <x:v>1857</x:v>
      </x:c>
      <x:c r="C42" s="3031"/>
      <x:c r="D42" s="3031"/>
      <x:c r="E42" s="3031"/>
      <x:c r="F42" s="3031"/>
      <x:c r="G42" s="3031"/>
      <x:c r="H42" s="3031"/>
      <x:c r="I42" s="3031"/>
      <x:c r="J42" s="3032"/>
      <x:c r="L42" s="1203" t="str">
        <x:f t="shared" si="1"/>
        <x:v>CO</x:v>
      </x:c>
      <x:c r="M42" s="1203" t="b">
        <x:v>0</x:v>
      </x:c>
      <x:c r="O42" s="1019" t="s">
        <x:v>1092</x:v>
      </x:c>
      <x:c r="P42" s="1020" t="s">
        <x:v>1093</x:v>
      </x:c>
      <x:c r="Q42" s="1013" t="str">
        <x:f t="shared" si="0"/>
        <x:v>[MaxWidth] - Max Width of TC &amp; Base Plate|BC for 1st ##” @ LE|RE|BE</x:v>
      </x:c>
    </x:row>
    <x:row r="43" spans="1:17" ht="15.4" customHeight="1" x14ac:dyDescent="0.2">
      <x:c r="A43" s="2018"/>
      <x:c r="B43" s="3030" t="s">
        <x:v>117</x:v>
      </x:c>
      <x:c r="C43" s="3031"/>
      <x:c r="D43" s="3031"/>
      <x:c r="E43" s="3031"/>
      <x:c r="F43" s="3031"/>
      <x:c r="G43" s="3031"/>
      <x:c r="H43" s="3031"/>
      <x:c r="I43" s="3031"/>
      <x:c r="J43" s="3032"/>
      <x:c r="L43" s="1203" t="str">
        <x:f t="shared" si="1"/>
        <x:v>CO</x:v>
      </x:c>
      <x:c r="M43" s="1203" t="b">
        <x:v>0</x:v>
      </x:c>
      <x:c r="O43" s="1019"/>
      <x:c r="P43" s="1020" t="s">
        <x:v>1094</x:v>
      </x:c>
      <x:c r="Q43" s="1013" t="str">
        <x:f t="shared" si="0"/>
        <x:v>[] - MISCELLANEOUS</x:v>
      </x:c>
    </x:row>
    <x:row r="44" spans="1:17" ht="15.4" customHeight="1" x14ac:dyDescent="0.2">
      <x:c r="A44" s="2018" t="s">
        <x:v>155</x:v>
      </x:c>
      <x:c r="B44" s="3030" t="s">
        <x:v>1858</x:v>
      </x:c>
      <x:c r="C44" s="3031"/>
      <x:c r="D44" s="3031"/>
      <x:c r="E44" s="3031"/>
      <x:c r="F44" s="3031"/>
      <x:c r="G44" s="3031"/>
      <x:c r="H44" s="3031"/>
      <x:c r="I44" s="3031"/>
      <x:c r="J44" s="3032"/>
      <x:c r="L44" s="1203" t="str">
        <x:f t="shared" si="1"/>
        <x:v>CP</x:v>
      </x:c>
      <x:c r="M44" s="1203" t="b">
        <x:v>0</x:v>
      </x:c>
      <x:c r="O44" s="1019" t="s">
        <x:v>1125</x:v>
      </x:c>
      <x:c r="P44" s="1020" t="s">
        <x:v>1096</x:v>
      </x:c>
      <x:c r="Q44" s="1013" t="str">
        <x:f t="shared" si="0"/>
        <x:v>[Camb] - Camber = #"|Camber for DL|50% Std Camber|No Camber</x:v>
      </x:c>
    </x:row>
    <x:row r="45" spans="1:17" ht="15.4" customHeight="1" x14ac:dyDescent="0.2">
      <x:c r="A45" s="2018"/>
      <x:c r="B45" s="3030"/>
      <x:c r="C45" s="3031"/>
      <x:c r="D45" s="3031"/>
      <x:c r="E45" s="3031"/>
      <x:c r="F45" s="3031"/>
      <x:c r="G45" s="3031"/>
      <x:c r="H45" s="3031"/>
      <x:c r="I45" s="3031"/>
      <x:c r="J45" s="3032"/>
      <x:c r="L45" s="1203" t="str">
        <x:f t="shared" si="1"/>
        <x:v>CP</x:v>
      </x:c>
      <x:c r="M45" s="1203" t="b">
        <x:v>0</x:v>
      </x:c>
      <x:c r="O45" s="1019" t="s">
        <x:v>1025</x:v>
      </x:c>
      <x:c r="P45" s="1020" t="s">
        <x:v>1097</x:v>
      </x:c>
      <x:c r="Q45" s="1013" t="str">
        <x:f t="shared" si="0"/>
        <x:v>[BClip] - Bridging Clip(s) Required per Plan</x:v>
      </x:c>
    </x:row>
    <x:row r="46" spans="1:17" ht="15.4" customHeight="1" x14ac:dyDescent="0.2">
      <x:c r="A46" s="2018"/>
      <x:c r="B46" s="3030"/>
      <x:c r="C46" s="3031"/>
      <x:c r="D46" s="3031"/>
      <x:c r="E46" s="3031"/>
      <x:c r="F46" s="3031"/>
      <x:c r="G46" s="3031"/>
      <x:c r="H46" s="3031"/>
      <x:c r="I46" s="3031"/>
      <x:c r="J46" s="3032"/>
      <x:c r="L46" s="1203" t="str">
        <x:f t="shared" si="1"/>
        <x:v>CP</x:v>
      </x:c>
      <x:c r="M46" s="1203" t="b">
        <x:v>0</x:v>
      </x:c>
      <x:c r="O46" s="1019" t="s">
        <x:v>1020</x:v>
      </x:c>
      <x:c r="P46" s="1020" t="s">
        <x:v>1012</x:v>
      </x:c>
      <x:c r="Q46" s="1013" t="str">
        <x:f t="shared" si="0"/>
        <x:v>[TCThk] - Min Thickness of TC = 0.xxx"</x:v>
      </x:c>
    </x:row>
    <x:row r="47" spans="1:17" ht="15.4" customHeight="1" x14ac:dyDescent="0.2">
      <x:c r="A47" s="2018"/>
      <x:c r="B47" s="3030"/>
      <x:c r="C47" s="3031"/>
      <x:c r="D47" s="3031"/>
      <x:c r="E47" s="3031"/>
      <x:c r="F47" s="3031"/>
      <x:c r="G47" s="3031"/>
      <x:c r="H47" s="3031"/>
      <x:c r="I47" s="3031"/>
      <x:c r="J47" s="3032"/>
      <x:c r="L47" s="1203" t="str">
        <x:f t="shared" si="1"/>
        <x:v>CP</x:v>
      </x:c>
      <x:c r="M47" s="1203" t="b">
        <x:v>0</x:v>
      </x:c>
      <x:c r="O47" s="1019" t="s">
        <x:v>1021</x:v>
      </x:c>
      <x:c r="P47" s="1020" t="s">
        <x:v>1013</x:v>
      </x:c>
      <x:c r="Q47" s="1013" t="str">
        <x:f t="shared" si="0"/>
        <x:v>[BCThk] - Min Thickness of BC = 0.xxx"</x:v>
      </x:c>
    </x:row>
    <x:row r="48" spans="1:17" ht="15.4" customHeight="1" x14ac:dyDescent="0.2">
      <x:c r="A48" s="2018"/>
      <x:c r="B48" s="3030"/>
      <x:c r="C48" s="3031"/>
      <x:c r="D48" s="3031"/>
      <x:c r="E48" s="3031"/>
      <x:c r="F48" s="3031"/>
      <x:c r="G48" s="3031"/>
      <x:c r="H48" s="3031"/>
      <x:c r="I48" s="3031"/>
      <x:c r="J48" s="3032"/>
      <x:c r="L48" s="1203" t="str">
        <x:f t="shared" si="1"/>
        <x:v>CP</x:v>
      </x:c>
      <x:c r="M48" s="1203" t="b">
        <x:v>0</x:v>
      </x:c>
      <x:c r="O48" s="1019" t="s">
        <x:v>1130</x:v>
      </x:c>
      <x:c r="P48" s="1020" t="s">
        <x:v>1131</x:v>
      </x:c>
      <x:c r="Q48" s="1013" t="str">
        <x:f t="shared" si="0"/>
        <x:v>[ChdWdth] - Min|Max Width of TC|BC = ##”</x:v>
      </x:c>
    </x:row>
    <x:row r="49" spans="1:17" ht="15.4" customHeight="1" x14ac:dyDescent="0.2">
      <x:c r="A49" s="2018"/>
      <x:c r="B49" s="3030"/>
      <x:c r="C49" s="3031"/>
      <x:c r="D49" s="3031"/>
      <x:c r="E49" s="3031"/>
      <x:c r="F49" s="3031"/>
      <x:c r="G49" s="3031"/>
      <x:c r="H49" s="3031"/>
      <x:c r="I49" s="3031"/>
      <x:c r="J49" s="3032"/>
      <x:c r="L49" s="1203" t="str">
        <x:f t="shared" si="1"/>
        <x:v>CP</x:v>
      </x:c>
      <x:c r="M49" s="1203" t="b">
        <x:v>0</x:v>
      </x:c>
      <x:c r="O49" s="1019" t="s">
        <x:v>1126</x:v>
      </x:c>
      <x:c r="P49" s="1020" t="s">
        <x:v>1041</x:v>
      </x:c>
      <x:c r="Q49" s="1013" t="str">
        <x:f t="shared" si="0"/>
        <x:v>[Duct] - ##" Dia (##"H x ##"W) Duct @ #'-# from L-OAL</x:v>
      </x:c>
    </x:row>
    <x:row r="50" spans="1:17" ht="15.4" customHeight="1" x14ac:dyDescent="0.2">
      <x:c r="A50" s="2018"/>
      <x:c r="B50" s="3030"/>
      <x:c r="C50" s="3031"/>
      <x:c r="D50" s="3031"/>
      <x:c r="E50" s="3031"/>
      <x:c r="F50" s="3031"/>
      <x:c r="G50" s="3031"/>
      <x:c r="H50" s="3031"/>
      <x:c r="I50" s="3031"/>
      <x:c r="J50" s="3032"/>
      <x:c r="L50" s="1203" t="str">
        <x:f t="shared" si="1"/>
        <x:v>CP</x:v>
      </x:c>
      <x:c r="M50" s="1203" t="b">
        <x:v>0</x:v>
      </x:c>
      <x:c r="O50" s="1019" t="s">
        <x:v>1037</x:v>
      </x:c>
      <x:c r="P50" s="1020" t="s">
        <x:v>1046</x:v>
      </x:c>
      <x:c r="Q50" s="1013" t="str">
        <x:f t="shared" si="0"/>
        <x:v>[HS] - Horiz Field Splice: See Detail on J1.xx</x:v>
      </x:c>
    </x:row>
    <x:row r="51" spans="1:17" ht="15.4" customHeight="1" x14ac:dyDescent="0.2">
      <x:c r="A51" s="2019"/>
      <x:c r="B51" s="3033"/>
      <x:c r="C51" s="3034"/>
      <x:c r="D51" s="3034"/>
      <x:c r="E51" s="3034"/>
      <x:c r="F51" s="3034"/>
      <x:c r="G51" s="3034"/>
      <x:c r="H51" s="3034"/>
      <x:c r="I51" s="3034"/>
      <x:c r="J51" s="3035"/>
      <x:c r="L51" s="1203" t="str">
        <x:f t="shared" si="1"/>
        <x:v>CP</x:v>
      </x:c>
      <x:c r="M51" s="1203" t="b">
        <x:v>0</x:v>
      </x:c>
      <x:c r="O51" s="1019" t="s">
        <x:v>1038</x:v>
      </x:c>
      <x:c r="P51" s="1020" t="s">
        <x:v>1047</x:v>
      </x:c>
      <x:c r="Q51" s="1013" t="str">
        <x:f t="shared" si="0"/>
        <x:v>[VS] - Vert Field Splice: Type xx, Near Midspan</x:v>
      </x:c>
    </x:row>
    <x:row r="52" spans="1:17" ht="15.6" customHeight="1" x14ac:dyDescent="0.2">
      <x:c r="O52" s="1019" t="s">
        <x:v>1039</x:v>
      </x:c>
      <x:c r="P52" s="1020" t="s">
        <x:v>1048</x:v>
      </x:c>
      <x:c r="Q52" s="1013" t="str">
        <x:f t="shared" si="0"/>
        <x:v>[MS] - Multiple Vert Field Splices: Type xx</x:v>
      </x:c>
    </x:row>
    <x:row r="53" spans="1:17" ht="15.6" customHeight="1" x14ac:dyDescent="0.2">
      <x:c r="O53" s="1019" t="s">
        <x:v>1098</x:v>
      </x:c>
      <x:c r="P53" s="1020" t="s">
        <x:v>1099</x:v>
      </x:c>
      <x:c r="Q53" s="1013" t="str">
        <x:f t="shared" si="0"/>
        <x:v>[SpConn] - Special Connection @ (location), See Section ##</x:v>
      </x:c>
    </x:row>
    <x:row r="54" spans="1:17" ht="15.6" customHeight="1" x14ac:dyDescent="0.2">
      <x:c r="O54" s="1019" t="s">
        <x:v>1132</x:v>
      </x:c>
      <x:c r="P54" s="1020" t="s">
        <x:v>1144</x:v>
      </x:c>
      <x:c r="Q54" s="1013" t="str">
        <x:f t="shared" si="0"/>
        <x:v>[Vier] - Vierendeel Panel, ##” W x ##” H, Bottom Left Corner of Opening @ ##” From Bot/Jst, ##’-##” From L-OAL</x:v>
      </x:c>
    </x:row>
    <x:row r="55" spans="1:17" ht="15.6" customHeight="1" x14ac:dyDescent="0.2">
      <x:c r="O55" s="1019"/>
      <x:c r="P55" s="1020" t="s">
        <x:v>1100</x:v>
      </x:c>
      <x:c r="Q55" s="1013" t="str">
        <x:f t="shared" si="0"/>
        <x:v>[] - GENERAL</x:v>
      </x:c>
    </x:row>
    <x:row r="56" spans="1:17" ht="15.6" customHeight="1" x14ac:dyDescent="0.2">
      <x:c r="O56" s="1019" t="s">
        <x:v>1056</x:v>
      </x:c>
      <x:c r="P56" s="1020" t="s">
        <x:v>1057</x:v>
      </x:c>
      <x:c r="Q56" s="1013" t="str">
        <x:f t="shared" si="0"/>
        <x:v>[LRFD] - **LRFD**   **LRFD**   **LRFD**</x:v>
      </x:c>
    </x:row>
    <x:row r="57" spans="1:17" ht="15.6" customHeight="1" x14ac:dyDescent="0.2">
      <x:c r="O57" s="1019" t="s">
        <x:v>1015</x:v>
      </x:c>
      <x:c r="P57" s="1020" t="s">
        <x:v>1042</x:v>
      </x:c>
      <x:c r="Q57" s="1013" t="str">
        <x:f t="shared" si="0"/>
        <x:v>[ESFR] - #"Dia Pipes, 8" Below Top/Jst, 15" Horiz Clearance @ ##'-#,  ##'-# &amp;  ##'-# from L-OAL</x:v>
      </x:c>
    </x:row>
    <x:row r="58" spans="1:17" ht="15.6" customHeight="1" x14ac:dyDescent="0.2">
      <x:c r="O58" s="1019" t="s">
        <x:v>1127</x:v>
      </x:c>
      <x:c r="P58" s="1020" t="s">
        <x:v>1014</x:v>
      </x:c>
      <x:c r="Q58" s="1013" t="str">
        <x:f t="shared" si="0"/>
        <x:v>[Self] - Add Self-Weight to Design</x:v>
      </x:c>
    </x:row>
    <x:row r="59" spans="1:17" ht="15.6" customHeight="1" x14ac:dyDescent="0.2">
      <x:c r="A59" s="973" t="s">
        <x:v>1062</x:v>
      </x:c>
      <x:c r="O59" s="1019" t="s">
        <x:v>1051</x:v>
      </x:c>
      <x:c r="P59" s="1020" t="s">
        <x:v>1053</x:v>
      </x:c>
      <x:c r="Q59" s="1013" t="str">
        <x:f t="shared" si="0"/>
        <x:v>[SpChd] - ##"^2 Min Chord Area</x:v>
      </x:c>
    </x:row>
    <x:row r="60" spans="1:17" ht="15.6" hidden="1" customHeight="1" x14ac:dyDescent="0.2">
      <x:c r="A60" s="1128" t="s">
        <x:v>34</x:v>
      </x:c>
      <x:c r="O60" s="1019" t="s">
        <x:v>1052</x:v>
      </x:c>
      <x:c r="P60" s="1020" t="s">
        <x:v>1054</x:v>
      </x:c>
      <x:c r="Q60" s="1013" t="str">
        <x:f t="shared" si="0"/>
        <x:v>[SpWeb] - ##"^2 Min Web Area</x:v>
      </x:c>
    </x:row>
    <x:row r="61" spans="1:17" ht="15.6" hidden="1" customHeight="1" x14ac:dyDescent="0.2">
      <x:c r="A61" s="1130" t="s">
        <x:v>2003</x:v>
      </x:c>
      <x:c r="O61" s="1019" t="s">
        <x:v>1095</x:v>
      </x:c>
      <x:c r="P61" s="1020" t="s">
        <x:v>1055</x:v>
      </x:c>
      <x:c r="Q61" s="1013" t="str">
        <x:f t="shared" si="0"/>
        <x:v>[DomStl] - Domestic Steel Required (ARRA)</x:v>
      </x:c>
    </x:row>
    <x:row r="62" spans="1:17" ht="15.6" hidden="1" customHeight="1" x14ac:dyDescent="0.2">
      <x:c r="O62" s="1019" t="s">
        <x:v>1040</x:v>
      </x:c>
      <x:c r="P62" s="1020" t="s">
        <x:v>1049</x:v>
      </x:c>
      <x:c r="Q62" s="1013" t="str">
        <x:f t="shared" si="0"/>
        <x:v>[SSR] - Standing Seam Roof: TC Lateral Support @ ##" Max.</x:v>
      </x:c>
    </x:row>
    <x:row r="63" spans="1:17" ht="15.6" hidden="1" customHeight="1" x14ac:dyDescent="0.2">
      <x:c r="O63" s="1019" t="s">
        <x:v>1133</x:v>
      </x:c>
      <x:c r="P63" s="1020" t="s">
        <x:v>1139</x:v>
      </x:c>
      <x:c r="Q63" s="1013" t="str">
        <x:f t="shared" si="0"/>
        <x:v>[AlignPnls] - Align Panels of Adjacent Jsts</x:v>
      </x:c>
    </x:row>
    <x:row r="64" spans="1:17" ht="15.6" hidden="1" customHeight="1" x14ac:dyDescent="0.2">
      <x:c r="O64" s="1019" t="s">
        <x:v>1134</x:v>
      </x:c>
      <x:c r="P64" s="1020" t="s">
        <x:v>1140</x:v>
      </x:c>
      <x:c r="Q64" s="1013" t="str">
        <x:f t="shared" si="0"/>
        <x:v>[SpBund] - Special Bundling Req’d, See Attached Listing</x:v>
      </x:c>
    </x:row>
    <x:row r="65" spans="1:17" ht="15.6" customHeight="1" x14ac:dyDescent="0.2">
      <x:c r="A65" s="973" t="s">
        <x:v>1063</x:v>
      </x:c>
      <x:c r="O65" s="1019" t="s">
        <x:v>1135</x:v>
      </x:c>
      <x:c r="P65" s="1020" t="s">
        <x:v>1141</x:v>
      </x:c>
      <x:c r="Q65" s="1013" t="str">
        <x:f t="shared" si="0"/>
        <x:v>[BIM] - Building Information Modeling, Inform Dtlr When Design Completed</x:v>
      </x:c>
    </x:row>
    <x:row r="66" spans="1:17" ht="15.6" customHeight="1" x14ac:dyDescent="0.2">
      <x:c r="O66" s="1019" t="s">
        <x:v>1136</x:v>
      </x:c>
      <x:c r="P66" s="1020" t="s">
        <x:v>1142</x:v>
      </x:c>
      <x:c r="Q66" s="1013" t="str">
        <x:f t="shared" si="0"/>
        <x:v>[Calcs] - Sealed Calcs req’d for Record|Appl</x:v>
      </x:c>
    </x:row>
    <x:row r="67" spans="1:17" ht="15.6" customHeight="1" x14ac:dyDescent="0.2">
      <x:c r="O67" s="1019" t="s">
        <x:v>1137</x:v>
      </x:c>
      <x:c r="P67" s="1020" t="s">
        <x:v>1143</x:v>
      </x:c>
      <x:c r="Q67" s="1013" t="str">
        <x:f t="shared" si="0"/>
        <x:v>[Prof] - Joist|Girder Profiles Req’d</x:v>
      </x:c>
    </x:row>
    <x:row r="68" spans="1:17" ht="15.6" customHeight="1" x14ac:dyDescent="0.2">
      <x:c r="O68" s="1019" t="s">
        <x:v>1138</x:v>
      </x:c>
      <x:c r="P68" s="1020" t="s">
        <x:v>1101</x:v>
      </x:c>
      <x:c r="Q68" s="1013" t="str">
        <x:f t="shared" si="0"/>
        <x:v>[UnDef] - Special Note Here (special condition not matching pre-defined codes)</x:v>
      </x:c>
    </x:row>
    <x:row r="69" spans="1:17" ht="15.6" customHeight="1" x14ac:dyDescent="0.2">
      <x:c r="O69" s="1019"/>
      <x:c r="P69" s="1020"/>
      <x:c r="Q69" s="1013" t="str">
        <x:f t="shared" si="0"/>
        <x:v xml:space="preserve">[] - </x:v>
      </x:c>
    </x:row>
    <x:row r="70" spans="1:17" ht="15.6" customHeight="1" x14ac:dyDescent="0.2">
      <x:c r="O70" s="1019"/>
      <x:c r="P70" s="1020"/>
      <x:c r="Q70" s="1013" t="str">
        <x:f t="shared" si="0"/>
        <x:v xml:space="preserve">[] - </x:v>
      </x:c>
    </x:row>
    <x:row r="71" spans="1:17" ht="15.6" customHeight="1" x14ac:dyDescent="0.2">
      <x:c r="O71" s="1019"/>
      <x:c r="P71" s="1020"/>
      <x:c r="Q71" s="1013" t="str">
        <x:f t="shared" si="0"/>
        <x:v xml:space="preserve">[] - </x:v>
      </x:c>
    </x:row>
    <x:row r="72" spans="1:17" ht="15.6" customHeight="1" x14ac:dyDescent="0.2">
      <x:c r="O72" s="1019"/>
      <x:c r="P72" s="1020"/>
      <x:c r="Q72" s="1013" t="str">
        <x:f t="shared" si="0"/>
        <x:v xml:space="preserve">[] - </x:v>
      </x:c>
    </x:row>
    <x:row r="73" spans="1:17" ht="15.6" customHeight="1" x14ac:dyDescent="0.2">
      <x:c r="O73" s="1019"/>
      <x:c r="P73" s="1020"/>
      <x:c r="Q73" s="1013" t="str">
        <x:f t="shared" si="0"/>
        <x:v xml:space="preserve">[] - </x:v>
      </x:c>
    </x:row>
    <x:row r="74" spans="1:17" ht="15.6" customHeight="1" x14ac:dyDescent="0.2">
      <x:c r="O74" s="1019"/>
      <x:c r="P74" s="1020"/>
      <x:c r="Q74" s="1013" t="str">
        <x:f t="shared" si="0"/>
        <x:v xml:space="preserve">[] - </x:v>
      </x:c>
    </x:row>
    <x:row r="75" spans="1:17" ht="15.6" customHeight="1" x14ac:dyDescent="0.2">
      <x:c r="O75" s="1019"/>
      <x:c r="P75" s="1020"/>
      <x:c r="Q75" s="1013" t="str">
        <x:f t="shared" si="0"/>
        <x:v xml:space="preserve">[] - </x:v>
      </x:c>
    </x:row>
    <x:row r="76" spans="1:17" ht="15.6" customHeight="1" x14ac:dyDescent="0.2">
      <x:c r="O76" s="1019"/>
      <x:c r="P76" s="1020"/>
      <x:c r="Q76" s="1013" t="str">
        <x:f t="shared" si="0"/>
        <x:v xml:space="preserve">[] - </x:v>
      </x:c>
    </x:row>
    <x:row r="77" spans="1:17" ht="15.6" customHeight="1" x14ac:dyDescent="0.2">
      <x:c r="O77" s="1019"/>
      <x:c r="P77" s="1020"/>
      <x:c r="Q77" s="1013" t="str">
        <x:f t="shared" si="0"/>
        <x:v xml:space="preserve">[] - </x:v>
      </x:c>
    </x:row>
    <x:row r="78" spans="1:17" ht="15.6" customHeight="1" x14ac:dyDescent="0.2">
      <x:c r="O78" s="1019"/>
      <x:c r="P78" s="1020"/>
      <x:c r="Q78" s="1013" t="str">
        <x:f t="shared" ref="Q78:Q99" si="2">CONCATENATE("[",O78, "] - ", P78)</x:f>
        <x:v xml:space="preserve">[] - </x:v>
      </x:c>
    </x:row>
    <x:row r="79" spans="1:17" ht="15.6" customHeight="1" x14ac:dyDescent="0.2">
      <x:c r="O79" s="1019"/>
      <x:c r="P79" s="1020"/>
      <x:c r="Q79" s="1013" t="str">
        <x:f t="shared" si="2"/>
        <x:v xml:space="preserve">[] - </x:v>
      </x:c>
    </x:row>
    <x:row r="80" spans="1:17" ht="15.6" customHeight="1" x14ac:dyDescent="0.2">
      <x:c r="O80" s="1019"/>
      <x:c r="P80" s="1020"/>
      <x:c r="Q80" s="1013" t="str">
        <x:f t="shared" si="2"/>
        <x:v xml:space="preserve">[] - </x:v>
      </x:c>
    </x:row>
    <x:row r="81" spans="15:17" ht="15.6" customHeight="1" x14ac:dyDescent="0.2">
      <x:c r="O81" s="1019"/>
      <x:c r="P81" s="1020"/>
      <x:c r="Q81" s="1013" t="str">
        <x:f t="shared" si="2"/>
        <x:v xml:space="preserve">[] - </x:v>
      </x:c>
    </x:row>
    <x:row r="82" spans="15:17" ht="15.6" customHeight="1" x14ac:dyDescent="0.2">
      <x:c r="O82" s="1019"/>
      <x:c r="P82" s="1020"/>
      <x:c r="Q82" s="1013" t="str">
        <x:f t="shared" si="2"/>
        <x:v xml:space="preserve">[] - </x:v>
      </x:c>
    </x:row>
    <x:row r="83" spans="15:17" ht="15.6" customHeight="1" x14ac:dyDescent="0.2">
      <x:c r="O83" s="1019"/>
      <x:c r="P83" s="1020"/>
      <x:c r="Q83" s="1013" t="str">
        <x:f t="shared" si="2"/>
        <x:v xml:space="preserve">[] - </x:v>
      </x:c>
    </x:row>
    <x:row r="84" spans="15:17" ht="15.6" customHeight="1" x14ac:dyDescent="0.2">
      <x:c r="O84" s="1019"/>
      <x:c r="P84" s="1020"/>
      <x:c r="Q84" s="1013" t="str">
        <x:f t="shared" si="2"/>
        <x:v xml:space="preserve">[] - </x:v>
      </x:c>
    </x:row>
    <x:row r="85" spans="15:17" ht="15.6" customHeight="1" x14ac:dyDescent="0.2">
      <x:c r="O85" s="1019"/>
      <x:c r="P85" s="1020"/>
      <x:c r="Q85" s="1013" t="str">
        <x:f t="shared" si="2"/>
        <x:v xml:space="preserve">[] - </x:v>
      </x:c>
    </x:row>
    <x:row r="86" spans="15:17" ht="15.6" customHeight="1" x14ac:dyDescent="0.2">
      <x:c r="O86" s="1019"/>
      <x:c r="P86" s="1020"/>
      <x:c r="Q86" s="1013" t="str">
        <x:f t="shared" si="2"/>
        <x:v xml:space="preserve">[] - </x:v>
      </x:c>
    </x:row>
    <x:row r="87" spans="15:17" ht="15.6" customHeight="1" x14ac:dyDescent="0.2">
      <x:c r="O87" s="1019"/>
      <x:c r="P87" s="1020"/>
      <x:c r="Q87" s="1013" t="str">
        <x:f t="shared" si="2"/>
        <x:v xml:space="preserve">[] - </x:v>
      </x:c>
    </x:row>
    <x:row r="88" spans="15:17" ht="15.6" customHeight="1" x14ac:dyDescent="0.2">
      <x:c r="O88" s="1019"/>
      <x:c r="P88" s="1020"/>
      <x:c r="Q88" s="1013" t="str">
        <x:f t="shared" si="2"/>
        <x:v xml:space="preserve">[] - </x:v>
      </x:c>
    </x:row>
    <x:row r="89" spans="15:17" ht="15.6" customHeight="1" x14ac:dyDescent="0.2">
      <x:c r="O89" s="1019"/>
      <x:c r="P89" s="1020"/>
      <x:c r="Q89" s="1013" t="str">
        <x:f t="shared" si="2"/>
        <x:v xml:space="preserve">[] - </x:v>
      </x:c>
    </x:row>
    <x:row r="90" spans="15:17" ht="15.6" customHeight="1" x14ac:dyDescent="0.2">
      <x:c r="O90" s="1019"/>
      <x:c r="P90" s="1020"/>
      <x:c r="Q90" s="1013" t="str">
        <x:f t="shared" si="2"/>
        <x:v xml:space="preserve">[] - </x:v>
      </x:c>
    </x:row>
    <x:row r="91" spans="15:17" ht="15.6" customHeight="1" x14ac:dyDescent="0.2">
      <x:c r="O91" s="1019"/>
      <x:c r="P91" s="1020"/>
      <x:c r="Q91" s="1013" t="str">
        <x:f t="shared" si="2"/>
        <x:v xml:space="preserve">[] - </x:v>
      </x:c>
    </x:row>
    <x:row r="92" spans="15:17" ht="15.6" customHeight="1" x14ac:dyDescent="0.2">
      <x:c r="O92" s="1019"/>
      <x:c r="P92" s="1020"/>
      <x:c r="Q92" s="1013" t="str">
        <x:f t="shared" si="2"/>
        <x:v xml:space="preserve">[] - </x:v>
      </x:c>
    </x:row>
    <x:row r="93" spans="15:17" ht="15.6" customHeight="1" x14ac:dyDescent="0.2">
      <x:c r="O93" s="1019"/>
      <x:c r="P93" s="1020"/>
      <x:c r="Q93" s="1013" t="str">
        <x:f t="shared" si="2"/>
        <x:v xml:space="preserve">[] - </x:v>
      </x:c>
    </x:row>
    <x:row r="94" spans="15:17" ht="15.6" customHeight="1" x14ac:dyDescent="0.2">
      <x:c r="O94" s="1019"/>
      <x:c r="P94" s="1020"/>
      <x:c r="Q94" s="1013" t="str">
        <x:f t="shared" si="2"/>
        <x:v xml:space="preserve">[] - </x:v>
      </x:c>
    </x:row>
    <x:row r="95" spans="15:17" ht="15.6" customHeight="1" x14ac:dyDescent="0.2">
      <x:c r="O95" s="1019"/>
      <x:c r="P95" s="1020"/>
      <x:c r="Q95" s="1013" t="str">
        <x:f t="shared" si="2"/>
        <x:v xml:space="preserve">[] - </x:v>
      </x:c>
    </x:row>
    <x:row r="96" spans="15:17" ht="15.6" customHeight="1" x14ac:dyDescent="0.2">
      <x:c r="O96" s="1019"/>
      <x:c r="P96" s="1020"/>
      <x:c r="Q96" s="1013" t="str">
        <x:f t="shared" si="2"/>
        <x:v xml:space="preserve">[] - </x:v>
      </x:c>
    </x:row>
    <x:row r="97" spans="15:17" ht="15.6" customHeight="1" x14ac:dyDescent="0.2">
      <x:c r="O97" s="1019"/>
      <x:c r="P97" s="1020"/>
      <x:c r="Q97" s="1013" t="str">
        <x:f t="shared" si="2"/>
        <x:v xml:space="preserve">[] - </x:v>
      </x:c>
    </x:row>
    <x:row r="98" spans="15:17" ht="15.6" customHeight="1" x14ac:dyDescent="0.2">
      <x:c r="O98" s="1019"/>
      <x:c r="P98" s="1020"/>
      <x:c r="Q98" s="1013" t="str">
        <x:f t="shared" si="2"/>
        <x:v xml:space="preserve">[] - </x:v>
      </x:c>
    </x:row>
    <x:row r="99" spans="15:17" ht="15.6" customHeight="1" x14ac:dyDescent="0.2">
      <x:c r="O99" s="1021"/>
      <x:c r="P99" s="1022"/>
      <x:c r="Q99" s="1014" t="str">
        <x:f t="shared" si="2"/>
        <x:v xml:space="preserve">[] - </x:v>
      </x:c>
    </x:row>
    <x:row r="100" spans="15:17" x14ac:dyDescent="0.2">
      <x:c r="Q100" s="1010"/>
    </x:row>
  </x:sheetData>
  <x:sheetProtection algorithmName="SHA-512" hashValue="AFAmhoGW7PYXMWvsIPnDhW6eJI5S5SfgitJa84lZ5l0TQmYhFNb9k/fGPHZ2Rk4R/TMjFlUOGlwEK4/8qA4hrw==" saltValue="r5WwGZoBce7guks0gwqjnw=="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1489" priority="2" stopIfTrue="1" operator="equal">
      <x:formula>""</x:formula>
    </x:cfRule>
  </x:conditionalFormatting>
  <x:conditionalFormatting sqref="A13:J51">
    <x:cfRule type="expression" dxfId="1488" priority="1">
      <x:formula>$M13</x:formula>
    </x:cfRule>
  </x:conditionalFormatting>
  <x:dataValidations count="2">
    <x:dataValidation type="list" allowBlank="1" sqref="B13:J51">
      <x:formula1>OFFSET($Q$13,0,0,$O$10,1)</x:formula1>
    </x:dataValidation>
    <x:dataValidation type="list" allowBlank="1" showInputMessage="1" sqref="P7">
      <x:formula1>OFFSET($Q$13,0,0,$O$10,1)</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worksheet>
</file>

<file path=xl/worksheets/sheet29.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39">
    <x:tabColor indexed="44"/>
  </x:sheetPr>
  <x:dimension ref="A1:R100"/>
  <x:sheetViews>
    <x:sheetView showGridLines="0" topLeftCell="A4" zoomScaleNormal="100" zoomScaleSheetLayoutView="100" workbookViewId="0">
      <x:selection activeCell="H7" sqref="H7"/>
    </x:sheetView>
  </x:sheetViews>
  <x:sheetFormatPr defaultRowHeight="12" x14ac:dyDescent="0.2"/>
  <x:cols>
    <x:col min="1" max="1" width="10.7109375" style="295" customWidth="1"/>
    <x:col min="2" max="2" width="30.7109375" style="295" customWidth="1"/>
    <x:col min="3" max="6" width="6.42578125" style="295" customWidth="1"/>
    <x:col min="7" max="7" width="10.7109375" style="295" customWidth="1"/>
    <x:col min="8" max="8" width="6.7109375" style="295" customWidth="1"/>
    <x:col min="9" max="9" width="7.28515625" style="295" customWidth="1"/>
    <x:col min="10" max="10" width="10.7109375" style="295" customWidth="1"/>
    <x:col min="11" max="11" width="6.7109375" style="295" customWidth="1"/>
    <x:col min="12" max="13" width="5.7109375" style="295" hidden="1" customWidth="1"/>
    <x:col min="14" max="14" width="5.7109375" style="1010" hidden="1" customWidth="1"/>
    <x:col min="15" max="15" width="11.28515625" style="295" hidden="1" customWidth="1"/>
    <x:col min="16" max="16" width="68.140625" style="295" hidden="1" customWidth="1"/>
    <x:col min="17" max="17" width="135.5703125" style="295" hidden="1" customWidth="1"/>
    <x:col min="18" max="16384" width="9.140625" style="295"/>
  </x:cols>
  <x:sheetData>
    <x:row r="1" spans="1:18" s="449" customFormat="1" ht="15" customHeight="1" thickBot="1" x14ac:dyDescent="0.25">
      <x:c r="A1" s="444"/>
      <x:c r="B1" s="444"/>
      <x:c r="C1" s="444"/>
      <x:c r="D1" s="2227" t="str">
        <x:f>IF(L1="","",VLOOKUP(L1,'Job Info.'!X:AA,4,FALSE))</x:f>
        <x:v>Master</x:v>
      </x:c>
      <x:c r="E1" s="2266"/>
      <x:c r="F1" s="2266"/>
      <x:c r="G1" s="2265" t="s">
        <x:v>96</x:v>
      </x:c>
      <x:c r="H1" s="2277"/>
      <x:c r="I1" s="2259" t="str">
        <x:f ca="1">'Job Info.'!D12</x:f>
        <x:v>775-428-0600</x:v>
      </x:c>
      <x:c r="J1" s="2260"/>
      <x:c r="K1" s="578" t="s">
        <x:v>763</x:v>
      </x:c>
      <x:c r="L1" s="448" t="str">
        <x:f>'Job Info.'!Q30</x:f>
        <x:v>M</x:v>
      </x:c>
      <x:c r="M1" s="448" t="b">
        <x:f>'Job Info.'!Q32</x:f>
        <x:v>0</x:v>
      </x:c>
      <x:c r="N1" s="1008"/>
      <x:c r="R1" s="579" t="s">
        <x:v>764</x:v>
      </x:c>
    </x:row>
    <x:row r="2" spans="1:18" s="449" customFormat="1" ht="12.95" customHeight="1" thickTop="1" x14ac:dyDescent="0.2">
      <x:c r="A2" s="444"/>
      <x:c r="B2" s="444"/>
      <x:c r="C2" s="444"/>
      <x:c r="D2" s="2228" t="str">
        <x:f>IF(L1="","",IF(VLOOKUP(L1,'Job Info.'!X:Z,2,FALSE),"Released for Fabrication",""))</x:f>
        <x:v/>
      </x:c>
      <x:c r="E2" s="2267"/>
      <x:c r="F2" s="2268"/>
      <x:c r="G2" s="2265" t="s">
        <x:v>97</x:v>
      </x:c>
      <x:c r="H2" s="2265"/>
      <x:c r="I2" s="2259" t="str">
        <x:f ca="1">'Job Info.'!D13</x:f>
        <x:v>775-867-2140</x:v>
      </x:c>
      <x:c r="J2" s="2260"/>
      <x:c r="N2" s="1008"/>
    </x:row>
    <x:row r="3" spans="1:18" s="449" customFormat="1" ht="12.95" customHeight="1" x14ac:dyDescent="0.2">
      <x:c r="A3" s="444"/>
      <x:c r="B3" s="444"/>
      <x:c r="C3" s="444"/>
      <x:c r="D3" s="2269"/>
      <x:c r="E3" s="2270"/>
      <x:c r="F3" s="2271"/>
      <x:c r="G3" s="2265" t="s">
        <x:v>99</x:v>
      </x:c>
      <x:c r="H3" s="2265"/>
      <x:c r="I3" s="2259" t="str">
        <x:f ca="1">'Job Info.'!D14</x:f>
        <x:v>775-867-2169</x:v>
      </x:c>
      <x:c r="J3" s="2260"/>
      <x:c r="N3" s="1008"/>
    </x:row>
    <x:row r="4" spans="1:18" s="449" customFormat="1" ht="12.95" customHeight="1" thickBot="1" x14ac:dyDescent="0.25">
      <x:c r="A4" s="444"/>
      <x:c r="B4" s="444"/>
      <x:c r="C4" s="444"/>
      <x:c r="D4" s="2234" t="str">
        <x:f>IF(L1="","",IF(VLOOKUP(L1,'Job Info.'!X:Z,2,FALSE),VLOOKUP(L1,'Job Info.'!X:Z,3,FALSE),""))</x:f>
        <x:v/>
      </x:c>
      <x:c r="E4" s="2272"/>
      <x:c r="F4" s="2273"/>
      <x:c r="G4" s="2265" t="s">
        <x:v>98</x:v>
      </x:c>
      <x:c r="H4" s="2265"/>
      <x:c r="I4" s="2259" t="str">
        <x:f ca="1">'Job Info.'!D15</x:f>
        <x:v>775-867-2060</x:v>
      </x:c>
      <x:c r="J4" s="2260"/>
      <x:c r="N4" s="1008"/>
    </x:row>
    <x:row r="5" spans="1:18" s="449" customFormat="1" ht="12.95" customHeight="1" thickTop="1" x14ac:dyDescent="0.2">
      <x:c r="A5" s="2237" t="str">
        <x:f ca="1">'Job Info.'!D11</x:f>
        <x:v>8200 Woolery Way | Fallon, NV 89406 | www.newmill.com</x:v>
      </x:c>
      <x:c r="B5" s="2237"/>
      <x:c r="C5" s="2237"/>
      <x:c r="D5" s="2237"/>
      <x:c r="E5" s="2237"/>
      <x:c r="F5" s="2237"/>
      <x:c r="G5" s="1824"/>
      <x:c r="H5" s="444"/>
      <x:c r="I5" s="444"/>
      <x:c r="J5" s="444"/>
      <x:c r="N5" s="1008"/>
    </x:row>
    <x:row r="6" spans="1:18" s="449" customFormat="1" ht="12.95" customHeight="1" x14ac:dyDescent="0.2">
      <x:c r="A6" s="444"/>
      <x:c r="B6" s="444"/>
      <x:c r="C6" s="444"/>
      <x:c r="D6" s="444"/>
      <x:c r="E6" s="444"/>
      <x:c r="F6" s="444"/>
      <x:c r="G6" s="550" t="s">
        <x:v>20</x:v>
      </x:c>
      <x:c r="H6" s="2261">
        <x:f>IF(ISBLANK('Job Info.'!D8),"",'Job Info.'!D8)</x:f>
        <x:v>43406</x:v>
      </x:c>
      <x:c r="I6" s="2261"/>
      <x:c r="J6" s="444"/>
      <x:c r="L6" s="1392" t="s">
        <x:v>1180</x:v>
      </x:c>
      <x:c r="M6" s="979"/>
      <x:c r="N6" s="1008"/>
    </x:row>
    <x:row r="7" spans="1:18" ht="12.95" customHeight="1" x14ac:dyDescent="0.2">
      <x:c r="A7" s="472" t="s">
        <x:v>29</x:v>
      </x:c>
      <x:c r="B7" s="473"/>
      <x:c r="C7" s="473"/>
      <x:c r="D7" s="473"/>
      <x:c r="E7" s="473"/>
      <x:c r="F7" s="1023"/>
      <x:c r="G7" s="551" t="s">
        <x:v>21</x:v>
      </x:c>
      <x:c r="H7" s="1527" t="str">
        <x:f>CONCATENATE(L7, " of ",IF(ISBLANK('Job Info.'!D9),"",'Job Info.'!D9))</x:f>
        <x:v>5 of 42</x:v>
      </x:c>
      <x:c r="I7" s="822"/>
      <x:c r="J7" s="573"/>
      <x:c r="L7" s="1394">
        <x:v>5</x:v>
      </x:c>
      <x:c r="M7" s="453"/>
      <x:c r="P7" s="1009"/>
    </x:row>
    <x:row r="8" spans="1:18" ht="3.95" customHeight="1" x14ac:dyDescent="0.2">
      <x:c r="A8" s="473"/>
      <x:c r="B8" s="473"/>
      <x:c r="C8" s="473"/>
      <x:c r="D8" s="473"/>
      <x:c r="E8" s="473"/>
      <x:c r="F8" s="473"/>
      <x:c r="G8" s="473"/>
      <x:c r="H8" s="473"/>
      <x:c r="I8" s="473"/>
      <x:c r="J8" s="473"/>
    </x:row>
    <x:row r="9" spans="1:18" ht="12.6" customHeight="1" x14ac:dyDescent="0.2">
      <x:c r="A9" s="572" t="s">
        <x:v>1</x:v>
      </x:c>
      <x:c r="B9" s="2225" t="str">
        <x:f>IF(ISBLANK('Job Info.'!D3),"",'Job Info.'!D3)</x:f>
        <x:v>SUNPOINT CROSSING</x:v>
      </x:c>
      <x:c r="C9" s="2225"/>
      <x:c r="D9" s="2226"/>
      <x:c r="E9" s="574"/>
      <x:c r="F9" s="575" t="s">
        <x:v>2</x:v>
      </x:c>
      <x:c r="G9" s="2225" t="str">
        <x:f>IF(ISBLANK('Job Info.'!D5),"",'Job Info.'!D5)</x:f>
        <x:v>9118-0062</x:v>
      </x:c>
      <x:c r="H9" s="2225"/>
      <x:c r="I9" s="2225"/>
      <x:c r="J9" s="2226"/>
      <x:c r="L9" s="453"/>
    </x:row>
    <x:row r="10" spans="1:18" ht="12.6" customHeight="1" x14ac:dyDescent="0.2">
      <x:c r="A10" s="572" t="s">
        <x:v>3</x:v>
      </x:c>
      <x:c r="B10" s="2225" t="str">
        <x:f>IF(ISBLANK('Job Info.'!D4),"",'Job Info.'!D4)</x:f>
        <x:v>LAS VEGAS, NV</x:v>
      </x:c>
      <x:c r="C10" s="2225"/>
      <x:c r="D10" s="2226"/>
      <x:c r="E10" s="567"/>
      <x:c r="F10" s="572" t="s">
        <x:v>22</x:v>
      </x:c>
      <x:c r="G10" s="1823" t="str">
        <x:f>IF(ISBLANK('Job Info.'!D6),"",'Job Info.'!D6)</x:f>
        <x:v>CJA</x:v>
      </x:c>
      <x:c r="H10" s="286"/>
      <x:c r="I10" s="575" t="s">
        <x:v>23</x:v>
      </x:c>
      <x:c r="J10" s="1823" t="str">
        <x:f>IF(ISBLANK('Job Info.'!D7),"",'Job Info.'!D7)</x:f>
        <x:v>LS</x:v>
      </x:c>
      <x:c r="L10" s="1201" t="s">
        <x:v>1016</x:v>
      </x:c>
      <x:c r="M10" s="1201" t="s">
        <x:v>171</x:v>
      </x:c>
      <x:c r="O10" s="295">
        <x:f>COUNTA(P13:P99)</x:f>
        <x:v>56</x:v>
      </x:c>
      <x:c r="Q10" s="1010"/>
    </x:row>
    <x:row r="11" spans="1:18" ht="3.95" customHeight="1" x14ac:dyDescent="0.2">
      <x:c r="A11" s="1396"/>
      <x:c r="B11" s="473"/>
      <x:c r="C11" s="473"/>
      <x:c r="D11" s="473"/>
      <x:c r="E11" s="473"/>
      <x:c r="F11" s="473"/>
      <x:c r="G11" s="473"/>
      <x:c r="H11" s="473"/>
      <x:c r="I11" s="473"/>
      <x:c r="J11" s="473"/>
      <x:c r="Q11" s="1010"/>
    </x:row>
    <x:row r="12" spans="1:18" s="570" customFormat="1" ht="15.4" customHeight="1" thickBot="1" x14ac:dyDescent="0.25">
      <x:c r="A12" s="1821" t="s">
        <x:v>30</x:v>
      </x:c>
      <x:c r="B12" s="2262" t="s">
        <x:v>15</x:v>
      </x:c>
      <x:c r="C12" s="2263"/>
      <x:c r="D12" s="2263"/>
      <x:c r="E12" s="2263"/>
      <x:c r="F12" s="2263"/>
      <x:c r="G12" s="2263"/>
      <x:c r="H12" s="2263"/>
      <x:c r="I12" s="2263"/>
      <x:c r="J12" s="2264"/>
      <x:c r="O12" s="1015" t="s">
        <x:v>1006</x:v>
      </x:c>
      <x:c r="P12" s="1016" t="s">
        <x:v>1007</x:v>
      </x:c>
      <x:c r="Q12" s="1011" t="s">
        <x:v>1011</x:v>
      </x:c>
    </x:row>
    <x:row r="13" spans="1:18" ht="15.4" customHeight="1" thickTop="1" x14ac:dyDescent="0.2">
      <x:c r="A13" s="2017" t="s">
        <x:v>1859</x:v>
      </x:c>
      <x:c r="B13" s="3036" t="s">
        <x:v>1860</x:v>
      </x:c>
      <x:c r="C13" s="3037"/>
      <x:c r="D13" s="3037"/>
      <x:c r="E13" s="3037"/>
      <x:c r="F13" s="3037"/>
      <x:c r="G13" s="3037"/>
      <x:c r="H13" s="3037"/>
      <x:c r="I13" s="3037"/>
      <x:c r="J13" s="3038"/>
      <x:c r="L13" s="1203" t="str">
        <x:f>IF(ISBLANK(A13),"",A13)</x:f>
        <x:v>CQ</x:v>
      </x:c>
      <x:c r="M13" s="1203" t="b">
        <x:v>0</x:v>
      </x:c>
      <x:c r="O13" s="1017"/>
      <x:c r="P13" s="1018" t="s">
        <x:v>1065</x:v>
      </x:c>
      <x:c r="Q13" s="1012" t="str">
        <x:f>CONCATENATE("[",O13, "] - ", P13)</x:f>
        <x:v>[] - SHAPES</x:v>
      </x:c>
    </x:row>
    <x:row r="14" spans="1:18" ht="15.4" customHeight="1" x14ac:dyDescent="0.2">
      <x:c r="A14" s="2018" t="s">
        <x:v>1861</x:v>
      </x:c>
      <x:c r="B14" s="3030" t="s">
        <x:v>1862</x:v>
      </x:c>
      <x:c r="C14" s="3031"/>
      <x:c r="D14" s="3031"/>
      <x:c r="E14" s="3031"/>
      <x:c r="F14" s="3031"/>
      <x:c r="G14" s="3031"/>
      <x:c r="H14" s="3031"/>
      <x:c r="I14" s="3031"/>
      <x:c r="J14" s="3032"/>
      <x:c r="L14" s="1203" t="str">
        <x:f>IF(ISBLANK(A14),L13,A14)</x:f>
        <x:v>CR</x:v>
      </x:c>
      <x:c r="M14" s="1203" t="b">
        <x:v>0</x:v>
      </x:c>
      <x:c r="O14" s="1019" t="s">
        <x:v>1008</x:v>
      </x:c>
      <x:c r="P14" s="1020" t="s">
        <x:v>1066</x:v>
      </x:c>
      <x:c r="Q14" s="1013" t="str">
        <x:f t="shared" ref="Q14:Q77" si="0">CONCATENATE("[",O14, "] - ", P14)</x:f>
        <x:v>[SP] - Single Pitch: (Ctr Depth=Designation) ##" Depth @ LBL, ##" Depth @ RBL</x:v>
      </x:c>
    </x:row>
    <x:row r="15" spans="1:18" ht="15.4" customHeight="1" x14ac:dyDescent="0.2">
      <x:c r="A15" s="2018" t="s">
        <x:v>1863</x:v>
      </x:c>
      <x:c r="B15" s="3030" t="s">
        <x:v>1864</x:v>
      </x:c>
      <x:c r="C15" s="3031"/>
      <x:c r="D15" s="3031"/>
      <x:c r="E15" s="3031"/>
      <x:c r="F15" s="3031"/>
      <x:c r="G15" s="3031"/>
      <x:c r="H15" s="3031"/>
      <x:c r="I15" s="3031"/>
      <x:c r="J15" s="3032"/>
      <x:c r="L15" s="1203" t="str">
        <x:f t="shared" ref="L15:L51" si="1">IF(ISBLANK(A15),L14,A15)</x:f>
        <x:v>CS</x:v>
      </x:c>
      <x:c r="M15" s="1203" t="b">
        <x:v>0</x:v>
      </x:c>
      <x:c r="O15" s="1019" t="s">
        <x:v>1009</x:v>
      </x:c>
      <x:c r="P15" s="1020" t="s">
        <x:v>1067</x:v>
      </x:c>
      <x:c r="Q15" s="1013" t="str">
        <x:f t="shared" si="0"/>
        <x:v>[DP] - Double Pitch: Ridge @ ##’-## From LBL (Depth=Designation), ##" Depth @ LBL, ##" Depth @ RBL</x:v>
      </x:c>
    </x:row>
    <x:row r="16" spans="1:18" ht="15.4" customHeight="1" x14ac:dyDescent="0.2">
      <x:c r="A16" s="2018" t="s">
        <x:v>1865</x:v>
      </x:c>
      <x:c r="B16" s="3030" t="s">
        <x:v>1866</x:v>
      </x:c>
      <x:c r="C16" s="3031"/>
      <x:c r="D16" s="3031"/>
      <x:c r="E16" s="3031"/>
      <x:c r="F16" s="3031"/>
      <x:c r="G16" s="3031"/>
      <x:c r="H16" s="3031"/>
      <x:c r="I16" s="3031"/>
      <x:c r="J16" s="3032"/>
      <x:c r="L16" s="1203" t="str">
        <x:f t="shared" si="1"/>
        <x:v>CT</x:v>
      </x:c>
      <x:c r="M16" s="1203" t="b">
        <x:v>0</x:v>
      </x:c>
      <x:c r="O16" s="1019" t="s">
        <x:v>1010</x:v>
      </x:c>
      <x:c r="P16" s="1020" t="s">
        <x:v>1068</x:v>
      </x:c>
      <x:c r="Q16" s="1013" t="str">
        <x:f t="shared" si="0"/>
        <x:v>[TP] - Triple Pitch: Ridge Left @ ##’-## From LBL (Depth=Designation), ##" Depth @ LBL, ##" Depth @ RBL, Ridge Right @ ##'-## From LBL</x:v>
      </x:c>
    </x:row>
    <x:row r="17" spans="1:17" ht="15.4" customHeight="1" x14ac:dyDescent="0.2">
      <x:c r="A17" s="2018" t="s">
        <x:v>1867</x:v>
      </x:c>
      <x:c r="B17" s="3030" t="s">
        <x:v>1868</x:v>
      </x:c>
      <x:c r="C17" s="3031"/>
      <x:c r="D17" s="3031"/>
      <x:c r="E17" s="3031"/>
      <x:c r="F17" s="3031"/>
      <x:c r="G17" s="3031"/>
      <x:c r="H17" s="3031"/>
      <x:c r="I17" s="3031"/>
      <x:c r="J17" s="3032"/>
      <x:c r="L17" s="1203" t="str">
        <x:f t="shared" si="1"/>
        <x:v>CU</x:v>
      </x:c>
      <x:c r="M17" s="1203" t="b">
        <x:v>0</x:v>
      </x:c>
      <x:c r="O17" s="1019" t="s">
        <x:v>1034</x:v>
      </x:c>
      <x:c r="P17" s="1020" t="s">
        <x:v>1069</x:v>
      </x:c>
      <x:c r="Q17" s="1013" t="str">
        <x:f t="shared" si="0"/>
        <x:v>[AC] - Arched Chords: (Depth=Designation) ##" TC Radius</x:v>
      </x:c>
    </x:row>
    <x:row r="18" spans="1:17" ht="15.4" customHeight="1" x14ac:dyDescent="0.2">
      <x:c r="A18" s="2018" t="s">
        <x:v>1869</x:v>
      </x:c>
      <x:c r="B18" s="3030" t="s">
        <x:v>1798</x:v>
      </x:c>
      <x:c r="C18" s="3031"/>
      <x:c r="D18" s="3031"/>
      <x:c r="E18" s="3031"/>
      <x:c r="F18" s="3031"/>
      <x:c r="G18" s="3031"/>
      <x:c r="H18" s="3031"/>
      <x:c r="I18" s="3031"/>
      <x:c r="J18" s="3032"/>
      <x:c r="L18" s="1203" t="str">
        <x:f t="shared" si="1"/>
        <x:v>CV</x:v>
      </x:c>
      <x:c r="M18" s="1203" t="b">
        <x:v>0</x:v>
      </x:c>
      <x:c r="O18" s="1019" t="s">
        <x:v>1035</x:v>
      </x:c>
      <x:c r="P18" s="1020" t="s">
        <x:v>1070</x:v>
      </x:c>
      <x:c r="Q18" s="1013" t="str">
        <x:f t="shared" si="0"/>
        <x:v>[BW] - Bowstring: Ridge @ ##’-## From LBL (Depth=Designation), ##" Depth @ LBL, ##" TC Radius</x:v>
      </x:c>
    </x:row>
    <x:row r="19" spans="1:17" ht="15.4" customHeight="1" x14ac:dyDescent="0.2">
      <x:c r="A19" s="2018" t="s">
        <x:v>1870</x:v>
      </x:c>
      <x:c r="B19" s="3030" t="s">
        <x:v>1871</x:v>
      </x:c>
      <x:c r="C19" s="3031"/>
      <x:c r="D19" s="3031"/>
      <x:c r="E19" s="3031"/>
      <x:c r="F19" s="3031"/>
      <x:c r="G19" s="3031"/>
      <x:c r="H19" s="3031"/>
      <x:c r="I19" s="3031"/>
      <x:c r="J19" s="3032"/>
      <x:c r="L19" s="1203" t="str">
        <x:f t="shared" si="1"/>
        <x:v>CW</x:v>
      </x:c>
      <x:c r="M19" s="1203" t="b">
        <x:v>0</x:v>
      </x:c>
      <x:c r="O19" s="1019" t="s">
        <x:v>1036</x:v>
      </x:c>
      <x:c r="P19" s="1020" t="s">
        <x:v>1119</x:v>
      </x:c>
      <x:c r="Q19" s="1013" t="str">
        <x:f t="shared" si="0"/>
        <x:v>[SC] - Scissor: Ridge @ ##’-## From LBL (Vert Depth=Designation), BC Rise ##” @ Ridge From LBL, ##" Vert Depth @ LBL, ##" Vert Depth @ RBL, ##" BC Elev difference @ RBL</x:v>
      </x:c>
    </x:row>
    <x:row r="20" spans="1:17" ht="15.4" customHeight="1" x14ac:dyDescent="0.2">
      <x:c r="A20" s="2018" t="s">
        <x:v>1872</x:v>
      </x:c>
      <x:c r="B20" s="3030" t="s">
        <x:v>1804</x:v>
      </x:c>
      <x:c r="C20" s="3031"/>
      <x:c r="D20" s="3031"/>
      <x:c r="E20" s="3031"/>
      <x:c r="F20" s="3031"/>
      <x:c r="G20" s="3031"/>
      <x:c r="H20" s="3031"/>
      <x:c r="I20" s="3031"/>
      <x:c r="J20" s="3032"/>
      <x:c r="L20" s="1203" t="str">
        <x:f t="shared" si="1"/>
        <x:v>CX</x:v>
      </x:c>
      <x:c r="M20" s="1203" t="b">
        <x:v>0</x:v>
      </x:c>
      <x:c r="O20" s="1019"/>
      <x:c r="P20" s="1020" t="s">
        <x:v>1071</x:v>
      </x:c>
      <x:c r="Q20" s="1013" t="str">
        <x:f t="shared" si="0"/>
        <x:v>[] - DEFLECTION</x:v>
      </x:c>
    </x:row>
    <x:row r="21" spans="1:17" ht="15.4" customHeight="1" x14ac:dyDescent="0.2">
      <x:c r="A21" s="2018" t="s">
        <x:v>1873</x:v>
      </x:c>
      <x:c r="B21" s="3039" t="s">
        <x:v>1874</x:v>
      </x:c>
      <x:c r="C21" s="3040"/>
      <x:c r="D21" s="3040"/>
      <x:c r="E21" s="3040"/>
      <x:c r="F21" s="3040"/>
      <x:c r="G21" s="3040"/>
      <x:c r="H21" s="3040"/>
      <x:c r="I21" s="3040"/>
      <x:c r="J21" s="3041"/>
      <x:c r="L21" s="1203" t="str">
        <x:f t="shared" si="1"/>
        <x:v>CY</x:v>
      </x:c>
      <x:c r="M21" s="1203" t="b">
        <x:v>0</x:v>
      </x:c>
      <x:c r="O21" s="1019" t="s">
        <x:v>1029</x:v>
      </x:c>
      <x:c r="P21" s="1020" t="s">
        <x:v>1072</x:v>
      </x:c>
      <x:c r="Q21" s="1013" t="str">
        <x:f t="shared" si="0"/>
        <x:v>[DefLL] - LL Deflection = L/###|Deflection=L/### Due To ### PLF LL|LL Deflection=L/### (LL/TL Ratio = ##%)</x:v>
      </x:c>
    </x:row>
    <x:row r="22" spans="1:17" ht="15.4" customHeight="1" x14ac:dyDescent="0.2">
      <x:c r="A22" s="2018" t="s">
        <x:v>157</x:v>
      </x:c>
      <x:c r="B22" s="3030" t="s">
        <x:v>1875</x:v>
      </x:c>
      <x:c r="C22" s="3031"/>
      <x:c r="D22" s="3031"/>
      <x:c r="E22" s="3031"/>
      <x:c r="F22" s="3031"/>
      <x:c r="G22" s="3031"/>
      <x:c r="H22" s="3031"/>
      <x:c r="I22" s="3031"/>
      <x:c r="J22" s="3032"/>
      <x:c r="L22" s="1203" t="str">
        <x:f t="shared" si="1"/>
        <x:v>CZ</x:v>
      </x:c>
      <x:c r="M22" s="1203" t="b">
        <x:v>0</x:v>
      </x:c>
      <x:c r="O22" s="1019" t="s">
        <x:v>1030</x:v>
      </x:c>
      <x:c r="P22" s="1020" t="s">
        <x:v>1073</x:v>
      </x:c>
      <x:c r="Q22" s="1013" t="str">
        <x:f t="shared" si="0"/>
        <x:v>[DefTL] - TL Deflection = L/###, Ck Std Camber Satisfies DL Def</x:v>
      </x:c>
    </x:row>
    <x:row r="23" spans="1:17" ht="15.4" customHeight="1" x14ac:dyDescent="0.2">
      <x:c r="A23" s="2018" t="s">
        <x:v>1876</x:v>
      </x:c>
      <x:c r="B23" s="3036" t="s">
        <x:v>1877</x:v>
      </x:c>
      <x:c r="C23" s="3037"/>
      <x:c r="D23" s="3037"/>
      <x:c r="E23" s="3037"/>
      <x:c r="F23" s="3037"/>
      <x:c r="G23" s="3037"/>
      <x:c r="H23" s="3037"/>
      <x:c r="I23" s="3037"/>
      <x:c r="J23" s="3038"/>
      <x:c r="L23" s="1203" t="str">
        <x:f t="shared" si="1"/>
        <x:v>DA</x:v>
      </x:c>
      <x:c r="M23" s="1203" t="b">
        <x:v>0</x:v>
      </x:c>
      <x:c r="O23" s="1019" t="s">
        <x:v>1031</x:v>
      </x:c>
      <x:c r="P23" s="1020" t="s">
        <x:v>1075</x:v>
      </x:c>
      <x:c r="Q23" s="1013" t="str">
        <x:f t="shared" si="0"/>
        <x:v>[DefTCX] - TCXL|TCXR Deflection = ##" Max Due To ### PLF LL|DL|TL</x:v>
      </x:c>
    </x:row>
    <x:row r="24" spans="1:17" ht="15.4" customHeight="1" x14ac:dyDescent="0.2">
      <x:c r="A24" s="2018" t="s">
        <x:v>1878</x:v>
      </x:c>
      <x:c r="B24" s="3030" t="s">
        <x:v>1879</x:v>
      </x:c>
      <x:c r="C24" s="3031"/>
      <x:c r="D24" s="3031"/>
      <x:c r="E24" s="3031"/>
      <x:c r="F24" s="3031"/>
      <x:c r="G24" s="3031"/>
      <x:c r="H24" s="3031"/>
      <x:c r="I24" s="3031"/>
      <x:c r="J24" s="3032"/>
      <x:c r="L24" s="1203" t="str">
        <x:f t="shared" si="1"/>
        <x:v>DB</x:v>
      </x:c>
      <x:c r="M24" s="1203" t="b">
        <x:v>0</x:v>
      </x:c>
      <x:c r="O24" s="1019" t="s">
        <x:v>1032</x:v>
      </x:c>
      <x:c r="P24" s="1020" t="s">
        <x:v>1074</x:v>
      </x:c>
      <x:c r="Q24" s="1013" t="str">
        <x:f t="shared" si="0"/>
        <x:v>[DefSP] - Special Deflection = ##" Max Due To ### PLF LL|DL|TL</x:v>
      </x:c>
    </x:row>
    <x:row r="25" spans="1:17" ht="15.4" customHeight="1" x14ac:dyDescent="0.2">
      <x:c r="A25" s="2018" t="s">
        <x:v>1880</x:v>
      </x:c>
      <x:c r="B25" s="3030" t="s">
        <x:v>1881</x:v>
      </x:c>
      <x:c r="C25" s="3031"/>
      <x:c r="D25" s="3031"/>
      <x:c r="E25" s="3031"/>
      <x:c r="F25" s="3031"/>
      <x:c r="G25" s="3031"/>
      <x:c r="H25" s="3031"/>
      <x:c r="I25" s="3031"/>
      <x:c r="J25" s="3032"/>
      <x:c r="L25" s="1203" t="str">
        <x:f t="shared" si="1"/>
        <x:v>DC</x:v>
      </x:c>
      <x:c r="M25" s="1203" t="b">
        <x:v>0</x:v>
      </x:c>
      <x:c r="O25" s="1019"/>
      <x:c r="P25" s="1020" t="s">
        <x:v>1076</x:v>
      </x:c>
      <x:c r="Q25" s="1013" t="str">
        <x:f t="shared" si="0"/>
        <x:v>[] - BEARING SEATS</x:v>
      </x:c>
    </x:row>
    <x:row r="26" spans="1:17" ht="15.4" customHeight="1" x14ac:dyDescent="0.2">
      <x:c r="A26" s="2018" t="s">
        <x:v>1882</x:v>
      </x:c>
      <x:c r="B26" s="3030" t="s">
        <x:v>1883</x:v>
      </x:c>
      <x:c r="C26" s="3031"/>
      <x:c r="D26" s="3031"/>
      <x:c r="E26" s="3031"/>
      <x:c r="F26" s="3031"/>
      <x:c r="G26" s="3031"/>
      <x:c r="H26" s="3031"/>
      <x:c r="I26" s="3031"/>
      <x:c r="J26" s="3032"/>
      <x:c r="L26" s="1203" t="str">
        <x:f t="shared" si="1"/>
        <x:v>DD</x:v>
      </x:c>
      <x:c r="M26" s="1203" t="b">
        <x:v>0</x:v>
      </x:c>
      <x:c r="O26" s="1019" t="s">
        <x:v>1120</x:v>
      </x:c>
      <x:c r="P26" s="1020" t="s">
        <x:v>1121</x:v>
      </x:c>
      <x:c r="Q26" s="1013" t="str">
        <x:f t="shared" si="0"/>
        <x:v>[ShrtBrg] - Short Bearing = #” @ LE|RE|BE</x:v>
      </x:c>
    </x:row>
    <x:row r="27" spans="1:17" ht="15.4" customHeight="1" x14ac:dyDescent="0.2">
      <x:c r="A27" s="2018" t="s">
        <x:v>1884</x:v>
      </x:c>
      <x:c r="B27" s="3030" t="s">
        <x:v>1885</x:v>
      </x:c>
      <x:c r="C27" s="3031"/>
      <x:c r="D27" s="3031"/>
      <x:c r="E27" s="3031"/>
      <x:c r="F27" s="3031"/>
      <x:c r="G27" s="3031"/>
      <x:c r="H27" s="3031"/>
      <x:c r="I27" s="3031"/>
      <x:c r="J27" s="3032"/>
      <x:c r="L27" s="1203" t="str">
        <x:f t="shared" si="1"/>
        <x:v>DE</x:v>
      </x:c>
      <x:c r="M27" s="1203" t="b">
        <x:v>0</x:v>
      </x:c>
      <x:c r="O27" s="1019" t="s">
        <x:v>1023</x:v>
      </x:c>
      <x:c r="P27" s="1020" t="s">
        <x:v>1077</x:v>
      </x:c>
      <x:c r="Q27" s="1013" t="str">
        <x:f t="shared" si="0"/>
        <x:v>[TCXMax] - Max Depth of TCXL|TCXR = ##"</x:v>
      </x:c>
    </x:row>
    <x:row r="28" spans="1:17" ht="15.4" customHeight="1" x14ac:dyDescent="0.2">
      <x:c r="A28" s="2018" t="s">
        <x:v>1886</x:v>
      </x:c>
      <x:c r="B28" s="3030" t="s">
        <x:v>1887</x:v>
      </x:c>
      <x:c r="C28" s="3031"/>
      <x:c r="D28" s="3031"/>
      <x:c r="E28" s="3031"/>
      <x:c r="F28" s="3031"/>
      <x:c r="G28" s="3031"/>
      <x:c r="H28" s="3031"/>
      <x:c r="I28" s="3031"/>
      <x:c r="J28" s="3032"/>
      <x:c r="L28" s="1203" t="str">
        <x:f t="shared" si="1"/>
        <x:v>DF</x:v>
      </x:c>
      <x:c r="M28" s="1203" t="b">
        <x:v>0</x:v>
      </x:c>
      <x:c r="O28" s="1019" t="s">
        <x:v>1017</x:v>
      </x:c>
      <x:c r="P28" s="1020" t="s">
        <x:v>1122</x:v>
      </x:c>
      <x:c r="Q28" s="1013" t="str">
        <x:f t="shared" si="0"/>
        <x:v>[TCXSup] - TCXL|TCXR Supported @ End</x:v>
      </x:c>
    </x:row>
    <x:row r="29" spans="1:17" ht="15.4" customHeight="1" x14ac:dyDescent="0.2">
      <x:c r="A29" s="2018" t="s">
        <x:v>1888</x:v>
      </x:c>
      <x:c r="B29" s="3030" t="s">
        <x:v>1889</x:v>
      </x:c>
      <x:c r="C29" s="3031"/>
      <x:c r="D29" s="3031"/>
      <x:c r="E29" s="3031"/>
      <x:c r="F29" s="3031"/>
      <x:c r="G29" s="3031"/>
      <x:c r="H29" s="3031"/>
      <x:c r="I29" s="3031"/>
      <x:c r="J29" s="3032"/>
      <x:c r="L29" s="1203" t="str">
        <x:f t="shared" si="1"/>
        <x:v>DG</x:v>
      </x:c>
      <x:c r="M29" s="1203" t="b">
        <x:v>0</x:v>
      </x:c>
      <x:c r="O29" s="1019" t="s">
        <x:v>1079</x:v>
      </x:c>
      <x:c r="P29" s="1020" t="s">
        <x:v>1123</x:v>
      </x:c>
      <x:c r="Q29" s="1013" t="str">
        <x:f t="shared" si="0"/>
        <x:v>[Rein] - Reinforce Seats @ LE|RE|BE for Axial Load Transfer</x:v>
      </x:c>
    </x:row>
    <x:row r="30" spans="1:17" ht="15.4" customHeight="1" x14ac:dyDescent="0.2">
      <x:c r="A30" s="2018" t="s">
        <x:v>1890</x:v>
      </x:c>
      <x:c r="B30" s="3030" t="s">
        <x:v>1891</x:v>
      </x:c>
      <x:c r="C30" s="3031"/>
      <x:c r="D30" s="3031"/>
      <x:c r="E30" s="3031"/>
      <x:c r="F30" s="3031"/>
      <x:c r="G30" s="3031"/>
      <x:c r="H30" s="3031"/>
      <x:c r="I30" s="3031"/>
      <x:c r="J30" s="3032"/>
      <x:c r="L30" s="1203" t="str">
        <x:f t="shared" si="1"/>
        <x:v>DH</x:v>
      </x:c>
      <x:c r="M30" s="1203" t="b">
        <x:v>0</x:v>
      </x:c>
      <x:c r="O30" s="1019" t="s">
        <x:v>1078</x:v>
      </x:c>
      <x:c r="P30" s="1020" t="s">
        <x:v>1080</x:v>
      </x:c>
      <x:c r="Q30" s="1013" t="str">
        <x:f t="shared" si="0"/>
        <x:v>[NoRein] - Tie Pl Provided for Load Transfer, No Rein Req’d</x:v>
      </x:c>
    </x:row>
    <x:row r="31" spans="1:17" ht="15.4" customHeight="1" x14ac:dyDescent="0.2">
      <x:c r="A31" s="2018" t="s">
        <x:v>1892</x:v>
      </x:c>
      <x:c r="B31" s="3030" t="s">
        <x:v>1893</x:v>
      </x:c>
      <x:c r="C31" s="3031"/>
      <x:c r="D31" s="3031"/>
      <x:c r="E31" s="3031"/>
      <x:c r="F31" s="3031"/>
      <x:c r="G31" s="3031"/>
      <x:c r="H31" s="3031"/>
      <x:c r="I31" s="3031"/>
      <x:c r="J31" s="3032"/>
      <x:c r="L31" s="1203" t="str">
        <x:f t="shared" si="1"/>
        <x:v>DI</x:v>
      </x:c>
      <x:c r="M31" s="1203" t="b">
        <x:v>0</x:v>
      </x:c>
      <x:c r="O31" s="1019" t="s">
        <x:v>1081</x:v>
      </x:c>
      <x:c r="P31" s="1020" t="s">
        <x:v>1083</x:v>
      </x:c>
      <x:c r="Q31" s="1013" t="str">
        <x:f t="shared" si="0"/>
        <x:v>[KnifePL] - Knife Pl Provided for Load Transfer, TC/Seat Gap Clear for 1st ##” @ LE|RE|BE</x:v>
      </x:c>
    </x:row>
    <x:row r="32" spans="1:17" ht="15.4" customHeight="1" x14ac:dyDescent="0.2">
      <x:c r="A32" s="2018" t="s">
        <x:v>1894</x:v>
      </x:c>
      <x:c r="B32" s="3030" t="s">
        <x:v>1895</x:v>
      </x:c>
      <x:c r="C32" s="3031"/>
      <x:c r="D32" s="3031"/>
      <x:c r="E32" s="3031"/>
      <x:c r="F32" s="3031"/>
      <x:c r="G32" s="3031"/>
      <x:c r="H32" s="3031"/>
      <x:c r="I32" s="3031"/>
      <x:c r="J32" s="3032"/>
      <x:c r="L32" s="1203" t="str">
        <x:f t="shared" si="1"/>
        <x:v>DJ</x:v>
      </x:c>
      <x:c r="M32" s="1203" t="b">
        <x:v>0</x:v>
      </x:c>
      <x:c r="O32" s="1019" t="s">
        <x:v>1082</x:v>
      </x:c>
      <x:c r="P32" s="1020" t="s">
        <x:v>1084</x:v>
      </x:c>
      <x:c r="Q32" s="1013" t="str">
        <x:f t="shared" si="0"/>
        <x:v>[KickLd] - Axial Load Due To Kicker, No Rein Req’d</x:v>
      </x:c>
    </x:row>
    <x:row r="33" spans="1:17" ht="15.4" customHeight="1" x14ac:dyDescent="0.2">
      <x:c r="A33" s="2018" t="s">
        <x:v>1896</x:v>
      </x:c>
      <x:c r="B33" s="3030" t="s">
        <x:v>1897</x:v>
      </x:c>
      <x:c r="C33" s="3031"/>
      <x:c r="D33" s="3031"/>
      <x:c r="E33" s="3031"/>
      <x:c r="F33" s="3031"/>
      <x:c r="G33" s="3031"/>
      <x:c r="H33" s="3031"/>
      <x:c r="I33" s="3031"/>
      <x:c r="J33" s="3032"/>
      <x:c r="L33" s="1203" t="str">
        <x:f t="shared" si="1"/>
        <x:v>DK</x:v>
      </x:c>
      <x:c r="M33" s="1203" t="b">
        <x:v>0</x:v>
      </x:c>
      <x:c r="O33" s="1019" t="s">
        <x:v>1085</x:v>
      </x:c>
      <x:c r="P33" s="1020" t="s">
        <x:v>1086</x:v>
      </x:c>
      <x:c r="Q33" s="1013" t="str">
        <x:f t="shared" si="0"/>
        <x:v>[Roll] - Seat Rollover Force = ##Kips @ LE|RE|BE</x:v>
      </x:c>
    </x:row>
    <x:row r="34" spans="1:17" ht="15.4" customHeight="1" x14ac:dyDescent="0.2">
      <x:c r="A34" s="2018" t="s">
        <x:v>163</x:v>
      </x:c>
      <x:c r="B34" s="3030" t="s">
        <x:v>1898</x:v>
      </x:c>
      <x:c r="C34" s="3031"/>
      <x:c r="D34" s="3031"/>
      <x:c r="E34" s="3031"/>
      <x:c r="F34" s="3031"/>
      <x:c r="G34" s="3031"/>
      <x:c r="H34" s="3031"/>
      <x:c r="I34" s="3031"/>
      <x:c r="J34" s="3032"/>
      <x:c r="L34" s="1203" t="str">
        <x:f t="shared" si="1"/>
        <x:v>DL</x:v>
      </x:c>
      <x:c r="M34" s="1203" t="b">
        <x:v>0</x:v>
      </x:c>
      <x:c r="O34" s="1019" t="s">
        <x:v>1044</x:v>
      </x:c>
      <x:c r="P34" s="1020" t="s">
        <x:v>1045</x:v>
      </x:c>
      <x:c r="Q34" s="1013" t="str">
        <x:f t="shared" si="0"/>
        <x:v>[ClrBrg] - Min Clear Bearing = #" @ LE(RE)(BE)</x:v>
      </x:c>
    </x:row>
    <x:row r="35" spans="1:17" ht="15.4" customHeight="1" x14ac:dyDescent="0.2">
      <x:c r="A35" s="2018" t="s">
        <x:v>1899</x:v>
      </x:c>
      <x:c r="B35" s="3030" t="s">
        <x:v>1900</x:v>
      </x:c>
      <x:c r="C35" s="3031"/>
      <x:c r="D35" s="3031"/>
      <x:c r="E35" s="3031"/>
      <x:c r="F35" s="3031"/>
      <x:c r="G35" s="3031"/>
      <x:c r="H35" s="3031"/>
      <x:c r="I35" s="3031"/>
      <x:c r="J35" s="3032"/>
      <x:c r="L35" s="1203" t="str">
        <x:f t="shared" si="1"/>
        <x:v>DM</x:v>
      </x:c>
      <x:c r="M35" s="1203" t="b">
        <x:v>0</x:v>
      </x:c>
      <x:c r="O35" s="1019" t="s">
        <x:v>1124</x:v>
      </x:c>
      <x:c r="P35" s="1020" t="s">
        <x:v>1033</x:v>
      </x:c>
      <x:c r="Q35" s="1013" t="str">
        <x:f t="shared" si="0"/>
        <x:v>[Skew] - ##º Half(Full)-Skew, NS(FS), LE(RE)</x:v>
      </x:c>
    </x:row>
    <x:row r="36" spans="1:17" ht="15.4" customHeight="1" x14ac:dyDescent="0.2">
      <x:c r="A36" s="2018" t="s">
        <x:v>1901</x:v>
      </x:c>
      <x:c r="B36" s="3030" t="s">
        <x:v>1902</x:v>
      </x:c>
      <x:c r="C36" s="3031"/>
      <x:c r="D36" s="3031"/>
      <x:c r="E36" s="3031"/>
      <x:c r="F36" s="3031"/>
      <x:c r="G36" s="3031"/>
      <x:c r="H36" s="3031"/>
      <x:c r="I36" s="3031"/>
      <x:c r="J36" s="3032"/>
      <x:c r="L36" s="1203" t="str">
        <x:f t="shared" si="1"/>
        <x:v>DN</x:v>
      </x:c>
      <x:c r="M36" s="1203" t="b">
        <x:v>0</x:v>
      </x:c>
      <x:c r="O36" s="1019" t="s">
        <x:v>1024</x:v>
      </x:c>
      <x:c r="P36" s="1020" t="s">
        <x:v>1087</x:v>
      </x:c>
      <x:c r="Q36" s="1013" t="str">
        <x:f t="shared" si="0"/>
        <x:v>[BCBrg] - Bottom Chord Bearing @ LE|RE|BE</x:v>
      </x:c>
    </x:row>
    <x:row r="37" spans="1:17" ht="15.4" customHeight="1" x14ac:dyDescent="0.2">
      <x:c r="A37" s="2018" t="s">
        <x:v>1903</x:v>
      </x:c>
      <x:c r="B37" s="3030" t="s">
        <x:v>1904</x:v>
      </x:c>
      <x:c r="C37" s="3031"/>
      <x:c r="D37" s="3031"/>
      <x:c r="E37" s="3031"/>
      <x:c r="F37" s="3031"/>
      <x:c r="G37" s="3031"/>
      <x:c r="H37" s="3031"/>
      <x:c r="I37" s="3031"/>
      <x:c r="J37" s="3032"/>
      <x:c r="L37" s="1203" t="str">
        <x:f t="shared" si="1"/>
        <x:v>DO</x:v>
      </x:c>
      <x:c r="M37" s="1203" t="b">
        <x:v>0</x:v>
      </x:c>
      <x:c r="O37" s="1019" t="s">
        <x:v>1018</x:v>
      </x:c>
      <x:c r="P37" s="1020" t="s">
        <x:v>1088</x:v>
      </x:c>
      <x:c r="Q37" s="1013" t="str">
        <x:f t="shared" si="0"/>
        <x:v>[StgSlt] - Stagger Seat Slots LE|RE: ##" NS, ##" FS</x:v>
      </x:c>
    </x:row>
    <x:row r="38" spans="1:17" ht="15.4" customHeight="1" x14ac:dyDescent="0.2">
      <x:c r="A38" s="2018" t="s">
        <x:v>1009</x:v>
      </x:c>
      <x:c r="B38" s="3030" t="s">
        <x:v>1722</x:v>
      </x:c>
      <x:c r="C38" s="3031"/>
      <x:c r="D38" s="3031"/>
      <x:c r="E38" s="3031"/>
      <x:c r="F38" s="3031"/>
      <x:c r="G38" s="3031"/>
      <x:c r="H38" s="3031"/>
      <x:c r="I38" s="3031"/>
      <x:c r="J38" s="3032"/>
      <x:c r="L38" s="1203" t="str">
        <x:f t="shared" si="1"/>
        <x:v>DP</x:v>
      </x:c>
      <x:c r="M38" s="1203" t="b">
        <x:v>0</x:v>
      </x:c>
      <x:c r="O38" s="1019" t="s">
        <x:v>1019</x:v>
      </x:c>
      <x:c r="P38" s="1020" t="s">
        <x:v>1089</x:v>
      </x:c>
      <x:c r="Q38" s="1013" t="str">
        <x:f t="shared" si="0"/>
        <x:v>[SpSlt] - Special Seat Slots: #"x#" Slots, Ga=#" @ LE|RE|BE</x:v>
      </x:c>
    </x:row>
    <x:row r="39" spans="1:17" ht="15.4" customHeight="1" x14ac:dyDescent="0.2">
      <x:c r="A39" s="2018" t="s">
        <x:v>1905</x:v>
      </x:c>
      <x:c r="B39" s="3030" t="s">
        <x:v>1906</x:v>
      </x:c>
      <x:c r="C39" s="3031"/>
      <x:c r="D39" s="3031"/>
      <x:c r="E39" s="3031"/>
      <x:c r="F39" s="3031"/>
      <x:c r="G39" s="3031"/>
      <x:c r="H39" s="3031"/>
      <x:c r="I39" s="3031"/>
      <x:c r="J39" s="3032"/>
      <x:c r="L39" s="1203" t="str">
        <x:f t="shared" si="1"/>
        <x:v>DR</x:v>
      </x:c>
      <x:c r="M39" s="1203" t="b">
        <x:v>0</x:v>
      </x:c>
      <x:c r="O39" s="1019" t="s">
        <x:v>1128</x:v>
      </x:c>
      <x:c r="P39" s="1020" t="s">
        <x:v>1129</x:v>
      </x:c>
      <x:c r="Q39" s="1013" t="str">
        <x:f t="shared" si="0"/>
        <x:v>[RndShrtSlt] - #/#" Round Holes|#/#”x1” Slots, Ga=#” @ LE|RE|BE</x:v>
      </x:c>
    </x:row>
    <x:row r="40" spans="1:17" ht="15.4" customHeight="1" x14ac:dyDescent="0.2">
      <x:c r="A40" s="2018" t="s">
        <x:v>1907</x:v>
      </x:c>
      <x:c r="B40" s="3030" t="s">
        <x:v>1908</x:v>
      </x:c>
      <x:c r="C40" s="3031"/>
      <x:c r="D40" s="3031"/>
      <x:c r="E40" s="3031"/>
      <x:c r="F40" s="3031"/>
      <x:c r="G40" s="3031"/>
      <x:c r="H40" s="3031"/>
      <x:c r="I40" s="3031"/>
      <x:c r="J40" s="3032"/>
      <x:c r="L40" s="1203" t="str">
        <x:f t="shared" si="1"/>
        <x:v>DU</x:v>
      </x:c>
      <x:c r="M40" s="1203" t="b">
        <x:v>0</x:v>
      </x:c>
      <x:c r="O40" s="1019" t="s">
        <x:v>1043</x:v>
      </x:c>
      <x:c r="P40" s="1020" t="s">
        <x:v>1090</x:v>
      </x:c>
      <x:c r="Q40" s="1013" t="str">
        <x:f t="shared" si="0"/>
        <x:v>[AddSlt] - Addn'l Seat Slots @ #" from L-OAL|R-OAL</x:v>
      </x:c>
    </x:row>
    <x:row r="41" spans="1:17" ht="15.4" customHeight="1" x14ac:dyDescent="0.2">
      <x:c r="A41" s="2018" t="s">
        <x:v>1909</x:v>
      </x:c>
      <x:c r="B41" s="3030" t="s">
        <x:v>1908</x:v>
      </x:c>
      <x:c r="C41" s="3031"/>
      <x:c r="D41" s="3031"/>
      <x:c r="E41" s="3031"/>
      <x:c r="F41" s="3031"/>
      <x:c r="G41" s="3031"/>
      <x:c r="H41" s="3031"/>
      <x:c r="I41" s="3031"/>
      <x:c r="J41" s="3032"/>
      <x:c r="L41" s="1203" t="str">
        <x:f t="shared" si="1"/>
        <x:v>DV</x:v>
      </x:c>
      <x:c r="M41" s="1203" t="b">
        <x:v>0</x:v>
      </x:c>
      <x:c r="O41" s="1019" t="s">
        <x:v>1022</x:v>
      </x:c>
      <x:c r="P41" s="1020" t="s">
        <x:v>1091</x:v>
      </x:c>
      <x:c r="Q41" s="1013" t="str">
        <x:f t="shared" si="0"/>
        <x:v>[BPThk] - Min Thickness of Base Plate = 0.xxx" @ LE|RE|BE</x:v>
      </x:c>
    </x:row>
    <x:row r="42" spans="1:17" ht="15.4" customHeight="1" x14ac:dyDescent="0.2">
      <x:c r="A42" s="2018" t="s">
        <x:v>1910</x:v>
      </x:c>
      <x:c r="B42" s="3030" t="s">
        <x:v>1911</x:v>
      </x:c>
      <x:c r="C42" s="3031"/>
      <x:c r="D42" s="3031"/>
      <x:c r="E42" s="3031"/>
      <x:c r="F42" s="3031"/>
      <x:c r="G42" s="3031"/>
      <x:c r="H42" s="3031"/>
      <x:c r="I42" s="3031"/>
      <x:c r="J42" s="3032"/>
      <x:c r="L42" s="1203" t="str">
        <x:f t="shared" si="1"/>
        <x:v>DW</x:v>
      </x:c>
      <x:c r="M42" s="1203" t="b">
        <x:v>0</x:v>
      </x:c>
      <x:c r="O42" s="1019" t="s">
        <x:v>1092</x:v>
      </x:c>
      <x:c r="P42" s="1020" t="s">
        <x:v>1093</x:v>
      </x:c>
      <x:c r="Q42" s="1013" t="str">
        <x:f t="shared" si="0"/>
        <x:v>[MaxWidth] - Max Width of TC &amp; Base Plate|BC for 1st ##” @ LE|RE|BE</x:v>
      </x:c>
    </x:row>
    <x:row r="43" spans="1:17" ht="15.4" customHeight="1" x14ac:dyDescent="0.2">
      <x:c r="A43" s="2018" t="s">
        <x:v>1912</x:v>
      </x:c>
      <x:c r="B43" s="3030" t="s">
        <x:v>1913</x:v>
      </x:c>
      <x:c r="C43" s="3031"/>
      <x:c r="D43" s="3031"/>
      <x:c r="E43" s="3031"/>
      <x:c r="F43" s="3031"/>
      <x:c r="G43" s="3031"/>
      <x:c r="H43" s="3031"/>
      <x:c r="I43" s="3031"/>
      <x:c r="J43" s="3032"/>
      <x:c r="L43" s="1203" t="str">
        <x:f t="shared" si="1"/>
        <x:v>DX</x:v>
      </x:c>
      <x:c r="M43" s="1203" t="b">
        <x:v>0</x:v>
      </x:c>
      <x:c r="O43" s="1019"/>
      <x:c r="P43" s="1020" t="s">
        <x:v>1094</x:v>
      </x:c>
      <x:c r="Q43" s="1013" t="str">
        <x:f t="shared" si="0"/>
        <x:v>[] - MISCELLANEOUS</x:v>
      </x:c>
    </x:row>
    <x:row r="44" spans="1:17" ht="15.4" customHeight="1" x14ac:dyDescent="0.2">
      <x:c r="A44" s="2018" t="s">
        <x:v>1914</x:v>
      </x:c>
      <x:c r="B44" s="3030" t="s">
        <x:v>1915</x:v>
      </x:c>
      <x:c r="C44" s="3031"/>
      <x:c r="D44" s="3031"/>
      <x:c r="E44" s="3031"/>
      <x:c r="F44" s="3031"/>
      <x:c r="G44" s="3031"/>
      <x:c r="H44" s="3031"/>
      <x:c r="I44" s="3031"/>
      <x:c r="J44" s="3032"/>
      <x:c r="L44" s="1203" t="str">
        <x:f t="shared" si="1"/>
        <x:v>DY</x:v>
      </x:c>
      <x:c r="M44" s="1203" t="b">
        <x:v>0</x:v>
      </x:c>
      <x:c r="O44" s="1019" t="s">
        <x:v>1125</x:v>
      </x:c>
      <x:c r="P44" s="1020" t="s">
        <x:v>1096</x:v>
      </x:c>
      <x:c r="Q44" s="1013" t="str">
        <x:f t="shared" si="0"/>
        <x:v>[Camb] - Camber = #"|Camber for DL|50% Std Camber|No Camber</x:v>
      </x:c>
    </x:row>
    <x:row r="45" spans="1:17" ht="15.4" customHeight="1" x14ac:dyDescent="0.2">
      <x:c r="A45" s="2018"/>
      <x:c r="B45" s="3030"/>
      <x:c r="C45" s="3031"/>
      <x:c r="D45" s="3031"/>
      <x:c r="E45" s="3031"/>
      <x:c r="F45" s="3031"/>
      <x:c r="G45" s="3031"/>
      <x:c r="H45" s="3031"/>
      <x:c r="I45" s="3031"/>
      <x:c r="J45" s="3032"/>
      <x:c r="L45" s="1203" t="str">
        <x:f t="shared" si="1"/>
        <x:v>DY</x:v>
      </x:c>
      <x:c r="M45" s="1203" t="b">
        <x:v>0</x:v>
      </x:c>
      <x:c r="O45" s="1019" t="s">
        <x:v>1025</x:v>
      </x:c>
      <x:c r="P45" s="1020" t="s">
        <x:v>1097</x:v>
      </x:c>
      <x:c r="Q45" s="1013" t="str">
        <x:f t="shared" si="0"/>
        <x:v>[BClip] - Bridging Clip(s) Required per Plan</x:v>
      </x:c>
    </x:row>
    <x:row r="46" spans="1:17" ht="15.4" customHeight="1" x14ac:dyDescent="0.2">
      <x:c r="A46" s="2018"/>
      <x:c r="B46" s="3030"/>
      <x:c r="C46" s="3031"/>
      <x:c r="D46" s="3031"/>
      <x:c r="E46" s="3031"/>
      <x:c r="F46" s="3031"/>
      <x:c r="G46" s="3031"/>
      <x:c r="H46" s="3031"/>
      <x:c r="I46" s="3031"/>
      <x:c r="J46" s="3032"/>
      <x:c r="L46" s="1203" t="str">
        <x:f t="shared" si="1"/>
        <x:v>DY</x:v>
      </x:c>
      <x:c r="M46" s="1203" t="b">
        <x:v>0</x:v>
      </x:c>
      <x:c r="O46" s="1019" t="s">
        <x:v>1020</x:v>
      </x:c>
      <x:c r="P46" s="1020" t="s">
        <x:v>1012</x:v>
      </x:c>
      <x:c r="Q46" s="1013" t="str">
        <x:f t="shared" si="0"/>
        <x:v>[TCThk] - Min Thickness of TC = 0.xxx"</x:v>
      </x:c>
    </x:row>
    <x:row r="47" spans="1:17" ht="15.4" customHeight="1" x14ac:dyDescent="0.2">
      <x:c r="A47" s="2018"/>
      <x:c r="B47" s="3030"/>
      <x:c r="C47" s="3031"/>
      <x:c r="D47" s="3031"/>
      <x:c r="E47" s="3031"/>
      <x:c r="F47" s="3031"/>
      <x:c r="G47" s="3031"/>
      <x:c r="H47" s="3031"/>
      <x:c r="I47" s="3031"/>
      <x:c r="J47" s="3032"/>
      <x:c r="L47" s="1203" t="str">
        <x:f t="shared" si="1"/>
        <x:v>DY</x:v>
      </x:c>
      <x:c r="M47" s="1203" t="b">
        <x:v>0</x:v>
      </x:c>
      <x:c r="O47" s="1019" t="s">
        <x:v>1021</x:v>
      </x:c>
      <x:c r="P47" s="1020" t="s">
        <x:v>1013</x:v>
      </x:c>
      <x:c r="Q47" s="1013" t="str">
        <x:f t="shared" si="0"/>
        <x:v>[BCThk] - Min Thickness of BC = 0.xxx"</x:v>
      </x:c>
    </x:row>
    <x:row r="48" spans="1:17" ht="15.4" customHeight="1" x14ac:dyDescent="0.2">
      <x:c r="A48" s="2018"/>
      <x:c r="B48" s="3030"/>
      <x:c r="C48" s="3031"/>
      <x:c r="D48" s="3031"/>
      <x:c r="E48" s="3031"/>
      <x:c r="F48" s="3031"/>
      <x:c r="G48" s="3031"/>
      <x:c r="H48" s="3031"/>
      <x:c r="I48" s="3031"/>
      <x:c r="J48" s="3032"/>
      <x:c r="L48" s="1203" t="str">
        <x:f t="shared" si="1"/>
        <x:v>DY</x:v>
      </x:c>
      <x:c r="M48" s="1203" t="b">
        <x:v>0</x:v>
      </x:c>
      <x:c r="O48" s="1019" t="s">
        <x:v>1130</x:v>
      </x:c>
      <x:c r="P48" s="1020" t="s">
        <x:v>1131</x:v>
      </x:c>
      <x:c r="Q48" s="1013" t="str">
        <x:f t="shared" si="0"/>
        <x:v>[ChdWdth] - Min|Max Width of TC|BC = ##”</x:v>
      </x:c>
    </x:row>
    <x:row r="49" spans="1:17" ht="15.4" customHeight="1" x14ac:dyDescent="0.2">
      <x:c r="A49" s="2018"/>
      <x:c r="B49" s="3030"/>
      <x:c r="C49" s="3031"/>
      <x:c r="D49" s="3031"/>
      <x:c r="E49" s="3031"/>
      <x:c r="F49" s="3031"/>
      <x:c r="G49" s="3031"/>
      <x:c r="H49" s="3031"/>
      <x:c r="I49" s="3031"/>
      <x:c r="J49" s="3032"/>
      <x:c r="L49" s="1203" t="str">
        <x:f t="shared" si="1"/>
        <x:v>DY</x:v>
      </x:c>
      <x:c r="M49" s="1203" t="b">
        <x:v>0</x:v>
      </x:c>
      <x:c r="O49" s="1019" t="s">
        <x:v>1126</x:v>
      </x:c>
      <x:c r="P49" s="1020" t="s">
        <x:v>1041</x:v>
      </x:c>
      <x:c r="Q49" s="1013" t="str">
        <x:f t="shared" si="0"/>
        <x:v>[Duct] - ##" Dia (##"H x ##"W) Duct @ #'-# from L-OAL</x:v>
      </x:c>
    </x:row>
    <x:row r="50" spans="1:17" ht="15.4" customHeight="1" x14ac:dyDescent="0.2">
      <x:c r="A50" s="2018"/>
      <x:c r="B50" s="3030"/>
      <x:c r="C50" s="3031"/>
      <x:c r="D50" s="3031"/>
      <x:c r="E50" s="3031"/>
      <x:c r="F50" s="3031"/>
      <x:c r="G50" s="3031"/>
      <x:c r="H50" s="3031"/>
      <x:c r="I50" s="3031"/>
      <x:c r="J50" s="3032"/>
      <x:c r="L50" s="1203" t="str">
        <x:f t="shared" si="1"/>
        <x:v>DY</x:v>
      </x:c>
      <x:c r="M50" s="1203" t="b">
        <x:v>0</x:v>
      </x:c>
      <x:c r="O50" s="1019" t="s">
        <x:v>1037</x:v>
      </x:c>
      <x:c r="P50" s="1020" t="s">
        <x:v>1046</x:v>
      </x:c>
      <x:c r="Q50" s="1013" t="str">
        <x:f t="shared" si="0"/>
        <x:v>[HS] - Horiz Field Splice: See Detail on J1.xx</x:v>
      </x:c>
    </x:row>
    <x:row r="51" spans="1:17" ht="15.4" customHeight="1" x14ac:dyDescent="0.2">
      <x:c r="A51" s="2019"/>
      <x:c r="B51" s="3033"/>
      <x:c r="C51" s="3034"/>
      <x:c r="D51" s="3034"/>
      <x:c r="E51" s="3034"/>
      <x:c r="F51" s="3034"/>
      <x:c r="G51" s="3034"/>
      <x:c r="H51" s="3034"/>
      <x:c r="I51" s="3034"/>
      <x:c r="J51" s="3035"/>
      <x:c r="L51" s="1203" t="str">
        <x:f t="shared" si="1"/>
        <x:v>DY</x:v>
      </x:c>
      <x:c r="M51" s="1203" t="b">
        <x:v>0</x:v>
      </x:c>
      <x:c r="O51" s="1019" t="s">
        <x:v>1038</x:v>
      </x:c>
      <x:c r="P51" s="1020" t="s">
        <x:v>1047</x:v>
      </x:c>
      <x:c r="Q51" s="1013" t="str">
        <x:f t="shared" si="0"/>
        <x:v>[VS] - Vert Field Splice: Type xx, Near Midspan</x:v>
      </x:c>
    </x:row>
    <x:row r="52" spans="1:17" ht="15.6" customHeight="1" x14ac:dyDescent="0.2">
      <x:c r="O52" s="1019" t="s">
        <x:v>1039</x:v>
      </x:c>
      <x:c r="P52" s="1020" t="s">
        <x:v>1048</x:v>
      </x:c>
      <x:c r="Q52" s="1013" t="str">
        <x:f t="shared" si="0"/>
        <x:v>[MS] - Multiple Vert Field Splices: Type xx</x:v>
      </x:c>
    </x:row>
    <x:row r="53" spans="1:17" ht="15.6" customHeight="1" x14ac:dyDescent="0.2">
      <x:c r="O53" s="1019" t="s">
        <x:v>1098</x:v>
      </x:c>
      <x:c r="P53" s="1020" t="s">
        <x:v>1099</x:v>
      </x:c>
      <x:c r="Q53" s="1013" t="str">
        <x:f t="shared" si="0"/>
        <x:v>[SpConn] - Special Connection @ (location), See Section ##</x:v>
      </x:c>
    </x:row>
    <x:row r="54" spans="1:17" ht="15.6" customHeight="1" x14ac:dyDescent="0.2">
      <x:c r="O54" s="1019" t="s">
        <x:v>1132</x:v>
      </x:c>
      <x:c r="P54" s="1020" t="s">
        <x:v>1144</x:v>
      </x:c>
      <x:c r="Q54" s="1013" t="str">
        <x:f t="shared" si="0"/>
        <x:v>[Vier] - Vierendeel Panel, ##” W x ##” H, Bottom Left Corner of Opening @ ##” From Bot/Jst, ##’-##” From L-OAL</x:v>
      </x:c>
    </x:row>
    <x:row r="55" spans="1:17" ht="15.6" customHeight="1" x14ac:dyDescent="0.2">
      <x:c r="O55" s="1019"/>
      <x:c r="P55" s="1020" t="s">
        <x:v>1100</x:v>
      </x:c>
      <x:c r="Q55" s="1013" t="str">
        <x:f t="shared" si="0"/>
        <x:v>[] - GENERAL</x:v>
      </x:c>
    </x:row>
    <x:row r="56" spans="1:17" ht="15.6" customHeight="1" x14ac:dyDescent="0.2">
      <x:c r="O56" s="1019" t="s">
        <x:v>1056</x:v>
      </x:c>
      <x:c r="P56" s="1020" t="s">
        <x:v>1057</x:v>
      </x:c>
      <x:c r="Q56" s="1013" t="str">
        <x:f t="shared" si="0"/>
        <x:v>[LRFD] - **LRFD**   **LRFD**   **LRFD**</x:v>
      </x:c>
    </x:row>
    <x:row r="57" spans="1:17" ht="15.6" customHeight="1" x14ac:dyDescent="0.2">
      <x:c r="O57" s="1019" t="s">
        <x:v>1015</x:v>
      </x:c>
      <x:c r="P57" s="1020" t="s">
        <x:v>1042</x:v>
      </x:c>
      <x:c r="Q57" s="1013" t="str">
        <x:f t="shared" si="0"/>
        <x:v>[ESFR] - #"Dia Pipes, 8" Below Top/Jst, 15" Horiz Clearance @ ##'-#,  ##'-# &amp;  ##'-# from L-OAL</x:v>
      </x:c>
    </x:row>
    <x:row r="58" spans="1:17" ht="15.6" customHeight="1" x14ac:dyDescent="0.2">
      <x:c r="O58" s="1019" t="s">
        <x:v>1127</x:v>
      </x:c>
      <x:c r="P58" s="1020" t="s">
        <x:v>1014</x:v>
      </x:c>
      <x:c r="Q58" s="1013" t="str">
        <x:f t="shared" si="0"/>
        <x:v>[Self] - Add Self-Weight to Design</x:v>
      </x:c>
    </x:row>
    <x:row r="59" spans="1:17" ht="15.6" customHeight="1" x14ac:dyDescent="0.2">
      <x:c r="A59" s="973" t="s">
        <x:v>1062</x:v>
      </x:c>
      <x:c r="O59" s="1019" t="s">
        <x:v>1051</x:v>
      </x:c>
      <x:c r="P59" s="1020" t="s">
        <x:v>1053</x:v>
      </x:c>
      <x:c r="Q59" s="1013" t="str">
        <x:f t="shared" si="0"/>
        <x:v>[SpChd] - ##"^2 Min Chord Area</x:v>
      </x:c>
    </x:row>
    <x:row r="60" spans="1:17" ht="15.6" hidden="1" customHeight="1" x14ac:dyDescent="0.2">
      <x:c r="A60" s="1128" t="s">
        <x:v>34</x:v>
      </x:c>
      <x:c r="O60" s="1019" t="s">
        <x:v>1052</x:v>
      </x:c>
      <x:c r="P60" s="1020" t="s">
        <x:v>1054</x:v>
      </x:c>
      <x:c r="Q60" s="1013" t="str">
        <x:f t="shared" si="0"/>
        <x:v>[SpWeb] - ##"^2 Min Web Area</x:v>
      </x:c>
    </x:row>
    <x:row r="61" spans="1:17" ht="15.6" hidden="1" customHeight="1" x14ac:dyDescent="0.2">
      <x:c r="A61" s="1130" t="s">
        <x:v>2004</x:v>
      </x:c>
      <x:c r="O61" s="1019" t="s">
        <x:v>1095</x:v>
      </x:c>
      <x:c r="P61" s="1020" t="s">
        <x:v>1055</x:v>
      </x:c>
      <x:c r="Q61" s="1013" t="str">
        <x:f t="shared" si="0"/>
        <x:v>[DomStl] - Domestic Steel Required (ARRA)</x:v>
      </x:c>
    </x:row>
    <x:row r="62" spans="1:17" ht="15.6" hidden="1" customHeight="1" x14ac:dyDescent="0.2">
      <x:c r="O62" s="1019" t="s">
        <x:v>1040</x:v>
      </x:c>
      <x:c r="P62" s="1020" t="s">
        <x:v>1049</x:v>
      </x:c>
      <x:c r="Q62" s="1013" t="str">
        <x:f t="shared" si="0"/>
        <x:v>[SSR] - Standing Seam Roof: TC Lateral Support @ ##" Max.</x:v>
      </x:c>
    </x:row>
    <x:row r="63" spans="1:17" ht="15.6" hidden="1" customHeight="1" x14ac:dyDescent="0.2">
      <x:c r="O63" s="1019" t="s">
        <x:v>1133</x:v>
      </x:c>
      <x:c r="P63" s="1020" t="s">
        <x:v>1139</x:v>
      </x:c>
      <x:c r="Q63" s="1013" t="str">
        <x:f t="shared" si="0"/>
        <x:v>[AlignPnls] - Align Panels of Adjacent Jsts</x:v>
      </x:c>
    </x:row>
    <x:row r="64" spans="1:17" ht="15.6" hidden="1" customHeight="1" x14ac:dyDescent="0.2">
      <x:c r="O64" s="1019" t="s">
        <x:v>1134</x:v>
      </x:c>
      <x:c r="P64" s="1020" t="s">
        <x:v>1140</x:v>
      </x:c>
      <x:c r="Q64" s="1013" t="str">
        <x:f t="shared" si="0"/>
        <x:v>[SpBund] - Special Bundling Req’d, See Attached Listing</x:v>
      </x:c>
    </x:row>
    <x:row r="65" spans="1:17" ht="15.6" customHeight="1" x14ac:dyDescent="0.2">
      <x:c r="A65" s="973" t="s">
        <x:v>1063</x:v>
      </x:c>
      <x:c r="O65" s="1019" t="s">
        <x:v>1135</x:v>
      </x:c>
      <x:c r="P65" s="1020" t="s">
        <x:v>1141</x:v>
      </x:c>
      <x:c r="Q65" s="1013" t="str">
        <x:f t="shared" si="0"/>
        <x:v>[BIM] - Building Information Modeling, Inform Dtlr When Design Completed</x:v>
      </x:c>
    </x:row>
    <x:row r="66" spans="1:17" ht="15.6" customHeight="1" x14ac:dyDescent="0.2">
      <x:c r="O66" s="1019" t="s">
        <x:v>1136</x:v>
      </x:c>
      <x:c r="P66" s="1020" t="s">
        <x:v>1142</x:v>
      </x:c>
      <x:c r="Q66" s="1013" t="str">
        <x:f t="shared" si="0"/>
        <x:v>[Calcs] - Sealed Calcs req’d for Record|Appl</x:v>
      </x:c>
    </x:row>
    <x:row r="67" spans="1:17" ht="15.6" customHeight="1" x14ac:dyDescent="0.2">
      <x:c r="O67" s="1019" t="s">
        <x:v>1137</x:v>
      </x:c>
      <x:c r="P67" s="1020" t="s">
        <x:v>1143</x:v>
      </x:c>
      <x:c r="Q67" s="1013" t="str">
        <x:f t="shared" si="0"/>
        <x:v>[Prof] - Joist|Girder Profiles Req’d</x:v>
      </x:c>
    </x:row>
    <x:row r="68" spans="1:17" ht="15.6" customHeight="1" x14ac:dyDescent="0.2">
      <x:c r="O68" s="1019" t="s">
        <x:v>1138</x:v>
      </x:c>
      <x:c r="P68" s="1020" t="s">
        <x:v>1101</x:v>
      </x:c>
      <x:c r="Q68" s="1013" t="str">
        <x:f t="shared" si="0"/>
        <x:v>[UnDef] - Special Note Here (special condition not matching pre-defined codes)</x:v>
      </x:c>
    </x:row>
    <x:row r="69" spans="1:17" ht="15.6" customHeight="1" x14ac:dyDescent="0.2">
      <x:c r="O69" s="1019"/>
      <x:c r="P69" s="1020"/>
      <x:c r="Q69" s="1013" t="str">
        <x:f t="shared" si="0"/>
        <x:v xml:space="preserve">[] - </x:v>
      </x:c>
    </x:row>
    <x:row r="70" spans="1:17" ht="15.6" customHeight="1" x14ac:dyDescent="0.2">
      <x:c r="O70" s="1019"/>
      <x:c r="P70" s="1020"/>
      <x:c r="Q70" s="1013" t="str">
        <x:f t="shared" si="0"/>
        <x:v xml:space="preserve">[] - </x:v>
      </x:c>
    </x:row>
    <x:row r="71" spans="1:17" ht="15.6" customHeight="1" x14ac:dyDescent="0.2">
      <x:c r="O71" s="1019"/>
      <x:c r="P71" s="1020"/>
      <x:c r="Q71" s="1013" t="str">
        <x:f t="shared" si="0"/>
        <x:v xml:space="preserve">[] - </x:v>
      </x:c>
    </x:row>
    <x:row r="72" spans="1:17" ht="15.6" customHeight="1" x14ac:dyDescent="0.2">
      <x:c r="O72" s="1019"/>
      <x:c r="P72" s="1020"/>
      <x:c r="Q72" s="1013" t="str">
        <x:f t="shared" si="0"/>
        <x:v xml:space="preserve">[] - </x:v>
      </x:c>
    </x:row>
    <x:row r="73" spans="1:17" ht="15.6" customHeight="1" x14ac:dyDescent="0.2">
      <x:c r="O73" s="1019"/>
      <x:c r="P73" s="1020"/>
      <x:c r="Q73" s="1013" t="str">
        <x:f t="shared" si="0"/>
        <x:v xml:space="preserve">[] - </x:v>
      </x:c>
    </x:row>
    <x:row r="74" spans="1:17" ht="15.6" customHeight="1" x14ac:dyDescent="0.2">
      <x:c r="O74" s="1019"/>
      <x:c r="P74" s="1020"/>
      <x:c r="Q74" s="1013" t="str">
        <x:f t="shared" si="0"/>
        <x:v xml:space="preserve">[] - </x:v>
      </x:c>
    </x:row>
    <x:row r="75" spans="1:17" ht="15.6" customHeight="1" x14ac:dyDescent="0.2">
      <x:c r="O75" s="1019"/>
      <x:c r="P75" s="1020"/>
      <x:c r="Q75" s="1013" t="str">
        <x:f t="shared" si="0"/>
        <x:v xml:space="preserve">[] - </x:v>
      </x:c>
    </x:row>
    <x:row r="76" spans="1:17" ht="15.6" customHeight="1" x14ac:dyDescent="0.2">
      <x:c r="O76" s="1019"/>
      <x:c r="P76" s="1020"/>
      <x:c r="Q76" s="1013" t="str">
        <x:f t="shared" si="0"/>
        <x:v xml:space="preserve">[] - </x:v>
      </x:c>
    </x:row>
    <x:row r="77" spans="1:17" ht="15.6" customHeight="1" x14ac:dyDescent="0.2">
      <x:c r="O77" s="1019"/>
      <x:c r="P77" s="1020"/>
      <x:c r="Q77" s="1013" t="str">
        <x:f t="shared" si="0"/>
        <x:v xml:space="preserve">[] - </x:v>
      </x:c>
    </x:row>
    <x:row r="78" spans="1:17" ht="15.6" customHeight="1" x14ac:dyDescent="0.2">
      <x:c r="O78" s="1019"/>
      <x:c r="P78" s="1020"/>
      <x:c r="Q78" s="1013" t="str">
        <x:f t="shared" ref="Q78:Q99" si="2">CONCATENATE("[",O78, "] - ", P78)</x:f>
        <x:v xml:space="preserve">[] - </x:v>
      </x:c>
    </x:row>
    <x:row r="79" spans="1:17" ht="15.6" customHeight="1" x14ac:dyDescent="0.2">
      <x:c r="O79" s="1019"/>
      <x:c r="P79" s="1020"/>
      <x:c r="Q79" s="1013" t="str">
        <x:f t="shared" si="2"/>
        <x:v xml:space="preserve">[] - </x:v>
      </x:c>
    </x:row>
    <x:row r="80" spans="1:17" ht="15.6" customHeight="1" x14ac:dyDescent="0.2">
      <x:c r="O80" s="1019"/>
      <x:c r="P80" s="1020"/>
      <x:c r="Q80" s="1013" t="str">
        <x:f t="shared" si="2"/>
        <x:v xml:space="preserve">[] - </x:v>
      </x:c>
    </x:row>
    <x:row r="81" spans="15:17" ht="15.6" customHeight="1" x14ac:dyDescent="0.2">
      <x:c r="O81" s="1019"/>
      <x:c r="P81" s="1020"/>
      <x:c r="Q81" s="1013" t="str">
        <x:f t="shared" si="2"/>
        <x:v xml:space="preserve">[] - </x:v>
      </x:c>
    </x:row>
    <x:row r="82" spans="15:17" ht="15.6" customHeight="1" x14ac:dyDescent="0.2">
      <x:c r="O82" s="1019"/>
      <x:c r="P82" s="1020"/>
      <x:c r="Q82" s="1013" t="str">
        <x:f t="shared" si="2"/>
        <x:v xml:space="preserve">[] - </x:v>
      </x:c>
    </x:row>
    <x:row r="83" spans="15:17" ht="15.6" customHeight="1" x14ac:dyDescent="0.2">
      <x:c r="O83" s="1019"/>
      <x:c r="P83" s="1020"/>
      <x:c r="Q83" s="1013" t="str">
        <x:f t="shared" si="2"/>
        <x:v xml:space="preserve">[] - </x:v>
      </x:c>
    </x:row>
    <x:row r="84" spans="15:17" ht="15.6" customHeight="1" x14ac:dyDescent="0.2">
      <x:c r="O84" s="1019"/>
      <x:c r="P84" s="1020"/>
      <x:c r="Q84" s="1013" t="str">
        <x:f t="shared" si="2"/>
        <x:v xml:space="preserve">[] - </x:v>
      </x:c>
    </x:row>
    <x:row r="85" spans="15:17" ht="15.6" customHeight="1" x14ac:dyDescent="0.2">
      <x:c r="O85" s="1019"/>
      <x:c r="P85" s="1020"/>
      <x:c r="Q85" s="1013" t="str">
        <x:f t="shared" si="2"/>
        <x:v xml:space="preserve">[] - </x:v>
      </x:c>
    </x:row>
    <x:row r="86" spans="15:17" ht="15.6" customHeight="1" x14ac:dyDescent="0.2">
      <x:c r="O86" s="1019"/>
      <x:c r="P86" s="1020"/>
      <x:c r="Q86" s="1013" t="str">
        <x:f t="shared" si="2"/>
        <x:v xml:space="preserve">[] - </x:v>
      </x:c>
    </x:row>
    <x:row r="87" spans="15:17" ht="15.6" customHeight="1" x14ac:dyDescent="0.2">
      <x:c r="O87" s="1019"/>
      <x:c r="P87" s="1020"/>
      <x:c r="Q87" s="1013" t="str">
        <x:f t="shared" si="2"/>
        <x:v xml:space="preserve">[] - </x:v>
      </x:c>
    </x:row>
    <x:row r="88" spans="15:17" ht="15.6" customHeight="1" x14ac:dyDescent="0.2">
      <x:c r="O88" s="1019"/>
      <x:c r="P88" s="1020"/>
      <x:c r="Q88" s="1013" t="str">
        <x:f t="shared" si="2"/>
        <x:v xml:space="preserve">[] - </x:v>
      </x:c>
    </x:row>
    <x:row r="89" spans="15:17" ht="15.6" customHeight="1" x14ac:dyDescent="0.2">
      <x:c r="O89" s="1019"/>
      <x:c r="P89" s="1020"/>
      <x:c r="Q89" s="1013" t="str">
        <x:f t="shared" si="2"/>
        <x:v xml:space="preserve">[] - </x:v>
      </x:c>
    </x:row>
    <x:row r="90" spans="15:17" ht="15.6" customHeight="1" x14ac:dyDescent="0.2">
      <x:c r="O90" s="1019"/>
      <x:c r="P90" s="1020"/>
      <x:c r="Q90" s="1013" t="str">
        <x:f t="shared" si="2"/>
        <x:v xml:space="preserve">[] - </x:v>
      </x:c>
    </x:row>
    <x:row r="91" spans="15:17" ht="15.6" customHeight="1" x14ac:dyDescent="0.2">
      <x:c r="O91" s="1019"/>
      <x:c r="P91" s="1020"/>
      <x:c r="Q91" s="1013" t="str">
        <x:f t="shared" si="2"/>
        <x:v xml:space="preserve">[] - </x:v>
      </x:c>
    </x:row>
    <x:row r="92" spans="15:17" ht="15.6" customHeight="1" x14ac:dyDescent="0.2">
      <x:c r="O92" s="1019"/>
      <x:c r="P92" s="1020"/>
      <x:c r="Q92" s="1013" t="str">
        <x:f t="shared" si="2"/>
        <x:v xml:space="preserve">[] - </x:v>
      </x:c>
    </x:row>
    <x:row r="93" spans="15:17" ht="15.6" customHeight="1" x14ac:dyDescent="0.2">
      <x:c r="O93" s="1019"/>
      <x:c r="P93" s="1020"/>
      <x:c r="Q93" s="1013" t="str">
        <x:f t="shared" si="2"/>
        <x:v xml:space="preserve">[] - </x:v>
      </x:c>
    </x:row>
    <x:row r="94" spans="15:17" ht="15.6" customHeight="1" x14ac:dyDescent="0.2">
      <x:c r="O94" s="1019"/>
      <x:c r="P94" s="1020"/>
      <x:c r="Q94" s="1013" t="str">
        <x:f t="shared" si="2"/>
        <x:v xml:space="preserve">[] - </x:v>
      </x:c>
    </x:row>
    <x:row r="95" spans="15:17" ht="15.6" customHeight="1" x14ac:dyDescent="0.2">
      <x:c r="O95" s="1019"/>
      <x:c r="P95" s="1020"/>
      <x:c r="Q95" s="1013" t="str">
        <x:f t="shared" si="2"/>
        <x:v xml:space="preserve">[] - </x:v>
      </x:c>
    </x:row>
    <x:row r="96" spans="15:17" ht="15.6" customHeight="1" x14ac:dyDescent="0.2">
      <x:c r="O96" s="1019"/>
      <x:c r="P96" s="1020"/>
      <x:c r="Q96" s="1013" t="str">
        <x:f t="shared" si="2"/>
        <x:v xml:space="preserve">[] - </x:v>
      </x:c>
    </x:row>
    <x:row r="97" spans="15:17" ht="15.6" customHeight="1" x14ac:dyDescent="0.2">
      <x:c r="O97" s="1019"/>
      <x:c r="P97" s="1020"/>
      <x:c r="Q97" s="1013" t="str">
        <x:f t="shared" si="2"/>
        <x:v xml:space="preserve">[] - </x:v>
      </x:c>
    </x:row>
    <x:row r="98" spans="15:17" ht="15.6" customHeight="1" x14ac:dyDescent="0.2">
      <x:c r="O98" s="1019"/>
      <x:c r="P98" s="1020"/>
      <x:c r="Q98" s="1013" t="str">
        <x:f t="shared" si="2"/>
        <x:v xml:space="preserve">[] - </x:v>
      </x:c>
    </x:row>
    <x:row r="99" spans="15:17" ht="15.6" customHeight="1" x14ac:dyDescent="0.2">
      <x:c r="O99" s="1021"/>
      <x:c r="P99" s="1022"/>
      <x:c r="Q99" s="1014" t="str">
        <x:f t="shared" si="2"/>
        <x:v xml:space="preserve">[] - </x:v>
      </x:c>
    </x:row>
    <x:row r="100" spans="15:17" x14ac:dyDescent="0.2">
      <x:c r="Q100" s="1010"/>
    </x:row>
  </x:sheetData>
  <x:sheetProtection algorithmName="SHA-512" hashValue="l2QEfwDcS5gR+UABf1NHPeeBw6Byh3BlH+coIfQ5Klh16eI7TiZ8tMCVqTdsmyXVNb63MVrzfrbrTfUjvU4MrA==" saltValue="O+vBYY93Su57R4v0LjJJsg=="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1487" priority="2" stopIfTrue="1" operator="equal">
      <x:formula>""</x:formula>
    </x:cfRule>
  </x:conditionalFormatting>
  <x:conditionalFormatting sqref="A13:J51">
    <x:cfRule type="expression" dxfId="1486" priority="1">
      <x:formula>$M13</x:formula>
    </x:cfRule>
  </x:conditionalFormatting>
  <x:dataValidations count="2">
    <x:dataValidation type="list" allowBlank="1" sqref="B13:J51">
      <x:formula1>OFFSET($Q$13,0,0,$O$10,1)</x:formula1>
    </x:dataValidation>
    <x:dataValidation type="list" allowBlank="1" showInputMessage="1" sqref="P7">
      <x:formula1>OFFSET($Q$13,0,0,$O$10,1)</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worksheet>
</file>

<file path=xl/worksheets/sheet30.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40">
    <x:tabColor indexed="44"/>
  </x:sheetPr>
  <x:dimension ref="A1:R100"/>
  <x:sheetViews>
    <x:sheetView showGridLines="0" zoomScaleNormal="100" zoomScaleSheetLayoutView="100" workbookViewId="0">
      <x:selection activeCell="H7" sqref="H7"/>
    </x:sheetView>
  </x:sheetViews>
  <x:sheetFormatPr defaultRowHeight="12" x14ac:dyDescent="0.2"/>
  <x:cols>
    <x:col min="1" max="1" width="10.7109375" style="295" customWidth="1"/>
    <x:col min="2" max="2" width="30.7109375" style="295" customWidth="1"/>
    <x:col min="3" max="6" width="6.42578125" style="295" customWidth="1"/>
    <x:col min="7" max="7" width="10.7109375" style="295" customWidth="1"/>
    <x:col min="8" max="8" width="6.7109375" style="295" customWidth="1"/>
    <x:col min="9" max="9" width="7.28515625" style="295" customWidth="1"/>
    <x:col min="10" max="10" width="10.7109375" style="295" customWidth="1"/>
    <x:col min="11" max="11" width="6.7109375" style="295" customWidth="1"/>
    <x:col min="12" max="13" width="5.7109375" style="295" hidden="1" customWidth="1"/>
    <x:col min="14" max="14" width="5.7109375" style="1010" hidden="1" customWidth="1"/>
    <x:col min="15" max="15" width="11.28515625" style="295" hidden="1" customWidth="1"/>
    <x:col min="16" max="16" width="68.140625" style="295" hidden="1" customWidth="1"/>
    <x:col min="17" max="17" width="135.5703125" style="295" hidden="1" customWidth="1"/>
    <x:col min="18" max="16384" width="9.140625" style="295"/>
  </x:cols>
  <x:sheetData>
    <x:row r="1" spans="1:18" s="449" customFormat="1" ht="15" customHeight="1" thickBot="1" x14ac:dyDescent="0.25">
      <x:c r="A1" s="444"/>
      <x:c r="B1" s="444"/>
      <x:c r="C1" s="444"/>
      <x:c r="D1" s="2227" t="str">
        <x:f>IF(L1="","",VLOOKUP(L1,'Job Info.'!X:AA,4,FALSE))</x:f>
        <x:v>Master</x:v>
      </x:c>
      <x:c r="E1" s="2266"/>
      <x:c r="F1" s="2266"/>
      <x:c r="G1" s="2265" t="s">
        <x:v>96</x:v>
      </x:c>
      <x:c r="H1" s="2277"/>
      <x:c r="I1" s="2259" t="str">
        <x:f ca="1">'Job Info.'!D12</x:f>
        <x:v>775-428-0600</x:v>
      </x:c>
      <x:c r="J1" s="2260"/>
      <x:c r="K1" s="578" t="s">
        <x:v>763</x:v>
      </x:c>
      <x:c r="L1" s="448" t="str">
        <x:f>'Job Info.'!Q30</x:f>
        <x:v>M</x:v>
      </x:c>
      <x:c r="M1" s="448" t="b">
        <x:f>'Job Info.'!Q32</x:f>
        <x:v>0</x:v>
      </x:c>
      <x:c r="N1" s="1008"/>
      <x:c r="R1" s="579" t="s">
        <x:v>764</x:v>
      </x:c>
    </x:row>
    <x:row r="2" spans="1:18" s="449" customFormat="1" ht="12.95" customHeight="1" thickTop="1" x14ac:dyDescent="0.2">
      <x:c r="A2" s="444"/>
      <x:c r="B2" s="444"/>
      <x:c r="C2" s="444"/>
      <x:c r="D2" s="2228" t="str">
        <x:f>IF(L1="","",IF(VLOOKUP(L1,'Job Info.'!X:Z,2,FALSE),"Released for Fabrication",""))</x:f>
        <x:v/>
      </x:c>
      <x:c r="E2" s="2267"/>
      <x:c r="F2" s="2268"/>
      <x:c r="G2" s="2265" t="s">
        <x:v>97</x:v>
      </x:c>
      <x:c r="H2" s="2265"/>
      <x:c r="I2" s="2259" t="str">
        <x:f ca="1">'Job Info.'!D13</x:f>
        <x:v>775-867-2140</x:v>
      </x:c>
      <x:c r="J2" s="2260"/>
      <x:c r="N2" s="1008"/>
    </x:row>
    <x:row r="3" spans="1:18" s="449" customFormat="1" ht="12.95" customHeight="1" x14ac:dyDescent="0.2">
      <x:c r="A3" s="444"/>
      <x:c r="B3" s="444"/>
      <x:c r="C3" s="444"/>
      <x:c r="D3" s="2269"/>
      <x:c r="E3" s="2270"/>
      <x:c r="F3" s="2271"/>
      <x:c r="G3" s="2265" t="s">
        <x:v>99</x:v>
      </x:c>
      <x:c r="H3" s="2265"/>
      <x:c r="I3" s="2259" t="str">
        <x:f ca="1">'Job Info.'!D14</x:f>
        <x:v>775-867-2169</x:v>
      </x:c>
      <x:c r="J3" s="2260"/>
      <x:c r="N3" s="1008"/>
    </x:row>
    <x:row r="4" spans="1:18" s="449" customFormat="1" ht="12.95" customHeight="1" thickBot="1" x14ac:dyDescent="0.25">
      <x:c r="A4" s="444"/>
      <x:c r="B4" s="444"/>
      <x:c r="C4" s="444"/>
      <x:c r="D4" s="2234" t="str">
        <x:f>IF(L1="","",IF(VLOOKUP(L1,'Job Info.'!X:Z,2,FALSE),VLOOKUP(L1,'Job Info.'!X:Z,3,FALSE),""))</x:f>
        <x:v/>
      </x:c>
      <x:c r="E4" s="2272"/>
      <x:c r="F4" s="2273"/>
      <x:c r="G4" s="2265" t="s">
        <x:v>98</x:v>
      </x:c>
      <x:c r="H4" s="2265"/>
      <x:c r="I4" s="2259" t="str">
        <x:f ca="1">'Job Info.'!D15</x:f>
        <x:v>775-867-2060</x:v>
      </x:c>
      <x:c r="J4" s="2260"/>
      <x:c r="N4" s="1008"/>
    </x:row>
    <x:row r="5" spans="1:18" s="449" customFormat="1" ht="12.95" customHeight="1" thickTop="1" x14ac:dyDescent="0.2">
      <x:c r="A5" s="2237" t="str">
        <x:f ca="1">'Job Info.'!D11</x:f>
        <x:v>8200 Woolery Way | Fallon, NV 89406 | www.newmill.com</x:v>
      </x:c>
      <x:c r="B5" s="2237"/>
      <x:c r="C5" s="2237"/>
      <x:c r="D5" s="2237"/>
      <x:c r="E5" s="2237"/>
      <x:c r="F5" s="2237"/>
      <x:c r="G5" s="1824"/>
      <x:c r="H5" s="444"/>
      <x:c r="I5" s="444"/>
      <x:c r="J5" s="444"/>
      <x:c r="N5" s="1008"/>
    </x:row>
    <x:row r="6" spans="1:18" s="449" customFormat="1" ht="12.95" customHeight="1" x14ac:dyDescent="0.2">
      <x:c r="A6" s="444"/>
      <x:c r="B6" s="444"/>
      <x:c r="C6" s="444"/>
      <x:c r="D6" s="444"/>
      <x:c r="E6" s="444"/>
      <x:c r="F6" s="444"/>
      <x:c r="G6" s="550" t="s">
        <x:v>20</x:v>
      </x:c>
      <x:c r="H6" s="2261">
        <x:f>IF(ISBLANK('Job Info.'!D8),"",'Job Info.'!D8)</x:f>
        <x:v>43406</x:v>
      </x:c>
      <x:c r="I6" s="2261"/>
      <x:c r="J6" s="444"/>
      <x:c r="L6" s="1392" t="s">
        <x:v>1180</x:v>
      </x:c>
      <x:c r="M6" s="979"/>
      <x:c r="N6" s="1008"/>
    </x:row>
    <x:row r="7" spans="1:18" ht="12.95" customHeight="1" x14ac:dyDescent="0.2">
      <x:c r="A7" s="472" t="s">
        <x:v>29</x:v>
      </x:c>
      <x:c r="B7" s="473"/>
      <x:c r="C7" s="473"/>
      <x:c r="D7" s="473"/>
      <x:c r="E7" s="473"/>
      <x:c r="F7" s="1023"/>
      <x:c r="G7" s="551" t="s">
        <x:v>21</x:v>
      </x:c>
      <x:c r="H7" s="1527" t="str">
        <x:f>CONCATENATE(L7, " of ",IF(ISBLANK('Job Info.'!D9),"",'Job Info.'!D9))</x:f>
        <x:v>6 of 42</x:v>
      </x:c>
      <x:c r="I7" s="822"/>
      <x:c r="J7" s="573"/>
      <x:c r="L7" s="1394">
        <x:v>6</x:v>
      </x:c>
      <x:c r="M7" s="453"/>
      <x:c r="P7" s="1009"/>
    </x:row>
    <x:row r="8" spans="1:18" ht="3.95" customHeight="1" x14ac:dyDescent="0.2">
      <x:c r="A8" s="473"/>
      <x:c r="B8" s="473"/>
      <x:c r="C8" s="473"/>
      <x:c r="D8" s="473"/>
      <x:c r="E8" s="473"/>
      <x:c r="F8" s="473"/>
      <x:c r="G8" s="473"/>
      <x:c r="H8" s="473"/>
      <x:c r="I8" s="473"/>
      <x:c r="J8" s="473"/>
    </x:row>
    <x:row r="9" spans="1:18" ht="12.6" customHeight="1" x14ac:dyDescent="0.2">
      <x:c r="A9" s="572" t="s">
        <x:v>1</x:v>
      </x:c>
      <x:c r="B9" s="2225" t="str">
        <x:f>IF(ISBLANK('Job Info.'!D3),"",'Job Info.'!D3)</x:f>
        <x:v>SUNPOINT CROSSING</x:v>
      </x:c>
      <x:c r="C9" s="2225"/>
      <x:c r="D9" s="2226"/>
      <x:c r="E9" s="574"/>
      <x:c r="F9" s="575" t="s">
        <x:v>2</x:v>
      </x:c>
      <x:c r="G9" s="2225" t="str">
        <x:f>IF(ISBLANK('Job Info.'!D5),"",'Job Info.'!D5)</x:f>
        <x:v>9118-0062</x:v>
      </x:c>
      <x:c r="H9" s="2225"/>
      <x:c r="I9" s="2225"/>
      <x:c r="J9" s="2226"/>
      <x:c r="L9" s="453"/>
    </x:row>
    <x:row r="10" spans="1:18" ht="12.6" customHeight="1" x14ac:dyDescent="0.2">
      <x:c r="A10" s="572" t="s">
        <x:v>3</x:v>
      </x:c>
      <x:c r="B10" s="2225" t="str">
        <x:f>IF(ISBLANK('Job Info.'!D4),"",'Job Info.'!D4)</x:f>
        <x:v>LAS VEGAS, NV</x:v>
      </x:c>
      <x:c r="C10" s="2225"/>
      <x:c r="D10" s="2226"/>
      <x:c r="E10" s="567"/>
      <x:c r="F10" s="572" t="s">
        <x:v>22</x:v>
      </x:c>
      <x:c r="G10" s="1823" t="str">
        <x:f>IF(ISBLANK('Job Info.'!D6),"",'Job Info.'!D6)</x:f>
        <x:v>CJA</x:v>
      </x:c>
      <x:c r="H10" s="286"/>
      <x:c r="I10" s="575" t="s">
        <x:v>23</x:v>
      </x:c>
      <x:c r="J10" s="1823" t="str">
        <x:f>IF(ISBLANK('Job Info.'!D7),"",'Job Info.'!D7)</x:f>
        <x:v>LS</x:v>
      </x:c>
      <x:c r="L10" s="1201" t="s">
        <x:v>1016</x:v>
      </x:c>
      <x:c r="M10" s="1201" t="s">
        <x:v>171</x:v>
      </x:c>
      <x:c r="O10" s="295">
        <x:f>COUNTA(P13:P99)</x:f>
        <x:v>56</x:v>
      </x:c>
      <x:c r="Q10" s="1010"/>
    </x:row>
    <x:row r="11" spans="1:18" ht="3.95" customHeight="1" x14ac:dyDescent="0.2">
      <x:c r="A11" s="1396"/>
      <x:c r="B11" s="473"/>
      <x:c r="C11" s="473"/>
      <x:c r="D11" s="473"/>
      <x:c r="E11" s="473"/>
      <x:c r="F11" s="473"/>
      <x:c r="G11" s="473"/>
      <x:c r="H11" s="473"/>
      <x:c r="I11" s="473"/>
      <x:c r="J11" s="473"/>
      <x:c r="Q11" s="1010"/>
    </x:row>
    <x:row r="12" spans="1:18" s="570" customFormat="1" ht="15.4" customHeight="1" thickBot="1" x14ac:dyDescent="0.25">
      <x:c r="A12" s="1821" t="s">
        <x:v>30</x:v>
      </x:c>
      <x:c r="B12" s="2262" t="s">
        <x:v>15</x:v>
      </x:c>
      <x:c r="C12" s="2263"/>
      <x:c r="D12" s="2263"/>
      <x:c r="E12" s="2263"/>
      <x:c r="F12" s="2263"/>
      <x:c r="G12" s="2263"/>
      <x:c r="H12" s="2263"/>
      <x:c r="I12" s="2263"/>
      <x:c r="J12" s="2264"/>
      <x:c r="O12" s="1015" t="s">
        <x:v>1006</x:v>
      </x:c>
      <x:c r="P12" s="1016" t="s">
        <x:v>1007</x:v>
      </x:c>
      <x:c r="Q12" s="1011" t="s">
        <x:v>1011</x:v>
      </x:c>
    </x:row>
    <x:row r="13" spans="1:18" ht="15.4" customHeight="1" thickTop="1" x14ac:dyDescent="0.2">
      <x:c r="A13" s="2017" t="s">
        <x:v>1916</x:v>
      </x:c>
      <x:c r="B13" s="3036" t="s">
        <x:v>1917</x:v>
      </x:c>
      <x:c r="C13" s="3037"/>
      <x:c r="D13" s="3037"/>
      <x:c r="E13" s="3037"/>
      <x:c r="F13" s="3037"/>
      <x:c r="G13" s="3037"/>
      <x:c r="H13" s="3037"/>
      <x:c r="I13" s="3037"/>
      <x:c r="J13" s="3038"/>
      <x:c r="L13" s="1203" t="str">
        <x:f>IF(ISBLANK(A13),"",A13)</x:f>
        <x:v>DZ</x:v>
      </x:c>
      <x:c r="M13" s="1203" t="b">
        <x:v>0</x:v>
      </x:c>
      <x:c r="O13" s="1017"/>
      <x:c r="P13" s="1018" t="s">
        <x:v>1065</x:v>
      </x:c>
      <x:c r="Q13" s="1012" t="str">
        <x:f>CONCATENATE("[",O13, "] - ", P13)</x:f>
        <x:v>[] - SHAPES</x:v>
      </x:c>
    </x:row>
    <x:row r="14" spans="1:18" ht="15.4" customHeight="1" x14ac:dyDescent="0.2">
      <x:c r="A14" s="2018" t="s">
        <x:v>1918</x:v>
      </x:c>
      <x:c r="B14" s="3030" t="s">
        <x:v>1919</x:v>
      </x:c>
      <x:c r="C14" s="3031"/>
      <x:c r="D14" s="3031"/>
      <x:c r="E14" s="3031"/>
      <x:c r="F14" s="3031"/>
      <x:c r="G14" s="3031"/>
      <x:c r="H14" s="3031"/>
      <x:c r="I14" s="3031"/>
      <x:c r="J14" s="3032"/>
      <x:c r="L14" s="1203" t="str">
        <x:f>IF(ISBLANK(A14),L13,A14)</x:f>
        <x:v>EA</x:v>
      </x:c>
      <x:c r="M14" s="1203" t="b">
        <x:v>0</x:v>
      </x:c>
      <x:c r="O14" s="1019" t="s">
        <x:v>1008</x:v>
      </x:c>
      <x:c r="P14" s="1020" t="s">
        <x:v>1066</x:v>
      </x:c>
      <x:c r="Q14" s="1013" t="str">
        <x:f t="shared" ref="Q14:Q77" si="0">CONCATENATE("[",O14, "] - ", P14)</x:f>
        <x:v>[SP] - Single Pitch: (Ctr Depth=Designation) ##" Depth @ LBL, ##" Depth @ RBL</x:v>
      </x:c>
    </x:row>
    <x:row r="15" spans="1:18" ht="15.4" customHeight="1" x14ac:dyDescent="0.2">
      <x:c r="A15" s="2018" t="s">
        <x:v>1920</x:v>
      </x:c>
      <x:c r="B15" s="3030" t="s">
        <x:v>1921</x:v>
      </x:c>
      <x:c r="C15" s="3031"/>
      <x:c r="D15" s="3031"/>
      <x:c r="E15" s="3031"/>
      <x:c r="F15" s="3031"/>
      <x:c r="G15" s="3031"/>
      <x:c r="H15" s="3031"/>
      <x:c r="I15" s="3031"/>
      <x:c r="J15" s="3032"/>
      <x:c r="L15" s="1203" t="str">
        <x:f t="shared" ref="L15:L51" si="1">IF(ISBLANK(A15),L14,A15)</x:f>
        <x:v>EB</x:v>
      </x:c>
      <x:c r="M15" s="1203" t="b">
        <x:v>0</x:v>
      </x:c>
      <x:c r="O15" s="1019" t="s">
        <x:v>1009</x:v>
      </x:c>
      <x:c r="P15" s="1020" t="s">
        <x:v>1067</x:v>
      </x:c>
      <x:c r="Q15" s="1013" t="str">
        <x:f t="shared" si="0"/>
        <x:v>[DP] - Double Pitch: Ridge @ ##’-## From LBL (Depth=Designation), ##" Depth @ LBL, ##" Depth @ RBL</x:v>
      </x:c>
    </x:row>
    <x:row r="16" spans="1:18" ht="15.4" customHeight="1" x14ac:dyDescent="0.2">
      <x:c r="A16" s="2018" t="s">
        <x:v>1922</x:v>
      </x:c>
      <x:c r="B16" s="3030" t="s">
        <x:v>1923</x:v>
      </x:c>
      <x:c r="C16" s="3031"/>
      <x:c r="D16" s="3031"/>
      <x:c r="E16" s="3031"/>
      <x:c r="F16" s="3031"/>
      <x:c r="G16" s="3031"/>
      <x:c r="H16" s="3031"/>
      <x:c r="I16" s="3031"/>
      <x:c r="J16" s="3032"/>
      <x:c r="L16" s="1203" t="str">
        <x:f t="shared" si="1"/>
        <x:v>EC</x:v>
      </x:c>
      <x:c r="M16" s="1203" t="b">
        <x:v>0</x:v>
      </x:c>
      <x:c r="O16" s="1019" t="s">
        <x:v>1010</x:v>
      </x:c>
      <x:c r="P16" s="1020" t="s">
        <x:v>1068</x:v>
      </x:c>
      <x:c r="Q16" s="1013" t="str">
        <x:f t="shared" si="0"/>
        <x:v>[TP] - Triple Pitch: Ridge Left @ ##’-## From LBL (Depth=Designation), ##" Depth @ LBL, ##" Depth @ RBL, Ridge Right @ ##'-## From LBL</x:v>
      </x:c>
    </x:row>
    <x:row r="17" spans="1:17" ht="15.4" customHeight="1" x14ac:dyDescent="0.2">
      <x:c r="A17" s="2018" t="s">
        <x:v>1924</x:v>
      </x:c>
      <x:c r="B17" s="3030" t="s">
        <x:v>1925</x:v>
      </x:c>
      <x:c r="C17" s="3031"/>
      <x:c r="D17" s="3031"/>
      <x:c r="E17" s="3031"/>
      <x:c r="F17" s="3031"/>
      <x:c r="G17" s="3031"/>
      <x:c r="H17" s="3031"/>
      <x:c r="I17" s="3031"/>
      <x:c r="J17" s="3032"/>
      <x:c r="L17" s="1203" t="str">
        <x:f t="shared" si="1"/>
        <x:v>ED</x:v>
      </x:c>
      <x:c r="M17" s="1203" t="b">
        <x:v>0</x:v>
      </x:c>
      <x:c r="O17" s="1019" t="s">
        <x:v>1034</x:v>
      </x:c>
      <x:c r="P17" s="1020" t="s">
        <x:v>1069</x:v>
      </x:c>
      <x:c r="Q17" s="1013" t="str">
        <x:f t="shared" si="0"/>
        <x:v>[AC] - Arched Chords: (Depth=Designation) ##" TC Radius</x:v>
      </x:c>
    </x:row>
    <x:row r="18" spans="1:17" ht="15.4" customHeight="1" x14ac:dyDescent="0.2">
      <x:c r="A18" s="2018" t="s">
        <x:v>1926</x:v>
      </x:c>
      <x:c r="B18" s="3030" t="s">
        <x:v>1927</x:v>
      </x:c>
      <x:c r="C18" s="3031"/>
      <x:c r="D18" s="3031"/>
      <x:c r="E18" s="3031"/>
      <x:c r="F18" s="3031"/>
      <x:c r="G18" s="3031"/>
      <x:c r="H18" s="3031"/>
      <x:c r="I18" s="3031"/>
      <x:c r="J18" s="3032"/>
      <x:c r="L18" s="1203" t="str">
        <x:f t="shared" si="1"/>
        <x:v>EE</x:v>
      </x:c>
      <x:c r="M18" s="1203" t="b">
        <x:v>0</x:v>
      </x:c>
      <x:c r="O18" s="1019" t="s">
        <x:v>1035</x:v>
      </x:c>
      <x:c r="P18" s="1020" t="s">
        <x:v>1070</x:v>
      </x:c>
      <x:c r="Q18" s="1013" t="str">
        <x:f t="shared" si="0"/>
        <x:v>[BW] - Bowstring: Ridge @ ##’-## From LBL (Depth=Designation), ##" Depth @ LBL, ##" TC Radius</x:v>
      </x:c>
    </x:row>
    <x:row r="19" spans="1:17" ht="15.4" customHeight="1" x14ac:dyDescent="0.2">
      <x:c r="A19" s="2018" t="s">
        <x:v>1928</x:v>
      </x:c>
      <x:c r="B19" s="3030" t="s">
        <x:v>1929</x:v>
      </x:c>
      <x:c r="C19" s="3031"/>
      <x:c r="D19" s="3031"/>
      <x:c r="E19" s="3031"/>
      <x:c r="F19" s="3031"/>
      <x:c r="G19" s="3031"/>
      <x:c r="H19" s="3031"/>
      <x:c r="I19" s="3031"/>
      <x:c r="J19" s="3032"/>
      <x:c r="L19" s="1203" t="str">
        <x:f t="shared" si="1"/>
        <x:v>EF</x:v>
      </x:c>
      <x:c r="M19" s="1203" t="b">
        <x:v>0</x:v>
      </x:c>
      <x:c r="O19" s="1019" t="s">
        <x:v>1036</x:v>
      </x:c>
      <x:c r="P19" s="1020" t="s">
        <x:v>1119</x:v>
      </x:c>
      <x:c r="Q19" s="1013" t="str">
        <x:f t="shared" si="0"/>
        <x:v>[SC] - Scissor: Ridge @ ##’-## From LBL (Vert Depth=Designation), BC Rise ##” @ Ridge From LBL, ##" Vert Depth @ LBL, ##" Vert Depth @ RBL, ##" BC Elev difference @ RBL</x:v>
      </x:c>
    </x:row>
    <x:row r="20" spans="1:17" ht="15.4" customHeight="1" x14ac:dyDescent="0.2">
      <x:c r="A20" s="2018"/>
      <x:c r="B20" s="3030" t="s">
        <x:v>1930</x:v>
      </x:c>
      <x:c r="C20" s="3031"/>
      <x:c r="D20" s="3031"/>
      <x:c r="E20" s="3031"/>
      <x:c r="F20" s="3031"/>
      <x:c r="G20" s="3031"/>
      <x:c r="H20" s="3031"/>
      <x:c r="I20" s="3031"/>
      <x:c r="J20" s="3032"/>
      <x:c r="L20" s="1203" t="str">
        <x:f t="shared" si="1"/>
        <x:v>EF</x:v>
      </x:c>
      <x:c r="M20" s="1203" t="b">
        <x:v>0</x:v>
      </x:c>
      <x:c r="O20" s="1019"/>
      <x:c r="P20" s="1020" t="s">
        <x:v>1071</x:v>
      </x:c>
      <x:c r="Q20" s="1013" t="str">
        <x:f t="shared" si="0"/>
        <x:v>[] - DEFLECTION</x:v>
      </x:c>
    </x:row>
    <x:row r="21" spans="1:17" ht="15.4" customHeight="1" x14ac:dyDescent="0.2">
      <x:c r="A21" s="2018" t="s">
        <x:v>1931</x:v>
      </x:c>
      <x:c r="B21" s="3039" t="s">
        <x:v>1932</x:v>
      </x:c>
      <x:c r="C21" s="3040"/>
      <x:c r="D21" s="3040"/>
      <x:c r="E21" s="3040"/>
      <x:c r="F21" s="3040"/>
      <x:c r="G21" s="3040"/>
      <x:c r="H21" s="3040"/>
      <x:c r="I21" s="3040"/>
      <x:c r="J21" s="3041"/>
      <x:c r="L21" s="1203" t="str">
        <x:f t="shared" si="1"/>
        <x:v>EG</x:v>
      </x:c>
      <x:c r="M21" s="1203" t="b">
        <x:v>0</x:v>
      </x:c>
      <x:c r="O21" s="1019" t="s">
        <x:v>1029</x:v>
      </x:c>
      <x:c r="P21" s="1020" t="s">
        <x:v>1072</x:v>
      </x:c>
      <x:c r="Q21" s="1013" t="str">
        <x:f t="shared" si="0"/>
        <x:v>[DefLL] - LL Deflection = L/###|Deflection=L/### Due To ### PLF LL|LL Deflection=L/### (LL/TL Ratio = ##%)</x:v>
      </x:c>
    </x:row>
    <x:row r="22" spans="1:17" ht="15.4" customHeight="1" x14ac:dyDescent="0.2">
      <x:c r="A22" s="2018" t="s">
        <x:v>1933</x:v>
      </x:c>
      <x:c r="B22" s="3030" t="s">
        <x:v>1934</x:v>
      </x:c>
      <x:c r="C22" s="3031"/>
      <x:c r="D22" s="3031"/>
      <x:c r="E22" s="3031"/>
      <x:c r="F22" s="3031"/>
      <x:c r="G22" s="3031"/>
      <x:c r="H22" s="3031"/>
      <x:c r="I22" s="3031"/>
      <x:c r="J22" s="3032"/>
      <x:c r="L22" s="1203" t="str">
        <x:f t="shared" si="1"/>
        <x:v>EH</x:v>
      </x:c>
      <x:c r="M22" s="1203" t="b">
        <x:v>0</x:v>
      </x:c>
      <x:c r="O22" s="1019" t="s">
        <x:v>1030</x:v>
      </x:c>
      <x:c r="P22" s="1020" t="s">
        <x:v>1073</x:v>
      </x:c>
      <x:c r="Q22" s="1013" t="str">
        <x:f t="shared" si="0"/>
        <x:v>[DefTL] - TL Deflection = L/###, Ck Std Camber Satisfies DL Def</x:v>
      </x:c>
    </x:row>
    <x:row r="23" spans="1:17" ht="15.4" customHeight="1" x14ac:dyDescent="0.2">
      <x:c r="A23" s="2018" t="s">
        <x:v>1935</x:v>
      </x:c>
      <x:c r="B23" s="3036" t="s">
        <x:v>1936</x:v>
      </x:c>
      <x:c r="C23" s="3037"/>
      <x:c r="D23" s="3037"/>
      <x:c r="E23" s="3037"/>
      <x:c r="F23" s="3037"/>
      <x:c r="G23" s="3037"/>
      <x:c r="H23" s="3037"/>
      <x:c r="I23" s="3037"/>
      <x:c r="J23" s="3038"/>
      <x:c r="L23" s="1203" t="str">
        <x:f t="shared" si="1"/>
        <x:v>EI</x:v>
      </x:c>
      <x:c r="M23" s="1203" t="b">
        <x:v>0</x:v>
      </x:c>
      <x:c r="O23" s="1019" t="s">
        <x:v>1031</x:v>
      </x:c>
      <x:c r="P23" s="1020" t="s">
        <x:v>1075</x:v>
      </x:c>
      <x:c r="Q23" s="1013" t="str">
        <x:f t="shared" si="0"/>
        <x:v>[DefTCX] - TCXL|TCXR Deflection = ##" Max Due To ### PLF LL|DL|TL</x:v>
      </x:c>
    </x:row>
    <x:row r="24" spans="1:17" ht="15.4" customHeight="1" x14ac:dyDescent="0.2">
      <x:c r="A24" s="2018"/>
      <x:c r="B24" s="3030" t="s">
        <x:v>170</x:v>
      </x:c>
      <x:c r="C24" s="3031"/>
      <x:c r="D24" s="3031"/>
      <x:c r="E24" s="3031"/>
      <x:c r="F24" s="3031"/>
      <x:c r="G24" s="3031"/>
      <x:c r="H24" s="3031"/>
      <x:c r="I24" s="3031"/>
      <x:c r="J24" s="3032"/>
      <x:c r="L24" s="1203" t="str">
        <x:f t="shared" si="1"/>
        <x:v>EI</x:v>
      </x:c>
      <x:c r="M24" s="1203" t="b">
        <x:v>0</x:v>
      </x:c>
      <x:c r="O24" s="1019" t="s">
        <x:v>1032</x:v>
      </x:c>
      <x:c r="P24" s="1020" t="s">
        <x:v>1074</x:v>
      </x:c>
      <x:c r="Q24" s="1013" t="str">
        <x:f t="shared" si="0"/>
        <x:v>[DefSP] - Special Deflection = ##" Max Due To ### PLF LL|DL|TL</x:v>
      </x:c>
    </x:row>
    <x:row r="25" spans="1:17" ht="15.4" customHeight="1" x14ac:dyDescent="0.2">
      <x:c r="A25" s="2018" t="s">
        <x:v>1937</x:v>
      </x:c>
      <x:c r="B25" s="3030" t="s">
        <x:v>2295</x:v>
      </x:c>
      <x:c r="C25" s="3031"/>
      <x:c r="D25" s="3031"/>
      <x:c r="E25" s="3031"/>
      <x:c r="F25" s="3031"/>
      <x:c r="G25" s="3031"/>
      <x:c r="H25" s="3031"/>
      <x:c r="I25" s="3031"/>
      <x:c r="J25" s="3032"/>
      <x:c r="L25" s="1203" t="str">
        <x:f t="shared" si="1"/>
        <x:v>EJ</x:v>
      </x:c>
      <x:c r="M25" s="1203" t="b">
        <x:v>0</x:v>
      </x:c>
      <x:c r="O25" s="1019"/>
      <x:c r="P25" s="1020" t="s">
        <x:v>1076</x:v>
      </x:c>
      <x:c r="Q25" s="1013" t="str">
        <x:f t="shared" si="0"/>
        <x:v>[] - BEARING SEATS</x:v>
      </x:c>
    </x:row>
    <x:row r="26" spans="1:17" ht="15.4" customHeight="1" x14ac:dyDescent="0.2">
      <x:c r="A26" s="2018" t="s">
        <x:v>1938</x:v>
      </x:c>
      <x:c r="B26" s="3030" t="s">
        <x:v>1939</x:v>
      </x:c>
      <x:c r="C26" s="3031"/>
      <x:c r="D26" s="3031"/>
      <x:c r="E26" s="3031"/>
      <x:c r="F26" s="3031"/>
      <x:c r="G26" s="3031"/>
      <x:c r="H26" s="3031"/>
      <x:c r="I26" s="3031"/>
      <x:c r="J26" s="3032"/>
      <x:c r="L26" s="1203" t="str">
        <x:f t="shared" si="1"/>
        <x:v>EK</x:v>
      </x:c>
      <x:c r="M26" s="1203" t="b">
        <x:v>0</x:v>
      </x:c>
      <x:c r="O26" s="1019" t="s">
        <x:v>1120</x:v>
      </x:c>
      <x:c r="P26" s="1020" t="s">
        <x:v>1121</x:v>
      </x:c>
      <x:c r="Q26" s="1013" t="str">
        <x:f t="shared" si="0"/>
        <x:v>[ShrtBrg] - Short Bearing = #” @ LE|RE|BE</x:v>
      </x:c>
    </x:row>
    <x:row r="27" spans="1:17" ht="15.4" customHeight="1" x14ac:dyDescent="0.2">
      <x:c r="A27" s="2018" t="s">
        <x:v>1940</x:v>
      </x:c>
      <x:c r="B27" s="3030" t="s">
        <x:v>1941</x:v>
      </x:c>
      <x:c r="C27" s="3031"/>
      <x:c r="D27" s="3031"/>
      <x:c r="E27" s="3031"/>
      <x:c r="F27" s="3031"/>
      <x:c r="G27" s="3031"/>
      <x:c r="H27" s="3031"/>
      <x:c r="I27" s="3031"/>
      <x:c r="J27" s="3032"/>
      <x:c r="L27" s="1203" t="str">
        <x:f t="shared" si="1"/>
        <x:v>EL</x:v>
      </x:c>
      <x:c r="M27" s="1203" t="b">
        <x:v>0</x:v>
      </x:c>
      <x:c r="O27" s="1019" t="s">
        <x:v>1023</x:v>
      </x:c>
      <x:c r="P27" s="1020" t="s">
        <x:v>1077</x:v>
      </x:c>
      <x:c r="Q27" s="1013" t="str">
        <x:f t="shared" si="0"/>
        <x:v>[TCXMax] - Max Depth of TCXL|TCXR = ##"</x:v>
      </x:c>
    </x:row>
    <x:row r="28" spans="1:17" ht="15.4" customHeight="1" x14ac:dyDescent="0.2">
      <x:c r="A28" s="2018" t="s">
        <x:v>1942</x:v>
      </x:c>
      <x:c r="B28" s="3030" t="s">
        <x:v>1943</x:v>
      </x:c>
      <x:c r="C28" s="3031"/>
      <x:c r="D28" s="3031"/>
      <x:c r="E28" s="3031"/>
      <x:c r="F28" s="3031"/>
      <x:c r="G28" s="3031"/>
      <x:c r="H28" s="3031"/>
      <x:c r="I28" s="3031"/>
      <x:c r="J28" s="3032"/>
      <x:c r="L28" s="1203" t="str">
        <x:f t="shared" si="1"/>
        <x:v>EM</x:v>
      </x:c>
      <x:c r="M28" s="1203" t="b">
        <x:v>0</x:v>
      </x:c>
      <x:c r="O28" s="1019" t="s">
        <x:v>1017</x:v>
      </x:c>
      <x:c r="P28" s="1020" t="s">
        <x:v>1122</x:v>
      </x:c>
      <x:c r="Q28" s="1013" t="str">
        <x:f t="shared" si="0"/>
        <x:v>[TCXSup] - TCXL|TCXR Supported @ End</x:v>
      </x:c>
    </x:row>
    <x:row r="29" spans="1:17" ht="15.4" customHeight="1" x14ac:dyDescent="0.2">
      <x:c r="A29" s="2018" t="s">
        <x:v>1944</x:v>
      </x:c>
      <x:c r="B29" s="3030" t="s">
        <x:v>1945</x:v>
      </x:c>
      <x:c r="C29" s="3031"/>
      <x:c r="D29" s="3031"/>
      <x:c r="E29" s="3031"/>
      <x:c r="F29" s="3031"/>
      <x:c r="G29" s="3031"/>
      <x:c r="H29" s="3031"/>
      <x:c r="I29" s="3031"/>
      <x:c r="J29" s="3032"/>
      <x:c r="L29" s="1203" t="str">
        <x:f t="shared" si="1"/>
        <x:v>EN</x:v>
      </x:c>
      <x:c r="M29" s="1203" t="b">
        <x:v>0</x:v>
      </x:c>
      <x:c r="O29" s="1019" t="s">
        <x:v>1079</x:v>
      </x:c>
      <x:c r="P29" s="1020" t="s">
        <x:v>1123</x:v>
      </x:c>
      <x:c r="Q29" s="1013" t="str">
        <x:f t="shared" si="0"/>
        <x:v>[Rein] - Reinforce Seats @ LE|RE|BE for Axial Load Transfer</x:v>
      </x:c>
    </x:row>
    <x:row r="30" spans="1:17" ht="15.4" customHeight="1" x14ac:dyDescent="0.2">
      <x:c r="A30" s="2018" t="s">
        <x:v>1946</x:v>
      </x:c>
      <x:c r="B30" s="3030" t="s">
        <x:v>1947</x:v>
      </x:c>
      <x:c r="C30" s="3031"/>
      <x:c r="D30" s="3031"/>
      <x:c r="E30" s="3031"/>
      <x:c r="F30" s="3031"/>
      <x:c r="G30" s="3031"/>
      <x:c r="H30" s="3031"/>
      <x:c r="I30" s="3031"/>
      <x:c r="J30" s="3032"/>
      <x:c r="L30" s="1203" t="str">
        <x:f t="shared" si="1"/>
        <x:v>EO</x:v>
      </x:c>
      <x:c r="M30" s="1203" t="b">
        <x:v>0</x:v>
      </x:c>
      <x:c r="O30" s="1019" t="s">
        <x:v>1078</x:v>
      </x:c>
      <x:c r="P30" s="1020" t="s">
        <x:v>1080</x:v>
      </x:c>
      <x:c r="Q30" s="1013" t="str">
        <x:f t="shared" si="0"/>
        <x:v>[NoRein] - Tie Pl Provided for Load Transfer, No Rein Req’d</x:v>
      </x:c>
    </x:row>
    <x:row r="31" spans="1:17" ht="15.4" customHeight="1" x14ac:dyDescent="0.2">
      <x:c r="A31" s="2018" t="s">
        <x:v>1948</x:v>
      </x:c>
      <x:c r="B31" s="3030" t="s">
        <x:v>1927</x:v>
      </x:c>
      <x:c r="C31" s="3031"/>
      <x:c r="D31" s="3031"/>
      <x:c r="E31" s="3031"/>
      <x:c r="F31" s="3031"/>
      <x:c r="G31" s="3031"/>
      <x:c r="H31" s="3031"/>
      <x:c r="I31" s="3031"/>
      <x:c r="J31" s="3032"/>
      <x:c r="L31" s="1203" t="str">
        <x:f t="shared" si="1"/>
        <x:v>EP</x:v>
      </x:c>
      <x:c r="M31" s="1203" t="b">
        <x:v>0</x:v>
      </x:c>
      <x:c r="O31" s="1019" t="s">
        <x:v>1081</x:v>
      </x:c>
      <x:c r="P31" s="1020" t="s">
        <x:v>1083</x:v>
      </x:c>
      <x:c r="Q31" s="1013" t="str">
        <x:f t="shared" si="0"/>
        <x:v>[KnifePL] - Knife Pl Provided for Load Transfer, TC/Seat Gap Clear for 1st ##” @ LE|RE|BE</x:v>
      </x:c>
    </x:row>
    <x:row r="32" spans="1:17" ht="15.4" customHeight="1" x14ac:dyDescent="0.2">
      <x:c r="A32" s="2018" t="s">
        <x:v>1949</x:v>
      </x:c>
      <x:c r="B32" s="3030" t="s">
        <x:v>1950</x:v>
      </x:c>
      <x:c r="C32" s="3031"/>
      <x:c r="D32" s="3031"/>
      <x:c r="E32" s="3031"/>
      <x:c r="F32" s="3031"/>
      <x:c r="G32" s="3031"/>
      <x:c r="H32" s="3031"/>
      <x:c r="I32" s="3031"/>
      <x:c r="J32" s="3032"/>
      <x:c r="L32" s="1203" t="str">
        <x:f t="shared" si="1"/>
        <x:v>EQ</x:v>
      </x:c>
      <x:c r="M32" s="1203" t="b">
        <x:v>0</x:v>
      </x:c>
      <x:c r="O32" s="1019" t="s">
        <x:v>1082</x:v>
      </x:c>
      <x:c r="P32" s="1020" t="s">
        <x:v>1084</x:v>
      </x:c>
      <x:c r="Q32" s="1013" t="str">
        <x:f t="shared" si="0"/>
        <x:v>[KickLd] - Axial Load Due To Kicker, No Rein Req’d</x:v>
      </x:c>
    </x:row>
    <x:row r="33" spans="1:17" ht="15.4" customHeight="1" x14ac:dyDescent="0.2">
      <x:c r="A33" s="2018" t="s">
        <x:v>2296</x:v>
      </x:c>
      <x:c r="B33" s="3030" t="s">
        <x:v>2297</x:v>
      </x:c>
      <x:c r="C33" s="3031"/>
      <x:c r="D33" s="3031"/>
      <x:c r="E33" s="3031"/>
      <x:c r="F33" s="3031"/>
      <x:c r="G33" s="3031"/>
      <x:c r="H33" s="3031"/>
      <x:c r="I33" s="3031"/>
      <x:c r="J33" s="3032"/>
      <x:c r="L33" s="1203" t="str">
        <x:f t="shared" si="1"/>
        <x:v>ER</x:v>
      </x:c>
      <x:c r="M33" s="1203" t="b">
        <x:v>0</x:v>
      </x:c>
      <x:c r="O33" s="1019" t="s">
        <x:v>1085</x:v>
      </x:c>
      <x:c r="P33" s="1020" t="s">
        <x:v>1086</x:v>
      </x:c>
      <x:c r="Q33" s="1013" t="str">
        <x:f t="shared" si="0"/>
        <x:v>[Roll] - Seat Rollover Force = ##Kips @ LE|RE|BE</x:v>
      </x:c>
    </x:row>
    <x:row r="34" spans="1:17" ht="15.4" customHeight="1" x14ac:dyDescent="0.2">
      <x:c r="A34" s="2018" t="s">
        <x:v>2298</x:v>
      </x:c>
      <x:c r="B34" s="3030" t="s">
        <x:v>2299</x:v>
      </x:c>
      <x:c r="C34" s="3031"/>
      <x:c r="D34" s="3031"/>
      <x:c r="E34" s="3031"/>
      <x:c r="F34" s="3031"/>
      <x:c r="G34" s="3031"/>
      <x:c r="H34" s="3031"/>
      <x:c r="I34" s="3031"/>
      <x:c r="J34" s="3032"/>
      <x:c r="L34" s="1203" t="str">
        <x:f t="shared" si="1"/>
        <x:v>ES</x:v>
      </x:c>
      <x:c r="M34" s="1203" t="b">
        <x:v>0</x:v>
      </x:c>
      <x:c r="O34" s="1019" t="s">
        <x:v>1044</x:v>
      </x:c>
      <x:c r="P34" s="1020" t="s">
        <x:v>1045</x:v>
      </x:c>
      <x:c r="Q34" s="1013" t="str">
        <x:f t="shared" si="0"/>
        <x:v>[ClrBrg] - Min Clear Bearing = #" @ LE(RE)(BE)</x:v>
      </x:c>
    </x:row>
    <x:row r="35" spans="1:17" ht="15.4" customHeight="1" x14ac:dyDescent="0.2">
      <x:c r="A35" s="2018"/>
      <x:c r="B35" s="3030"/>
      <x:c r="C35" s="3031"/>
      <x:c r="D35" s="3031"/>
      <x:c r="E35" s="3031"/>
      <x:c r="F35" s="3031"/>
      <x:c r="G35" s="3031"/>
      <x:c r="H35" s="3031"/>
      <x:c r="I35" s="3031"/>
      <x:c r="J35" s="3032"/>
      <x:c r="L35" s="1203" t="str">
        <x:f t="shared" si="1"/>
        <x:v>ES</x:v>
      </x:c>
      <x:c r="M35" s="1203" t="b">
        <x:v>0</x:v>
      </x:c>
      <x:c r="O35" s="1019" t="s">
        <x:v>1124</x:v>
      </x:c>
      <x:c r="P35" s="1020" t="s">
        <x:v>1033</x:v>
      </x:c>
      <x:c r="Q35" s="1013" t="str">
        <x:f t="shared" si="0"/>
        <x:v>[Skew] - ##º Half(Full)-Skew, NS(FS), LE(RE)</x:v>
      </x:c>
    </x:row>
    <x:row r="36" spans="1:17" ht="15.4" customHeight="1" x14ac:dyDescent="0.2">
      <x:c r="A36" s="2018"/>
      <x:c r="B36" s="3030"/>
      <x:c r="C36" s="3031"/>
      <x:c r="D36" s="3031"/>
      <x:c r="E36" s="3031"/>
      <x:c r="F36" s="3031"/>
      <x:c r="G36" s="3031"/>
      <x:c r="H36" s="3031"/>
      <x:c r="I36" s="3031"/>
      <x:c r="J36" s="3032"/>
      <x:c r="L36" s="1203" t="str">
        <x:f t="shared" si="1"/>
        <x:v>ES</x:v>
      </x:c>
      <x:c r="M36" s="1203" t="b">
        <x:v>0</x:v>
      </x:c>
      <x:c r="O36" s="1019" t="s">
        <x:v>1024</x:v>
      </x:c>
      <x:c r="P36" s="1020" t="s">
        <x:v>1087</x:v>
      </x:c>
      <x:c r="Q36" s="1013" t="str">
        <x:f t="shared" si="0"/>
        <x:v>[BCBrg] - Bottom Chord Bearing @ LE|RE|BE</x:v>
      </x:c>
    </x:row>
    <x:row r="37" spans="1:17" ht="15.4" customHeight="1" x14ac:dyDescent="0.2">
      <x:c r="A37" s="2018"/>
      <x:c r="B37" s="3030"/>
      <x:c r="C37" s="3031"/>
      <x:c r="D37" s="3031"/>
      <x:c r="E37" s="3031"/>
      <x:c r="F37" s="3031"/>
      <x:c r="G37" s="3031"/>
      <x:c r="H37" s="3031"/>
      <x:c r="I37" s="3031"/>
      <x:c r="J37" s="3032"/>
      <x:c r="L37" s="1203" t="str">
        <x:f t="shared" si="1"/>
        <x:v>ES</x:v>
      </x:c>
      <x:c r="M37" s="1203" t="b">
        <x:v>0</x:v>
      </x:c>
      <x:c r="O37" s="1019" t="s">
        <x:v>1018</x:v>
      </x:c>
      <x:c r="P37" s="1020" t="s">
        <x:v>1088</x:v>
      </x:c>
      <x:c r="Q37" s="1013" t="str">
        <x:f t="shared" si="0"/>
        <x:v>[StgSlt] - Stagger Seat Slots LE|RE: ##" NS, ##" FS</x:v>
      </x:c>
    </x:row>
    <x:row r="38" spans="1:17" ht="15.4" customHeight="1" x14ac:dyDescent="0.2">
      <x:c r="A38" s="2018"/>
      <x:c r="B38" s="3030"/>
      <x:c r="C38" s="3031"/>
      <x:c r="D38" s="3031"/>
      <x:c r="E38" s="3031"/>
      <x:c r="F38" s="3031"/>
      <x:c r="G38" s="3031"/>
      <x:c r="H38" s="3031"/>
      <x:c r="I38" s="3031"/>
      <x:c r="J38" s="3032"/>
      <x:c r="L38" s="1203" t="str">
        <x:f t="shared" si="1"/>
        <x:v>ES</x:v>
      </x:c>
      <x:c r="M38" s="1203" t="b">
        <x:v>0</x:v>
      </x:c>
      <x:c r="O38" s="1019" t="s">
        <x:v>1019</x:v>
      </x:c>
      <x:c r="P38" s="1020" t="s">
        <x:v>1089</x:v>
      </x:c>
      <x:c r="Q38" s="1013" t="str">
        <x:f t="shared" si="0"/>
        <x:v>[SpSlt] - Special Seat Slots: #"x#" Slots, Ga=#" @ LE|RE|BE</x:v>
      </x:c>
    </x:row>
    <x:row r="39" spans="1:17" ht="15.4" customHeight="1" x14ac:dyDescent="0.2">
      <x:c r="A39" s="2018"/>
      <x:c r="B39" s="3030"/>
      <x:c r="C39" s="3031"/>
      <x:c r="D39" s="3031"/>
      <x:c r="E39" s="3031"/>
      <x:c r="F39" s="3031"/>
      <x:c r="G39" s="3031"/>
      <x:c r="H39" s="3031"/>
      <x:c r="I39" s="3031"/>
      <x:c r="J39" s="3032"/>
      <x:c r="L39" s="1203" t="str">
        <x:f t="shared" si="1"/>
        <x:v>ES</x:v>
      </x:c>
      <x:c r="M39" s="1203" t="b">
        <x:v>0</x:v>
      </x:c>
      <x:c r="O39" s="1019" t="s">
        <x:v>1128</x:v>
      </x:c>
      <x:c r="P39" s="1020" t="s">
        <x:v>1129</x:v>
      </x:c>
      <x:c r="Q39" s="1013" t="str">
        <x:f t="shared" si="0"/>
        <x:v>[RndShrtSlt] - #/#" Round Holes|#/#”x1” Slots, Ga=#” @ LE|RE|BE</x:v>
      </x:c>
    </x:row>
    <x:row r="40" spans="1:17" ht="15.4" customHeight="1" x14ac:dyDescent="0.2">
      <x:c r="A40" s="2018"/>
      <x:c r="B40" s="3030"/>
      <x:c r="C40" s="3031"/>
      <x:c r="D40" s="3031"/>
      <x:c r="E40" s="3031"/>
      <x:c r="F40" s="3031"/>
      <x:c r="G40" s="3031"/>
      <x:c r="H40" s="3031"/>
      <x:c r="I40" s="3031"/>
      <x:c r="J40" s="3032"/>
      <x:c r="L40" s="1203" t="str">
        <x:f t="shared" si="1"/>
        <x:v>ES</x:v>
      </x:c>
      <x:c r="M40" s="1203" t="b">
        <x:v>0</x:v>
      </x:c>
      <x:c r="O40" s="1019" t="s">
        <x:v>1043</x:v>
      </x:c>
      <x:c r="P40" s="1020" t="s">
        <x:v>1090</x:v>
      </x:c>
      <x:c r="Q40" s="1013" t="str">
        <x:f t="shared" si="0"/>
        <x:v>[AddSlt] - Addn'l Seat Slots @ #" from L-OAL|R-OAL</x:v>
      </x:c>
    </x:row>
    <x:row r="41" spans="1:17" ht="15.4" customHeight="1" x14ac:dyDescent="0.2">
      <x:c r="A41" s="2018"/>
      <x:c r="B41" s="3030"/>
      <x:c r="C41" s="3031"/>
      <x:c r="D41" s="3031"/>
      <x:c r="E41" s="3031"/>
      <x:c r="F41" s="3031"/>
      <x:c r="G41" s="3031"/>
      <x:c r="H41" s="3031"/>
      <x:c r="I41" s="3031"/>
      <x:c r="J41" s="3032"/>
      <x:c r="L41" s="1203" t="str">
        <x:f t="shared" si="1"/>
        <x:v>ES</x:v>
      </x:c>
      <x:c r="M41" s="1203" t="b">
        <x:v>0</x:v>
      </x:c>
      <x:c r="O41" s="1019" t="s">
        <x:v>1022</x:v>
      </x:c>
      <x:c r="P41" s="1020" t="s">
        <x:v>1091</x:v>
      </x:c>
      <x:c r="Q41" s="1013" t="str">
        <x:f t="shared" si="0"/>
        <x:v>[BPThk] - Min Thickness of Base Plate = 0.xxx" @ LE|RE|BE</x:v>
      </x:c>
    </x:row>
    <x:row r="42" spans="1:17" ht="15.4" customHeight="1" x14ac:dyDescent="0.2">
      <x:c r="A42" s="2018"/>
      <x:c r="B42" s="3030"/>
      <x:c r="C42" s="3031"/>
      <x:c r="D42" s="3031"/>
      <x:c r="E42" s="3031"/>
      <x:c r="F42" s="3031"/>
      <x:c r="G42" s="3031"/>
      <x:c r="H42" s="3031"/>
      <x:c r="I42" s="3031"/>
      <x:c r="J42" s="3032"/>
      <x:c r="L42" s="1203" t="str">
        <x:f t="shared" si="1"/>
        <x:v>ES</x:v>
      </x:c>
      <x:c r="M42" s="1203" t="b">
        <x:v>0</x:v>
      </x:c>
      <x:c r="O42" s="1019" t="s">
        <x:v>1092</x:v>
      </x:c>
      <x:c r="P42" s="1020" t="s">
        <x:v>1093</x:v>
      </x:c>
      <x:c r="Q42" s="1013" t="str">
        <x:f t="shared" si="0"/>
        <x:v>[MaxWidth] - Max Width of TC &amp; Base Plate|BC for 1st ##” @ LE|RE|BE</x:v>
      </x:c>
    </x:row>
    <x:row r="43" spans="1:17" ht="15.4" customHeight="1" x14ac:dyDescent="0.2">
      <x:c r="A43" s="2018"/>
      <x:c r="B43" s="3030"/>
      <x:c r="C43" s="3031"/>
      <x:c r="D43" s="3031"/>
      <x:c r="E43" s="3031"/>
      <x:c r="F43" s="3031"/>
      <x:c r="G43" s="3031"/>
      <x:c r="H43" s="3031"/>
      <x:c r="I43" s="3031"/>
      <x:c r="J43" s="3032"/>
      <x:c r="L43" s="1203" t="str">
        <x:f t="shared" si="1"/>
        <x:v>ES</x:v>
      </x:c>
      <x:c r="M43" s="1203" t="b">
        <x:v>0</x:v>
      </x:c>
      <x:c r="O43" s="1019"/>
      <x:c r="P43" s="1020" t="s">
        <x:v>1094</x:v>
      </x:c>
      <x:c r="Q43" s="1013" t="str">
        <x:f t="shared" si="0"/>
        <x:v>[] - MISCELLANEOUS</x:v>
      </x:c>
    </x:row>
    <x:row r="44" spans="1:17" ht="15.4" customHeight="1" x14ac:dyDescent="0.2">
      <x:c r="A44" s="2018"/>
      <x:c r="B44" s="3030"/>
      <x:c r="C44" s="3031"/>
      <x:c r="D44" s="3031"/>
      <x:c r="E44" s="3031"/>
      <x:c r="F44" s="3031"/>
      <x:c r="G44" s="3031"/>
      <x:c r="H44" s="3031"/>
      <x:c r="I44" s="3031"/>
      <x:c r="J44" s="3032"/>
      <x:c r="L44" s="1203" t="str">
        <x:f t="shared" si="1"/>
        <x:v>ES</x:v>
      </x:c>
      <x:c r="M44" s="1203" t="b">
        <x:v>0</x:v>
      </x:c>
      <x:c r="O44" s="1019" t="s">
        <x:v>1125</x:v>
      </x:c>
      <x:c r="P44" s="1020" t="s">
        <x:v>1096</x:v>
      </x:c>
      <x:c r="Q44" s="1013" t="str">
        <x:f t="shared" si="0"/>
        <x:v>[Camb] - Camber = #"|Camber for DL|50% Std Camber|No Camber</x:v>
      </x:c>
    </x:row>
    <x:row r="45" spans="1:17" ht="15.4" customHeight="1" x14ac:dyDescent="0.2">
      <x:c r="A45" s="2018"/>
      <x:c r="B45" s="3030"/>
      <x:c r="C45" s="3031"/>
      <x:c r="D45" s="3031"/>
      <x:c r="E45" s="3031"/>
      <x:c r="F45" s="3031"/>
      <x:c r="G45" s="3031"/>
      <x:c r="H45" s="3031"/>
      <x:c r="I45" s="3031"/>
      <x:c r="J45" s="3032"/>
      <x:c r="L45" s="1203" t="str">
        <x:f t="shared" si="1"/>
        <x:v>ES</x:v>
      </x:c>
      <x:c r="M45" s="1203" t="b">
        <x:v>0</x:v>
      </x:c>
      <x:c r="O45" s="1019" t="s">
        <x:v>1025</x:v>
      </x:c>
      <x:c r="P45" s="1020" t="s">
        <x:v>1097</x:v>
      </x:c>
      <x:c r="Q45" s="1013" t="str">
        <x:f t="shared" si="0"/>
        <x:v>[BClip] - Bridging Clip(s) Required per Plan</x:v>
      </x:c>
    </x:row>
    <x:row r="46" spans="1:17" ht="15.4" customHeight="1" x14ac:dyDescent="0.2">
      <x:c r="A46" s="2018"/>
      <x:c r="B46" s="3030"/>
      <x:c r="C46" s="3031"/>
      <x:c r="D46" s="3031"/>
      <x:c r="E46" s="3031"/>
      <x:c r="F46" s="3031"/>
      <x:c r="G46" s="3031"/>
      <x:c r="H46" s="3031"/>
      <x:c r="I46" s="3031"/>
      <x:c r="J46" s="3032"/>
      <x:c r="L46" s="1203" t="str">
        <x:f t="shared" si="1"/>
        <x:v>ES</x:v>
      </x:c>
      <x:c r="M46" s="1203" t="b">
        <x:v>0</x:v>
      </x:c>
      <x:c r="O46" s="1019" t="s">
        <x:v>1020</x:v>
      </x:c>
      <x:c r="P46" s="1020" t="s">
        <x:v>1012</x:v>
      </x:c>
      <x:c r="Q46" s="1013" t="str">
        <x:f t="shared" si="0"/>
        <x:v>[TCThk] - Min Thickness of TC = 0.xxx"</x:v>
      </x:c>
    </x:row>
    <x:row r="47" spans="1:17" ht="15.4" customHeight="1" x14ac:dyDescent="0.2">
      <x:c r="A47" s="2018"/>
      <x:c r="B47" s="3030"/>
      <x:c r="C47" s="3031"/>
      <x:c r="D47" s="3031"/>
      <x:c r="E47" s="3031"/>
      <x:c r="F47" s="3031"/>
      <x:c r="G47" s="3031"/>
      <x:c r="H47" s="3031"/>
      <x:c r="I47" s="3031"/>
      <x:c r="J47" s="3032"/>
      <x:c r="L47" s="1203" t="str">
        <x:f t="shared" si="1"/>
        <x:v>ES</x:v>
      </x:c>
      <x:c r="M47" s="1203" t="b">
        <x:v>0</x:v>
      </x:c>
      <x:c r="O47" s="1019" t="s">
        <x:v>1021</x:v>
      </x:c>
      <x:c r="P47" s="1020" t="s">
        <x:v>1013</x:v>
      </x:c>
      <x:c r="Q47" s="1013" t="str">
        <x:f t="shared" si="0"/>
        <x:v>[BCThk] - Min Thickness of BC = 0.xxx"</x:v>
      </x:c>
    </x:row>
    <x:row r="48" spans="1:17" ht="15.4" customHeight="1" x14ac:dyDescent="0.2">
      <x:c r="A48" s="2018"/>
      <x:c r="B48" s="3030"/>
      <x:c r="C48" s="3031"/>
      <x:c r="D48" s="3031"/>
      <x:c r="E48" s="3031"/>
      <x:c r="F48" s="3031"/>
      <x:c r="G48" s="3031"/>
      <x:c r="H48" s="3031"/>
      <x:c r="I48" s="3031"/>
      <x:c r="J48" s="3032"/>
      <x:c r="L48" s="1203" t="str">
        <x:f t="shared" si="1"/>
        <x:v>ES</x:v>
      </x:c>
      <x:c r="M48" s="1203" t="b">
        <x:v>0</x:v>
      </x:c>
      <x:c r="O48" s="1019" t="s">
        <x:v>1130</x:v>
      </x:c>
      <x:c r="P48" s="1020" t="s">
        <x:v>1131</x:v>
      </x:c>
      <x:c r="Q48" s="1013" t="str">
        <x:f t="shared" si="0"/>
        <x:v>[ChdWdth] - Min|Max Width of TC|BC = ##”</x:v>
      </x:c>
    </x:row>
    <x:row r="49" spans="1:17" ht="15.4" customHeight="1" x14ac:dyDescent="0.2">
      <x:c r="A49" s="2018"/>
      <x:c r="B49" s="3030"/>
      <x:c r="C49" s="3031"/>
      <x:c r="D49" s="3031"/>
      <x:c r="E49" s="3031"/>
      <x:c r="F49" s="3031"/>
      <x:c r="G49" s="3031"/>
      <x:c r="H49" s="3031"/>
      <x:c r="I49" s="3031"/>
      <x:c r="J49" s="3032"/>
      <x:c r="L49" s="1203" t="str">
        <x:f t="shared" si="1"/>
        <x:v>ES</x:v>
      </x:c>
      <x:c r="M49" s="1203" t="b">
        <x:v>0</x:v>
      </x:c>
      <x:c r="O49" s="1019" t="s">
        <x:v>1126</x:v>
      </x:c>
      <x:c r="P49" s="1020" t="s">
        <x:v>1041</x:v>
      </x:c>
      <x:c r="Q49" s="1013" t="str">
        <x:f t="shared" si="0"/>
        <x:v>[Duct] - ##" Dia (##"H x ##"W) Duct @ #'-# from L-OAL</x:v>
      </x:c>
    </x:row>
    <x:row r="50" spans="1:17" ht="15.4" customHeight="1" x14ac:dyDescent="0.2">
      <x:c r="A50" s="2018"/>
      <x:c r="B50" s="3030"/>
      <x:c r="C50" s="3031"/>
      <x:c r="D50" s="3031"/>
      <x:c r="E50" s="3031"/>
      <x:c r="F50" s="3031"/>
      <x:c r="G50" s="3031"/>
      <x:c r="H50" s="3031"/>
      <x:c r="I50" s="3031"/>
      <x:c r="J50" s="3032"/>
      <x:c r="L50" s="1203" t="str">
        <x:f t="shared" si="1"/>
        <x:v>ES</x:v>
      </x:c>
      <x:c r="M50" s="1203" t="b">
        <x:v>0</x:v>
      </x:c>
      <x:c r="O50" s="1019" t="s">
        <x:v>1037</x:v>
      </x:c>
      <x:c r="P50" s="1020" t="s">
        <x:v>1046</x:v>
      </x:c>
      <x:c r="Q50" s="1013" t="str">
        <x:f t="shared" si="0"/>
        <x:v>[HS] - Horiz Field Splice: See Detail on J1.xx</x:v>
      </x:c>
    </x:row>
    <x:row r="51" spans="1:17" ht="15.4" customHeight="1" x14ac:dyDescent="0.2">
      <x:c r="A51" s="2019"/>
      <x:c r="B51" s="3033"/>
      <x:c r="C51" s="3034"/>
      <x:c r="D51" s="3034"/>
      <x:c r="E51" s="3034"/>
      <x:c r="F51" s="3034"/>
      <x:c r="G51" s="3034"/>
      <x:c r="H51" s="3034"/>
      <x:c r="I51" s="3034"/>
      <x:c r="J51" s="3035"/>
      <x:c r="L51" s="1203" t="str">
        <x:f t="shared" si="1"/>
        <x:v>ES</x:v>
      </x:c>
      <x:c r="M51" s="1203" t="b">
        <x:v>0</x:v>
      </x:c>
      <x:c r="O51" s="1019" t="s">
        <x:v>1038</x:v>
      </x:c>
      <x:c r="P51" s="1020" t="s">
        <x:v>1047</x:v>
      </x:c>
      <x:c r="Q51" s="1013" t="str">
        <x:f t="shared" si="0"/>
        <x:v>[VS] - Vert Field Splice: Type xx, Near Midspan</x:v>
      </x:c>
    </x:row>
    <x:row r="52" spans="1:17" ht="15.6" customHeight="1" x14ac:dyDescent="0.2">
      <x:c r="O52" s="1019" t="s">
        <x:v>1039</x:v>
      </x:c>
      <x:c r="P52" s="1020" t="s">
        <x:v>1048</x:v>
      </x:c>
      <x:c r="Q52" s="1013" t="str">
        <x:f t="shared" si="0"/>
        <x:v>[MS] - Multiple Vert Field Splices: Type xx</x:v>
      </x:c>
    </x:row>
    <x:row r="53" spans="1:17" ht="15.6" customHeight="1" x14ac:dyDescent="0.2">
      <x:c r="O53" s="1019" t="s">
        <x:v>1098</x:v>
      </x:c>
      <x:c r="P53" s="1020" t="s">
        <x:v>1099</x:v>
      </x:c>
      <x:c r="Q53" s="1013" t="str">
        <x:f t="shared" si="0"/>
        <x:v>[SpConn] - Special Connection @ (location), See Section ##</x:v>
      </x:c>
    </x:row>
    <x:row r="54" spans="1:17" ht="15.6" customHeight="1" x14ac:dyDescent="0.2">
      <x:c r="O54" s="1019" t="s">
        <x:v>1132</x:v>
      </x:c>
      <x:c r="P54" s="1020" t="s">
        <x:v>1144</x:v>
      </x:c>
      <x:c r="Q54" s="1013" t="str">
        <x:f t="shared" si="0"/>
        <x:v>[Vier] - Vierendeel Panel, ##” W x ##” H, Bottom Left Corner of Opening @ ##” From Bot/Jst, ##’-##” From L-OAL</x:v>
      </x:c>
    </x:row>
    <x:row r="55" spans="1:17" ht="15.6" customHeight="1" x14ac:dyDescent="0.2">
      <x:c r="O55" s="1019"/>
      <x:c r="P55" s="1020" t="s">
        <x:v>1100</x:v>
      </x:c>
      <x:c r="Q55" s="1013" t="str">
        <x:f t="shared" si="0"/>
        <x:v>[] - GENERAL</x:v>
      </x:c>
    </x:row>
    <x:row r="56" spans="1:17" ht="15.6" customHeight="1" x14ac:dyDescent="0.2">
      <x:c r="O56" s="1019" t="s">
        <x:v>1056</x:v>
      </x:c>
      <x:c r="P56" s="1020" t="s">
        <x:v>1057</x:v>
      </x:c>
      <x:c r="Q56" s="1013" t="str">
        <x:f t="shared" si="0"/>
        <x:v>[LRFD] - **LRFD**   **LRFD**   **LRFD**</x:v>
      </x:c>
    </x:row>
    <x:row r="57" spans="1:17" ht="15.6" customHeight="1" x14ac:dyDescent="0.2">
      <x:c r="O57" s="1019" t="s">
        <x:v>1015</x:v>
      </x:c>
      <x:c r="P57" s="1020" t="s">
        <x:v>1042</x:v>
      </x:c>
      <x:c r="Q57" s="1013" t="str">
        <x:f t="shared" si="0"/>
        <x:v>[ESFR] - #"Dia Pipes, 8" Below Top/Jst, 15" Horiz Clearance @ ##'-#,  ##'-# &amp;  ##'-# from L-OAL</x:v>
      </x:c>
    </x:row>
    <x:row r="58" spans="1:17" ht="15.6" customHeight="1" x14ac:dyDescent="0.2">
      <x:c r="O58" s="1019" t="s">
        <x:v>1127</x:v>
      </x:c>
      <x:c r="P58" s="1020" t="s">
        <x:v>1014</x:v>
      </x:c>
      <x:c r="Q58" s="1013" t="str">
        <x:f t="shared" si="0"/>
        <x:v>[Self] - Add Self-Weight to Design</x:v>
      </x:c>
    </x:row>
    <x:row r="59" spans="1:17" ht="15.6" customHeight="1" x14ac:dyDescent="0.2">
      <x:c r="A59" s="973" t="s">
        <x:v>1062</x:v>
      </x:c>
      <x:c r="O59" s="1019" t="s">
        <x:v>1051</x:v>
      </x:c>
      <x:c r="P59" s="1020" t="s">
        <x:v>1053</x:v>
      </x:c>
      <x:c r="Q59" s="1013" t="str">
        <x:f t="shared" si="0"/>
        <x:v>[SpChd] - ##"^2 Min Chord Area</x:v>
      </x:c>
    </x:row>
    <x:row r="60" spans="1:17" ht="15.6" hidden="1" customHeight="1" x14ac:dyDescent="0.2">
      <x:c r="A60" s="1128" t="s">
        <x:v>34</x:v>
      </x:c>
      <x:c r="O60" s="1019" t="s">
        <x:v>1052</x:v>
      </x:c>
      <x:c r="P60" s="1020" t="s">
        <x:v>1054</x:v>
      </x:c>
      <x:c r="Q60" s="1013" t="str">
        <x:f t="shared" si="0"/>
        <x:v>[SpWeb] - ##"^2 Min Web Area</x:v>
      </x:c>
    </x:row>
    <x:row r="61" spans="1:17" ht="15.6" hidden="1" customHeight="1" x14ac:dyDescent="0.2">
      <x:c r="A61" s="1130" t="s">
        <x:v>2005</x:v>
      </x:c>
      <x:c r="O61" s="1019" t="s">
        <x:v>1095</x:v>
      </x:c>
      <x:c r="P61" s="1020" t="s">
        <x:v>1055</x:v>
      </x:c>
      <x:c r="Q61" s="1013" t="str">
        <x:f t="shared" si="0"/>
        <x:v>[DomStl] - Domestic Steel Required (ARRA)</x:v>
      </x:c>
    </x:row>
    <x:row r="62" spans="1:17" ht="15.6" hidden="1" customHeight="1" x14ac:dyDescent="0.2">
      <x:c r="O62" s="1019" t="s">
        <x:v>1040</x:v>
      </x:c>
      <x:c r="P62" s="1020" t="s">
        <x:v>1049</x:v>
      </x:c>
      <x:c r="Q62" s="1013" t="str">
        <x:f t="shared" si="0"/>
        <x:v>[SSR] - Standing Seam Roof: TC Lateral Support @ ##" Max.</x:v>
      </x:c>
    </x:row>
    <x:row r="63" spans="1:17" ht="15.6" hidden="1" customHeight="1" x14ac:dyDescent="0.2">
      <x:c r="O63" s="1019" t="s">
        <x:v>1133</x:v>
      </x:c>
      <x:c r="P63" s="1020" t="s">
        <x:v>1139</x:v>
      </x:c>
      <x:c r="Q63" s="1013" t="str">
        <x:f t="shared" si="0"/>
        <x:v>[AlignPnls] - Align Panels of Adjacent Jsts</x:v>
      </x:c>
    </x:row>
    <x:row r="64" spans="1:17" ht="15.6" hidden="1" customHeight="1" x14ac:dyDescent="0.2">
      <x:c r="O64" s="1019" t="s">
        <x:v>1134</x:v>
      </x:c>
      <x:c r="P64" s="1020" t="s">
        <x:v>1140</x:v>
      </x:c>
      <x:c r="Q64" s="1013" t="str">
        <x:f t="shared" si="0"/>
        <x:v>[SpBund] - Special Bundling Req’d, See Attached Listing</x:v>
      </x:c>
    </x:row>
    <x:row r="65" spans="1:17" ht="15.6" customHeight="1" x14ac:dyDescent="0.2">
      <x:c r="A65" s="973" t="s">
        <x:v>1063</x:v>
      </x:c>
      <x:c r="O65" s="1019" t="s">
        <x:v>1135</x:v>
      </x:c>
      <x:c r="P65" s="1020" t="s">
        <x:v>1141</x:v>
      </x:c>
      <x:c r="Q65" s="1013" t="str">
        <x:f t="shared" si="0"/>
        <x:v>[BIM] - Building Information Modeling, Inform Dtlr When Design Completed</x:v>
      </x:c>
    </x:row>
    <x:row r="66" spans="1:17" ht="15.6" customHeight="1" x14ac:dyDescent="0.2">
      <x:c r="O66" s="1019" t="s">
        <x:v>1136</x:v>
      </x:c>
      <x:c r="P66" s="1020" t="s">
        <x:v>1142</x:v>
      </x:c>
      <x:c r="Q66" s="1013" t="str">
        <x:f t="shared" si="0"/>
        <x:v>[Calcs] - Sealed Calcs req’d for Record|Appl</x:v>
      </x:c>
    </x:row>
    <x:row r="67" spans="1:17" ht="15.6" customHeight="1" x14ac:dyDescent="0.2">
      <x:c r="O67" s="1019" t="s">
        <x:v>1137</x:v>
      </x:c>
      <x:c r="P67" s="1020" t="s">
        <x:v>1143</x:v>
      </x:c>
      <x:c r="Q67" s="1013" t="str">
        <x:f t="shared" si="0"/>
        <x:v>[Prof] - Joist|Girder Profiles Req’d</x:v>
      </x:c>
    </x:row>
    <x:row r="68" spans="1:17" ht="15.6" customHeight="1" x14ac:dyDescent="0.2">
      <x:c r="O68" s="1019" t="s">
        <x:v>1138</x:v>
      </x:c>
      <x:c r="P68" s="1020" t="s">
        <x:v>1101</x:v>
      </x:c>
      <x:c r="Q68" s="1013" t="str">
        <x:f t="shared" si="0"/>
        <x:v>[UnDef] - Special Note Here (special condition not matching pre-defined codes)</x:v>
      </x:c>
    </x:row>
    <x:row r="69" spans="1:17" ht="15.6" customHeight="1" x14ac:dyDescent="0.2">
      <x:c r="O69" s="1019"/>
      <x:c r="P69" s="1020"/>
      <x:c r="Q69" s="1013" t="str">
        <x:f t="shared" si="0"/>
        <x:v xml:space="preserve">[] - </x:v>
      </x:c>
    </x:row>
    <x:row r="70" spans="1:17" ht="15.6" customHeight="1" x14ac:dyDescent="0.2">
      <x:c r="O70" s="1019"/>
      <x:c r="P70" s="1020"/>
      <x:c r="Q70" s="1013" t="str">
        <x:f t="shared" si="0"/>
        <x:v xml:space="preserve">[] - </x:v>
      </x:c>
    </x:row>
    <x:row r="71" spans="1:17" ht="15.6" customHeight="1" x14ac:dyDescent="0.2">
      <x:c r="O71" s="1019"/>
      <x:c r="P71" s="1020"/>
      <x:c r="Q71" s="1013" t="str">
        <x:f t="shared" si="0"/>
        <x:v xml:space="preserve">[] - </x:v>
      </x:c>
    </x:row>
    <x:row r="72" spans="1:17" ht="15.6" customHeight="1" x14ac:dyDescent="0.2">
      <x:c r="O72" s="1019"/>
      <x:c r="P72" s="1020"/>
      <x:c r="Q72" s="1013" t="str">
        <x:f t="shared" si="0"/>
        <x:v xml:space="preserve">[] - </x:v>
      </x:c>
    </x:row>
    <x:row r="73" spans="1:17" ht="15.6" customHeight="1" x14ac:dyDescent="0.2">
      <x:c r="O73" s="1019"/>
      <x:c r="P73" s="1020"/>
      <x:c r="Q73" s="1013" t="str">
        <x:f t="shared" si="0"/>
        <x:v xml:space="preserve">[] - </x:v>
      </x:c>
    </x:row>
    <x:row r="74" spans="1:17" ht="15.6" customHeight="1" x14ac:dyDescent="0.2">
      <x:c r="O74" s="1019"/>
      <x:c r="P74" s="1020"/>
      <x:c r="Q74" s="1013" t="str">
        <x:f t="shared" si="0"/>
        <x:v xml:space="preserve">[] - </x:v>
      </x:c>
    </x:row>
    <x:row r="75" spans="1:17" ht="15.6" customHeight="1" x14ac:dyDescent="0.2">
      <x:c r="O75" s="1019"/>
      <x:c r="P75" s="1020"/>
      <x:c r="Q75" s="1013" t="str">
        <x:f t="shared" si="0"/>
        <x:v xml:space="preserve">[] - </x:v>
      </x:c>
    </x:row>
    <x:row r="76" spans="1:17" ht="15.6" customHeight="1" x14ac:dyDescent="0.2">
      <x:c r="O76" s="1019"/>
      <x:c r="P76" s="1020"/>
      <x:c r="Q76" s="1013" t="str">
        <x:f t="shared" si="0"/>
        <x:v xml:space="preserve">[] - </x:v>
      </x:c>
    </x:row>
    <x:row r="77" spans="1:17" ht="15.6" customHeight="1" x14ac:dyDescent="0.2">
      <x:c r="O77" s="1019"/>
      <x:c r="P77" s="1020"/>
      <x:c r="Q77" s="1013" t="str">
        <x:f t="shared" si="0"/>
        <x:v xml:space="preserve">[] - </x:v>
      </x:c>
    </x:row>
    <x:row r="78" spans="1:17" ht="15.6" customHeight="1" x14ac:dyDescent="0.2">
      <x:c r="O78" s="1019"/>
      <x:c r="P78" s="1020"/>
      <x:c r="Q78" s="1013" t="str">
        <x:f t="shared" ref="Q78:Q99" si="2">CONCATENATE("[",O78, "] - ", P78)</x:f>
        <x:v xml:space="preserve">[] - </x:v>
      </x:c>
    </x:row>
    <x:row r="79" spans="1:17" ht="15.6" customHeight="1" x14ac:dyDescent="0.2">
      <x:c r="O79" s="1019"/>
      <x:c r="P79" s="1020"/>
      <x:c r="Q79" s="1013" t="str">
        <x:f t="shared" si="2"/>
        <x:v xml:space="preserve">[] - </x:v>
      </x:c>
    </x:row>
    <x:row r="80" spans="1:17" ht="15.6" customHeight="1" x14ac:dyDescent="0.2">
      <x:c r="O80" s="1019"/>
      <x:c r="P80" s="1020"/>
      <x:c r="Q80" s="1013" t="str">
        <x:f t="shared" si="2"/>
        <x:v xml:space="preserve">[] - </x:v>
      </x:c>
    </x:row>
    <x:row r="81" spans="15:17" ht="15.6" customHeight="1" x14ac:dyDescent="0.2">
      <x:c r="O81" s="1019"/>
      <x:c r="P81" s="1020"/>
      <x:c r="Q81" s="1013" t="str">
        <x:f t="shared" si="2"/>
        <x:v xml:space="preserve">[] - </x:v>
      </x:c>
    </x:row>
    <x:row r="82" spans="15:17" ht="15.6" customHeight="1" x14ac:dyDescent="0.2">
      <x:c r="O82" s="1019"/>
      <x:c r="P82" s="1020"/>
      <x:c r="Q82" s="1013" t="str">
        <x:f t="shared" si="2"/>
        <x:v xml:space="preserve">[] - </x:v>
      </x:c>
    </x:row>
    <x:row r="83" spans="15:17" ht="15.6" customHeight="1" x14ac:dyDescent="0.2">
      <x:c r="O83" s="1019"/>
      <x:c r="P83" s="1020"/>
      <x:c r="Q83" s="1013" t="str">
        <x:f t="shared" si="2"/>
        <x:v xml:space="preserve">[] - </x:v>
      </x:c>
    </x:row>
    <x:row r="84" spans="15:17" ht="15.6" customHeight="1" x14ac:dyDescent="0.2">
      <x:c r="O84" s="1019"/>
      <x:c r="P84" s="1020"/>
      <x:c r="Q84" s="1013" t="str">
        <x:f t="shared" si="2"/>
        <x:v xml:space="preserve">[] - </x:v>
      </x:c>
    </x:row>
    <x:row r="85" spans="15:17" ht="15.6" customHeight="1" x14ac:dyDescent="0.2">
      <x:c r="O85" s="1019"/>
      <x:c r="P85" s="1020"/>
      <x:c r="Q85" s="1013" t="str">
        <x:f t="shared" si="2"/>
        <x:v xml:space="preserve">[] - </x:v>
      </x:c>
    </x:row>
    <x:row r="86" spans="15:17" ht="15.6" customHeight="1" x14ac:dyDescent="0.2">
      <x:c r="O86" s="1019"/>
      <x:c r="P86" s="1020"/>
      <x:c r="Q86" s="1013" t="str">
        <x:f t="shared" si="2"/>
        <x:v xml:space="preserve">[] - </x:v>
      </x:c>
    </x:row>
    <x:row r="87" spans="15:17" ht="15.6" customHeight="1" x14ac:dyDescent="0.2">
      <x:c r="O87" s="1019"/>
      <x:c r="P87" s="1020"/>
      <x:c r="Q87" s="1013" t="str">
        <x:f t="shared" si="2"/>
        <x:v xml:space="preserve">[] - </x:v>
      </x:c>
    </x:row>
    <x:row r="88" spans="15:17" ht="15.6" customHeight="1" x14ac:dyDescent="0.2">
      <x:c r="O88" s="1019"/>
      <x:c r="P88" s="1020"/>
      <x:c r="Q88" s="1013" t="str">
        <x:f t="shared" si="2"/>
        <x:v xml:space="preserve">[] - </x:v>
      </x:c>
    </x:row>
    <x:row r="89" spans="15:17" ht="15.6" customHeight="1" x14ac:dyDescent="0.2">
      <x:c r="O89" s="1019"/>
      <x:c r="P89" s="1020"/>
      <x:c r="Q89" s="1013" t="str">
        <x:f t="shared" si="2"/>
        <x:v xml:space="preserve">[] - </x:v>
      </x:c>
    </x:row>
    <x:row r="90" spans="15:17" ht="15.6" customHeight="1" x14ac:dyDescent="0.2">
      <x:c r="O90" s="1019"/>
      <x:c r="P90" s="1020"/>
      <x:c r="Q90" s="1013" t="str">
        <x:f t="shared" si="2"/>
        <x:v xml:space="preserve">[] - </x:v>
      </x:c>
    </x:row>
    <x:row r="91" spans="15:17" ht="15.6" customHeight="1" x14ac:dyDescent="0.2">
      <x:c r="O91" s="1019"/>
      <x:c r="P91" s="1020"/>
      <x:c r="Q91" s="1013" t="str">
        <x:f t="shared" si="2"/>
        <x:v xml:space="preserve">[] - </x:v>
      </x:c>
    </x:row>
    <x:row r="92" spans="15:17" ht="15.6" customHeight="1" x14ac:dyDescent="0.2">
      <x:c r="O92" s="1019"/>
      <x:c r="P92" s="1020"/>
      <x:c r="Q92" s="1013" t="str">
        <x:f t="shared" si="2"/>
        <x:v xml:space="preserve">[] - </x:v>
      </x:c>
    </x:row>
    <x:row r="93" spans="15:17" ht="15.6" customHeight="1" x14ac:dyDescent="0.2">
      <x:c r="O93" s="1019"/>
      <x:c r="P93" s="1020"/>
      <x:c r="Q93" s="1013" t="str">
        <x:f t="shared" si="2"/>
        <x:v xml:space="preserve">[] - </x:v>
      </x:c>
    </x:row>
    <x:row r="94" spans="15:17" ht="15.6" customHeight="1" x14ac:dyDescent="0.2">
      <x:c r="O94" s="1019"/>
      <x:c r="P94" s="1020"/>
      <x:c r="Q94" s="1013" t="str">
        <x:f t="shared" si="2"/>
        <x:v xml:space="preserve">[] - </x:v>
      </x:c>
    </x:row>
    <x:row r="95" spans="15:17" ht="15.6" customHeight="1" x14ac:dyDescent="0.2">
      <x:c r="O95" s="1019"/>
      <x:c r="P95" s="1020"/>
      <x:c r="Q95" s="1013" t="str">
        <x:f t="shared" si="2"/>
        <x:v xml:space="preserve">[] - </x:v>
      </x:c>
    </x:row>
    <x:row r="96" spans="15:17" ht="15.6" customHeight="1" x14ac:dyDescent="0.2">
      <x:c r="O96" s="1019"/>
      <x:c r="P96" s="1020"/>
      <x:c r="Q96" s="1013" t="str">
        <x:f t="shared" si="2"/>
        <x:v xml:space="preserve">[] - </x:v>
      </x:c>
    </x:row>
    <x:row r="97" spans="15:17" ht="15.6" customHeight="1" x14ac:dyDescent="0.2">
      <x:c r="O97" s="1019"/>
      <x:c r="P97" s="1020"/>
      <x:c r="Q97" s="1013" t="str">
        <x:f t="shared" si="2"/>
        <x:v xml:space="preserve">[] - </x:v>
      </x:c>
    </x:row>
    <x:row r="98" spans="15:17" ht="15.6" customHeight="1" x14ac:dyDescent="0.2">
      <x:c r="O98" s="1019"/>
      <x:c r="P98" s="1020"/>
      <x:c r="Q98" s="1013" t="str">
        <x:f t="shared" si="2"/>
        <x:v xml:space="preserve">[] - </x:v>
      </x:c>
    </x:row>
    <x:row r="99" spans="15:17" ht="15.6" customHeight="1" x14ac:dyDescent="0.2">
      <x:c r="O99" s="1021"/>
      <x:c r="P99" s="1022"/>
      <x:c r="Q99" s="1014" t="str">
        <x:f t="shared" si="2"/>
        <x:v xml:space="preserve">[] - </x:v>
      </x:c>
    </x:row>
    <x:row r="100" spans="15:17" x14ac:dyDescent="0.2">
      <x:c r="Q100" s="1010"/>
    </x:row>
  </x:sheetData>
  <x:sheetProtection algorithmName="SHA-512" hashValue="U/ZidFcZ+CcS3OBGP3lGeJf72qkX9vfCwY41HRWfDgk9Tot7koAZoePrltQxYkxLb3Dh7uuiWZ1nhnR459XFew==" saltValue="HfChW2blRFQIMTPNBWLBLQ==" spinCount="100000" sheet="1" scenarios="1" selectLockedCells="1"/>
  <x:mergeCells count="56">
    <x:mergeCell ref="B9:D9"/>
    <x:mergeCell ref="G9:J9"/>
    <x:mergeCell ref="D1:F1"/>
    <x:mergeCell ref="G1:H1"/>
    <x:mergeCell ref="I1:J1"/>
    <x:mergeCell ref="D2:F3"/>
    <x:mergeCell ref="G2:H2"/>
    <x:mergeCell ref="I2:J2"/>
    <x:mergeCell ref="G3:H3"/>
    <x:mergeCell ref="I3:J3"/>
    <x:mergeCell ref="D4:F4"/>
    <x:mergeCell ref="G4:H4"/>
    <x:mergeCell ref="I4:J4"/>
    <x:mergeCell ref="A5:F5"/>
    <x:mergeCell ref="H6:I6"/>
    <x:mergeCell ref="B22:J22"/>
    <x:mergeCell ref="B10:D10"/>
    <x:mergeCell ref="B12:J12"/>
    <x:mergeCell ref="B13:J13"/>
    <x:mergeCell ref="B14:J14"/>
    <x:mergeCell ref="B15:J15"/>
    <x:mergeCell ref="B16:J16"/>
    <x:mergeCell ref="B17:J17"/>
    <x:mergeCell ref="B18:J18"/>
    <x:mergeCell ref="B19:J19"/>
    <x:mergeCell ref="B20:J20"/>
    <x:mergeCell ref="B21:J21"/>
    <x:mergeCell ref="B34:J34"/>
    <x:mergeCell ref="B23:J23"/>
    <x:mergeCell ref="B24:J24"/>
    <x:mergeCell ref="B25:J25"/>
    <x:mergeCell ref="B26:J26"/>
    <x:mergeCell ref="B27:J27"/>
    <x:mergeCell ref="B28:J28"/>
    <x:mergeCell ref="B29:J29"/>
    <x:mergeCell ref="B30:J30"/>
    <x:mergeCell ref="B31:J31"/>
    <x:mergeCell ref="B32:J32"/>
    <x:mergeCell ref="B33:J33"/>
    <x:mergeCell ref="B46:J46"/>
    <x:mergeCell ref="B35:J35"/>
    <x:mergeCell ref="B36:J36"/>
    <x:mergeCell ref="B37:J37"/>
    <x:mergeCell ref="B38:J38"/>
    <x:mergeCell ref="B39:J39"/>
    <x:mergeCell ref="B40:J40"/>
    <x:mergeCell ref="B41:J41"/>
    <x:mergeCell ref="B42:J42"/>
    <x:mergeCell ref="B43:J43"/>
    <x:mergeCell ref="B44:J44"/>
    <x:mergeCell ref="B45:J45"/>
    <x:mergeCell ref="B47:J47"/>
    <x:mergeCell ref="B48:J48"/>
    <x:mergeCell ref="B49:J49"/>
    <x:mergeCell ref="B50:J50"/>
    <x:mergeCell ref="B51:J51"/>
  </x:mergeCells>
  <x:conditionalFormatting sqref="D2:F4">
    <x:cfRule type="cellIs" dxfId="1485" priority="2" stopIfTrue="1" operator="equal">
      <x:formula>""</x:formula>
    </x:cfRule>
  </x:conditionalFormatting>
  <x:conditionalFormatting sqref="A13:J51">
    <x:cfRule type="expression" dxfId="1484" priority="1">
      <x:formula>$M13</x:formula>
    </x:cfRule>
  </x:conditionalFormatting>
  <x:dataValidations count="2">
    <x:dataValidation type="list" allowBlank="1" sqref="B13:J51">
      <x:formula1>OFFSET($Q$13,0,0,$O$10,1)</x:formula1>
    </x:dataValidation>
    <x:dataValidation type="list" allowBlank="1" showInputMessage="1" sqref="P7">
      <x:formula1>OFFSET($Q$13,0,0,$O$10,1)</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worksheet>
</file>

<file path=xl/worksheets/sheet3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1">
    <x:tabColor indexed="45"/>
  </x:sheetPr>
  <x:dimension ref="A1:AS65"/>
  <x:sheetViews>
    <x:sheetView showGridLines="0" zoomScaleNormal="100" zoomScaleSheetLayoutView="100" workbookViewId="0">
      <x:selection activeCell="N7" sqref="N7"/>
    </x:sheetView>
  </x:sheetViews>
  <x:sheetFormatPr defaultRowHeight="11.25" x14ac:dyDescent="0.2"/>
  <x:cols>
    <x:col min="1" max="1" width="7.7109375" style="295" customWidth="1"/>
    <x:col min="2" max="4" width="6.7109375" style="295" customWidth="1"/>
    <x:col min="5" max="5" width="6.7109375" style="295" hidden="1" customWidth="1"/>
    <x:col min="6" max="6" width="7.7109375" style="295" customWidth="1"/>
    <x:col min="7" max="7" width="3.7109375" style="295" customWidth="1"/>
    <x:col min="8" max="8" width="5.7109375" style="295" customWidth="1"/>
    <x:col min="9" max="9" width="7.7109375" style="295" customWidth="1"/>
    <x:col min="10" max="10" width="3.7109375" style="295" customWidth="1"/>
    <x:col min="11" max="12" width="5.7109375" style="295" customWidth="1"/>
    <x:col min="13" max="13" width="11.7109375" style="295" customWidth="1"/>
    <x:col min="14" max="14" width="22.7109375" style="295" customWidth="1"/>
    <x:col min="15" max="15" width="7.7109375" style="295" customWidth="1"/>
    <x:col min="16" max="16" width="7.7109375" style="295" hidden="1" customWidth="1"/>
    <x:col min="17" max="40" width="6.7109375" style="295" hidden="1" customWidth="1"/>
    <x:col min="41" max="43" width="9.140625" style="475" hidden="1" customWidth="1"/>
    <x:col min="44" max="16384" width="9.140625" style="295"/>
  </x:cols>
  <x:sheetData>
    <x:row r="1" spans="1:44" s="449" customFormat="1" ht="14.45" customHeight="1" thickBot="1" x14ac:dyDescent="0.25">
      <x:c r="A1" s="444"/>
      <x:c r="B1" s="444"/>
      <x:c r="C1" s="444"/>
      <x:c r="D1" s="444"/>
      <x:c r="E1" s="444"/>
      <x:c r="F1" s="444"/>
      <x:c r="G1" s="444"/>
      <x:c r="H1" s="576"/>
      <x:c r="I1" s="2227" t="str">
        <x:f>IF(S1="","",VLOOKUP(S1,'Job Info.'!X:AA,4,FALSE))</x:f>
        <x:v>Master</x:v>
      </x:c>
      <x:c r="J1" s="2227"/>
      <x:c r="K1" s="2227"/>
      <x:c r="L1" s="445"/>
      <x:c r="M1" s="445" t="s">
        <x:v>96</x:v>
      </x:c>
      <x:c r="N1" s="1827" t="str">
        <x:f ca="1">'Job Info.'!D12</x:f>
        <x:v>775-428-0600</x:v>
      </x:c>
      <x:c r="O1" s="578" t="s">
        <x:v>763</x:v>
      </x:c>
      <x:c r="P1" s="1358"/>
      <x:c r="S1" s="448" t="str">
        <x:f>'Job Info.'!Q30</x:f>
        <x:v>M</x:v>
      </x:c>
      <x:c r="T1" s="448" t="b">
        <x:f>'Job Info.'!Q32</x:f>
        <x:v>0</x:v>
      </x:c>
      <x:c r="AO1" s="448"/>
      <x:c r="AP1" s="448"/>
      <x:c r="AQ1" s="448"/>
      <x:c r="AR1" s="579" t="s">
        <x:v>764</x:v>
      </x:c>
    </x:row>
    <x:row r="2" spans="1:44" s="449" customFormat="1" ht="12.95" customHeight="1" thickTop="1" x14ac:dyDescent="0.2">
      <x:c r="A2" s="444"/>
      <x:c r="B2" s="444"/>
      <x:c r="C2" s="444"/>
      <x:c r="D2" s="444"/>
      <x:c r="E2" s="444"/>
      <x:c r="F2" s="444"/>
      <x:c r="G2" s="444"/>
      <x:c r="H2" s="576"/>
      <x:c r="I2" s="2228" t="str">
        <x:f>IF(S1="","",IF(VLOOKUP(S1,'Job Info.'!X:Z,2,FALSE),"Released for Fabrication",""))</x:f>
        <x:v/>
      </x:c>
      <x:c r="J2" s="2229"/>
      <x:c r="K2" s="2230"/>
      <x:c r="L2" s="445"/>
      <x:c r="M2" s="445" t="s">
        <x:v>97</x:v>
      </x:c>
      <x:c r="N2" s="1827" t="str">
        <x:f ca="1">'Job Info.'!D13</x:f>
        <x:v>775-867-2140</x:v>
      </x:c>
      <x:c r="O2" s="1358"/>
      <x:c r="P2" s="1358"/>
      <x:c r="AO2" s="448"/>
      <x:c r="AP2" s="448"/>
      <x:c r="AQ2" s="448"/>
    </x:row>
    <x:row r="3" spans="1:44" s="449" customFormat="1" ht="12.95" customHeight="1" x14ac:dyDescent="0.2">
      <x:c r="A3" s="444"/>
      <x:c r="B3" s="444"/>
      <x:c r="C3" s="444"/>
      <x:c r="D3" s="444"/>
      <x:c r="E3" s="444"/>
      <x:c r="F3" s="444"/>
      <x:c r="G3" s="444"/>
      <x:c r="H3" s="576"/>
      <x:c r="I3" s="2231"/>
      <x:c r="J3" s="2232"/>
      <x:c r="K3" s="2233"/>
      <x:c r="L3" s="445"/>
      <x:c r="M3" s="445" t="s">
        <x:v>99</x:v>
      </x:c>
      <x:c r="N3" s="1827" t="str">
        <x:f ca="1">'Job Info.'!D14</x:f>
        <x:v>775-867-2169</x:v>
      </x:c>
      <x:c r="O3" s="1358"/>
      <x:c r="P3" s="1358"/>
      <x:c r="AO3" s="448"/>
      <x:c r="AP3" s="448"/>
      <x:c r="AQ3" s="448"/>
    </x:row>
    <x:row r="4" spans="1:44" s="449" customFormat="1" ht="12.95" customHeight="1" thickBot="1" x14ac:dyDescent="0.25">
      <x:c r="A4" s="444"/>
      <x:c r="B4" s="444"/>
      <x:c r="C4" s="444"/>
      <x:c r="D4" s="444"/>
      <x:c r="E4" s="444"/>
      <x:c r="F4" s="444"/>
      <x:c r="G4" s="444"/>
      <x:c r="H4" s="444"/>
      <x:c r="I4" s="2234" t="str">
        <x:f>IF(S1="","",IF(VLOOKUP(S1,'Job Info.'!X:Z,2,FALSE),VLOOKUP(S1,'Job Info.'!X:Z,3,FALSE),""))</x:f>
        <x:v/>
      </x:c>
      <x:c r="J4" s="2235"/>
      <x:c r="K4" s="2236"/>
      <x:c r="L4" s="445"/>
      <x:c r="M4" s="445" t="s">
        <x:v>98</x:v>
      </x:c>
      <x:c r="N4" s="1827" t="str">
        <x:f ca="1">'Job Info.'!D15</x:f>
        <x:v>775-867-2060</x:v>
      </x:c>
      <x:c r="O4" s="1358"/>
      <x:c r="P4" s="1358"/>
      <x:c r="AO4" s="448"/>
      <x:c r="AP4" s="448"/>
      <x:c r="AQ4" s="448"/>
    </x:row>
    <x:row r="5" spans="1:44" s="449" customFormat="1" ht="12.95" customHeight="1" thickTop="1" x14ac:dyDescent="0.2">
      <x:c r="A5" s="2237" t="str">
        <x:f ca="1">'Job Info.'!D11</x:f>
        <x:v>8200 Woolery Way | Fallon, NV 89406 | www.newmill.com</x:v>
      </x:c>
      <x:c r="B5" s="2238"/>
      <x:c r="C5" s="2238"/>
      <x:c r="D5" s="2238"/>
      <x:c r="E5" s="2238"/>
      <x:c r="F5" s="2238"/>
      <x:c r="G5" s="2238"/>
      <x:c r="H5" s="2238"/>
      <x:c r="I5" s="2238"/>
      <x:c r="J5" s="2238"/>
      <x:c r="K5" s="444"/>
      <x:c r="L5" s="444"/>
      <x:c r="M5" s="444"/>
      <x:c r="N5" s="444"/>
      <x:c r="O5" s="1358"/>
      <x:c r="P5" s="1358"/>
      <x:c r="AO5" s="448"/>
      <x:c r="AP5" s="448"/>
      <x:c r="AQ5" s="448"/>
    </x:row>
    <x:row r="6" spans="1:44" s="449" customFormat="1" ht="12.95" customHeight="1" x14ac:dyDescent="0.2">
      <x:c r="A6" s="444"/>
      <x:c r="B6" s="444"/>
      <x:c r="C6" s="444"/>
      <x:c r="D6" s="444"/>
      <x:c r="E6" s="444"/>
      <x:c r="F6" s="444"/>
      <x:c r="G6" s="444"/>
      <x:c r="H6" s="444"/>
      <x:c r="I6" s="444"/>
      <x:c r="J6" s="444"/>
      <x:c r="K6" s="444"/>
      <x:c r="L6" s="444"/>
      <x:c r="M6" s="1836" t="s">
        <x:v>20</x:v>
      </x:c>
      <x:c r="N6" s="1828">
        <x:f>IF(ISBLANK('Job Info.'!D8),"",'Job Info.'!D8)</x:f>
        <x:v>43406</x:v>
      </x:c>
      <x:c r="O6" s="1359"/>
      <x:c r="P6" s="1392" t="s">
        <x:v>1180</x:v>
      </x:c>
      <x:c r="T6" s="780"/>
      <x:c r="AO6" s="448"/>
      <x:c r="AP6" s="448"/>
      <x:c r="AQ6" s="448"/>
    </x:row>
    <x:row r="7" spans="1:44" ht="12.95" customHeight="1" x14ac:dyDescent="0.2">
      <x:c r="A7" s="472" t="s">
        <x:v>43</x:v>
      </x:c>
      <x:c r="B7" s="473"/>
      <x:c r="C7" s="473"/>
      <x:c r="D7" s="473"/>
      <x:c r="E7" s="473"/>
      <x:c r="F7" s="473"/>
      <x:c r="G7" s="444"/>
      <x:c r="H7" s="444"/>
      <x:c r="I7" s="444"/>
      <x:c r="J7" s="444"/>
      <x:c r="K7" s="444"/>
      <x:c r="L7" s="444"/>
      <x:c r="M7" s="1835" t="s">
        <x:v>21</x:v>
      </x:c>
      <x:c r="N7" s="1934" t="str">
        <x:f>CONCATENATE(P7, " of ",IF(ISBLANK('Job Info.'!D9),"",'Job Info.'!D9))</x:f>
        <x:v>7 of 42</x:v>
      </x:c>
      <x:c r="O7" s="1271"/>
      <x:c r="P7" s="1393">
        <x:v>7</x:v>
      </x:c>
      <x:c r="U7" s="449"/>
      <x:c r="V7" s="777"/>
    </x:row>
    <x:row r="8" spans="1:44" ht="3.95" customHeight="1" x14ac:dyDescent="0.2">
      <x:c r="A8" s="473"/>
      <x:c r="B8" s="473"/>
      <x:c r="C8" s="473"/>
      <x:c r="D8" s="473"/>
      <x:c r="E8" s="473"/>
      <x:c r="F8" s="473"/>
      <x:c r="G8" s="473"/>
      <x:c r="H8" s="473"/>
      <x:c r="I8" s="473"/>
      <x:c r="J8" s="473"/>
      <x:c r="K8" s="473"/>
      <x:c r="L8" s="473"/>
      <x:c r="M8" s="473"/>
      <x:c r="N8" s="473"/>
      <x:c r="O8" s="1271"/>
      <x:c r="P8" s="1271"/>
    </x:row>
    <x:row r="9" spans="1:44" ht="12.6" customHeight="1" x14ac:dyDescent="0.2">
      <x:c r="A9" s="1830" t="s">
        <x:v>1</x:v>
      </x:c>
      <x:c r="B9" s="2225" t="str">
        <x:f>IF(ISBLANK('Job Info.'!D3),"",'Job Info.'!D3)</x:f>
        <x:v>SUNPOINT CROSSING</x:v>
      </x:c>
      <x:c r="C9" s="2225"/>
      <x:c r="D9" s="2225"/>
      <x:c r="E9" s="2225"/>
      <x:c r="F9" s="2225"/>
      <x:c r="G9" s="2225"/>
      <x:c r="H9" s="2226"/>
      <x:c r="I9" s="560"/>
      <x:c r="J9" s="1825" t="s">
        <x:v>2</x:v>
      </x:c>
      <x:c r="K9" s="2225" t="str">
        <x:f>IF(ISBLANK('Job Info.'!D5),"",'Job Info.'!D5)</x:f>
        <x:v>9118-0062</x:v>
      </x:c>
      <x:c r="L9" s="2242"/>
      <x:c r="M9" s="2242"/>
      <x:c r="N9" s="2243"/>
      <x:c r="O9" s="1360"/>
      <x:c r="P9" s="1360"/>
      <x:c r="V9" s="778"/>
    </x:row>
    <x:row r="10" spans="1:44" ht="12.6" customHeight="1" x14ac:dyDescent="0.2">
      <x:c r="A10" s="1830" t="s">
        <x:v>3</x:v>
      </x:c>
      <x:c r="B10" s="2225" t="str">
        <x:f>IF(ISBLANK('Job Info.'!D4),"",'Job Info.'!D4)</x:f>
        <x:v>LAS VEGAS, NV</x:v>
      </x:c>
      <x:c r="C10" s="2225"/>
      <x:c r="D10" s="2225"/>
      <x:c r="E10" s="2225"/>
      <x:c r="F10" s="2225"/>
      <x:c r="G10" s="2225"/>
      <x:c r="H10" s="2226"/>
      <x:c r="I10" s="2239" t="s">
        <x:v>22</x:v>
      </x:c>
      <x:c r="J10" s="2239"/>
      <x:c r="K10" s="2225" t="str">
        <x:f>IF(ISBLANK('Job Info.'!D6),"",'Job Info.'!D6)</x:f>
        <x:v>CJA</x:v>
      </x:c>
      <x:c r="L10" s="2226"/>
      <x:c r="M10" s="1830" t="s">
        <x:v>23</x:v>
      </x:c>
      <x:c r="N10" s="1823" t="str">
        <x:f>IF(ISBLANK('Job Info.'!D7),"",'Job Info.'!D7)</x:f>
        <x:v>LS</x:v>
      </x:c>
      <x:c r="O10" s="1360"/>
      <x:c r="P10" s="1360"/>
      <x:c r="W10" s="779"/>
    </x:row>
    <x:row r="11" spans="1:44" ht="3.95" customHeight="1" x14ac:dyDescent="0.2">
      <x:c r="A11" s="1396"/>
      <x:c r="B11" s="473"/>
      <x:c r="C11" s="473"/>
      <x:c r="D11" s="473"/>
      <x:c r="E11" s="473"/>
      <x:c r="F11" s="473"/>
      <x:c r="G11" s="473"/>
      <x:c r="H11" s="473"/>
      <x:c r="I11" s="473"/>
      <x:c r="J11" s="473"/>
      <x:c r="K11" s="473"/>
      <x:c r="L11" s="473"/>
      <x:c r="M11" s="473"/>
      <x:c r="N11" s="473"/>
      <x:c r="O11" s="1358"/>
      <x:c r="P11" s="1358"/>
    </x:row>
    <x:row r="12" spans="1:44" s="570" customFormat="1" ht="14.1" customHeight="1" x14ac:dyDescent="0.2">
      <x:c r="A12" s="2244" t="s">
        <x:v>78</x:v>
      </x:c>
      <x:c r="B12" s="2245"/>
      <x:c r="C12" s="2245"/>
      <x:c r="D12" s="2245"/>
      <x:c r="E12" s="2246"/>
      <x:c r="F12" s="2244" t="s">
        <x:v>50</x:v>
      </x:c>
      <x:c r="G12" s="2245"/>
      <x:c r="H12" s="2250"/>
      <x:c r="I12" s="2244" t="s">
        <x:v>51</x:v>
      </x:c>
      <x:c r="J12" s="2245"/>
      <x:c r="K12" s="2250"/>
      <x:c r="L12" s="2240" t="s">
        <x:v>52</x:v>
      </x:c>
      <x:c r="M12" s="2251" t="s">
        <x:v>782</x:v>
      </x:c>
      <x:c r="N12" s="2240" t="s">
        <x:v>53</x:v>
      </x:c>
      <x:c r="O12" s="1395"/>
      <x:c r="P12" s="1395"/>
      <x:c r="AO12" s="980" t="s">
        <x:v>1016</x:v>
      </x:c>
      <x:c r="AP12" s="1201" t="s">
        <x:v>171</x:v>
      </x:c>
      <x:c r="AQ12" s="571"/>
    </x:row>
    <x:row r="13" spans="1:44" s="570" customFormat="1" ht="14.1" customHeight="1" x14ac:dyDescent="0.2">
      <x:c r="A13" s="1338" t="s">
        <x:v>47</x:v>
      </x:c>
      <x:c r="B13" s="1826" t="s">
        <x:v>17</x:v>
      </x:c>
      <x:c r="C13" s="1826" t="s">
        <x:v>46</x:v>
      </x:c>
      <x:c r="D13" s="1826" t="s">
        <x:v>79</x:v>
      </x:c>
      <x:c r="E13" s="1340" t="s">
        <x:v>45</x:v>
      </x:c>
      <x:c r="F13" s="1338" t="s">
        <x:v>48</x:v>
      </x:c>
      <x:c r="G13" s="2248" t="s">
        <x:v>49</x:v>
      </x:c>
      <x:c r="H13" s="2249"/>
      <x:c r="I13" s="1338" t="s">
        <x:v>48</x:v>
      </x:c>
      <x:c r="J13" s="2248" t="s">
        <x:v>49</x:v>
      </x:c>
      <x:c r="K13" s="2249"/>
      <x:c r="L13" s="2247"/>
      <x:c r="M13" s="2252"/>
      <x:c r="N13" s="2241"/>
      <x:c r="O13" s="1395"/>
      <x:c r="P13" s="1395"/>
      <x:c r="AQ13" s="980"/>
    </x:row>
    <x:row r="14" spans="1:44" ht="14.1" customHeight="1" x14ac:dyDescent="0.2">
      <x:c r="A14" s="2020" t="s">
        <x:v>1257</x:v>
      </x:c>
      <x:c r="B14" s="2021"/>
      <x:c r="C14" s="2021"/>
      <x:c r="D14" s="2021"/>
      <x:c r="E14" s="2022"/>
      <x:c r="F14" s="2023"/>
      <x:c r="G14" s="2024"/>
      <x:c r="H14" s="2025"/>
      <x:c r="I14" s="2023"/>
      <x:c r="J14" s="2024"/>
      <x:c r="K14" s="2025"/>
      <x:c r="L14" s="2026" t="s">
        <x:v>117</x:v>
      </x:c>
      <x:c r="M14" s="2027" t="s">
        <x:v>117</x:v>
      </x:c>
      <x:c r="N14" s="2028" t="s">
        <x:v>2300</x:v>
      </x:c>
      <x:c r="O14" s="2029"/>
      <x:c r="P14" s="2029"/>
      <x:c r="R14" s="295" t="b">
        <x:f>OR(B14="CP",B14="CA", B14="AX",B14="M",B14="S")</x:f>
        <x:v>0</x:v>
      </x:c>
      <x:c r="S14" s="475">
        <x:v>1</x:v>
      </x:c>
      <x:c r="T14" s="475">
        <x:v>0</x:v>
      </x:c>
      <x:c r="U14" s="475">
        <x:v>0</x:v>
      </x:c>
      <x:c r="V14" s="475">
        <x:v>1</x:v>
      </x:c>
      <x:c r="W14" s="475">
        <x:v>0</x:v>
      </x:c>
      <x:c r="X14" s="475">
        <x:v>0</x:v>
      </x:c>
      <x:c r="Y14" s="475">
        <x:v>0</x:v>
      </x:c>
      <x:c r="Z14" s="475">
        <x:v>0</x:v>
      </x:c>
      <x:c r="AA14" s="475">
        <x:v>0</x:v>
      </x:c>
      <x:c r="AB14" s="475">
        <x:v>0</x:v>
      </x:c>
      <x:c r="AC14" s="475">
        <x:v>2</x:v>
      </x:c>
      <x:c r="AD14" s="475">
        <x:v>3</x:v>
      </x:c>
      <x:c r="AE14" s="475">
        <x:v>0</x:v>
      </x:c>
      <x:c r="AF14" s="475">
        <x:v>0</x:v>
      </x:c>
      <x:c r="AG14" s="475">
        <x:v>0</x:v>
      </x:c>
      <x:c r="AL14" s="295" t="b">
        <x:v>1</x:v>
      </x:c>
      <x:c r="AO14" s="284" t="str">
        <x:f>IF(ISBLANK(A14),"",A14)</x:f>
        <x:v>1</x:v>
      </x:c>
      <x:c r="AP14" s="1202" t="b">
        <x:v>0</x:v>
      </x:c>
      <x:c r="AQ14" s="236"/>
    </x:row>
    <x:row r="15" spans="1:44" ht="14.1" customHeight="1" x14ac:dyDescent="0.2">
      <x:c r="A15" s="2030"/>
      <x:c r="B15" s="2031" t="s">
        <x:v>145</x:v>
      </x:c>
      <x:c r="C15" s="2031" t="s">
        <x:v>143</x:v>
      </x:c>
      <x:c r="D15" s="2031" t="s">
        <x:v>146</x:v>
      </x:c>
      <x:c r="E15" s="2032"/>
      <x:c r="F15" s="2033">
        <x:v>64</x:v>
      </x:c>
      <x:c r="G15" s="2034"/>
      <x:c r="H15" s="2035"/>
      <x:c r="I15" s="2033"/>
      <x:c r="J15" s="2034"/>
      <x:c r="K15" s="2035"/>
      <x:c r="L15" s="2036" t="s">
        <x:v>117</x:v>
      </x:c>
      <x:c r="M15" s="2037" t="s">
        <x:v>850</x:v>
      </x:c>
      <x:c r="N15" s="2038" t="s">
        <x:v>2290</x:v>
      </x:c>
      <x:c r="O15" s="2029"/>
      <x:c r="P15" s="2029"/>
      <x:c r="R15" s="295" t="b">
        <x:f t="shared" ref="R15:R55" si="0">OR(B15="CP",B15="CA", B15="AX",B15="M",B15="S")</x:f>
        <x:v>0</x:v>
      </x:c>
      <x:c r="S15" s="678" t="s">
        <x:v>152</x:v>
      </x:c>
      <x:c r="T15" s="678" t="s">
        <x:v>145</x:v>
      </x:c>
      <x:c r="U15" s="678" t="s">
        <x:v>153</x:v>
      </x:c>
      <x:c r="V15" s="678" t="s">
        <x:v>149</x:v>
      </x:c>
      <x:c r="W15" s="678" t="s">
        <x:v>154</x:v>
      </x:c>
      <x:c r="X15" s="678" t="s">
        <x:v>155</x:v>
      </x:c>
      <x:c r="Y15" s="678" t="s">
        <x:v>156</x:v>
      </x:c>
      <x:c r="Z15" s="678" t="s">
        <x:v>147</x:v>
      </x:c>
      <x:c r="AA15" s="678" t="s">
        <x:v>157</x:v>
      </x:c>
      <x:c r="AB15" s="678" t="s">
        <x:v>158</x:v>
      </x:c>
      <x:c r="AC15" s="678" t="s">
        <x:v>119</x:v>
      </x:c>
      <x:c r="AD15" s="678" t="s">
        <x:v>159</x:v>
      </x:c>
      <x:c r="AE15" s="284"/>
      <x:c r="AF15" s="284"/>
      <x:c r="AG15" s="284"/>
      <x:c r="AH15" s="475">
        <x:v>0</x:v>
      </x:c>
      <x:c r="AI15" s="475">
        <x:v>1</x:v>
      </x:c>
      <x:c r="AJ15" s="475">
        <x:v>2</x:v>
      </x:c>
      <x:c r="AK15" s="475">
        <x:v>3</x:v>
      </x:c>
      <x:c r="AL15" s="475"/>
      <x:c r="AM15" s="475"/>
      <x:c r="AO15" s="284" t="str">
        <x:f>IF(ISBLANK(A15),AO14,A15)</x:f>
        <x:v>1</x:v>
      </x:c>
      <x:c r="AP15" s="1202" t="b">
        <x:v>0</x:v>
      </x:c>
      <x:c r="AQ15" s="236"/>
    </x:row>
    <x:row r="16" spans="1:44" ht="14.1" customHeight="1" x14ac:dyDescent="0.2">
      <x:c r="A16" s="2030"/>
      <x:c r="B16" s="2031" t="s">
        <x:v>156</x:v>
      </x:c>
      <x:c r="C16" s="2031" t="s">
        <x:v>166</x:v>
      </x:c>
      <x:c r="D16" s="2031" t="s">
        <x:v>146</x:v>
      </x:c>
      <x:c r="E16" s="2032"/>
      <x:c r="F16" s="2033">
        <x:v>250</x:v>
      </x:c>
      <x:c r="G16" s="2034"/>
      <x:c r="H16" s="2035"/>
      <x:c r="I16" s="2033"/>
      <x:c r="J16" s="2034"/>
      <x:c r="K16" s="2035"/>
      <x:c r="L16" s="2036" t="s">
        <x:v>117</x:v>
      </x:c>
      <x:c r="M16" s="2037" t="s">
        <x:v>117</x:v>
      </x:c>
      <x:c r="N16" s="2038" t="s">
        <x:v>1636</x:v>
      </x:c>
      <x:c r="O16" s="2029"/>
      <x:c r="P16" s="2029"/>
      <x:c r="R16" s="295" t="b">
        <x:f t="shared" si="0"/>
        <x:v>1</x:v>
      </x:c>
      <x:c r="S16" s="678" t="s">
        <x:v>148</x:v>
      </x:c>
      <x:c r="T16" s="678" t="s">
        <x:v>143</x:v>
      </x:c>
      <x:c r="U16" s="678" t="s">
        <x:v>143</x:v>
      </x:c>
      <x:c r="V16" s="678" t="s">
        <x:v>148</x:v>
      </x:c>
      <x:c r="W16" s="678" t="s">
        <x:v>148</x:v>
      </x:c>
      <x:c r="X16" s="678" t="s">
        <x:v>148</x:v>
      </x:c>
      <x:c r="Y16" s="678" t="s">
        <x:v>148</x:v>
      </x:c>
      <x:c r="Z16" s="678" t="s">
        <x:v>148</x:v>
      </x:c>
      <x:c r="AA16" s="678" t="s">
        <x:v>148</x:v>
      </x:c>
      <x:c r="AB16" s="678" t="s">
        <x:v>148</x:v>
      </x:c>
      <x:c r="AC16" s="678" t="s">
        <x:v>148</x:v>
      </x:c>
      <x:c r="AD16" s="678" t="s">
        <x:v>148</x:v>
      </x:c>
      <x:c r="AE16" s="284"/>
      <x:c r="AF16" s="284"/>
      <x:c r="AG16" s="284"/>
      <x:c r="AH16" s="284" t="s">
        <x:v>146</x:v>
      </x:c>
      <x:c r="AI16" s="284" t="s">
        <x:v>146</x:v>
      </x:c>
      <x:c r="AJ16" s="284" t="s">
        <x:v>169</x:v>
      </x:c>
      <x:c r="AK16" s="284" t="s">
        <x:v>146</x:v>
      </x:c>
      <x:c r="AL16" s="284" t="s">
        <x:v>740</x:v>
      </x:c>
      <x:c r="AM16" s="284" t="s">
        <x:v>740</x:v>
      </x:c>
      <x:c r="AN16" s="536" t="s">
        <x:v>783</x:v>
      </x:c>
      <x:c r="AO16" s="284" t="str">
        <x:f t="shared" ref="AO16:AO55" si="1">IF(ISBLANK(A16),AO15,A16)</x:f>
        <x:v>1</x:v>
      </x:c>
      <x:c r="AP16" s="1202" t="b">
        <x:v>0</x:v>
      </x:c>
      <x:c r="AQ16" s="236"/>
    </x:row>
    <x:row r="17" spans="1:43" ht="14.1" customHeight="1" x14ac:dyDescent="0.2">
      <x:c r="A17" s="2030"/>
      <x:c r="B17" s="2031" t="s">
        <x:v>156</x:v>
      </x:c>
      <x:c r="C17" s="2031" t="s">
        <x:v>166</x:v>
      </x:c>
      <x:c r="D17" s="2031" t="s">
        <x:v>160</x:v>
      </x:c>
      <x:c r="E17" s="2032"/>
      <x:c r="F17" s="2033">
        <x:v>250</x:v>
      </x:c>
      <x:c r="G17" s="2034"/>
      <x:c r="H17" s="2035"/>
      <x:c r="I17" s="2033"/>
      <x:c r="J17" s="2034"/>
      <x:c r="K17" s="2035"/>
      <x:c r="L17" s="2036" t="s">
        <x:v>117</x:v>
      </x:c>
      <x:c r="M17" s="2037" t="s">
        <x:v>117</x:v>
      </x:c>
      <x:c r="N17" s="2038" t="s">
        <x:v>1637</x:v>
      </x:c>
      <x:c r="O17" s="2029"/>
      <x:c r="P17" s="2029"/>
      <x:c r="R17" s="295" t="b">
        <x:f t="shared" si="0"/>
        <x:v>1</x:v>
      </x:c>
      <x:c r="S17" s="678" t="s">
        <x:v>163</x:v>
      </x:c>
      <x:c r="T17" s="678" t="s">
        <x:v>168</x:v>
      </x:c>
      <x:c r="U17" s="678" t="s">
        <x:v>168</x:v>
      </x:c>
      <x:c r="V17" s="678" t="s">
        <x:v>163</x:v>
      </x:c>
      <x:c r="W17" s="678" t="s">
        <x:v>163</x:v>
      </x:c>
      <x:c r="X17" s="678" t="s">
        <x:v>163</x:v>
      </x:c>
      <x:c r="Y17" s="678" t="s">
        <x:v>163</x:v>
      </x:c>
      <x:c r="Z17" s="678" t="s">
        <x:v>163</x:v>
      </x:c>
      <x:c r="AA17" s="678" t="s">
        <x:v>163</x:v>
      </x:c>
      <x:c r="AB17" s="678" t="s">
        <x:v>163</x:v>
      </x:c>
      <x:c r="AC17" s="678" t="s">
        <x:v>163</x:v>
      </x:c>
      <x:c r="AD17" s="678" t="s">
        <x:v>163</x:v>
      </x:c>
      <x:c r="AE17" s="284"/>
      <x:c r="AF17" s="284"/>
      <x:c r="AG17" s="284"/>
      <x:c r="AH17" s="284" t="s">
        <x:v>160</x:v>
      </x:c>
      <x:c r="AI17" s="284" t="s">
        <x:v>160</x:v>
      </x:c>
      <x:c r="AJ17" s="284" t="s">
        <x:v>170</x:v>
      </x:c>
      <x:c r="AK17" s="284"/>
      <x:c r="AL17" s="284" t="s">
        <x:v>741</x:v>
      </x:c>
      <x:c r="AM17" s="284" t="s">
        <x:v>742</x:v>
      </x:c>
      <x:c r="AN17" s="536" t="s">
        <x:v>784</x:v>
      </x:c>
      <x:c r="AO17" s="284" t="str">
        <x:f t="shared" si="1"/>
        <x:v>1</x:v>
      </x:c>
      <x:c r="AP17" s="1202" t="b">
        <x:v>0</x:v>
      </x:c>
      <x:c r="AQ17" s="236"/>
    </x:row>
    <x:row r="18" spans="1:43" ht="14.1" customHeight="1" x14ac:dyDescent="0.2">
      <x:c r="A18" s="2030"/>
      <x:c r="B18" s="2031" t="s">
        <x:v>155</x:v>
      </x:c>
      <x:c r="C18" s="2031" t="s">
        <x:v>166</x:v>
      </x:c>
      <x:c r="D18" s="2031" t="s">
        <x:v>146</x:v>
      </x:c>
      <x:c r="E18" s="2032"/>
      <x:c r="F18" s="2033">
        <x:v>500</x:v>
      </x:c>
      <x:c r="G18" s="2034"/>
      <x:c r="H18" s="2035"/>
      <x:c r="I18" s="2033"/>
      <x:c r="J18" s="2034"/>
      <x:c r="K18" s="2035"/>
      <x:c r="L18" s="2036" t="s">
        <x:v>117</x:v>
      </x:c>
      <x:c r="M18" s="2037" t="s">
        <x:v>117</x:v>
      </x:c>
      <x:c r="N18" s="2038" t="s">
        <x:v>117</x:v>
      </x:c>
      <x:c r="O18" s="2029"/>
      <x:c r="P18" s="2029"/>
      <x:c r="R18" s="295" t="b">
        <x:f t="shared" si="0"/>
        <x:v>1</x:v>
      </x:c>
      <x:c r="S18" s="678" t="s">
        <x:v>164</x:v>
      </x:c>
      <x:c r="T18" s="284"/>
      <x:c r="U18" s="284"/>
      <x:c r="V18" s="678" t="s">
        <x:v>164</x:v>
      </x:c>
      <x:c r="W18" s="678" t="s">
        <x:v>164</x:v>
      </x:c>
      <x:c r="X18" s="678" t="s">
        <x:v>164</x:v>
      </x:c>
      <x:c r="Y18" s="678" t="s">
        <x:v>164</x:v>
      </x:c>
      <x:c r="Z18" s="678" t="s">
        <x:v>164</x:v>
      </x:c>
      <x:c r="AA18" s="678" t="s">
        <x:v>164</x:v>
      </x:c>
      <x:c r="AB18" s="678" t="s">
        <x:v>164</x:v>
      </x:c>
      <x:c r="AC18" s="678" t="s">
        <x:v>164</x:v>
      </x:c>
      <x:c r="AD18" s="678" t="s">
        <x:v>164</x:v>
      </x:c>
      <x:c r="AE18" s="284"/>
      <x:c r="AF18" s="284"/>
      <x:c r="AG18" s="284"/>
      <x:c r="AH18" s="284"/>
      <x:c r="AI18" s="284" t="s">
        <x:v>161</x:v>
      </x:c>
      <x:c r="AJ18" s="284" t="s">
        <x:v>144</x:v>
      </x:c>
      <x:c r="AK18" s="284"/>
      <x:c r="AL18" s="284" t="s">
        <x:v>742</x:v>
      </x:c>
      <x:c r="AM18" s="284" t="s">
        <x:v>744</x:v>
      </x:c>
      <x:c r="AN18" s="536" t="s">
        <x:v>785</x:v>
      </x:c>
      <x:c r="AO18" s="284" t="str">
        <x:f t="shared" si="1"/>
        <x:v>1</x:v>
      </x:c>
      <x:c r="AP18" s="1202" t="b">
        <x:v>0</x:v>
      </x:c>
      <x:c r="AQ18" s="236"/>
    </x:row>
    <x:row r="19" spans="1:43" ht="14.1" customHeight="1" x14ac:dyDescent="0.2">
      <x:c r="A19" s="2030" t="s">
        <x:v>850</x:v>
      </x:c>
      <x:c r="B19" s="2031" t="s">
        <x:v>158</x:v>
      </x:c>
      <x:c r="C19" s="2031" t="s">
        <x:v>143</x:v>
      </x:c>
      <x:c r="D19" s="2031" t="s">
        <x:v>146</x:v>
      </x:c>
      <x:c r="E19" s="2032"/>
      <x:c r="F19" s="2033">
        <x:v>8500</x:v>
      </x:c>
      <x:c r="G19" s="2034"/>
      <x:c r="H19" s="2035"/>
      <x:c r="I19" s="2033"/>
      <x:c r="J19" s="2034"/>
      <x:c r="K19" s="2035"/>
      <x:c r="L19" s="2036" t="s">
        <x:v>117</x:v>
      </x:c>
      <x:c r="M19" s="2037" t="s">
        <x:v>117</x:v>
      </x:c>
      <x:c r="N19" s="2038" t="s">
        <x:v>1638</x:v>
      </x:c>
      <x:c r="O19" s="2029"/>
      <x:c r="P19" s="2029"/>
      <x:c r="R19" s="295" t="b">
        <x:f t="shared" si="0"/>
        <x:v>1</x:v>
      </x:c>
      <x:c r="S19" s="678" t="s">
        <x:v>143</x:v>
      </x:c>
      <x:c r="T19" s="284"/>
      <x:c r="U19" s="284"/>
      <x:c r="V19" s="678" t="s">
        <x:v>143</x:v>
      </x:c>
      <x:c r="W19" s="678" t="s">
        <x:v>143</x:v>
      </x:c>
      <x:c r="X19" s="678" t="s">
        <x:v>143</x:v>
      </x:c>
      <x:c r="Y19" s="678" t="s">
        <x:v>143</x:v>
      </x:c>
      <x:c r="Z19" s="678" t="s">
        <x:v>143</x:v>
      </x:c>
      <x:c r="AA19" s="678" t="s">
        <x:v>143</x:v>
      </x:c>
      <x:c r="AB19" s="678" t="s">
        <x:v>143</x:v>
      </x:c>
      <x:c r="AC19" s="678" t="s">
        <x:v>143</x:v>
      </x:c>
      <x:c r="AD19" s="678" t="s">
        <x:v>166</x:v>
      </x:c>
      <x:c r="AE19" s="284"/>
      <x:c r="AF19" s="284"/>
      <x:c r="AG19" s="284"/>
      <x:c r="AH19" s="284"/>
      <x:c r="AI19" s="284" t="s">
        <x:v>162</x:v>
      </x:c>
      <x:c r="AJ19" s="284"/>
      <x:c r="AK19" s="554"/>
      <x:c r="AL19" s="284" t="s">
        <x:v>743</x:v>
      </x:c>
      <x:c r="AM19" s="284" t="s">
        <x:v>745</x:v>
      </x:c>
      <x:c r="AN19" s="536" t="s">
        <x:v>786</x:v>
      </x:c>
      <x:c r="AO19" s="284" t="str">
        <x:f t="shared" si="1"/>
        <x:v>2</x:v>
      </x:c>
      <x:c r="AP19" s="1202" t="b">
        <x:v>0</x:v>
      </x:c>
      <x:c r="AQ19" s="236"/>
    </x:row>
    <x:row r="20" spans="1:43" ht="14.1" customHeight="1" x14ac:dyDescent="0.2">
      <x:c r="A20" s="2030"/>
      <x:c r="B20" s="2031" t="s">
        <x:v>158</x:v>
      </x:c>
      <x:c r="C20" s="2031" t="s">
        <x:v>168</x:v>
      </x:c>
      <x:c r="D20" s="2031" t="s">
        <x:v>146</x:v>
      </x:c>
      <x:c r="E20" s="2032"/>
      <x:c r="F20" s="2033">
        <x:v>8500</x:v>
      </x:c>
      <x:c r="G20" s="2034"/>
      <x:c r="H20" s="2035"/>
      <x:c r="I20" s="2033"/>
      <x:c r="J20" s="2034"/>
      <x:c r="K20" s="2035"/>
      <x:c r="L20" s="2036" t="s">
        <x:v>117</x:v>
      </x:c>
      <x:c r="M20" s="2037" t="s">
        <x:v>117</x:v>
      </x:c>
      <x:c r="N20" s="2039" t="s">
        <x:v>117</x:v>
      </x:c>
      <x:c r="O20" s="2040"/>
      <x:c r="P20" s="2040"/>
      <x:c r="R20" s="295" t="b">
        <x:f t="shared" si="0"/>
        <x:v>1</x:v>
      </x:c>
      <x:c r="S20" s="678" t="s">
        <x:v>165</x:v>
      </x:c>
      <x:c r="T20" s="284"/>
      <x:c r="U20" s="284"/>
      <x:c r="V20" s="678" t="s">
        <x:v>166</x:v>
      </x:c>
      <x:c r="W20" s="678" t="s">
        <x:v>166</x:v>
      </x:c>
      <x:c r="X20" s="678" t="s">
        <x:v>166</x:v>
      </x:c>
      <x:c r="Y20" s="678" t="s">
        <x:v>166</x:v>
      </x:c>
      <x:c r="Z20" s="678" t="s">
        <x:v>166</x:v>
      </x:c>
      <x:c r="AA20" s="678" t="s">
        <x:v>166</x:v>
      </x:c>
      <x:c r="AB20" s="678" t="s">
        <x:v>166</x:v>
      </x:c>
      <x:c r="AC20" s="678" t="s">
        <x:v>166</x:v>
      </x:c>
      <x:c r="AD20" s="284"/>
      <x:c r="AE20" s="284"/>
      <x:c r="AF20" s="284"/>
      <x:c r="AG20" s="284"/>
      <x:c r="AH20" s="475"/>
      <x:c r="AI20" s="475"/>
      <x:c r="AJ20" s="475"/>
      <x:c r="AL20" s="284" t="s">
        <x:v>744</x:v>
      </x:c>
      <x:c r="AM20" s="284"/>
      <x:c r="AN20" s="536"/>
      <x:c r="AO20" s="284" t="str">
        <x:f t="shared" si="1"/>
        <x:v>2</x:v>
      </x:c>
      <x:c r="AP20" s="1202" t="b">
        <x:v>0</x:v>
      </x:c>
      <x:c r="AQ20" s="236"/>
    </x:row>
    <x:row r="21" spans="1:43" ht="14.1" customHeight="1" x14ac:dyDescent="0.2">
      <x:c r="A21" s="2030" t="s">
        <x:v>1258</x:v>
      </x:c>
      <x:c r="B21" s="2031" t="s">
        <x:v>155</x:v>
      </x:c>
      <x:c r="C21" s="2031" t="s">
        <x:v>168</x:v>
      </x:c>
      <x:c r="D21" s="2031" t="s">
        <x:v>146</x:v>
      </x:c>
      <x:c r="E21" s="2032"/>
      <x:c r="F21" s="2033">
        <x:v>470</x:v>
      </x:c>
      <x:c r="G21" s="2034"/>
      <x:c r="H21" s="2035"/>
      <x:c r="I21" s="2033"/>
      <x:c r="J21" s="2034"/>
      <x:c r="K21" s="2035"/>
      <x:c r="L21" s="2036" t="s">
        <x:v>117</x:v>
      </x:c>
      <x:c r="M21" s="2037" t="s">
        <x:v>117</x:v>
      </x:c>
      <x:c r="N21" s="2039" t="s">
        <x:v>1639</x:v>
      </x:c>
      <x:c r="O21" s="2040"/>
      <x:c r="P21" s="2040"/>
      <x:c r="R21" s="295" t="b">
        <x:f t="shared" si="0"/>
        <x:v>1</x:v>
      </x:c>
      <x:c r="S21" s="678" t="s">
        <x:v>166</x:v>
      </x:c>
      <x:c r="T21" s="284"/>
      <x:c r="U21" s="284"/>
      <x:c r="V21" s="678" t="s">
        <x:v>168</x:v>
      </x:c>
      <x:c r="W21" s="678" t="s">
        <x:v>168</x:v>
      </x:c>
      <x:c r="X21" s="678" t="s">
        <x:v>168</x:v>
      </x:c>
      <x:c r="Y21" s="678" t="s">
        <x:v>168</x:v>
      </x:c>
      <x:c r="Z21" s="678" t="s">
        <x:v>168</x:v>
      </x:c>
      <x:c r="AA21" s="678" t="s">
        <x:v>168</x:v>
      </x:c>
      <x:c r="AB21" s="678" t="s">
        <x:v>168</x:v>
      </x:c>
      <x:c r="AC21" s="678" t="s">
        <x:v>168</x:v>
      </x:c>
      <x:c r="AD21" s="284"/>
      <x:c r="AE21" s="284"/>
      <x:c r="AF21" s="284"/>
      <x:c r="AG21" s="284"/>
      <x:c r="AH21" s="475"/>
      <x:c r="AI21" s="475"/>
      <x:c r="AJ21" s="475"/>
      <x:c r="AL21" s="284" t="s">
        <x:v>745</x:v>
      </x:c>
      <x:c r="AM21" s="284"/>
      <x:c r="AN21" s="536"/>
      <x:c r="AO21" s="284" t="str">
        <x:f t="shared" si="1"/>
        <x:v>3</x:v>
      </x:c>
      <x:c r="AP21" s="1202" t="b">
        <x:v>0</x:v>
      </x:c>
      <x:c r="AQ21" s="236"/>
    </x:row>
    <x:row r="22" spans="1:43" ht="14.1" customHeight="1" x14ac:dyDescent="0.2">
      <x:c r="A22" s="2030"/>
      <x:c r="B22" s="2031" t="s">
        <x:v>155</x:v>
      </x:c>
      <x:c r="C22" s="2031" t="s">
        <x:v>168</x:v>
      </x:c>
      <x:c r="D22" s="2031" t="s">
        <x:v>146</x:v>
      </x:c>
      <x:c r="E22" s="2032"/>
      <x:c r="F22" s="2033">
        <x:v>-470</x:v>
      </x:c>
      <x:c r="G22" s="2034"/>
      <x:c r="H22" s="2035"/>
      <x:c r="I22" s="2033"/>
      <x:c r="J22" s="2034"/>
      <x:c r="K22" s="2035"/>
      <x:c r="L22" s="2036" t="s">
        <x:v>117</x:v>
      </x:c>
      <x:c r="M22" s="2037" t="s">
        <x:v>850</x:v>
      </x:c>
      <x:c r="N22" s="2039" t="s">
        <x:v>117</x:v>
      </x:c>
      <x:c r="O22" s="2040"/>
      <x:c r="P22" s="2040"/>
      <x:c r="R22" s="295" t="b">
        <x:f t="shared" si="0"/>
        <x:v>1</x:v>
      </x:c>
      <x:c r="S22" s="678" t="s">
        <x:v>168</x:v>
      </x:c>
      <x:c r="T22" s="284"/>
      <x:c r="U22" s="284"/>
      <x:c r="V22" s="678" t="s">
        <x:v>167</x:v>
      </x:c>
      <x:c r="W22" s="678" t="s">
        <x:v>167</x:v>
      </x:c>
      <x:c r="X22" s="678" t="s">
        <x:v>167</x:v>
      </x:c>
      <x:c r="Y22" s="678" t="s">
        <x:v>167</x:v>
      </x:c>
      <x:c r="Z22" s="678" t="s">
        <x:v>167</x:v>
      </x:c>
      <x:c r="AA22" s="678" t="s">
        <x:v>167</x:v>
      </x:c>
      <x:c r="AB22" s="678" t="s">
        <x:v>167</x:v>
      </x:c>
      <x:c r="AC22" s="678" t="s">
        <x:v>167</x:v>
      </x:c>
      <x:c r="AD22" s="284"/>
      <x:c r="AE22" s="284"/>
      <x:c r="AF22" s="284"/>
      <x:c r="AG22" s="284"/>
      <x:c r="AH22" s="475"/>
      <x:c r="AI22" s="475"/>
      <x:c r="AJ22" s="475"/>
      <x:c r="AL22" s="284"/>
      <x:c r="AM22" s="284"/>
      <x:c r="AN22" s="536"/>
      <x:c r="AO22" s="284" t="str">
        <x:f t="shared" si="1"/>
        <x:v>3</x:v>
      </x:c>
      <x:c r="AP22" s="1202" t="b">
        <x:v>0</x:v>
      </x:c>
      <x:c r="AQ22" s="236"/>
    </x:row>
    <x:row r="23" spans="1:43" ht="14.1" customHeight="1" x14ac:dyDescent="0.2">
      <x:c r="A23" s="2030"/>
      <x:c r="B23" s="2031" t="s">
        <x:v>158</x:v>
      </x:c>
      <x:c r="C23" s="2031" t="s">
        <x:v>168</x:v>
      </x:c>
      <x:c r="D23" s="2031" t="s">
        <x:v>146</x:v>
      </x:c>
      <x:c r="E23" s="2032"/>
      <x:c r="F23" s="2033">
        <x:v>800</x:v>
      </x:c>
      <x:c r="G23" s="2034"/>
      <x:c r="H23" s="2035"/>
      <x:c r="I23" s="2033"/>
      <x:c r="J23" s="2034"/>
      <x:c r="K23" s="2035"/>
      <x:c r="L23" s="2036" t="s">
        <x:v>117</x:v>
      </x:c>
      <x:c r="M23" s="2037" t="s">
        <x:v>117</x:v>
      </x:c>
      <x:c r="N23" s="2039" t="s">
        <x:v>117</x:v>
      </x:c>
      <x:c r="O23" s="2040"/>
      <x:c r="P23" s="2040"/>
      <x:c r="R23" s="295" t="b">
        <x:f t="shared" si="0"/>
        <x:v>1</x:v>
      </x:c>
      <x:c r="S23" s="678" t="s">
        <x:v>167</x:v>
      </x:c>
      <x:c r="T23" s="577"/>
      <x:c r="U23" s="577"/>
      <x:c r="V23" s="577"/>
      <x:c r="W23" s="577"/>
      <x:c r="X23" s="577"/>
      <x:c r="Y23" s="577"/>
      <x:c r="Z23" s="577"/>
      <x:c r="AA23" s="577"/>
      <x:c r="AB23" s="577"/>
      <x:c r="AC23" s="577"/>
      <x:c r="AD23" s="577"/>
      <x:c r="AE23" s="577"/>
      <x:c r="AF23" s="577"/>
      <x:c r="AG23" s="577"/>
      <x:c r="AH23" s="475"/>
      <x:c r="AI23" s="475"/>
      <x:c r="AJ23" s="475"/>
      <x:c r="AL23" s="284"/>
      <x:c r="AM23" s="284"/>
      <x:c r="AN23" s="536"/>
      <x:c r="AO23" s="284" t="str">
        <x:f t="shared" si="1"/>
        <x:v>3</x:v>
      </x:c>
      <x:c r="AP23" s="1202" t="b">
        <x:v>0</x:v>
      </x:c>
      <x:c r="AQ23" s="236"/>
    </x:row>
    <x:row r="24" spans="1:43" ht="14.1" customHeight="1" x14ac:dyDescent="0.2">
      <x:c r="A24" s="2030"/>
      <x:c r="B24" s="2031" t="s">
        <x:v>152</x:v>
      </x:c>
      <x:c r="C24" s="2031" t="s">
        <x:v>168</x:v>
      </x:c>
      <x:c r="D24" s="2031" t="s">
        <x:v>146</x:v>
      </x:c>
      <x:c r="E24" s="2032"/>
      <x:c r="F24" s="2033">
        <x:v>4</x:v>
      </x:c>
      <x:c r="G24" s="2034"/>
      <x:c r="H24" s="2035"/>
      <x:c r="I24" s="2033"/>
      <x:c r="J24" s="2034"/>
      <x:c r="K24" s="2035"/>
      <x:c r="L24" s="2036" t="s">
        <x:v>117</x:v>
      </x:c>
      <x:c r="M24" s="2037" t="s">
        <x:v>117</x:v>
      </x:c>
      <x:c r="N24" s="2039" t="s">
        <x:v>2291</x:v>
      </x:c>
      <x:c r="O24" s="2040"/>
      <x:c r="P24" s="2040"/>
      <x:c r="R24" s="295" t="b">
        <x:f t="shared" si="0"/>
        <x:v>0</x:v>
      </x:c>
      <x:c r="S24" s="577"/>
      <x:c r="T24" s="577"/>
      <x:c r="U24" s="577"/>
      <x:c r="V24" s="577"/>
      <x:c r="W24" s="577"/>
      <x:c r="X24" s="577"/>
      <x:c r="Y24" s="577"/>
      <x:c r="Z24" s="577"/>
      <x:c r="AA24" s="577"/>
      <x:c r="AB24" s="577"/>
      <x:c r="AC24" s="577"/>
      <x:c r="AD24" s="577"/>
      <x:c r="AE24" s="577"/>
      <x:c r="AF24" s="577"/>
      <x:c r="AG24" s="577"/>
      <x:c r="AH24" s="475"/>
      <x:c r="AI24" s="475"/>
      <x:c r="AJ24" s="475"/>
      <x:c r="AL24" s="284"/>
      <x:c r="AM24" s="284"/>
      <x:c r="AN24" s="536"/>
      <x:c r="AO24" s="284" t="str">
        <x:f t="shared" si="1"/>
        <x:v>3</x:v>
      </x:c>
      <x:c r="AP24" s="1202" t="b">
        <x:v>0</x:v>
      </x:c>
      <x:c r="AQ24" s="236"/>
    </x:row>
    <x:row r="25" spans="1:43" ht="14.1" customHeight="1" x14ac:dyDescent="0.2">
      <x:c r="A25" s="2030"/>
      <x:c r="B25" s="2031" t="s">
        <x:v>152</x:v>
      </x:c>
      <x:c r="C25" s="2031" t="s">
        <x:v>168</x:v>
      </x:c>
      <x:c r="D25" s="2031" t="s">
        <x:v>146</x:v>
      </x:c>
      <x:c r="E25" s="2032"/>
      <x:c r="F25" s="2033">
        <x:v>-4</x:v>
      </x:c>
      <x:c r="G25" s="2034"/>
      <x:c r="H25" s="2035"/>
      <x:c r="I25" s="2033"/>
      <x:c r="J25" s="2034"/>
      <x:c r="K25" s="2035"/>
      <x:c r="L25" s="2036" t="s">
        <x:v>117</x:v>
      </x:c>
      <x:c r="M25" s="2037" t="s">
        <x:v>850</x:v>
      </x:c>
      <x:c r="N25" s="2039" t="s">
        <x:v>2291</x:v>
      </x:c>
      <x:c r="O25" s="2040"/>
      <x:c r="P25" s="2040"/>
      <x:c r="R25" s="295" t="b">
        <x:f t="shared" si="0"/>
        <x:v>0</x:v>
      </x:c>
      <x:c r="S25" s="284"/>
      <x:c r="T25" s="284"/>
      <x:c r="U25" s="284"/>
      <x:c r="V25" s="284"/>
      <x:c r="W25" s="284"/>
      <x:c r="X25" s="284"/>
      <x:c r="Y25" s="284"/>
      <x:c r="Z25" s="284"/>
      <x:c r="AA25" s="284"/>
      <x:c r="AB25" s="284"/>
      <x:c r="AC25" s="284"/>
      <x:c r="AD25" s="284"/>
      <x:c r="AE25" s="284"/>
      <x:c r="AF25" s="284"/>
      <x:c r="AG25" s="284"/>
      <x:c r="AH25" s="475"/>
      <x:c r="AI25" s="475"/>
      <x:c r="AJ25" s="475"/>
      <x:c r="AO25" s="284" t="str">
        <x:f t="shared" si="1"/>
        <x:v>3</x:v>
      </x:c>
      <x:c r="AP25" s="1202" t="b">
        <x:v>0</x:v>
      </x:c>
      <x:c r="AQ25" s="236"/>
    </x:row>
    <x:row r="26" spans="1:43" ht="14.1" customHeight="1" x14ac:dyDescent="0.2">
      <x:c r="A26" s="2030"/>
      <x:c r="B26" s="2031" t="s">
        <x:v>152</x:v>
      </x:c>
      <x:c r="C26" s="2031" t="s">
        <x:v>166</x:v>
      </x:c>
      <x:c r="D26" s="2031" t="s">
        <x:v>146</x:v>
      </x:c>
      <x:c r="E26" s="2032"/>
      <x:c r="F26" s="2033">
        <x:v>17</x:v>
      </x:c>
      <x:c r="G26" s="2034"/>
      <x:c r="H26" s="2035"/>
      <x:c r="I26" s="2033"/>
      <x:c r="J26" s="2034"/>
      <x:c r="K26" s="2035"/>
      <x:c r="L26" s="2036" t="s">
        <x:v>117</x:v>
      </x:c>
      <x:c r="M26" s="2037" t="s">
        <x:v>117</x:v>
      </x:c>
      <x:c r="N26" s="2039" t="s">
        <x:v>2291</x:v>
      </x:c>
      <x:c r="O26" s="2040"/>
      <x:c r="P26" s="2040"/>
      <x:c r="R26" s="295" t="b">
        <x:f t="shared" si="0"/>
        <x:v>0</x:v>
      </x:c>
      <x:c r="S26" s="284"/>
      <x:c r="T26" s="284"/>
      <x:c r="U26" s="284"/>
      <x:c r="V26" s="284"/>
      <x:c r="W26" s="284"/>
      <x:c r="X26" s="284"/>
      <x:c r="Y26" s="284"/>
      <x:c r="Z26" s="284"/>
      <x:c r="AA26" s="284"/>
      <x:c r="AB26" s="284"/>
      <x:c r="AC26" s="284"/>
      <x:c r="AD26" s="284"/>
      <x:c r="AE26" s="284"/>
      <x:c r="AF26" s="284"/>
      <x:c r="AG26" s="284"/>
      <x:c r="AH26" s="475"/>
      <x:c r="AI26" s="475"/>
      <x:c r="AJ26" s="475"/>
      <x:c r="AO26" s="284" t="str">
        <x:f t="shared" si="1"/>
        <x:v>3</x:v>
      </x:c>
      <x:c r="AP26" s="1202" t="b">
        <x:v>0</x:v>
      </x:c>
      <x:c r="AQ26" s="236"/>
    </x:row>
    <x:row r="27" spans="1:43" ht="14.1" customHeight="1" x14ac:dyDescent="0.2">
      <x:c r="A27" s="2030" t="s">
        <x:v>1259</x:v>
      </x:c>
      <x:c r="B27" s="2031" t="s">
        <x:v>156</x:v>
      </x:c>
      <x:c r="C27" s="2031" t="s">
        <x:v>166</x:v>
      </x:c>
      <x:c r="D27" s="2031" t="s">
        <x:v>146</x:v>
      </x:c>
      <x:c r="E27" s="2032"/>
      <x:c r="F27" s="2033">
        <x:v>250</x:v>
      </x:c>
      <x:c r="G27" s="2034"/>
      <x:c r="H27" s="2035"/>
      <x:c r="I27" s="2033"/>
      <x:c r="J27" s="2034"/>
      <x:c r="K27" s="2035"/>
      <x:c r="L27" s="2036" t="s">
        <x:v>117</x:v>
      </x:c>
      <x:c r="M27" s="2037" t="s">
        <x:v>117</x:v>
      </x:c>
      <x:c r="N27" s="2039" t="s">
        <x:v>1640</x:v>
      </x:c>
      <x:c r="O27" s="2040"/>
      <x:c r="P27" s="2040"/>
      <x:c r="R27" s="295" t="b">
        <x:f t="shared" si="0"/>
        <x:v>1</x:v>
      </x:c>
      <x:c r="S27" s="284"/>
      <x:c r="T27" s="284"/>
      <x:c r="U27" s="284"/>
      <x:c r="V27" s="284"/>
      <x:c r="W27" s="284"/>
      <x:c r="X27" s="284"/>
      <x:c r="Y27" s="284"/>
      <x:c r="Z27" s="284"/>
      <x:c r="AA27" s="284"/>
      <x:c r="AB27" s="284"/>
      <x:c r="AC27" s="284"/>
      <x:c r="AD27" s="284"/>
      <x:c r="AE27" s="284"/>
      <x:c r="AF27" s="284"/>
      <x:c r="AG27" s="284"/>
      <x:c r="AH27" s="475"/>
      <x:c r="AI27" s="475"/>
      <x:c r="AJ27" s="475"/>
      <x:c r="AO27" s="284" t="str">
        <x:f t="shared" si="1"/>
        <x:v>4</x:v>
      </x:c>
      <x:c r="AP27" s="1202" t="b">
        <x:v>0</x:v>
      </x:c>
      <x:c r="AQ27" s="236"/>
    </x:row>
    <x:row r="28" spans="1:43" ht="14.1" customHeight="1" x14ac:dyDescent="0.2">
      <x:c r="A28" s="2030"/>
      <x:c r="B28" s="2031" t="s">
        <x:v>156</x:v>
      </x:c>
      <x:c r="C28" s="2031" t="s">
        <x:v>166</x:v>
      </x:c>
      <x:c r="D28" s="2031" t="s">
        <x:v>160</x:v>
      </x:c>
      <x:c r="E28" s="2032"/>
      <x:c r="F28" s="2033">
        <x:v>250</x:v>
      </x:c>
      <x:c r="G28" s="2034"/>
      <x:c r="H28" s="2035"/>
      <x:c r="I28" s="2033"/>
      <x:c r="J28" s="2034"/>
      <x:c r="K28" s="2035"/>
      <x:c r="L28" s="2036" t="s">
        <x:v>117</x:v>
      </x:c>
      <x:c r="M28" s="2037" t="s">
        <x:v>117</x:v>
      </x:c>
      <x:c r="N28" s="2038" t="s">
        <x:v>117</x:v>
      </x:c>
      <x:c r="O28" s="2029"/>
      <x:c r="P28" s="2029"/>
      <x:c r="R28" s="295" t="b">
        <x:f t="shared" si="0"/>
        <x:v>1</x:v>
      </x:c>
      <x:c r="S28" s="284"/>
      <x:c r="T28" s="284"/>
      <x:c r="U28" s="284"/>
      <x:c r="V28" s="284"/>
      <x:c r="W28" s="284"/>
      <x:c r="X28" s="284"/>
      <x:c r="Y28" s="284"/>
      <x:c r="Z28" s="284"/>
      <x:c r="AA28" s="284"/>
      <x:c r="AB28" s="284"/>
      <x:c r="AC28" s="284"/>
      <x:c r="AD28" s="284"/>
      <x:c r="AE28" s="284"/>
      <x:c r="AF28" s="284"/>
      <x:c r="AG28" s="284"/>
      <x:c r="AH28" s="475"/>
      <x:c r="AI28" s="475"/>
      <x:c r="AJ28" s="475"/>
      <x:c r="AO28" s="284" t="str">
        <x:f t="shared" si="1"/>
        <x:v>4</x:v>
      </x:c>
      <x:c r="AP28" s="1202" t="b">
        <x:v>0</x:v>
      </x:c>
      <x:c r="AQ28" s="236"/>
    </x:row>
    <x:row r="29" spans="1:43" ht="14.1" customHeight="1" x14ac:dyDescent="0.2">
      <x:c r="A29" s="2030"/>
      <x:c r="B29" s="2031" t="s">
        <x:v>155</x:v>
      </x:c>
      <x:c r="C29" s="2031" t="s">
        <x:v>166</x:v>
      </x:c>
      <x:c r="D29" s="2031" t="s">
        <x:v>146</x:v>
      </x:c>
      <x:c r="E29" s="2032"/>
      <x:c r="F29" s="2033">
        <x:v>1500</x:v>
      </x:c>
      <x:c r="G29" s="2034"/>
      <x:c r="H29" s="2035"/>
      <x:c r="I29" s="2033"/>
      <x:c r="J29" s="2034"/>
      <x:c r="K29" s="2035"/>
      <x:c r="L29" s="2036" t="s">
        <x:v>117</x:v>
      </x:c>
      <x:c r="M29" s="2037" t="s">
        <x:v>117</x:v>
      </x:c>
      <x:c r="N29" s="2038" t="s">
        <x:v>117</x:v>
      </x:c>
      <x:c r="O29" s="2029"/>
      <x:c r="P29" s="2029"/>
      <x:c r="R29" s="295" t="b">
        <x:f t="shared" si="0"/>
        <x:v>1</x:v>
      </x:c>
      <x:c r="S29" s="284"/>
      <x:c r="T29" s="284"/>
      <x:c r="U29" s="284"/>
      <x:c r="V29" s="284"/>
      <x:c r="W29" s="284"/>
      <x:c r="X29" s="284"/>
      <x:c r="Y29" s="284"/>
      <x:c r="Z29" s="284"/>
      <x:c r="AA29" s="284"/>
      <x:c r="AB29" s="284"/>
      <x:c r="AC29" s="284"/>
      <x:c r="AD29" s="284"/>
      <x:c r="AE29" s="284"/>
      <x:c r="AF29" s="284"/>
      <x:c r="AG29" s="284"/>
      <x:c r="AH29" s="475"/>
      <x:c r="AI29" s="475"/>
      <x:c r="AJ29" s="475"/>
      <x:c r="AO29" s="284" t="str">
        <x:f t="shared" si="1"/>
        <x:v>4</x:v>
      </x:c>
      <x:c r="AP29" s="1202" t="b">
        <x:v>0</x:v>
      </x:c>
      <x:c r="AQ29" s="236"/>
    </x:row>
    <x:row r="30" spans="1:43" ht="14.1" customHeight="1" x14ac:dyDescent="0.2">
      <x:c r="A30" s="2030" t="s">
        <x:v>1260</x:v>
      </x:c>
      <x:c r="B30" s="2031" t="s">
        <x:v>158</x:v>
      </x:c>
      <x:c r="C30" s="2031" t="s">
        <x:v>143</x:v>
      </x:c>
      <x:c r="D30" s="2031" t="s">
        <x:v>146</x:v>
      </x:c>
      <x:c r="E30" s="2032"/>
      <x:c r="F30" s="2033">
        <x:v>46000</x:v>
      </x:c>
      <x:c r="G30" s="2034"/>
      <x:c r="H30" s="2035"/>
      <x:c r="I30" s="2033"/>
      <x:c r="J30" s="2034"/>
      <x:c r="K30" s="2035"/>
      <x:c r="L30" s="2036" t="s">
        <x:v>117</x:v>
      </x:c>
      <x:c r="M30" s="2037" t="s">
        <x:v>117</x:v>
      </x:c>
      <x:c r="N30" s="2038" t="s">
        <x:v>1641</x:v>
      </x:c>
      <x:c r="O30" s="2029"/>
      <x:c r="P30" s="2029"/>
      <x:c r="R30" s="295" t="b">
        <x:f t="shared" si="0"/>
        <x:v>1</x:v>
      </x:c>
      <x:c r="S30" s="721">
        <x:f t="shared" ref="S30:AN30" si="2">COUNTA(S16:S29)</x:f>
        <x:v>8</x:v>
      </x:c>
      <x:c r="T30" s="721">
        <x:f t="shared" si="2"/>
        <x:v>2</x:v>
      </x:c>
      <x:c r="U30" s="721">
        <x:f t="shared" si="2"/>
        <x:v>2</x:v>
      </x:c>
      <x:c r="V30" s="721">
        <x:f t="shared" si="2"/>
        <x:v>7</x:v>
      </x:c>
      <x:c r="W30" s="721">
        <x:f t="shared" si="2"/>
        <x:v>7</x:v>
      </x:c>
      <x:c r="X30" s="721">
        <x:f t="shared" si="2"/>
        <x:v>7</x:v>
      </x:c>
      <x:c r="Y30" s="721">
        <x:f t="shared" si="2"/>
        <x:v>7</x:v>
      </x:c>
      <x:c r="Z30" s="721">
        <x:f t="shared" si="2"/>
        <x:v>7</x:v>
      </x:c>
      <x:c r="AA30" s="721">
        <x:f t="shared" si="2"/>
        <x:v>7</x:v>
      </x:c>
      <x:c r="AB30" s="721">
        <x:f t="shared" si="2"/>
        <x:v>7</x:v>
      </x:c>
      <x:c r="AC30" s="721">
        <x:f t="shared" si="2"/>
        <x:v>7</x:v>
      </x:c>
      <x:c r="AD30" s="721">
        <x:f t="shared" si="2"/>
        <x:v>4</x:v>
      </x:c>
      <x:c r="AE30" s="721">
        <x:f t="shared" si="2"/>
        <x:v>0</x:v>
      </x:c>
      <x:c r="AF30" s="721">
        <x:f t="shared" si="2"/>
        <x:v>0</x:v>
      </x:c>
      <x:c r="AG30" s="721">
        <x:f t="shared" si="2"/>
        <x:v>0</x:v>
      </x:c>
      <x:c r="AH30" s="721">
        <x:f t="shared" si="2"/>
        <x:v>2</x:v>
      </x:c>
      <x:c r="AI30" s="721">
        <x:f t="shared" si="2"/>
        <x:v>4</x:v>
      </x:c>
      <x:c r="AJ30" s="721">
        <x:f t="shared" si="2"/>
        <x:v>3</x:v>
      </x:c>
      <x:c r="AK30" s="721">
        <x:f t="shared" si="2"/>
        <x:v>1</x:v>
      </x:c>
      <x:c r="AL30" s="721">
        <x:f t="shared" si="2"/>
        <x:v>6</x:v>
      </x:c>
      <x:c r="AM30" s="721">
        <x:f t="shared" si="2"/>
        <x:v>4</x:v>
      </x:c>
      <x:c r="AN30" s="721">
        <x:f t="shared" si="2"/>
        <x:v>4</x:v>
      </x:c>
      <x:c r="AO30" s="284" t="str">
        <x:f t="shared" si="1"/>
        <x:v>5</x:v>
      </x:c>
      <x:c r="AP30" s="1202" t="b">
        <x:v>0</x:v>
      </x:c>
      <x:c r="AQ30" s="236"/>
    </x:row>
    <x:row r="31" spans="1:43" ht="14.1" customHeight="1" x14ac:dyDescent="0.2">
      <x:c r="A31" s="2030"/>
      <x:c r="B31" s="2031" t="s">
        <x:v>158</x:v>
      </x:c>
      <x:c r="C31" s="2031" t="s">
        <x:v>168</x:v>
      </x:c>
      <x:c r="D31" s="2031" t="s">
        <x:v>146</x:v>
      </x:c>
      <x:c r="E31" s="2032"/>
      <x:c r="F31" s="2033">
        <x:v>46000</x:v>
      </x:c>
      <x:c r="G31" s="2034"/>
      <x:c r="H31" s="2035"/>
      <x:c r="I31" s="2033"/>
      <x:c r="J31" s="2034"/>
      <x:c r="K31" s="2035"/>
      <x:c r="L31" s="2036" t="s">
        <x:v>117</x:v>
      </x:c>
      <x:c r="M31" s="2036" t="s">
        <x:v>117</x:v>
      </x:c>
      <x:c r="N31" s="2038" t="s">
        <x:v>117</x:v>
      </x:c>
      <x:c r="O31" s="2029"/>
      <x:c r="P31" s="2029"/>
      <x:c r="R31" s="295" t="b">
        <x:f t="shared" si="0"/>
        <x:v>1</x:v>
      </x:c>
      <x:c r="AO31" s="284" t="str">
        <x:f t="shared" si="1"/>
        <x:v>5</x:v>
      </x:c>
      <x:c r="AP31" s="1202" t="b">
        <x:v>0</x:v>
      </x:c>
      <x:c r="AQ31" s="236"/>
    </x:row>
    <x:row r="32" spans="1:43" ht="14.1" customHeight="1" x14ac:dyDescent="0.2">
      <x:c r="A32" s="2030" t="s">
        <x:v>1261</x:v>
      </x:c>
      <x:c r="B32" s="2031" t="s">
        <x:v>152</x:v>
      </x:c>
      <x:c r="C32" s="2031" t="s">
        <x:v>163</x:v>
      </x:c>
      <x:c r="D32" s="2031" t="s">
        <x:v>146</x:v>
      </x:c>
      <x:c r="E32" s="2032"/>
      <x:c r="F32" s="2033">
        <x:v>80</x:v>
      </x:c>
      <x:c r="G32" s="2034"/>
      <x:c r="H32" s="2035"/>
      <x:c r="I32" s="2033"/>
      <x:c r="J32" s="2034"/>
      <x:c r="K32" s="2035"/>
      <x:c r="L32" s="2036" t="s">
        <x:v>117</x:v>
      </x:c>
      <x:c r="M32" s="2036" t="s">
        <x:v>117</x:v>
      </x:c>
      <x:c r="N32" s="2038" t="s">
        <x:v>1642</x:v>
      </x:c>
      <x:c r="O32" s="2029"/>
      <x:c r="P32" s="2029"/>
      <x:c r="R32" s="295" t="b">
        <x:f t="shared" si="0"/>
        <x:v>0</x:v>
      </x:c>
      <x:c r="AO32" s="284" t="str">
        <x:f t="shared" si="1"/>
        <x:v>6</x:v>
      </x:c>
      <x:c r="AP32" s="1202" t="b">
        <x:v>0</x:v>
      </x:c>
      <x:c r="AQ32" s="236"/>
    </x:row>
    <x:row r="33" spans="1:45" ht="14.1" customHeight="1" x14ac:dyDescent="0.2">
      <x:c r="A33" s="2030"/>
      <x:c r="B33" s="2031" t="s">
        <x:v>152</x:v>
      </x:c>
      <x:c r="C33" s="2031" t="s">
        <x:v>164</x:v>
      </x:c>
      <x:c r="D33" s="2031" t="s">
        <x:v>146</x:v>
      </x:c>
      <x:c r="E33" s="2032"/>
      <x:c r="F33" s="2033">
        <x:v>60</x:v>
      </x:c>
      <x:c r="G33" s="2034"/>
      <x:c r="H33" s="2035"/>
      <x:c r="I33" s="2033"/>
      <x:c r="J33" s="2034"/>
      <x:c r="K33" s="2035"/>
      <x:c r="L33" s="2036" t="s">
        <x:v>117</x:v>
      </x:c>
      <x:c r="M33" s="2036" t="s">
        <x:v>117</x:v>
      </x:c>
      <x:c r="N33" s="2038" t="s">
        <x:v>117</x:v>
      </x:c>
      <x:c r="O33" s="2029"/>
      <x:c r="P33" s="2029"/>
      <x:c r="R33" s="295" t="b">
        <x:f t="shared" si="0"/>
        <x:v>0</x:v>
      </x:c>
      <x:c r="AO33" s="284" t="str">
        <x:f t="shared" si="1"/>
        <x:v>6</x:v>
      </x:c>
      <x:c r="AP33" s="1202" t="b">
        <x:v>0</x:v>
      </x:c>
      <x:c r="AQ33" s="236"/>
    </x:row>
    <x:row r="34" spans="1:45" ht="14.1" customHeight="1" x14ac:dyDescent="0.2">
      <x:c r="A34" s="2030"/>
      <x:c r="B34" s="2031"/>
      <x:c r="C34" s="2031"/>
      <x:c r="D34" s="2031"/>
      <x:c r="E34" s="2032"/>
      <x:c r="F34" s="2033"/>
      <x:c r="G34" s="2034"/>
      <x:c r="H34" s="2035"/>
      <x:c r="I34" s="2033"/>
      <x:c r="J34" s="2034"/>
      <x:c r="K34" s="2035"/>
      <x:c r="L34" s="2036"/>
      <x:c r="M34" s="2037"/>
      <x:c r="N34" s="2038"/>
      <x:c r="O34" s="2029"/>
      <x:c r="P34" s="2029"/>
      <x:c r="R34" s="295" t="b">
        <x:f t="shared" si="0"/>
        <x:v>0</x:v>
      </x:c>
      <x:c r="AO34" s="284" t="str">
        <x:f t="shared" si="1"/>
        <x:v>6</x:v>
      </x:c>
      <x:c r="AP34" s="1202" t="b">
        <x:v>0</x:v>
      </x:c>
      <x:c r="AQ34" s="236"/>
    </x:row>
    <x:row r="35" spans="1:45" ht="14.1" customHeight="1" x14ac:dyDescent="0.2">
      <x:c r="A35" s="2030"/>
      <x:c r="B35" s="2031"/>
      <x:c r="C35" s="2031"/>
      <x:c r="D35" s="2031"/>
      <x:c r="E35" s="2032"/>
      <x:c r="F35" s="2033"/>
      <x:c r="G35" s="2034"/>
      <x:c r="H35" s="2035"/>
      <x:c r="I35" s="2033"/>
      <x:c r="J35" s="2034"/>
      <x:c r="K35" s="2035"/>
      <x:c r="L35" s="2036"/>
      <x:c r="M35" s="2037"/>
      <x:c r="N35" s="2038"/>
      <x:c r="O35" s="2029"/>
      <x:c r="P35" s="2029"/>
      <x:c r="R35" s="295" t="b">
        <x:f t="shared" si="0"/>
        <x:v>0</x:v>
      </x:c>
      <x:c r="AO35" s="284" t="str">
        <x:f t="shared" si="1"/>
        <x:v>6</x:v>
      </x:c>
      <x:c r="AP35" s="1202" t="b">
        <x:v>0</x:v>
      </x:c>
      <x:c r="AQ35" s="236"/>
    </x:row>
    <x:row r="36" spans="1:45" ht="14.1" customHeight="1" x14ac:dyDescent="0.2">
      <x:c r="A36" s="2030" t="s">
        <x:v>987</x:v>
      </x:c>
      <x:c r="B36" s="2031" t="s">
        <x:v>158</x:v>
      </x:c>
      <x:c r="C36" s="2031" t="s">
        <x:v>143</x:v>
      </x:c>
      <x:c r="D36" s="2031" t="s">
        <x:v>146</x:v>
      </x:c>
      <x:c r="E36" s="2032"/>
      <x:c r="F36" s="2033">
        <x:v>11000</x:v>
      </x:c>
      <x:c r="G36" s="2034"/>
      <x:c r="H36" s="2035"/>
      <x:c r="I36" s="2033"/>
      <x:c r="J36" s="2034"/>
      <x:c r="K36" s="2035"/>
      <x:c r="L36" s="2036" t="s">
        <x:v>117</x:v>
      </x:c>
      <x:c r="M36" s="2036" t="s">
        <x:v>117</x:v>
      </x:c>
      <x:c r="N36" s="2038" t="s">
        <x:v>1643</x:v>
      </x:c>
      <x:c r="O36" s="2029"/>
      <x:c r="P36" s="2029"/>
      <x:c r="R36" s="295" t="b">
        <x:f t="shared" si="0"/>
        <x:v>1</x:v>
      </x:c>
      <x:c r="AO36" s="284" t="str">
        <x:f t="shared" si="1"/>
        <x:v>9</x:v>
      </x:c>
      <x:c r="AP36" s="1202" t="b">
        <x:v>0</x:v>
      </x:c>
      <x:c r="AQ36" s="236"/>
    </x:row>
    <x:row r="37" spans="1:45" ht="14.1" customHeight="1" x14ac:dyDescent="0.2">
      <x:c r="A37" s="2030"/>
      <x:c r="B37" s="2031" t="s">
        <x:v>158</x:v>
      </x:c>
      <x:c r="C37" s="2031" t="s">
        <x:v>168</x:v>
      </x:c>
      <x:c r="D37" s="2031" t="s">
        <x:v>146</x:v>
      </x:c>
      <x:c r="E37" s="2032"/>
      <x:c r="F37" s="2033">
        <x:v>11000</x:v>
      </x:c>
      <x:c r="G37" s="2034"/>
      <x:c r="H37" s="2035"/>
      <x:c r="I37" s="2033"/>
      <x:c r="J37" s="2034"/>
      <x:c r="K37" s="2035"/>
      <x:c r="L37" s="2036" t="s">
        <x:v>117</x:v>
      </x:c>
      <x:c r="M37" s="2036" t="s">
        <x:v>117</x:v>
      </x:c>
      <x:c r="N37" s="2038" t="s">
        <x:v>117</x:v>
      </x:c>
      <x:c r="O37" s="2029"/>
      <x:c r="P37" s="2029"/>
      <x:c r="R37" s="295" t="b">
        <x:f t="shared" si="0"/>
        <x:v>1</x:v>
      </x:c>
      <x:c r="AO37" s="284" t="str">
        <x:f t="shared" si="1"/>
        <x:v>9</x:v>
      </x:c>
      <x:c r="AP37" s="1202" t="b">
        <x:v>0</x:v>
      </x:c>
      <x:c r="AQ37" s="236"/>
    </x:row>
    <x:row r="38" spans="1:45" ht="14.1" customHeight="1" x14ac:dyDescent="0.2">
      <x:c r="A38" s="2030" t="s">
        <x:v>1644</x:v>
      </x:c>
      <x:c r="B38" s="2031" t="s">
        <x:v>155</x:v>
      </x:c>
      <x:c r="C38" s="2031" t="s">
        <x:v>168</x:v>
      </x:c>
      <x:c r="D38" s="2031" t="s">
        <x:v>146</x:v>
      </x:c>
      <x:c r="E38" s="2032"/>
      <x:c r="F38" s="2033">
        <x:v>700</x:v>
      </x:c>
      <x:c r="G38" s="2034"/>
      <x:c r="H38" s="2035"/>
      <x:c r="I38" s="2033"/>
      <x:c r="J38" s="2034"/>
      <x:c r="K38" s="2035"/>
      <x:c r="L38" s="2036" t="s">
        <x:v>117</x:v>
      </x:c>
      <x:c r="M38" s="2036" t="s">
        <x:v>117</x:v>
      </x:c>
      <x:c r="N38" s="2038" t="s">
        <x:v>1645</x:v>
      </x:c>
      <x:c r="O38" s="2029"/>
      <x:c r="P38" s="2029"/>
      <x:c r="R38" s="295" t="b">
        <x:f t="shared" si="0"/>
        <x:v>1</x:v>
      </x:c>
      <x:c r="AO38" s="284" t="str">
        <x:f t="shared" si="1"/>
        <x:v>10</x:v>
      </x:c>
      <x:c r="AP38" s="1202" t="b">
        <x:v>0</x:v>
      </x:c>
      <x:c r="AQ38" s="236"/>
    </x:row>
    <x:row r="39" spans="1:45" ht="14.1" customHeight="1" x14ac:dyDescent="0.2">
      <x:c r="A39" s="2030"/>
      <x:c r="B39" s="2031" t="s">
        <x:v>155</x:v>
      </x:c>
      <x:c r="C39" s="2031" t="s">
        <x:v>166</x:v>
      </x:c>
      <x:c r="D39" s="2031" t="s">
        <x:v>146</x:v>
      </x:c>
      <x:c r="E39" s="2032"/>
      <x:c r="F39" s="2033">
        <x:v>1020</x:v>
      </x:c>
      <x:c r="G39" s="2034"/>
      <x:c r="H39" s="2035"/>
      <x:c r="I39" s="2033"/>
      <x:c r="J39" s="2034"/>
      <x:c r="K39" s="2035"/>
      <x:c r="L39" s="2036" t="s">
        <x:v>117</x:v>
      </x:c>
      <x:c r="M39" s="2036" t="s">
        <x:v>117</x:v>
      </x:c>
      <x:c r="N39" s="2038" t="s">
        <x:v>117</x:v>
      </x:c>
      <x:c r="O39" s="2029"/>
      <x:c r="P39" s="2029"/>
      <x:c r="R39" s="295" t="b">
        <x:f t="shared" si="0"/>
        <x:v>1</x:v>
      </x:c>
      <x:c r="AO39" s="284" t="str">
        <x:f t="shared" si="1"/>
        <x:v>10</x:v>
      </x:c>
      <x:c r="AP39" s="1202" t="b">
        <x:v>0</x:v>
      </x:c>
      <x:c r="AQ39" s="236"/>
    </x:row>
    <x:row r="40" spans="1:45" ht="14.1" customHeight="1" x14ac:dyDescent="0.2">
      <x:c r="A40" s="2030" t="s">
        <x:v>1646</x:v>
      </x:c>
      <x:c r="B40" s="2031" t="s">
        <x:v>147</x:v>
      </x:c>
      <x:c r="C40" s="2031" t="s">
        <x:v>168</x:v>
      </x:c>
      <x:c r="D40" s="2031" t="s">
        <x:v>146</x:v>
      </x:c>
      <x:c r="E40" s="2032"/>
      <x:c r="F40" s="2033">
        <x:v>470</x:v>
      </x:c>
      <x:c r="G40" s="2034">
        <x:v>20</x:v>
      </x:c>
      <x:c r="H40" s="2035">
        <x:v>4.75</x:v>
      </x:c>
      <x:c r="I40" s="2033"/>
      <x:c r="J40" s="2034"/>
      <x:c r="K40" s="2035"/>
      <x:c r="L40" s="2036" t="s">
        <x:v>740</x:v>
      </x:c>
      <x:c r="M40" s="2036" t="s">
        <x:v>117</x:v>
      </x:c>
      <x:c r="N40" s="2038" t="s">
        <x:v>1647</x:v>
      </x:c>
      <x:c r="O40" s="2029"/>
      <x:c r="P40" s="2029"/>
      <x:c r="R40" s="295" t="b">
        <x:f t="shared" si="0"/>
        <x:v>0</x:v>
      </x:c>
      <x:c r="AO40" s="284" t="str">
        <x:f t="shared" si="1"/>
        <x:v>11</x:v>
      </x:c>
      <x:c r="AP40" s="1202" t="b">
        <x:v>0</x:v>
      </x:c>
      <x:c r="AQ40" s="236"/>
    </x:row>
    <x:row r="41" spans="1:45" ht="14.1" customHeight="1" x14ac:dyDescent="0.2">
      <x:c r="A41" s="2030"/>
      <x:c r="B41" s="2031" t="s">
        <x:v>147</x:v>
      </x:c>
      <x:c r="C41" s="2031" t="s">
        <x:v>168</x:v>
      </x:c>
      <x:c r="D41" s="2031" t="s">
        <x:v>146</x:v>
      </x:c>
      <x:c r="E41" s="2032"/>
      <x:c r="F41" s="2033">
        <x:v>-470</x:v>
      </x:c>
      <x:c r="G41" s="2034">
        <x:v>20</x:v>
      </x:c>
      <x:c r="H41" s="2035">
        <x:v>4.75</x:v>
      </x:c>
      <x:c r="I41" s="2033"/>
      <x:c r="J41" s="2034"/>
      <x:c r="K41" s="2035"/>
      <x:c r="L41" s="2036" t="s">
        <x:v>740</x:v>
      </x:c>
      <x:c r="M41" s="2036" t="s">
        <x:v>850</x:v>
      </x:c>
      <x:c r="N41" s="2038" t="s">
        <x:v>117</x:v>
      </x:c>
      <x:c r="O41" s="2029"/>
      <x:c r="P41" s="2029"/>
      <x:c r="R41" s="295" t="b">
        <x:f t="shared" si="0"/>
        <x:v>0</x:v>
      </x:c>
      <x:c r="AO41" s="284" t="str">
        <x:f t="shared" si="1"/>
        <x:v>11</x:v>
      </x:c>
      <x:c r="AP41" s="1202" t="b">
        <x:v>0</x:v>
      </x:c>
      <x:c r="AQ41" s="236"/>
    </x:row>
    <x:row r="42" spans="1:45" ht="14.1" customHeight="1" x14ac:dyDescent="0.2">
      <x:c r="A42" s="2030"/>
      <x:c r="B42" s="2031" t="s">
        <x:v>158</x:v>
      </x:c>
      <x:c r="C42" s="2031" t="s">
        <x:v>168</x:v>
      </x:c>
      <x:c r="D42" s="2031" t="s">
        <x:v>146</x:v>
      </x:c>
      <x:c r="E42" s="2032"/>
      <x:c r="F42" s="2033">
        <x:v>800</x:v>
      </x:c>
      <x:c r="G42" s="2034"/>
      <x:c r="H42" s="2035"/>
      <x:c r="I42" s="2033"/>
      <x:c r="J42" s="2034"/>
      <x:c r="K42" s="2035"/>
      <x:c r="L42" s="2036" t="s">
        <x:v>117</x:v>
      </x:c>
      <x:c r="M42" s="2036" t="s">
        <x:v>117</x:v>
      </x:c>
      <x:c r="N42" s="2038" t="s">
        <x:v>117</x:v>
      </x:c>
      <x:c r="O42" s="2029"/>
      <x:c r="P42" s="2029"/>
      <x:c r="R42" s="295" t="b">
        <x:f t="shared" si="0"/>
        <x:v>1</x:v>
      </x:c>
      <x:c r="AO42" s="284" t="str">
        <x:f t="shared" si="1"/>
        <x:v>11</x:v>
      </x:c>
      <x:c r="AP42" s="1202" t="b">
        <x:v>0</x:v>
      </x:c>
      <x:c r="AQ42" s="236"/>
    </x:row>
    <x:row r="43" spans="1:45" ht="14.1" customHeight="1" x14ac:dyDescent="0.2">
      <x:c r="A43" s="2030"/>
      <x:c r="B43" s="2031" t="s">
        <x:v>147</x:v>
      </x:c>
      <x:c r="C43" s="2031" t="s">
        <x:v>166</x:v>
      </x:c>
      <x:c r="D43" s="2031" t="s">
        <x:v>146</x:v>
      </x:c>
      <x:c r="E43" s="2032"/>
      <x:c r="F43" s="2033">
        <x:v>140</x:v>
      </x:c>
      <x:c r="G43" s="2034">
        <x:v>20</x:v>
      </x:c>
      <x:c r="H43" s="2035">
        <x:v>4.75</x:v>
      </x:c>
      <x:c r="I43" s="2033"/>
      <x:c r="J43" s="2034"/>
      <x:c r="K43" s="2035"/>
      <x:c r="L43" s="2036" t="s">
        <x:v>740</x:v>
      </x:c>
      <x:c r="M43" s="2036" t="s">
        <x:v>117</x:v>
      </x:c>
      <x:c r="N43" s="2038" t="s">
        <x:v>117</x:v>
      </x:c>
      <x:c r="O43" s="2029"/>
      <x:c r="P43" s="2029"/>
      <x:c r="R43" s="295" t="b">
        <x:f t="shared" si="0"/>
        <x:v>0</x:v>
      </x:c>
      <x:c r="AO43" s="284" t="str">
        <x:f t="shared" si="1"/>
        <x:v>11</x:v>
      </x:c>
      <x:c r="AP43" s="1202" t="b">
        <x:v>0</x:v>
      </x:c>
      <x:c r="AQ43" s="236"/>
    </x:row>
    <x:row r="44" spans="1:45" ht="14.1" customHeight="1" x14ac:dyDescent="0.2">
      <x:c r="A44" s="2030" t="s">
        <x:v>1648</x:v>
      </x:c>
      <x:c r="B44" s="2031" t="s">
        <x:v>155</x:v>
      </x:c>
      <x:c r="C44" s="2031" t="s">
        <x:v>168</x:v>
      </x:c>
      <x:c r="D44" s="2031" t="s">
        <x:v>146</x:v>
      </x:c>
      <x:c r="E44" s="2032"/>
      <x:c r="F44" s="2033">
        <x:v>625</x:v>
      </x:c>
      <x:c r="G44" s="2034"/>
      <x:c r="H44" s="2035"/>
      <x:c r="I44" s="2033"/>
      <x:c r="J44" s="2034"/>
      <x:c r="K44" s="2035"/>
      <x:c r="L44" s="2036" t="s">
        <x:v>117</x:v>
      </x:c>
      <x:c r="M44" s="2036" t="s">
        <x:v>117</x:v>
      </x:c>
      <x:c r="N44" s="2038" t="s">
        <x:v>1649</x:v>
      </x:c>
      <x:c r="O44" s="2029"/>
      <x:c r="P44" s="2029"/>
      <x:c r="R44" s="295" t="b">
        <x:f t="shared" si="0"/>
        <x:v>1</x:v>
      </x:c>
      <x:c r="AO44" s="284" t="str">
        <x:f t="shared" si="1"/>
        <x:v>12</x:v>
      </x:c>
      <x:c r="AP44" s="1202" t="b">
        <x:v>0</x:v>
      </x:c>
      <x:c r="AQ44" s="236"/>
    </x:row>
    <x:row r="45" spans="1:45" ht="14.1" customHeight="1" x14ac:dyDescent="0.2">
      <x:c r="A45" s="2030"/>
      <x:c r="B45" s="2031" t="s">
        <x:v>155</x:v>
      </x:c>
      <x:c r="C45" s="2031" t="s">
        <x:v>168</x:v>
      </x:c>
      <x:c r="D45" s="2031" t="s">
        <x:v>146</x:v>
      </x:c>
      <x:c r="E45" s="2032"/>
      <x:c r="F45" s="2033">
        <x:v>-625</x:v>
      </x:c>
      <x:c r="G45" s="2034"/>
      <x:c r="H45" s="2035"/>
      <x:c r="I45" s="2033"/>
      <x:c r="J45" s="2034"/>
      <x:c r="K45" s="2035"/>
      <x:c r="L45" s="2036" t="s">
        <x:v>117</x:v>
      </x:c>
      <x:c r="M45" s="2036" t="s">
        <x:v>850</x:v>
      </x:c>
      <x:c r="N45" s="2038" t="s">
        <x:v>117</x:v>
      </x:c>
      <x:c r="O45" s="2029"/>
      <x:c r="P45" s="2029"/>
      <x:c r="R45" s="295" t="b">
        <x:f t="shared" si="0"/>
        <x:v>1</x:v>
      </x:c>
      <x:c r="AO45" s="284" t="str">
        <x:f t="shared" si="1"/>
        <x:v>12</x:v>
      </x:c>
      <x:c r="AP45" s="1202" t="b">
        <x:v>0</x:v>
      </x:c>
      <x:c r="AQ45" s="236"/>
    </x:row>
    <x:row r="46" spans="1:45" ht="14.1" customHeight="1" x14ac:dyDescent="0.2">
      <x:c r="A46" s="2030"/>
      <x:c r="B46" s="2031" t="s">
        <x:v>158</x:v>
      </x:c>
      <x:c r="C46" s="2031" t="s">
        <x:v>168</x:v>
      </x:c>
      <x:c r="D46" s="2031" t="s">
        <x:v>146</x:v>
      </x:c>
      <x:c r="E46" s="2032"/>
      <x:c r="F46" s="2033">
        <x:v>1075</x:v>
      </x:c>
      <x:c r="G46" s="2034"/>
      <x:c r="H46" s="2035"/>
      <x:c r="I46" s="2033"/>
      <x:c r="J46" s="2034"/>
      <x:c r="K46" s="2035"/>
      <x:c r="L46" s="2036" t="s">
        <x:v>117</x:v>
      </x:c>
      <x:c r="M46" s="2036" t="s">
        <x:v>117</x:v>
      </x:c>
      <x:c r="N46" s="2038" t="s">
        <x:v>117</x:v>
      </x:c>
      <x:c r="O46" s="2029"/>
      <x:c r="P46" s="2029"/>
      <x:c r="R46" s="295" t="b">
        <x:f t="shared" si="0"/>
        <x:v>1</x:v>
      </x:c>
      <x:c r="AO46" s="284" t="str">
        <x:f t="shared" si="1"/>
        <x:v>12</x:v>
      </x:c>
      <x:c r="AP46" s="1202" t="b">
        <x:v>0</x:v>
      </x:c>
      <x:c r="AQ46" s="236"/>
    </x:row>
    <x:row r="47" spans="1:45" ht="14.1" customHeight="1" x14ac:dyDescent="0.2">
      <x:c r="A47" s="2030"/>
      <x:c r="B47" s="2031" t="s">
        <x:v>152</x:v>
      </x:c>
      <x:c r="C47" s="2031" t="s">
        <x:v>168</x:v>
      </x:c>
      <x:c r="D47" s="2031" t="s">
        <x:v>146</x:v>
      </x:c>
      <x:c r="E47" s="2032"/>
      <x:c r="F47" s="2033">
        <x:v>6</x:v>
      </x:c>
      <x:c r="G47" s="2034"/>
      <x:c r="H47" s="2035"/>
      <x:c r="I47" s="2033"/>
      <x:c r="J47" s="2034"/>
      <x:c r="K47" s="2035"/>
      <x:c r="L47" s="2036" t="s">
        <x:v>117</x:v>
      </x:c>
      <x:c r="M47" s="2036" t="s">
        <x:v>117</x:v>
      </x:c>
      <x:c r="N47" s="2038" t="s">
        <x:v>117</x:v>
      </x:c>
      <x:c r="O47" s="2029"/>
      <x:c r="P47" s="2029"/>
      <x:c r="R47" s="295" t="b">
        <x:f t="shared" si="0"/>
        <x:v>0</x:v>
      </x:c>
      <x:c r="AO47" s="284" t="str">
        <x:f t="shared" si="1"/>
        <x:v>12</x:v>
      </x:c>
      <x:c r="AP47" s="1202" t="b">
        <x:v>0</x:v>
      </x:c>
      <x:c r="AQ47" s="236"/>
      <x:c r="AS47" s="973"/>
    </x:row>
    <x:row r="48" spans="1:45" ht="14.1" customHeight="1" x14ac:dyDescent="0.2">
      <x:c r="A48" s="2030"/>
      <x:c r="B48" s="2031" t="s">
        <x:v>152</x:v>
      </x:c>
      <x:c r="C48" s="2031" t="s">
        <x:v>168</x:v>
      </x:c>
      <x:c r="D48" s="2031" t="s">
        <x:v>146</x:v>
      </x:c>
      <x:c r="E48" s="2032"/>
      <x:c r="F48" s="2033">
        <x:v>-6</x:v>
      </x:c>
      <x:c r="G48" s="2034"/>
      <x:c r="H48" s="2035"/>
      <x:c r="I48" s="2033"/>
      <x:c r="J48" s="2034"/>
      <x:c r="K48" s="2035"/>
      <x:c r="L48" s="2036" t="s">
        <x:v>117</x:v>
      </x:c>
      <x:c r="M48" s="2036" t="s">
        <x:v>850</x:v>
      </x:c>
      <x:c r="N48" s="2038" t="s">
        <x:v>117</x:v>
      </x:c>
      <x:c r="O48" s="2029"/>
      <x:c r="P48" s="2029"/>
      <x:c r="R48" s="295" t="b">
        <x:f t="shared" si="0"/>
        <x:v>0</x:v>
      </x:c>
      <x:c r="AO48" s="284" t="str">
        <x:f t="shared" si="1"/>
        <x:v>12</x:v>
      </x:c>
      <x:c r="AP48" s="1202" t="b">
        <x:v>0</x:v>
      </x:c>
      <x:c r="AQ48" s="236"/>
    </x:row>
    <x:row r="49" spans="1:43" ht="14.1" customHeight="1" x14ac:dyDescent="0.2">
      <x:c r="A49" s="2030"/>
      <x:c r="B49" s="2031" t="s">
        <x:v>152</x:v>
      </x:c>
      <x:c r="C49" s="2031" t="s">
        <x:v>166</x:v>
      </x:c>
      <x:c r="D49" s="2031" t="s">
        <x:v>146</x:v>
      </x:c>
      <x:c r="E49" s="2032"/>
      <x:c r="F49" s="2033">
        <x:v>32</x:v>
      </x:c>
      <x:c r="G49" s="2034"/>
      <x:c r="H49" s="2035"/>
      <x:c r="I49" s="2033"/>
      <x:c r="J49" s="2034"/>
      <x:c r="K49" s="2035"/>
      <x:c r="L49" s="2036" t="s">
        <x:v>117</x:v>
      </x:c>
      <x:c r="M49" s="2036" t="s">
        <x:v>117</x:v>
      </x:c>
      <x:c r="N49" s="2038" t="s">
        <x:v>117</x:v>
      </x:c>
      <x:c r="O49" s="2029"/>
      <x:c r="P49" s="2029"/>
      <x:c r="R49" s="295" t="b">
        <x:f t="shared" si="0"/>
        <x:v>0</x:v>
      </x:c>
      <x:c r="AO49" s="284" t="str">
        <x:f t="shared" si="1"/>
        <x:v>12</x:v>
      </x:c>
      <x:c r="AP49" s="1202" t="b">
        <x:v>0</x:v>
      </x:c>
      <x:c r="AQ49" s="236"/>
    </x:row>
    <x:row r="50" spans="1:43" ht="14.1" customHeight="1" x14ac:dyDescent="0.2">
      <x:c r="A50" s="2030" t="s">
        <x:v>1650</x:v>
      </x:c>
      <x:c r="B50" s="2031" t="s">
        <x:v>155</x:v>
      </x:c>
      <x:c r="C50" s="2031" t="s">
        <x:v>168</x:v>
      </x:c>
      <x:c r="D50" s="2031" t="s">
        <x:v>146</x:v>
      </x:c>
      <x:c r="E50" s="2032"/>
      <x:c r="F50" s="2033">
        <x:v>940</x:v>
      </x:c>
      <x:c r="G50" s="2034"/>
      <x:c r="H50" s="2035"/>
      <x:c r="I50" s="2033"/>
      <x:c r="J50" s="2034"/>
      <x:c r="K50" s="2035"/>
      <x:c r="L50" s="2036" t="s">
        <x:v>117</x:v>
      </x:c>
      <x:c r="M50" s="2036" t="s">
        <x:v>117</x:v>
      </x:c>
      <x:c r="N50" s="2038" t="s">
        <x:v>1651</x:v>
      </x:c>
      <x:c r="O50" s="2029"/>
      <x:c r="P50" s="2029"/>
      <x:c r="R50" s="295" t="b">
        <x:f t="shared" si="0"/>
        <x:v>1</x:v>
      </x:c>
      <x:c r="AO50" s="284" t="str">
        <x:f t="shared" si="1"/>
        <x:v>13</x:v>
      </x:c>
      <x:c r="AP50" s="1202" t="b">
        <x:v>0</x:v>
      </x:c>
      <x:c r="AQ50" s="236"/>
    </x:row>
    <x:row r="51" spans="1:43" ht="14.1" customHeight="1" x14ac:dyDescent="0.2">
      <x:c r="A51" s="2030"/>
      <x:c r="B51" s="2031" t="s">
        <x:v>155</x:v>
      </x:c>
      <x:c r="C51" s="2031" t="s">
        <x:v>166</x:v>
      </x:c>
      <x:c r="D51" s="2031" t="s">
        <x:v>146</x:v>
      </x:c>
      <x:c r="E51" s="2032"/>
      <x:c r="F51" s="2033">
        <x:v>1920</x:v>
      </x:c>
      <x:c r="G51" s="2034"/>
      <x:c r="H51" s="2035"/>
      <x:c r="I51" s="2033"/>
      <x:c r="J51" s="2034"/>
      <x:c r="K51" s="2035"/>
      <x:c r="L51" s="2036" t="s">
        <x:v>117</x:v>
      </x:c>
      <x:c r="M51" s="2036" t="s">
        <x:v>117</x:v>
      </x:c>
      <x:c r="N51" s="2038" t="s">
        <x:v>117</x:v>
      </x:c>
      <x:c r="O51" s="2029"/>
      <x:c r="P51" s="2029"/>
      <x:c r="R51" s="295" t="b">
        <x:f t="shared" si="0"/>
        <x:v>1</x:v>
      </x:c>
      <x:c r="AO51" s="284" t="str">
        <x:f t="shared" si="1"/>
        <x:v>13</x:v>
      </x:c>
      <x:c r="AP51" s="1202" t="b">
        <x:v>0</x:v>
      </x:c>
      <x:c r="AQ51" s="236"/>
    </x:row>
    <x:row r="52" spans="1:43" ht="14.1" customHeight="1" x14ac:dyDescent="0.2">
      <x:c r="A52" s="2030" t="s">
        <x:v>1652</x:v>
      </x:c>
      <x:c r="B52" s="2031" t="s">
        <x:v>147</x:v>
      </x:c>
      <x:c r="C52" s="2031" t="s">
        <x:v>168</x:v>
      </x:c>
      <x:c r="D52" s="2031" t="s">
        <x:v>146</x:v>
      </x:c>
      <x:c r="E52" s="2032"/>
      <x:c r="F52" s="2033">
        <x:v>625</x:v>
      </x:c>
      <x:c r="G52" s="2034">
        <x:v>21</x:v>
      </x:c>
      <x:c r="H52" s="2035">
        <x:v>10.75</x:v>
      </x:c>
      <x:c r="I52" s="2033"/>
      <x:c r="J52" s="2034"/>
      <x:c r="K52" s="2035"/>
      <x:c r="L52" s="2036" t="s">
        <x:v>740</x:v>
      </x:c>
      <x:c r="M52" s="2036" t="s">
        <x:v>117</x:v>
      </x:c>
      <x:c r="N52" s="2038" t="s">
        <x:v>1653</x:v>
      </x:c>
      <x:c r="O52" s="2029"/>
      <x:c r="P52" s="2029"/>
      <x:c r="R52" s="295" t="b">
        <x:f t="shared" si="0"/>
        <x:v>0</x:v>
      </x:c>
      <x:c r="AO52" s="284" t="str">
        <x:f t="shared" si="1"/>
        <x:v>14</x:v>
      </x:c>
      <x:c r="AP52" s="1202" t="b">
        <x:v>0</x:v>
      </x:c>
      <x:c r="AQ52" s="236"/>
    </x:row>
    <x:row r="53" spans="1:43" ht="14.1" customHeight="1" x14ac:dyDescent="0.2">
      <x:c r="A53" s="2030"/>
      <x:c r="B53" s="2031"/>
      <x:c r="C53" s="2031"/>
      <x:c r="D53" s="2031"/>
      <x:c r="E53" s="2032"/>
      <x:c r="F53" s="2033"/>
      <x:c r="G53" s="2034"/>
      <x:c r="H53" s="2035"/>
      <x:c r="I53" s="2033"/>
      <x:c r="J53" s="2034"/>
      <x:c r="K53" s="2035"/>
      <x:c r="L53" s="2036"/>
      <x:c r="M53" s="2036"/>
      <x:c r="N53" s="2038" t="s">
        <x:v>117</x:v>
      </x:c>
      <x:c r="O53" s="2029"/>
      <x:c r="P53" s="2029"/>
      <x:c r="R53" s="295" t="b">
        <x:f t="shared" si="0"/>
        <x:v>0</x:v>
      </x:c>
      <x:c r="AO53" s="284" t="str">
        <x:f t="shared" si="1"/>
        <x:v>14</x:v>
      </x:c>
      <x:c r="AP53" s="1202" t="b">
        <x:v>0</x:v>
      </x:c>
      <x:c r="AQ53" s="236"/>
    </x:row>
    <x:row r="54" spans="1:43" ht="14.1" customHeight="1" x14ac:dyDescent="0.2">
      <x:c r="A54" s="2030"/>
      <x:c r="B54" s="2031"/>
      <x:c r="C54" s="2031"/>
      <x:c r="D54" s="2031"/>
      <x:c r="E54" s="2032"/>
      <x:c r="F54" s="2033"/>
      <x:c r="G54" s="2034"/>
      <x:c r="H54" s="2035"/>
      <x:c r="I54" s="2033"/>
      <x:c r="J54" s="2034"/>
      <x:c r="K54" s="2035"/>
      <x:c r="L54" s="2036"/>
      <x:c r="M54" s="2036"/>
      <x:c r="N54" s="2038" t="s">
        <x:v>117</x:v>
      </x:c>
      <x:c r="O54" s="2029"/>
      <x:c r="P54" s="2029"/>
      <x:c r="R54" s="295" t="b">
        <x:f t="shared" si="0"/>
        <x:v>0</x:v>
      </x:c>
      <x:c r="AO54" s="284" t="str">
        <x:f t="shared" si="1"/>
        <x:v>14</x:v>
      </x:c>
      <x:c r="AP54" s="1202" t="b">
        <x:v>0</x:v>
      </x:c>
      <x:c r="AQ54" s="236"/>
    </x:row>
    <x:row r="55" spans="1:43" ht="14.1" customHeight="1" x14ac:dyDescent="0.2">
      <x:c r="A55" s="2041"/>
      <x:c r="B55" s="2042"/>
      <x:c r="C55" s="2042"/>
      <x:c r="D55" s="2042"/>
      <x:c r="E55" s="2043"/>
      <x:c r="F55" s="2044"/>
      <x:c r="G55" s="2045"/>
      <x:c r="H55" s="2046"/>
      <x:c r="I55" s="2044"/>
      <x:c r="J55" s="2045"/>
      <x:c r="K55" s="2046"/>
      <x:c r="L55" s="2047"/>
      <x:c r="M55" s="2047"/>
      <x:c r="N55" s="2048"/>
      <x:c r="O55" s="2029"/>
      <x:c r="P55" s="2029"/>
      <x:c r="R55" s="295" t="b">
        <x:f t="shared" si="0"/>
        <x:v>0</x:v>
      </x:c>
      <x:c r="AO55" s="284" t="str">
        <x:f t="shared" si="1"/>
        <x:v>14</x:v>
      </x:c>
      <x:c r="AP55" s="1202" t="b">
        <x:v>0</x:v>
      </x:c>
      <x:c r="AQ55" s="236"/>
    </x:row>
    <x:row r="56" spans="1:43" ht="15.95" customHeight="1" x14ac:dyDescent="0.2">
      <x:c r="J56" s="449"/>
      <x:c r="K56" s="449"/>
      <x:c r="O56" s="449"/>
      <x:c r="P56" s="449"/>
    </x:row>
    <x:row r="57" spans="1:43" ht="15.95" customHeight="1" x14ac:dyDescent="0.2"/>
    <x:row r="58" spans="1:43" ht="15.95" customHeight="1" x14ac:dyDescent="0.2"/>
    <x:row r="59" spans="1:43" ht="15.95" customHeight="1" x14ac:dyDescent="0.2">
      <x:c r="A59" s="973" t="s">
        <x:v>1062</x:v>
      </x:c>
    </x:row>
    <x:row r="60" spans="1:43" ht="15.95" hidden="1" customHeight="1" x14ac:dyDescent="0.2">
      <x:c r="A60" s="1128" t="s">
        <x:v>113</x:v>
      </x:c>
    </x:row>
    <x:row r="61" spans="1:43" ht="15.95" hidden="1" customHeight="1" x14ac:dyDescent="0.2">
      <x:c r="A61" s="1130" t="s">
        <x:v>2006</x:v>
      </x:c>
    </x:row>
    <x:row r="62" spans="1:43" ht="15.95" hidden="1" customHeight="1" x14ac:dyDescent="0.2"/>
    <x:row r="63" spans="1:43" hidden="1" x14ac:dyDescent="0.2"/>
    <x:row r="64" spans="1:43" hidden="1" x14ac:dyDescent="0.2"/>
    <x:row r="65" spans="1:1" x14ac:dyDescent="0.2">
      <x:c r="A65" s="973" t="s">
        <x:v>1063</x:v>
      </x:c>
    </x:row>
  </x:sheetData>
  <x:sheetProtection algorithmName="SHA-512" hashValue="pfyOo0PE+syjd/1DgYSA4AkyPUmlTXgj2bXl3CG5WDLkymb4FNHZYut78hXtsDOhH0nbl6YueD083/fNnS4STg==" saltValue="SlSv0ZZlvJyf781zF1C1lg==" spinCount="100000" sheet="1" objects="1" scenarios="1" selectLockedCells="1"/>
  <x:mergeCells count="17">
    <x:mergeCell ref="I1:K1"/>
    <x:mergeCell ref="I2:K3"/>
    <x:mergeCell ref="I4:K4"/>
    <x:mergeCell ref="A5:J5"/>
    <x:mergeCell ref="B9:H9"/>
    <x:mergeCell ref="K9:N9"/>
    <x:mergeCell ref="M12:M13"/>
    <x:mergeCell ref="N12:N13"/>
    <x:mergeCell ref="G13:H13"/>
    <x:mergeCell ref="J13:K13"/>
    <x:mergeCell ref="B10:H10"/>
    <x:mergeCell ref="I10:J10"/>
    <x:mergeCell ref="K10:L10"/>
    <x:mergeCell ref="A12:E12"/>
    <x:mergeCell ref="F12:H12"/>
    <x:mergeCell ref="I12:K12"/>
    <x:mergeCell ref="L12:L13"/>
  </x:mergeCells>
  <x:conditionalFormatting sqref="F14:F55">
    <x:cfRule type="expression" dxfId="1483" priority="2" stopIfTrue="1">
      <x:formula>AND($B14="NU",F14&lt;0)</x:formula>
    </x:cfRule>
  </x:conditionalFormatting>
  <x:conditionalFormatting sqref="B14:B55">
    <x:cfRule type="expression" dxfId="1482" priority="3" stopIfTrue="1">
      <x:formula>OR(AND($B14="NU",F14&lt;0),AND($B14="NU",I14&lt;0))</x:formula>
    </x:cfRule>
  </x:conditionalFormatting>
  <x:conditionalFormatting sqref="G14:H55 J14:L55">
    <x:cfRule type="expression" dxfId="1481" priority="4" stopIfTrue="1">
      <x:formula>$R14</x:formula>
    </x:cfRule>
  </x:conditionalFormatting>
  <x:conditionalFormatting sqref="I2:K4">
    <x:cfRule type="cellIs" dxfId="1480" priority="5" stopIfTrue="1" operator="equal">
      <x:formula>""</x:formula>
    </x:cfRule>
  </x:conditionalFormatting>
  <x:conditionalFormatting sqref="I14:I55">
    <x:cfRule type="expression" dxfId="1479" priority="6" stopIfTrue="1">
      <x:formula>OR($R14,$B14="CZ",AND($B14="NU",I14&lt;0))</x:formula>
    </x:cfRule>
  </x:conditionalFormatting>
  <x:conditionalFormatting sqref="A14:P55">
    <x:cfRule type="expression" dxfId="1478" priority="1" stopIfTrue="1">
      <x:formula>$AP14</x:formula>
    </x:cfRule>
  </x:conditionalFormatting>
  <x:dataValidations count="6">
    <x:dataValidation type="list" allowBlank="1" showErrorMessage="1" errorTitle="Invalid Category" error="You MUST select a Category from the dropdown list provided._x000a__x000a_Also, make sure your Cap Lock is turned on." sqref="C14">
      <x:formula1>OFFSET($S$16,0,MATCH($B14,Type,0)-1,OFFSET($S$30,0,MATCH($B14,Type,0)-1))</x:formula1>
    </x:dataValidation>
    <x:dataValidation type="list" allowBlank="1" showErrorMessage="1" errorTitle="Invalid Category" error="You MUST select a Category from the dropdown list provided._x000a__x000a_Also, make sure your Cap Lock is turned on." sqref="C15:C55">
      <x:formula1>OFFSET($S$16,0,MATCH($B15,Type,0)-1,OFFSET($S$30,0,MATCH($B15,Type,0)-1,1),1)</x:formula1>
    </x:dataValidation>
    <x:dataValidation type="list" allowBlank="1" showErrorMessage="1" errorTitle="Invalid Position" error="You MUST select a Position from the dropdown list provided._x000a__x000a_Also, make sure your Cap Lock is turned on." sqref="D14:D55">
      <x:formula1>OFFSET($AH$16,0,OFFSET($S$14,0,MATCH($B14,Type,0)-1),OFFSET($AH$30,0, OFFSET($S$14,0,MATCH($B14,Type,0)-1)))</x:formula1>
    </x:dataValidation>
    <x:dataValidation allowBlank="1" showInputMessage="1" errorTitle="Invalid Load Case" error="You MUST use a Load Case from the list provided." sqref="M14:M55"/>
    <x:dataValidation type="list" allowBlank="1" showErrorMessage="1" errorTitle="Invalid Reference Location" error="You MUST select a Reference Location from the dropdown list provided._x000a__x000a_Also, make sure your Cap Lock is turned on." sqref="L14:L55">
      <x:formula1>IF($AL$14,$AL$16:$AL$21,$AM$16:$AM$19)</x:formula1>
    </x:dataValidation>
    <x:dataValidation type="list" allowBlank="1" showErrorMessage="1" errorTitle="Invalid Type" error="You MUST select a Type from the dropdown list provided._x000a__x000a_Also, make sure your Cap Lock is turned on." sqref="B14:B55">
      <x:formula1>$S$15:$AD$15</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legacyDrawing r:id="rId3"/>
</x:worksheet>
</file>

<file path=xl/worksheets/sheet3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2">
    <x:tabColor indexed="45"/>
  </x:sheetPr>
  <x:dimension ref="A1:AS65"/>
  <x:sheetViews>
    <x:sheetView showGridLines="0" zoomScaleNormal="100" zoomScaleSheetLayoutView="100" workbookViewId="0">
      <x:selection activeCell="N7" sqref="N7"/>
    </x:sheetView>
  </x:sheetViews>
  <x:sheetFormatPr defaultRowHeight="11.25" x14ac:dyDescent="0.2"/>
  <x:cols>
    <x:col min="1" max="1" width="7.7109375" style="295" customWidth="1"/>
    <x:col min="2" max="4" width="6.7109375" style="295" customWidth="1"/>
    <x:col min="5" max="5" width="6.7109375" style="295" hidden="1" customWidth="1"/>
    <x:col min="6" max="6" width="7.7109375" style="295" customWidth="1"/>
    <x:col min="7" max="7" width="3.7109375" style="295" customWidth="1"/>
    <x:col min="8" max="8" width="5.7109375" style="295" customWidth="1"/>
    <x:col min="9" max="9" width="7.7109375" style="295" customWidth="1"/>
    <x:col min="10" max="10" width="3.7109375" style="295" customWidth="1"/>
    <x:col min="11" max="12" width="5.7109375" style="295" customWidth="1"/>
    <x:col min="13" max="13" width="11.7109375" style="295" customWidth="1"/>
    <x:col min="14" max="14" width="22.7109375" style="295" customWidth="1"/>
    <x:col min="15" max="15" width="7.7109375" style="295" customWidth="1"/>
    <x:col min="16" max="16" width="7.7109375" style="295" hidden="1" customWidth="1"/>
    <x:col min="17" max="40" width="6.7109375" style="295" hidden="1" customWidth="1"/>
    <x:col min="41" max="43" width="9.140625" style="475" hidden="1" customWidth="1"/>
    <x:col min="44" max="16384" width="9.140625" style="295"/>
  </x:cols>
  <x:sheetData>
    <x:row r="1" spans="1:44" s="449" customFormat="1" ht="14.45" customHeight="1" thickBot="1" x14ac:dyDescent="0.25">
      <x:c r="A1" s="444"/>
      <x:c r="B1" s="444"/>
      <x:c r="C1" s="444"/>
      <x:c r="D1" s="444"/>
      <x:c r="E1" s="444"/>
      <x:c r="F1" s="444"/>
      <x:c r="G1" s="444"/>
      <x:c r="H1" s="576"/>
      <x:c r="I1" s="2227" t="str">
        <x:f>IF(S1="","",VLOOKUP(S1,'Job Info.'!X:AA,4,FALSE))</x:f>
        <x:v>Master</x:v>
      </x:c>
      <x:c r="J1" s="2227"/>
      <x:c r="K1" s="2227"/>
      <x:c r="L1" s="445"/>
      <x:c r="M1" s="445" t="s">
        <x:v>96</x:v>
      </x:c>
      <x:c r="N1" s="1827" t="str">
        <x:f ca="1">'Job Info.'!D12</x:f>
        <x:v>775-428-0600</x:v>
      </x:c>
      <x:c r="O1" s="578" t="s">
        <x:v>763</x:v>
      </x:c>
      <x:c r="P1" s="1358"/>
      <x:c r="S1" s="448" t="str">
        <x:f>'Job Info.'!Q30</x:f>
        <x:v>M</x:v>
      </x:c>
      <x:c r="T1" s="448" t="b">
        <x:f>'Job Info.'!Q32</x:f>
        <x:v>0</x:v>
      </x:c>
      <x:c r="AO1" s="448"/>
      <x:c r="AP1" s="448"/>
      <x:c r="AQ1" s="448"/>
      <x:c r="AR1" s="579" t="s">
        <x:v>764</x:v>
      </x:c>
    </x:row>
    <x:row r="2" spans="1:44" s="449" customFormat="1" ht="12.95" customHeight="1" thickTop="1" x14ac:dyDescent="0.2">
      <x:c r="A2" s="444"/>
      <x:c r="B2" s="444"/>
      <x:c r="C2" s="444"/>
      <x:c r="D2" s="444"/>
      <x:c r="E2" s="444"/>
      <x:c r="F2" s="444"/>
      <x:c r="G2" s="444"/>
      <x:c r="H2" s="576"/>
      <x:c r="I2" s="2228" t="str">
        <x:f>IF(S1="","",IF(VLOOKUP(S1,'Job Info.'!X:Z,2,FALSE),"Released for Fabrication",""))</x:f>
        <x:v/>
      </x:c>
      <x:c r="J2" s="2229"/>
      <x:c r="K2" s="2230"/>
      <x:c r="L2" s="445"/>
      <x:c r="M2" s="445" t="s">
        <x:v>97</x:v>
      </x:c>
      <x:c r="N2" s="1827" t="str">
        <x:f ca="1">'Job Info.'!D13</x:f>
        <x:v>775-867-2140</x:v>
      </x:c>
      <x:c r="O2" s="1358"/>
      <x:c r="P2" s="1358"/>
      <x:c r="AO2" s="448"/>
      <x:c r="AP2" s="448"/>
      <x:c r="AQ2" s="448"/>
    </x:row>
    <x:row r="3" spans="1:44" s="449" customFormat="1" ht="12.95" customHeight="1" x14ac:dyDescent="0.2">
      <x:c r="A3" s="444"/>
      <x:c r="B3" s="444"/>
      <x:c r="C3" s="444"/>
      <x:c r="D3" s="444"/>
      <x:c r="E3" s="444"/>
      <x:c r="F3" s="444"/>
      <x:c r="G3" s="444"/>
      <x:c r="H3" s="576"/>
      <x:c r="I3" s="2231"/>
      <x:c r="J3" s="2232"/>
      <x:c r="K3" s="2233"/>
      <x:c r="L3" s="445"/>
      <x:c r="M3" s="445" t="s">
        <x:v>99</x:v>
      </x:c>
      <x:c r="N3" s="1827" t="str">
        <x:f ca="1">'Job Info.'!D14</x:f>
        <x:v>775-867-2169</x:v>
      </x:c>
      <x:c r="O3" s="1358"/>
      <x:c r="P3" s="1358"/>
      <x:c r="AO3" s="448"/>
      <x:c r="AP3" s="448"/>
      <x:c r="AQ3" s="448"/>
    </x:row>
    <x:row r="4" spans="1:44" s="449" customFormat="1" ht="12.95" customHeight="1" thickBot="1" x14ac:dyDescent="0.25">
      <x:c r="A4" s="444"/>
      <x:c r="B4" s="444"/>
      <x:c r="C4" s="444"/>
      <x:c r="D4" s="444"/>
      <x:c r="E4" s="444"/>
      <x:c r="F4" s="444"/>
      <x:c r="G4" s="444"/>
      <x:c r="H4" s="444"/>
      <x:c r="I4" s="2234" t="str">
        <x:f>IF(S1="","",IF(VLOOKUP(S1,'Job Info.'!X:Z,2,FALSE),VLOOKUP(S1,'Job Info.'!X:Z,3,FALSE),""))</x:f>
        <x:v/>
      </x:c>
      <x:c r="J4" s="2235"/>
      <x:c r="K4" s="2236"/>
      <x:c r="L4" s="445"/>
      <x:c r="M4" s="445" t="s">
        <x:v>98</x:v>
      </x:c>
      <x:c r="N4" s="1827" t="str">
        <x:f ca="1">'Job Info.'!D15</x:f>
        <x:v>775-867-2060</x:v>
      </x:c>
      <x:c r="O4" s="1358"/>
      <x:c r="P4" s="1358"/>
      <x:c r="AO4" s="448"/>
      <x:c r="AP4" s="448"/>
      <x:c r="AQ4" s="448"/>
    </x:row>
    <x:row r="5" spans="1:44" s="449" customFormat="1" ht="12.95" customHeight="1" thickTop="1" x14ac:dyDescent="0.2">
      <x:c r="A5" s="2237" t="str">
        <x:f ca="1">'Job Info.'!D11</x:f>
        <x:v>8200 Woolery Way | Fallon, NV 89406 | www.newmill.com</x:v>
      </x:c>
      <x:c r="B5" s="2238"/>
      <x:c r="C5" s="2238"/>
      <x:c r="D5" s="2238"/>
      <x:c r="E5" s="2238"/>
      <x:c r="F5" s="2238"/>
      <x:c r="G5" s="2238"/>
      <x:c r="H5" s="2238"/>
      <x:c r="I5" s="2238"/>
      <x:c r="J5" s="2238"/>
      <x:c r="K5" s="444"/>
      <x:c r="L5" s="444"/>
      <x:c r="M5" s="444"/>
      <x:c r="N5" s="444"/>
      <x:c r="O5" s="1358"/>
      <x:c r="P5" s="1358"/>
      <x:c r="AO5" s="448"/>
      <x:c r="AP5" s="448"/>
      <x:c r="AQ5" s="448"/>
    </x:row>
    <x:row r="6" spans="1:44" s="449" customFormat="1" ht="12.95" customHeight="1" x14ac:dyDescent="0.2">
      <x:c r="A6" s="444"/>
      <x:c r="B6" s="444"/>
      <x:c r="C6" s="444"/>
      <x:c r="D6" s="444"/>
      <x:c r="E6" s="444"/>
      <x:c r="F6" s="444"/>
      <x:c r="G6" s="444"/>
      <x:c r="H6" s="444"/>
      <x:c r="I6" s="444"/>
      <x:c r="J6" s="444"/>
      <x:c r="K6" s="444"/>
      <x:c r="L6" s="444"/>
      <x:c r="M6" s="1836" t="s">
        <x:v>20</x:v>
      </x:c>
      <x:c r="N6" s="1828">
        <x:f>IF(ISBLANK('Job Info.'!D8),"",'Job Info.'!D8)</x:f>
        <x:v>43406</x:v>
      </x:c>
      <x:c r="O6" s="1359"/>
      <x:c r="P6" s="1392" t="s">
        <x:v>1180</x:v>
      </x:c>
      <x:c r="T6" s="780"/>
      <x:c r="AO6" s="448"/>
      <x:c r="AP6" s="448"/>
      <x:c r="AQ6" s="448"/>
    </x:row>
    <x:row r="7" spans="1:44" ht="12.95" customHeight="1" x14ac:dyDescent="0.2">
      <x:c r="A7" s="472" t="s">
        <x:v>43</x:v>
      </x:c>
      <x:c r="B7" s="473"/>
      <x:c r="C7" s="473"/>
      <x:c r="D7" s="473"/>
      <x:c r="E7" s="473"/>
      <x:c r="F7" s="473"/>
      <x:c r="G7" s="444"/>
      <x:c r="H7" s="444"/>
      <x:c r="I7" s="444"/>
      <x:c r="J7" s="444"/>
      <x:c r="K7" s="444"/>
      <x:c r="L7" s="444"/>
      <x:c r="M7" s="1835" t="s">
        <x:v>21</x:v>
      </x:c>
      <x:c r="N7" s="1934" t="str">
        <x:f>CONCATENATE(P7, " of ",IF(ISBLANK('Job Info.'!D9),"",'Job Info.'!D9))</x:f>
        <x:v>8 of 42</x:v>
      </x:c>
      <x:c r="O7" s="1271"/>
      <x:c r="P7" s="1393">
        <x:v>8</x:v>
      </x:c>
      <x:c r="U7" s="449"/>
      <x:c r="V7" s="777"/>
    </x:row>
    <x:row r="8" spans="1:44" ht="3.95" customHeight="1" x14ac:dyDescent="0.2">
      <x:c r="A8" s="473"/>
      <x:c r="B8" s="473"/>
      <x:c r="C8" s="473"/>
      <x:c r="D8" s="473"/>
      <x:c r="E8" s="473"/>
      <x:c r="F8" s="473"/>
      <x:c r="G8" s="473"/>
      <x:c r="H8" s="473"/>
      <x:c r="I8" s="473"/>
      <x:c r="J8" s="473"/>
      <x:c r="K8" s="473"/>
      <x:c r="L8" s="473"/>
      <x:c r="M8" s="473"/>
      <x:c r="N8" s="473"/>
      <x:c r="O8" s="1271"/>
      <x:c r="P8" s="1271"/>
    </x:row>
    <x:row r="9" spans="1:44" ht="12.6" customHeight="1" x14ac:dyDescent="0.2">
      <x:c r="A9" s="1830" t="s">
        <x:v>1</x:v>
      </x:c>
      <x:c r="B9" s="2225" t="str">
        <x:f>IF(ISBLANK('Job Info.'!D3),"",'Job Info.'!D3)</x:f>
        <x:v>SUNPOINT CROSSING</x:v>
      </x:c>
      <x:c r="C9" s="2225"/>
      <x:c r="D9" s="2225"/>
      <x:c r="E9" s="2225"/>
      <x:c r="F9" s="2225"/>
      <x:c r="G9" s="2225"/>
      <x:c r="H9" s="2226"/>
      <x:c r="I9" s="560"/>
      <x:c r="J9" s="1825" t="s">
        <x:v>2</x:v>
      </x:c>
      <x:c r="K9" s="2225" t="str">
        <x:f>IF(ISBLANK('Job Info.'!D5),"",'Job Info.'!D5)</x:f>
        <x:v>9118-0062</x:v>
      </x:c>
      <x:c r="L9" s="2242"/>
      <x:c r="M9" s="2242"/>
      <x:c r="N9" s="2243"/>
      <x:c r="O9" s="1360"/>
      <x:c r="P9" s="1360"/>
      <x:c r="V9" s="778"/>
    </x:row>
    <x:row r="10" spans="1:44" ht="12.6" customHeight="1" x14ac:dyDescent="0.2">
      <x:c r="A10" s="1830" t="s">
        <x:v>3</x:v>
      </x:c>
      <x:c r="B10" s="2225" t="str">
        <x:f>IF(ISBLANK('Job Info.'!D4),"",'Job Info.'!D4)</x:f>
        <x:v>LAS VEGAS, NV</x:v>
      </x:c>
      <x:c r="C10" s="2225"/>
      <x:c r="D10" s="2225"/>
      <x:c r="E10" s="2225"/>
      <x:c r="F10" s="2225"/>
      <x:c r="G10" s="2225"/>
      <x:c r="H10" s="2226"/>
      <x:c r="I10" s="2239" t="s">
        <x:v>22</x:v>
      </x:c>
      <x:c r="J10" s="2239"/>
      <x:c r="K10" s="2225" t="str">
        <x:f>IF(ISBLANK('Job Info.'!D6),"",'Job Info.'!D6)</x:f>
        <x:v>CJA</x:v>
      </x:c>
      <x:c r="L10" s="2226"/>
      <x:c r="M10" s="1830" t="s">
        <x:v>23</x:v>
      </x:c>
      <x:c r="N10" s="1823" t="str">
        <x:f>IF(ISBLANK('Job Info.'!D7),"",'Job Info.'!D7)</x:f>
        <x:v>LS</x:v>
      </x:c>
      <x:c r="O10" s="1360"/>
      <x:c r="P10" s="1360"/>
      <x:c r="W10" s="779"/>
    </x:row>
    <x:row r="11" spans="1:44" ht="3.95" customHeight="1" x14ac:dyDescent="0.2">
      <x:c r="A11" s="1396"/>
      <x:c r="B11" s="473"/>
      <x:c r="C11" s="473"/>
      <x:c r="D11" s="473"/>
      <x:c r="E11" s="473"/>
      <x:c r="F11" s="473"/>
      <x:c r="G11" s="473"/>
      <x:c r="H11" s="473"/>
      <x:c r="I11" s="473"/>
      <x:c r="J11" s="473"/>
      <x:c r="K11" s="473"/>
      <x:c r="L11" s="473"/>
      <x:c r="M11" s="473"/>
      <x:c r="N11" s="473"/>
      <x:c r="O11" s="1358"/>
      <x:c r="P11" s="1358"/>
    </x:row>
    <x:row r="12" spans="1:44" s="570" customFormat="1" ht="14.1" customHeight="1" x14ac:dyDescent="0.2">
      <x:c r="A12" s="2244" t="s">
        <x:v>78</x:v>
      </x:c>
      <x:c r="B12" s="2245"/>
      <x:c r="C12" s="2245"/>
      <x:c r="D12" s="2245"/>
      <x:c r="E12" s="2246"/>
      <x:c r="F12" s="2244" t="s">
        <x:v>50</x:v>
      </x:c>
      <x:c r="G12" s="2245"/>
      <x:c r="H12" s="2250"/>
      <x:c r="I12" s="2244" t="s">
        <x:v>51</x:v>
      </x:c>
      <x:c r="J12" s="2245"/>
      <x:c r="K12" s="2250"/>
      <x:c r="L12" s="2240" t="s">
        <x:v>52</x:v>
      </x:c>
      <x:c r="M12" s="2251" t="s">
        <x:v>782</x:v>
      </x:c>
      <x:c r="N12" s="2240" t="s">
        <x:v>53</x:v>
      </x:c>
      <x:c r="O12" s="1395"/>
      <x:c r="P12" s="1395"/>
      <x:c r="AO12" s="980" t="s">
        <x:v>1016</x:v>
      </x:c>
      <x:c r="AP12" s="1201" t="s">
        <x:v>171</x:v>
      </x:c>
      <x:c r="AQ12" s="571"/>
    </x:row>
    <x:row r="13" spans="1:44" s="570" customFormat="1" ht="14.1" customHeight="1" x14ac:dyDescent="0.2">
      <x:c r="A13" s="1338" t="s">
        <x:v>47</x:v>
      </x:c>
      <x:c r="B13" s="1826" t="s">
        <x:v>17</x:v>
      </x:c>
      <x:c r="C13" s="1826" t="s">
        <x:v>46</x:v>
      </x:c>
      <x:c r="D13" s="1826" t="s">
        <x:v>79</x:v>
      </x:c>
      <x:c r="E13" s="1340" t="s">
        <x:v>45</x:v>
      </x:c>
      <x:c r="F13" s="1338" t="s">
        <x:v>48</x:v>
      </x:c>
      <x:c r="G13" s="2248" t="s">
        <x:v>49</x:v>
      </x:c>
      <x:c r="H13" s="2249"/>
      <x:c r="I13" s="1338" t="s">
        <x:v>48</x:v>
      </x:c>
      <x:c r="J13" s="2248" t="s">
        <x:v>49</x:v>
      </x:c>
      <x:c r="K13" s="2249"/>
      <x:c r="L13" s="2247"/>
      <x:c r="M13" s="2252"/>
      <x:c r="N13" s="2241"/>
      <x:c r="O13" s="1395"/>
      <x:c r="P13" s="1395"/>
      <x:c r="AQ13" s="980"/>
    </x:row>
    <x:row r="14" spans="1:44" ht="14.1" customHeight="1" x14ac:dyDescent="0.2">
      <x:c r="A14" s="2020" t="s">
        <x:v>1652</x:v>
      </x:c>
      <x:c r="B14" s="2021" t="s">
        <x:v>147</x:v>
      </x:c>
      <x:c r="C14" s="2021" t="s">
        <x:v>168</x:v>
      </x:c>
      <x:c r="D14" s="2021" t="s">
        <x:v>146</x:v>
      </x:c>
      <x:c r="E14" s="2022"/>
      <x:c r="F14" s="2023">
        <x:v>-625</x:v>
      </x:c>
      <x:c r="G14" s="2024">
        <x:v>21</x:v>
      </x:c>
      <x:c r="H14" s="2025">
        <x:v>10.75</x:v>
      </x:c>
      <x:c r="I14" s="2023"/>
      <x:c r="J14" s="2024"/>
      <x:c r="K14" s="2025"/>
      <x:c r="L14" s="2026" t="s">
        <x:v>740</x:v>
      </x:c>
      <x:c r="M14" s="2027" t="s">
        <x:v>850</x:v>
      </x:c>
      <x:c r="N14" s="2028" t="s">
        <x:v>117</x:v>
      </x:c>
      <x:c r="O14" s="2029"/>
      <x:c r="P14" s="2029"/>
      <x:c r="R14" s="295" t="b">
        <x:f>OR(B14="CP",B14="CA", B14="AX",B14="M",B14="S")</x:f>
        <x:v>0</x:v>
      </x:c>
      <x:c r="S14" s="475">
        <x:v>1</x:v>
      </x:c>
      <x:c r="T14" s="475">
        <x:v>0</x:v>
      </x:c>
      <x:c r="U14" s="475">
        <x:v>0</x:v>
      </x:c>
      <x:c r="V14" s="475">
        <x:v>1</x:v>
      </x:c>
      <x:c r="W14" s="475">
        <x:v>0</x:v>
      </x:c>
      <x:c r="X14" s="475">
        <x:v>0</x:v>
      </x:c>
      <x:c r="Y14" s="475">
        <x:v>0</x:v>
      </x:c>
      <x:c r="Z14" s="475">
        <x:v>0</x:v>
      </x:c>
      <x:c r="AA14" s="475">
        <x:v>0</x:v>
      </x:c>
      <x:c r="AB14" s="475">
        <x:v>0</x:v>
      </x:c>
      <x:c r="AC14" s="475">
        <x:v>2</x:v>
      </x:c>
      <x:c r="AD14" s="475">
        <x:v>3</x:v>
      </x:c>
      <x:c r="AE14" s="475">
        <x:v>0</x:v>
      </x:c>
      <x:c r="AF14" s="475">
        <x:v>0</x:v>
      </x:c>
      <x:c r="AG14" s="475">
        <x:v>0</x:v>
      </x:c>
      <x:c r="AL14" s="295" t="b">
        <x:v>1</x:v>
      </x:c>
      <x:c r="AO14" s="284" t="str">
        <x:f>IF(ISBLANK(A14),"",A14)</x:f>
        <x:v>14</x:v>
      </x:c>
      <x:c r="AP14" s="1202" t="b">
        <x:v>0</x:v>
      </x:c>
      <x:c r="AQ14" s="236"/>
    </x:row>
    <x:row r="15" spans="1:44" ht="14.1" customHeight="1" x14ac:dyDescent="0.2">
      <x:c r="A15" s="2030"/>
      <x:c r="B15" s="2031" t="s">
        <x:v>158</x:v>
      </x:c>
      <x:c r="C15" s="2031" t="s">
        <x:v>168</x:v>
      </x:c>
      <x:c r="D15" s="2031" t="s">
        <x:v>146</x:v>
      </x:c>
      <x:c r="E15" s="2032"/>
      <x:c r="F15" s="2033">
        <x:v>1075</x:v>
      </x:c>
      <x:c r="G15" s="2034"/>
      <x:c r="H15" s="2035"/>
      <x:c r="I15" s="2033"/>
      <x:c r="J15" s="2034"/>
      <x:c r="K15" s="2035"/>
      <x:c r="L15" s="2036" t="s">
        <x:v>117</x:v>
      </x:c>
      <x:c r="M15" s="2037" t="s">
        <x:v>117</x:v>
      </x:c>
      <x:c r="N15" s="2038" t="s">
        <x:v>117</x:v>
      </x:c>
      <x:c r="O15" s="2029"/>
      <x:c r="P15" s="2029"/>
      <x:c r="R15" s="295" t="b">
        <x:f t="shared" ref="R15:R55" si="0">OR(B15="CP",B15="CA", B15="AX",B15="M",B15="S")</x:f>
        <x:v>1</x:v>
      </x:c>
      <x:c r="S15" s="678" t="s">
        <x:v>152</x:v>
      </x:c>
      <x:c r="T15" s="678" t="s">
        <x:v>145</x:v>
      </x:c>
      <x:c r="U15" s="678" t="s">
        <x:v>153</x:v>
      </x:c>
      <x:c r="V15" s="678" t="s">
        <x:v>149</x:v>
      </x:c>
      <x:c r="W15" s="678" t="s">
        <x:v>154</x:v>
      </x:c>
      <x:c r="X15" s="678" t="s">
        <x:v>155</x:v>
      </x:c>
      <x:c r="Y15" s="678" t="s">
        <x:v>156</x:v>
      </x:c>
      <x:c r="Z15" s="678" t="s">
        <x:v>147</x:v>
      </x:c>
      <x:c r="AA15" s="678" t="s">
        <x:v>157</x:v>
      </x:c>
      <x:c r="AB15" s="678" t="s">
        <x:v>158</x:v>
      </x:c>
      <x:c r="AC15" s="678" t="s">
        <x:v>119</x:v>
      </x:c>
      <x:c r="AD15" s="678" t="s">
        <x:v>159</x:v>
      </x:c>
      <x:c r="AE15" s="284"/>
      <x:c r="AF15" s="284"/>
      <x:c r="AG15" s="284"/>
      <x:c r="AH15" s="475">
        <x:v>0</x:v>
      </x:c>
      <x:c r="AI15" s="475">
        <x:v>1</x:v>
      </x:c>
      <x:c r="AJ15" s="475">
        <x:v>2</x:v>
      </x:c>
      <x:c r="AK15" s="475">
        <x:v>3</x:v>
      </x:c>
      <x:c r="AL15" s="475"/>
      <x:c r="AM15" s="475"/>
      <x:c r="AO15" s="284" t="str">
        <x:f>IF(ISBLANK(A15),AO14,A15)</x:f>
        <x:v>14</x:v>
      </x:c>
      <x:c r="AP15" s="1202" t="b">
        <x:v>0</x:v>
      </x:c>
      <x:c r="AQ15" s="236"/>
    </x:row>
    <x:row r="16" spans="1:44" ht="14.1" customHeight="1" x14ac:dyDescent="0.2">
      <x:c r="A16" s="2030"/>
      <x:c r="B16" s="2031" t="s">
        <x:v>147</x:v>
      </x:c>
      <x:c r="C16" s="2031" t="s">
        <x:v>166</x:v>
      </x:c>
      <x:c r="D16" s="2031" t="s">
        <x:v>146</x:v>
      </x:c>
      <x:c r="E16" s="2032"/>
      <x:c r="F16" s="2033">
        <x:v>260</x:v>
      </x:c>
      <x:c r="G16" s="2034">
        <x:v>21</x:v>
      </x:c>
      <x:c r="H16" s="2035">
        <x:v>10.75</x:v>
      </x:c>
      <x:c r="I16" s="2033"/>
      <x:c r="J16" s="2034"/>
      <x:c r="K16" s="2035"/>
      <x:c r="L16" s="2036" t="s">
        <x:v>740</x:v>
      </x:c>
      <x:c r="M16" s="2037" t="s">
        <x:v>117</x:v>
      </x:c>
      <x:c r="N16" s="2038" t="s">
        <x:v>117</x:v>
      </x:c>
      <x:c r="O16" s="2029"/>
      <x:c r="P16" s="2029"/>
      <x:c r="R16" s="295" t="b">
        <x:f t="shared" si="0"/>
        <x:v>0</x:v>
      </x:c>
      <x:c r="S16" s="678" t="s">
        <x:v>148</x:v>
      </x:c>
      <x:c r="T16" s="678" t="s">
        <x:v>143</x:v>
      </x:c>
      <x:c r="U16" s="678" t="s">
        <x:v>143</x:v>
      </x:c>
      <x:c r="V16" s="678" t="s">
        <x:v>148</x:v>
      </x:c>
      <x:c r="W16" s="678" t="s">
        <x:v>148</x:v>
      </x:c>
      <x:c r="X16" s="678" t="s">
        <x:v>148</x:v>
      </x:c>
      <x:c r="Y16" s="678" t="s">
        <x:v>148</x:v>
      </x:c>
      <x:c r="Z16" s="678" t="s">
        <x:v>148</x:v>
      </x:c>
      <x:c r="AA16" s="678" t="s">
        <x:v>148</x:v>
      </x:c>
      <x:c r="AB16" s="678" t="s">
        <x:v>148</x:v>
      </x:c>
      <x:c r="AC16" s="678" t="s">
        <x:v>148</x:v>
      </x:c>
      <x:c r="AD16" s="678" t="s">
        <x:v>148</x:v>
      </x:c>
      <x:c r="AE16" s="284"/>
      <x:c r="AF16" s="284"/>
      <x:c r="AG16" s="284"/>
      <x:c r="AH16" s="284" t="s">
        <x:v>146</x:v>
      </x:c>
      <x:c r="AI16" s="284" t="s">
        <x:v>146</x:v>
      </x:c>
      <x:c r="AJ16" s="284" t="s">
        <x:v>169</x:v>
      </x:c>
      <x:c r="AK16" s="284" t="s">
        <x:v>146</x:v>
      </x:c>
      <x:c r="AL16" s="284" t="s">
        <x:v>740</x:v>
      </x:c>
      <x:c r="AM16" s="284" t="s">
        <x:v>740</x:v>
      </x:c>
      <x:c r="AN16" s="536" t="s">
        <x:v>783</x:v>
      </x:c>
      <x:c r="AO16" s="284" t="str">
        <x:f t="shared" ref="AO16:AO55" si="1">IF(ISBLANK(A16),AO15,A16)</x:f>
        <x:v>14</x:v>
      </x:c>
      <x:c r="AP16" s="1202" t="b">
        <x:v>0</x:v>
      </x:c>
      <x:c r="AQ16" s="236"/>
    </x:row>
    <x:row r="17" spans="1:43" ht="14.1" customHeight="1" x14ac:dyDescent="0.2">
      <x:c r="A17" s="2030" t="s">
        <x:v>1654</x:v>
      </x:c>
      <x:c r="B17" s="2031" t="s">
        <x:v>155</x:v>
      </x:c>
      <x:c r="C17" s="2031" t="s">
        <x:v>168</x:v>
      </x:c>
      <x:c r="D17" s="2031" t="s">
        <x:v>146</x:v>
      </x:c>
      <x:c r="E17" s="2032"/>
      <x:c r="F17" s="2033">
        <x:v>1080</x:v>
      </x:c>
      <x:c r="G17" s="2034"/>
      <x:c r="H17" s="2035"/>
      <x:c r="I17" s="2033"/>
      <x:c r="J17" s="2034"/>
      <x:c r="K17" s="2035"/>
      <x:c r="L17" s="2036" t="s">
        <x:v>117</x:v>
      </x:c>
      <x:c r="M17" s="2037" t="s">
        <x:v>117</x:v>
      </x:c>
      <x:c r="N17" s="2038" t="s">
        <x:v>1655</x:v>
      </x:c>
      <x:c r="O17" s="2029"/>
      <x:c r="P17" s="2029"/>
      <x:c r="R17" s="295" t="b">
        <x:f t="shared" si="0"/>
        <x:v>1</x:v>
      </x:c>
      <x:c r="S17" s="678" t="s">
        <x:v>163</x:v>
      </x:c>
      <x:c r="T17" s="678" t="s">
        <x:v>168</x:v>
      </x:c>
      <x:c r="U17" s="678" t="s">
        <x:v>168</x:v>
      </x:c>
      <x:c r="V17" s="678" t="s">
        <x:v>163</x:v>
      </x:c>
      <x:c r="W17" s="678" t="s">
        <x:v>163</x:v>
      </x:c>
      <x:c r="X17" s="678" t="s">
        <x:v>163</x:v>
      </x:c>
      <x:c r="Y17" s="678" t="s">
        <x:v>163</x:v>
      </x:c>
      <x:c r="Z17" s="678" t="s">
        <x:v>163</x:v>
      </x:c>
      <x:c r="AA17" s="678" t="s">
        <x:v>163</x:v>
      </x:c>
      <x:c r="AB17" s="678" t="s">
        <x:v>163</x:v>
      </x:c>
      <x:c r="AC17" s="678" t="s">
        <x:v>163</x:v>
      </x:c>
      <x:c r="AD17" s="678" t="s">
        <x:v>163</x:v>
      </x:c>
      <x:c r="AE17" s="284"/>
      <x:c r="AF17" s="284"/>
      <x:c r="AG17" s="284"/>
      <x:c r="AH17" s="284" t="s">
        <x:v>160</x:v>
      </x:c>
      <x:c r="AI17" s="284" t="s">
        <x:v>160</x:v>
      </x:c>
      <x:c r="AJ17" s="284" t="s">
        <x:v>170</x:v>
      </x:c>
      <x:c r="AK17" s="284"/>
      <x:c r="AL17" s="284" t="s">
        <x:v>741</x:v>
      </x:c>
      <x:c r="AM17" s="284" t="s">
        <x:v>742</x:v>
      </x:c>
      <x:c r="AN17" s="536" t="s">
        <x:v>784</x:v>
      </x:c>
      <x:c r="AO17" s="284" t="str">
        <x:f t="shared" si="1"/>
        <x:v>15</x:v>
      </x:c>
      <x:c r="AP17" s="1202" t="b">
        <x:v>0</x:v>
      </x:c>
      <x:c r="AQ17" s="236"/>
    </x:row>
    <x:row r="18" spans="1:43" ht="14.1" customHeight="1" x14ac:dyDescent="0.2">
      <x:c r="A18" s="2030"/>
      <x:c r="B18" s="2031" t="s">
        <x:v>155</x:v>
      </x:c>
      <x:c r="C18" s="2031" t="s">
        <x:v>168</x:v>
      </x:c>
      <x:c r="D18" s="2031" t="s">
        <x:v>146</x:v>
      </x:c>
      <x:c r="E18" s="2032"/>
      <x:c r="F18" s="2033">
        <x:v>-1080</x:v>
      </x:c>
      <x:c r="G18" s="2034"/>
      <x:c r="H18" s="2035"/>
      <x:c r="I18" s="2033"/>
      <x:c r="J18" s="2034"/>
      <x:c r="K18" s="2035"/>
      <x:c r="L18" s="2036" t="s">
        <x:v>117</x:v>
      </x:c>
      <x:c r="M18" s="2037" t="s">
        <x:v>850</x:v>
      </x:c>
      <x:c r="N18" s="2038" t="s">
        <x:v>117</x:v>
      </x:c>
      <x:c r="O18" s="2029"/>
      <x:c r="P18" s="2029"/>
      <x:c r="R18" s="295" t="b">
        <x:f t="shared" si="0"/>
        <x:v>1</x:v>
      </x:c>
      <x:c r="S18" s="678" t="s">
        <x:v>164</x:v>
      </x:c>
      <x:c r="T18" s="284"/>
      <x:c r="U18" s="284"/>
      <x:c r="V18" s="678" t="s">
        <x:v>164</x:v>
      </x:c>
      <x:c r="W18" s="678" t="s">
        <x:v>164</x:v>
      </x:c>
      <x:c r="X18" s="678" t="s">
        <x:v>164</x:v>
      </x:c>
      <x:c r="Y18" s="678" t="s">
        <x:v>164</x:v>
      </x:c>
      <x:c r="Z18" s="678" t="s">
        <x:v>164</x:v>
      </x:c>
      <x:c r="AA18" s="678" t="s">
        <x:v>164</x:v>
      </x:c>
      <x:c r="AB18" s="678" t="s">
        <x:v>164</x:v>
      </x:c>
      <x:c r="AC18" s="678" t="s">
        <x:v>164</x:v>
      </x:c>
      <x:c r="AD18" s="678" t="s">
        <x:v>164</x:v>
      </x:c>
      <x:c r="AE18" s="284"/>
      <x:c r="AF18" s="284"/>
      <x:c r="AG18" s="284"/>
      <x:c r="AH18" s="284"/>
      <x:c r="AI18" s="284" t="s">
        <x:v>161</x:v>
      </x:c>
      <x:c r="AJ18" s="284" t="s">
        <x:v>144</x:v>
      </x:c>
      <x:c r="AK18" s="284"/>
      <x:c r="AL18" s="284" t="s">
        <x:v>742</x:v>
      </x:c>
      <x:c r="AM18" s="284" t="s">
        <x:v>744</x:v>
      </x:c>
      <x:c r="AN18" s="536" t="s">
        <x:v>785</x:v>
      </x:c>
      <x:c r="AO18" s="284" t="str">
        <x:f t="shared" si="1"/>
        <x:v>15</x:v>
      </x:c>
      <x:c r="AP18" s="1202" t="b">
        <x:v>0</x:v>
      </x:c>
      <x:c r="AQ18" s="236"/>
    </x:row>
    <x:row r="19" spans="1:43" ht="14.1" customHeight="1" x14ac:dyDescent="0.2">
      <x:c r="A19" s="2030"/>
      <x:c r="B19" s="2031" t="s">
        <x:v>158</x:v>
      </x:c>
      <x:c r="C19" s="2031" t="s">
        <x:v>168</x:v>
      </x:c>
      <x:c r="D19" s="2031" t="s">
        <x:v>146</x:v>
      </x:c>
      <x:c r="E19" s="2032"/>
      <x:c r="F19" s="2033">
        <x:v>1850</x:v>
      </x:c>
      <x:c r="G19" s="2034"/>
      <x:c r="H19" s="2035"/>
      <x:c r="I19" s="2033"/>
      <x:c r="J19" s="2034"/>
      <x:c r="K19" s="2035"/>
      <x:c r="L19" s="2036" t="s">
        <x:v>117</x:v>
      </x:c>
      <x:c r="M19" s="2037" t="s">
        <x:v>117</x:v>
      </x:c>
      <x:c r="N19" s="2038" t="s">
        <x:v>117</x:v>
      </x:c>
      <x:c r="O19" s="2029"/>
      <x:c r="P19" s="2029"/>
      <x:c r="R19" s="295" t="b">
        <x:f t="shared" si="0"/>
        <x:v>1</x:v>
      </x:c>
      <x:c r="S19" s="678" t="s">
        <x:v>143</x:v>
      </x:c>
      <x:c r="T19" s="284"/>
      <x:c r="U19" s="284"/>
      <x:c r="V19" s="678" t="s">
        <x:v>143</x:v>
      </x:c>
      <x:c r="W19" s="678" t="s">
        <x:v>143</x:v>
      </x:c>
      <x:c r="X19" s="678" t="s">
        <x:v>143</x:v>
      </x:c>
      <x:c r="Y19" s="678" t="s">
        <x:v>143</x:v>
      </x:c>
      <x:c r="Z19" s="678" t="s">
        <x:v>143</x:v>
      </x:c>
      <x:c r="AA19" s="678" t="s">
        <x:v>143</x:v>
      </x:c>
      <x:c r="AB19" s="678" t="s">
        <x:v>143</x:v>
      </x:c>
      <x:c r="AC19" s="678" t="s">
        <x:v>143</x:v>
      </x:c>
      <x:c r="AD19" s="678" t="s">
        <x:v>166</x:v>
      </x:c>
      <x:c r="AE19" s="284"/>
      <x:c r="AF19" s="284"/>
      <x:c r="AG19" s="284"/>
      <x:c r="AH19" s="284"/>
      <x:c r="AI19" s="284" t="s">
        <x:v>162</x:v>
      </x:c>
      <x:c r="AJ19" s="284"/>
      <x:c r="AK19" s="554"/>
      <x:c r="AL19" s="284" t="s">
        <x:v>743</x:v>
      </x:c>
      <x:c r="AM19" s="284" t="s">
        <x:v>745</x:v>
      </x:c>
      <x:c r="AN19" s="536" t="s">
        <x:v>786</x:v>
      </x:c>
      <x:c r="AO19" s="284" t="str">
        <x:f t="shared" si="1"/>
        <x:v>15</x:v>
      </x:c>
      <x:c r="AP19" s="1202" t="b">
        <x:v>0</x:v>
      </x:c>
      <x:c r="AQ19" s="236"/>
    </x:row>
    <x:row r="20" spans="1:43" ht="14.1" customHeight="1" x14ac:dyDescent="0.2">
      <x:c r="A20" s="2030"/>
      <x:c r="B20" s="2031" t="s">
        <x:v>152</x:v>
      </x:c>
      <x:c r="C20" s="2031" t="s">
        <x:v>168</x:v>
      </x:c>
      <x:c r="D20" s="2031" t="s">
        <x:v>146</x:v>
      </x:c>
      <x:c r="E20" s="2032"/>
      <x:c r="F20" s="2033">
        <x:v>9</x:v>
      </x:c>
      <x:c r="G20" s="2034"/>
      <x:c r="H20" s="2035"/>
      <x:c r="I20" s="2033"/>
      <x:c r="J20" s="2034"/>
      <x:c r="K20" s="2035"/>
      <x:c r="L20" s="2036" t="s">
        <x:v>117</x:v>
      </x:c>
      <x:c r="M20" s="2037" t="s">
        <x:v>117</x:v>
      </x:c>
      <x:c r="N20" s="2039" t="s">
        <x:v>117</x:v>
      </x:c>
      <x:c r="O20" s="2040"/>
      <x:c r="P20" s="2040"/>
      <x:c r="R20" s="295" t="b">
        <x:f t="shared" si="0"/>
        <x:v>0</x:v>
      </x:c>
      <x:c r="S20" s="678" t="s">
        <x:v>165</x:v>
      </x:c>
      <x:c r="T20" s="284"/>
      <x:c r="U20" s="284"/>
      <x:c r="V20" s="678" t="s">
        <x:v>166</x:v>
      </x:c>
      <x:c r="W20" s="678" t="s">
        <x:v>166</x:v>
      </x:c>
      <x:c r="X20" s="678" t="s">
        <x:v>166</x:v>
      </x:c>
      <x:c r="Y20" s="678" t="s">
        <x:v>166</x:v>
      </x:c>
      <x:c r="Z20" s="678" t="s">
        <x:v>166</x:v>
      </x:c>
      <x:c r="AA20" s="678" t="s">
        <x:v>166</x:v>
      </x:c>
      <x:c r="AB20" s="678" t="s">
        <x:v>166</x:v>
      </x:c>
      <x:c r="AC20" s="678" t="s">
        <x:v>166</x:v>
      </x:c>
      <x:c r="AD20" s="284"/>
      <x:c r="AE20" s="284"/>
      <x:c r="AF20" s="284"/>
      <x:c r="AG20" s="284"/>
      <x:c r="AH20" s="475"/>
      <x:c r="AI20" s="475"/>
      <x:c r="AJ20" s="475"/>
      <x:c r="AL20" s="284" t="s">
        <x:v>744</x:v>
      </x:c>
      <x:c r="AM20" s="284"/>
      <x:c r="AN20" s="536"/>
      <x:c r="AO20" s="284" t="str">
        <x:f t="shared" si="1"/>
        <x:v>15</x:v>
      </x:c>
      <x:c r="AP20" s="1202" t="b">
        <x:v>0</x:v>
      </x:c>
      <x:c r="AQ20" s="236"/>
    </x:row>
    <x:row r="21" spans="1:43" ht="14.1" customHeight="1" x14ac:dyDescent="0.2">
      <x:c r="A21" s="2030"/>
      <x:c r="B21" s="2031" t="s">
        <x:v>152</x:v>
      </x:c>
      <x:c r="C21" s="2031" t="s">
        <x:v>168</x:v>
      </x:c>
      <x:c r="D21" s="2031" t="s">
        <x:v>146</x:v>
      </x:c>
      <x:c r="E21" s="2032"/>
      <x:c r="F21" s="2033">
        <x:v>-9</x:v>
      </x:c>
      <x:c r="G21" s="2034"/>
      <x:c r="H21" s="2035"/>
      <x:c r="I21" s="2033"/>
      <x:c r="J21" s="2034"/>
      <x:c r="K21" s="2035"/>
      <x:c r="L21" s="2036" t="s">
        <x:v>117</x:v>
      </x:c>
      <x:c r="M21" s="2037" t="s">
        <x:v>850</x:v>
      </x:c>
      <x:c r="N21" s="2039" t="s">
        <x:v>117</x:v>
      </x:c>
      <x:c r="O21" s="2040"/>
      <x:c r="P21" s="2040"/>
      <x:c r="R21" s="295" t="b">
        <x:f t="shared" si="0"/>
        <x:v>0</x:v>
      </x:c>
      <x:c r="S21" s="678" t="s">
        <x:v>166</x:v>
      </x:c>
      <x:c r="T21" s="284"/>
      <x:c r="U21" s="284"/>
      <x:c r="V21" s="678" t="s">
        <x:v>168</x:v>
      </x:c>
      <x:c r="W21" s="678" t="s">
        <x:v>168</x:v>
      </x:c>
      <x:c r="X21" s="678" t="s">
        <x:v>168</x:v>
      </x:c>
      <x:c r="Y21" s="678" t="s">
        <x:v>168</x:v>
      </x:c>
      <x:c r="Z21" s="678" t="s">
        <x:v>168</x:v>
      </x:c>
      <x:c r="AA21" s="678" t="s">
        <x:v>168</x:v>
      </x:c>
      <x:c r="AB21" s="678" t="s">
        <x:v>168</x:v>
      </x:c>
      <x:c r="AC21" s="678" t="s">
        <x:v>168</x:v>
      </x:c>
      <x:c r="AD21" s="284"/>
      <x:c r="AE21" s="284"/>
      <x:c r="AF21" s="284"/>
      <x:c r="AG21" s="284"/>
      <x:c r="AH21" s="475"/>
      <x:c r="AI21" s="475"/>
      <x:c r="AJ21" s="475"/>
      <x:c r="AL21" s="284" t="s">
        <x:v>745</x:v>
      </x:c>
      <x:c r="AM21" s="284"/>
      <x:c r="AN21" s="536"/>
      <x:c r="AO21" s="284" t="str">
        <x:f t="shared" si="1"/>
        <x:v>15</x:v>
      </x:c>
      <x:c r="AP21" s="1202" t="b">
        <x:v>0</x:v>
      </x:c>
      <x:c r="AQ21" s="236"/>
    </x:row>
    <x:row r="22" spans="1:43" ht="14.1" customHeight="1" x14ac:dyDescent="0.2">
      <x:c r="A22" s="2030"/>
      <x:c r="B22" s="2031" t="s">
        <x:v>152</x:v>
      </x:c>
      <x:c r="C22" s="2031" t="s">
        <x:v>166</x:v>
      </x:c>
      <x:c r="D22" s="2031" t="s">
        <x:v>146</x:v>
      </x:c>
      <x:c r="E22" s="2032"/>
      <x:c r="F22" s="2033">
        <x:v>51</x:v>
      </x:c>
      <x:c r="G22" s="2034">
        <x:v>0</x:v>
      </x:c>
      <x:c r="H22" s="2035">
        <x:v>0</x:v>
      </x:c>
      <x:c r="I22" s="2033">
        <x:v>51</x:v>
      </x:c>
      <x:c r="J22" s="2034">
        <x:v>20</x:v>
      </x:c>
      <x:c r="K22" s="2035">
        <x:v>0</x:v>
      </x:c>
      <x:c r="L22" s="2036" t="s">
        <x:v>740</x:v>
      </x:c>
      <x:c r="M22" s="2037" t="s">
        <x:v>117</x:v>
      </x:c>
      <x:c r="N22" s="2039" t="s">
        <x:v>117</x:v>
      </x:c>
      <x:c r="O22" s="2040"/>
      <x:c r="P22" s="2040"/>
      <x:c r="R22" s="295" t="b">
        <x:f t="shared" si="0"/>
        <x:v>0</x:v>
      </x:c>
      <x:c r="S22" s="678" t="s">
        <x:v>168</x:v>
      </x:c>
      <x:c r="T22" s="284"/>
      <x:c r="U22" s="284"/>
      <x:c r="V22" s="678" t="s">
        <x:v>167</x:v>
      </x:c>
      <x:c r="W22" s="678" t="s">
        <x:v>167</x:v>
      </x:c>
      <x:c r="X22" s="678" t="s">
        <x:v>167</x:v>
      </x:c>
      <x:c r="Y22" s="678" t="s">
        <x:v>167</x:v>
      </x:c>
      <x:c r="Z22" s="678" t="s">
        <x:v>167</x:v>
      </x:c>
      <x:c r="AA22" s="678" t="s">
        <x:v>167</x:v>
      </x:c>
      <x:c r="AB22" s="678" t="s">
        <x:v>167</x:v>
      </x:c>
      <x:c r="AC22" s="678" t="s">
        <x:v>167</x:v>
      </x:c>
      <x:c r="AD22" s="284"/>
      <x:c r="AE22" s="284"/>
      <x:c r="AF22" s="284"/>
      <x:c r="AG22" s="284"/>
      <x:c r="AH22" s="475"/>
      <x:c r="AI22" s="475"/>
      <x:c r="AJ22" s="475"/>
      <x:c r="AL22" s="284"/>
      <x:c r="AM22" s="284"/>
      <x:c r="AN22" s="536"/>
      <x:c r="AO22" s="284" t="str">
        <x:f t="shared" si="1"/>
        <x:v>15</x:v>
      </x:c>
      <x:c r="AP22" s="1202" t="b">
        <x:v>0</x:v>
      </x:c>
      <x:c r="AQ22" s="236"/>
    </x:row>
    <x:row r="23" spans="1:43" ht="14.1" customHeight="1" x14ac:dyDescent="0.2">
      <x:c r="A23" s="2030" t="s">
        <x:v>1656</x:v>
      </x:c>
      <x:c r="B23" s="2031" t="s">
        <x:v>147</x:v>
      </x:c>
      <x:c r="C23" s="2031" t="s">
        <x:v>168</x:v>
      </x:c>
      <x:c r="D23" s="2031" t="s">
        <x:v>146</x:v>
      </x:c>
      <x:c r="E23" s="2032"/>
      <x:c r="F23" s="2033">
        <x:v>1080</x:v>
      </x:c>
      <x:c r="G23" s="2034">
        <x:v>19</x:v>
      </x:c>
      <x:c r="H23" s="2035">
        <x:v>2.75</x:v>
      </x:c>
      <x:c r="I23" s="2033"/>
      <x:c r="J23" s="2034"/>
      <x:c r="K23" s="2035"/>
      <x:c r="L23" s="2036" t="s">
        <x:v>740</x:v>
      </x:c>
      <x:c r="M23" s="2037" t="s">
        <x:v>117</x:v>
      </x:c>
      <x:c r="N23" s="2039" t="s">
        <x:v>1657</x:v>
      </x:c>
      <x:c r="O23" s="2040"/>
      <x:c r="P23" s="2040"/>
      <x:c r="R23" s="295" t="b">
        <x:f t="shared" si="0"/>
        <x:v>0</x:v>
      </x:c>
      <x:c r="S23" s="678" t="s">
        <x:v>167</x:v>
      </x:c>
      <x:c r="T23" s="577"/>
      <x:c r="U23" s="577"/>
      <x:c r="V23" s="577"/>
      <x:c r="W23" s="577"/>
      <x:c r="X23" s="577"/>
      <x:c r="Y23" s="577"/>
      <x:c r="Z23" s="577"/>
      <x:c r="AA23" s="577"/>
      <x:c r="AB23" s="577"/>
      <x:c r="AC23" s="577"/>
      <x:c r="AD23" s="577"/>
      <x:c r="AE23" s="577"/>
      <x:c r="AF23" s="577"/>
      <x:c r="AG23" s="577"/>
      <x:c r="AH23" s="475"/>
      <x:c r="AI23" s="475"/>
      <x:c r="AJ23" s="475"/>
      <x:c r="AL23" s="284"/>
      <x:c r="AM23" s="284"/>
      <x:c r="AN23" s="536"/>
      <x:c r="AO23" s="284" t="str">
        <x:f t="shared" si="1"/>
        <x:v>16</x:v>
      </x:c>
      <x:c r="AP23" s="1202" t="b">
        <x:v>0</x:v>
      </x:c>
      <x:c r="AQ23" s="236"/>
    </x:row>
    <x:row r="24" spans="1:43" ht="14.1" customHeight="1" x14ac:dyDescent="0.2">
      <x:c r="A24" s="2030"/>
      <x:c r="B24" s="2031" t="s">
        <x:v>147</x:v>
      </x:c>
      <x:c r="C24" s="2031" t="s">
        <x:v>168</x:v>
      </x:c>
      <x:c r="D24" s="2031" t="s">
        <x:v>146</x:v>
      </x:c>
      <x:c r="E24" s="2032"/>
      <x:c r="F24" s="2033">
        <x:v>-1080</x:v>
      </x:c>
      <x:c r="G24" s="2034">
        <x:v>19</x:v>
      </x:c>
      <x:c r="H24" s="2035">
        <x:v>2.75</x:v>
      </x:c>
      <x:c r="I24" s="2033"/>
      <x:c r="J24" s="2034"/>
      <x:c r="K24" s="2035"/>
      <x:c r="L24" s="2036" t="s">
        <x:v>740</x:v>
      </x:c>
      <x:c r="M24" s="2037" t="s">
        <x:v>850</x:v>
      </x:c>
      <x:c r="N24" s="2039" t="s">
        <x:v>117</x:v>
      </x:c>
      <x:c r="O24" s="2040"/>
      <x:c r="P24" s="2040"/>
      <x:c r="R24" s="295" t="b">
        <x:f t="shared" si="0"/>
        <x:v>0</x:v>
      </x:c>
      <x:c r="S24" s="577"/>
      <x:c r="T24" s="577"/>
      <x:c r="U24" s="577"/>
      <x:c r="V24" s="577"/>
      <x:c r="W24" s="577"/>
      <x:c r="X24" s="577"/>
      <x:c r="Y24" s="577"/>
      <x:c r="Z24" s="577"/>
      <x:c r="AA24" s="577"/>
      <x:c r="AB24" s="577"/>
      <x:c r="AC24" s="577"/>
      <x:c r="AD24" s="577"/>
      <x:c r="AE24" s="577"/>
      <x:c r="AF24" s="577"/>
      <x:c r="AG24" s="577"/>
      <x:c r="AH24" s="475"/>
      <x:c r="AI24" s="475"/>
      <x:c r="AJ24" s="475"/>
      <x:c r="AL24" s="284"/>
      <x:c r="AM24" s="284"/>
      <x:c r="AN24" s="536"/>
      <x:c r="AO24" s="284" t="str">
        <x:f t="shared" si="1"/>
        <x:v>16</x:v>
      </x:c>
      <x:c r="AP24" s="1202" t="b">
        <x:v>0</x:v>
      </x:c>
      <x:c r="AQ24" s="236"/>
    </x:row>
    <x:row r="25" spans="1:43" ht="14.1" customHeight="1" x14ac:dyDescent="0.2">
      <x:c r="A25" s="2030"/>
      <x:c r="B25" s="2031" t="s">
        <x:v>158</x:v>
      </x:c>
      <x:c r="C25" s="2031" t="s">
        <x:v>168</x:v>
      </x:c>
      <x:c r="D25" s="2031" t="s">
        <x:v>146</x:v>
      </x:c>
      <x:c r="E25" s="2032"/>
      <x:c r="F25" s="2033">
        <x:v>1850</x:v>
      </x:c>
      <x:c r="G25" s="2034"/>
      <x:c r="H25" s="2035"/>
      <x:c r="I25" s="2033"/>
      <x:c r="J25" s="2034"/>
      <x:c r="K25" s="2035"/>
      <x:c r="L25" s="2036" t="s">
        <x:v>117</x:v>
      </x:c>
      <x:c r="M25" s="2037" t="s">
        <x:v>117</x:v>
      </x:c>
      <x:c r="N25" s="2039" t="s">
        <x:v>117</x:v>
      </x:c>
      <x:c r="O25" s="2040"/>
      <x:c r="P25" s="2040"/>
      <x:c r="R25" s="295" t="b">
        <x:f t="shared" si="0"/>
        <x:v>1</x:v>
      </x:c>
      <x:c r="S25" s="284"/>
      <x:c r="T25" s="284"/>
      <x:c r="U25" s="284"/>
      <x:c r="V25" s="284"/>
      <x:c r="W25" s="284"/>
      <x:c r="X25" s="284"/>
      <x:c r="Y25" s="284"/>
      <x:c r="Z25" s="284"/>
      <x:c r="AA25" s="284"/>
      <x:c r="AB25" s="284"/>
      <x:c r="AC25" s="284"/>
      <x:c r="AD25" s="284"/>
      <x:c r="AE25" s="284"/>
      <x:c r="AF25" s="284"/>
      <x:c r="AG25" s="284"/>
      <x:c r="AH25" s="475"/>
      <x:c r="AI25" s="475"/>
      <x:c r="AJ25" s="475"/>
      <x:c r="AO25" s="284" t="str">
        <x:f t="shared" si="1"/>
        <x:v>16</x:v>
      </x:c>
      <x:c r="AP25" s="1202" t="b">
        <x:v>0</x:v>
      </x:c>
      <x:c r="AQ25" s="236"/>
    </x:row>
    <x:row r="26" spans="1:43" ht="14.1" customHeight="1" x14ac:dyDescent="0.2">
      <x:c r="A26" s="2030"/>
      <x:c r="B26" s="2031" t="s">
        <x:v>147</x:v>
      </x:c>
      <x:c r="C26" s="2031" t="s">
        <x:v>166</x:v>
      </x:c>
      <x:c r="D26" s="2031" t="s">
        <x:v>146</x:v>
      </x:c>
      <x:c r="E26" s="2032"/>
      <x:c r="F26" s="2033">
        <x:v>410</x:v>
      </x:c>
      <x:c r="G26" s="2034">
        <x:v>19</x:v>
      </x:c>
      <x:c r="H26" s="2035">
        <x:v>2.75</x:v>
      </x:c>
      <x:c r="I26" s="2033"/>
      <x:c r="J26" s="2034"/>
      <x:c r="K26" s="2035"/>
      <x:c r="L26" s="2036" t="s">
        <x:v>740</x:v>
      </x:c>
      <x:c r="M26" s="2037" t="s">
        <x:v>117</x:v>
      </x:c>
      <x:c r="N26" s="2039" t="s">
        <x:v>117</x:v>
      </x:c>
      <x:c r="O26" s="2040"/>
      <x:c r="P26" s="2040"/>
      <x:c r="R26" s="295" t="b">
        <x:f t="shared" si="0"/>
        <x:v>0</x:v>
      </x:c>
      <x:c r="S26" s="284"/>
      <x:c r="T26" s="284"/>
      <x:c r="U26" s="284"/>
      <x:c r="V26" s="284"/>
      <x:c r="W26" s="284"/>
      <x:c r="X26" s="284"/>
      <x:c r="Y26" s="284"/>
      <x:c r="Z26" s="284"/>
      <x:c r="AA26" s="284"/>
      <x:c r="AB26" s="284"/>
      <x:c r="AC26" s="284"/>
      <x:c r="AD26" s="284"/>
      <x:c r="AE26" s="284"/>
      <x:c r="AF26" s="284"/>
      <x:c r="AG26" s="284"/>
      <x:c r="AH26" s="475"/>
      <x:c r="AI26" s="475"/>
      <x:c r="AJ26" s="475"/>
      <x:c r="AO26" s="284" t="str">
        <x:f t="shared" si="1"/>
        <x:v>16</x:v>
      </x:c>
      <x:c r="AP26" s="1202" t="b">
        <x:v>0</x:v>
      </x:c>
      <x:c r="AQ26" s="236"/>
    </x:row>
    <x:row r="27" spans="1:43" ht="14.1" customHeight="1" x14ac:dyDescent="0.2">
      <x:c r="A27" s="2030" t="s">
        <x:v>1658</x:v>
      </x:c>
      <x:c r="B27" s="2031" t="s">
        <x:v>155</x:v>
      </x:c>
      <x:c r="C27" s="2031" t="s">
        <x:v>168</x:v>
      </x:c>
      <x:c r="D27" s="2031" t="s">
        <x:v>146</x:v>
      </x:c>
      <x:c r="E27" s="2032"/>
      <x:c r="F27" s="2033">
        <x:v>940</x:v>
      </x:c>
      <x:c r="G27" s="2034"/>
      <x:c r="H27" s="2035"/>
      <x:c r="I27" s="2033"/>
      <x:c r="J27" s="2034"/>
      <x:c r="K27" s="2035"/>
      <x:c r="L27" s="2036" t="s">
        <x:v>117</x:v>
      </x:c>
      <x:c r="M27" s="2037" t="s">
        <x:v>117</x:v>
      </x:c>
      <x:c r="N27" s="2039" t="s">
        <x:v>1651</x:v>
      </x:c>
      <x:c r="O27" s="2040"/>
      <x:c r="P27" s="2040"/>
      <x:c r="R27" s="295" t="b">
        <x:f t="shared" si="0"/>
        <x:v>1</x:v>
      </x:c>
      <x:c r="S27" s="284"/>
      <x:c r="T27" s="284"/>
      <x:c r="U27" s="284"/>
      <x:c r="V27" s="284"/>
      <x:c r="W27" s="284"/>
      <x:c r="X27" s="284"/>
      <x:c r="Y27" s="284"/>
      <x:c r="Z27" s="284"/>
      <x:c r="AA27" s="284"/>
      <x:c r="AB27" s="284"/>
      <x:c r="AC27" s="284"/>
      <x:c r="AD27" s="284"/>
      <x:c r="AE27" s="284"/>
      <x:c r="AF27" s="284"/>
      <x:c r="AG27" s="284"/>
      <x:c r="AH27" s="475"/>
      <x:c r="AI27" s="475"/>
      <x:c r="AJ27" s="475"/>
      <x:c r="AO27" s="284" t="str">
        <x:f t="shared" si="1"/>
        <x:v>17</x:v>
      </x:c>
      <x:c r="AP27" s="1202" t="b">
        <x:v>0</x:v>
      </x:c>
      <x:c r="AQ27" s="236"/>
    </x:row>
    <x:row r="28" spans="1:43" ht="14.1" customHeight="1" x14ac:dyDescent="0.2">
      <x:c r="A28" s="2030"/>
      <x:c r="B28" s="2031" t="s">
        <x:v>149</x:v>
      </x:c>
      <x:c r="C28" s="2031" t="s">
        <x:v>166</x:v>
      </x:c>
      <x:c r="D28" s="2031" t="s">
        <x:v>146</x:v>
      </x:c>
      <x:c r="E28" s="2032"/>
      <x:c r="F28" s="2033">
        <x:v>1600</x:v>
      </x:c>
      <x:c r="G28" s="2034">
        <x:v>3</x:v>
      </x:c>
      <x:c r="H28" s="2035">
        <x:v>11.75</x:v>
      </x:c>
      <x:c r="I28" s="2033">
        <x:v>1600</x:v>
      </x:c>
      <x:c r="J28" s="2034">
        <x:v>35</x:v>
      </x:c>
      <x:c r="K28" s="2035">
        <x:v>11.75</x:v>
      </x:c>
      <x:c r="L28" s="2036" t="s">
        <x:v>740</x:v>
      </x:c>
      <x:c r="M28" s="2037" t="s">
        <x:v>117</x:v>
      </x:c>
      <x:c r="N28" s="2038" t="s">
        <x:v>117</x:v>
      </x:c>
      <x:c r="O28" s="2029"/>
      <x:c r="P28" s="2029"/>
      <x:c r="R28" s="295" t="b">
        <x:f t="shared" si="0"/>
        <x:v>0</x:v>
      </x:c>
      <x:c r="S28" s="284"/>
      <x:c r="T28" s="284"/>
      <x:c r="U28" s="284"/>
      <x:c r="V28" s="284"/>
      <x:c r="W28" s="284"/>
      <x:c r="X28" s="284"/>
      <x:c r="Y28" s="284"/>
      <x:c r="Z28" s="284"/>
      <x:c r="AA28" s="284"/>
      <x:c r="AB28" s="284"/>
      <x:c r="AC28" s="284"/>
      <x:c r="AD28" s="284"/>
      <x:c r="AE28" s="284"/>
      <x:c r="AF28" s="284"/>
      <x:c r="AG28" s="284"/>
      <x:c r="AH28" s="475"/>
      <x:c r="AI28" s="475"/>
      <x:c r="AJ28" s="475"/>
      <x:c r="AO28" s="284" t="str">
        <x:f t="shared" si="1"/>
        <x:v>17</x:v>
      </x:c>
      <x:c r="AP28" s="1202" t="b">
        <x:v>0</x:v>
      </x:c>
      <x:c r="AQ28" s="236"/>
    </x:row>
    <x:row r="29" spans="1:43" ht="14.1" customHeight="1" x14ac:dyDescent="0.2">
      <x:c r="A29" s="2030" t="s">
        <x:v>1659</x:v>
      </x:c>
      <x:c r="B29" s="2031" t="s">
        <x:v>147</x:v>
      </x:c>
      <x:c r="C29" s="2031" t="s">
        <x:v>168</x:v>
      </x:c>
      <x:c r="D29" s="2031" t="s">
        <x:v>146</x:v>
      </x:c>
      <x:c r="E29" s="2032"/>
      <x:c r="F29" s="2033">
        <x:v>625</x:v>
      </x:c>
      <x:c r="G29" s="2034">
        <x:v>9</x:v>
      </x:c>
      <x:c r="H29" s="2035">
        <x:v>5.75</x:v>
      </x:c>
      <x:c r="I29" s="2033"/>
      <x:c r="J29" s="2034"/>
      <x:c r="K29" s="2035"/>
      <x:c r="L29" s="2036" t="s">
        <x:v>740</x:v>
      </x:c>
      <x:c r="M29" s="2037" t="s">
        <x:v>117</x:v>
      </x:c>
      <x:c r="N29" s="2038" t="s">
        <x:v>1653</x:v>
      </x:c>
      <x:c r="O29" s="2029"/>
      <x:c r="P29" s="2029"/>
      <x:c r="R29" s="295" t="b">
        <x:f t="shared" si="0"/>
        <x:v>0</x:v>
      </x:c>
      <x:c r="S29" s="284"/>
      <x:c r="T29" s="284"/>
      <x:c r="U29" s="284"/>
      <x:c r="V29" s="284"/>
      <x:c r="W29" s="284"/>
      <x:c r="X29" s="284"/>
      <x:c r="Y29" s="284"/>
      <x:c r="Z29" s="284"/>
      <x:c r="AA29" s="284"/>
      <x:c r="AB29" s="284"/>
      <x:c r="AC29" s="284"/>
      <x:c r="AD29" s="284"/>
      <x:c r="AE29" s="284"/>
      <x:c r="AF29" s="284"/>
      <x:c r="AG29" s="284"/>
      <x:c r="AH29" s="475"/>
      <x:c r="AI29" s="475"/>
      <x:c r="AJ29" s="475"/>
      <x:c r="AO29" s="284" t="str">
        <x:f t="shared" si="1"/>
        <x:v>18</x:v>
      </x:c>
      <x:c r="AP29" s="1202" t="b">
        <x:v>0</x:v>
      </x:c>
      <x:c r="AQ29" s="236"/>
    </x:row>
    <x:row r="30" spans="1:43" ht="14.1" customHeight="1" x14ac:dyDescent="0.2">
      <x:c r="A30" s="2030"/>
      <x:c r="B30" s="2031" t="s">
        <x:v>147</x:v>
      </x:c>
      <x:c r="C30" s="2031" t="s">
        <x:v>168</x:v>
      </x:c>
      <x:c r="D30" s="2031" t="s">
        <x:v>146</x:v>
      </x:c>
      <x:c r="E30" s="2032"/>
      <x:c r="F30" s="2033">
        <x:v>-625</x:v>
      </x:c>
      <x:c r="G30" s="2034">
        <x:v>9</x:v>
      </x:c>
      <x:c r="H30" s="2035">
        <x:v>5.75</x:v>
      </x:c>
      <x:c r="I30" s="2033"/>
      <x:c r="J30" s="2034"/>
      <x:c r="K30" s="2035"/>
      <x:c r="L30" s="2036" t="s">
        <x:v>740</x:v>
      </x:c>
      <x:c r="M30" s="2037" t="s">
        <x:v>850</x:v>
      </x:c>
      <x:c r="N30" s="2038" t="s">
        <x:v>117</x:v>
      </x:c>
      <x:c r="O30" s="2029"/>
      <x:c r="P30" s="2029"/>
      <x:c r="R30" s="295" t="b">
        <x:f t="shared" si="0"/>
        <x:v>0</x:v>
      </x:c>
      <x:c r="S30" s="721">
        <x:f t="shared" ref="S30:AN30" si="2">COUNTA(S16:S29)</x:f>
        <x:v>8</x:v>
      </x:c>
      <x:c r="T30" s="721">
        <x:f t="shared" si="2"/>
        <x:v>2</x:v>
      </x:c>
      <x:c r="U30" s="721">
        <x:f t="shared" si="2"/>
        <x:v>2</x:v>
      </x:c>
      <x:c r="V30" s="721">
        <x:f t="shared" si="2"/>
        <x:v>7</x:v>
      </x:c>
      <x:c r="W30" s="721">
        <x:f t="shared" si="2"/>
        <x:v>7</x:v>
      </x:c>
      <x:c r="X30" s="721">
        <x:f t="shared" si="2"/>
        <x:v>7</x:v>
      </x:c>
      <x:c r="Y30" s="721">
        <x:f t="shared" si="2"/>
        <x:v>7</x:v>
      </x:c>
      <x:c r="Z30" s="721">
        <x:f t="shared" si="2"/>
        <x:v>7</x:v>
      </x:c>
      <x:c r="AA30" s="721">
        <x:f t="shared" si="2"/>
        <x:v>7</x:v>
      </x:c>
      <x:c r="AB30" s="721">
        <x:f t="shared" si="2"/>
        <x:v>7</x:v>
      </x:c>
      <x:c r="AC30" s="721">
        <x:f t="shared" si="2"/>
        <x:v>7</x:v>
      </x:c>
      <x:c r="AD30" s="721">
        <x:f t="shared" si="2"/>
        <x:v>4</x:v>
      </x:c>
      <x:c r="AE30" s="721">
        <x:f t="shared" si="2"/>
        <x:v>0</x:v>
      </x:c>
      <x:c r="AF30" s="721">
        <x:f t="shared" si="2"/>
        <x:v>0</x:v>
      </x:c>
      <x:c r="AG30" s="721">
        <x:f t="shared" si="2"/>
        <x:v>0</x:v>
      </x:c>
      <x:c r="AH30" s="721">
        <x:f t="shared" si="2"/>
        <x:v>2</x:v>
      </x:c>
      <x:c r="AI30" s="721">
        <x:f t="shared" si="2"/>
        <x:v>4</x:v>
      </x:c>
      <x:c r="AJ30" s="721">
        <x:f t="shared" si="2"/>
        <x:v>3</x:v>
      </x:c>
      <x:c r="AK30" s="721">
        <x:f t="shared" si="2"/>
        <x:v>1</x:v>
      </x:c>
      <x:c r="AL30" s="721">
        <x:f t="shared" si="2"/>
        <x:v>6</x:v>
      </x:c>
      <x:c r="AM30" s="721">
        <x:f t="shared" si="2"/>
        <x:v>4</x:v>
      </x:c>
      <x:c r="AN30" s="721">
        <x:f t="shared" si="2"/>
        <x:v>4</x:v>
      </x:c>
      <x:c r="AO30" s="284" t="str">
        <x:f t="shared" si="1"/>
        <x:v>18</x:v>
      </x:c>
      <x:c r="AP30" s="1202" t="b">
        <x:v>0</x:v>
      </x:c>
      <x:c r="AQ30" s="236"/>
    </x:row>
    <x:row r="31" spans="1:43" ht="14.1" customHeight="1" x14ac:dyDescent="0.2">
      <x:c r="A31" s="2030"/>
      <x:c r="B31" s="2031" t="s">
        <x:v>158</x:v>
      </x:c>
      <x:c r="C31" s="2031" t="s">
        <x:v>168</x:v>
      </x:c>
      <x:c r="D31" s="2031" t="s">
        <x:v>146</x:v>
      </x:c>
      <x:c r="E31" s="2032"/>
      <x:c r="F31" s="2033">
        <x:v>1075</x:v>
      </x:c>
      <x:c r="G31" s="2034"/>
      <x:c r="H31" s="2035"/>
      <x:c r="I31" s="2033"/>
      <x:c r="J31" s="2034"/>
      <x:c r="K31" s="2035"/>
      <x:c r="L31" s="2036" t="s">
        <x:v>117</x:v>
      </x:c>
      <x:c r="M31" s="2036" t="s">
        <x:v>117</x:v>
      </x:c>
      <x:c r="N31" s="2038" t="s">
        <x:v>117</x:v>
      </x:c>
      <x:c r="O31" s="2029"/>
      <x:c r="P31" s="2029"/>
      <x:c r="R31" s="295" t="b">
        <x:f t="shared" si="0"/>
        <x:v>1</x:v>
      </x:c>
      <x:c r="AO31" s="284" t="str">
        <x:f t="shared" si="1"/>
        <x:v>18</x:v>
      </x:c>
      <x:c r="AP31" s="1202" t="b">
        <x:v>0</x:v>
      </x:c>
      <x:c r="AQ31" s="236"/>
    </x:row>
    <x:row r="32" spans="1:43" ht="14.1" customHeight="1" x14ac:dyDescent="0.2">
      <x:c r="A32" s="2030"/>
      <x:c r="B32" s="2031" t="s">
        <x:v>147</x:v>
      </x:c>
      <x:c r="C32" s="2031" t="s">
        <x:v>166</x:v>
      </x:c>
      <x:c r="D32" s="2031" t="s">
        <x:v>146</x:v>
      </x:c>
      <x:c r="E32" s="2032"/>
      <x:c r="F32" s="2033">
        <x:v>260</x:v>
      </x:c>
      <x:c r="G32" s="2034">
        <x:v>9</x:v>
      </x:c>
      <x:c r="H32" s="2035">
        <x:v>5.75</x:v>
      </x:c>
      <x:c r="I32" s="2033"/>
      <x:c r="J32" s="2034"/>
      <x:c r="K32" s="2035"/>
      <x:c r="L32" s="2036" t="s">
        <x:v>740</x:v>
      </x:c>
      <x:c r="M32" s="2036" t="s">
        <x:v>117</x:v>
      </x:c>
      <x:c r="N32" s="2038" t="s">
        <x:v>117</x:v>
      </x:c>
      <x:c r="O32" s="2029"/>
      <x:c r="P32" s="2029"/>
      <x:c r="R32" s="295" t="b">
        <x:f t="shared" si="0"/>
        <x:v>0</x:v>
      </x:c>
      <x:c r="AO32" s="284" t="str">
        <x:f t="shared" si="1"/>
        <x:v>18</x:v>
      </x:c>
      <x:c r="AP32" s="1202" t="b">
        <x:v>0</x:v>
      </x:c>
      <x:c r="AQ32" s="236"/>
    </x:row>
    <x:row r="33" spans="1:45" ht="14.1" customHeight="1" x14ac:dyDescent="0.2">
      <x:c r="A33" s="2030" t="s">
        <x:v>1660</x:v>
      </x:c>
      <x:c r="B33" s="2031" t="s">
        <x:v>147</x:v>
      </x:c>
      <x:c r="C33" s="2031" t="s">
        <x:v>168</x:v>
      </x:c>
      <x:c r="D33" s="2031" t="s">
        <x:v>146</x:v>
      </x:c>
      <x:c r="E33" s="2032"/>
      <x:c r="F33" s="2033">
        <x:v>625</x:v>
      </x:c>
      <x:c r="G33" s="2034">
        <x:v>3</x:v>
      </x:c>
      <x:c r="H33" s="2035">
        <x:v>0</x:v>
      </x:c>
      <x:c r="I33" s="2033"/>
      <x:c r="J33" s="2034"/>
      <x:c r="K33" s="2035"/>
      <x:c r="L33" s="2036" t="s">
        <x:v>740</x:v>
      </x:c>
      <x:c r="M33" s="2036" t="s">
        <x:v>117</x:v>
      </x:c>
      <x:c r="N33" s="2038" t="s">
        <x:v>1653</x:v>
      </x:c>
      <x:c r="O33" s="2029"/>
      <x:c r="P33" s="2029"/>
      <x:c r="R33" s="295" t="b">
        <x:f t="shared" si="0"/>
        <x:v>0</x:v>
      </x:c>
      <x:c r="AO33" s="284" t="str">
        <x:f t="shared" si="1"/>
        <x:v>19</x:v>
      </x:c>
      <x:c r="AP33" s="1202" t="b">
        <x:v>0</x:v>
      </x:c>
      <x:c r="AQ33" s="236"/>
    </x:row>
    <x:row r="34" spans="1:45" ht="14.1" customHeight="1" x14ac:dyDescent="0.2">
      <x:c r="A34" s="2030"/>
      <x:c r="B34" s="2031" t="s">
        <x:v>147</x:v>
      </x:c>
      <x:c r="C34" s="2031" t="s">
        <x:v>168</x:v>
      </x:c>
      <x:c r="D34" s="2031" t="s">
        <x:v>146</x:v>
      </x:c>
      <x:c r="E34" s="2032"/>
      <x:c r="F34" s="2033">
        <x:v>-625</x:v>
      </x:c>
      <x:c r="G34" s="2034">
        <x:v>3</x:v>
      </x:c>
      <x:c r="H34" s="2035">
        <x:v>0</x:v>
      </x:c>
      <x:c r="I34" s="2033"/>
      <x:c r="J34" s="2034"/>
      <x:c r="K34" s="2035"/>
      <x:c r="L34" s="2036" t="s">
        <x:v>740</x:v>
      </x:c>
      <x:c r="M34" s="2036" t="s">
        <x:v>850</x:v>
      </x:c>
      <x:c r="N34" s="2038" t="s">
        <x:v>117</x:v>
      </x:c>
      <x:c r="O34" s="2029"/>
      <x:c r="P34" s="2029"/>
      <x:c r="R34" s="295" t="b">
        <x:f t="shared" si="0"/>
        <x:v>0</x:v>
      </x:c>
      <x:c r="AO34" s="284" t="str">
        <x:f t="shared" si="1"/>
        <x:v>19</x:v>
      </x:c>
      <x:c r="AP34" s="1202" t="b">
        <x:v>0</x:v>
      </x:c>
      <x:c r="AQ34" s="236"/>
    </x:row>
    <x:row r="35" spans="1:45" ht="14.1" customHeight="1" x14ac:dyDescent="0.2">
      <x:c r="A35" s="2030"/>
      <x:c r="B35" s="2031" t="s">
        <x:v>158</x:v>
      </x:c>
      <x:c r="C35" s="2031" t="s">
        <x:v>168</x:v>
      </x:c>
      <x:c r="D35" s="2031" t="s">
        <x:v>146</x:v>
      </x:c>
      <x:c r="E35" s="2032"/>
      <x:c r="F35" s="2033">
        <x:v>1075</x:v>
      </x:c>
      <x:c r="G35" s="2034"/>
      <x:c r="H35" s="2035"/>
      <x:c r="I35" s="2033"/>
      <x:c r="J35" s="2034"/>
      <x:c r="K35" s="2035"/>
      <x:c r="L35" s="2036" t="s">
        <x:v>117</x:v>
      </x:c>
      <x:c r="M35" s="2036" t="s">
        <x:v>117</x:v>
      </x:c>
      <x:c r="N35" s="2038" t="s">
        <x:v>117</x:v>
      </x:c>
      <x:c r="O35" s="2029"/>
      <x:c r="P35" s="2029"/>
      <x:c r="R35" s="295" t="b">
        <x:f t="shared" si="0"/>
        <x:v>1</x:v>
      </x:c>
      <x:c r="AO35" s="284" t="str">
        <x:f t="shared" si="1"/>
        <x:v>19</x:v>
      </x:c>
      <x:c r="AP35" s="1202" t="b">
        <x:v>0</x:v>
      </x:c>
      <x:c r="AQ35" s="236"/>
    </x:row>
    <x:row r="36" spans="1:45" ht="14.1" customHeight="1" x14ac:dyDescent="0.2">
      <x:c r="A36" s="2030"/>
      <x:c r="B36" s="2031" t="s">
        <x:v>147</x:v>
      </x:c>
      <x:c r="C36" s="2031" t="s">
        <x:v>166</x:v>
      </x:c>
      <x:c r="D36" s="2031" t="s">
        <x:v>146</x:v>
      </x:c>
      <x:c r="E36" s="2032"/>
      <x:c r="F36" s="2033">
        <x:v>260</x:v>
      </x:c>
      <x:c r="G36" s="2034">
        <x:v>3</x:v>
      </x:c>
      <x:c r="H36" s="2035">
        <x:v>0</x:v>
      </x:c>
      <x:c r="I36" s="2033"/>
      <x:c r="J36" s="2034"/>
      <x:c r="K36" s="2035"/>
      <x:c r="L36" s="2036" t="s">
        <x:v>740</x:v>
      </x:c>
      <x:c r="M36" s="2036" t="s">
        <x:v>117</x:v>
      </x:c>
      <x:c r="N36" s="2038" t="s">
        <x:v>117</x:v>
      </x:c>
      <x:c r="O36" s="2029"/>
      <x:c r="P36" s="2029"/>
      <x:c r="R36" s="295" t="b">
        <x:f t="shared" si="0"/>
        <x:v>0</x:v>
      </x:c>
      <x:c r="AO36" s="284" t="str">
        <x:f t="shared" si="1"/>
        <x:v>19</x:v>
      </x:c>
      <x:c r="AP36" s="1202" t="b">
        <x:v>0</x:v>
      </x:c>
      <x:c r="AQ36" s="236"/>
    </x:row>
    <x:row r="37" spans="1:45" ht="14.1" customHeight="1" x14ac:dyDescent="0.2">
      <x:c r="A37" s="2030" t="s">
        <x:v>1661</x:v>
      </x:c>
      <x:c r="B37" s="2031" t="s">
        <x:v>147</x:v>
      </x:c>
      <x:c r="C37" s="2031" t="s">
        <x:v>168</x:v>
      </x:c>
      <x:c r="D37" s="2031" t="s">
        <x:v>146</x:v>
      </x:c>
      <x:c r="E37" s="2032"/>
      <x:c r="F37" s="2033">
        <x:v>625</x:v>
      </x:c>
      <x:c r="G37" s="2034">
        <x:v>16</x:v>
      </x:c>
      <x:c r="H37" s="2035">
        <x:v>8.25</x:v>
      </x:c>
      <x:c r="I37" s="2033"/>
      <x:c r="J37" s="2034"/>
      <x:c r="K37" s="2035"/>
      <x:c r="L37" s="2036" t="s">
        <x:v>740</x:v>
      </x:c>
      <x:c r="M37" s="2036" t="s">
        <x:v>117</x:v>
      </x:c>
      <x:c r="N37" s="2038" t="s">
        <x:v>1653</x:v>
      </x:c>
      <x:c r="O37" s="2029"/>
      <x:c r="P37" s="2029"/>
      <x:c r="R37" s="295" t="b">
        <x:f t="shared" si="0"/>
        <x:v>0</x:v>
      </x:c>
      <x:c r="AO37" s="284" t="str">
        <x:f t="shared" si="1"/>
        <x:v>20</x:v>
      </x:c>
      <x:c r="AP37" s="1202" t="b">
        <x:v>0</x:v>
      </x:c>
      <x:c r="AQ37" s="236"/>
    </x:row>
    <x:row r="38" spans="1:45" ht="14.1" customHeight="1" x14ac:dyDescent="0.2">
      <x:c r="A38" s="2030"/>
      <x:c r="B38" s="2031" t="s">
        <x:v>147</x:v>
      </x:c>
      <x:c r="C38" s="2031" t="s">
        <x:v>168</x:v>
      </x:c>
      <x:c r="D38" s="2031" t="s">
        <x:v>146</x:v>
      </x:c>
      <x:c r="E38" s="2032"/>
      <x:c r="F38" s="2033">
        <x:v>-625</x:v>
      </x:c>
      <x:c r="G38" s="2034">
        <x:v>16</x:v>
      </x:c>
      <x:c r="H38" s="2035">
        <x:v>8.25</x:v>
      </x:c>
      <x:c r="I38" s="2033"/>
      <x:c r="J38" s="2034"/>
      <x:c r="K38" s="2035"/>
      <x:c r="L38" s="2036" t="s">
        <x:v>740</x:v>
      </x:c>
      <x:c r="M38" s="2036" t="s">
        <x:v>850</x:v>
      </x:c>
      <x:c r="N38" s="2038" t="s">
        <x:v>117</x:v>
      </x:c>
      <x:c r="O38" s="2029"/>
      <x:c r="P38" s="2029"/>
      <x:c r="R38" s="295" t="b">
        <x:f t="shared" si="0"/>
        <x:v>0</x:v>
      </x:c>
      <x:c r="AO38" s="284" t="str">
        <x:f t="shared" si="1"/>
        <x:v>20</x:v>
      </x:c>
      <x:c r="AP38" s="1202" t="b">
        <x:v>0</x:v>
      </x:c>
      <x:c r="AQ38" s="236"/>
    </x:row>
    <x:row r="39" spans="1:45" ht="14.1" customHeight="1" x14ac:dyDescent="0.2">
      <x:c r="A39" s="2030"/>
      <x:c r="B39" s="2031" t="s">
        <x:v>158</x:v>
      </x:c>
      <x:c r="C39" s="2031" t="s">
        <x:v>168</x:v>
      </x:c>
      <x:c r="D39" s="2031" t="s">
        <x:v>146</x:v>
      </x:c>
      <x:c r="E39" s="2032"/>
      <x:c r="F39" s="2033">
        <x:v>1075</x:v>
      </x:c>
      <x:c r="G39" s="2034"/>
      <x:c r="H39" s="2035"/>
      <x:c r="I39" s="2033"/>
      <x:c r="J39" s="2034"/>
      <x:c r="K39" s="2035"/>
      <x:c r="L39" s="2036" t="s">
        <x:v>117</x:v>
      </x:c>
      <x:c r="M39" s="2036" t="s">
        <x:v>117</x:v>
      </x:c>
      <x:c r="N39" s="2038" t="s">
        <x:v>117</x:v>
      </x:c>
      <x:c r="O39" s="2029"/>
      <x:c r="P39" s="2029"/>
      <x:c r="R39" s="295" t="b">
        <x:f t="shared" si="0"/>
        <x:v>1</x:v>
      </x:c>
      <x:c r="AO39" s="284" t="str">
        <x:f t="shared" si="1"/>
        <x:v>20</x:v>
      </x:c>
      <x:c r="AP39" s="1202" t="b">
        <x:v>0</x:v>
      </x:c>
      <x:c r="AQ39" s="236"/>
    </x:row>
    <x:row r="40" spans="1:45" ht="14.1" customHeight="1" x14ac:dyDescent="0.2">
      <x:c r="A40" s="2030"/>
      <x:c r="B40" s="2031" t="s">
        <x:v>147</x:v>
      </x:c>
      <x:c r="C40" s="2031" t="s">
        <x:v>166</x:v>
      </x:c>
      <x:c r="D40" s="2031" t="s">
        <x:v>146</x:v>
      </x:c>
      <x:c r="E40" s="2032"/>
      <x:c r="F40" s="2033">
        <x:v>260</x:v>
      </x:c>
      <x:c r="G40" s="2034">
        <x:v>16</x:v>
      </x:c>
      <x:c r="H40" s="2035">
        <x:v>8.25</x:v>
      </x:c>
      <x:c r="I40" s="2033"/>
      <x:c r="J40" s="2034"/>
      <x:c r="K40" s="2035"/>
      <x:c r="L40" s="2036" t="s">
        <x:v>740</x:v>
      </x:c>
      <x:c r="M40" s="2036" t="s">
        <x:v>117</x:v>
      </x:c>
      <x:c r="N40" s="2038" t="s">
        <x:v>117</x:v>
      </x:c>
      <x:c r="O40" s="2029"/>
      <x:c r="P40" s="2029"/>
      <x:c r="R40" s="295" t="b">
        <x:f t="shared" si="0"/>
        <x:v>0</x:v>
      </x:c>
      <x:c r="AO40" s="284" t="str">
        <x:f t="shared" si="1"/>
        <x:v>20</x:v>
      </x:c>
      <x:c r="AP40" s="1202" t="b">
        <x:v>0</x:v>
      </x:c>
      <x:c r="AQ40" s="236"/>
    </x:row>
    <x:row r="41" spans="1:45" ht="14.1" customHeight="1" x14ac:dyDescent="0.2">
      <x:c r="A41" s="2030" t="s">
        <x:v>1662</x:v>
      </x:c>
      <x:c r="B41" s="2031" t="s">
        <x:v>147</x:v>
      </x:c>
      <x:c r="C41" s="2031" t="s">
        <x:v>168</x:v>
      </x:c>
      <x:c r="D41" s="2031" t="s">
        <x:v>146</x:v>
      </x:c>
      <x:c r="E41" s="2032"/>
      <x:c r="F41" s="2033">
        <x:v>625</x:v>
      </x:c>
      <x:c r="G41" s="2034">
        <x:v>7</x:v>
      </x:c>
      <x:c r="H41" s="2035">
        <x:v>8.75</x:v>
      </x:c>
      <x:c r="I41" s="2033"/>
      <x:c r="J41" s="2034"/>
      <x:c r="K41" s="2035"/>
      <x:c r="L41" s="2036" t="s">
        <x:v>740</x:v>
      </x:c>
      <x:c r="M41" s="2036" t="s">
        <x:v>117</x:v>
      </x:c>
      <x:c r="N41" s="2038" t="s">
        <x:v>1653</x:v>
      </x:c>
      <x:c r="O41" s="2029"/>
      <x:c r="P41" s="2029"/>
      <x:c r="R41" s="295" t="b">
        <x:f t="shared" si="0"/>
        <x:v>0</x:v>
      </x:c>
      <x:c r="AO41" s="284" t="str">
        <x:f t="shared" si="1"/>
        <x:v>21</x:v>
      </x:c>
      <x:c r="AP41" s="1202" t="b">
        <x:v>0</x:v>
      </x:c>
      <x:c r="AQ41" s="236"/>
    </x:row>
    <x:row r="42" spans="1:45" ht="14.1" customHeight="1" x14ac:dyDescent="0.2">
      <x:c r="A42" s="2030"/>
      <x:c r="B42" s="2031" t="s">
        <x:v>147</x:v>
      </x:c>
      <x:c r="C42" s="2031" t="s">
        <x:v>168</x:v>
      </x:c>
      <x:c r="D42" s="2031" t="s">
        <x:v>146</x:v>
      </x:c>
      <x:c r="E42" s="2032"/>
      <x:c r="F42" s="2033">
        <x:v>-625</x:v>
      </x:c>
      <x:c r="G42" s="2034">
        <x:v>7</x:v>
      </x:c>
      <x:c r="H42" s="2035">
        <x:v>8.75</x:v>
      </x:c>
      <x:c r="I42" s="2033"/>
      <x:c r="J42" s="2034"/>
      <x:c r="K42" s="2035"/>
      <x:c r="L42" s="2036" t="s">
        <x:v>740</x:v>
      </x:c>
      <x:c r="M42" s="2036" t="s">
        <x:v>850</x:v>
      </x:c>
      <x:c r="N42" s="2038" t="s">
        <x:v>117</x:v>
      </x:c>
      <x:c r="O42" s="2029"/>
      <x:c r="P42" s="2029"/>
      <x:c r="R42" s="295" t="b">
        <x:f t="shared" si="0"/>
        <x:v>0</x:v>
      </x:c>
      <x:c r="AO42" s="284" t="str">
        <x:f t="shared" si="1"/>
        <x:v>21</x:v>
      </x:c>
      <x:c r="AP42" s="1202" t="b">
        <x:v>0</x:v>
      </x:c>
      <x:c r="AQ42" s="236"/>
    </x:row>
    <x:row r="43" spans="1:45" ht="14.1" customHeight="1" x14ac:dyDescent="0.2">
      <x:c r="A43" s="2030"/>
      <x:c r="B43" s="2031" t="s">
        <x:v>158</x:v>
      </x:c>
      <x:c r="C43" s="2031" t="s">
        <x:v>168</x:v>
      </x:c>
      <x:c r="D43" s="2031" t="s">
        <x:v>146</x:v>
      </x:c>
      <x:c r="E43" s="2032"/>
      <x:c r="F43" s="2033">
        <x:v>1075</x:v>
      </x:c>
      <x:c r="G43" s="2034"/>
      <x:c r="H43" s="2035"/>
      <x:c r="I43" s="2033"/>
      <x:c r="J43" s="2034"/>
      <x:c r="K43" s="2035"/>
      <x:c r="L43" s="2036" t="s">
        <x:v>117</x:v>
      </x:c>
      <x:c r="M43" s="2036" t="s">
        <x:v>117</x:v>
      </x:c>
      <x:c r="N43" s="2038" t="s">
        <x:v>117</x:v>
      </x:c>
      <x:c r="O43" s="2029"/>
      <x:c r="P43" s="2029"/>
      <x:c r="R43" s="295" t="b">
        <x:f t="shared" si="0"/>
        <x:v>1</x:v>
      </x:c>
      <x:c r="AO43" s="284" t="str">
        <x:f t="shared" si="1"/>
        <x:v>21</x:v>
      </x:c>
      <x:c r="AP43" s="1202" t="b">
        <x:v>0</x:v>
      </x:c>
      <x:c r="AQ43" s="236"/>
    </x:row>
    <x:row r="44" spans="1:45" ht="14.1" customHeight="1" x14ac:dyDescent="0.2">
      <x:c r="A44" s="2030"/>
      <x:c r="B44" s="2031" t="s">
        <x:v>147</x:v>
      </x:c>
      <x:c r="C44" s="2031" t="s">
        <x:v>166</x:v>
      </x:c>
      <x:c r="D44" s="2031" t="s">
        <x:v>146</x:v>
      </x:c>
      <x:c r="E44" s="2032"/>
      <x:c r="F44" s="2033">
        <x:v>260</x:v>
      </x:c>
      <x:c r="G44" s="2034">
        <x:v>7</x:v>
      </x:c>
      <x:c r="H44" s="2035">
        <x:v>8.75</x:v>
      </x:c>
      <x:c r="I44" s="2033"/>
      <x:c r="J44" s="2034"/>
      <x:c r="K44" s="2035"/>
      <x:c r="L44" s="2036" t="s">
        <x:v>740</x:v>
      </x:c>
      <x:c r="M44" s="2036" t="s">
        <x:v>117</x:v>
      </x:c>
      <x:c r="N44" s="2038" t="s">
        <x:v>117</x:v>
      </x:c>
      <x:c r="O44" s="2029"/>
      <x:c r="P44" s="2029"/>
      <x:c r="R44" s="295" t="b">
        <x:f t="shared" si="0"/>
        <x:v>0</x:v>
      </x:c>
      <x:c r="AO44" s="284" t="str">
        <x:f t="shared" si="1"/>
        <x:v>21</x:v>
      </x:c>
      <x:c r="AP44" s="1202" t="b">
        <x:v>0</x:v>
      </x:c>
      <x:c r="AQ44" s="236"/>
    </x:row>
    <x:row r="45" spans="1:45" ht="14.1" customHeight="1" x14ac:dyDescent="0.2">
      <x:c r="A45" s="2030" t="s">
        <x:v>1663</x:v>
      </x:c>
      <x:c r="B45" s="2031" t="s">
        <x:v>158</x:v>
      </x:c>
      <x:c r="C45" s="2031" t="s">
        <x:v>143</x:v>
      </x:c>
      <x:c r="D45" s="2031" t="s">
        <x:v>146</x:v>
      </x:c>
      <x:c r="E45" s="2032"/>
      <x:c r="F45" s="2033">
        <x:v>50000</x:v>
      </x:c>
      <x:c r="G45" s="2034"/>
      <x:c r="H45" s="2035"/>
      <x:c r="I45" s="2033"/>
      <x:c r="J45" s="2034"/>
      <x:c r="K45" s="2035"/>
      <x:c r="L45" s="2036" t="s">
        <x:v>117</x:v>
      </x:c>
      <x:c r="M45" s="2036" t="s">
        <x:v>117</x:v>
      </x:c>
      <x:c r="N45" s="2038" t="s">
        <x:v>1643</x:v>
      </x:c>
      <x:c r="O45" s="2029"/>
      <x:c r="P45" s="2029"/>
      <x:c r="R45" s="295" t="b">
        <x:f t="shared" si="0"/>
        <x:v>1</x:v>
      </x:c>
      <x:c r="AO45" s="284" t="str">
        <x:f t="shared" si="1"/>
        <x:v>22</x:v>
      </x:c>
      <x:c r="AP45" s="1202" t="b">
        <x:v>0</x:v>
      </x:c>
      <x:c r="AQ45" s="236"/>
    </x:row>
    <x:row r="46" spans="1:45" ht="14.1" customHeight="1" x14ac:dyDescent="0.2">
      <x:c r="A46" s="2030"/>
      <x:c r="B46" s="2031" t="s">
        <x:v>158</x:v>
      </x:c>
      <x:c r="C46" s="2031" t="s">
        <x:v>168</x:v>
      </x:c>
      <x:c r="D46" s="2031" t="s">
        <x:v>146</x:v>
      </x:c>
      <x:c r="E46" s="2032"/>
      <x:c r="F46" s="2033">
        <x:v>50000</x:v>
      </x:c>
      <x:c r="G46" s="2034"/>
      <x:c r="H46" s="2035"/>
      <x:c r="I46" s="2033"/>
      <x:c r="J46" s="2034"/>
      <x:c r="K46" s="2035"/>
      <x:c r="L46" s="2036" t="s">
        <x:v>117</x:v>
      </x:c>
      <x:c r="M46" s="2036" t="s">
        <x:v>117</x:v>
      </x:c>
      <x:c r="N46" s="2038" t="s">
        <x:v>117</x:v>
      </x:c>
      <x:c r="O46" s="2029"/>
      <x:c r="P46" s="2029"/>
      <x:c r="R46" s="295" t="b">
        <x:f t="shared" si="0"/>
        <x:v>1</x:v>
      </x:c>
      <x:c r="AO46" s="284" t="str">
        <x:f t="shared" si="1"/>
        <x:v>22</x:v>
      </x:c>
      <x:c r="AP46" s="1202" t="b">
        <x:v>0</x:v>
      </x:c>
      <x:c r="AQ46" s="236"/>
    </x:row>
    <x:row r="47" spans="1:45" ht="14.1" customHeight="1" x14ac:dyDescent="0.2">
      <x:c r="A47" s="2030" t="s">
        <x:v>1664</x:v>
      </x:c>
      <x:c r="B47" s="2031" t="s">
        <x:v>147</x:v>
      </x:c>
      <x:c r="C47" s="2031" t="s">
        <x:v>168</x:v>
      </x:c>
      <x:c r="D47" s="2031" t="s">
        <x:v>146</x:v>
      </x:c>
      <x:c r="E47" s="2032"/>
      <x:c r="F47" s="2033">
        <x:v>625</x:v>
      </x:c>
      <x:c r="G47" s="2034">
        <x:v>27</x:v>
      </x:c>
      <x:c r="H47" s="2035">
        <x:v>4.875</x:v>
      </x:c>
      <x:c r="I47" s="2033"/>
      <x:c r="J47" s="2034"/>
      <x:c r="K47" s="2035"/>
      <x:c r="L47" s="2036" t="s">
        <x:v>740</x:v>
      </x:c>
      <x:c r="M47" s="2036" t="s">
        <x:v>117</x:v>
      </x:c>
      <x:c r="N47" s="2038" t="s">
        <x:v>1653</x:v>
      </x:c>
      <x:c r="O47" s="2029"/>
      <x:c r="P47" s="2029"/>
      <x:c r="R47" s="295" t="b">
        <x:f t="shared" si="0"/>
        <x:v>0</x:v>
      </x:c>
      <x:c r="AO47" s="284" t="str">
        <x:f t="shared" si="1"/>
        <x:v>23</x:v>
      </x:c>
      <x:c r="AP47" s="1202" t="b">
        <x:v>0</x:v>
      </x:c>
      <x:c r="AQ47" s="236"/>
      <x:c r="AS47" s="973"/>
    </x:row>
    <x:row r="48" spans="1:45" ht="14.1" customHeight="1" x14ac:dyDescent="0.2">
      <x:c r="A48" s="2030"/>
      <x:c r="B48" s="2031" t="s">
        <x:v>147</x:v>
      </x:c>
      <x:c r="C48" s="2031" t="s">
        <x:v>168</x:v>
      </x:c>
      <x:c r="D48" s="2031" t="s">
        <x:v>146</x:v>
      </x:c>
      <x:c r="E48" s="2032"/>
      <x:c r="F48" s="2033">
        <x:v>-625</x:v>
      </x:c>
      <x:c r="G48" s="2034">
        <x:v>27</x:v>
      </x:c>
      <x:c r="H48" s="2035">
        <x:v>4.875</x:v>
      </x:c>
      <x:c r="I48" s="2033"/>
      <x:c r="J48" s="2034"/>
      <x:c r="K48" s="2035"/>
      <x:c r="L48" s="2036" t="s">
        <x:v>740</x:v>
      </x:c>
      <x:c r="M48" s="2036" t="s">
        <x:v>850</x:v>
      </x:c>
      <x:c r="N48" s="2038" t="s">
        <x:v>117</x:v>
      </x:c>
      <x:c r="O48" s="2029"/>
      <x:c r="P48" s="2029"/>
      <x:c r="R48" s="295" t="b">
        <x:f t="shared" si="0"/>
        <x:v>0</x:v>
      </x:c>
      <x:c r="AO48" s="284" t="str">
        <x:f t="shared" si="1"/>
        <x:v>23</x:v>
      </x:c>
      <x:c r="AP48" s="1202" t="b">
        <x:v>0</x:v>
      </x:c>
      <x:c r="AQ48" s="236"/>
    </x:row>
    <x:row r="49" spans="1:43" ht="14.1" customHeight="1" x14ac:dyDescent="0.2">
      <x:c r="A49" s="2030"/>
      <x:c r="B49" s="2031" t="s">
        <x:v>158</x:v>
      </x:c>
      <x:c r="C49" s="2031" t="s">
        <x:v>168</x:v>
      </x:c>
      <x:c r="D49" s="2031" t="s">
        <x:v>146</x:v>
      </x:c>
      <x:c r="E49" s="2032"/>
      <x:c r="F49" s="2033">
        <x:v>1075</x:v>
      </x:c>
      <x:c r="G49" s="2034"/>
      <x:c r="H49" s="2035"/>
      <x:c r="I49" s="2033"/>
      <x:c r="J49" s="2034"/>
      <x:c r="K49" s="2035"/>
      <x:c r="L49" s="2036" t="s">
        <x:v>117</x:v>
      </x:c>
      <x:c r="M49" s="2036" t="s">
        <x:v>117</x:v>
      </x:c>
      <x:c r="N49" s="2038" t="s">
        <x:v>117</x:v>
      </x:c>
      <x:c r="O49" s="2029"/>
      <x:c r="P49" s="2029"/>
      <x:c r="R49" s="295" t="b">
        <x:f t="shared" si="0"/>
        <x:v>1</x:v>
      </x:c>
      <x:c r="AO49" s="284" t="str">
        <x:f t="shared" si="1"/>
        <x:v>23</x:v>
      </x:c>
      <x:c r="AP49" s="1202" t="b">
        <x:v>0</x:v>
      </x:c>
      <x:c r="AQ49" s="236"/>
    </x:row>
    <x:row r="50" spans="1:43" ht="14.1" customHeight="1" x14ac:dyDescent="0.2">
      <x:c r="A50" s="2030"/>
      <x:c r="B50" s="2031" t="s">
        <x:v>147</x:v>
      </x:c>
      <x:c r="C50" s="2031" t="s">
        <x:v>166</x:v>
      </x:c>
      <x:c r="D50" s="2031" t="s">
        <x:v>146</x:v>
      </x:c>
      <x:c r="E50" s="2032"/>
      <x:c r="F50" s="2033">
        <x:v>260</x:v>
      </x:c>
      <x:c r="G50" s="2034">
        <x:v>27</x:v>
      </x:c>
      <x:c r="H50" s="2035">
        <x:v>4.875</x:v>
      </x:c>
      <x:c r="I50" s="2033"/>
      <x:c r="J50" s="2034"/>
      <x:c r="K50" s="2035"/>
      <x:c r="L50" s="2036" t="s">
        <x:v>740</x:v>
      </x:c>
      <x:c r="M50" s="2036" t="s">
        <x:v>117</x:v>
      </x:c>
      <x:c r="N50" s="2038" t="s">
        <x:v>117</x:v>
      </x:c>
      <x:c r="O50" s="2029"/>
      <x:c r="P50" s="2029"/>
      <x:c r="R50" s="295" t="b">
        <x:f t="shared" si="0"/>
        <x:v>0</x:v>
      </x:c>
      <x:c r="AO50" s="284" t="str">
        <x:f t="shared" si="1"/>
        <x:v>23</x:v>
      </x:c>
      <x:c r="AP50" s="1202" t="b">
        <x:v>0</x:v>
      </x:c>
      <x:c r="AQ50" s="236"/>
    </x:row>
    <x:row r="51" spans="1:43" ht="14.1" customHeight="1" x14ac:dyDescent="0.2">
      <x:c r="A51" s="2030" t="s">
        <x:v>1665</x:v>
      </x:c>
      <x:c r="B51" s="2031" t="s">
        <x:v>147</x:v>
      </x:c>
      <x:c r="C51" s="2031" t="s">
        <x:v>168</x:v>
      </x:c>
      <x:c r="D51" s="2031" t="s">
        <x:v>146</x:v>
      </x:c>
      <x:c r="E51" s="2032"/>
      <x:c r="F51" s="2033">
        <x:v>625</x:v>
      </x:c>
      <x:c r="G51" s="2034">
        <x:v>41</x:v>
      </x:c>
      <x:c r="H51" s="2035">
        <x:v>9.75</x:v>
      </x:c>
      <x:c r="I51" s="2033"/>
      <x:c r="J51" s="2034"/>
      <x:c r="K51" s="2035"/>
      <x:c r="L51" s="2036" t="s">
        <x:v>740</x:v>
      </x:c>
      <x:c r="M51" s="2036" t="s">
        <x:v>117</x:v>
      </x:c>
      <x:c r="N51" s="2038" t="s">
        <x:v>1653</x:v>
      </x:c>
      <x:c r="O51" s="2029"/>
      <x:c r="P51" s="2029"/>
      <x:c r="R51" s="295" t="b">
        <x:f t="shared" si="0"/>
        <x:v>0</x:v>
      </x:c>
      <x:c r="AO51" s="284" t="str">
        <x:f t="shared" si="1"/>
        <x:v>24</x:v>
      </x:c>
      <x:c r="AP51" s="1202" t="b">
        <x:v>0</x:v>
      </x:c>
      <x:c r="AQ51" s="236"/>
    </x:row>
    <x:row r="52" spans="1:43" ht="14.1" customHeight="1" x14ac:dyDescent="0.2">
      <x:c r="A52" s="2030"/>
      <x:c r="B52" s="2031" t="s">
        <x:v>147</x:v>
      </x:c>
      <x:c r="C52" s="2031" t="s">
        <x:v>168</x:v>
      </x:c>
      <x:c r="D52" s="2031" t="s">
        <x:v>146</x:v>
      </x:c>
      <x:c r="E52" s="2032"/>
      <x:c r="F52" s="2033">
        <x:v>-625</x:v>
      </x:c>
      <x:c r="G52" s="2034">
        <x:v>41</x:v>
      </x:c>
      <x:c r="H52" s="2035">
        <x:v>9.75</x:v>
      </x:c>
      <x:c r="I52" s="2033"/>
      <x:c r="J52" s="2034"/>
      <x:c r="K52" s="2035"/>
      <x:c r="L52" s="2036" t="s">
        <x:v>740</x:v>
      </x:c>
      <x:c r="M52" s="2036" t="s">
        <x:v>850</x:v>
      </x:c>
      <x:c r="N52" s="2038" t="s">
        <x:v>117</x:v>
      </x:c>
      <x:c r="O52" s="2029"/>
      <x:c r="P52" s="2029"/>
      <x:c r="R52" s="295" t="b">
        <x:f t="shared" si="0"/>
        <x:v>0</x:v>
      </x:c>
      <x:c r="AO52" s="284" t="str">
        <x:f t="shared" si="1"/>
        <x:v>24</x:v>
      </x:c>
      <x:c r="AP52" s="1202" t="b">
        <x:v>0</x:v>
      </x:c>
      <x:c r="AQ52" s="236"/>
    </x:row>
    <x:row r="53" spans="1:43" ht="14.1" customHeight="1" x14ac:dyDescent="0.2">
      <x:c r="A53" s="2030"/>
      <x:c r="B53" s="2031"/>
      <x:c r="C53" s="2031"/>
      <x:c r="D53" s="2031"/>
      <x:c r="E53" s="2032"/>
      <x:c r="F53" s="2033"/>
      <x:c r="G53" s="2034"/>
      <x:c r="H53" s="2035"/>
      <x:c r="I53" s="2033"/>
      <x:c r="J53" s="2034"/>
      <x:c r="K53" s="2035"/>
      <x:c r="L53" s="2036"/>
      <x:c r="M53" s="2036"/>
      <x:c r="N53" s="2038" t="s">
        <x:v>117</x:v>
      </x:c>
      <x:c r="O53" s="2029"/>
      <x:c r="P53" s="2029"/>
      <x:c r="R53" s="295" t="b">
        <x:f t="shared" si="0"/>
        <x:v>0</x:v>
      </x:c>
      <x:c r="AO53" s="284" t="str">
        <x:f t="shared" si="1"/>
        <x:v>24</x:v>
      </x:c>
      <x:c r="AP53" s="1202" t="b">
        <x:v>0</x:v>
      </x:c>
      <x:c r="AQ53" s="236"/>
    </x:row>
    <x:row r="54" spans="1:43" ht="14.1" customHeight="1" x14ac:dyDescent="0.2">
      <x:c r="A54" s="2030"/>
      <x:c r="B54" s="2031"/>
      <x:c r="C54" s="2031"/>
      <x:c r="D54" s="2031"/>
      <x:c r="E54" s="2032"/>
      <x:c r="F54" s="2033"/>
      <x:c r="G54" s="2034"/>
      <x:c r="H54" s="2035"/>
      <x:c r="I54" s="2033"/>
      <x:c r="J54" s="2034"/>
      <x:c r="K54" s="2035"/>
      <x:c r="L54" s="2036"/>
      <x:c r="M54" s="2036"/>
      <x:c r="N54" s="2038" t="s">
        <x:v>117</x:v>
      </x:c>
      <x:c r="O54" s="2029"/>
      <x:c r="P54" s="2029"/>
      <x:c r="R54" s="295" t="b">
        <x:f t="shared" si="0"/>
        <x:v>0</x:v>
      </x:c>
      <x:c r="AO54" s="284" t="str">
        <x:f t="shared" si="1"/>
        <x:v>24</x:v>
      </x:c>
      <x:c r="AP54" s="1202" t="b">
        <x:v>0</x:v>
      </x:c>
      <x:c r="AQ54" s="236"/>
    </x:row>
    <x:row r="55" spans="1:43" ht="14.1" customHeight="1" x14ac:dyDescent="0.2">
      <x:c r="A55" s="2041"/>
      <x:c r="B55" s="2042"/>
      <x:c r="C55" s="2042"/>
      <x:c r="D55" s="2042"/>
      <x:c r="E55" s="2043"/>
      <x:c r="F55" s="2044"/>
      <x:c r="G55" s="2045"/>
      <x:c r="H55" s="2046"/>
      <x:c r="I55" s="2044"/>
      <x:c r="J55" s="2045"/>
      <x:c r="K55" s="2046"/>
      <x:c r="L55" s="2047"/>
      <x:c r="M55" s="2047"/>
      <x:c r="N55" s="2048"/>
      <x:c r="O55" s="2029"/>
      <x:c r="P55" s="2029"/>
      <x:c r="R55" s="295" t="b">
        <x:f t="shared" si="0"/>
        <x:v>0</x:v>
      </x:c>
      <x:c r="AO55" s="284" t="str">
        <x:f t="shared" si="1"/>
        <x:v>24</x:v>
      </x:c>
      <x:c r="AP55" s="1202" t="b">
        <x:v>0</x:v>
      </x:c>
      <x:c r="AQ55" s="236"/>
    </x:row>
    <x:row r="56" spans="1:43" ht="15.95" customHeight="1" x14ac:dyDescent="0.2">
      <x:c r="J56" s="449"/>
      <x:c r="K56" s="449"/>
      <x:c r="O56" s="449"/>
      <x:c r="P56" s="449"/>
    </x:row>
    <x:row r="57" spans="1:43" ht="15.95" customHeight="1" x14ac:dyDescent="0.2"/>
    <x:row r="58" spans="1:43" ht="15.95" customHeight="1" x14ac:dyDescent="0.2"/>
    <x:row r="59" spans="1:43" ht="15.95" customHeight="1" x14ac:dyDescent="0.2">
      <x:c r="A59" s="973" t="s">
        <x:v>1062</x:v>
      </x:c>
    </x:row>
    <x:row r="60" spans="1:43" ht="15.95" hidden="1" customHeight="1" x14ac:dyDescent="0.2">
      <x:c r="A60" s="1128" t="s">
        <x:v>113</x:v>
      </x:c>
    </x:row>
    <x:row r="61" spans="1:43" ht="15.95" hidden="1" customHeight="1" x14ac:dyDescent="0.2">
      <x:c r="A61" s="1130" t="s">
        <x:v>2007</x:v>
      </x:c>
    </x:row>
    <x:row r="62" spans="1:43" ht="15.95" hidden="1" customHeight="1" x14ac:dyDescent="0.2"/>
    <x:row r="63" spans="1:43" hidden="1" x14ac:dyDescent="0.2"/>
    <x:row r="64" spans="1:43" hidden="1" x14ac:dyDescent="0.2"/>
    <x:row r="65" spans="1:1" x14ac:dyDescent="0.2">
      <x:c r="A65" s="973" t="s">
        <x:v>1063</x:v>
      </x:c>
    </x:row>
  </x:sheetData>
  <x:sheetProtection algorithmName="SHA-512" hashValue="hJVCpHt/B+vaUBefGJBbNs3O1ZJma7AiBvtVDLt3tnm4OMNwsE9MAzwXqXvk+2a3HVeBEP+RWY1+GqD7uZGsig==" saltValue="xiBa1fVBleVMzkpqK3Rtwg==" spinCount="100000" sheet="1" objects="1" scenarios="1" selectLockedCells="1"/>
  <x:mergeCells count="17">
    <x:mergeCell ref="I1:K1"/>
    <x:mergeCell ref="I2:K3"/>
    <x:mergeCell ref="I4:K4"/>
    <x:mergeCell ref="A5:J5"/>
    <x:mergeCell ref="B9:H9"/>
    <x:mergeCell ref="K9:N9"/>
    <x:mergeCell ref="M12:M13"/>
    <x:mergeCell ref="N12:N13"/>
    <x:mergeCell ref="G13:H13"/>
    <x:mergeCell ref="J13:K13"/>
    <x:mergeCell ref="B10:H10"/>
    <x:mergeCell ref="I10:J10"/>
    <x:mergeCell ref="K10:L10"/>
    <x:mergeCell ref="A12:E12"/>
    <x:mergeCell ref="F12:H12"/>
    <x:mergeCell ref="I12:K12"/>
    <x:mergeCell ref="L12:L13"/>
  </x:mergeCells>
  <x:conditionalFormatting sqref="F14:F55">
    <x:cfRule type="expression" dxfId="1477" priority="2" stopIfTrue="1">
      <x:formula>AND($B14="NU",F14&lt;0)</x:formula>
    </x:cfRule>
  </x:conditionalFormatting>
  <x:conditionalFormatting sqref="B14:B55">
    <x:cfRule type="expression" dxfId="1476" priority="3" stopIfTrue="1">
      <x:formula>OR(AND($B14="NU",F14&lt;0),AND($B14="NU",I14&lt;0))</x:formula>
    </x:cfRule>
  </x:conditionalFormatting>
  <x:conditionalFormatting sqref="G14:H55 J14:L55">
    <x:cfRule type="expression" dxfId="1475" priority="4" stopIfTrue="1">
      <x:formula>$R14</x:formula>
    </x:cfRule>
  </x:conditionalFormatting>
  <x:conditionalFormatting sqref="I2:K4">
    <x:cfRule type="cellIs" dxfId="1474" priority="5" stopIfTrue="1" operator="equal">
      <x:formula>""</x:formula>
    </x:cfRule>
  </x:conditionalFormatting>
  <x:conditionalFormatting sqref="I14:I55">
    <x:cfRule type="expression" dxfId="1473" priority="6" stopIfTrue="1">
      <x:formula>OR($R14,$B14="CZ",AND($B14="NU",I14&lt;0))</x:formula>
    </x:cfRule>
  </x:conditionalFormatting>
  <x:conditionalFormatting sqref="A14:P55">
    <x:cfRule type="expression" dxfId="1472" priority="1" stopIfTrue="1">
      <x:formula>$AP14</x:formula>
    </x:cfRule>
  </x:conditionalFormatting>
  <x:dataValidations count="6">
    <x:dataValidation type="list" allowBlank="1" showErrorMessage="1" errorTitle="Invalid Category" error="You MUST select a Category from the dropdown list provided._x000a__x000a_Also, make sure your Cap Lock is turned on." sqref="C14">
      <x:formula1>OFFSET($S$16,0,MATCH($B14,Type,0)-1,OFFSET($S$30,0,MATCH($B14,Type,0)-1))</x:formula1>
    </x:dataValidation>
    <x:dataValidation type="list" allowBlank="1" showErrorMessage="1" errorTitle="Invalid Category" error="You MUST select a Category from the dropdown list provided._x000a__x000a_Also, make sure your Cap Lock is turned on." sqref="C15:C55">
      <x:formula1>OFFSET($S$16,0,MATCH($B15,Type,0)-1,OFFSET($S$30,0,MATCH($B15,Type,0)-1,1),1)</x:formula1>
    </x:dataValidation>
    <x:dataValidation type="list" allowBlank="1" showErrorMessage="1" errorTitle="Invalid Position" error="You MUST select a Position from the dropdown list provided._x000a__x000a_Also, make sure your Cap Lock is turned on." sqref="D14:D55">
      <x:formula1>OFFSET($AH$16,0,OFFSET($S$14,0,MATCH($B14,Type,0)-1),OFFSET($AH$30,0, OFFSET($S$14,0,MATCH($B14,Type,0)-1)))</x:formula1>
    </x:dataValidation>
    <x:dataValidation allowBlank="1" showInputMessage="1" errorTitle="Invalid Load Case" error="You MUST use a Load Case from the list provided." sqref="M14:M55"/>
    <x:dataValidation type="list" allowBlank="1" showErrorMessage="1" errorTitle="Invalid Reference Location" error="You MUST select a Reference Location from the dropdown list provided._x000a__x000a_Also, make sure your Cap Lock is turned on." sqref="L14:L55">
      <x:formula1>IF($AL$14,$AL$16:$AL$21,$AM$16:$AM$19)</x:formula1>
    </x:dataValidation>
    <x:dataValidation type="list" allowBlank="1" showErrorMessage="1" errorTitle="Invalid Type" error="You MUST select a Type from the dropdown list provided._x000a__x000a_Also, make sure your Cap Lock is turned on." sqref="B14:B55">
      <x:formula1>$S$15:$AD$15</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legacyDrawing r:id="rId3"/>
</x:worksheet>
</file>

<file path=xl/worksheets/sheet3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3">
    <x:tabColor indexed="45"/>
  </x:sheetPr>
  <x:dimension ref="A1:AS65"/>
  <x:sheetViews>
    <x:sheetView showGridLines="0" zoomScaleNormal="100" zoomScaleSheetLayoutView="100" workbookViewId="0">
      <x:selection activeCell="N7" sqref="N7"/>
    </x:sheetView>
  </x:sheetViews>
  <x:sheetFormatPr defaultRowHeight="11.25" x14ac:dyDescent="0.2"/>
  <x:cols>
    <x:col min="1" max="1" width="7.7109375" style="295" customWidth="1"/>
    <x:col min="2" max="4" width="6.7109375" style="295" customWidth="1"/>
    <x:col min="5" max="5" width="6.7109375" style="295" hidden="1" customWidth="1"/>
    <x:col min="6" max="6" width="7.7109375" style="295" customWidth="1"/>
    <x:col min="7" max="7" width="3.7109375" style="295" customWidth="1"/>
    <x:col min="8" max="8" width="5.7109375" style="295" customWidth="1"/>
    <x:col min="9" max="9" width="7.7109375" style="295" customWidth="1"/>
    <x:col min="10" max="10" width="3.7109375" style="295" customWidth="1"/>
    <x:col min="11" max="12" width="5.7109375" style="295" customWidth="1"/>
    <x:col min="13" max="13" width="11.7109375" style="295" customWidth="1"/>
    <x:col min="14" max="14" width="22.7109375" style="295" customWidth="1"/>
    <x:col min="15" max="15" width="7.7109375" style="295" customWidth="1"/>
    <x:col min="16" max="16" width="7.7109375" style="295" hidden="1" customWidth="1"/>
    <x:col min="17" max="40" width="6.7109375" style="295" hidden="1" customWidth="1"/>
    <x:col min="41" max="43" width="9.140625" style="475" hidden="1" customWidth="1"/>
    <x:col min="44" max="16384" width="9.140625" style="295"/>
  </x:cols>
  <x:sheetData>
    <x:row r="1" spans="1:44" s="449" customFormat="1" ht="14.45" customHeight="1" thickBot="1" x14ac:dyDescent="0.25">
      <x:c r="A1" s="444"/>
      <x:c r="B1" s="444"/>
      <x:c r="C1" s="444"/>
      <x:c r="D1" s="444"/>
      <x:c r="E1" s="444"/>
      <x:c r="F1" s="444"/>
      <x:c r="G1" s="444"/>
      <x:c r="H1" s="576"/>
      <x:c r="I1" s="2227" t="str">
        <x:f>IF(S1="","",VLOOKUP(S1,'Job Info.'!X:AA,4,FALSE))</x:f>
        <x:v>Master</x:v>
      </x:c>
      <x:c r="J1" s="2227"/>
      <x:c r="K1" s="2227"/>
      <x:c r="L1" s="445"/>
      <x:c r="M1" s="445" t="s">
        <x:v>96</x:v>
      </x:c>
      <x:c r="N1" s="1827" t="str">
        <x:f ca="1">'Job Info.'!D12</x:f>
        <x:v>775-428-0600</x:v>
      </x:c>
      <x:c r="O1" s="578" t="s">
        <x:v>763</x:v>
      </x:c>
      <x:c r="P1" s="1358"/>
      <x:c r="S1" s="448" t="str">
        <x:f>'Job Info.'!Q30</x:f>
        <x:v>M</x:v>
      </x:c>
      <x:c r="T1" s="448" t="b">
        <x:f>'Job Info.'!Q32</x:f>
        <x:v>0</x:v>
      </x:c>
      <x:c r="AO1" s="448"/>
      <x:c r="AP1" s="448"/>
      <x:c r="AQ1" s="448"/>
      <x:c r="AR1" s="579" t="s">
        <x:v>764</x:v>
      </x:c>
    </x:row>
    <x:row r="2" spans="1:44" s="449" customFormat="1" ht="12.95" customHeight="1" thickTop="1" x14ac:dyDescent="0.2">
      <x:c r="A2" s="444"/>
      <x:c r="B2" s="444"/>
      <x:c r="C2" s="444"/>
      <x:c r="D2" s="444"/>
      <x:c r="E2" s="444"/>
      <x:c r="F2" s="444"/>
      <x:c r="G2" s="444"/>
      <x:c r="H2" s="576"/>
      <x:c r="I2" s="2228" t="str">
        <x:f>IF(S1="","",IF(VLOOKUP(S1,'Job Info.'!X:Z,2,FALSE),"Released for Fabrication",""))</x:f>
        <x:v/>
      </x:c>
      <x:c r="J2" s="2229"/>
      <x:c r="K2" s="2230"/>
      <x:c r="L2" s="445"/>
      <x:c r="M2" s="445" t="s">
        <x:v>97</x:v>
      </x:c>
      <x:c r="N2" s="1827" t="str">
        <x:f ca="1">'Job Info.'!D13</x:f>
        <x:v>775-867-2140</x:v>
      </x:c>
      <x:c r="O2" s="1358"/>
      <x:c r="P2" s="1358"/>
      <x:c r="AO2" s="448"/>
      <x:c r="AP2" s="448"/>
      <x:c r="AQ2" s="448"/>
    </x:row>
    <x:row r="3" spans="1:44" s="449" customFormat="1" ht="12.95" customHeight="1" x14ac:dyDescent="0.2">
      <x:c r="A3" s="444"/>
      <x:c r="B3" s="444"/>
      <x:c r="C3" s="444"/>
      <x:c r="D3" s="444"/>
      <x:c r="E3" s="444"/>
      <x:c r="F3" s="444"/>
      <x:c r="G3" s="444"/>
      <x:c r="H3" s="576"/>
      <x:c r="I3" s="2231"/>
      <x:c r="J3" s="2232"/>
      <x:c r="K3" s="2233"/>
      <x:c r="L3" s="445"/>
      <x:c r="M3" s="445" t="s">
        <x:v>99</x:v>
      </x:c>
      <x:c r="N3" s="1827" t="str">
        <x:f ca="1">'Job Info.'!D14</x:f>
        <x:v>775-867-2169</x:v>
      </x:c>
      <x:c r="O3" s="1358"/>
      <x:c r="P3" s="1358"/>
      <x:c r="AO3" s="448"/>
      <x:c r="AP3" s="448"/>
      <x:c r="AQ3" s="448"/>
    </x:row>
    <x:row r="4" spans="1:44" s="449" customFormat="1" ht="12.95" customHeight="1" thickBot="1" x14ac:dyDescent="0.25">
      <x:c r="A4" s="444"/>
      <x:c r="B4" s="444"/>
      <x:c r="C4" s="444"/>
      <x:c r="D4" s="444"/>
      <x:c r="E4" s="444"/>
      <x:c r="F4" s="444"/>
      <x:c r="G4" s="444"/>
      <x:c r="H4" s="444"/>
      <x:c r="I4" s="2234" t="str">
        <x:f>IF(S1="","",IF(VLOOKUP(S1,'Job Info.'!X:Z,2,FALSE),VLOOKUP(S1,'Job Info.'!X:Z,3,FALSE),""))</x:f>
        <x:v/>
      </x:c>
      <x:c r="J4" s="2235"/>
      <x:c r="K4" s="2236"/>
      <x:c r="L4" s="445"/>
      <x:c r="M4" s="445" t="s">
        <x:v>98</x:v>
      </x:c>
      <x:c r="N4" s="1827" t="str">
        <x:f ca="1">'Job Info.'!D15</x:f>
        <x:v>775-867-2060</x:v>
      </x:c>
      <x:c r="O4" s="1358"/>
      <x:c r="P4" s="1358"/>
      <x:c r="AO4" s="448"/>
      <x:c r="AP4" s="448"/>
      <x:c r="AQ4" s="448"/>
    </x:row>
    <x:row r="5" spans="1:44" s="449" customFormat="1" ht="12.95" customHeight="1" thickTop="1" x14ac:dyDescent="0.2">
      <x:c r="A5" s="2237" t="str">
        <x:f ca="1">'Job Info.'!D11</x:f>
        <x:v>8200 Woolery Way | Fallon, NV 89406 | www.newmill.com</x:v>
      </x:c>
      <x:c r="B5" s="2238"/>
      <x:c r="C5" s="2238"/>
      <x:c r="D5" s="2238"/>
      <x:c r="E5" s="2238"/>
      <x:c r="F5" s="2238"/>
      <x:c r="G5" s="2238"/>
      <x:c r="H5" s="2238"/>
      <x:c r="I5" s="2238"/>
      <x:c r="J5" s="2238"/>
      <x:c r="K5" s="444"/>
      <x:c r="L5" s="444"/>
      <x:c r="M5" s="444"/>
      <x:c r="N5" s="444"/>
      <x:c r="O5" s="1358"/>
      <x:c r="P5" s="1358"/>
      <x:c r="AO5" s="448"/>
      <x:c r="AP5" s="448"/>
      <x:c r="AQ5" s="448"/>
    </x:row>
    <x:row r="6" spans="1:44" s="449" customFormat="1" ht="12.95" customHeight="1" x14ac:dyDescent="0.2">
      <x:c r="A6" s="444"/>
      <x:c r="B6" s="444"/>
      <x:c r="C6" s="444"/>
      <x:c r="D6" s="444"/>
      <x:c r="E6" s="444"/>
      <x:c r="F6" s="444"/>
      <x:c r="G6" s="444"/>
      <x:c r="H6" s="444"/>
      <x:c r="I6" s="444"/>
      <x:c r="J6" s="444"/>
      <x:c r="K6" s="444"/>
      <x:c r="L6" s="444"/>
      <x:c r="M6" s="1836" t="s">
        <x:v>20</x:v>
      </x:c>
      <x:c r="N6" s="1828">
        <x:f>IF(ISBLANK('Job Info.'!D8),"",'Job Info.'!D8)</x:f>
        <x:v>43406</x:v>
      </x:c>
      <x:c r="O6" s="1359"/>
      <x:c r="P6" s="1392" t="s">
        <x:v>1180</x:v>
      </x:c>
      <x:c r="T6" s="780"/>
      <x:c r="AO6" s="448"/>
      <x:c r="AP6" s="448"/>
      <x:c r="AQ6" s="448"/>
    </x:row>
    <x:row r="7" spans="1:44" ht="12.95" customHeight="1" x14ac:dyDescent="0.2">
      <x:c r="A7" s="472" t="s">
        <x:v>43</x:v>
      </x:c>
      <x:c r="B7" s="473"/>
      <x:c r="C7" s="473"/>
      <x:c r="D7" s="473"/>
      <x:c r="E7" s="473"/>
      <x:c r="F7" s="473"/>
      <x:c r="G7" s="444"/>
      <x:c r="H7" s="444"/>
      <x:c r="I7" s="444"/>
      <x:c r="J7" s="444"/>
      <x:c r="K7" s="444"/>
      <x:c r="L7" s="444"/>
      <x:c r="M7" s="1835" t="s">
        <x:v>21</x:v>
      </x:c>
      <x:c r="N7" s="1934" t="str">
        <x:f>CONCATENATE(P7, " of ",IF(ISBLANK('Job Info.'!D9),"",'Job Info.'!D9))</x:f>
        <x:v>9 of 42</x:v>
      </x:c>
      <x:c r="O7" s="1271"/>
      <x:c r="P7" s="1393">
        <x:v>9</x:v>
      </x:c>
      <x:c r="U7" s="449"/>
      <x:c r="V7" s="777"/>
    </x:row>
    <x:row r="8" spans="1:44" ht="3.95" customHeight="1" x14ac:dyDescent="0.2">
      <x:c r="A8" s="473"/>
      <x:c r="B8" s="473"/>
      <x:c r="C8" s="473"/>
      <x:c r="D8" s="473"/>
      <x:c r="E8" s="473"/>
      <x:c r="F8" s="473"/>
      <x:c r="G8" s="473"/>
      <x:c r="H8" s="473"/>
      <x:c r="I8" s="473"/>
      <x:c r="J8" s="473"/>
      <x:c r="K8" s="473"/>
      <x:c r="L8" s="473"/>
      <x:c r="M8" s="473"/>
      <x:c r="N8" s="473"/>
      <x:c r="O8" s="1271"/>
      <x:c r="P8" s="1271"/>
    </x:row>
    <x:row r="9" spans="1:44" ht="12.6" customHeight="1" x14ac:dyDescent="0.2">
      <x:c r="A9" s="1830" t="s">
        <x:v>1</x:v>
      </x:c>
      <x:c r="B9" s="2225" t="str">
        <x:f>IF(ISBLANK('Job Info.'!D3),"",'Job Info.'!D3)</x:f>
        <x:v>SUNPOINT CROSSING</x:v>
      </x:c>
      <x:c r="C9" s="2225"/>
      <x:c r="D9" s="2225"/>
      <x:c r="E9" s="2225"/>
      <x:c r="F9" s="2225"/>
      <x:c r="G9" s="2225"/>
      <x:c r="H9" s="2226"/>
      <x:c r="I9" s="560"/>
      <x:c r="J9" s="1825" t="s">
        <x:v>2</x:v>
      </x:c>
      <x:c r="K9" s="2225" t="str">
        <x:f>IF(ISBLANK('Job Info.'!D5),"",'Job Info.'!D5)</x:f>
        <x:v>9118-0062</x:v>
      </x:c>
      <x:c r="L9" s="2242"/>
      <x:c r="M9" s="2242"/>
      <x:c r="N9" s="2243"/>
      <x:c r="O9" s="1360"/>
      <x:c r="P9" s="1360"/>
      <x:c r="V9" s="778"/>
    </x:row>
    <x:row r="10" spans="1:44" ht="12.6" customHeight="1" x14ac:dyDescent="0.2">
      <x:c r="A10" s="1830" t="s">
        <x:v>3</x:v>
      </x:c>
      <x:c r="B10" s="2225" t="str">
        <x:f>IF(ISBLANK('Job Info.'!D4),"",'Job Info.'!D4)</x:f>
        <x:v>LAS VEGAS, NV</x:v>
      </x:c>
      <x:c r="C10" s="2225"/>
      <x:c r="D10" s="2225"/>
      <x:c r="E10" s="2225"/>
      <x:c r="F10" s="2225"/>
      <x:c r="G10" s="2225"/>
      <x:c r="H10" s="2226"/>
      <x:c r="I10" s="2239" t="s">
        <x:v>22</x:v>
      </x:c>
      <x:c r="J10" s="2239"/>
      <x:c r="K10" s="2225" t="str">
        <x:f>IF(ISBLANK('Job Info.'!D6),"",'Job Info.'!D6)</x:f>
        <x:v>CJA</x:v>
      </x:c>
      <x:c r="L10" s="2226"/>
      <x:c r="M10" s="1830" t="s">
        <x:v>23</x:v>
      </x:c>
      <x:c r="N10" s="1823" t="str">
        <x:f>IF(ISBLANK('Job Info.'!D7),"",'Job Info.'!D7)</x:f>
        <x:v>LS</x:v>
      </x:c>
      <x:c r="O10" s="1360"/>
      <x:c r="P10" s="1360"/>
      <x:c r="W10" s="779"/>
    </x:row>
    <x:row r="11" spans="1:44" ht="3.95" customHeight="1" x14ac:dyDescent="0.2">
      <x:c r="A11" s="1396"/>
      <x:c r="B11" s="473"/>
      <x:c r="C11" s="473"/>
      <x:c r="D11" s="473"/>
      <x:c r="E11" s="473"/>
      <x:c r="F11" s="473"/>
      <x:c r="G11" s="473"/>
      <x:c r="H11" s="473"/>
      <x:c r="I11" s="473"/>
      <x:c r="J11" s="473"/>
      <x:c r="K11" s="473"/>
      <x:c r="L11" s="473"/>
      <x:c r="M11" s="473"/>
      <x:c r="N11" s="473"/>
      <x:c r="O11" s="1358"/>
      <x:c r="P11" s="1358"/>
    </x:row>
    <x:row r="12" spans="1:44" s="570" customFormat="1" ht="14.1" customHeight="1" x14ac:dyDescent="0.2">
      <x:c r="A12" s="2244" t="s">
        <x:v>78</x:v>
      </x:c>
      <x:c r="B12" s="2245"/>
      <x:c r="C12" s="2245"/>
      <x:c r="D12" s="2245"/>
      <x:c r="E12" s="2246"/>
      <x:c r="F12" s="2244" t="s">
        <x:v>50</x:v>
      </x:c>
      <x:c r="G12" s="2245"/>
      <x:c r="H12" s="2250"/>
      <x:c r="I12" s="2244" t="s">
        <x:v>51</x:v>
      </x:c>
      <x:c r="J12" s="2245"/>
      <x:c r="K12" s="2250"/>
      <x:c r="L12" s="2240" t="s">
        <x:v>52</x:v>
      </x:c>
      <x:c r="M12" s="2251" t="s">
        <x:v>782</x:v>
      </x:c>
      <x:c r="N12" s="2240" t="s">
        <x:v>53</x:v>
      </x:c>
      <x:c r="O12" s="1395"/>
      <x:c r="P12" s="1395"/>
      <x:c r="AO12" s="980" t="s">
        <x:v>1016</x:v>
      </x:c>
      <x:c r="AP12" s="1201" t="s">
        <x:v>171</x:v>
      </x:c>
      <x:c r="AQ12" s="571"/>
    </x:row>
    <x:row r="13" spans="1:44" s="570" customFormat="1" ht="14.1" customHeight="1" x14ac:dyDescent="0.2">
      <x:c r="A13" s="1338" t="s">
        <x:v>47</x:v>
      </x:c>
      <x:c r="B13" s="1826" t="s">
        <x:v>17</x:v>
      </x:c>
      <x:c r="C13" s="1826" t="s">
        <x:v>46</x:v>
      </x:c>
      <x:c r="D13" s="1826" t="s">
        <x:v>79</x:v>
      </x:c>
      <x:c r="E13" s="1340" t="s">
        <x:v>45</x:v>
      </x:c>
      <x:c r="F13" s="1338" t="s">
        <x:v>48</x:v>
      </x:c>
      <x:c r="G13" s="2248" t="s">
        <x:v>49</x:v>
      </x:c>
      <x:c r="H13" s="2249"/>
      <x:c r="I13" s="1338" t="s">
        <x:v>48</x:v>
      </x:c>
      <x:c r="J13" s="2248" t="s">
        <x:v>49</x:v>
      </x:c>
      <x:c r="K13" s="2249"/>
      <x:c r="L13" s="2247"/>
      <x:c r="M13" s="2252"/>
      <x:c r="N13" s="2241"/>
      <x:c r="O13" s="1395"/>
      <x:c r="P13" s="1395"/>
      <x:c r="AQ13" s="980"/>
    </x:row>
    <x:row r="14" spans="1:44" ht="14.1" customHeight="1" x14ac:dyDescent="0.2">
      <x:c r="A14" s="2020" t="s">
        <x:v>1665</x:v>
      </x:c>
      <x:c r="B14" s="2021" t="s">
        <x:v>158</x:v>
      </x:c>
      <x:c r="C14" s="2021" t="s">
        <x:v>168</x:v>
      </x:c>
      <x:c r="D14" s="2021" t="s">
        <x:v>146</x:v>
      </x:c>
      <x:c r="E14" s="2022"/>
      <x:c r="F14" s="2023">
        <x:v>1075</x:v>
      </x:c>
      <x:c r="G14" s="2024"/>
      <x:c r="H14" s="2025"/>
      <x:c r="I14" s="2023"/>
      <x:c r="J14" s="2024"/>
      <x:c r="K14" s="2025"/>
      <x:c r="L14" s="2026" t="s">
        <x:v>117</x:v>
      </x:c>
      <x:c r="M14" s="2027" t="s">
        <x:v>117</x:v>
      </x:c>
      <x:c r="N14" s="2028" t="s">
        <x:v>117</x:v>
      </x:c>
      <x:c r="O14" s="2029"/>
      <x:c r="P14" s="2029"/>
      <x:c r="R14" s="295" t="b">
        <x:f>OR(B14="CP",B14="CA", B14="AX",B14="M",B14="S")</x:f>
        <x:v>1</x:v>
      </x:c>
      <x:c r="S14" s="475">
        <x:v>1</x:v>
      </x:c>
      <x:c r="T14" s="475">
        <x:v>0</x:v>
      </x:c>
      <x:c r="U14" s="475">
        <x:v>0</x:v>
      </x:c>
      <x:c r="V14" s="475">
        <x:v>1</x:v>
      </x:c>
      <x:c r="W14" s="475">
        <x:v>0</x:v>
      </x:c>
      <x:c r="X14" s="475">
        <x:v>0</x:v>
      </x:c>
      <x:c r="Y14" s="475">
        <x:v>0</x:v>
      </x:c>
      <x:c r="Z14" s="475">
        <x:v>0</x:v>
      </x:c>
      <x:c r="AA14" s="475">
        <x:v>0</x:v>
      </x:c>
      <x:c r="AB14" s="475">
        <x:v>0</x:v>
      </x:c>
      <x:c r="AC14" s="475">
        <x:v>2</x:v>
      </x:c>
      <x:c r="AD14" s="475">
        <x:v>3</x:v>
      </x:c>
      <x:c r="AE14" s="475">
        <x:v>0</x:v>
      </x:c>
      <x:c r="AF14" s="475">
        <x:v>0</x:v>
      </x:c>
      <x:c r="AG14" s="475">
        <x:v>0</x:v>
      </x:c>
      <x:c r="AL14" s="295" t="b">
        <x:v>1</x:v>
      </x:c>
      <x:c r="AO14" s="284" t="str">
        <x:f>IF(ISBLANK(A14),"",A14)</x:f>
        <x:v>24</x:v>
      </x:c>
      <x:c r="AP14" s="1202" t="b">
        <x:v>0</x:v>
      </x:c>
      <x:c r="AQ14" s="236"/>
    </x:row>
    <x:row r="15" spans="1:44" ht="14.1" customHeight="1" x14ac:dyDescent="0.2">
      <x:c r="A15" s="2030"/>
      <x:c r="B15" s="2031" t="s">
        <x:v>147</x:v>
      </x:c>
      <x:c r="C15" s="2031" t="s">
        <x:v>166</x:v>
      </x:c>
      <x:c r="D15" s="2031" t="s">
        <x:v>146</x:v>
      </x:c>
      <x:c r="E15" s="2032"/>
      <x:c r="F15" s="2033">
        <x:v>260</x:v>
      </x:c>
      <x:c r="G15" s="2034">
        <x:v>41</x:v>
      </x:c>
      <x:c r="H15" s="2035">
        <x:v>9.75</x:v>
      </x:c>
      <x:c r="I15" s="2033"/>
      <x:c r="J15" s="2034"/>
      <x:c r="K15" s="2035"/>
      <x:c r="L15" s="2036" t="s">
        <x:v>740</x:v>
      </x:c>
      <x:c r="M15" s="2037" t="s">
        <x:v>117</x:v>
      </x:c>
      <x:c r="N15" s="2038" t="s">
        <x:v>117</x:v>
      </x:c>
      <x:c r="O15" s="2029"/>
      <x:c r="P15" s="2029"/>
      <x:c r="R15" s="295" t="b">
        <x:f t="shared" ref="R15:R55" si="0">OR(B15="CP",B15="CA", B15="AX",B15="M",B15="S")</x:f>
        <x:v>0</x:v>
      </x:c>
      <x:c r="S15" s="678" t="s">
        <x:v>152</x:v>
      </x:c>
      <x:c r="T15" s="678" t="s">
        <x:v>145</x:v>
      </x:c>
      <x:c r="U15" s="678" t="s">
        <x:v>153</x:v>
      </x:c>
      <x:c r="V15" s="678" t="s">
        <x:v>149</x:v>
      </x:c>
      <x:c r="W15" s="678" t="s">
        <x:v>154</x:v>
      </x:c>
      <x:c r="X15" s="678" t="s">
        <x:v>155</x:v>
      </x:c>
      <x:c r="Y15" s="678" t="s">
        <x:v>156</x:v>
      </x:c>
      <x:c r="Z15" s="678" t="s">
        <x:v>147</x:v>
      </x:c>
      <x:c r="AA15" s="678" t="s">
        <x:v>157</x:v>
      </x:c>
      <x:c r="AB15" s="678" t="s">
        <x:v>158</x:v>
      </x:c>
      <x:c r="AC15" s="678" t="s">
        <x:v>119</x:v>
      </x:c>
      <x:c r="AD15" s="678" t="s">
        <x:v>159</x:v>
      </x:c>
      <x:c r="AE15" s="284"/>
      <x:c r="AF15" s="284"/>
      <x:c r="AG15" s="284"/>
      <x:c r="AH15" s="475">
        <x:v>0</x:v>
      </x:c>
      <x:c r="AI15" s="475">
        <x:v>1</x:v>
      </x:c>
      <x:c r="AJ15" s="475">
        <x:v>2</x:v>
      </x:c>
      <x:c r="AK15" s="475">
        <x:v>3</x:v>
      </x:c>
      <x:c r="AL15" s="475"/>
      <x:c r="AM15" s="475"/>
      <x:c r="AO15" s="284" t="str">
        <x:f>IF(ISBLANK(A15),AO14,A15)</x:f>
        <x:v>24</x:v>
      </x:c>
      <x:c r="AP15" s="1202" t="b">
        <x:v>0</x:v>
      </x:c>
      <x:c r="AQ15" s="236"/>
    </x:row>
    <x:row r="16" spans="1:44" ht="14.1" customHeight="1" x14ac:dyDescent="0.2">
      <x:c r="A16" s="2030" t="s">
        <x:v>1666</x:v>
      </x:c>
      <x:c r="B16" s="2031" t="s">
        <x:v>147</x:v>
      </x:c>
      <x:c r="C16" s="2031" t="s">
        <x:v>168</x:v>
      </x:c>
      <x:c r="D16" s="2031" t="s">
        <x:v>146</x:v>
      </x:c>
      <x:c r="E16" s="2032"/>
      <x:c r="F16" s="2033">
        <x:v>1080</x:v>
      </x:c>
      <x:c r="G16" s="2034">
        <x:v>18</x:v>
      </x:c>
      <x:c r="H16" s="2035">
        <x:v>4.75</x:v>
      </x:c>
      <x:c r="I16" s="2033"/>
      <x:c r="J16" s="2034"/>
      <x:c r="K16" s="2035"/>
      <x:c r="L16" s="2036" t="s">
        <x:v>740</x:v>
      </x:c>
      <x:c r="M16" s="2037" t="s">
        <x:v>117</x:v>
      </x:c>
      <x:c r="N16" s="2038" t="s">
        <x:v>1667</x:v>
      </x:c>
      <x:c r="O16" s="2029"/>
      <x:c r="P16" s="2029"/>
      <x:c r="R16" s="295" t="b">
        <x:f t="shared" si="0"/>
        <x:v>0</x:v>
      </x:c>
      <x:c r="S16" s="678" t="s">
        <x:v>148</x:v>
      </x:c>
      <x:c r="T16" s="678" t="s">
        <x:v>143</x:v>
      </x:c>
      <x:c r="U16" s="678" t="s">
        <x:v>143</x:v>
      </x:c>
      <x:c r="V16" s="678" t="s">
        <x:v>148</x:v>
      </x:c>
      <x:c r="W16" s="678" t="s">
        <x:v>148</x:v>
      </x:c>
      <x:c r="X16" s="678" t="s">
        <x:v>148</x:v>
      </x:c>
      <x:c r="Y16" s="678" t="s">
        <x:v>148</x:v>
      </x:c>
      <x:c r="Z16" s="678" t="s">
        <x:v>148</x:v>
      </x:c>
      <x:c r="AA16" s="678" t="s">
        <x:v>148</x:v>
      </x:c>
      <x:c r="AB16" s="678" t="s">
        <x:v>148</x:v>
      </x:c>
      <x:c r="AC16" s="678" t="s">
        <x:v>148</x:v>
      </x:c>
      <x:c r="AD16" s="678" t="s">
        <x:v>148</x:v>
      </x:c>
      <x:c r="AE16" s="284"/>
      <x:c r="AF16" s="284"/>
      <x:c r="AG16" s="284"/>
      <x:c r="AH16" s="284" t="s">
        <x:v>146</x:v>
      </x:c>
      <x:c r="AI16" s="284" t="s">
        <x:v>146</x:v>
      </x:c>
      <x:c r="AJ16" s="284" t="s">
        <x:v>169</x:v>
      </x:c>
      <x:c r="AK16" s="284" t="s">
        <x:v>146</x:v>
      </x:c>
      <x:c r="AL16" s="284" t="s">
        <x:v>740</x:v>
      </x:c>
      <x:c r="AM16" s="284" t="s">
        <x:v>740</x:v>
      </x:c>
      <x:c r="AN16" s="536" t="s">
        <x:v>783</x:v>
      </x:c>
      <x:c r="AO16" s="284" t="str">
        <x:f t="shared" ref="AO16:AO55" si="1">IF(ISBLANK(A16),AO15,A16)</x:f>
        <x:v>25</x:v>
      </x:c>
      <x:c r="AP16" s="1202" t="b">
        <x:v>0</x:v>
      </x:c>
      <x:c r="AQ16" s="236"/>
    </x:row>
    <x:row r="17" spans="1:43" ht="14.1" customHeight="1" x14ac:dyDescent="0.2">
      <x:c r="A17" s="2030"/>
      <x:c r="B17" s="2031" t="s">
        <x:v>147</x:v>
      </x:c>
      <x:c r="C17" s="2031" t="s">
        <x:v>168</x:v>
      </x:c>
      <x:c r="D17" s="2031" t="s">
        <x:v>146</x:v>
      </x:c>
      <x:c r="E17" s="2032"/>
      <x:c r="F17" s="2033">
        <x:v>-1080</x:v>
      </x:c>
      <x:c r="G17" s="2034">
        <x:v>18</x:v>
      </x:c>
      <x:c r="H17" s="2035">
        <x:v>4.75</x:v>
      </x:c>
      <x:c r="I17" s="2033"/>
      <x:c r="J17" s="2034"/>
      <x:c r="K17" s="2035"/>
      <x:c r="L17" s="2036" t="s">
        <x:v>740</x:v>
      </x:c>
      <x:c r="M17" s="2037" t="s">
        <x:v>850</x:v>
      </x:c>
      <x:c r="N17" s="2038" t="s">
        <x:v>117</x:v>
      </x:c>
      <x:c r="O17" s="2029"/>
      <x:c r="P17" s="2029"/>
      <x:c r="R17" s="295" t="b">
        <x:f t="shared" si="0"/>
        <x:v>0</x:v>
      </x:c>
      <x:c r="S17" s="678" t="s">
        <x:v>163</x:v>
      </x:c>
      <x:c r="T17" s="678" t="s">
        <x:v>168</x:v>
      </x:c>
      <x:c r="U17" s="678" t="s">
        <x:v>168</x:v>
      </x:c>
      <x:c r="V17" s="678" t="s">
        <x:v>163</x:v>
      </x:c>
      <x:c r="W17" s="678" t="s">
        <x:v>163</x:v>
      </x:c>
      <x:c r="X17" s="678" t="s">
        <x:v>163</x:v>
      </x:c>
      <x:c r="Y17" s="678" t="s">
        <x:v>163</x:v>
      </x:c>
      <x:c r="Z17" s="678" t="s">
        <x:v>163</x:v>
      </x:c>
      <x:c r="AA17" s="678" t="s">
        <x:v>163</x:v>
      </x:c>
      <x:c r="AB17" s="678" t="s">
        <x:v>163</x:v>
      </x:c>
      <x:c r="AC17" s="678" t="s">
        <x:v>163</x:v>
      </x:c>
      <x:c r="AD17" s="678" t="s">
        <x:v>163</x:v>
      </x:c>
      <x:c r="AE17" s="284"/>
      <x:c r="AF17" s="284"/>
      <x:c r="AG17" s="284"/>
      <x:c r="AH17" s="284" t="s">
        <x:v>160</x:v>
      </x:c>
      <x:c r="AI17" s="284" t="s">
        <x:v>160</x:v>
      </x:c>
      <x:c r="AJ17" s="284" t="s">
        <x:v>170</x:v>
      </x:c>
      <x:c r="AK17" s="284"/>
      <x:c r="AL17" s="284" t="s">
        <x:v>741</x:v>
      </x:c>
      <x:c r="AM17" s="284" t="s">
        <x:v>742</x:v>
      </x:c>
      <x:c r="AN17" s="536" t="s">
        <x:v>784</x:v>
      </x:c>
      <x:c r="AO17" s="284" t="str">
        <x:f t="shared" si="1"/>
        <x:v>25</x:v>
      </x:c>
      <x:c r="AP17" s="1202" t="b">
        <x:v>0</x:v>
      </x:c>
      <x:c r="AQ17" s="236"/>
    </x:row>
    <x:row r="18" spans="1:43" ht="14.1" customHeight="1" x14ac:dyDescent="0.2">
      <x:c r="A18" s="2030"/>
      <x:c r="B18" s="2031" t="s">
        <x:v>158</x:v>
      </x:c>
      <x:c r="C18" s="2031" t="s">
        <x:v>168</x:v>
      </x:c>
      <x:c r="D18" s="2031" t="s">
        <x:v>146</x:v>
      </x:c>
      <x:c r="E18" s="2032"/>
      <x:c r="F18" s="2033">
        <x:v>1850</x:v>
      </x:c>
      <x:c r="G18" s="2034"/>
      <x:c r="H18" s="2035"/>
      <x:c r="I18" s="2033"/>
      <x:c r="J18" s="2034"/>
      <x:c r="K18" s="2035"/>
      <x:c r="L18" s="2036" t="s">
        <x:v>117</x:v>
      </x:c>
      <x:c r="M18" s="2037" t="s">
        <x:v>117</x:v>
      </x:c>
      <x:c r="N18" s="2038" t="s">
        <x:v>117</x:v>
      </x:c>
      <x:c r="O18" s="2029"/>
      <x:c r="P18" s="2029"/>
      <x:c r="R18" s="295" t="b">
        <x:f t="shared" si="0"/>
        <x:v>1</x:v>
      </x:c>
      <x:c r="S18" s="678" t="s">
        <x:v>164</x:v>
      </x:c>
      <x:c r="T18" s="284"/>
      <x:c r="U18" s="284"/>
      <x:c r="V18" s="678" t="s">
        <x:v>164</x:v>
      </x:c>
      <x:c r="W18" s="678" t="s">
        <x:v>164</x:v>
      </x:c>
      <x:c r="X18" s="678" t="s">
        <x:v>164</x:v>
      </x:c>
      <x:c r="Y18" s="678" t="s">
        <x:v>164</x:v>
      </x:c>
      <x:c r="Z18" s="678" t="s">
        <x:v>164</x:v>
      </x:c>
      <x:c r="AA18" s="678" t="s">
        <x:v>164</x:v>
      </x:c>
      <x:c r="AB18" s="678" t="s">
        <x:v>164</x:v>
      </x:c>
      <x:c r="AC18" s="678" t="s">
        <x:v>164</x:v>
      </x:c>
      <x:c r="AD18" s="678" t="s">
        <x:v>164</x:v>
      </x:c>
      <x:c r="AE18" s="284"/>
      <x:c r="AF18" s="284"/>
      <x:c r="AG18" s="284"/>
      <x:c r="AH18" s="284"/>
      <x:c r="AI18" s="284" t="s">
        <x:v>161</x:v>
      </x:c>
      <x:c r="AJ18" s="284" t="s">
        <x:v>144</x:v>
      </x:c>
      <x:c r="AK18" s="284"/>
      <x:c r="AL18" s="284" t="s">
        <x:v>742</x:v>
      </x:c>
      <x:c r="AM18" s="284" t="s">
        <x:v>744</x:v>
      </x:c>
      <x:c r="AN18" s="536" t="s">
        <x:v>785</x:v>
      </x:c>
      <x:c r="AO18" s="284" t="str">
        <x:f t="shared" si="1"/>
        <x:v>25</x:v>
      </x:c>
      <x:c r="AP18" s="1202" t="b">
        <x:v>0</x:v>
      </x:c>
      <x:c r="AQ18" s="236"/>
    </x:row>
    <x:row r="19" spans="1:43" ht="14.1" customHeight="1" x14ac:dyDescent="0.2">
      <x:c r="A19" s="2030"/>
      <x:c r="B19" s="2031" t="s">
        <x:v>147</x:v>
      </x:c>
      <x:c r="C19" s="2031" t="s">
        <x:v>166</x:v>
      </x:c>
      <x:c r="D19" s="2031" t="s">
        <x:v>146</x:v>
      </x:c>
      <x:c r="E19" s="2032"/>
      <x:c r="F19" s="2033">
        <x:v>410</x:v>
      </x:c>
      <x:c r="G19" s="2034">
        <x:v>18</x:v>
      </x:c>
      <x:c r="H19" s="2035">
        <x:v>4.75</x:v>
      </x:c>
      <x:c r="I19" s="2033"/>
      <x:c r="J19" s="2034"/>
      <x:c r="K19" s="2035"/>
      <x:c r="L19" s="2036" t="s">
        <x:v>740</x:v>
      </x:c>
      <x:c r="M19" s="2037" t="s">
        <x:v>117</x:v>
      </x:c>
      <x:c r="N19" s="2038" t="s">
        <x:v>117</x:v>
      </x:c>
      <x:c r="O19" s="2029"/>
      <x:c r="P19" s="2029"/>
      <x:c r="R19" s="295" t="b">
        <x:f t="shared" si="0"/>
        <x:v>0</x:v>
      </x:c>
      <x:c r="S19" s="678" t="s">
        <x:v>143</x:v>
      </x:c>
      <x:c r="T19" s="284"/>
      <x:c r="U19" s="284"/>
      <x:c r="V19" s="678" t="s">
        <x:v>143</x:v>
      </x:c>
      <x:c r="W19" s="678" t="s">
        <x:v>143</x:v>
      </x:c>
      <x:c r="X19" s="678" t="s">
        <x:v>143</x:v>
      </x:c>
      <x:c r="Y19" s="678" t="s">
        <x:v>143</x:v>
      </x:c>
      <x:c r="Z19" s="678" t="s">
        <x:v>143</x:v>
      </x:c>
      <x:c r="AA19" s="678" t="s">
        <x:v>143</x:v>
      </x:c>
      <x:c r="AB19" s="678" t="s">
        <x:v>143</x:v>
      </x:c>
      <x:c r="AC19" s="678" t="s">
        <x:v>143</x:v>
      </x:c>
      <x:c r="AD19" s="678" t="s">
        <x:v>166</x:v>
      </x:c>
      <x:c r="AE19" s="284"/>
      <x:c r="AF19" s="284"/>
      <x:c r="AG19" s="284"/>
      <x:c r="AH19" s="284"/>
      <x:c r="AI19" s="284" t="s">
        <x:v>162</x:v>
      </x:c>
      <x:c r="AJ19" s="284"/>
      <x:c r="AK19" s="554"/>
      <x:c r="AL19" s="284" t="s">
        <x:v>743</x:v>
      </x:c>
      <x:c r="AM19" s="284" t="s">
        <x:v>745</x:v>
      </x:c>
      <x:c r="AN19" s="536" t="s">
        <x:v>786</x:v>
      </x:c>
      <x:c r="AO19" s="284" t="str">
        <x:f t="shared" si="1"/>
        <x:v>25</x:v>
      </x:c>
      <x:c r="AP19" s="1202" t="b">
        <x:v>0</x:v>
      </x:c>
      <x:c r="AQ19" s="236"/>
    </x:row>
    <x:row r="20" spans="1:43" ht="14.1" customHeight="1" x14ac:dyDescent="0.2">
      <x:c r="A20" s="2030" t="s">
        <x:v>1668</x:v>
      </x:c>
      <x:c r="B20" s="2031" t="s">
        <x:v>147</x:v>
      </x:c>
      <x:c r="C20" s="2031" t="s">
        <x:v>168</x:v>
      </x:c>
      <x:c r="D20" s="2031" t="s">
        <x:v>146</x:v>
      </x:c>
      <x:c r="E20" s="2032"/>
      <x:c r="F20" s="2033">
        <x:v>625</x:v>
      </x:c>
      <x:c r="G20" s="2034">
        <x:v>10</x:v>
      </x:c>
      <x:c r="H20" s="2035">
        <x:v>4</x:v>
      </x:c>
      <x:c r="I20" s="2033"/>
      <x:c r="J20" s="2034"/>
      <x:c r="K20" s="2035"/>
      <x:c r="L20" s="2036" t="s">
        <x:v>740</x:v>
      </x:c>
      <x:c r="M20" s="2037" t="s">
        <x:v>117</x:v>
      </x:c>
      <x:c r="N20" s="2039" t="s">
        <x:v>1653</x:v>
      </x:c>
      <x:c r="O20" s="2040"/>
      <x:c r="P20" s="2040"/>
      <x:c r="R20" s="295" t="b">
        <x:f t="shared" si="0"/>
        <x:v>0</x:v>
      </x:c>
      <x:c r="S20" s="678" t="s">
        <x:v>165</x:v>
      </x:c>
      <x:c r="T20" s="284"/>
      <x:c r="U20" s="284"/>
      <x:c r="V20" s="678" t="s">
        <x:v>166</x:v>
      </x:c>
      <x:c r="W20" s="678" t="s">
        <x:v>166</x:v>
      </x:c>
      <x:c r="X20" s="678" t="s">
        <x:v>166</x:v>
      </x:c>
      <x:c r="Y20" s="678" t="s">
        <x:v>166</x:v>
      </x:c>
      <x:c r="Z20" s="678" t="s">
        <x:v>166</x:v>
      </x:c>
      <x:c r="AA20" s="678" t="s">
        <x:v>166</x:v>
      </x:c>
      <x:c r="AB20" s="678" t="s">
        <x:v>166</x:v>
      </x:c>
      <x:c r="AC20" s="678" t="s">
        <x:v>166</x:v>
      </x:c>
      <x:c r="AD20" s="284"/>
      <x:c r="AE20" s="284"/>
      <x:c r="AF20" s="284"/>
      <x:c r="AG20" s="284"/>
      <x:c r="AH20" s="475"/>
      <x:c r="AI20" s="475"/>
      <x:c r="AJ20" s="475"/>
      <x:c r="AL20" s="284" t="s">
        <x:v>744</x:v>
      </x:c>
      <x:c r="AM20" s="284"/>
      <x:c r="AN20" s="536"/>
      <x:c r="AO20" s="284" t="str">
        <x:f t="shared" si="1"/>
        <x:v>26</x:v>
      </x:c>
      <x:c r="AP20" s="1202" t="b">
        <x:v>0</x:v>
      </x:c>
      <x:c r="AQ20" s="236"/>
    </x:row>
    <x:row r="21" spans="1:43" ht="14.1" customHeight="1" x14ac:dyDescent="0.2">
      <x:c r="A21" s="2030"/>
      <x:c r="B21" s="2031" t="s">
        <x:v>147</x:v>
      </x:c>
      <x:c r="C21" s="2031" t="s">
        <x:v>168</x:v>
      </x:c>
      <x:c r="D21" s="2031" t="s">
        <x:v>146</x:v>
      </x:c>
      <x:c r="E21" s="2032"/>
      <x:c r="F21" s="2033">
        <x:v>-625</x:v>
      </x:c>
      <x:c r="G21" s="2034">
        <x:v>10</x:v>
      </x:c>
      <x:c r="H21" s="2035">
        <x:v>4</x:v>
      </x:c>
      <x:c r="I21" s="2033"/>
      <x:c r="J21" s="2034"/>
      <x:c r="K21" s="2035"/>
      <x:c r="L21" s="2036" t="s">
        <x:v>740</x:v>
      </x:c>
      <x:c r="M21" s="2037" t="s">
        <x:v>850</x:v>
      </x:c>
      <x:c r="N21" s="2039" t="s">
        <x:v>117</x:v>
      </x:c>
      <x:c r="O21" s="2040"/>
      <x:c r="P21" s="2040"/>
      <x:c r="R21" s="295" t="b">
        <x:f t="shared" si="0"/>
        <x:v>0</x:v>
      </x:c>
      <x:c r="S21" s="678" t="s">
        <x:v>166</x:v>
      </x:c>
      <x:c r="T21" s="284"/>
      <x:c r="U21" s="284"/>
      <x:c r="V21" s="678" t="s">
        <x:v>168</x:v>
      </x:c>
      <x:c r="W21" s="678" t="s">
        <x:v>168</x:v>
      </x:c>
      <x:c r="X21" s="678" t="s">
        <x:v>168</x:v>
      </x:c>
      <x:c r="Y21" s="678" t="s">
        <x:v>168</x:v>
      </x:c>
      <x:c r="Z21" s="678" t="s">
        <x:v>168</x:v>
      </x:c>
      <x:c r="AA21" s="678" t="s">
        <x:v>168</x:v>
      </x:c>
      <x:c r="AB21" s="678" t="s">
        <x:v>168</x:v>
      </x:c>
      <x:c r="AC21" s="678" t="s">
        <x:v>168</x:v>
      </x:c>
      <x:c r="AD21" s="284"/>
      <x:c r="AE21" s="284"/>
      <x:c r="AF21" s="284"/>
      <x:c r="AG21" s="284"/>
      <x:c r="AH21" s="475"/>
      <x:c r="AI21" s="475"/>
      <x:c r="AJ21" s="475"/>
      <x:c r="AL21" s="284" t="s">
        <x:v>745</x:v>
      </x:c>
      <x:c r="AM21" s="284"/>
      <x:c r="AN21" s="536"/>
      <x:c r="AO21" s="284" t="str">
        <x:f t="shared" si="1"/>
        <x:v>26</x:v>
      </x:c>
      <x:c r="AP21" s="1202" t="b">
        <x:v>0</x:v>
      </x:c>
      <x:c r="AQ21" s="236"/>
    </x:row>
    <x:row r="22" spans="1:43" ht="14.1" customHeight="1" x14ac:dyDescent="0.2">
      <x:c r="A22" s="2030"/>
      <x:c r="B22" s="2031" t="s">
        <x:v>158</x:v>
      </x:c>
      <x:c r="C22" s="2031" t="s">
        <x:v>168</x:v>
      </x:c>
      <x:c r="D22" s="2031" t="s">
        <x:v>146</x:v>
      </x:c>
      <x:c r="E22" s="2032"/>
      <x:c r="F22" s="2033">
        <x:v>1075</x:v>
      </x:c>
      <x:c r="G22" s="2034"/>
      <x:c r="H22" s="2035"/>
      <x:c r="I22" s="2033"/>
      <x:c r="J22" s="2034"/>
      <x:c r="K22" s="2035"/>
      <x:c r="L22" s="2036" t="s">
        <x:v>117</x:v>
      </x:c>
      <x:c r="M22" s="2037" t="s">
        <x:v>117</x:v>
      </x:c>
      <x:c r="N22" s="2039" t="s">
        <x:v>117</x:v>
      </x:c>
      <x:c r="O22" s="2040"/>
      <x:c r="P22" s="2040"/>
      <x:c r="R22" s="295" t="b">
        <x:f t="shared" si="0"/>
        <x:v>1</x:v>
      </x:c>
      <x:c r="S22" s="678" t="s">
        <x:v>168</x:v>
      </x:c>
      <x:c r="T22" s="284"/>
      <x:c r="U22" s="284"/>
      <x:c r="V22" s="678" t="s">
        <x:v>167</x:v>
      </x:c>
      <x:c r="W22" s="678" t="s">
        <x:v>167</x:v>
      </x:c>
      <x:c r="X22" s="678" t="s">
        <x:v>167</x:v>
      </x:c>
      <x:c r="Y22" s="678" t="s">
        <x:v>167</x:v>
      </x:c>
      <x:c r="Z22" s="678" t="s">
        <x:v>167</x:v>
      </x:c>
      <x:c r="AA22" s="678" t="s">
        <x:v>167</x:v>
      </x:c>
      <x:c r="AB22" s="678" t="s">
        <x:v>167</x:v>
      </x:c>
      <x:c r="AC22" s="678" t="s">
        <x:v>167</x:v>
      </x:c>
      <x:c r="AD22" s="284"/>
      <x:c r="AE22" s="284"/>
      <x:c r="AF22" s="284"/>
      <x:c r="AG22" s="284"/>
      <x:c r="AH22" s="475"/>
      <x:c r="AI22" s="475"/>
      <x:c r="AJ22" s="475"/>
      <x:c r="AL22" s="284"/>
      <x:c r="AM22" s="284"/>
      <x:c r="AN22" s="536"/>
      <x:c r="AO22" s="284" t="str">
        <x:f t="shared" si="1"/>
        <x:v>26</x:v>
      </x:c>
      <x:c r="AP22" s="1202" t="b">
        <x:v>0</x:v>
      </x:c>
      <x:c r="AQ22" s="236"/>
    </x:row>
    <x:row r="23" spans="1:43" ht="14.1" customHeight="1" x14ac:dyDescent="0.2">
      <x:c r="A23" s="2030"/>
      <x:c r="B23" s="2031" t="s">
        <x:v>147</x:v>
      </x:c>
      <x:c r="C23" s="2031" t="s">
        <x:v>166</x:v>
      </x:c>
      <x:c r="D23" s="2031" t="s">
        <x:v>146</x:v>
      </x:c>
      <x:c r="E23" s="2032"/>
      <x:c r="F23" s="2033">
        <x:v>260</x:v>
      </x:c>
      <x:c r="G23" s="2034">
        <x:v>10</x:v>
      </x:c>
      <x:c r="H23" s="2035">
        <x:v>4</x:v>
      </x:c>
      <x:c r="I23" s="2033"/>
      <x:c r="J23" s="2034"/>
      <x:c r="K23" s="2035"/>
      <x:c r="L23" s="2036" t="s">
        <x:v>740</x:v>
      </x:c>
      <x:c r="M23" s="2037" t="s">
        <x:v>117</x:v>
      </x:c>
      <x:c r="N23" s="2039" t="s">
        <x:v>117</x:v>
      </x:c>
      <x:c r="O23" s="2040"/>
      <x:c r="P23" s="2040"/>
      <x:c r="R23" s="295" t="b">
        <x:f t="shared" si="0"/>
        <x:v>0</x:v>
      </x:c>
      <x:c r="S23" s="678" t="s">
        <x:v>167</x:v>
      </x:c>
      <x:c r="T23" s="577"/>
      <x:c r="U23" s="577"/>
      <x:c r="V23" s="577"/>
      <x:c r="W23" s="577"/>
      <x:c r="X23" s="577"/>
      <x:c r="Y23" s="577"/>
      <x:c r="Z23" s="577"/>
      <x:c r="AA23" s="577"/>
      <x:c r="AB23" s="577"/>
      <x:c r="AC23" s="577"/>
      <x:c r="AD23" s="577"/>
      <x:c r="AE23" s="577"/>
      <x:c r="AF23" s="577"/>
      <x:c r="AG23" s="577"/>
      <x:c r="AH23" s="475"/>
      <x:c r="AI23" s="475"/>
      <x:c r="AJ23" s="475"/>
      <x:c r="AL23" s="284"/>
      <x:c r="AM23" s="284"/>
      <x:c r="AN23" s="536"/>
      <x:c r="AO23" s="284" t="str">
        <x:f t="shared" si="1"/>
        <x:v>26</x:v>
      </x:c>
      <x:c r="AP23" s="1202" t="b">
        <x:v>0</x:v>
      </x:c>
      <x:c r="AQ23" s="236"/>
    </x:row>
    <x:row r="24" spans="1:43" ht="14.1" customHeight="1" x14ac:dyDescent="0.2">
      <x:c r="A24" s="2030" t="s">
        <x:v>1669</x:v>
      </x:c>
      <x:c r="B24" s="2031" t="s">
        <x:v>147</x:v>
      </x:c>
      <x:c r="C24" s="2031" t="s">
        <x:v>168</x:v>
      </x:c>
      <x:c r="D24" s="2031" t="s">
        <x:v>146</x:v>
      </x:c>
      <x:c r="E24" s="2032"/>
      <x:c r="F24" s="2033">
        <x:v>625</x:v>
      </x:c>
      <x:c r="G24" s="2034">
        <x:v>8</x:v>
      </x:c>
      <x:c r="H24" s="2035">
        <x:v>2.75</x:v>
      </x:c>
      <x:c r="I24" s="2033"/>
      <x:c r="J24" s="2034"/>
      <x:c r="K24" s="2035"/>
      <x:c r="L24" s="2036" t="s">
        <x:v>740</x:v>
      </x:c>
      <x:c r="M24" s="2037" t="s">
        <x:v>117</x:v>
      </x:c>
      <x:c r="N24" s="2039" t="s">
        <x:v>1653</x:v>
      </x:c>
      <x:c r="O24" s="2040"/>
      <x:c r="P24" s="2040"/>
      <x:c r="R24" s="295" t="b">
        <x:f t="shared" si="0"/>
        <x:v>0</x:v>
      </x:c>
      <x:c r="S24" s="577"/>
      <x:c r="T24" s="577"/>
      <x:c r="U24" s="577"/>
      <x:c r="V24" s="577"/>
      <x:c r="W24" s="577"/>
      <x:c r="X24" s="577"/>
      <x:c r="Y24" s="577"/>
      <x:c r="Z24" s="577"/>
      <x:c r="AA24" s="577"/>
      <x:c r="AB24" s="577"/>
      <x:c r="AC24" s="577"/>
      <x:c r="AD24" s="577"/>
      <x:c r="AE24" s="577"/>
      <x:c r="AF24" s="577"/>
      <x:c r="AG24" s="577"/>
      <x:c r="AH24" s="475"/>
      <x:c r="AI24" s="475"/>
      <x:c r="AJ24" s="475"/>
      <x:c r="AL24" s="284"/>
      <x:c r="AM24" s="284"/>
      <x:c r="AN24" s="536"/>
      <x:c r="AO24" s="284" t="str">
        <x:f t="shared" si="1"/>
        <x:v>27</x:v>
      </x:c>
      <x:c r="AP24" s="1202" t="b">
        <x:v>0</x:v>
      </x:c>
      <x:c r="AQ24" s="236"/>
    </x:row>
    <x:row r="25" spans="1:43" ht="14.1" customHeight="1" x14ac:dyDescent="0.2">
      <x:c r="A25" s="2030"/>
      <x:c r="B25" s="2031" t="s">
        <x:v>147</x:v>
      </x:c>
      <x:c r="C25" s="2031" t="s">
        <x:v>168</x:v>
      </x:c>
      <x:c r="D25" s="2031" t="s">
        <x:v>146</x:v>
      </x:c>
      <x:c r="E25" s="2032"/>
      <x:c r="F25" s="2033">
        <x:v>-625</x:v>
      </x:c>
      <x:c r="G25" s="2034">
        <x:v>8</x:v>
      </x:c>
      <x:c r="H25" s="2035">
        <x:v>2.75</x:v>
      </x:c>
      <x:c r="I25" s="2033"/>
      <x:c r="J25" s="2034"/>
      <x:c r="K25" s="2035"/>
      <x:c r="L25" s="2036" t="s">
        <x:v>740</x:v>
      </x:c>
      <x:c r="M25" s="2037" t="s">
        <x:v>850</x:v>
      </x:c>
      <x:c r="N25" s="2039" t="s">
        <x:v>117</x:v>
      </x:c>
      <x:c r="O25" s="2040"/>
      <x:c r="P25" s="2040"/>
      <x:c r="R25" s="295" t="b">
        <x:f t="shared" si="0"/>
        <x:v>0</x:v>
      </x:c>
      <x:c r="S25" s="284"/>
      <x:c r="T25" s="284"/>
      <x:c r="U25" s="284"/>
      <x:c r="V25" s="284"/>
      <x:c r="W25" s="284"/>
      <x:c r="X25" s="284"/>
      <x:c r="Y25" s="284"/>
      <x:c r="Z25" s="284"/>
      <x:c r="AA25" s="284"/>
      <x:c r="AB25" s="284"/>
      <x:c r="AC25" s="284"/>
      <x:c r="AD25" s="284"/>
      <x:c r="AE25" s="284"/>
      <x:c r="AF25" s="284"/>
      <x:c r="AG25" s="284"/>
      <x:c r="AH25" s="475"/>
      <x:c r="AI25" s="475"/>
      <x:c r="AJ25" s="475"/>
      <x:c r="AO25" s="284" t="str">
        <x:f t="shared" si="1"/>
        <x:v>27</x:v>
      </x:c>
      <x:c r="AP25" s="1202" t="b">
        <x:v>0</x:v>
      </x:c>
      <x:c r="AQ25" s="236"/>
    </x:row>
    <x:row r="26" spans="1:43" ht="14.1" customHeight="1" x14ac:dyDescent="0.2">
      <x:c r="A26" s="2030"/>
      <x:c r="B26" s="2031" t="s">
        <x:v>158</x:v>
      </x:c>
      <x:c r="C26" s="2031" t="s">
        <x:v>168</x:v>
      </x:c>
      <x:c r="D26" s="2031" t="s">
        <x:v>146</x:v>
      </x:c>
      <x:c r="E26" s="2032"/>
      <x:c r="F26" s="2033">
        <x:v>1075</x:v>
      </x:c>
      <x:c r="G26" s="2034"/>
      <x:c r="H26" s="2035"/>
      <x:c r="I26" s="2033"/>
      <x:c r="J26" s="2034"/>
      <x:c r="K26" s="2035"/>
      <x:c r="L26" s="2036" t="s">
        <x:v>117</x:v>
      </x:c>
      <x:c r="M26" s="2037" t="s">
        <x:v>117</x:v>
      </x:c>
      <x:c r="N26" s="2039" t="s">
        <x:v>117</x:v>
      </x:c>
      <x:c r="O26" s="2040"/>
      <x:c r="P26" s="2040"/>
      <x:c r="R26" s="295" t="b">
        <x:f t="shared" si="0"/>
        <x:v>1</x:v>
      </x:c>
      <x:c r="S26" s="284"/>
      <x:c r="T26" s="284"/>
      <x:c r="U26" s="284"/>
      <x:c r="V26" s="284"/>
      <x:c r="W26" s="284"/>
      <x:c r="X26" s="284"/>
      <x:c r="Y26" s="284"/>
      <x:c r="Z26" s="284"/>
      <x:c r="AA26" s="284"/>
      <x:c r="AB26" s="284"/>
      <x:c r="AC26" s="284"/>
      <x:c r="AD26" s="284"/>
      <x:c r="AE26" s="284"/>
      <x:c r="AF26" s="284"/>
      <x:c r="AG26" s="284"/>
      <x:c r="AH26" s="475"/>
      <x:c r="AI26" s="475"/>
      <x:c r="AJ26" s="475"/>
      <x:c r="AO26" s="284" t="str">
        <x:f t="shared" si="1"/>
        <x:v>27</x:v>
      </x:c>
      <x:c r="AP26" s="1202" t="b">
        <x:v>0</x:v>
      </x:c>
      <x:c r="AQ26" s="236"/>
    </x:row>
    <x:row r="27" spans="1:43" ht="14.1" customHeight="1" x14ac:dyDescent="0.2">
      <x:c r="A27" s="2030"/>
      <x:c r="B27" s="2031" t="s">
        <x:v>147</x:v>
      </x:c>
      <x:c r="C27" s="2031" t="s">
        <x:v>166</x:v>
      </x:c>
      <x:c r="D27" s="2031" t="s">
        <x:v>146</x:v>
      </x:c>
      <x:c r="E27" s="2032"/>
      <x:c r="F27" s="2033">
        <x:v>260</x:v>
      </x:c>
      <x:c r="G27" s="2034">
        <x:v>8</x:v>
      </x:c>
      <x:c r="H27" s="2035">
        <x:v>2.75</x:v>
      </x:c>
      <x:c r="I27" s="2033"/>
      <x:c r="J27" s="2034"/>
      <x:c r="K27" s="2035"/>
      <x:c r="L27" s="2036" t="s">
        <x:v>740</x:v>
      </x:c>
      <x:c r="M27" s="2037" t="s">
        <x:v>117</x:v>
      </x:c>
      <x:c r="N27" s="2039" t="s">
        <x:v>117</x:v>
      </x:c>
      <x:c r="O27" s="2040"/>
      <x:c r="P27" s="2040"/>
      <x:c r="R27" s="295" t="b">
        <x:f t="shared" si="0"/>
        <x:v>0</x:v>
      </x:c>
      <x:c r="S27" s="284"/>
      <x:c r="T27" s="284"/>
      <x:c r="U27" s="284"/>
      <x:c r="V27" s="284"/>
      <x:c r="W27" s="284"/>
      <x:c r="X27" s="284"/>
      <x:c r="Y27" s="284"/>
      <x:c r="Z27" s="284"/>
      <x:c r="AA27" s="284"/>
      <x:c r="AB27" s="284"/>
      <x:c r="AC27" s="284"/>
      <x:c r="AD27" s="284"/>
      <x:c r="AE27" s="284"/>
      <x:c r="AF27" s="284"/>
      <x:c r="AG27" s="284"/>
      <x:c r="AH27" s="475"/>
      <x:c r="AI27" s="475"/>
      <x:c r="AJ27" s="475"/>
      <x:c r="AO27" s="284" t="str">
        <x:f t="shared" si="1"/>
        <x:v>27</x:v>
      </x:c>
      <x:c r="AP27" s="1202" t="b">
        <x:v>0</x:v>
      </x:c>
      <x:c r="AQ27" s="236"/>
    </x:row>
    <x:row r="28" spans="1:43" ht="14.1" customHeight="1" x14ac:dyDescent="0.2">
      <x:c r="A28" s="2030" t="s">
        <x:v>1670</x:v>
      </x:c>
      <x:c r="B28" s="2031" t="s">
        <x:v>147</x:v>
      </x:c>
      <x:c r="C28" s="2031" t="s">
        <x:v>168</x:v>
      </x:c>
      <x:c r="D28" s="2031" t="s">
        <x:v>146</x:v>
      </x:c>
      <x:c r="E28" s="2032"/>
      <x:c r="F28" s="2033">
        <x:v>625</x:v>
      </x:c>
      <x:c r="G28" s="2034">
        <x:v>33</x:v>
      </x:c>
      <x:c r="H28" s="2035">
        <x:v>0</x:v>
      </x:c>
      <x:c r="I28" s="2033"/>
      <x:c r="J28" s="2034"/>
      <x:c r="K28" s="2035"/>
      <x:c r="L28" s="2036" t="s">
        <x:v>740</x:v>
      </x:c>
      <x:c r="M28" s="2037" t="s">
        <x:v>117</x:v>
      </x:c>
      <x:c r="N28" s="2038" t="s">
        <x:v>1653</x:v>
      </x:c>
      <x:c r="O28" s="2029"/>
      <x:c r="P28" s="2029"/>
      <x:c r="R28" s="295" t="b">
        <x:f t="shared" si="0"/>
        <x:v>0</x:v>
      </x:c>
      <x:c r="S28" s="284"/>
      <x:c r="T28" s="284"/>
      <x:c r="U28" s="284"/>
      <x:c r="V28" s="284"/>
      <x:c r="W28" s="284"/>
      <x:c r="X28" s="284"/>
      <x:c r="Y28" s="284"/>
      <x:c r="Z28" s="284"/>
      <x:c r="AA28" s="284"/>
      <x:c r="AB28" s="284"/>
      <x:c r="AC28" s="284"/>
      <x:c r="AD28" s="284"/>
      <x:c r="AE28" s="284"/>
      <x:c r="AF28" s="284"/>
      <x:c r="AG28" s="284"/>
      <x:c r="AH28" s="475"/>
      <x:c r="AI28" s="475"/>
      <x:c r="AJ28" s="475"/>
      <x:c r="AO28" s="284" t="str">
        <x:f t="shared" si="1"/>
        <x:v>28</x:v>
      </x:c>
      <x:c r="AP28" s="1202" t="b">
        <x:v>0</x:v>
      </x:c>
      <x:c r="AQ28" s="236"/>
    </x:row>
    <x:row r="29" spans="1:43" ht="14.1" customHeight="1" x14ac:dyDescent="0.2">
      <x:c r="A29" s="2030"/>
      <x:c r="B29" s="2031" t="s">
        <x:v>147</x:v>
      </x:c>
      <x:c r="C29" s="2031" t="s">
        <x:v>168</x:v>
      </x:c>
      <x:c r="D29" s="2031" t="s">
        <x:v>146</x:v>
      </x:c>
      <x:c r="E29" s="2032"/>
      <x:c r="F29" s="2033">
        <x:v>-625</x:v>
      </x:c>
      <x:c r="G29" s="2034">
        <x:v>33</x:v>
      </x:c>
      <x:c r="H29" s="2035">
        <x:v>0</x:v>
      </x:c>
      <x:c r="I29" s="2033"/>
      <x:c r="J29" s="2034"/>
      <x:c r="K29" s="2035"/>
      <x:c r="L29" s="2036" t="s">
        <x:v>740</x:v>
      </x:c>
      <x:c r="M29" s="2037" t="s">
        <x:v>850</x:v>
      </x:c>
      <x:c r="N29" s="2038" t="s">
        <x:v>117</x:v>
      </x:c>
      <x:c r="O29" s="2029"/>
      <x:c r="P29" s="2029"/>
      <x:c r="R29" s="295" t="b">
        <x:f t="shared" si="0"/>
        <x:v>0</x:v>
      </x:c>
      <x:c r="S29" s="284"/>
      <x:c r="T29" s="284"/>
      <x:c r="U29" s="284"/>
      <x:c r="V29" s="284"/>
      <x:c r="W29" s="284"/>
      <x:c r="X29" s="284"/>
      <x:c r="Y29" s="284"/>
      <x:c r="Z29" s="284"/>
      <x:c r="AA29" s="284"/>
      <x:c r="AB29" s="284"/>
      <x:c r="AC29" s="284"/>
      <x:c r="AD29" s="284"/>
      <x:c r="AE29" s="284"/>
      <x:c r="AF29" s="284"/>
      <x:c r="AG29" s="284"/>
      <x:c r="AH29" s="475"/>
      <x:c r="AI29" s="475"/>
      <x:c r="AJ29" s="475"/>
      <x:c r="AO29" s="284" t="str">
        <x:f t="shared" si="1"/>
        <x:v>28</x:v>
      </x:c>
      <x:c r="AP29" s="1202" t="b">
        <x:v>0</x:v>
      </x:c>
      <x:c r="AQ29" s="236"/>
    </x:row>
    <x:row r="30" spans="1:43" ht="14.1" customHeight="1" x14ac:dyDescent="0.2">
      <x:c r="A30" s="2030"/>
      <x:c r="B30" s="2031" t="s">
        <x:v>158</x:v>
      </x:c>
      <x:c r="C30" s="2031" t="s">
        <x:v>168</x:v>
      </x:c>
      <x:c r="D30" s="2031" t="s">
        <x:v>146</x:v>
      </x:c>
      <x:c r="E30" s="2032"/>
      <x:c r="F30" s="2033">
        <x:v>1075</x:v>
      </x:c>
      <x:c r="G30" s="2034"/>
      <x:c r="H30" s="2035"/>
      <x:c r="I30" s="2033"/>
      <x:c r="J30" s="2034"/>
      <x:c r="K30" s="2035"/>
      <x:c r="L30" s="2036" t="s">
        <x:v>117</x:v>
      </x:c>
      <x:c r="M30" s="2037" t="s">
        <x:v>117</x:v>
      </x:c>
      <x:c r="N30" s="2038" t="s">
        <x:v>117</x:v>
      </x:c>
      <x:c r="O30" s="2029"/>
      <x:c r="P30" s="2029"/>
      <x:c r="R30" s="295" t="b">
        <x:f t="shared" si="0"/>
        <x:v>1</x:v>
      </x:c>
      <x:c r="S30" s="721">
        <x:f t="shared" ref="S30:AN30" si="2">COUNTA(S16:S29)</x:f>
        <x:v>8</x:v>
      </x:c>
      <x:c r="T30" s="721">
        <x:f t="shared" si="2"/>
        <x:v>2</x:v>
      </x:c>
      <x:c r="U30" s="721">
        <x:f t="shared" si="2"/>
        <x:v>2</x:v>
      </x:c>
      <x:c r="V30" s="721">
        <x:f t="shared" si="2"/>
        <x:v>7</x:v>
      </x:c>
      <x:c r="W30" s="721">
        <x:f t="shared" si="2"/>
        <x:v>7</x:v>
      </x:c>
      <x:c r="X30" s="721">
        <x:f t="shared" si="2"/>
        <x:v>7</x:v>
      </x:c>
      <x:c r="Y30" s="721">
        <x:f t="shared" si="2"/>
        <x:v>7</x:v>
      </x:c>
      <x:c r="Z30" s="721">
        <x:f t="shared" si="2"/>
        <x:v>7</x:v>
      </x:c>
      <x:c r="AA30" s="721">
        <x:f t="shared" si="2"/>
        <x:v>7</x:v>
      </x:c>
      <x:c r="AB30" s="721">
        <x:f t="shared" si="2"/>
        <x:v>7</x:v>
      </x:c>
      <x:c r="AC30" s="721">
        <x:f t="shared" si="2"/>
        <x:v>7</x:v>
      </x:c>
      <x:c r="AD30" s="721">
        <x:f t="shared" si="2"/>
        <x:v>4</x:v>
      </x:c>
      <x:c r="AE30" s="721">
        <x:f t="shared" si="2"/>
        <x:v>0</x:v>
      </x:c>
      <x:c r="AF30" s="721">
        <x:f t="shared" si="2"/>
        <x:v>0</x:v>
      </x:c>
      <x:c r="AG30" s="721">
        <x:f t="shared" si="2"/>
        <x:v>0</x:v>
      </x:c>
      <x:c r="AH30" s="721">
        <x:f t="shared" si="2"/>
        <x:v>2</x:v>
      </x:c>
      <x:c r="AI30" s="721">
        <x:f t="shared" si="2"/>
        <x:v>4</x:v>
      </x:c>
      <x:c r="AJ30" s="721">
        <x:f t="shared" si="2"/>
        <x:v>3</x:v>
      </x:c>
      <x:c r="AK30" s="721">
        <x:f t="shared" si="2"/>
        <x:v>1</x:v>
      </x:c>
      <x:c r="AL30" s="721">
        <x:f t="shared" si="2"/>
        <x:v>6</x:v>
      </x:c>
      <x:c r="AM30" s="721">
        <x:f t="shared" si="2"/>
        <x:v>4</x:v>
      </x:c>
      <x:c r="AN30" s="721">
        <x:f t="shared" si="2"/>
        <x:v>4</x:v>
      </x:c>
      <x:c r="AO30" s="284" t="str">
        <x:f t="shared" si="1"/>
        <x:v>28</x:v>
      </x:c>
      <x:c r="AP30" s="1202" t="b">
        <x:v>0</x:v>
      </x:c>
      <x:c r="AQ30" s="236"/>
    </x:row>
    <x:row r="31" spans="1:43" ht="14.1" customHeight="1" x14ac:dyDescent="0.2">
      <x:c r="A31" s="2030"/>
      <x:c r="B31" s="2031" t="s">
        <x:v>147</x:v>
      </x:c>
      <x:c r="C31" s="2031" t="s">
        <x:v>166</x:v>
      </x:c>
      <x:c r="D31" s="2031" t="s">
        <x:v>146</x:v>
      </x:c>
      <x:c r="E31" s="2032"/>
      <x:c r="F31" s="2033">
        <x:v>260</x:v>
      </x:c>
      <x:c r="G31" s="2034">
        <x:v>33</x:v>
      </x:c>
      <x:c r="H31" s="2035">
        <x:v>0</x:v>
      </x:c>
      <x:c r="I31" s="2033"/>
      <x:c r="J31" s="2034"/>
      <x:c r="K31" s="2035"/>
      <x:c r="L31" s="2036" t="s">
        <x:v>740</x:v>
      </x:c>
      <x:c r="M31" s="2036" t="s">
        <x:v>117</x:v>
      </x:c>
      <x:c r="N31" s="2038" t="s">
        <x:v>117</x:v>
      </x:c>
      <x:c r="O31" s="2029"/>
      <x:c r="P31" s="2029"/>
      <x:c r="R31" s="295" t="b">
        <x:f t="shared" si="0"/>
        <x:v>0</x:v>
      </x:c>
      <x:c r="AO31" s="284" t="str">
        <x:f t="shared" si="1"/>
        <x:v>28</x:v>
      </x:c>
      <x:c r="AP31" s="1202" t="b">
        <x:v>0</x:v>
      </x:c>
      <x:c r="AQ31" s="236"/>
    </x:row>
    <x:row r="32" spans="1:43" ht="14.1" customHeight="1" x14ac:dyDescent="0.2">
      <x:c r="A32" s="2030" t="s">
        <x:v>1671</x:v>
      </x:c>
      <x:c r="B32" s="2031" t="s">
        <x:v>147</x:v>
      </x:c>
      <x:c r="C32" s="2031" t="s">
        <x:v>168</x:v>
      </x:c>
      <x:c r="D32" s="2031" t="s">
        <x:v>146</x:v>
      </x:c>
      <x:c r="E32" s="2032"/>
      <x:c r="F32" s="2033">
        <x:v>625</x:v>
      </x:c>
      <x:c r="G32" s="2034">
        <x:v>40</x:v>
      </x:c>
      <x:c r="H32" s="2035">
        <x:v>0</x:v>
      </x:c>
      <x:c r="I32" s="2033"/>
      <x:c r="J32" s="2034"/>
      <x:c r="K32" s="2035"/>
      <x:c r="L32" s="2036" t="s">
        <x:v>740</x:v>
      </x:c>
      <x:c r="M32" s="2036" t="s">
        <x:v>117</x:v>
      </x:c>
      <x:c r="N32" s="2038" t="s">
        <x:v>1653</x:v>
      </x:c>
      <x:c r="O32" s="2029"/>
      <x:c r="P32" s="2029"/>
      <x:c r="R32" s="295" t="b">
        <x:f t="shared" si="0"/>
        <x:v>0</x:v>
      </x:c>
      <x:c r="AO32" s="284" t="str">
        <x:f t="shared" si="1"/>
        <x:v>29</x:v>
      </x:c>
      <x:c r="AP32" s="1202" t="b">
        <x:v>0</x:v>
      </x:c>
      <x:c r="AQ32" s="236"/>
    </x:row>
    <x:row r="33" spans="1:45" ht="14.1" customHeight="1" x14ac:dyDescent="0.2">
      <x:c r="A33" s="2030"/>
      <x:c r="B33" s="2031" t="s">
        <x:v>147</x:v>
      </x:c>
      <x:c r="C33" s="2031" t="s">
        <x:v>168</x:v>
      </x:c>
      <x:c r="D33" s="2031" t="s">
        <x:v>146</x:v>
      </x:c>
      <x:c r="E33" s="2032"/>
      <x:c r="F33" s="2033">
        <x:v>-625</x:v>
      </x:c>
      <x:c r="G33" s="2034">
        <x:v>40</x:v>
      </x:c>
      <x:c r="H33" s="2035">
        <x:v>0</x:v>
      </x:c>
      <x:c r="I33" s="2033"/>
      <x:c r="J33" s="2034"/>
      <x:c r="K33" s="2035"/>
      <x:c r="L33" s="2036" t="s">
        <x:v>740</x:v>
      </x:c>
      <x:c r="M33" s="2036" t="s">
        <x:v>850</x:v>
      </x:c>
      <x:c r="N33" s="2038" t="s">
        <x:v>117</x:v>
      </x:c>
      <x:c r="O33" s="2029"/>
      <x:c r="P33" s="2029"/>
      <x:c r="R33" s="295" t="b">
        <x:f t="shared" si="0"/>
        <x:v>0</x:v>
      </x:c>
      <x:c r="AO33" s="284" t="str">
        <x:f t="shared" si="1"/>
        <x:v>29</x:v>
      </x:c>
      <x:c r="AP33" s="1202" t="b">
        <x:v>0</x:v>
      </x:c>
      <x:c r="AQ33" s="236"/>
    </x:row>
    <x:row r="34" spans="1:45" ht="14.1" customHeight="1" x14ac:dyDescent="0.2">
      <x:c r="A34" s="2030"/>
      <x:c r="B34" s="2031" t="s">
        <x:v>158</x:v>
      </x:c>
      <x:c r="C34" s="2031" t="s">
        <x:v>168</x:v>
      </x:c>
      <x:c r="D34" s="2031" t="s">
        <x:v>146</x:v>
      </x:c>
      <x:c r="E34" s="2032"/>
      <x:c r="F34" s="2033">
        <x:v>1075</x:v>
      </x:c>
      <x:c r="G34" s="2034"/>
      <x:c r="H34" s="2035"/>
      <x:c r="I34" s="2033"/>
      <x:c r="J34" s="2034"/>
      <x:c r="K34" s="2035"/>
      <x:c r="L34" s="2036" t="s">
        <x:v>117</x:v>
      </x:c>
      <x:c r="M34" s="2036" t="s">
        <x:v>117</x:v>
      </x:c>
      <x:c r="N34" s="2038" t="s">
        <x:v>117</x:v>
      </x:c>
      <x:c r="O34" s="2029"/>
      <x:c r="P34" s="2029"/>
      <x:c r="R34" s="295" t="b">
        <x:f t="shared" si="0"/>
        <x:v>1</x:v>
      </x:c>
      <x:c r="AO34" s="284" t="str">
        <x:f t="shared" si="1"/>
        <x:v>29</x:v>
      </x:c>
      <x:c r="AP34" s="1202" t="b">
        <x:v>0</x:v>
      </x:c>
      <x:c r="AQ34" s="236"/>
    </x:row>
    <x:row r="35" spans="1:45" ht="14.1" customHeight="1" x14ac:dyDescent="0.2">
      <x:c r="A35" s="2030"/>
      <x:c r="B35" s="2031" t="s">
        <x:v>147</x:v>
      </x:c>
      <x:c r="C35" s="2031" t="s">
        <x:v>166</x:v>
      </x:c>
      <x:c r="D35" s="2031" t="s">
        <x:v>146</x:v>
      </x:c>
      <x:c r="E35" s="2032"/>
      <x:c r="F35" s="2033">
        <x:v>260</x:v>
      </x:c>
      <x:c r="G35" s="2034">
        <x:v>40</x:v>
      </x:c>
      <x:c r="H35" s="2035">
        <x:v>0</x:v>
      </x:c>
      <x:c r="I35" s="2033"/>
      <x:c r="J35" s="2034"/>
      <x:c r="K35" s="2035"/>
      <x:c r="L35" s="2036" t="s">
        <x:v>740</x:v>
      </x:c>
      <x:c r="M35" s="2036" t="s">
        <x:v>117</x:v>
      </x:c>
      <x:c r="N35" s="2038" t="s">
        <x:v>117</x:v>
      </x:c>
      <x:c r="O35" s="2029"/>
      <x:c r="P35" s="2029"/>
      <x:c r="R35" s="295" t="b">
        <x:f t="shared" si="0"/>
        <x:v>0</x:v>
      </x:c>
      <x:c r="AO35" s="284" t="str">
        <x:f t="shared" si="1"/>
        <x:v>29</x:v>
      </x:c>
      <x:c r="AP35" s="1202" t="b">
        <x:v>0</x:v>
      </x:c>
      <x:c r="AQ35" s="236"/>
    </x:row>
    <x:row r="36" spans="1:45" ht="14.1" customHeight="1" x14ac:dyDescent="0.2">
      <x:c r="A36" s="2030" t="s">
        <x:v>1672</x:v>
      </x:c>
      <x:c r="B36" s="2031" t="s">
        <x:v>147</x:v>
      </x:c>
      <x:c r="C36" s="2031" t="s">
        <x:v>168</x:v>
      </x:c>
      <x:c r="D36" s="2031" t="s">
        <x:v>146</x:v>
      </x:c>
      <x:c r="E36" s="2032"/>
      <x:c r="F36" s="2033">
        <x:v>470</x:v>
      </x:c>
      <x:c r="G36" s="2034">
        <x:v>5</x:v>
      </x:c>
      <x:c r="H36" s="2035">
        <x:v>5</x:v>
      </x:c>
      <x:c r="I36" s="2033"/>
      <x:c r="J36" s="2034"/>
      <x:c r="K36" s="2035"/>
      <x:c r="L36" s="2036" t="s">
        <x:v>740</x:v>
      </x:c>
      <x:c r="M36" s="2036" t="s">
        <x:v>117</x:v>
      </x:c>
      <x:c r="N36" s="2038" t="s">
        <x:v>1673</x:v>
      </x:c>
      <x:c r="O36" s="2029"/>
      <x:c r="P36" s="2029"/>
      <x:c r="R36" s="295" t="b">
        <x:f t="shared" si="0"/>
        <x:v>0</x:v>
      </x:c>
      <x:c r="AO36" s="284" t="str">
        <x:f t="shared" si="1"/>
        <x:v>30</x:v>
      </x:c>
      <x:c r="AP36" s="1202" t="b">
        <x:v>0</x:v>
      </x:c>
      <x:c r="AQ36" s="236"/>
    </x:row>
    <x:row r="37" spans="1:45" ht="14.1" customHeight="1" x14ac:dyDescent="0.2">
      <x:c r="A37" s="2030"/>
      <x:c r="B37" s="2031" t="s">
        <x:v>147</x:v>
      </x:c>
      <x:c r="C37" s="2031" t="s">
        <x:v>168</x:v>
      </x:c>
      <x:c r="D37" s="2031" t="s">
        <x:v>146</x:v>
      </x:c>
      <x:c r="E37" s="2032"/>
      <x:c r="F37" s="2033">
        <x:v>-470</x:v>
      </x:c>
      <x:c r="G37" s="2034">
        <x:v>5</x:v>
      </x:c>
      <x:c r="H37" s="2035">
        <x:v>5</x:v>
      </x:c>
      <x:c r="I37" s="2033"/>
      <x:c r="J37" s="2034"/>
      <x:c r="K37" s="2035"/>
      <x:c r="L37" s="2036" t="s">
        <x:v>740</x:v>
      </x:c>
      <x:c r="M37" s="2036" t="s">
        <x:v>850</x:v>
      </x:c>
      <x:c r="N37" s="2038" t="s">
        <x:v>117</x:v>
      </x:c>
      <x:c r="O37" s="2029"/>
      <x:c r="P37" s="2029"/>
      <x:c r="R37" s="295" t="b">
        <x:f t="shared" si="0"/>
        <x:v>0</x:v>
      </x:c>
      <x:c r="AO37" s="284" t="str">
        <x:f t="shared" si="1"/>
        <x:v>30</x:v>
      </x:c>
      <x:c r="AP37" s="1202" t="b">
        <x:v>0</x:v>
      </x:c>
      <x:c r="AQ37" s="236"/>
    </x:row>
    <x:row r="38" spans="1:45" ht="14.1" customHeight="1" x14ac:dyDescent="0.2">
      <x:c r="A38" s="2030"/>
      <x:c r="B38" s="2031" t="s">
        <x:v>158</x:v>
      </x:c>
      <x:c r="C38" s="2031" t="s">
        <x:v>168</x:v>
      </x:c>
      <x:c r="D38" s="2031" t="s">
        <x:v>146</x:v>
      </x:c>
      <x:c r="E38" s="2032"/>
      <x:c r="F38" s="2033">
        <x:v>800</x:v>
      </x:c>
      <x:c r="G38" s="2034"/>
      <x:c r="H38" s="2035"/>
      <x:c r="I38" s="2033"/>
      <x:c r="J38" s="2034"/>
      <x:c r="K38" s="2035"/>
      <x:c r="L38" s="2036" t="s">
        <x:v>117</x:v>
      </x:c>
      <x:c r="M38" s="2036" t="s">
        <x:v>117</x:v>
      </x:c>
      <x:c r="N38" s="2038" t="s">
        <x:v>117</x:v>
      </x:c>
      <x:c r="O38" s="2029"/>
      <x:c r="P38" s="2029"/>
      <x:c r="R38" s="295" t="b">
        <x:f t="shared" si="0"/>
        <x:v>1</x:v>
      </x:c>
      <x:c r="AO38" s="284" t="str">
        <x:f t="shared" si="1"/>
        <x:v>30</x:v>
      </x:c>
      <x:c r="AP38" s="1202" t="b">
        <x:v>0</x:v>
      </x:c>
      <x:c r="AQ38" s="236"/>
    </x:row>
    <x:row r="39" spans="1:45" ht="14.1" customHeight="1" x14ac:dyDescent="0.2">
      <x:c r="A39" s="2030"/>
      <x:c r="B39" s="2031" t="s">
        <x:v>147</x:v>
      </x:c>
      <x:c r="C39" s="2031" t="s">
        <x:v>166</x:v>
      </x:c>
      <x:c r="D39" s="2031" t="s">
        <x:v>146</x:v>
      </x:c>
      <x:c r="E39" s="2032"/>
      <x:c r="F39" s="2033">
        <x:v>140</x:v>
      </x:c>
      <x:c r="G39" s="2034">
        <x:v>5</x:v>
      </x:c>
      <x:c r="H39" s="2035">
        <x:v>5</x:v>
      </x:c>
      <x:c r="I39" s="2033"/>
      <x:c r="J39" s="2034"/>
      <x:c r="K39" s="2035"/>
      <x:c r="L39" s="2036" t="s">
        <x:v>740</x:v>
      </x:c>
      <x:c r="M39" s="2036" t="s">
        <x:v>117</x:v>
      </x:c>
      <x:c r="N39" s="2038" t="s">
        <x:v>117</x:v>
      </x:c>
      <x:c r="O39" s="2029"/>
      <x:c r="P39" s="2029"/>
      <x:c r="R39" s="295" t="b">
        <x:f t="shared" si="0"/>
        <x:v>0</x:v>
      </x:c>
      <x:c r="AO39" s="284" t="str">
        <x:f t="shared" si="1"/>
        <x:v>30</x:v>
      </x:c>
      <x:c r="AP39" s="1202" t="b">
        <x:v>0</x:v>
      </x:c>
      <x:c r="AQ39" s="236"/>
    </x:row>
    <x:row r="40" spans="1:45" ht="14.1" customHeight="1" x14ac:dyDescent="0.2">
      <x:c r="A40" s="2030" t="s">
        <x:v>1674</x:v>
      </x:c>
      <x:c r="B40" s="2031" t="s">
        <x:v>147</x:v>
      </x:c>
      <x:c r="C40" s="2031" t="s">
        <x:v>168</x:v>
      </x:c>
      <x:c r="D40" s="2031" t="s">
        <x:v>146</x:v>
      </x:c>
      <x:c r="E40" s="2032"/>
      <x:c r="F40" s="2033">
        <x:v>470</x:v>
      </x:c>
      <x:c r="G40" s="2034">
        <x:v>44</x:v>
      </x:c>
      <x:c r="H40" s="2035">
        <x:v>0</x:v>
      </x:c>
      <x:c r="I40" s="2033"/>
      <x:c r="J40" s="2034"/>
      <x:c r="K40" s="2035"/>
      <x:c r="L40" s="2036" t="s">
        <x:v>740</x:v>
      </x:c>
      <x:c r="M40" s="2036" t="s">
        <x:v>117</x:v>
      </x:c>
      <x:c r="N40" s="2038" t="s">
        <x:v>1673</x:v>
      </x:c>
      <x:c r="O40" s="2029"/>
      <x:c r="P40" s="2029"/>
      <x:c r="R40" s="295" t="b">
        <x:f t="shared" si="0"/>
        <x:v>0</x:v>
      </x:c>
      <x:c r="AO40" s="284" t="str">
        <x:f t="shared" si="1"/>
        <x:v>31</x:v>
      </x:c>
      <x:c r="AP40" s="1202" t="b">
        <x:v>0</x:v>
      </x:c>
      <x:c r="AQ40" s="236"/>
    </x:row>
    <x:row r="41" spans="1:45" ht="14.1" customHeight="1" x14ac:dyDescent="0.2">
      <x:c r="A41" s="2030"/>
      <x:c r="B41" s="2031" t="s">
        <x:v>147</x:v>
      </x:c>
      <x:c r="C41" s="2031" t="s">
        <x:v>168</x:v>
      </x:c>
      <x:c r="D41" s="2031" t="s">
        <x:v>146</x:v>
      </x:c>
      <x:c r="E41" s="2032"/>
      <x:c r="F41" s="2033">
        <x:v>-470</x:v>
      </x:c>
      <x:c r="G41" s="2034">
        <x:v>44</x:v>
      </x:c>
      <x:c r="H41" s="2035">
        <x:v>0</x:v>
      </x:c>
      <x:c r="I41" s="2033"/>
      <x:c r="J41" s="2034"/>
      <x:c r="K41" s="2035"/>
      <x:c r="L41" s="2036" t="s">
        <x:v>740</x:v>
      </x:c>
      <x:c r="M41" s="2036" t="s">
        <x:v>850</x:v>
      </x:c>
      <x:c r="N41" s="2038" t="s">
        <x:v>117</x:v>
      </x:c>
      <x:c r="O41" s="2029"/>
      <x:c r="P41" s="2029"/>
      <x:c r="R41" s="295" t="b">
        <x:f t="shared" si="0"/>
        <x:v>0</x:v>
      </x:c>
      <x:c r="AO41" s="284" t="str">
        <x:f t="shared" si="1"/>
        <x:v>31</x:v>
      </x:c>
      <x:c r="AP41" s="1202" t="b">
        <x:v>0</x:v>
      </x:c>
      <x:c r="AQ41" s="236"/>
    </x:row>
    <x:row r="42" spans="1:45" ht="14.1" customHeight="1" x14ac:dyDescent="0.2">
      <x:c r="A42" s="2030"/>
      <x:c r="B42" s="2031" t="s">
        <x:v>158</x:v>
      </x:c>
      <x:c r="C42" s="2031" t="s">
        <x:v>168</x:v>
      </x:c>
      <x:c r="D42" s="2031" t="s">
        <x:v>146</x:v>
      </x:c>
      <x:c r="E42" s="2032"/>
      <x:c r="F42" s="2033">
        <x:v>800</x:v>
      </x:c>
      <x:c r="G42" s="2034"/>
      <x:c r="H42" s="2035"/>
      <x:c r="I42" s="2033"/>
      <x:c r="J42" s="2034"/>
      <x:c r="K42" s="2035"/>
      <x:c r="L42" s="2036" t="s">
        <x:v>117</x:v>
      </x:c>
      <x:c r="M42" s="2036" t="s">
        <x:v>117</x:v>
      </x:c>
      <x:c r="N42" s="2038" t="s">
        <x:v>117</x:v>
      </x:c>
      <x:c r="O42" s="2029"/>
      <x:c r="P42" s="2029"/>
      <x:c r="R42" s="295" t="b">
        <x:f t="shared" si="0"/>
        <x:v>1</x:v>
      </x:c>
      <x:c r="AO42" s="284" t="str">
        <x:f t="shared" si="1"/>
        <x:v>31</x:v>
      </x:c>
      <x:c r="AP42" s="1202" t="b">
        <x:v>0</x:v>
      </x:c>
      <x:c r="AQ42" s="236"/>
    </x:row>
    <x:row r="43" spans="1:45" ht="14.1" customHeight="1" x14ac:dyDescent="0.2">
      <x:c r="A43" s="2030"/>
      <x:c r="B43" s="2031" t="s">
        <x:v>147</x:v>
      </x:c>
      <x:c r="C43" s="2031" t="s">
        <x:v>166</x:v>
      </x:c>
      <x:c r="D43" s="2031" t="s">
        <x:v>146</x:v>
      </x:c>
      <x:c r="E43" s="2032"/>
      <x:c r="F43" s="2033">
        <x:v>140</x:v>
      </x:c>
      <x:c r="G43" s="2034">
        <x:v>44</x:v>
      </x:c>
      <x:c r="H43" s="2035">
        <x:v>0</x:v>
      </x:c>
      <x:c r="I43" s="2033"/>
      <x:c r="J43" s="2034"/>
      <x:c r="K43" s="2035"/>
      <x:c r="L43" s="2036" t="s">
        <x:v>740</x:v>
      </x:c>
      <x:c r="M43" s="2036" t="s">
        <x:v>117</x:v>
      </x:c>
      <x:c r="N43" s="2038" t="s">
        <x:v>117</x:v>
      </x:c>
      <x:c r="O43" s="2029"/>
      <x:c r="P43" s="2029"/>
      <x:c r="R43" s="295" t="b">
        <x:f t="shared" si="0"/>
        <x:v>0</x:v>
      </x:c>
      <x:c r="AO43" s="284" t="str">
        <x:f t="shared" si="1"/>
        <x:v>31</x:v>
      </x:c>
      <x:c r="AP43" s="1202" t="b">
        <x:v>0</x:v>
      </x:c>
      <x:c r="AQ43" s="236"/>
    </x:row>
    <x:row r="44" spans="1:45" ht="14.1" customHeight="1" x14ac:dyDescent="0.2">
      <x:c r="A44" s="2030" t="s">
        <x:v>1675</x:v>
      </x:c>
      <x:c r="B44" s="2031" t="s">
        <x:v>147</x:v>
      </x:c>
      <x:c r="C44" s="2031" t="s">
        <x:v>168</x:v>
      </x:c>
      <x:c r="D44" s="2031" t="s">
        <x:v>146</x:v>
      </x:c>
      <x:c r="E44" s="2032"/>
      <x:c r="F44" s="2033">
        <x:v>470</x:v>
      </x:c>
      <x:c r="G44" s="2034">
        <x:v>53</x:v>
      </x:c>
      <x:c r="H44" s="2035">
        <x:v>7.5</x:v>
      </x:c>
      <x:c r="I44" s="2033"/>
      <x:c r="J44" s="2034"/>
      <x:c r="K44" s="2035"/>
      <x:c r="L44" s="2036" t="s">
        <x:v>740</x:v>
      </x:c>
      <x:c r="M44" s="2036" t="s">
        <x:v>117</x:v>
      </x:c>
      <x:c r="N44" s="2038" t="s">
        <x:v>1673</x:v>
      </x:c>
      <x:c r="O44" s="2029"/>
      <x:c r="P44" s="2029"/>
      <x:c r="R44" s="295" t="b">
        <x:f t="shared" si="0"/>
        <x:v>0</x:v>
      </x:c>
      <x:c r="AO44" s="284" t="str">
        <x:f t="shared" si="1"/>
        <x:v>32</x:v>
      </x:c>
      <x:c r="AP44" s="1202" t="b">
        <x:v>0</x:v>
      </x:c>
      <x:c r="AQ44" s="236"/>
    </x:row>
    <x:row r="45" spans="1:45" ht="14.1" customHeight="1" x14ac:dyDescent="0.2">
      <x:c r="A45" s="2030"/>
      <x:c r="B45" s="2031" t="s">
        <x:v>147</x:v>
      </x:c>
      <x:c r="C45" s="2031" t="s">
        <x:v>168</x:v>
      </x:c>
      <x:c r="D45" s="2031" t="s">
        <x:v>146</x:v>
      </x:c>
      <x:c r="E45" s="2032"/>
      <x:c r="F45" s="2033">
        <x:v>-470</x:v>
      </x:c>
      <x:c r="G45" s="2034">
        <x:v>53</x:v>
      </x:c>
      <x:c r="H45" s="2035">
        <x:v>7.5</x:v>
      </x:c>
      <x:c r="I45" s="2033"/>
      <x:c r="J45" s="2034"/>
      <x:c r="K45" s="2035"/>
      <x:c r="L45" s="2036" t="s">
        <x:v>740</x:v>
      </x:c>
      <x:c r="M45" s="2036" t="s">
        <x:v>850</x:v>
      </x:c>
      <x:c r="N45" s="2038" t="s">
        <x:v>117</x:v>
      </x:c>
      <x:c r="O45" s="2029"/>
      <x:c r="P45" s="2029"/>
      <x:c r="R45" s="295" t="b">
        <x:f t="shared" si="0"/>
        <x:v>0</x:v>
      </x:c>
      <x:c r="AO45" s="284" t="str">
        <x:f t="shared" si="1"/>
        <x:v>32</x:v>
      </x:c>
      <x:c r="AP45" s="1202" t="b">
        <x:v>0</x:v>
      </x:c>
      <x:c r="AQ45" s="236"/>
    </x:row>
    <x:row r="46" spans="1:45" ht="14.1" customHeight="1" x14ac:dyDescent="0.2">
      <x:c r="A46" s="2030"/>
      <x:c r="B46" s="2031" t="s">
        <x:v>158</x:v>
      </x:c>
      <x:c r="C46" s="2031" t="s">
        <x:v>168</x:v>
      </x:c>
      <x:c r="D46" s="2031" t="s">
        <x:v>146</x:v>
      </x:c>
      <x:c r="E46" s="2032"/>
      <x:c r="F46" s="2033">
        <x:v>800</x:v>
      </x:c>
      <x:c r="G46" s="2034"/>
      <x:c r="H46" s="2035"/>
      <x:c r="I46" s="2033"/>
      <x:c r="J46" s="2034"/>
      <x:c r="K46" s="2035"/>
      <x:c r="L46" s="2036" t="s">
        <x:v>117</x:v>
      </x:c>
      <x:c r="M46" s="2036" t="s">
        <x:v>117</x:v>
      </x:c>
      <x:c r="N46" s="2038" t="s">
        <x:v>117</x:v>
      </x:c>
      <x:c r="O46" s="2029"/>
      <x:c r="P46" s="2029"/>
      <x:c r="R46" s="295" t="b">
        <x:f t="shared" si="0"/>
        <x:v>1</x:v>
      </x:c>
      <x:c r="AO46" s="284" t="str">
        <x:f t="shared" si="1"/>
        <x:v>32</x:v>
      </x:c>
      <x:c r="AP46" s="1202" t="b">
        <x:v>0</x:v>
      </x:c>
      <x:c r="AQ46" s="236"/>
    </x:row>
    <x:row r="47" spans="1:45" ht="14.1" customHeight="1" x14ac:dyDescent="0.2">
      <x:c r="A47" s="2030"/>
      <x:c r="B47" s="2031" t="s">
        <x:v>147</x:v>
      </x:c>
      <x:c r="C47" s="2031" t="s">
        <x:v>166</x:v>
      </x:c>
      <x:c r="D47" s="2031" t="s">
        <x:v>146</x:v>
      </x:c>
      <x:c r="E47" s="2032"/>
      <x:c r="F47" s="2033">
        <x:v>140</x:v>
      </x:c>
      <x:c r="G47" s="2034">
        <x:v>53</x:v>
      </x:c>
      <x:c r="H47" s="2035">
        <x:v>7.5</x:v>
      </x:c>
      <x:c r="I47" s="2033"/>
      <x:c r="J47" s="2034"/>
      <x:c r="K47" s="2035"/>
      <x:c r="L47" s="2036" t="s">
        <x:v>740</x:v>
      </x:c>
      <x:c r="M47" s="2036" t="s">
        <x:v>117</x:v>
      </x:c>
      <x:c r="N47" s="2038" t="s">
        <x:v>117</x:v>
      </x:c>
      <x:c r="O47" s="2029"/>
      <x:c r="P47" s="2029"/>
      <x:c r="R47" s="295" t="b">
        <x:f t="shared" si="0"/>
        <x:v>0</x:v>
      </x:c>
      <x:c r="AO47" s="284" t="str">
        <x:f t="shared" si="1"/>
        <x:v>32</x:v>
      </x:c>
      <x:c r="AP47" s="1202" t="b">
        <x:v>0</x:v>
      </x:c>
      <x:c r="AQ47" s="236"/>
      <x:c r="AS47" s="973"/>
    </x:row>
    <x:row r="48" spans="1:45" ht="14.1" customHeight="1" x14ac:dyDescent="0.2">
      <x:c r="A48" s="2030" t="s">
        <x:v>1676</x:v>
      </x:c>
      <x:c r="B48" s="2031" t="s">
        <x:v>147</x:v>
      </x:c>
      <x:c r="C48" s="2031" t="s">
        <x:v>168</x:v>
      </x:c>
      <x:c r="D48" s="2031" t="s">
        <x:v>146</x:v>
      </x:c>
      <x:c r="E48" s="2032"/>
      <x:c r="F48" s="2033">
        <x:v>470</x:v>
      </x:c>
      <x:c r="G48" s="2034">
        <x:v>31</x:v>
      </x:c>
      <x:c r="H48" s="2035">
        <x:v>3</x:v>
      </x:c>
      <x:c r="I48" s="2033"/>
      <x:c r="J48" s="2034"/>
      <x:c r="K48" s="2035"/>
      <x:c r="L48" s="2036" t="s">
        <x:v>740</x:v>
      </x:c>
      <x:c r="M48" s="2036" t="s">
        <x:v>117</x:v>
      </x:c>
      <x:c r="N48" s="2038" t="s">
        <x:v>1673</x:v>
      </x:c>
      <x:c r="O48" s="2029"/>
      <x:c r="P48" s="2029"/>
      <x:c r="R48" s="295" t="b">
        <x:f t="shared" si="0"/>
        <x:v>0</x:v>
      </x:c>
      <x:c r="AO48" s="284" t="str">
        <x:f t="shared" si="1"/>
        <x:v>33</x:v>
      </x:c>
      <x:c r="AP48" s="1202" t="b">
        <x:v>0</x:v>
      </x:c>
      <x:c r="AQ48" s="236"/>
    </x:row>
    <x:row r="49" spans="1:43" ht="14.1" customHeight="1" x14ac:dyDescent="0.2">
      <x:c r="A49" s="2030"/>
      <x:c r="B49" s="2031" t="s">
        <x:v>147</x:v>
      </x:c>
      <x:c r="C49" s="2031" t="s">
        <x:v>168</x:v>
      </x:c>
      <x:c r="D49" s="2031" t="s">
        <x:v>146</x:v>
      </x:c>
      <x:c r="E49" s="2032"/>
      <x:c r="F49" s="2033">
        <x:v>-470</x:v>
      </x:c>
      <x:c r="G49" s="2034">
        <x:v>31</x:v>
      </x:c>
      <x:c r="H49" s="2035">
        <x:v>3</x:v>
      </x:c>
      <x:c r="I49" s="2033"/>
      <x:c r="J49" s="2034"/>
      <x:c r="K49" s="2035"/>
      <x:c r="L49" s="2036" t="s">
        <x:v>740</x:v>
      </x:c>
      <x:c r="M49" s="2036" t="s">
        <x:v>850</x:v>
      </x:c>
      <x:c r="N49" s="2038" t="s">
        <x:v>117</x:v>
      </x:c>
      <x:c r="O49" s="2029"/>
      <x:c r="P49" s="2029"/>
      <x:c r="R49" s="295" t="b">
        <x:f t="shared" si="0"/>
        <x:v>0</x:v>
      </x:c>
      <x:c r="AO49" s="284" t="str">
        <x:f t="shared" si="1"/>
        <x:v>33</x:v>
      </x:c>
      <x:c r="AP49" s="1202" t="b">
        <x:v>0</x:v>
      </x:c>
      <x:c r="AQ49" s="236"/>
    </x:row>
    <x:row r="50" spans="1:43" ht="14.1" customHeight="1" x14ac:dyDescent="0.2">
      <x:c r="A50" s="2030"/>
      <x:c r="B50" s="2031" t="s">
        <x:v>158</x:v>
      </x:c>
      <x:c r="C50" s="2031" t="s">
        <x:v>168</x:v>
      </x:c>
      <x:c r="D50" s="2031" t="s">
        <x:v>146</x:v>
      </x:c>
      <x:c r="E50" s="2032"/>
      <x:c r="F50" s="2033">
        <x:v>800</x:v>
      </x:c>
      <x:c r="G50" s="2034"/>
      <x:c r="H50" s="2035"/>
      <x:c r="I50" s="2033"/>
      <x:c r="J50" s="2034"/>
      <x:c r="K50" s="2035"/>
      <x:c r="L50" s="2036" t="s">
        <x:v>117</x:v>
      </x:c>
      <x:c r="M50" s="2036" t="s">
        <x:v>117</x:v>
      </x:c>
      <x:c r="N50" s="2038" t="s">
        <x:v>117</x:v>
      </x:c>
      <x:c r="O50" s="2029"/>
      <x:c r="P50" s="2029"/>
      <x:c r="R50" s="295" t="b">
        <x:f t="shared" si="0"/>
        <x:v>1</x:v>
      </x:c>
      <x:c r="AO50" s="284" t="str">
        <x:f t="shared" si="1"/>
        <x:v>33</x:v>
      </x:c>
      <x:c r="AP50" s="1202" t="b">
        <x:v>0</x:v>
      </x:c>
      <x:c r="AQ50" s="236"/>
    </x:row>
    <x:row r="51" spans="1:43" ht="14.1" customHeight="1" x14ac:dyDescent="0.2">
      <x:c r="A51" s="2030"/>
      <x:c r="B51" s="2031" t="s">
        <x:v>147</x:v>
      </x:c>
      <x:c r="C51" s="2031" t="s">
        <x:v>166</x:v>
      </x:c>
      <x:c r="D51" s="2031" t="s">
        <x:v>146</x:v>
      </x:c>
      <x:c r="E51" s="2032"/>
      <x:c r="F51" s="2033">
        <x:v>140</x:v>
      </x:c>
      <x:c r="G51" s="2034">
        <x:v>31</x:v>
      </x:c>
      <x:c r="H51" s="2035">
        <x:v>3</x:v>
      </x:c>
      <x:c r="I51" s="2033"/>
      <x:c r="J51" s="2034"/>
      <x:c r="K51" s="2035"/>
      <x:c r="L51" s="2036" t="s">
        <x:v>740</x:v>
      </x:c>
      <x:c r="M51" s="2036" t="s">
        <x:v>117</x:v>
      </x:c>
      <x:c r="N51" s="2038" t="s">
        <x:v>117</x:v>
      </x:c>
      <x:c r="O51" s="2029"/>
      <x:c r="P51" s="2029"/>
      <x:c r="R51" s="295" t="b">
        <x:f t="shared" si="0"/>
        <x:v>0</x:v>
      </x:c>
      <x:c r="AO51" s="284" t="str">
        <x:f t="shared" si="1"/>
        <x:v>33</x:v>
      </x:c>
      <x:c r="AP51" s="1202" t="b">
        <x:v>0</x:v>
      </x:c>
      <x:c r="AQ51" s="236"/>
    </x:row>
    <x:row r="52" spans="1:43" ht="14.1" customHeight="1" x14ac:dyDescent="0.2">
      <x:c r="A52" s="2030" t="s">
        <x:v>1677</x:v>
      </x:c>
      <x:c r="B52" s="2031" t="s">
        <x:v>147</x:v>
      </x:c>
      <x:c r="C52" s="2031" t="s">
        <x:v>168</x:v>
      </x:c>
      <x:c r="D52" s="2031" t="s">
        <x:v>146</x:v>
      </x:c>
      <x:c r="E52" s="2032"/>
      <x:c r="F52" s="2033">
        <x:v>470</x:v>
      </x:c>
      <x:c r="G52" s="2034">
        <x:v>39</x:v>
      </x:c>
      <x:c r="H52" s="2035">
        <x:v>10</x:v>
      </x:c>
      <x:c r="I52" s="2033"/>
      <x:c r="J52" s="2034"/>
      <x:c r="K52" s="2035"/>
      <x:c r="L52" s="2036" t="s">
        <x:v>740</x:v>
      </x:c>
      <x:c r="M52" s="2036" t="s">
        <x:v>117</x:v>
      </x:c>
      <x:c r="N52" s="2038" t="s">
        <x:v>1673</x:v>
      </x:c>
      <x:c r="O52" s="2029"/>
      <x:c r="P52" s="2029"/>
      <x:c r="R52" s="295" t="b">
        <x:f t="shared" si="0"/>
        <x:v>0</x:v>
      </x:c>
      <x:c r="AO52" s="284" t="str">
        <x:f t="shared" si="1"/>
        <x:v>34</x:v>
      </x:c>
      <x:c r="AP52" s="1202" t="b">
        <x:v>0</x:v>
      </x:c>
      <x:c r="AQ52" s="236"/>
    </x:row>
    <x:row r="53" spans="1:43" ht="14.1" customHeight="1" x14ac:dyDescent="0.2">
      <x:c r="A53" s="2030"/>
      <x:c r="B53" s="2031"/>
      <x:c r="C53" s="2031"/>
      <x:c r="D53" s="2031"/>
      <x:c r="E53" s="2032"/>
      <x:c r="F53" s="2033"/>
      <x:c r="G53" s="2034"/>
      <x:c r="H53" s="2035"/>
      <x:c r="I53" s="2033"/>
      <x:c r="J53" s="2034"/>
      <x:c r="K53" s="2035"/>
      <x:c r="L53" s="2036"/>
      <x:c r="M53" s="2036"/>
      <x:c r="N53" s="2038" t="s">
        <x:v>117</x:v>
      </x:c>
      <x:c r="O53" s="2029"/>
      <x:c r="P53" s="2029"/>
      <x:c r="R53" s="295" t="b">
        <x:f t="shared" si="0"/>
        <x:v>0</x:v>
      </x:c>
      <x:c r="AO53" s="284" t="str">
        <x:f t="shared" si="1"/>
        <x:v>34</x:v>
      </x:c>
      <x:c r="AP53" s="1202" t="b">
        <x:v>0</x:v>
      </x:c>
      <x:c r="AQ53" s="236"/>
    </x:row>
    <x:row r="54" spans="1:43" ht="14.1" customHeight="1" x14ac:dyDescent="0.2">
      <x:c r="A54" s="2030"/>
      <x:c r="B54" s="2031"/>
      <x:c r="C54" s="2031"/>
      <x:c r="D54" s="2031"/>
      <x:c r="E54" s="2032"/>
      <x:c r="F54" s="2033"/>
      <x:c r="G54" s="2034"/>
      <x:c r="H54" s="2035"/>
      <x:c r="I54" s="2033"/>
      <x:c r="J54" s="2034"/>
      <x:c r="K54" s="2035"/>
      <x:c r="L54" s="2036"/>
      <x:c r="M54" s="2036"/>
      <x:c r="N54" s="2038" t="s">
        <x:v>117</x:v>
      </x:c>
      <x:c r="O54" s="2029"/>
      <x:c r="P54" s="2029"/>
      <x:c r="R54" s="295" t="b">
        <x:f t="shared" si="0"/>
        <x:v>0</x:v>
      </x:c>
      <x:c r="AO54" s="284" t="str">
        <x:f t="shared" si="1"/>
        <x:v>34</x:v>
      </x:c>
      <x:c r="AP54" s="1202" t="b">
        <x:v>0</x:v>
      </x:c>
      <x:c r="AQ54" s="236"/>
    </x:row>
    <x:row r="55" spans="1:43" ht="14.1" customHeight="1" x14ac:dyDescent="0.2">
      <x:c r="A55" s="2041"/>
      <x:c r="B55" s="2042"/>
      <x:c r="C55" s="2042"/>
      <x:c r="D55" s="2042"/>
      <x:c r="E55" s="2043"/>
      <x:c r="F55" s="2044"/>
      <x:c r="G55" s="2045"/>
      <x:c r="H55" s="2046"/>
      <x:c r="I55" s="2044"/>
      <x:c r="J55" s="2045"/>
      <x:c r="K55" s="2046"/>
      <x:c r="L55" s="2047"/>
      <x:c r="M55" s="2047"/>
      <x:c r="N55" s="2048"/>
      <x:c r="O55" s="2029"/>
      <x:c r="P55" s="2029"/>
      <x:c r="R55" s="295" t="b">
        <x:f t="shared" si="0"/>
        <x:v>0</x:v>
      </x:c>
      <x:c r="AO55" s="284" t="str">
        <x:f t="shared" si="1"/>
        <x:v>34</x:v>
      </x:c>
      <x:c r="AP55" s="1202" t="b">
        <x:v>0</x:v>
      </x:c>
      <x:c r="AQ55" s="236"/>
    </x:row>
    <x:row r="56" spans="1:43" ht="15.95" customHeight="1" x14ac:dyDescent="0.2">
      <x:c r="J56" s="449"/>
      <x:c r="K56" s="449"/>
      <x:c r="O56" s="449"/>
      <x:c r="P56" s="449"/>
    </x:row>
    <x:row r="57" spans="1:43" ht="15.95" customHeight="1" x14ac:dyDescent="0.2"/>
    <x:row r="58" spans="1:43" ht="15.95" customHeight="1" x14ac:dyDescent="0.2"/>
    <x:row r="59" spans="1:43" ht="15.95" customHeight="1" x14ac:dyDescent="0.2">
      <x:c r="A59" s="973" t="s">
        <x:v>1062</x:v>
      </x:c>
    </x:row>
    <x:row r="60" spans="1:43" ht="15.95" hidden="1" customHeight="1" x14ac:dyDescent="0.2">
      <x:c r="A60" s="1128" t="s">
        <x:v>113</x:v>
      </x:c>
    </x:row>
    <x:row r="61" spans="1:43" ht="15.95" hidden="1" customHeight="1" x14ac:dyDescent="0.2">
      <x:c r="A61" s="1130" t="s">
        <x:v>2008</x:v>
      </x:c>
    </x:row>
    <x:row r="62" spans="1:43" ht="15.95" hidden="1" customHeight="1" x14ac:dyDescent="0.2"/>
    <x:row r="63" spans="1:43" hidden="1" x14ac:dyDescent="0.2"/>
    <x:row r="64" spans="1:43" hidden="1" x14ac:dyDescent="0.2"/>
    <x:row r="65" spans="1:1" x14ac:dyDescent="0.2">
      <x:c r="A65" s="973" t="s">
        <x:v>1063</x:v>
      </x:c>
    </x:row>
  </x:sheetData>
  <x:sheetProtection algorithmName="SHA-512" hashValue="V/NYLEEkep0ZodTavFWklsFqQSpLqDWe1MGCbqOE7ijYBQyxATY58ccWd9yP5wQ/gFuYLY2CbWmdgmFpK+NQjQ==" saltValue="sazwsSrBpYsfCUxJG309qA==" spinCount="100000" sheet="1" objects="1" scenarios="1" selectLockedCells="1"/>
  <x:mergeCells count="17">
    <x:mergeCell ref="I1:K1"/>
    <x:mergeCell ref="I2:K3"/>
    <x:mergeCell ref="I4:K4"/>
    <x:mergeCell ref="A5:J5"/>
    <x:mergeCell ref="B9:H9"/>
    <x:mergeCell ref="K9:N9"/>
    <x:mergeCell ref="M12:M13"/>
    <x:mergeCell ref="N12:N13"/>
    <x:mergeCell ref="G13:H13"/>
    <x:mergeCell ref="J13:K13"/>
    <x:mergeCell ref="B10:H10"/>
    <x:mergeCell ref="I10:J10"/>
    <x:mergeCell ref="K10:L10"/>
    <x:mergeCell ref="A12:E12"/>
    <x:mergeCell ref="F12:H12"/>
    <x:mergeCell ref="I12:K12"/>
    <x:mergeCell ref="L12:L13"/>
  </x:mergeCells>
  <x:conditionalFormatting sqref="F14:F55">
    <x:cfRule type="expression" dxfId="1471" priority="2" stopIfTrue="1">
      <x:formula>AND($B14="NU",F14&lt;0)</x:formula>
    </x:cfRule>
  </x:conditionalFormatting>
  <x:conditionalFormatting sqref="B14:B55">
    <x:cfRule type="expression" dxfId="1470" priority="3" stopIfTrue="1">
      <x:formula>OR(AND($B14="NU",F14&lt;0),AND($B14="NU",I14&lt;0))</x:formula>
    </x:cfRule>
  </x:conditionalFormatting>
  <x:conditionalFormatting sqref="G14:H55 J14:L55">
    <x:cfRule type="expression" dxfId="1469" priority="4" stopIfTrue="1">
      <x:formula>$R14</x:formula>
    </x:cfRule>
  </x:conditionalFormatting>
  <x:conditionalFormatting sqref="I2:K4">
    <x:cfRule type="cellIs" dxfId="1468" priority="5" stopIfTrue="1" operator="equal">
      <x:formula>""</x:formula>
    </x:cfRule>
  </x:conditionalFormatting>
  <x:conditionalFormatting sqref="I14:I55">
    <x:cfRule type="expression" dxfId="1467" priority="6" stopIfTrue="1">
      <x:formula>OR($R14,$B14="CZ",AND($B14="NU",I14&lt;0))</x:formula>
    </x:cfRule>
  </x:conditionalFormatting>
  <x:conditionalFormatting sqref="A14:P55">
    <x:cfRule type="expression" dxfId="1466" priority="1" stopIfTrue="1">
      <x:formula>$AP14</x:formula>
    </x:cfRule>
  </x:conditionalFormatting>
  <x:dataValidations count="6">
    <x:dataValidation type="list" allowBlank="1" showErrorMessage="1" errorTitle="Invalid Category" error="You MUST select a Category from the dropdown list provided._x000a__x000a_Also, make sure your Cap Lock is turned on." sqref="C14">
      <x:formula1>OFFSET($S$16,0,MATCH($B14,Type,0)-1,OFFSET($S$30,0,MATCH($B14,Type,0)-1))</x:formula1>
    </x:dataValidation>
    <x:dataValidation type="list" allowBlank="1" showErrorMessage="1" errorTitle="Invalid Category" error="You MUST select a Category from the dropdown list provided._x000a__x000a_Also, make sure your Cap Lock is turned on." sqref="C15:C55">
      <x:formula1>OFFSET($S$16,0,MATCH($B15,Type,0)-1,OFFSET($S$30,0,MATCH($B15,Type,0)-1,1),1)</x:formula1>
    </x:dataValidation>
    <x:dataValidation type="list" allowBlank="1" showErrorMessage="1" errorTitle="Invalid Position" error="You MUST select a Position from the dropdown list provided._x000a__x000a_Also, make sure your Cap Lock is turned on." sqref="D14:D55">
      <x:formula1>OFFSET($AH$16,0,OFFSET($S$14,0,MATCH($B14,Type,0)-1),OFFSET($AH$30,0, OFFSET($S$14,0,MATCH($B14,Type,0)-1)))</x:formula1>
    </x:dataValidation>
    <x:dataValidation allowBlank="1" showInputMessage="1" errorTitle="Invalid Load Case" error="You MUST use a Load Case from the list provided." sqref="M14:M55"/>
    <x:dataValidation type="list" allowBlank="1" showErrorMessage="1" errorTitle="Invalid Reference Location" error="You MUST select a Reference Location from the dropdown list provided._x000a__x000a_Also, make sure your Cap Lock is turned on." sqref="L14:L55">
      <x:formula1>IF($AL$14,$AL$16:$AL$21,$AM$16:$AM$19)</x:formula1>
    </x:dataValidation>
    <x:dataValidation type="list" allowBlank="1" showErrorMessage="1" errorTitle="Invalid Type" error="You MUST select a Type from the dropdown list provided._x000a__x000a_Also, make sure your Cap Lock is turned on." sqref="B14:B55">
      <x:formula1>$S$15:$AD$15</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legacyDrawing r:id="rId3"/>
</x:worksheet>
</file>

<file path=xl/worksheets/sheet34.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4">
    <x:tabColor indexed="45"/>
  </x:sheetPr>
  <x:dimension ref="A1:AS65"/>
  <x:sheetViews>
    <x:sheetView showGridLines="0" zoomScaleNormal="100" zoomScaleSheetLayoutView="100" workbookViewId="0">
      <x:selection activeCell="N7" sqref="N7"/>
    </x:sheetView>
  </x:sheetViews>
  <x:sheetFormatPr defaultRowHeight="11.25" x14ac:dyDescent="0.2"/>
  <x:cols>
    <x:col min="1" max="1" width="7.7109375" style="295" customWidth="1"/>
    <x:col min="2" max="4" width="6.7109375" style="295" customWidth="1"/>
    <x:col min="5" max="5" width="6.7109375" style="295" hidden="1" customWidth="1"/>
    <x:col min="6" max="6" width="7.7109375" style="295" customWidth="1"/>
    <x:col min="7" max="7" width="3.7109375" style="295" customWidth="1"/>
    <x:col min="8" max="8" width="5.7109375" style="295" customWidth="1"/>
    <x:col min="9" max="9" width="7.7109375" style="295" customWidth="1"/>
    <x:col min="10" max="10" width="3.7109375" style="295" customWidth="1"/>
    <x:col min="11" max="12" width="5.7109375" style="295" customWidth="1"/>
    <x:col min="13" max="13" width="11.7109375" style="295" customWidth="1"/>
    <x:col min="14" max="14" width="22.7109375" style="295" customWidth="1"/>
    <x:col min="15" max="15" width="7.7109375" style="295" customWidth="1"/>
    <x:col min="16" max="16" width="7.7109375" style="295" hidden="1" customWidth="1"/>
    <x:col min="17" max="40" width="6.7109375" style="295" hidden="1" customWidth="1"/>
    <x:col min="41" max="43" width="9.140625" style="475" hidden="1" customWidth="1"/>
    <x:col min="44" max="16384" width="9.140625" style="295"/>
  </x:cols>
  <x:sheetData>
    <x:row r="1" spans="1:44" s="449" customFormat="1" ht="14.45" customHeight="1" thickBot="1" x14ac:dyDescent="0.25">
      <x:c r="A1" s="444"/>
      <x:c r="B1" s="444"/>
      <x:c r="C1" s="444"/>
      <x:c r="D1" s="444"/>
      <x:c r="E1" s="444"/>
      <x:c r="F1" s="444"/>
      <x:c r="G1" s="444"/>
      <x:c r="H1" s="576"/>
      <x:c r="I1" s="2227" t="str">
        <x:f>IF(S1="","",VLOOKUP(S1,'Job Info.'!X:AA,4,FALSE))</x:f>
        <x:v>Master</x:v>
      </x:c>
      <x:c r="J1" s="2227"/>
      <x:c r="K1" s="2227"/>
      <x:c r="L1" s="445"/>
      <x:c r="M1" s="445" t="s">
        <x:v>96</x:v>
      </x:c>
      <x:c r="N1" s="1827" t="str">
        <x:f ca="1">'Job Info.'!D12</x:f>
        <x:v>775-428-0600</x:v>
      </x:c>
      <x:c r="O1" s="578" t="s">
        <x:v>763</x:v>
      </x:c>
      <x:c r="P1" s="1358"/>
      <x:c r="S1" s="448" t="str">
        <x:f>'Job Info.'!Q30</x:f>
        <x:v>M</x:v>
      </x:c>
      <x:c r="T1" s="448" t="b">
        <x:f>'Job Info.'!Q32</x:f>
        <x:v>0</x:v>
      </x:c>
      <x:c r="AO1" s="448"/>
      <x:c r="AP1" s="448"/>
      <x:c r="AQ1" s="448"/>
      <x:c r="AR1" s="579" t="s">
        <x:v>764</x:v>
      </x:c>
    </x:row>
    <x:row r="2" spans="1:44" s="449" customFormat="1" ht="12.95" customHeight="1" thickTop="1" x14ac:dyDescent="0.2">
      <x:c r="A2" s="444"/>
      <x:c r="B2" s="444"/>
      <x:c r="C2" s="444"/>
      <x:c r="D2" s="444"/>
      <x:c r="E2" s="444"/>
      <x:c r="F2" s="444"/>
      <x:c r="G2" s="444"/>
      <x:c r="H2" s="576"/>
      <x:c r="I2" s="2228" t="str">
        <x:f>IF(S1="","",IF(VLOOKUP(S1,'Job Info.'!X:Z,2,FALSE),"Released for Fabrication",""))</x:f>
        <x:v/>
      </x:c>
      <x:c r="J2" s="2229"/>
      <x:c r="K2" s="2230"/>
      <x:c r="L2" s="445"/>
      <x:c r="M2" s="445" t="s">
        <x:v>97</x:v>
      </x:c>
      <x:c r="N2" s="1827" t="str">
        <x:f ca="1">'Job Info.'!D13</x:f>
        <x:v>775-867-2140</x:v>
      </x:c>
      <x:c r="O2" s="1358"/>
      <x:c r="P2" s="1358"/>
      <x:c r="AO2" s="448"/>
      <x:c r="AP2" s="448"/>
      <x:c r="AQ2" s="448"/>
    </x:row>
    <x:row r="3" spans="1:44" s="449" customFormat="1" ht="12.95" customHeight="1" x14ac:dyDescent="0.2">
      <x:c r="A3" s="444"/>
      <x:c r="B3" s="444"/>
      <x:c r="C3" s="444"/>
      <x:c r="D3" s="444"/>
      <x:c r="E3" s="444"/>
      <x:c r="F3" s="444"/>
      <x:c r="G3" s="444"/>
      <x:c r="H3" s="576"/>
      <x:c r="I3" s="2231"/>
      <x:c r="J3" s="2232"/>
      <x:c r="K3" s="2233"/>
      <x:c r="L3" s="445"/>
      <x:c r="M3" s="445" t="s">
        <x:v>99</x:v>
      </x:c>
      <x:c r="N3" s="1827" t="str">
        <x:f ca="1">'Job Info.'!D14</x:f>
        <x:v>775-867-2169</x:v>
      </x:c>
      <x:c r="O3" s="1358"/>
      <x:c r="P3" s="1358"/>
      <x:c r="AO3" s="448"/>
      <x:c r="AP3" s="448"/>
      <x:c r="AQ3" s="448"/>
    </x:row>
    <x:row r="4" spans="1:44" s="449" customFormat="1" ht="12.95" customHeight="1" thickBot="1" x14ac:dyDescent="0.25">
      <x:c r="A4" s="444"/>
      <x:c r="B4" s="444"/>
      <x:c r="C4" s="444"/>
      <x:c r="D4" s="444"/>
      <x:c r="E4" s="444"/>
      <x:c r="F4" s="444"/>
      <x:c r="G4" s="444"/>
      <x:c r="H4" s="444"/>
      <x:c r="I4" s="2234" t="str">
        <x:f>IF(S1="","",IF(VLOOKUP(S1,'Job Info.'!X:Z,2,FALSE),VLOOKUP(S1,'Job Info.'!X:Z,3,FALSE),""))</x:f>
        <x:v/>
      </x:c>
      <x:c r="J4" s="2235"/>
      <x:c r="K4" s="2236"/>
      <x:c r="L4" s="445"/>
      <x:c r="M4" s="445" t="s">
        <x:v>98</x:v>
      </x:c>
      <x:c r="N4" s="1827" t="str">
        <x:f ca="1">'Job Info.'!D15</x:f>
        <x:v>775-867-2060</x:v>
      </x:c>
      <x:c r="O4" s="1358"/>
      <x:c r="P4" s="1358"/>
      <x:c r="AO4" s="448"/>
      <x:c r="AP4" s="448"/>
      <x:c r="AQ4" s="448"/>
    </x:row>
    <x:row r="5" spans="1:44" s="449" customFormat="1" ht="12.95" customHeight="1" thickTop="1" x14ac:dyDescent="0.2">
      <x:c r="A5" s="2237" t="str">
        <x:f ca="1">'Job Info.'!D11</x:f>
        <x:v>8200 Woolery Way | Fallon, NV 89406 | www.newmill.com</x:v>
      </x:c>
      <x:c r="B5" s="2238"/>
      <x:c r="C5" s="2238"/>
      <x:c r="D5" s="2238"/>
      <x:c r="E5" s="2238"/>
      <x:c r="F5" s="2238"/>
      <x:c r="G5" s="2238"/>
      <x:c r="H5" s="2238"/>
      <x:c r="I5" s="2238"/>
      <x:c r="J5" s="2238"/>
      <x:c r="K5" s="444"/>
      <x:c r="L5" s="444"/>
      <x:c r="M5" s="444"/>
      <x:c r="N5" s="444"/>
      <x:c r="O5" s="1358"/>
      <x:c r="P5" s="1358"/>
      <x:c r="AO5" s="448"/>
      <x:c r="AP5" s="448"/>
      <x:c r="AQ5" s="448"/>
    </x:row>
    <x:row r="6" spans="1:44" s="449" customFormat="1" ht="12.95" customHeight="1" x14ac:dyDescent="0.2">
      <x:c r="A6" s="444"/>
      <x:c r="B6" s="444"/>
      <x:c r="C6" s="444"/>
      <x:c r="D6" s="444"/>
      <x:c r="E6" s="444"/>
      <x:c r="F6" s="444"/>
      <x:c r="G6" s="444"/>
      <x:c r="H6" s="444"/>
      <x:c r="I6" s="444"/>
      <x:c r="J6" s="444"/>
      <x:c r="K6" s="444"/>
      <x:c r="L6" s="444"/>
      <x:c r="M6" s="1836" t="s">
        <x:v>20</x:v>
      </x:c>
      <x:c r="N6" s="1828">
        <x:f>IF(ISBLANK('Job Info.'!D8),"",'Job Info.'!D8)</x:f>
        <x:v>43406</x:v>
      </x:c>
      <x:c r="O6" s="1359"/>
      <x:c r="P6" s="1392" t="s">
        <x:v>1180</x:v>
      </x:c>
      <x:c r="T6" s="780"/>
      <x:c r="AO6" s="448"/>
      <x:c r="AP6" s="448"/>
      <x:c r="AQ6" s="448"/>
    </x:row>
    <x:row r="7" spans="1:44" ht="12.95" customHeight="1" x14ac:dyDescent="0.2">
      <x:c r="A7" s="472" t="s">
        <x:v>43</x:v>
      </x:c>
      <x:c r="B7" s="473"/>
      <x:c r="C7" s="473"/>
      <x:c r="D7" s="473"/>
      <x:c r="E7" s="473"/>
      <x:c r="F7" s="473"/>
      <x:c r="G7" s="444"/>
      <x:c r="H7" s="444"/>
      <x:c r="I7" s="444"/>
      <x:c r="J7" s="444"/>
      <x:c r="K7" s="444"/>
      <x:c r="L7" s="444"/>
      <x:c r="M7" s="1835" t="s">
        <x:v>21</x:v>
      </x:c>
      <x:c r="N7" s="1934" t="str">
        <x:f>CONCATENATE(P7, " of ",IF(ISBLANK('Job Info.'!D9),"",'Job Info.'!D9))</x:f>
        <x:v>10 of 42</x:v>
      </x:c>
      <x:c r="O7" s="1271"/>
      <x:c r="P7" s="1393">
        <x:v>10</x:v>
      </x:c>
      <x:c r="U7" s="449"/>
      <x:c r="V7" s="777"/>
    </x:row>
    <x:row r="8" spans="1:44" ht="3.95" customHeight="1" x14ac:dyDescent="0.2">
      <x:c r="A8" s="473"/>
      <x:c r="B8" s="473"/>
      <x:c r="C8" s="473"/>
      <x:c r="D8" s="473"/>
      <x:c r="E8" s="473"/>
      <x:c r="F8" s="473"/>
      <x:c r="G8" s="473"/>
      <x:c r="H8" s="473"/>
      <x:c r="I8" s="473"/>
      <x:c r="J8" s="473"/>
      <x:c r="K8" s="473"/>
      <x:c r="L8" s="473"/>
      <x:c r="M8" s="473"/>
      <x:c r="N8" s="473"/>
      <x:c r="O8" s="1271"/>
      <x:c r="P8" s="1271"/>
    </x:row>
    <x:row r="9" spans="1:44" ht="12.6" customHeight="1" x14ac:dyDescent="0.2">
      <x:c r="A9" s="1830" t="s">
        <x:v>1</x:v>
      </x:c>
      <x:c r="B9" s="2225" t="str">
        <x:f>IF(ISBLANK('Job Info.'!D3),"",'Job Info.'!D3)</x:f>
        <x:v>SUNPOINT CROSSING</x:v>
      </x:c>
      <x:c r="C9" s="2225"/>
      <x:c r="D9" s="2225"/>
      <x:c r="E9" s="2225"/>
      <x:c r="F9" s="2225"/>
      <x:c r="G9" s="2225"/>
      <x:c r="H9" s="2226"/>
      <x:c r="I9" s="560"/>
      <x:c r="J9" s="1825" t="s">
        <x:v>2</x:v>
      </x:c>
      <x:c r="K9" s="2225" t="str">
        <x:f>IF(ISBLANK('Job Info.'!D5),"",'Job Info.'!D5)</x:f>
        <x:v>9118-0062</x:v>
      </x:c>
      <x:c r="L9" s="2242"/>
      <x:c r="M9" s="2242"/>
      <x:c r="N9" s="2243"/>
      <x:c r="O9" s="1360"/>
      <x:c r="P9" s="1360"/>
      <x:c r="V9" s="778"/>
    </x:row>
    <x:row r="10" spans="1:44" ht="12.6" customHeight="1" x14ac:dyDescent="0.2">
      <x:c r="A10" s="1830" t="s">
        <x:v>3</x:v>
      </x:c>
      <x:c r="B10" s="2225" t="str">
        <x:f>IF(ISBLANK('Job Info.'!D4),"",'Job Info.'!D4)</x:f>
        <x:v>LAS VEGAS, NV</x:v>
      </x:c>
      <x:c r="C10" s="2225"/>
      <x:c r="D10" s="2225"/>
      <x:c r="E10" s="2225"/>
      <x:c r="F10" s="2225"/>
      <x:c r="G10" s="2225"/>
      <x:c r="H10" s="2226"/>
      <x:c r="I10" s="2239" t="s">
        <x:v>22</x:v>
      </x:c>
      <x:c r="J10" s="2239"/>
      <x:c r="K10" s="2225" t="str">
        <x:f>IF(ISBLANK('Job Info.'!D6),"",'Job Info.'!D6)</x:f>
        <x:v>CJA</x:v>
      </x:c>
      <x:c r="L10" s="2226"/>
      <x:c r="M10" s="1830" t="s">
        <x:v>23</x:v>
      </x:c>
      <x:c r="N10" s="1823" t="str">
        <x:f>IF(ISBLANK('Job Info.'!D7),"",'Job Info.'!D7)</x:f>
        <x:v>LS</x:v>
      </x:c>
      <x:c r="O10" s="1360"/>
      <x:c r="P10" s="1360"/>
      <x:c r="W10" s="779"/>
    </x:row>
    <x:row r="11" spans="1:44" ht="3.95" customHeight="1" x14ac:dyDescent="0.2">
      <x:c r="A11" s="1396"/>
      <x:c r="B11" s="473"/>
      <x:c r="C11" s="473"/>
      <x:c r="D11" s="473"/>
      <x:c r="E11" s="473"/>
      <x:c r="F11" s="473"/>
      <x:c r="G11" s="473"/>
      <x:c r="H11" s="473"/>
      <x:c r="I11" s="473"/>
      <x:c r="J11" s="473"/>
      <x:c r="K11" s="473"/>
      <x:c r="L11" s="473"/>
      <x:c r="M11" s="473"/>
      <x:c r="N11" s="473"/>
      <x:c r="O11" s="1358"/>
      <x:c r="P11" s="1358"/>
    </x:row>
    <x:row r="12" spans="1:44" s="570" customFormat="1" ht="14.1" customHeight="1" x14ac:dyDescent="0.2">
      <x:c r="A12" s="2244" t="s">
        <x:v>78</x:v>
      </x:c>
      <x:c r="B12" s="2245"/>
      <x:c r="C12" s="2245"/>
      <x:c r="D12" s="2245"/>
      <x:c r="E12" s="2246"/>
      <x:c r="F12" s="2244" t="s">
        <x:v>50</x:v>
      </x:c>
      <x:c r="G12" s="2245"/>
      <x:c r="H12" s="2250"/>
      <x:c r="I12" s="2244" t="s">
        <x:v>51</x:v>
      </x:c>
      <x:c r="J12" s="2245"/>
      <x:c r="K12" s="2250"/>
      <x:c r="L12" s="2240" t="s">
        <x:v>52</x:v>
      </x:c>
      <x:c r="M12" s="2251" t="s">
        <x:v>782</x:v>
      </x:c>
      <x:c r="N12" s="2240" t="s">
        <x:v>53</x:v>
      </x:c>
      <x:c r="O12" s="1395"/>
      <x:c r="P12" s="1395"/>
      <x:c r="AO12" s="980" t="s">
        <x:v>1016</x:v>
      </x:c>
      <x:c r="AP12" s="1201" t="s">
        <x:v>171</x:v>
      </x:c>
      <x:c r="AQ12" s="571"/>
    </x:row>
    <x:row r="13" spans="1:44" s="570" customFormat="1" ht="14.1" customHeight="1" x14ac:dyDescent="0.2">
      <x:c r="A13" s="1338" t="s">
        <x:v>47</x:v>
      </x:c>
      <x:c r="B13" s="1826" t="s">
        <x:v>17</x:v>
      </x:c>
      <x:c r="C13" s="1826" t="s">
        <x:v>46</x:v>
      </x:c>
      <x:c r="D13" s="1826" t="s">
        <x:v>79</x:v>
      </x:c>
      <x:c r="E13" s="1340" t="s">
        <x:v>45</x:v>
      </x:c>
      <x:c r="F13" s="1338" t="s">
        <x:v>48</x:v>
      </x:c>
      <x:c r="G13" s="2248" t="s">
        <x:v>49</x:v>
      </x:c>
      <x:c r="H13" s="2249"/>
      <x:c r="I13" s="1338" t="s">
        <x:v>48</x:v>
      </x:c>
      <x:c r="J13" s="2248" t="s">
        <x:v>49</x:v>
      </x:c>
      <x:c r="K13" s="2249"/>
      <x:c r="L13" s="2247"/>
      <x:c r="M13" s="2252"/>
      <x:c r="N13" s="2241"/>
      <x:c r="O13" s="1395"/>
      <x:c r="P13" s="1395"/>
      <x:c r="AQ13" s="980"/>
    </x:row>
    <x:row r="14" spans="1:44" ht="14.1" customHeight="1" x14ac:dyDescent="0.2">
      <x:c r="A14" s="2020" t="s">
        <x:v>1677</x:v>
      </x:c>
      <x:c r="B14" s="2021" t="s">
        <x:v>147</x:v>
      </x:c>
      <x:c r="C14" s="2021" t="s">
        <x:v>168</x:v>
      </x:c>
      <x:c r="D14" s="2021" t="s">
        <x:v>146</x:v>
      </x:c>
      <x:c r="E14" s="2022"/>
      <x:c r="F14" s="2023">
        <x:v>-470</x:v>
      </x:c>
      <x:c r="G14" s="2024">
        <x:v>39</x:v>
      </x:c>
      <x:c r="H14" s="2025">
        <x:v>10</x:v>
      </x:c>
      <x:c r="I14" s="2023"/>
      <x:c r="J14" s="2024"/>
      <x:c r="K14" s="2025"/>
      <x:c r="L14" s="2026" t="s">
        <x:v>740</x:v>
      </x:c>
      <x:c r="M14" s="2027" t="s">
        <x:v>850</x:v>
      </x:c>
      <x:c r="N14" s="2028" t="s">
        <x:v>117</x:v>
      </x:c>
      <x:c r="O14" s="2029"/>
      <x:c r="P14" s="2029"/>
      <x:c r="R14" s="295" t="b">
        <x:f>OR(B14="CP",B14="CA", B14="AX",B14="M",B14="S")</x:f>
        <x:v>0</x:v>
      </x:c>
      <x:c r="S14" s="475">
        <x:v>1</x:v>
      </x:c>
      <x:c r="T14" s="475">
        <x:v>0</x:v>
      </x:c>
      <x:c r="U14" s="475">
        <x:v>0</x:v>
      </x:c>
      <x:c r="V14" s="475">
        <x:v>1</x:v>
      </x:c>
      <x:c r="W14" s="475">
        <x:v>0</x:v>
      </x:c>
      <x:c r="X14" s="475">
        <x:v>0</x:v>
      </x:c>
      <x:c r="Y14" s="475">
        <x:v>0</x:v>
      </x:c>
      <x:c r="Z14" s="475">
        <x:v>0</x:v>
      </x:c>
      <x:c r="AA14" s="475">
        <x:v>0</x:v>
      </x:c>
      <x:c r="AB14" s="475">
        <x:v>0</x:v>
      </x:c>
      <x:c r="AC14" s="475">
        <x:v>2</x:v>
      </x:c>
      <x:c r="AD14" s="475">
        <x:v>3</x:v>
      </x:c>
      <x:c r="AE14" s="475">
        <x:v>0</x:v>
      </x:c>
      <x:c r="AF14" s="475">
        <x:v>0</x:v>
      </x:c>
      <x:c r="AG14" s="475">
        <x:v>0</x:v>
      </x:c>
      <x:c r="AL14" s="295" t="b">
        <x:v>1</x:v>
      </x:c>
      <x:c r="AO14" s="284" t="str">
        <x:f>IF(ISBLANK(A14),"",A14)</x:f>
        <x:v>34</x:v>
      </x:c>
      <x:c r="AP14" s="1202" t="b">
        <x:v>0</x:v>
      </x:c>
      <x:c r="AQ14" s="236"/>
    </x:row>
    <x:row r="15" spans="1:44" ht="14.1" customHeight="1" x14ac:dyDescent="0.2">
      <x:c r="A15" s="2030"/>
      <x:c r="B15" s="2031" t="s">
        <x:v>158</x:v>
      </x:c>
      <x:c r="C15" s="2031" t="s">
        <x:v>168</x:v>
      </x:c>
      <x:c r="D15" s="2031" t="s">
        <x:v>146</x:v>
      </x:c>
      <x:c r="E15" s="2032"/>
      <x:c r="F15" s="2033">
        <x:v>800</x:v>
      </x:c>
      <x:c r="G15" s="2034"/>
      <x:c r="H15" s="2035"/>
      <x:c r="I15" s="2033"/>
      <x:c r="J15" s="2034"/>
      <x:c r="K15" s="2035"/>
      <x:c r="L15" s="2036" t="s">
        <x:v>117</x:v>
      </x:c>
      <x:c r="M15" s="2037" t="s">
        <x:v>117</x:v>
      </x:c>
      <x:c r="N15" s="2038" t="s">
        <x:v>117</x:v>
      </x:c>
      <x:c r="O15" s="2029"/>
      <x:c r="P15" s="2029"/>
      <x:c r="R15" s="295" t="b">
        <x:f t="shared" ref="R15:R55" si="0">OR(B15="CP",B15="CA", B15="AX",B15="M",B15="S")</x:f>
        <x:v>1</x:v>
      </x:c>
      <x:c r="S15" s="678" t="s">
        <x:v>152</x:v>
      </x:c>
      <x:c r="T15" s="678" t="s">
        <x:v>145</x:v>
      </x:c>
      <x:c r="U15" s="678" t="s">
        <x:v>153</x:v>
      </x:c>
      <x:c r="V15" s="678" t="s">
        <x:v>149</x:v>
      </x:c>
      <x:c r="W15" s="678" t="s">
        <x:v>154</x:v>
      </x:c>
      <x:c r="X15" s="678" t="s">
        <x:v>155</x:v>
      </x:c>
      <x:c r="Y15" s="678" t="s">
        <x:v>156</x:v>
      </x:c>
      <x:c r="Z15" s="678" t="s">
        <x:v>147</x:v>
      </x:c>
      <x:c r="AA15" s="678" t="s">
        <x:v>157</x:v>
      </x:c>
      <x:c r="AB15" s="678" t="s">
        <x:v>158</x:v>
      </x:c>
      <x:c r="AC15" s="678" t="s">
        <x:v>119</x:v>
      </x:c>
      <x:c r="AD15" s="678" t="s">
        <x:v>159</x:v>
      </x:c>
      <x:c r="AE15" s="284"/>
      <x:c r="AF15" s="284"/>
      <x:c r="AG15" s="284"/>
      <x:c r="AH15" s="475">
        <x:v>0</x:v>
      </x:c>
      <x:c r="AI15" s="475">
        <x:v>1</x:v>
      </x:c>
      <x:c r="AJ15" s="475">
        <x:v>2</x:v>
      </x:c>
      <x:c r="AK15" s="475">
        <x:v>3</x:v>
      </x:c>
      <x:c r="AL15" s="475"/>
      <x:c r="AM15" s="475"/>
      <x:c r="AO15" s="284" t="str">
        <x:f>IF(ISBLANK(A15),AO14,A15)</x:f>
        <x:v>34</x:v>
      </x:c>
      <x:c r="AP15" s="1202" t="b">
        <x:v>0</x:v>
      </x:c>
      <x:c r="AQ15" s="236"/>
    </x:row>
    <x:row r="16" spans="1:44" ht="14.1" customHeight="1" x14ac:dyDescent="0.2">
      <x:c r="A16" s="2030"/>
      <x:c r="B16" s="2031" t="s">
        <x:v>147</x:v>
      </x:c>
      <x:c r="C16" s="2031" t="s">
        <x:v>166</x:v>
      </x:c>
      <x:c r="D16" s="2031" t="s">
        <x:v>146</x:v>
      </x:c>
      <x:c r="E16" s="2032"/>
      <x:c r="F16" s="2033">
        <x:v>140</x:v>
      </x:c>
      <x:c r="G16" s="2034">
        <x:v>39</x:v>
      </x:c>
      <x:c r="H16" s="2035">
        <x:v>10</x:v>
      </x:c>
      <x:c r="I16" s="2033"/>
      <x:c r="J16" s="2034"/>
      <x:c r="K16" s="2035"/>
      <x:c r="L16" s="2036" t="s">
        <x:v>740</x:v>
      </x:c>
      <x:c r="M16" s="2037" t="s">
        <x:v>117</x:v>
      </x:c>
      <x:c r="N16" s="2038" t="s">
        <x:v>117</x:v>
      </x:c>
      <x:c r="O16" s="2029"/>
      <x:c r="P16" s="2029"/>
      <x:c r="R16" s="295" t="b">
        <x:f t="shared" si="0"/>
        <x:v>0</x:v>
      </x:c>
      <x:c r="S16" s="678" t="s">
        <x:v>148</x:v>
      </x:c>
      <x:c r="T16" s="678" t="s">
        <x:v>143</x:v>
      </x:c>
      <x:c r="U16" s="678" t="s">
        <x:v>143</x:v>
      </x:c>
      <x:c r="V16" s="678" t="s">
        <x:v>148</x:v>
      </x:c>
      <x:c r="W16" s="678" t="s">
        <x:v>148</x:v>
      </x:c>
      <x:c r="X16" s="678" t="s">
        <x:v>148</x:v>
      </x:c>
      <x:c r="Y16" s="678" t="s">
        <x:v>148</x:v>
      </x:c>
      <x:c r="Z16" s="678" t="s">
        <x:v>148</x:v>
      </x:c>
      <x:c r="AA16" s="678" t="s">
        <x:v>148</x:v>
      </x:c>
      <x:c r="AB16" s="678" t="s">
        <x:v>148</x:v>
      </x:c>
      <x:c r="AC16" s="678" t="s">
        <x:v>148</x:v>
      </x:c>
      <x:c r="AD16" s="678" t="s">
        <x:v>148</x:v>
      </x:c>
      <x:c r="AE16" s="284"/>
      <x:c r="AF16" s="284"/>
      <x:c r="AG16" s="284"/>
      <x:c r="AH16" s="284" t="s">
        <x:v>146</x:v>
      </x:c>
      <x:c r="AI16" s="284" t="s">
        <x:v>146</x:v>
      </x:c>
      <x:c r="AJ16" s="284" t="s">
        <x:v>169</x:v>
      </x:c>
      <x:c r="AK16" s="284" t="s">
        <x:v>146</x:v>
      </x:c>
      <x:c r="AL16" s="284" t="s">
        <x:v>740</x:v>
      </x:c>
      <x:c r="AM16" s="284" t="s">
        <x:v>740</x:v>
      </x:c>
      <x:c r="AN16" s="536" t="s">
        <x:v>783</x:v>
      </x:c>
      <x:c r="AO16" s="284" t="str">
        <x:f t="shared" ref="AO16:AO55" si="1">IF(ISBLANK(A16),AO15,A16)</x:f>
        <x:v>34</x:v>
      </x:c>
      <x:c r="AP16" s="1202" t="b">
        <x:v>0</x:v>
      </x:c>
      <x:c r="AQ16" s="236"/>
    </x:row>
    <x:row r="17" spans="1:43" ht="14.1" customHeight="1" x14ac:dyDescent="0.2">
      <x:c r="A17" s="2030" t="s">
        <x:v>1678</x:v>
      </x:c>
      <x:c r="B17" s="2031" t="s">
        <x:v>147</x:v>
      </x:c>
      <x:c r="C17" s="2031" t="s">
        <x:v>168</x:v>
      </x:c>
      <x:c r="D17" s="2031" t="s">
        <x:v>146</x:v>
      </x:c>
      <x:c r="E17" s="2032"/>
      <x:c r="F17" s="2033">
        <x:v>470</x:v>
      </x:c>
      <x:c r="G17" s="2034">
        <x:v>18</x:v>
      </x:c>
      <x:c r="H17" s="2035">
        <x:v>3.75</x:v>
      </x:c>
      <x:c r="I17" s="2033"/>
      <x:c r="J17" s="2034"/>
      <x:c r="K17" s="2035"/>
      <x:c r="L17" s="2036" t="s">
        <x:v>740</x:v>
      </x:c>
      <x:c r="M17" s="2037" t="s">
        <x:v>117</x:v>
      </x:c>
      <x:c r="N17" s="2038" t="s">
        <x:v>1673</x:v>
      </x:c>
      <x:c r="O17" s="2029"/>
      <x:c r="P17" s="2029"/>
      <x:c r="R17" s="295" t="b">
        <x:f t="shared" si="0"/>
        <x:v>0</x:v>
      </x:c>
      <x:c r="S17" s="678" t="s">
        <x:v>163</x:v>
      </x:c>
      <x:c r="T17" s="678" t="s">
        <x:v>168</x:v>
      </x:c>
      <x:c r="U17" s="678" t="s">
        <x:v>168</x:v>
      </x:c>
      <x:c r="V17" s="678" t="s">
        <x:v>163</x:v>
      </x:c>
      <x:c r="W17" s="678" t="s">
        <x:v>163</x:v>
      </x:c>
      <x:c r="X17" s="678" t="s">
        <x:v>163</x:v>
      </x:c>
      <x:c r="Y17" s="678" t="s">
        <x:v>163</x:v>
      </x:c>
      <x:c r="Z17" s="678" t="s">
        <x:v>163</x:v>
      </x:c>
      <x:c r="AA17" s="678" t="s">
        <x:v>163</x:v>
      </x:c>
      <x:c r="AB17" s="678" t="s">
        <x:v>163</x:v>
      </x:c>
      <x:c r="AC17" s="678" t="s">
        <x:v>163</x:v>
      </x:c>
      <x:c r="AD17" s="678" t="s">
        <x:v>163</x:v>
      </x:c>
      <x:c r="AE17" s="284"/>
      <x:c r="AF17" s="284"/>
      <x:c r="AG17" s="284"/>
      <x:c r="AH17" s="284" t="s">
        <x:v>160</x:v>
      </x:c>
      <x:c r="AI17" s="284" t="s">
        <x:v>160</x:v>
      </x:c>
      <x:c r="AJ17" s="284" t="s">
        <x:v>170</x:v>
      </x:c>
      <x:c r="AK17" s="284"/>
      <x:c r="AL17" s="284" t="s">
        <x:v>741</x:v>
      </x:c>
      <x:c r="AM17" s="284" t="s">
        <x:v>742</x:v>
      </x:c>
      <x:c r="AN17" s="536" t="s">
        <x:v>784</x:v>
      </x:c>
      <x:c r="AO17" s="284" t="str">
        <x:f t="shared" si="1"/>
        <x:v>35</x:v>
      </x:c>
      <x:c r="AP17" s="1202" t="b">
        <x:v>0</x:v>
      </x:c>
      <x:c r="AQ17" s="236"/>
    </x:row>
    <x:row r="18" spans="1:43" ht="14.1" customHeight="1" x14ac:dyDescent="0.2">
      <x:c r="A18" s="2030"/>
      <x:c r="B18" s="2031" t="s">
        <x:v>147</x:v>
      </x:c>
      <x:c r="C18" s="2031" t="s">
        <x:v>168</x:v>
      </x:c>
      <x:c r="D18" s="2031" t="s">
        <x:v>146</x:v>
      </x:c>
      <x:c r="E18" s="2032"/>
      <x:c r="F18" s="2033">
        <x:v>-470</x:v>
      </x:c>
      <x:c r="G18" s="2034">
        <x:v>18</x:v>
      </x:c>
      <x:c r="H18" s="2035">
        <x:v>3.75</x:v>
      </x:c>
      <x:c r="I18" s="2033"/>
      <x:c r="J18" s="2034"/>
      <x:c r="K18" s="2035"/>
      <x:c r="L18" s="2036" t="s">
        <x:v>740</x:v>
      </x:c>
      <x:c r="M18" s="2037" t="s">
        <x:v>850</x:v>
      </x:c>
      <x:c r="N18" s="2038" t="s">
        <x:v>117</x:v>
      </x:c>
      <x:c r="O18" s="2029"/>
      <x:c r="P18" s="2029"/>
      <x:c r="R18" s="295" t="b">
        <x:f t="shared" si="0"/>
        <x:v>0</x:v>
      </x:c>
      <x:c r="S18" s="678" t="s">
        <x:v>164</x:v>
      </x:c>
      <x:c r="T18" s="284"/>
      <x:c r="U18" s="284"/>
      <x:c r="V18" s="678" t="s">
        <x:v>164</x:v>
      </x:c>
      <x:c r="W18" s="678" t="s">
        <x:v>164</x:v>
      </x:c>
      <x:c r="X18" s="678" t="s">
        <x:v>164</x:v>
      </x:c>
      <x:c r="Y18" s="678" t="s">
        <x:v>164</x:v>
      </x:c>
      <x:c r="Z18" s="678" t="s">
        <x:v>164</x:v>
      </x:c>
      <x:c r="AA18" s="678" t="s">
        <x:v>164</x:v>
      </x:c>
      <x:c r="AB18" s="678" t="s">
        <x:v>164</x:v>
      </x:c>
      <x:c r="AC18" s="678" t="s">
        <x:v>164</x:v>
      </x:c>
      <x:c r="AD18" s="678" t="s">
        <x:v>164</x:v>
      </x:c>
      <x:c r="AE18" s="284"/>
      <x:c r="AF18" s="284"/>
      <x:c r="AG18" s="284"/>
      <x:c r="AH18" s="284"/>
      <x:c r="AI18" s="284" t="s">
        <x:v>161</x:v>
      </x:c>
      <x:c r="AJ18" s="284" t="s">
        <x:v>144</x:v>
      </x:c>
      <x:c r="AK18" s="284"/>
      <x:c r="AL18" s="284" t="s">
        <x:v>742</x:v>
      </x:c>
      <x:c r="AM18" s="284" t="s">
        <x:v>744</x:v>
      </x:c>
      <x:c r="AN18" s="536" t="s">
        <x:v>785</x:v>
      </x:c>
      <x:c r="AO18" s="284" t="str">
        <x:f t="shared" si="1"/>
        <x:v>35</x:v>
      </x:c>
      <x:c r="AP18" s="1202" t="b">
        <x:v>0</x:v>
      </x:c>
      <x:c r="AQ18" s="236"/>
    </x:row>
    <x:row r="19" spans="1:43" ht="14.1" customHeight="1" x14ac:dyDescent="0.2">
      <x:c r="A19" s="2030"/>
      <x:c r="B19" s="2031" t="s">
        <x:v>158</x:v>
      </x:c>
      <x:c r="C19" s="2031" t="s">
        <x:v>168</x:v>
      </x:c>
      <x:c r="D19" s="2031" t="s">
        <x:v>146</x:v>
      </x:c>
      <x:c r="E19" s="2032"/>
      <x:c r="F19" s="2033">
        <x:v>800</x:v>
      </x:c>
      <x:c r="G19" s="2034"/>
      <x:c r="H19" s="2035"/>
      <x:c r="I19" s="2033"/>
      <x:c r="J19" s="2034"/>
      <x:c r="K19" s="2035"/>
      <x:c r="L19" s="2036" t="s">
        <x:v>117</x:v>
      </x:c>
      <x:c r="M19" s="2037" t="s">
        <x:v>117</x:v>
      </x:c>
      <x:c r="N19" s="2038" t="s">
        <x:v>117</x:v>
      </x:c>
      <x:c r="O19" s="2029"/>
      <x:c r="P19" s="2029"/>
      <x:c r="R19" s="295" t="b">
        <x:f t="shared" si="0"/>
        <x:v>1</x:v>
      </x:c>
      <x:c r="S19" s="678" t="s">
        <x:v>143</x:v>
      </x:c>
      <x:c r="T19" s="284"/>
      <x:c r="U19" s="284"/>
      <x:c r="V19" s="678" t="s">
        <x:v>143</x:v>
      </x:c>
      <x:c r="W19" s="678" t="s">
        <x:v>143</x:v>
      </x:c>
      <x:c r="X19" s="678" t="s">
        <x:v>143</x:v>
      </x:c>
      <x:c r="Y19" s="678" t="s">
        <x:v>143</x:v>
      </x:c>
      <x:c r="Z19" s="678" t="s">
        <x:v>143</x:v>
      </x:c>
      <x:c r="AA19" s="678" t="s">
        <x:v>143</x:v>
      </x:c>
      <x:c r="AB19" s="678" t="s">
        <x:v>143</x:v>
      </x:c>
      <x:c r="AC19" s="678" t="s">
        <x:v>143</x:v>
      </x:c>
      <x:c r="AD19" s="678" t="s">
        <x:v>166</x:v>
      </x:c>
      <x:c r="AE19" s="284"/>
      <x:c r="AF19" s="284"/>
      <x:c r="AG19" s="284"/>
      <x:c r="AH19" s="284"/>
      <x:c r="AI19" s="284" t="s">
        <x:v>162</x:v>
      </x:c>
      <x:c r="AJ19" s="284"/>
      <x:c r="AK19" s="554"/>
      <x:c r="AL19" s="284" t="s">
        <x:v>743</x:v>
      </x:c>
      <x:c r="AM19" s="284" t="s">
        <x:v>745</x:v>
      </x:c>
      <x:c r="AN19" s="536" t="s">
        <x:v>786</x:v>
      </x:c>
      <x:c r="AO19" s="284" t="str">
        <x:f t="shared" si="1"/>
        <x:v>35</x:v>
      </x:c>
      <x:c r="AP19" s="1202" t="b">
        <x:v>0</x:v>
      </x:c>
      <x:c r="AQ19" s="236"/>
    </x:row>
    <x:row r="20" spans="1:43" ht="14.1" customHeight="1" x14ac:dyDescent="0.2">
      <x:c r="A20" s="2030"/>
      <x:c r="B20" s="2031" t="s">
        <x:v>147</x:v>
      </x:c>
      <x:c r="C20" s="2031" t="s">
        <x:v>166</x:v>
      </x:c>
      <x:c r="D20" s="2031" t="s">
        <x:v>146</x:v>
      </x:c>
      <x:c r="E20" s="2032"/>
      <x:c r="F20" s="2033">
        <x:v>140</x:v>
      </x:c>
      <x:c r="G20" s="2034">
        <x:v>18</x:v>
      </x:c>
      <x:c r="H20" s="2035">
        <x:v>3.75</x:v>
      </x:c>
      <x:c r="I20" s="2033"/>
      <x:c r="J20" s="2034"/>
      <x:c r="K20" s="2035"/>
      <x:c r="L20" s="2036" t="s">
        <x:v>740</x:v>
      </x:c>
      <x:c r="M20" s="2037" t="s">
        <x:v>117</x:v>
      </x:c>
      <x:c r="N20" s="2039" t="s">
        <x:v>117</x:v>
      </x:c>
      <x:c r="O20" s="2040"/>
      <x:c r="P20" s="2040"/>
      <x:c r="R20" s="295" t="b">
        <x:f t="shared" si="0"/>
        <x:v>0</x:v>
      </x:c>
      <x:c r="S20" s="678" t="s">
        <x:v>165</x:v>
      </x:c>
      <x:c r="T20" s="284"/>
      <x:c r="U20" s="284"/>
      <x:c r="V20" s="678" t="s">
        <x:v>166</x:v>
      </x:c>
      <x:c r="W20" s="678" t="s">
        <x:v>166</x:v>
      </x:c>
      <x:c r="X20" s="678" t="s">
        <x:v>166</x:v>
      </x:c>
      <x:c r="Y20" s="678" t="s">
        <x:v>166</x:v>
      </x:c>
      <x:c r="Z20" s="678" t="s">
        <x:v>166</x:v>
      </x:c>
      <x:c r="AA20" s="678" t="s">
        <x:v>166</x:v>
      </x:c>
      <x:c r="AB20" s="678" t="s">
        <x:v>166</x:v>
      </x:c>
      <x:c r="AC20" s="678" t="s">
        <x:v>166</x:v>
      </x:c>
      <x:c r="AD20" s="284"/>
      <x:c r="AE20" s="284"/>
      <x:c r="AF20" s="284"/>
      <x:c r="AG20" s="284"/>
      <x:c r="AH20" s="475"/>
      <x:c r="AI20" s="475"/>
      <x:c r="AJ20" s="475"/>
      <x:c r="AL20" s="284" t="s">
        <x:v>744</x:v>
      </x:c>
      <x:c r="AM20" s="284"/>
      <x:c r="AN20" s="536"/>
      <x:c r="AO20" s="284" t="str">
        <x:f t="shared" si="1"/>
        <x:v>35</x:v>
      </x:c>
      <x:c r="AP20" s="1202" t="b">
        <x:v>0</x:v>
      </x:c>
      <x:c r="AQ20" s="236"/>
    </x:row>
    <x:row r="21" spans="1:43" ht="14.1" customHeight="1" x14ac:dyDescent="0.2">
      <x:c r="A21" s="2030" t="s">
        <x:v>1679</x:v>
      </x:c>
      <x:c r="B21" s="2031" t="s">
        <x:v>147</x:v>
      </x:c>
      <x:c r="C21" s="2031" t="s">
        <x:v>168</x:v>
      </x:c>
      <x:c r="D21" s="2031" t="s">
        <x:v>146</x:v>
      </x:c>
      <x:c r="E21" s="2032"/>
      <x:c r="F21" s="2033">
        <x:v>470</x:v>
      </x:c>
      <x:c r="G21" s="2034">
        <x:v>34</x:v>
      </x:c>
      <x:c r="H21" s="2035">
        <x:v>11</x:v>
      </x:c>
      <x:c r="I21" s="2033"/>
      <x:c r="J21" s="2034"/>
      <x:c r="K21" s="2035"/>
      <x:c r="L21" s="2036" t="s">
        <x:v>740</x:v>
      </x:c>
      <x:c r="M21" s="2037" t="s">
        <x:v>117</x:v>
      </x:c>
      <x:c r="N21" s="2039" t="s">
        <x:v>1673</x:v>
      </x:c>
      <x:c r="O21" s="2040"/>
      <x:c r="P21" s="2040"/>
      <x:c r="R21" s="295" t="b">
        <x:f t="shared" si="0"/>
        <x:v>0</x:v>
      </x:c>
      <x:c r="S21" s="678" t="s">
        <x:v>166</x:v>
      </x:c>
      <x:c r="T21" s="284"/>
      <x:c r="U21" s="284"/>
      <x:c r="V21" s="678" t="s">
        <x:v>168</x:v>
      </x:c>
      <x:c r="W21" s="678" t="s">
        <x:v>168</x:v>
      </x:c>
      <x:c r="X21" s="678" t="s">
        <x:v>168</x:v>
      </x:c>
      <x:c r="Y21" s="678" t="s">
        <x:v>168</x:v>
      </x:c>
      <x:c r="Z21" s="678" t="s">
        <x:v>168</x:v>
      </x:c>
      <x:c r="AA21" s="678" t="s">
        <x:v>168</x:v>
      </x:c>
      <x:c r="AB21" s="678" t="s">
        <x:v>168</x:v>
      </x:c>
      <x:c r="AC21" s="678" t="s">
        <x:v>168</x:v>
      </x:c>
      <x:c r="AD21" s="284"/>
      <x:c r="AE21" s="284"/>
      <x:c r="AF21" s="284"/>
      <x:c r="AG21" s="284"/>
      <x:c r="AH21" s="475"/>
      <x:c r="AI21" s="475"/>
      <x:c r="AJ21" s="475"/>
      <x:c r="AL21" s="284" t="s">
        <x:v>745</x:v>
      </x:c>
      <x:c r="AM21" s="284"/>
      <x:c r="AN21" s="536"/>
      <x:c r="AO21" s="284" t="str">
        <x:f t="shared" si="1"/>
        <x:v>36</x:v>
      </x:c>
      <x:c r="AP21" s="1202" t="b">
        <x:v>0</x:v>
      </x:c>
      <x:c r="AQ21" s="236"/>
    </x:row>
    <x:row r="22" spans="1:43" ht="14.1" customHeight="1" x14ac:dyDescent="0.2">
      <x:c r="A22" s="2030"/>
      <x:c r="B22" s="2031" t="s">
        <x:v>147</x:v>
      </x:c>
      <x:c r="C22" s="2031" t="s">
        <x:v>168</x:v>
      </x:c>
      <x:c r="D22" s="2031" t="s">
        <x:v>146</x:v>
      </x:c>
      <x:c r="E22" s="2032"/>
      <x:c r="F22" s="2033">
        <x:v>-470</x:v>
      </x:c>
      <x:c r="G22" s="2034">
        <x:v>34</x:v>
      </x:c>
      <x:c r="H22" s="2035">
        <x:v>11</x:v>
      </x:c>
      <x:c r="I22" s="2033"/>
      <x:c r="J22" s="2034"/>
      <x:c r="K22" s="2035"/>
      <x:c r="L22" s="2036" t="s">
        <x:v>740</x:v>
      </x:c>
      <x:c r="M22" s="2037" t="s">
        <x:v>850</x:v>
      </x:c>
      <x:c r="N22" s="2039" t="s">
        <x:v>117</x:v>
      </x:c>
      <x:c r="O22" s="2040"/>
      <x:c r="P22" s="2040"/>
      <x:c r="R22" s="295" t="b">
        <x:f t="shared" si="0"/>
        <x:v>0</x:v>
      </x:c>
      <x:c r="S22" s="678" t="s">
        <x:v>168</x:v>
      </x:c>
      <x:c r="T22" s="284"/>
      <x:c r="U22" s="284"/>
      <x:c r="V22" s="678" t="s">
        <x:v>167</x:v>
      </x:c>
      <x:c r="W22" s="678" t="s">
        <x:v>167</x:v>
      </x:c>
      <x:c r="X22" s="678" t="s">
        <x:v>167</x:v>
      </x:c>
      <x:c r="Y22" s="678" t="s">
        <x:v>167</x:v>
      </x:c>
      <x:c r="Z22" s="678" t="s">
        <x:v>167</x:v>
      </x:c>
      <x:c r="AA22" s="678" t="s">
        <x:v>167</x:v>
      </x:c>
      <x:c r="AB22" s="678" t="s">
        <x:v>167</x:v>
      </x:c>
      <x:c r="AC22" s="678" t="s">
        <x:v>167</x:v>
      </x:c>
      <x:c r="AD22" s="284"/>
      <x:c r="AE22" s="284"/>
      <x:c r="AF22" s="284"/>
      <x:c r="AG22" s="284"/>
      <x:c r="AH22" s="475"/>
      <x:c r="AI22" s="475"/>
      <x:c r="AJ22" s="475"/>
      <x:c r="AL22" s="284"/>
      <x:c r="AM22" s="284"/>
      <x:c r="AN22" s="536"/>
      <x:c r="AO22" s="284" t="str">
        <x:f t="shared" si="1"/>
        <x:v>36</x:v>
      </x:c>
      <x:c r="AP22" s="1202" t="b">
        <x:v>0</x:v>
      </x:c>
      <x:c r="AQ22" s="236"/>
    </x:row>
    <x:row r="23" spans="1:43" ht="14.1" customHeight="1" x14ac:dyDescent="0.2">
      <x:c r="A23" s="2030"/>
      <x:c r="B23" s="2031" t="s">
        <x:v>158</x:v>
      </x:c>
      <x:c r="C23" s="2031" t="s">
        <x:v>168</x:v>
      </x:c>
      <x:c r="D23" s="2031" t="s">
        <x:v>146</x:v>
      </x:c>
      <x:c r="E23" s="2032"/>
      <x:c r="F23" s="2033">
        <x:v>800</x:v>
      </x:c>
      <x:c r="G23" s="2034"/>
      <x:c r="H23" s="2035"/>
      <x:c r="I23" s="2033"/>
      <x:c r="J23" s="2034"/>
      <x:c r="K23" s="2035"/>
      <x:c r="L23" s="2036" t="s">
        <x:v>117</x:v>
      </x:c>
      <x:c r="M23" s="2037" t="s">
        <x:v>117</x:v>
      </x:c>
      <x:c r="N23" s="2039" t="s">
        <x:v>117</x:v>
      </x:c>
      <x:c r="O23" s="2040"/>
      <x:c r="P23" s="2040"/>
      <x:c r="R23" s="295" t="b">
        <x:f t="shared" si="0"/>
        <x:v>1</x:v>
      </x:c>
      <x:c r="S23" s="678" t="s">
        <x:v>167</x:v>
      </x:c>
      <x:c r="T23" s="577"/>
      <x:c r="U23" s="577"/>
      <x:c r="V23" s="577"/>
      <x:c r="W23" s="577"/>
      <x:c r="X23" s="577"/>
      <x:c r="Y23" s="577"/>
      <x:c r="Z23" s="577"/>
      <x:c r="AA23" s="577"/>
      <x:c r="AB23" s="577"/>
      <x:c r="AC23" s="577"/>
      <x:c r="AD23" s="577"/>
      <x:c r="AE23" s="577"/>
      <x:c r="AF23" s="577"/>
      <x:c r="AG23" s="577"/>
      <x:c r="AH23" s="475"/>
      <x:c r="AI23" s="475"/>
      <x:c r="AJ23" s="475"/>
      <x:c r="AL23" s="284"/>
      <x:c r="AM23" s="284"/>
      <x:c r="AN23" s="536"/>
      <x:c r="AO23" s="284" t="str">
        <x:f t="shared" si="1"/>
        <x:v>36</x:v>
      </x:c>
      <x:c r="AP23" s="1202" t="b">
        <x:v>0</x:v>
      </x:c>
      <x:c r="AQ23" s="236"/>
    </x:row>
    <x:row r="24" spans="1:43" ht="14.1" customHeight="1" x14ac:dyDescent="0.2">
      <x:c r="A24" s="2030"/>
      <x:c r="B24" s="2031" t="s">
        <x:v>147</x:v>
      </x:c>
      <x:c r="C24" s="2031" t="s">
        <x:v>166</x:v>
      </x:c>
      <x:c r="D24" s="2031" t="s">
        <x:v>146</x:v>
      </x:c>
      <x:c r="E24" s="2032"/>
      <x:c r="F24" s="2033">
        <x:v>140</x:v>
      </x:c>
      <x:c r="G24" s="2034">
        <x:v>34</x:v>
      </x:c>
      <x:c r="H24" s="2035">
        <x:v>11</x:v>
      </x:c>
      <x:c r="I24" s="2033"/>
      <x:c r="J24" s="2034"/>
      <x:c r="K24" s="2035"/>
      <x:c r="L24" s="2036" t="s">
        <x:v>740</x:v>
      </x:c>
      <x:c r="M24" s="2037" t="s">
        <x:v>117</x:v>
      </x:c>
      <x:c r="N24" s="2039" t="s">
        <x:v>117</x:v>
      </x:c>
      <x:c r="O24" s="2040"/>
      <x:c r="P24" s="2040"/>
      <x:c r="R24" s="295" t="b">
        <x:f t="shared" si="0"/>
        <x:v>0</x:v>
      </x:c>
      <x:c r="S24" s="577"/>
      <x:c r="T24" s="577"/>
      <x:c r="U24" s="577"/>
      <x:c r="V24" s="577"/>
      <x:c r="W24" s="577"/>
      <x:c r="X24" s="577"/>
      <x:c r="Y24" s="577"/>
      <x:c r="Z24" s="577"/>
      <x:c r="AA24" s="577"/>
      <x:c r="AB24" s="577"/>
      <x:c r="AC24" s="577"/>
      <x:c r="AD24" s="577"/>
      <x:c r="AE24" s="577"/>
      <x:c r="AF24" s="577"/>
      <x:c r="AG24" s="577"/>
      <x:c r="AH24" s="475"/>
      <x:c r="AI24" s="475"/>
      <x:c r="AJ24" s="475"/>
      <x:c r="AL24" s="284"/>
      <x:c r="AM24" s="284"/>
      <x:c r="AN24" s="536"/>
      <x:c r="AO24" s="284" t="str">
        <x:f t="shared" si="1"/>
        <x:v>36</x:v>
      </x:c>
      <x:c r="AP24" s="1202" t="b">
        <x:v>0</x:v>
      </x:c>
      <x:c r="AQ24" s="236"/>
    </x:row>
    <x:row r="25" spans="1:43" ht="14.1" customHeight="1" x14ac:dyDescent="0.2">
      <x:c r="A25" s="2030" t="s">
        <x:v>1680</x:v>
      </x:c>
      <x:c r="B25" s="2031" t="s">
        <x:v>147</x:v>
      </x:c>
      <x:c r="C25" s="2031" t="s">
        <x:v>168</x:v>
      </x:c>
      <x:c r="D25" s="2031" t="s">
        <x:v>146</x:v>
      </x:c>
      <x:c r="E25" s="2032"/>
      <x:c r="F25" s="2033">
        <x:v>470</x:v>
      </x:c>
      <x:c r="G25" s="2034">
        <x:v>46</x:v>
      </x:c>
      <x:c r="H25" s="2035">
        <x:v>6</x:v>
      </x:c>
      <x:c r="I25" s="2033"/>
      <x:c r="J25" s="2034"/>
      <x:c r="K25" s="2035"/>
      <x:c r="L25" s="2036" t="s">
        <x:v>740</x:v>
      </x:c>
      <x:c r="M25" s="2037" t="s">
        <x:v>117</x:v>
      </x:c>
      <x:c r="N25" s="2039" t="s">
        <x:v>1673</x:v>
      </x:c>
      <x:c r="O25" s="2040"/>
      <x:c r="P25" s="2040"/>
      <x:c r="R25" s="295" t="b">
        <x:f t="shared" si="0"/>
        <x:v>0</x:v>
      </x:c>
      <x:c r="S25" s="284"/>
      <x:c r="T25" s="284"/>
      <x:c r="U25" s="284"/>
      <x:c r="V25" s="284"/>
      <x:c r="W25" s="284"/>
      <x:c r="X25" s="284"/>
      <x:c r="Y25" s="284"/>
      <x:c r="Z25" s="284"/>
      <x:c r="AA25" s="284"/>
      <x:c r="AB25" s="284"/>
      <x:c r="AC25" s="284"/>
      <x:c r="AD25" s="284"/>
      <x:c r="AE25" s="284"/>
      <x:c r="AF25" s="284"/>
      <x:c r="AG25" s="284"/>
      <x:c r="AH25" s="475"/>
      <x:c r="AI25" s="475"/>
      <x:c r="AJ25" s="475"/>
      <x:c r="AO25" s="284" t="str">
        <x:f t="shared" si="1"/>
        <x:v>37</x:v>
      </x:c>
      <x:c r="AP25" s="1202" t="b">
        <x:v>0</x:v>
      </x:c>
      <x:c r="AQ25" s="236"/>
    </x:row>
    <x:row r="26" spans="1:43" ht="14.1" customHeight="1" x14ac:dyDescent="0.2">
      <x:c r="A26" s="2030"/>
      <x:c r="B26" s="2031" t="s">
        <x:v>147</x:v>
      </x:c>
      <x:c r="C26" s="2031" t="s">
        <x:v>168</x:v>
      </x:c>
      <x:c r="D26" s="2031" t="s">
        <x:v>146</x:v>
      </x:c>
      <x:c r="E26" s="2032"/>
      <x:c r="F26" s="2033">
        <x:v>-470</x:v>
      </x:c>
      <x:c r="G26" s="2034">
        <x:v>46</x:v>
      </x:c>
      <x:c r="H26" s="2035">
        <x:v>6</x:v>
      </x:c>
      <x:c r="I26" s="2033"/>
      <x:c r="J26" s="2034"/>
      <x:c r="K26" s="2035"/>
      <x:c r="L26" s="2036" t="s">
        <x:v>740</x:v>
      </x:c>
      <x:c r="M26" s="2037" t="s">
        <x:v>850</x:v>
      </x:c>
      <x:c r="N26" s="2039" t="s">
        <x:v>117</x:v>
      </x:c>
      <x:c r="O26" s="2040"/>
      <x:c r="P26" s="2040"/>
      <x:c r="R26" s="295" t="b">
        <x:f t="shared" si="0"/>
        <x:v>0</x:v>
      </x:c>
      <x:c r="S26" s="284"/>
      <x:c r="T26" s="284"/>
      <x:c r="U26" s="284"/>
      <x:c r="V26" s="284"/>
      <x:c r="W26" s="284"/>
      <x:c r="X26" s="284"/>
      <x:c r="Y26" s="284"/>
      <x:c r="Z26" s="284"/>
      <x:c r="AA26" s="284"/>
      <x:c r="AB26" s="284"/>
      <x:c r="AC26" s="284"/>
      <x:c r="AD26" s="284"/>
      <x:c r="AE26" s="284"/>
      <x:c r="AF26" s="284"/>
      <x:c r="AG26" s="284"/>
      <x:c r="AH26" s="475"/>
      <x:c r="AI26" s="475"/>
      <x:c r="AJ26" s="475"/>
      <x:c r="AO26" s="284" t="str">
        <x:f t="shared" si="1"/>
        <x:v>37</x:v>
      </x:c>
      <x:c r="AP26" s="1202" t="b">
        <x:v>0</x:v>
      </x:c>
      <x:c r="AQ26" s="236"/>
    </x:row>
    <x:row r="27" spans="1:43" ht="14.1" customHeight="1" x14ac:dyDescent="0.2">
      <x:c r="A27" s="2030"/>
      <x:c r="B27" s="2031" t="s">
        <x:v>158</x:v>
      </x:c>
      <x:c r="C27" s="2031" t="s">
        <x:v>168</x:v>
      </x:c>
      <x:c r="D27" s="2031" t="s">
        <x:v>146</x:v>
      </x:c>
      <x:c r="E27" s="2032"/>
      <x:c r="F27" s="2033">
        <x:v>800</x:v>
      </x:c>
      <x:c r="G27" s="2034"/>
      <x:c r="H27" s="2035"/>
      <x:c r="I27" s="2033"/>
      <x:c r="J27" s="2034"/>
      <x:c r="K27" s="2035"/>
      <x:c r="L27" s="2036" t="s">
        <x:v>117</x:v>
      </x:c>
      <x:c r="M27" s="2037" t="s">
        <x:v>117</x:v>
      </x:c>
      <x:c r="N27" s="2039" t="s">
        <x:v>117</x:v>
      </x:c>
      <x:c r="O27" s="2040"/>
      <x:c r="P27" s="2040"/>
      <x:c r="R27" s="295" t="b">
        <x:f t="shared" si="0"/>
        <x:v>1</x:v>
      </x:c>
      <x:c r="S27" s="284"/>
      <x:c r="T27" s="284"/>
      <x:c r="U27" s="284"/>
      <x:c r="V27" s="284"/>
      <x:c r="W27" s="284"/>
      <x:c r="X27" s="284"/>
      <x:c r="Y27" s="284"/>
      <x:c r="Z27" s="284"/>
      <x:c r="AA27" s="284"/>
      <x:c r="AB27" s="284"/>
      <x:c r="AC27" s="284"/>
      <x:c r="AD27" s="284"/>
      <x:c r="AE27" s="284"/>
      <x:c r="AF27" s="284"/>
      <x:c r="AG27" s="284"/>
      <x:c r="AH27" s="475"/>
      <x:c r="AI27" s="475"/>
      <x:c r="AJ27" s="475"/>
      <x:c r="AO27" s="284" t="str">
        <x:f t="shared" si="1"/>
        <x:v>37</x:v>
      </x:c>
      <x:c r="AP27" s="1202" t="b">
        <x:v>0</x:v>
      </x:c>
      <x:c r="AQ27" s="236"/>
    </x:row>
    <x:row r="28" spans="1:43" ht="14.1" customHeight="1" x14ac:dyDescent="0.2">
      <x:c r="A28" s="2030"/>
      <x:c r="B28" s="2031" t="s">
        <x:v>147</x:v>
      </x:c>
      <x:c r="C28" s="2031" t="s">
        <x:v>166</x:v>
      </x:c>
      <x:c r="D28" s="2031" t="s">
        <x:v>146</x:v>
      </x:c>
      <x:c r="E28" s="2032"/>
      <x:c r="F28" s="2033">
        <x:v>140</x:v>
      </x:c>
      <x:c r="G28" s="2034">
        <x:v>46</x:v>
      </x:c>
      <x:c r="H28" s="2035">
        <x:v>6</x:v>
      </x:c>
      <x:c r="I28" s="2033"/>
      <x:c r="J28" s="2034"/>
      <x:c r="K28" s="2035"/>
      <x:c r="L28" s="2036" t="s">
        <x:v>740</x:v>
      </x:c>
      <x:c r="M28" s="2037" t="s">
        <x:v>117</x:v>
      </x:c>
      <x:c r="N28" s="2038" t="s">
        <x:v>117</x:v>
      </x:c>
      <x:c r="O28" s="2029"/>
      <x:c r="P28" s="2029"/>
      <x:c r="R28" s="295" t="b">
        <x:f t="shared" si="0"/>
        <x:v>0</x:v>
      </x:c>
      <x:c r="S28" s="284"/>
      <x:c r="T28" s="284"/>
      <x:c r="U28" s="284"/>
      <x:c r="V28" s="284"/>
      <x:c r="W28" s="284"/>
      <x:c r="X28" s="284"/>
      <x:c r="Y28" s="284"/>
      <x:c r="Z28" s="284"/>
      <x:c r="AA28" s="284"/>
      <x:c r="AB28" s="284"/>
      <x:c r="AC28" s="284"/>
      <x:c r="AD28" s="284"/>
      <x:c r="AE28" s="284"/>
      <x:c r="AF28" s="284"/>
      <x:c r="AG28" s="284"/>
      <x:c r="AH28" s="475"/>
      <x:c r="AI28" s="475"/>
      <x:c r="AJ28" s="475"/>
      <x:c r="AO28" s="284" t="str">
        <x:f t="shared" si="1"/>
        <x:v>37</x:v>
      </x:c>
      <x:c r="AP28" s="1202" t="b">
        <x:v>0</x:v>
      </x:c>
      <x:c r="AQ28" s="236"/>
    </x:row>
    <x:row r="29" spans="1:43" ht="14.1" customHeight="1" x14ac:dyDescent="0.2">
      <x:c r="A29" s="2030" t="s">
        <x:v>1681</x:v>
      </x:c>
      <x:c r="B29" s="2031" t="s">
        <x:v>147</x:v>
      </x:c>
      <x:c r="C29" s="2031" t="s">
        <x:v>168</x:v>
      </x:c>
      <x:c r="D29" s="2031" t="s">
        <x:v>146</x:v>
      </x:c>
      <x:c r="E29" s="2032"/>
      <x:c r="F29" s="2033">
        <x:v>470</x:v>
      </x:c>
      <x:c r="G29" s="2034">
        <x:v>57</x:v>
      </x:c>
      <x:c r="H29" s="2035">
        <x:v>1</x:v>
      </x:c>
      <x:c r="I29" s="2033"/>
      <x:c r="J29" s="2034"/>
      <x:c r="K29" s="2035"/>
      <x:c r="L29" s="2036" t="s">
        <x:v>740</x:v>
      </x:c>
      <x:c r="M29" s="2037" t="s">
        <x:v>117</x:v>
      </x:c>
      <x:c r="N29" s="2038" t="s">
        <x:v>1673</x:v>
      </x:c>
      <x:c r="O29" s="2029"/>
      <x:c r="P29" s="2029"/>
      <x:c r="R29" s="295" t="b">
        <x:f t="shared" si="0"/>
        <x:v>0</x:v>
      </x:c>
      <x:c r="S29" s="284"/>
      <x:c r="T29" s="284"/>
      <x:c r="U29" s="284"/>
      <x:c r="V29" s="284"/>
      <x:c r="W29" s="284"/>
      <x:c r="X29" s="284"/>
      <x:c r="Y29" s="284"/>
      <x:c r="Z29" s="284"/>
      <x:c r="AA29" s="284"/>
      <x:c r="AB29" s="284"/>
      <x:c r="AC29" s="284"/>
      <x:c r="AD29" s="284"/>
      <x:c r="AE29" s="284"/>
      <x:c r="AF29" s="284"/>
      <x:c r="AG29" s="284"/>
      <x:c r="AH29" s="475"/>
      <x:c r="AI29" s="475"/>
      <x:c r="AJ29" s="475"/>
      <x:c r="AO29" s="284" t="str">
        <x:f t="shared" si="1"/>
        <x:v>38</x:v>
      </x:c>
      <x:c r="AP29" s="1202" t="b">
        <x:v>0</x:v>
      </x:c>
      <x:c r="AQ29" s="236"/>
    </x:row>
    <x:row r="30" spans="1:43" ht="14.1" customHeight="1" x14ac:dyDescent="0.2">
      <x:c r="A30" s="2030"/>
      <x:c r="B30" s="2031" t="s">
        <x:v>147</x:v>
      </x:c>
      <x:c r="C30" s="2031" t="s">
        <x:v>168</x:v>
      </x:c>
      <x:c r="D30" s="2031" t="s">
        <x:v>146</x:v>
      </x:c>
      <x:c r="E30" s="2032"/>
      <x:c r="F30" s="2033">
        <x:v>-470</x:v>
      </x:c>
      <x:c r="G30" s="2034">
        <x:v>57</x:v>
      </x:c>
      <x:c r="H30" s="2035">
        <x:v>1</x:v>
      </x:c>
      <x:c r="I30" s="2033"/>
      <x:c r="J30" s="2034"/>
      <x:c r="K30" s="2035"/>
      <x:c r="L30" s="2036" t="s">
        <x:v>740</x:v>
      </x:c>
      <x:c r="M30" s="2037" t="s">
        <x:v>850</x:v>
      </x:c>
      <x:c r="N30" s="2038" t="s">
        <x:v>117</x:v>
      </x:c>
      <x:c r="O30" s="2029"/>
      <x:c r="P30" s="2029"/>
      <x:c r="R30" s="295" t="b">
        <x:f t="shared" si="0"/>
        <x:v>0</x:v>
      </x:c>
      <x:c r="S30" s="721">
        <x:f t="shared" ref="S30:AN30" si="2">COUNTA(S16:S29)</x:f>
        <x:v>8</x:v>
      </x:c>
      <x:c r="T30" s="721">
        <x:f t="shared" si="2"/>
        <x:v>2</x:v>
      </x:c>
      <x:c r="U30" s="721">
        <x:f t="shared" si="2"/>
        <x:v>2</x:v>
      </x:c>
      <x:c r="V30" s="721">
        <x:f t="shared" si="2"/>
        <x:v>7</x:v>
      </x:c>
      <x:c r="W30" s="721">
        <x:f t="shared" si="2"/>
        <x:v>7</x:v>
      </x:c>
      <x:c r="X30" s="721">
        <x:f t="shared" si="2"/>
        <x:v>7</x:v>
      </x:c>
      <x:c r="Y30" s="721">
        <x:f t="shared" si="2"/>
        <x:v>7</x:v>
      </x:c>
      <x:c r="Z30" s="721">
        <x:f t="shared" si="2"/>
        <x:v>7</x:v>
      </x:c>
      <x:c r="AA30" s="721">
        <x:f t="shared" si="2"/>
        <x:v>7</x:v>
      </x:c>
      <x:c r="AB30" s="721">
        <x:f t="shared" si="2"/>
        <x:v>7</x:v>
      </x:c>
      <x:c r="AC30" s="721">
        <x:f t="shared" si="2"/>
        <x:v>7</x:v>
      </x:c>
      <x:c r="AD30" s="721">
        <x:f t="shared" si="2"/>
        <x:v>4</x:v>
      </x:c>
      <x:c r="AE30" s="721">
        <x:f t="shared" si="2"/>
        <x:v>0</x:v>
      </x:c>
      <x:c r="AF30" s="721">
        <x:f t="shared" si="2"/>
        <x:v>0</x:v>
      </x:c>
      <x:c r="AG30" s="721">
        <x:f t="shared" si="2"/>
        <x:v>0</x:v>
      </x:c>
      <x:c r="AH30" s="721">
        <x:f t="shared" si="2"/>
        <x:v>2</x:v>
      </x:c>
      <x:c r="AI30" s="721">
        <x:f t="shared" si="2"/>
        <x:v>4</x:v>
      </x:c>
      <x:c r="AJ30" s="721">
        <x:f t="shared" si="2"/>
        <x:v>3</x:v>
      </x:c>
      <x:c r="AK30" s="721">
        <x:f t="shared" si="2"/>
        <x:v>1</x:v>
      </x:c>
      <x:c r="AL30" s="721">
        <x:f t="shared" si="2"/>
        <x:v>6</x:v>
      </x:c>
      <x:c r="AM30" s="721">
        <x:f t="shared" si="2"/>
        <x:v>4</x:v>
      </x:c>
      <x:c r="AN30" s="721">
        <x:f t="shared" si="2"/>
        <x:v>4</x:v>
      </x:c>
      <x:c r="AO30" s="284" t="str">
        <x:f t="shared" si="1"/>
        <x:v>38</x:v>
      </x:c>
      <x:c r="AP30" s="1202" t="b">
        <x:v>0</x:v>
      </x:c>
      <x:c r="AQ30" s="236"/>
    </x:row>
    <x:row r="31" spans="1:43" ht="14.1" customHeight="1" x14ac:dyDescent="0.2">
      <x:c r="A31" s="2030"/>
      <x:c r="B31" s="2031" t="s">
        <x:v>158</x:v>
      </x:c>
      <x:c r="C31" s="2031" t="s">
        <x:v>168</x:v>
      </x:c>
      <x:c r="D31" s="2031" t="s">
        <x:v>146</x:v>
      </x:c>
      <x:c r="E31" s="2032"/>
      <x:c r="F31" s="2033">
        <x:v>800</x:v>
      </x:c>
      <x:c r="G31" s="2034"/>
      <x:c r="H31" s="2035"/>
      <x:c r="I31" s="2033"/>
      <x:c r="J31" s="2034"/>
      <x:c r="K31" s="2035"/>
      <x:c r="L31" s="2036" t="s">
        <x:v>117</x:v>
      </x:c>
      <x:c r="M31" s="2036" t="s">
        <x:v>117</x:v>
      </x:c>
      <x:c r="N31" s="2038" t="s">
        <x:v>117</x:v>
      </x:c>
      <x:c r="O31" s="2029"/>
      <x:c r="P31" s="2029"/>
      <x:c r="R31" s="295" t="b">
        <x:f t="shared" si="0"/>
        <x:v>1</x:v>
      </x:c>
      <x:c r="AO31" s="284" t="str">
        <x:f t="shared" si="1"/>
        <x:v>38</x:v>
      </x:c>
      <x:c r="AP31" s="1202" t="b">
        <x:v>0</x:v>
      </x:c>
      <x:c r="AQ31" s="236"/>
    </x:row>
    <x:row r="32" spans="1:43" ht="14.1" customHeight="1" x14ac:dyDescent="0.2">
      <x:c r="A32" s="2030"/>
      <x:c r="B32" s="2031" t="s">
        <x:v>147</x:v>
      </x:c>
      <x:c r="C32" s="2031" t="s">
        <x:v>166</x:v>
      </x:c>
      <x:c r="D32" s="2031" t="s">
        <x:v>146</x:v>
      </x:c>
      <x:c r="E32" s="2032"/>
      <x:c r="F32" s="2033">
        <x:v>140</x:v>
      </x:c>
      <x:c r="G32" s="2034">
        <x:v>57</x:v>
      </x:c>
      <x:c r="H32" s="2035">
        <x:v>1</x:v>
      </x:c>
      <x:c r="I32" s="2033"/>
      <x:c r="J32" s="2034"/>
      <x:c r="K32" s="2035"/>
      <x:c r="L32" s="2036" t="s">
        <x:v>740</x:v>
      </x:c>
      <x:c r="M32" s="2036" t="s">
        <x:v>117</x:v>
      </x:c>
      <x:c r="N32" s="2038" t="s">
        <x:v>117</x:v>
      </x:c>
      <x:c r="O32" s="2029"/>
      <x:c r="P32" s="2029"/>
      <x:c r="R32" s="295" t="b">
        <x:f t="shared" si="0"/>
        <x:v>0</x:v>
      </x:c>
      <x:c r="AO32" s="284" t="str">
        <x:f t="shared" si="1"/>
        <x:v>38</x:v>
      </x:c>
      <x:c r="AP32" s="1202" t="b">
        <x:v>0</x:v>
      </x:c>
      <x:c r="AQ32" s="236"/>
    </x:row>
    <x:row r="33" spans="1:45" ht="14.1" customHeight="1" x14ac:dyDescent="0.2">
      <x:c r="A33" s="2030" t="s">
        <x:v>1682</x:v>
      </x:c>
      <x:c r="B33" s="2031" t="s">
        <x:v>147</x:v>
      </x:c>
      <x:c r="C33" s="2031" t="s">
        <x:v>168</x:v>
      </x:c>
      <x:c r="D33" s="2031" t="s">
        <x:v>146</x:v>
      </x:c>
      <x:c r="E33" s="2032"/>
      <x:c r="F33" s="2033">
        <x:v>470</x:v>
      </x:c>
      <x:c r="G33" s="2034">
        <x:v>8</x:v>
      </x:c>
      <x:c r="H33" s="2035">
        <x:v>3</x:v>
      </x:c>
      <x:c r="I33" s="2033"/>
      <x:c r="J33" s="2034"/>
      <x:c r="K33" s="2035"/>
      <x:c r="L33" s="2036" t="s">
        <x:v>740</x:v>
      </x:c>
      <x:c r="M33" s="2036" t="s">
        <x:v>117</x:v>
      </x:c>
      <x:c r="N33" s="2038" t="s">
        <x:v>1673</x:v>
      </x:c>
      <x:c r="O33" s="2029"/>
      <x:c r="P33" s="2029"/>
      <x:c r="R33" s="295" t="b">
        <x:f t="shared" si="0"/>
        <x:v>0</x:v>
      </x:c>
      <x:c r="AO33" s="284" t="str">
        <x:f t="shared" si="1"/>
        <x:v>39</x:v>
      </x:c>
      <x:c r="AP33" s="1202" t="b">
        <x:v>0</x:v>
      </x:c>
      <x:c r="AQ33" s="236"/>
    </x:row>
    <x:row r="34" spans="1:45" ht="14.1" customHeight="1" x14ac:dyDescent="0.2">
      <x:c r="A34" s="2030"/>
      <x:c r="B34" s="2031" t="s">
        <x:v>147</x:v>
      </x:c>
      <x:c r="C34" s="2031" t="s">
        <x:v>168</x:v>
      </x:c>
      <x:c r="D34" s="2031" t="s">
        <x:v>146</x:v>
      </x:c>
      <x:c r="E34" s="2032"/>
      <x:c r="F34" s="2033">
        <x:v>-470</x:v>
      </x:c>
      <x:c r="G34" s="2034">
        <x:v>8</x:v>
      </x:c>
      <x:c r="H34" s="2035">
        <x:v>3</x:v>
      </x:c>
      <x:c r="I34" s="2033"/>
      <x:c r="J34" s="2034"/>
      <x:c r="K34" s="2035"/>
      <x:c r="L34" s="2036" t="s">
        <x:v>740</x:v>
      </x:c>
      <x:c r="M34" s="2036" t="s">
        <x:v>850</x:v>
      </x:c>
      <x:c r="N34" s="2038" t="s">
        <x:v>117</x:v>
      </x:c>
      <x:c r="O34" s="2029"/>
      <x:c r="P34" s="2029"/>
      <x:c r="R34" s="295" t="b">
        <x:f t="shared" si="0"/>
        <x:v>0</x:v>
      </x:c>
      <x:c r="AO34" s="284" t="str">
        <x:f t="shared" si="1"/>
        <x:v>39</x:v>
      </x:c>
      <x:c r="AP34" s="1202" t="b">
        <x:v>0</x:v>
      </x:c>
      <x:c r="AQ34" s="236"/>
    </x:row>
    <x:row r="35" spans="1:45" ht="14.1" customHeight="1" x14ac:dyDescent="0.2">
      <x:c r="A35" s="2030"/>
      <x:c r="B35" s="2031" t="s">
        <x:v>158</x:v>
      </x:c>
      <x:c r="C35" s="2031" t="s">
        <x:v>168</x:v>
      </x:c>
      <x:c r="D35" s="2031" t="s">
        <x:v>146</x:v>
      </x:c>
      <x:c r="E35" s="2032"/>
      <x:c r="F35" s="2033">
        <x:v>800</x:v>
      </x:c>
      <x:c r="G35" s="2034"/>
      <x:c r="H35" s="2035"/>
      <x:c r="I35" s="2033"/>
      <x:c r="J35" s="2034"/>
      <x:c r="K35" s="2035"/>
      <x:c r="L35" s="2036" t="s">
        <x:v>117</x:v>
      </x:c>
      <x:c r="M35" s="2036" t="s">
        <x:v>117</x:v>
      </x:c>
      <x:c r="N35" s="2038" t="s">
        <x:v>117</x:v>
      </x:c>
      <x:c r="O35" s="2029"/>
      <x:c r="P35" s="2029"/>
      <x:c r="R35" s="295" t="b">
        <x:f t="shared" si="0"/>
        <x:v>1</x:v>
      </x:c>
      <x:c r="AO35" s="284" t="str">
        <x:f t="shared" si="1"/>
        <x:v>39</x:v>
      </x:c>
      <x:c r="AP35" s="1202" t="b">
        <x:v>0</x:v>
      </x:c>
      <x:c r="AQ35" s="236"/>
    </x:row>
    <x:row r="36" spans="1:45" ht="14.1" customHeight="1" x14ac:dyDescent="0.2">
      <x:c r="A36" s="2030"/>
      <x:c r="B36" s="2031" t="s">
        <x:v>147</x:v>
      </x:c>
      <x:c r="C36" s="2031" t="s">
        <x:v>166</x:v>
      </x:c>
      <x:c r="D36" s="2031" t="s">
        <x:v>146</x:v>
      </x:c>
      <x:c r="E36" s="2032"/>
      <x:c r="F36" s="2033">
        <x:v>140</x:v>
      </x:c>
      <x:c r="G36" s="2034">
        <x:v>8</x:v>
      </x:c>
      <x:c r="H36" s="2035">
        <x:v>3</x:v>
      </x:c>
      <x:c r="I36" s="2033"/>
      <x:c r="J36" s="2034"/>
      <x:c r="K36" s="2035"/>
      <x:c r="L36" s="2036" t="s">
        <x:v>740</x:v>
      </x:c>
      <x:c r="M36" s="2036" t="s">
        <x:v>117</x:v>
      </x:c>
      <x:c r="N36" s="2038" t="s">
        <x:v>117</x:v>
      </x:c>
      <x:c r="O36" s="2029"/>
      <x:c r="P36" s="2029"/>
      <x:c r="R36" s="295" t="b">
        <x:f t="shared" si="0"/>
        <x:v>0</x:v>
      </x:c>
      <x:c r="AO36" s="284" t="str">
        <x:f t="shared" si="1"/>
        <x:v>39</x:v>
      </x:c>
      <x:c r="AP36" s="1202" t="b">
        <x:v>0</x:v>
      </x:c>
      <x:c r="AQ36" s="236"/>
    </x:row>
    <x:row r="37" spans="1:45" ht="14.1" customHeight="1" x14ac:dyDescent="0.2">
      <x:c r="A37" s="2030" t="s">
        <x:v>1683</x:v>
      </x:c>
      <x:c r="B37" s="2031" t="s">
        <x:v>147</x:v>
      </x:c>
      <x:c r="C37" s="2031" t="s">
        <x:v>168</x:v>
      </x:c>
      <x:c r="D37" s="2031" t="s">
        <x:v>146</x:v>
      </x:c>
      <x:c r="E37" s="2032"/>
      <x:c r="F37" s="2033">
        <x:v>470</x:v>
      </x:c>
      <x:c r="G37" s="2034">
        <x:v>41</x:v>
      </x:c>
      <x:c r="H37" s="2035">
        <x:v>7</x:v>
      </x:c>
      <x:c r="I37" s="2033"/>
      <x:c r="J37" s="2034"/>
      <x:c r="K37" s="2035"/>
      <x:c r="L37" s="2036" t="s">
        <x:v>740</x:v>
      </x:c>
      <x:c r="M37" s="2036" t="s">
        <x:v>117</x:v>
      </x:c>
      <x:c r="N37" s="2038" t="s">
        <x:v>1673</x:v>
      </x:c>
      <x:c r="O37" s="2029"/>
      <x:c r="P37" s="2029"/>
      <x:c r="R37" s="295" t="b">
        <x:f t="shared" si="0"/>
        <x:v>0</x:v>
      </x:c>
      <x:c r="AO37" s="284" t="str">
        <x:f t="shared" si="1"/>
        <x:v>40</x:v>
      </x:c>
      <x:c r="AP37" s="1202" t="b">
        <x:v>0</x:v>
      </x:c>
      <x:c r="AQ37" s="236"/>
    </x:row>
    <x:row r="38" spans="1:45" ht="14.1" customHeight="1" x14ac:dyDescent="0.2">
      <x:c r="A38" s="2030"/>
      <x:c r="B38" s="2031" t="s">
        <x:v>147</x:v>
      </x:c>
      <x:c r="C38" s="2031" t="s">
        <x:v>168</x:v>
      </x:c>
      <x:c r="D38" s="2031" t="s">
        <x:v>146</x:v>
      </x:c>
      <x:c r="E38" s="2032"/>
      <x:c r="F38" s="2033">
        <x:v>-470</x:v>
      </x:c>
      <x:c r="G38" s="2034">
        <x:v>41</x:v>
      </x:c>
      <x:c r="H38" s="2035">
        <x:v>7</x:v>
      </x:c>
      <x:c r="I38" s="2033"/>
      <x:c r="J38" s="2034"/>
      <x:c r="K38" s="2035"/>
      <x:c r="L38" s="2036" t="s">
        <x:v>740</x:v>
      </x:c>
      <x:c r="M38" s="2036" t="s">
        <x:v>850</x:v>
      </x:c>
      <x:c r="N38" s="2038" t="s">
        <x:v>117</x:v>
      </x:c>
      <x:c r="O38" s="2029"/>
      <x:c r="P38" s="2029"/>
      <x:c r="R38" s="295" t="b">
        <x:f t="shared" si="0"/>
        <x:v>0</x:v>
      </x:c>
      <x:c r="AO38" s="284" t="str">
        <x:f t="shared" si="1"/>
        <x:v>40</x:v>
      </x:c>
      <x:c r="AP38" s="1202" t="b">
        <x:v>0</x:v>
      </x:c>
      <x:c r="AQ38" s="236"/>
    </x:row>
    <x:row r="39" spans="1:45" ht="14.1" customHeight="1" x14ac:dyDescent="0.2">
      <x:c r="A39" s="2030"/>
      <x:c r="B39" s="2031" t="s">
        <x:v>158</x:v>
      </x:c>
      <x:c r="C39" s="2031" t="s">
        <x:v>168</x:v>
      </x:c>
      <x:c r="D39" s="2031" t="s">
        <x:v>146</x:v>
      </x:c>
      <x:c r="E39" s="2032"/>
      <x:c r="F39" s="2033">
        <x:v>800</x:v>
      </x:c>
      <x:c r="G39" s="2034"/>
      <x:c r="H39" s="2035"/>
      <x:c r="I39" s="2033"/>
      <x:c r="J39" s="2034"/>
      <x:c r="K39" s="2035"/>
      <x:c r="L39" s="2036" t="s">
        <x:v>117</x:v>
      </x:c>
      <x:c r="M39" s="2036" t="s">
        <x:v>117</x:v>
      </x:c>
      <x:c r="N39" s="2038" t="s">
        <x:v>117</x:v>
      </x:c>
      <x:c r="O39" s="2029"/>
      <x:c r="P39" s="2029"/>
      <x:c r="R39" s="295" t="b">
        <x:f t="shared" si="0"/>
        <x:v>1</x:v>
      </x:c>
      <x:c r="AO39" s="284" t="str">
        <x:f t="shared" si="1"/>
        <x:v>40</x:v>
      </x:c>
      <x:c r="AP39" s="1202" t="b">
        <x:v>0</x:v>
      </x:c>
      <x:c r="AQ39" s="236"/>
    </x:row>
    <x:row r="40" spans="1:45" ht="14.1" customHeight="1" x14ac:dyDescent="0.2">
      <x:c r="A40" s="2030"/>
      <x:c r="B40" s="2031" t="s">
        <x:v>147</x:v>
      </x:c>
      <x:c r="C40" s="2031" t="s">
        <x:v>166</x:v>
      </x:c>
      <x:c r="D40" s="2031" t="s">
        <x:v>146</x:v>
      </x:c>
      <x:c r="E40" s="2032"/>
      <x:c r="F40" s="2033">
        <x:v>140</x:v>
      </x:c>
      <x:c r="G40" s="2034">
        <x:v>41</x:v>
      </x:c>
      <x:c r="H40" s="2035">
        <x:v>7</x:v>
      </x:c>
      <x:c r="I40" s="2033"/>
      <x:c r="J40" s="2034"/>
      <x:c r="K40" s="2035"/>
      <x:c r="L40" s="2036" t="s">
        <x:v>740</x:v>
      </x:c>
      <x:c r="M40" s="2036" t="s">
        <x:v>117</x:v>
      </x:c>
      <x:c r="N40" s="2038" t="s">
        <x:v>117</x:v>
      </x:c>
      <x:c r="O40" s="2029"/>
      <x:c r="P40" s="2029"/>
      <x:c r="R40" s="295" t="b">
        <x:f t="shared" si="0"/>
        <x:v>0</x:v>
      </x:c>
      <x:c r="AO40" s="284" t="str">
        <x:f t="shared" si="1"/>
        <x:v>40</x:v>
      </x:c>
      <x:c r="AP40" s="1202" t="b">
        <x:v>0</x:v>
      </x:c>
      <x:c r="AQ40" s="236"/>
    </x:row>
    <x:row r="41" spans="1:45" ht="14.1" customHeight="1" x14ac:dyDescent="0.2">
      <x:c r="A41" s="2030" t="s">
        <x:v>1684</x:v>
      </x:c>
      <x:c r="B41" s="2031" t="s">
        <x:v>147</x:v>
      </x:c>
      <x:c r="C41" s="2031" t="s">
        <x:v>168</x:v>
      </x:c>
      <x:c r="D41" s="2031" t="s">
        <x:v>146</x:v>
      </x:c>
      <x:c r="E41" s="2032"/>
      <x:c r="F41" s="2033">
        <x:v>470</x:v>
      </x:c>
      <x:c r="G41" s="2034">
        <x:v>3</x:v>
      </x:c>
      <x:c r="H41" s="2035">
        <x:v>10</x:v>
      </x:c>
      <x:c r="I41" s="2033"/>
      <x:c r="J41" s="2034"/>
      <x:c r="K41" s="2035"/>
      <x:c r="L41" s="2036" t="s">
        <x:v>740</x:v>
      </x:c>
      <x:c r="M41" s="2036" t="s">
        <x:v>117</x:v>
      </x:c>
      <x:c r="N41" s="2038" t="s">
        <x:v>1673</x:v>
      </x:c>
      <x:c r="O41" s="2029"/>
      <x:c r="P41" s="2029"/>
      <x:c r="R41" s="295" t="b">
        <x:f t="shared" si="0"/>
        <x:v>0</x:v>
      </x:c>
      <x:c r="AO41" s="284" t="str">
        <x:f t="shared" si="1"/>
        <x:v>41</x:v>
      </x:c>
      <x:c r="AP41" s="1202" t="b">
        <x:v>0</x:v>
      </x:c>
      <x:c r="AQ41" s="236"/>
    </x:row>
    <x:row r="42" spans="1:45" ht="14.1" customHeight="1" x14ac:dyDescent="0.2">
      <x:c r="A42" s="2030"/>
      <x:c r="B42" s="2031" t="s">
        <x:v>147</x:v>
      </x:c>
      <x:c r="C42" s="2031" t="s">
        <x:v>168</x:v>
      </x:c>
      <x:c r="D42" s="2031" t="s">
        <x:v>146</x:v>
      </x:c>
      <x:c r="E42" s="2032"/>
      <x:c r="F42" s="2033">
        <x:v>-470</x:v>
      </x:c>
      <x:c r="G42" s="2034">
        <x:v>3</x:v>
      </x:c>
      <x:c r="H42" s="2035">
        <x:v>10</x:v>
      </x:c>
      <x:c r="I42" s="2033"/>
      <x:c r="J42" s="2034"/>
      <x:c r="K42" s="2035"/>
      <x:c r="L42" s="2036" t="s">
        <x:v>740</x:v>
      </x:c>
      <x:c r="M42" s="2036" t="s">
        <x:v>850</x:v>
      </x:c>
      <x:c r="N42" s="2038" t="s">
        <x:v>117</x:v>
      </x:c>
      <x:c r="O42" s="2029"/>
      <x:c r="P42" s="2029"/>
      <x:c r="R42" s="295" t="b">
        <x:f t="shared" si="0"/>
        <x:v>0</x:v>
      </x:c>
      <x:c r="AO42" s="284" t="str">
        <x:f t="shared" si="1"/>
        <x:v>41</x:v>
      </x:c>
      <x:c r="AP42" s="1202" t="b">
        <x:v>0</x:v>
      </x:c>
      <x:c r="AQ42" s="236"/>
    </x:row>
    <x:row r="43" spans="1:45" ht="14.1" customHeight="1" x14ac:dyDescent="0.2">
      <x:c r="A43" s="2030"/>
      <x:c r="B43" s="2031" t="s">
        <x:v>158</x:v>
      </x:c>
      <x:c r="C43" s="2031" t="s">
        <x:v>168</x:v>
      </x:c>
      <x:c r="D43" s="2031" t="s">
        <x:v>146</x:v>
      </x:c>
      <x:c r="E43" s="2032"/>
      <x:c r="F43" s="2033">
        <x:v>800</x:v>
      </x:c>
      <x:c r="G43" s="2034"/>
      <x:c r="H43" s="2035"/>
      <x:c r="I43" s="2033"/>
      <x:c r="J43" s="2034"/>
      <x:c r="K43" s="2035"/>
      <x:c r="L43" s="2036" t="s">
        <x:v>117</x:v>
      </x:c>
      <x:c r="M43" s="2036" t="s">
        <x:v>117</x:v>
      </x:c>
      <x:c r="N43" s="2038" t="s">
        <x:v>117</x:v>
      </x:c>
      <x:c r="O43" s="2029"/>
      <x:c r="P43" s="2029"/>
      <x:c r="R43" s="295" t="b">
        <x:f t="shared" si="0"/>
        <x:v>1</x:v>
      </x:c>
      <x:c r="AO43" s="284" t="str">
        <x:f t="shared" si="1"/>
        <x:v>41</x:v>
      </x:c>
      <x:c r="AP43" s="1202" t="b">
        <x:v>0</x:v>
      </x:c>
      <x:c r="AQ43" s="236"/>
    </x:row>
    <x:row r="44" spans="1:45" ht="14.1" customHeight="1" x14ac:dyDescent="0.2">
      <x:c r="A44" s="2030"/>
      <x:c r="B44" s="2031" t="s">
        <x:v>147</x:v>
      </x:c>
      <x:c r="C44" s="2031" t="s">
        <x:v>166</x:v>
      </x:c>
      <x:c r="D44" s="2031" t="s">
        <x:v>146</x:v>
      </x:c>
      <x:c r="E44" s="2032"/>
      <x:c r="F44" s="2033">
        <x:v>140</x:v>
      </x:c>
      <x:c r="G44" s="2034">
        <x:v>3</x:v>
      </x:c>
      <x:c r="H44" s="2035">
        <x:v>10</x:v>
      </x:c>
      <x:c r="I44" s="2033"/>
      <x:c r="J44" s="2034"/>
      <x:c r="K44" s="2035"/>
      <x:c r="L44" s="2036" t="s">
        <x:v>740</x:v>
      </x:c>
      <x:c r="M44" s="2036" t="s">
        <x:v>117</x:v>
      </x:c>
      <x:c r="N44" s="2038" t="s">
        <x:v>117</x:v>
      </x:c>
      <x:c r="O44" s="2029"/>
      <x:c r="P44" s="2029"/>
      <x:c r="R44" s="295" t="b">
        <x:f t="shared" si="0"/>
        <x:v>0</x:v>
      </x:c>
      <x:c r="AO44" s="284" t="str">
        <x:f t="shared" si="1"/>
        <x:v>41</x:v>
      </x:c>
      <x:c r="AP44" s="1202" t="b">
        <x:v>0</x:v>
      </x:c>
      <x:c r="AQ44" s="236"/>
    </x:row>
    <x:row r="45" spans="1:45" ht="14.1" customHeight="1" x14ac:dyDescent="0.2">
      <x:c r="A45" s="2030" t="s">
        <x:v>1685</x:v>
      </x:c>
      <x:c r="B45" s="2031" t="s">
        <x:v>147</x:v>
      </x:c>
      <x:c r="C45" s="2031" t="s">
        <x:v>168</x:v>
      </x:c>
      <x:c r="D45" s="2031" t="s">
        <x:v>146</x:v>
      </x:c>
      <x:c r="E45" s="2032"/>
      <x:c r="F45" s="2033">
        <x:v>470</x:v>
      </x:c>
      <x:c r="G45" s="2034">
        <x:v>15</x:v>
      </x:c>
      <x:c r="H45" s="2035">
        <x:v>0</x:v>
      </x:c>
      <x:c r="I45" s="2033"/>
      <x:c r="J45" s="2034"/>
      <x:c r="K45" s="2035"/>
      <x:c r="L45" s="2036" t="s">
        <x:v>740</x:v>
      </x:c>
      <x:c r="M45" s="2036" t="s">
        <x:v>117</x:v>
      </x:c>
      <x:c r="N45" s="2038" t="s">
        <x:v>1673</x:v>
      </x:c>
      <x:c r="O45" s="2029"/>
      <x:c r="P45" s="2029"/>
      <x:c r="R45" s="295" t="b">
        <x:f t="shared" si="0"/>
        <x:v>0</x:v>
      </x:c>
      <x:c r="AO45" s="284" t="str">
        <x:f t="shared" si="1"/>
        <x:v>42</x:v>
      </x:c>
      <x:c r="AP45" s="1202" t="b">
        <x:v>0</x:v>
      </x:c>
      <x:c r="AQ45" s="236"/>
    </x:row>
    <x:row r="46" spans="1:45" ht="14.1" customHeight="1" x14ac:dyDescent="0.2">
      <x:c r="A46" s="2030"/>
      <x:c r="B46" s="2031" t="s">
        <x:v>147</x:v>
      </x:c>
      <x:c r="C46" s="2031" t="s">
        <x:v>168</x:v>
      </x:c>
      <x:c r="D46" s="2031" t="s">
        <x:v>146</x:v>
      </x:c>
      <x:c r="E46" s="2032"/>
      <x:c r="F46" s="2033">
        <x:v>-470</x:v>
      </x:c>
      <x:c r="G46" s="2034">
        <x:v>15</x:v>
      </x:c>
      <x:c r="H46" s="2035">
        <x:v>0</x:v>
      </x:c>
      <x:c r="I46" s="2033"/>
      <x:c r="J46" s="2034"/>
      <x:c r="K46" s="2035"/>
      <x:c r="L46" s="2036" t="s">
        <x:v>740</x:v>
      </x:c>
      <x:c r="M46" s="2036" t="s">
        <x:v>850</x:v>
      </x:c>
      <x:c r="N46" s="2038" t="s">
        <x:v>117</x:v>
      </x:c>
      <x:c r="O46" s="2029"/>
      <x:c r="P46" s="2029"/>
      <x:c r="R46" s="295" t="b">
        <x:f t="shared" si="0"/>
        <x:v>0</x:v>
      </x:c>
      <x:c r="AO46" s="284" t="str">
        <x:f t="shared" si="1"/>
        <x:v>42</x:v>
      </x:c>
      <x:c r="AP46" s="1202" t="b">
        <x:v>0</x:v>
      </x:c>
      <x:c r="AQ46" s="236"/>
    </x:row>
    <x:row r="47" spans="1:45" ht="14.1" customHeight="1" x14ac:dyDescent="0.2">
      <x:c r="A47" s="2030"/>
      <x:c r="B47" s="2031" t="s">
        <x:v>158</x:v>
      </x:c>
      <x:c r="C47" s="2031" t="s">
        <x:v>168</x:v>
      </x:c>
      <x:c r="D47" s="2031" t="s">
        <x:v>146</x:v>
      </x:c>
      <x:c r="E47" s="2032"/>
      <x:c r="F47" s="2033">
        <x:v>800</x:v>
      </x:c>
      <x:c r="G47" s="2034"/>
      <x:c r="H47" s="2035"/>
      <x:c r="I47" s="2033"/>
      <x:c r="J47" s="2034"/>
      <x:c r="K47" s="2035"/>
      <x:c r="L47" s="2036" t="s">
        <x:v>117</x:v>
      </x:c>
      <x:c r="M47" s="2036" t="s">
        <x:v>117</x:v>
      </x:c>
      <x:c r="N47" s="2038" t="s">
        <x:v>117</x:v>
      </x:c>
      <x:c r="O47" s="2029"/>
      <x:c r="P47" s="2029"/>
      <x:c r="R47" s="295" t="b">
        <x:f t="shared" si="0"/>
        <x:v>1</x:v>
      </x:c>
      <x:c r="AO47" s="284" t="str">
        <x:f t="shared" si="1"/>
        <x:v>42</x:v>
      </x:c>
      <x:c r="AP47" s="1202" t="b">
        <x:v>0</x:v>
      </x:c>
      <x:c r="AQ47" s="236"/>
      <x:c r="AS47" s="973"/>
    </x:row>
    <x:row r="48" spans="1:45" ht="14.1" customHeight="1" x14ac:dyDescent="0.2">
      <x:c r="A48" s="2030"/>
      <x:c r="B48" s="2031" t="s">
        <x:v>147</x:v>
      </x:c>
      <x:c r="C48" s="2031" t="s">
        <x:v>166</x:v>
      </x:c>
      <x:c r="D48" s="2031" t="s">
        <x:v>146</x:v>
      </x:c>
      <x:c r="E48" s="2032"/>
      <x:c r="F48" s="2033">
        <x:v>140</x:v>
      </x:c>
      <x:c r="G48" s="2034">
        <x:v>15</x:v>
      </x:c>
      <x:c r="H48" s="2035">
        <x:v>0</x:v>
      </x:c>
      <x:c r="I48" s="2033"/>
      <x:c r="J48" s="2034"/>
      <x:c r="K48" s="2035"/>
      <x:c r="L48" s="2036" t="s">
        <x:v>740</x:v>
      </x:c>
      <x:c r="M48" s="2036" t="s">
        <x:v>117</x:v>
      </x:c>
      <x:c r="N48" s="2038" t="s">
        <x:v>117</x:v>
      </x:c>
      <x:c r="O48" s="2029"/>
      <x:c r="P48" s="2029"/>
      <x:c r="R48" s="295" t="b">
        <x:f t="shared" si="0"/>
        <x:v>0</x:v>
      </x:c>
      <x:c r="AO48" s="284" t="str">
        <x:f t="shared" si="1"/>
        <x:v>42</x:v>
      </x:c>
      <x:c r="AP48" s="1202" t="b">
        <x:v>0</x:v>
      </x:c>
      <x:c r="AQ48" s="236"/>
    </x:row>
    <x:row r="49" spans="1:43" ht="14.1" customHeight="1" x14ac:dyDescent="0.2">
      <x:c r="A49" s="2030" t="s">
        <x:v>1686</x:v>
      </x:c>
      <x:c r="B49" s="2031" t="s">
        <x:v>147</x:v>
      </x:c>
      <x:c r="C49" s="2031" t="s">
        <x:v>168</x:v>
      </x:c>
      <x:c r="D49" s="2031" t="s">
        <x:v>146</x:v>
      </x:c>
      <x:c r="E49" s="2032"/>
      <x:c r="F49" s="2033">
        <x:v>470</x:v>
      </x:c>
      <x:c r="G49" s="2034">
        <x:v>26</x:v>
      </x:c>
      <x:c r="H49" s="2035">
        <x:v>1.625</x:v>
      </x:c>
      <x:c r="I49" s="2033"/>
      <x:c r="J49" s="2034"/>
      <x:c r="K49" s="2035"/>
      <x:c r="L49" s="2036" t="s">
        <x:v>740</x:v>
      </x:c>
      <x:c r="M49" s="2036" t="s">
        <x:v>117</x:v>
      </x:c>
      <x:c r="N49" s="2038" t="s">
        <x:v>1673</x:v>
      </x:c>
      <x:c r="O49" s="2029"/>
      <x:c r="P49" s="2029"/>
      <x:c r="R49" s="295" t="b">
        <x:f t="shared" si="0"/>
        <x:v>0</x:v>
      </x:c>
      <x:c r="AO49" s="284" t="str">
        <x:f t="shared" si="1"/>
        <x:v>43</x:v>
      </x:c>
      <x:c r="AP49" s="1202" t="b">
        <x:v>0</x:v>
      </x:c>
      <x:c r="AQ49" s="236"/>
    </x:row>
    <x:row r="50" spans="1:43" ht="14.1" customHeight="1" x14ac:dyDescent="0.2">
      <x:c r="A50" s="2030"/>
      <x:c r="B50" s="2031" t="s">
        <x:v>147</x:v>
      </x:c>
      <x:c r="C50" s="2031" t="s">
        <x:v>168</x:v>
      </x:c>
      <x:c r="D50" s="2031" t="s">
        <x:v>146</x:v>
      </x:c>
      <x:c r="E50" s="2032"/>
      <x:c r="F50" s="2033">
        <x:v>-470</x:v>
      </x:c>
      <x:c r="G50" s="2034">
        <x:v>26</x:v>
      </x:c>
      <x:c r="H50" s="2035">
        <x:v>1.625</x:v>
      </x:c>
      <x:c r="I50" s="2033"/>
      <x:c r="J50" s="2034"/>
      <x:c r="K50" s="2035"/>
      <x:c r="L50" s="2036" t="s">
        <x:v>740</x:v>
      </x:c>
      <x:c r="M50" s="2036" t="s">
        <x:v>850</x:v>
      </x:c>
      <x:c r="N50" s="2038" t="s">
        <x:v>117</x:v>
      </x:c>
      <x:c r="O50" s="2029"/>
      <x:c r="P50" s="2029"/>
      <x:c r="R50" s="295" t="b">
        <x:f t="shared" si="0"/>
        <x:v>0</x:v>
      </x:c>
      <x:c r="AO50" s="284" t="str">
        <x:f t="shared" si="1"/>
        <x:v>43</x:v>
      </x:c>
      <x:c r="AP50" s="1202" t="b">
        <x:v>0</x:v>
      </x:c>
      <x:c r="AQ50" s="236"/>
    </x:row>
    <x:row r="51" spans="1:43" ht="14.1" customHeight="1" x14ac:dyDescent="0.2">
      <x:c r="A51" s="2030"/>
      <x:c r="B51" s="2031" t="s">
        <x:v>158</x:v>
      </x:c>
      <x:c r="C51" s="2031" t="s">
        <x:v>168</x:v>
      </x:c>
      <x:c r="D51" s="2031" t="s">
        <x:v>146</x:v>
      </x:c>
      <x:c r="E51" s="2032"/>
      <x:c r="F51" s="2033">
        <x:v>800</x:v>
      </x:c>
      <x:c r="G51" s="2034"/>
      <x:c r="H51" s="2035"/>
      <x:c r="I51" s="2033"/>
      <x:c r="J51" s="2034"/>
      <x:c r="K51" s="2035"/>
      <x:c r="L51" s="2036" t="s">
        <x:v>117</x:v>
      </x:c>
      <x:c r="M51" s="2036" t="s">
        <x:v>117</x:v>
      </x:c>
      <x:c r="N51" s="2038" t="s">
        <x:v>117</x:v>
      </x:c>
      <x:c r="O51" s="2029"/>
      <x:c r="P51" s="2029"/>
      <x:c r="R51" s="295" t="b">
        <x:f t="shared" si="0"/>
        <x:v>1</x:v>
      </x:c>
      <x:c r="AO51" s="284" t="str">
        <x:f t="shared" si="1"/>
        <x:v>43</x:v>
      </x:c>
      <x:c r="AP51" s="1202" t="b">
        <x:v>0</x:v>
      </x:c>
      <x:c r="AQ51" s="236"/>
    </x:row>
    <x:row r="52" spans="1:43" ht="14.1" customHeight="1" x14ac:dyDescent="0.2">
      <x:c r="A52" s="2030"/>
      <x:c r="B52" s="2031" t="s">
        <x:v>147</x:v>
      </x:c>
      <x:c r="C52" s="2031" t="s">
        <x:v>166</x:v>
      </x:c>
      <x:c r="D52" s="2031" t="s">
        <x:v>146</x:v>
      </x:c>
      <x:c r="E52" s="2032"/>
      <x:c r="F52" s="2033">
        <x:v>140</x:v>
      </x:c>
      <x:c r="G52" s="2034">
        <x:v>26</x:v>
      </x:c>
      <x:c r="H52" s="2035">
        <x:v>1.625</x:v>
      </x:c>
      <x:c r="I52" s="2033"/>
      <x:c r="J52" s="2034"/>
      <x:c r="K52" s="2035"/>
      <x:c r="L52" s="2036" t="s">
        <x:v>740</x:v>
      </x:c>
      <x:c r="M52" s="2036" t="s">
        <x:v>117</x:v>
      </x:c>
      <x:c r="N52" s="2038" t="s">
        <x:v>117</x:v>
      </x:c>
      <x:c r="O52" s="2029"/>
      <x:c r="P52" s="2029"/>
      <x:c r="R52" s="295" t="b">
        <x:f t="shared" si="0"/>
        <x:v>0</x:v>
      </x:c>
      <x:c r="AO52" s="284" t="str">
        <x:f t="shared" si="1"/>
        <x:v>43</x:v>
      </x:c>
      <x:c r="AP52" s="1202" t="b">
        <x:v>0</x:v>
      </x:c>
      <x:c r="AQ52" s="236"/>
    </x:row>
    <x:row r="53" spans="1:43" ht="14.1" customHeight="1" x14ac:dyDescent="0.2">
      <x:c r="A53" s="2030"/>
      <x:c r="B53" s="2031"/>
      <x:c r="C53" s="2031"/>
      <x:c r="D53" s="2031"/>
      <x:c r="E53" s="2032"/>
      <x:c r="F53" s="2033"/>
      <x:c r="G53" s="2034"/>
      <x:c r="H53" s="2035"/>
      <x:c r="I53" s="2033"/>
      <x:c r="J53" s="2034"/>
      <x:c r="K53" s="2035"/>
      <x:c r="L53" s="2036"/>
      <x:c r="M53" s="2036"/>
      <x:c r="N53" s="2038" t="s">
        <x:v>117</x:v>
      </x:c>
      <x:c r="O53" s="2029"/>
      <x:c r="P53" s="2029"/>
      <x:c r="R53" s="295" t="b">
        <x:f t="shared" si="0"/>
        <x:v>0</x:v>
      </x:c>
      <x:c r="AO53" s="284" t="str">
        <x:f t="shared" si="1"/>
        <x:v>43</x:v>
      </x:c>
      <x:c r="AP53" s="1202" t="b">
        <x:v>0</x:v>
      </x:c>
      <x:c r="AQ53" s="236"/>
    </x:row>
    <x:row r="54" spans="1:43" ht="14.1" customHeight="1" x14ac:dyDescent="0.2">
      <x:c r="A54" s="2030"/>
      <x:c r="B54" s="2031"/>
      <x:c r="C54" s="2031"/>
      <x:c r="D54" s="2031"/>
      <x:c r="E54" s="2032"/>
      <x:c r="F54" s="2033"/>
      <x:c r="G54" s="2034"/>
      <x:c r="H54" s="2035"/>
      <x:c r="I54" s="2033"/>
      <x:c r="J54" s="2034"/>
      <x:c r="K54" s="2035"/>
      <x:c r="L54" s="2036"/>
      <x:c r="M54" s="2036"/>
      <x:c r="N54" s="2038" t="s">
        <x:v>117</x:v>
      </x:c>
      <x:c r="O54" s="2029"/>
      <x:c r="P54" s="2029"/>
      <x:c r="R54" s="295" t="b">
        <x:f t="shared" si="0"/>
        <x:v>0</x:v>
      </x:c>
      <x:c r="AO54" s="284" t="str">
        <x:f t="shared" si="1"/>
        <x:v>43</x:v>
      </x:c>
      <x:c r="AP54" s="1202" t="b">
        <x:v>0</x:v>
      </x:c>
      <x:c r="AQ54" s="236"/>
    </x:row>
    <x:row r="55" spans="1:43" ht="14.1" customHeight="1" x14ac:dyDescent="0.2">
      <x:c r="A55" s="2041"/>
      <x:c r="B55" s="2042"/>
      <x:c r="C55" s="2042"/>
      <x:c r="D55" s="2042"/>
      <x:c r="E55" s="2043"/>
      <x:c r="F55" s="2044"/>
      <x:c r="G55" s="2045"/>
      <x:c r="H55" s="2046"/>
      <x:c r="I55" s="2044"/>
      <x:c r="J55" s="2045"/>
      <x:c r="K55" s="2046"/>
      <x:c r="L55" s="2047"/>
      <x:c r="M55" s="2047"/>
      <x:c r="N55" s="2048"/>
      <x:c r="O55" s="2029"/>
      <x:c r="P55" s="2029"/>
      <x:c r="R55" s="295" t="b">
        <x:f t="shared" si="0"/>
        <x:v>0</x:v>
      </x:c>
      <x:c r="AO55" s="284" t="str">
        <x:f t="shared" si="1"/>
        <x:v>43</x:v>
      </x:c>
      <x:c r="AP55" s="1202" t="b">
        <x:v>0</x:v>
      </x:c>
      <x:c r="AQ55" s="236"/>
    </x:row>
    <x:row r="56" spans="1:43" ht="15.95" customHeight="1" x14ac:dyDescent="0.2">
      <x:c r="J56" s="449"/>
      <x:c r="K56" s="449"/>
      <x:c r="O56" s="449"/>
      <x:c r="P56" s="449"/>
    </x:row>
    <x:row r="57" spans="1:43" ht="15.95" customHeight="1" x14ac:dyDescent="0.2"/>
    <x:row r="58" spans="1:43" ht="15.95" customHeight="1" x14ac:dyDescent="0.2"/>
    <x:row r="59" spans="1:43" ht="15.95" customHeight="1" x14ac:dyDescent="0.2">
      <x:c r="A59" s="973" t="s">
        <x:v>1062</x:v>
      </x:c>
    </x:row>
    <x:row r="60" spans="1:43" ht="15.95" hidden="1" customHeight="1" x14ac:dyDescent="0.2">
      <x:c r="A60" s="1128" t="s">
        <x:v>113</x:v>
      </x:c>
    </x:row>
    <x:row r="61" spans="1:43" ht="15.95" hidden="1" customHeight="1" x14ac:dyDescent="0.2">
      <x:c r="A61" s="1130" t="s">
        <x:v>2009</x:v>
      </x:c>
    </x:row>
    <x:row r="62" spans="1:43" ht="15.95" hidden="1" customHeight="1" x14ac:dyDescent="0.2"/>
    <x:row r="63" spans="1:43" hidden="1" x14ac:dyDescent="0.2"/>
    <x:row r="64" spans="1:43" hidden="1" x14ac:dyDescent="0.2"/>
    <x:row r="65" spans="1:1" x14ac:dyDescent="0.2">
      <x:c r="A65" s="973" t="s">
        <x:v>1063</x:v>
      </x:c>
    </x:row>
  </x:sheetData>
  <x:sheetProtection algorithmName="SHA-512" hashValue="LHV+ebASi3ETMkCUzFRPf149apnrKVU/b5XrAe/L58i2dqauXS+P8SpW0XmNWaJHv+1HuXjrzvdnfay/cBncsg==" saltValue="H0J9saTfJLq66F34fsS6hg==" spinCount="100000" sheet="1" objects="1" scenarios="1" selectLockedCells="1"/>
  <x:mergeCells count="17">
    <x:mergeCell ref="I1:K1"/>
    <x:mergeCell ref="I2:K3"/>
    <x:mergeCell ref="I4:K4"/>
    <x:mergeCell ref="A5:J5"/>
    <x:mergeCell ref="B9:H9"/>
    <x:mergeCell ref="K9:N9"/>
    <x:mergeCell ref="M12:M13"/>
    <x:mergeCell ref="N12:N13"/>
    <x:mergeCell ref="G13:H13"/>
    <x:mergeCell ref="J13:K13"/>
    <x:mergeCell ref="B10:H10"/>
    <x:mergeCell ref="I10:J10"/>
    <x:mergeCell ref="K10:L10"/>
    <x:mergeCell ref="A12:E12"/>
    <x:mergeCell ref="F12:H12"/>
    <x:mergeCell ref="I12:K12"/>
    <x:mergeCell ref="L12:L13"/>
  </x:mergeCells>
  <x:conditionalFormatting sqref="F14:F55">
    <x:cfRule type="expression" dxfId="1465" priority="2" stopIfTrue="1">
      <x:formula>AND($B14="NU",F14&lt;0)</x:formula>
    </x:cfRule>
  </x:conditionalFormatting>
  <x:conditionalFormatting sqref="B14:B55">
    <x:cfRule type="expression" dxfId="1464" priority="3" stopIfTrue="1">
      <x:formula>OR(AND($B14="NU",F14&lt;0),AND($B14="NU",I14&lt;0))</x:formula>
    </x:cfRule>
  </x:conditionalFormatting>
  <x:conditionalFormatting sqref="G14:H55 J14:L55">
    <x:cfRule type="expression" dxfId="1463" priority="4" stopIfTrue="1">
      <x:formula>$R14</x:formula>
    </x:cfRule>
  </x:conditionalFormatting>
  <x:conditionalFormatting sqref="I2:K4">
    <x:cfRule type="cellIs" dxfId="1462" priority="5" stopIfTrue="1" operator="equal">
      <x:formula>""</x:formula>
    </x:cfRule>
  </x:conditionalFormatting>
  <x:conditionalFormatting sqref="I14:I55">
    <x:cfRule type="expression" dxfId="1461" priority="6" stopIfTrue="1">
      <x:formula>OR($R14,$B14="CZ",AND($B14="NU",I14&lt;0))</x:formula>
    </x:cfRule>
  </x:conditionalFormatting>
  <x:conditionalFormatting sqref="A14:P55">
    <x:cfRule type="expression" dxfId="1460" priority="1" stopIfTrue="1">
      <x:formula>$AP14</x:formula>
    </x:cfRule>
  </x:conditionalFormatting>
  <x:dataValidations count="6">
    <x:dataValidation type="list" allowBlank="1" showErrorMessage="1" errorTitle="Invalid Category" error="You MUST select a Category from the dropdown list provided._x000a__x000a_Also, make sure your Cap Lock is turned on." sqref="C14">
      <x:formula1>OFFSET($S$16,0,MATCH($B14,Type,0)-1,OFFSET($S$30,0,MATCH($B14,Type,0)-1))</x:formula1>
    </x:dataValidation>
    <x:dataValidation type="list" allowBlank="1" showErrorMessage="1" errorTitle="Invalid Category" error="You MUST select a Category from the dropdown list provided._x000a__x000a_Also, make sure your Cap Lock is turned on." sqref="C15:C55">
      <x:formula1>OFFSET($S$16,0,MATCH($B15,Type,0)-1,OFFSET($S$30,0,MATCH($B15,Type,0)-1,1),1)</x:formula1>
    </x:dataValidation>
    <x:dataValidation type="list" allowBlank="1" showErrorMessage="1" errorTitle="Invalid Position" error="You MUST select a Position from the dropdown list provided._x000a__x000a_Also, make sure your Cap Lock is turned on." sqref="D14:D55">
      <x:formula1>OFFSET($AH$16,0,OFFSET($S$14,0,MATCH($B14,Type,0)-1),OFFSET($AH$30,0, OFFSET($S$14,0,MATCH($B14,Type,0)-1)))</x:formula1>
    </x:dataValidation>
    <x:dataValidation allowBlank="1" showInputMessage="1" errorTitle="Invalid Load Case" error="You MUST use a Load Case from the list provided." sqref="M14:M55"/>
    <x:dataValidation type="list" allowBlank="1" showErrorMessage="1" errorTitle="Invalid Reference Location" error="You MUST select a Reference Location from the dropdown list provided._x000a__x000a_Also, make sure your Cap Lock is turned on." sqref="L14:L55">
      <x:formula1>IF($AL$14,$AL$16:$AL$21,$AM$16:$AM$19)</x:formula1>
    </x:dataValidation>
    <x:dataValidation type="list" allowBlank="1" showErrorMessage="1" errorTitle="Invalid Type" error="You MUST select a Type from the dropdown list provided._x000a__x000a_Also, make sure your Cap Lock is turned on." sqref="B14:B55">
      <x:formula1>$S$15:$AD$15</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legacyDrawing r:id="rId3"/>
</x:worksheet>
</file>

<file path=xl/worksheets/sheet35.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35">
    <x:tabColor indexed="45"/>
  </x:sheetPr>
  <x:dimension ref="A1:AS65"/>
  <x:sheetViews>
    <x:sheetView showGridLines="0" zoomScaleNormal="100" zoomScaleSheetLayoutView="100" workbookViewId="0">
      <x:selection activeCell="N7" sqref="N7"/>
    </x:sheetView>
  </x:sheetViews>
  <x:sheetFormatPr defaultRowHeight="11.25" x14ac:dyDescent="0.2"/>
  <x:cols>
    <x:col min="1" max="1" width="7.7109375" style="295" customWidth="1"/>
    <x:col min="2" max="4" width="6.7109375" style="295" customWidth="1"/>
    <x:col min="5" max="5" width="6.7109375" style="295" hidden="1" customWidth="1"/>
    <x:col min="6" max="6" width="7.7109375" style="295" customWidth="1"/>
    <x:col min="7" max="7" width="3.7109375" style="295" customWidth="1"/>
    <x:col min="8" max="8" width="5.7109375" style="295" customWidth="1"/>
    <x:col min="9" max="9" width="7.7109375" style="295" customWidth="1"/>
    <x:col min="10" max="10" width="3.7109375" style="295" customWidth="1"/>
    <x:col min="11" max="12" width="5.7109375" style="295" customWidth="1"/>
    <x:col min="13" max="13" width="11.7109375" style="295" customWidth="1"/>
    <x:col min="14" max="14" width="22.7109375" style="295" customWidth="1"/>
    <x:col min="15" max="15" width="7.7109375" style="295" customWidth="1"/>
    <x:col min="16" max="16" width="7.7109375" style="295" hidden="1" customWidth="1"/>
    <x:col min="17" max="40" width="6.7109375" style="295" hidden="1" customWidth="1"/>
    <x:col min="41" max="43" width="9.140625" style="475" hidden="1" customWidth="1"/>
    <x:col min="44" max="16384" width="9.140625" style="295"/>
  </x:cols>
  <x:sheetData>
    <x:row r="1" spans="1:44" s="449" customFormat="1" ht="14.45" customHeight="1" thickBot="1" x14ac:dyDescent="0.25">
      <x:c r="A1" s="444"/>
      <x:c r="B1" s="444"/>
      <x:c r="C1" s="444"/>
      <x:c r="D1" s="444"/>
      <x:c r="E1" s="444"/>
      <x:c r="F1" s="444"/>
      <x:c r="G1" s="444"/>
      <x:c r="H1" s="576"/>
      <x:c r="I1" s="2227" t="str">
        <x:f>IF(S1="","",VLOOKUP(S1,'Job Info.'!X:AA,4,FALSE))</x:f>
        <x:v>Master</x:v>
      </x:c>
      <x:c r="J1" s="2227"/>
      <x:c r="K1" s="2227"/>
      <x:c r="L1" s="445"/>
      <x:c r="M1" s="445" t="s">
        <x:v>96</x:v>
      </x:c>
      <x:c r="N1" s="1827" t="str">
        <x:f ca="1">'Job Info.'!D12</x:f>
        <x:v>775-428-0600</x:v>
      </x:c>
      <x:c r="O1" s="578" t="s">
        <x:v>763</x:v>
      </x:c>
      <x:c r="P1" s="1358"/>
      <x:c r="S1" s="448" t="str">
        <x:f>'Job Info.'!Q30</x:f>
        <x:v>M</x:v>
      </x:c>
      <x:c r="T1" s="448" t="b">
        <x:f>'Job Info.'!Q32</x:f>
        <x:v>0</x:v>
      </x:c>
      <x:c r="AO1" s="448"/>
      <x:c r="AP1" s="448"/>
      <x:c r="AQ1" s="448"/>
      <x:c r="AR1" s="579" t="s">
        <x:v>764</x:v>
      </x:c>
    </x:row>
    <x:row r="2" spans="1:44" s="449" customFormat="1" ht="12.95" customHeight="1" thickTop="1" x14ac:dyDescent="0.2">
      <x:c r="A2" s="444"/>
      <x:c r="B2" s="444"/>
      <x:c r="C2" s="444"/>
      <x:c r="D2" s="444"/>
      <x:c r="E2" s="444"/>
      <x:c r="F2" s="444"/>
      <x:c r="G2" s="444"/>
      <x:c r="H2" s="576"/>
      <x:c r="I2" s="2228" t="str">
        <x:f>IF(S1="","",IF(VLOOKUP(S1,'Job Info.'!X:Z,2,FALSE),"Released for Fabrication",""))</x:f>
        <x:v/>
      </x:c>
      <x:c r="J2" s="2229"/>
      <x:c r="K2" s="2230"/>
      <x:c r="L2" s="445"/>
      <x:c r="M2" s="445" t="s">
        <x:v>97</x:v>
      </x:c>
      <x:c r="N2" s="1827" t="str">
        <x:f ca="1">'Job Info.'!D13</x:f>
        <x:v>775-867-2140</x:v>
      </x:c>
      <x:c r="O2" s="1358"/>
      <x:c r="P2" s="1358"/>
      <x:c r="AO2" s="448"/>
      <x:c r="AP2" s="448"/>
      <x:c r="AQ2" s="448"/>
    </x:row>
    <x:row r="3" spans="1:44" s="449" customFormat="1" ht="12.95" customHeight="1" x14ac:dyDescent="0.2">
      <x:c r="A3" s="444"/>
      <x:c r="B3" s="444"/>
      <x:c r="C3" s="444"/>
      <x:c r="D3" s="444"/>
      <x:c r="E3" s="444"/>
      <x:c r="F3" s="444"/>
      <x:c r="G3" s="444"/>
      <x:c r="H3" s="576"/>
      <x:c r="I3" s="2231"/>
      <x:c r="J3" s="2232"/>
      <x:c r="K3" s="2233"/>
      <x:c r="L3" s="445"/>
      <x:c r="M3" s="445" t="s">
        <x:v>99</x:v>
      </x:c>
      <x:c r="N3" s="1827" t="str">
        <x:f ca="1">'Job Info.'!D14</x:f>
        <x:v>775-867-2169</x:v>
      </x:c>
      <x:c r="O3" s="1358"/>
      <x:c r="P3" s="1358"/>
      <x:c r="AO3" s="448"/>
      <x:c r="AP3" s="448"/>
      <x:c r="AQ3" s="448"/>
    </x:row>
    <x:row r="4" spans="1:44" s="449" customFormat="1" ht="12.95" customHeight="1" thickBot="1" x14ac:dyDescent="0.25">
      <x:c r="A4" s="444"/>
      <x:c r="B4" s="444"/>
      <x:c r="C4" s="444"/>
      <x:c r="D4" s="444"/>
      <x:c r="E4" s="444"/>
      <x:c r="F4" s="444"/>
      <x:c r="G4" s="444"/>
      <x:c r="H4" s="444"/>
      <x:c r="I4" s="2234" t="str">
        <x:f>IF(S1="","",IF(VLOOKUP(S1,'Job Info.'!X:Z,2,FALSE),VLOOKUP(S1,'Job Info.'!X:Z,3,FALSE),""))</x:f>
        <x:v/>
      </x:c>
      <x:c r="J4" s="2235"/>
      <x:c r="K4" s="2236"/>
      <x:c r="L4" s="445"/>
      <x:c r="M4" s="445" t="s">
        <x:v>98</x:v>
      </x:c>
      <x:c r="N4" s="1827" t="str">
        <x:f ca="1">'Job Info.'!D15</x:f>
        <x:v>775-867-2060</x:v>
      </x:c>
      <x:c r="O4" s="1358"/>
      <x:c r="P4" s="1358"/>
      <x:c r="AO4" s="448"/>
      <x:c r="AP4" s="448"/>
      <x:c r="AQ4" s="448"/>
    </x:row>
    <x:row r="5" spans="1:44" s="449" customFormat="1" ht="12.95" customHeight="1" thickTop="1" x14ac:dyDescent="0.2">
      <x:c r="A5" s="2237" t="str">
        <x:f ca="1">'Job Info.'!D11</x:f>
        <x:v>8200 Woolery Way | Fallon, NV 89406 | www.newmill.com</x:v>
      </x:c>
      <x:c r="B5" s="2238"/>
      <x:c r="C5" s="2238"/>
      <x:c r="D5" s="2238"/>
      <x:c r="E5" s="2238"/>
      <x:c r="F5" s="2238"/>
      <x:c r="G5" s="2238"/>
      <x:c r="H5" s="2238"/>
      <x:c r="I5" s="2238"/>
      <x:c r="J5" s="2238"/>
      <x:c r="K5" s="444"/>
      <x:c r="L5" s="444"/>
      <x:c r="M5" s="444"/>
      <x:c r="N5" s="444"/>
      <x:c r="O5" s="1358"/>
      <x:c r="P5" s="1358"/>
      <x:c r="AO5" s="448"/>
      <x:c r="AP5" s="448"/>
      <x:c r="AQ5" s="448"/>
    </x:row>
    <x:row r="6" spans="1:44" s="449" customFormat="1" ht="12.95" customHeight="1" x14ac:dyDescent="0.2">
      <x:c r="A6" s="444"/>
      <x:c r="B6" s="444"/>
      <x:c r="C6" s="444"/>
      <x:c r="D6" s="444"/>
      <x:c r="E6" s="444"/>
      <x:c r="F6" s="444"/>
      <x:c r="G6" s="444"/>
      <x:c r="H6" s="444"/>
      <x:c r="I6" s="444"/>
      <x:c r="J6" s="444"/>
      <x:c r="K6" s="444"/>
      <x:c r="L6" s="444"/>
      <x:c r="M6" s="1836" t="s">
        <x:v>20</x:v>
      </x:c>
      <x:c r="N6" s="1828">
        <x:f>IF(ISBLANK('Job Info.'!D8),"",'Job Info.'!D8)</x:f>
        <x:v>43406</x:v>
      </x:c>
      <x:c r="O6" s="1359"/>
      <x:c r="P6" s="1392" t="s">
        <x:v>1180</x:v>
      </x:c>
      <x:c r="T6" s="780"/>
      <x:c r="AO6" s="448"/>
      <x:c r="AP6" s="448"/>
      <x:c r="AQ6" s="448"/>
    </x:row>
    <x:row r="7" spans="1:44" ht="12.95" customHeight="1" x14ac:dyDescent="0.2">
      <x:c r="A7" s="472" t="s">
        <x:v>43</x:v>
      </x:c>
      <x:c r="B7" s="473"/>
      <x:c r="C7" s="473"/>
      <x:c r="D7" s="473"/>
      <x:c r="E7" s="473"/>
      <x:c r="F7" s="473"/>
      <x:c r="G7" s="444"/>
      <x:c r="H7" s="444"/>
      <x:c r="I7" s="444"/>
      <x:c r="J7" s="444"/>
      <x:c r="K7" s="444"/>
      <x:c r="L7" s="444"/>
      <x:c r="M7" s="1835" t="s">
        <x:v>21</x:v>
      </x:c>
      <x:c r="N7" s="1934" t="str">
        <x:f>CONCATENATE(P7, " of ",IF(ISBLANK('Job Info.'!D9),"",'Job Info.'!D9))</x:f>
        <x:v>11 of 42</x:v>
      </x:c>
      <x:c r="O7" s="1271"/>
      <x:c r="P7" s="1393">
        <x:v>11</x:v>
      </x:c>
      <x:c r="U7" s="449"/>
      <x:c r="V7" s="777"/>
    </x:row>
    <x:row r="8" spans="1:44" ht="3.95" customHeight="1" x14ac:dyDescent="0.2">
      <x:c r="A8" s="473"/>
      <x:c r="B8" s="473"/>
      <x:c r="C8" s="473"/>
      <x:c r="D8" s="473"/>
      <x:c r="E8" s="473"/>
      <x:c r="F8" s="473"/>
      <x:c r="G8" s="473"/>
      <x:c r="H8" s="473"/>
      <x:c r="I8" s="473"/>
      <x:c r="J8" s="473"/>
      <x:c r="K8" s="473"/>
      <x:c r="L8" s="473"/>
      <x:c r="M8" s="473"/>
      <x:c r="N8" s="473"/>
      <x:c r="O8" s="1271"/>
      <x:c r="P8" s="1271"/>
    </x:row>
    <x:row r="9" spans="1:44" ht="12.6" customHeight="1" x14ac:dyDescent="0.2">
      <x:c r="A9" s="1830" t="s">
        <x:v>1</x:v>
      </x:c>
      <x:c r="B9" s="2225" t="str">
        <x:f>IF(ISBLANK('Job Info.'!D3),"",'Job Info.'!D3)</x:f>
        <x:v>SUNPOINT CROSSING</x:v>
      </x:c>
      <x:c r="C9" s="2225"/>
      <x:c r="D9" s="2225"/>
      <x:c r="E9" s="2225"/>
      <x:c r="F9" s="2225"/>
      <x:c r="G9" s="2225"/>
      <x:c r="H9" s="2226"/>
      <x:c r="I9" s="560"/>
      <x:c r="J9" s="1825" t="s">
        <x:v>2</x:v>
      </x:c>
      <x:c r="K9" s="2225" t="str">
        <x:f>IF(ISBLANK('Job Info.'!D5),"",'Job Info.'!D5)</x:f>
        <x:v>9118-0062</x:v>
      </x:c>
      <x:c r="L9" s="2242"/>
      <x:c r="M9" s="2242"/>
      <x:c r="N9" s="2243"/>
      <x:c r="O9" s="1360"/>
      <x:c r="P9" s="1360"/>
      <x:c r="V9" s="778"/>
    </x:row>
    <x:row r="10" spans="1:44" ht="12.6" customHeight="1" x14ac:dyDescent="0.2">
      <x:c r="A10" s="1830" t="s">
        <x:v>3</x:v>
      </x:c>
      <x:c r="B10" s="2225" t="str">
        <x:f>IF(ISBLANK('Job Info.'!D4),"",'Job Info.'!D4)</x:f>
        <x:v>LAS VEGAS, NV</x:v>
      </x:c>
      <x:c r="C10" s="2225"/>
      <x:c r="D10" s="2225"/>
      <x:c r="E10" s="2225"/>
      <x:c r="F10" s="2225"/>
      <x:c r="G10" s="2225"/>
      <x:c r="H10" s="2226"/>
      <x:c r="I10" s="2239" t="s">
        <x:v>22</x:v>
      </x:c>
      <x:c r="J10" s="2239"/>
      <x:c r="K10" s="2225" t="str">
        <x:f>IF(ISBLANK('Job Info.'!D6),"",'Job Info.'!D6)</x:f>
        <x:v>CJA</x:v>
      </x:c>
      <x:c r="L10" s="2226"/>
      <x:c r="M10" s="1830" t="s">
        <x:v>23</x:v>
      </x:c>
      <x:c r="N10" s="1823" t="str">
        <x:f>IF(ISBLANK('Job Info.'!D7),"",'Job Info.'!D7)</x:f>
        <x:v>LS</x:v>
      </x:c>
      <x:c r="O10" s="1360"/>
      <x:c r="P10" s="1360"/>
      <x:c r="W10" s="779"/>
    </x:row>
    <x:row r="11" spans="1:44" ht="3.95" customHeight="1" x14ac:dyDescent="0.2">
      <x:c r="A11" s="1396"/>
      <x:c r="B11" s="473"/>
      <x:c r="C11" s="473"/>
      <x:c r="D11" s="473"/>
      <x:c r="E11" s="473"/>
      <x:c r="F11" s="473"/>
      <x:c r="G11" s="473"/>
      <x:c r="H11" s="473"/>
      <x:c r="I11" s="473"/>
      <x:c r="J11" s="473"/>
      <x:c r="K11" s="473"/>
      <x:c r="L11" s="473"/>
      <x:c r="M11" s="473"/>
      <x:c r="N11" s="473"/>
      <x:c r="O11" s="1358"/>
      <x:c r="P11" s="1358"/>
    </x:row>
    <x:row r="12" spans="1:44" s="570" customFormat="1" ht="14.1" customHeight="1" x14ac:dyDescent="0.2">
      <x:c r="A12" s="2244" t="s">
        <x:v>78</x:v>
      </x:c>
      <x:c r="B12" s="2245"/>
      <x:c r="C12" s="2245"/>
      <x:c r="D12" s="2245"/>
      <x:c r="E12" s="2246"/>
      <x:c r="F12" s="2244" t="s">
        <x:v>50</x:v>
      </x:c>
      <x:c r="G12" s="2245"/>
      <x:c r="H12" s="2250"/>
      <x:c r="I12" s="2244" t="s">
        <x:v>51</x:v>
      </x:c>
      <x:c r="J12" s="2245"/>
      <x:c r="K12" s="2250"/>
      <x:c r="L12" s="2240" t="s">
        <x:v>52</x:v>
      </x:c>
      <x:c r="M12" s="2251" t="s">
        <x:v>782</x:v>
      </x:c>
      <x:c r="N12" s="2240" t="s">
        <x:v>53</x:v>
      </x:c>
      <x:c r="O12" s="1395"/>
      <x:c r="P12" s="1395"/>
      <x:c r="AO12" s="980" t="s">
        <x:v>1016</x:v>
      </x:c>
      <x:c r="AP12" s="1201" t="s">
        <x:v>171</x:v>
      </x:c>
      <x:c r="AQ12" s="571"/>
    </x:row>
    <x:row r="13" spans="1:44" s="570" customFormat="1" ht="14.1" customHeight="1" x14ac:dyDescent="0.2">
      <x:c r="A13" s="1338" t="s">
        <x:v>47</x:v>
      </x:c>
      <x:c r="B13" s="1826" t="s">
        <x:v>17</x:v>
      </x:c>
      <x:c r="C13" s="1826" t="s">
        <x:v>46</x:v>
      </x:c>
      <x:c r="D13" s="1826" t="s">
        <x:v>79</x:v>
      </x:c>
      <x:c r="E13" s="1340" t="s">
        <x:v>45</x:v>
      </x:c>
      <x:c r="F13" s="1338" t="s">
        <x:v>48</x:v>
      </x:c>
      <x:c r="G13" s="2248" t="s">
        <x:v>49</x:v>
      </x:c>
      <x:c r="H13" s="2249"/>
      <x:c r="I13" s="1338" t="s">
        <x:v>48</x:v>
      </x:c>
      <x:c r="J13" s="2248" t="s">
        <x:v>49</x:v>
      </x:c>
      <x:c r="K13" s="2249"/>
      <x:c r="L13" s="2247"/>
      <x:c r="M13" s="2252"/>
      <x:c r="N13" s="2241"/>
      <x:c r="O13" s="1395"/>
      <x:c r="P13" s="1395"/>
      <x:c r="AQ13" s="980"/>
    </x:row>
    <x:row r="14" spans="1:44" ht="14.1" customHeight="1" x14ac:dyDescent="0.2">
      <x:c r="A14" s="2020" t="s">
        <x:v>1687</x:v>
      </x:c>
      <x:c r="B14" s="2021" t="s">
        <x:v>147</x:v>
      </x:c>
      <x:c r="C14" s="2021" t="s">
        <x:v>168</x:v>
      </x:c>
      <x:c r="D14" s="2021" t="s">
        <x:v>146</x:v>
      </x:c>
      <x:c r="E14" s="2022"/>
      <x:c r="F14" s="2023">
        <x:v>470</x:v>
      </x:c>
      <x:c r="G14" s="2024">
        <x:v>37</x:v>
      </x:c>
      <x:c r="H14" s="2025">
        <x:v>3</x:v>
      </x:c>
      <x:c r="I14" s="2023"/>
      <x:c r="J14" s="2024"/>
      <x:c r="K14" s="2025"/>
      <x:c r="L14" s="2026" t="s">
        <x:v>740</x:v>
      </x:c>
      <x:c r="M14" s="2027" t="s">
        <x:v>117</x:v>
      </x:c>
      <x:c r="N14" s="2028" t="s">
        <x:v>1673</x:v>
      </x:c>
      <x:c r="O14" s="2029"/>
      <x:c r="P14" s="2029"/>
      <x:c r="R14" s="295" t="b">
        <x:f>OR(B14="CP",B14="CA", B14="AX",B14="M",B14="S")</x:f>
        <x:v>0</x:v>
      </x:c>
      <x:c r="S14" s="475">
        <x:v>1</x:v>
      </x:c>
      <x:c r="T14" s="475">
        <x:v>0</x:v>
      </x:c>
      <x:c r="U14" s="475">
        <x:v>0</x:v>
      </x:c>
      <x:c r="V14" s="475">
        <x:v>1</x:v>
      </x:c>
      <x:c r="W14" s="475">
        <x:v>0</x:v>
      </x:c>
      <x:c r="X14" s="475">
        <x:v>0</x:v>
      </x:c>
      <x:c r="Y14" s="475">
        <x:v>0</x:v>
      </x:c>
      <x:c r="Z14" s="475">
        <x:v>0</x:v>
      </x:c>
      <x:c r="AA14" s="475">
        <x:v>0</x:v>
      </x:c>
      <x:c r="AB14" s="475">
        <x:v>0</x:v>
      </x:c>
      <x:c r="AC14" s="475">
        <x:v>2</x:v>
      </x:c>
      <x:c r="AD14" s="475">
        <x:v>3</x:v>
      </x:c>
      <x:c r="AE14" s="475">
        <x:v>0</x:v>
      </x:c>
      <x:c r="AF14" s="475">
        <x:v>0</x:v>
      </x:c>
      <x:c r="AG14" s="475">
        <x:v>0</x:v>
      </x:c>
      <x:c r="AL14" s="295" t="b">
        <x:v>1</x:v>
      </x:c>
      <x:c r="AO14" s="284" t="str">
        <x:f>IF(ISBLANK(A14),"",A14)</x:f>
        <x:v>44</x:v>
      </x:c>
      <x:c r="AP14" s="1202" t="b">
        <x:v>0</x:v>
      </x:c>
      <x:c r="AQ14" s="236"/>
    </x:row>
    <x:row r="15" spans="1:44" ht="14.1" customHeight="1" x14ac:dyDescent="0.2">
      <x:c r="A15" s="2030"/>
      <x:c r="B15" s="2031" t="s">
        <x:v>147</x:v>
      </x:c>
      <x:c r="C15" s="2031" t="s">
        <x:v>168</x:v>
      </x:c>
      <x:c r="D15" s="2031" t="s">
        <x:v>146</x:v>
      </x:c>
      <x:c r="E15" s="2032"/>
      <x:c r="F15" s="2033">
        <x:v>-470</x:v>
      </x:c>
      <x:c r="G15" s="2034">
        <x:v>37</x:v>
      </x:c>
      <x:c r="H15" s="2035">
        <x:v>3</x:v>
      </x:c>
      <x:c r="I15" s="2033"/>
      <x:c r="J15" s="2034"/>
      <x:c r="K15" s="2035"/>
      <x:c r="L15" s="2036" t="s">
        <x:v>740</x:v>
      </x:c>
      <x:c r="M15" s="2037" t="s">
        <x:v>850</x:v>
      </x:c>
      <x:c r="N15" s="2038" t="s">
        <x:v>117</x:v>
      </x:c>
      <x:c r="O15" s="2029"/>
      <x:c r="P15" s="2029"/>
      <x:c r="R15" s="295" t="b">
        <x:f t="shared" ref="R15:R55" si="0">OR(B15="CP",B15="CA", B15="AX",B15="M",B15="S")</x:f>
        <x:v>0</x:v>
      </x:c>
      <x:c r="S15" s="678" t="s">
        <x:v>152</x:v>
      </x:c>
      <x:c r="T15" s="678" t="s">
        <x:v>145</x:v>
      </x:c>
      <x:c r="U15" s="678" t="s">
        <x:v>153</x:v>
      </x:c>
      <x:c r="V15" s="678" t="s">
        <x:v>149</x:v>
      </x:c>
      <x:c r="W15" s="678" t="s">
        <x:v>154</x:v>
      </x:c>
      <x:c r="X15" s="678" t="s">
        <x:v>155</x:v>
      </x:c>
      <x:c r="Y15" s="678" t="s">
        <x:v>156</x:v>
      </x:c>
      <x:c r="Z15" s="678" t="s">
        <x:v>147</x:v>
      </x:c>
      <x:c r="AA15" s="678" t="s">
        <x:v>157</x:v>
      </x:c>
      <x:c r="AB15" s="678" t="s">
        <x:v>158</x:v>
      </x:c>
      <x:c r="AC15" s="678" t="s">
        <x:v>119</x:v>
      </x:c>
      <x:c r="AD15" s="678" t="s">
        <x:v>159</x:v>
      </x:c>
      <x:c r="AE15" s="284"/>
      <x:c r="AF15" s="284"/>
      <x:c r="AG15" s="284"/>
      <x:c r="AH15" s="475">
        <x:v>0</x:v>
      </x:c>
      <x:c r="AI15" s="475">
        <x:v>1</x:v>
      </x:c>
      <x:c r="AJ15" s="475">
        <x:v>2</x:v>
      </x:c>
      <x:c r="AK15" s="475">
        <x:v>3</x:v>
      </x:c>
      <x:c r="AL15" s="475"/>
      <x:c r="AM15" s="475"/>
      <x:c r="AO15" s="284" t="str">
        <x:f>IF(ISBLANK(A15),AO14,A15)</x:f>
        <x:v>44</x:v>
      </x:c>
      <x:c r="AP15" s="1202" t="b">
        <x:v>0</x:v>
      </x:c>
      <x:c r="AQ15" s="236"/>
    </x:row>
    <x:row r="16" spans="1:44" ht="14.1" customHeight="1" x14ac:dyDescent="0.2">
      <x:c r="A16" s="2030"/>
      <x:c r="B16" s="2031" t="s">
        <x:v>158</x:v>
      </x:c>
      <x:c r="C16" s="2031" t="s">
        <x:v>168</x:v>
      </x:c>
      <x:c r="D16" s="2031" t="s">
        <x:v>146</x:v>
      </x:c>
      <x:c r="E16" s="2032"/>
      <x:c r="F16" s="2033">
        <x:v>800</x:v>
      </x:c>
      <x:c r="G16" s="2034"/>
      <x:c r="H16" s="2035"/>
      <x:c r="I16" s="2033"/>
      <x:c r="J16" s="2034"/>
      <x:c r="K16" s="2035"/>
      <x:c r="L16" s="2036" t="s">
        <x:v>117</x:v>
      </x:c>
      <x:c r="M16" s="2037" t="s">
        <x:v>117</x:v>
      </x:c>
      <x:c r="N16" s="2038" t="s">
        <x:v>117</x:v>
      </x:c>
      <x:c r="O16" s="2029"/>
      <x:c r="P16" s="2029"/>
      <x:c r="R16" s="295" t="b">
        <x:f t="shared" si="0"/>
        <x:v>1</x:v>
      </x:c>
      <x:c r="S16" s="678" t="s">
        <x:v>148</x:v>
      </x:c>
      <x:c r="T16" s="678" t="s">
        <x:v>143</x:v>
      </x:c>
      <x:c r="U16" s="678" t="s">
        <x:v>143</x:v>
      </x:c>
      <x:c r="V16" s="678" t="s">
        <x:v>148</x:v>
      </x:c>
      <x:c r="W16" s="678" t="s">
        <x:v>148</x:v>
      </x:c>
      <x:c r="X16" s="678" t="s">
        <x:v>148</x:v>
      </x:c>
      <x:c r="Y16" s="678" t="s">
        <x:v>148</x:v>
      </x:c>
      <x:c r="Z16" s="678" t="s">
        <x:v>148</x:v>
      </x:c>
      <x:c r="AA16" s="678" t="s">
        <x:v>148</x:v>
      </x:c>
      <x:c r="AB16" s="678" t="s">
        <x:v>148</x:v>
      </x:c>
      <x:c r="AC16" s="678" t="s">
        <x:v>148</x:v>
      </x:c>
      <x:c r="AD16" s="678" t="s">
        <x:v>148</x:v>
      </x:c>
      <x:c r="AE16" s="284"/>
      <x:c r="AF16" s="284"/>
      <x:c r="AG16" s="284"/>
      <x:c r="AH16" s="284" t="s">
        <x:v>146</x:v>
      </x:c>
      <x:c r="AI16" s="284" t="s">
        <x:v>146</x:v>
      </x:c>
      <x:c r="AJ16" s="284" t="s">
        <x:v>169</x:v>
      </x:c>
      <x:c r="AK16" s="284" t="s">
        <x:v>146</x:v>
      </x:c>
      <x:c r="AL16" s="284" t="s">
        <x:v>740</x:v>
      </x:c>
      <x:c r="AM16" s="284" t="s">
        <x:v>740</x:v>
      </x:c>
      <x:c r="AN16" s="536" t="s">
        <x:v>783</x:v>
      </x:c>
      <x:c r="AO16" s="284" t="str">
        <x:f t="shared" ref="AO16:AO55" si="1">IF(ISBLANK(A16),AO15,A16)</x:f>
        <x:v>44</x:v>
      </x:c>
      <x:c r="AP16" s="1202" t="b">
        <x:v>0</x:v>
      </x:c>
      <x:c r="AQ16" s="236"/>
    </x:row>
    <x:row r="17" spans="1:43" ht="14.1" customHeight="1" x14ac:dyDescent="0.2">
      <x:c r="A17" s="2030"/>
      <x:c r="B17" s="2031" t="s">
        <x:v>147</x:v>
      </x:c>
      <x:c r="C17" s="2031" t="s">
        <x:v>166</x:v>
      </x:c>
      <x:c r="D17" s="2031" t="s">
        <x:v>146</x:v>
      </x:c>
      <x:c r="E17" s="2032"/>
      <x:c r="F17" s="2033">
        <x:v>140</x:v>
      </x:c>
      <x:c r="G17" s="2034">
        <x:v>37</x:v>
      </x:c>
      <x:c r="H17" s="2035">
        <x:v>3</x:v>
      </x:c>
      <x:c r="I17" s="2033"/>
      <x:c r="J17" s="2034"/>
      <x:c r="K17" s="2035"/>
      <x:c r="L17" s="2036" t="s">
        <x:v>740</x:v>
      </x:c>
      <x:c r="M17" s="2037" t="s">
        <x:v>117</x:v>
      </x:c>
      <x:c r="N17" s="2038" t="s">
        <x:v>117</x:v>
      </x:c>
      <x:c r="O17" s="2029"/>
      <x:c r="P17" s="2029"/>
      <x:c r="R17" s="295" t="b">
        <x:f t="shared" si="0"/>
        <x:v>0</x:v>
      </x:c>
      <x:c r="S17" s="678" t="s">
        <x:v>163</x:v>
      </x:c>
      <x:c r="T17" s="678" t="s">
        <x:v>168</x:v>
      </x:c>
      <x:c r="U17" s="678" t="s">
        <x:v>168</x:v>
      </x:c>
      <x:c r="V17" s="678" t="s">
        <x:v>163</x:v>
      </x:c>
      <x:c r="W17" s="678" t="s">
        <x:v>163</x:v>
      </x:c>
      <x:c r="X17" s="678" t="s">
        <x:v>163</x:v>
      </x:c>
      <x:c r="Y17" s="678" t="s">
        <x:v>163</x:v>
      </x:c>
      <x:c r="Z17" s="678" t="s">
        <x:v>163</x:v>
      </x:c>
      <x:c r="AA17" s="678" t="s">
        <x:v>163</x:v>
      </x:c>
      <x:c r="AB17" s="678" t="s">
        <x:v>163</x:v>
      </x:c>
      <x:c r="AC17" s="678" t="s">
        <x:v>163</x:v>
      </x:c>
      <x:c r="AD17" s="678" t="s">
        <x:v>163</x:v>
      </x:c>
      <x:c r="AE17" s="284"/>
      <x:c r="AF17" s="284"/>
      <x:c r="AG17" s="284"/>
      <x:c r="AH17" s="284" t="s">
        <x:v>160</x:v>
      </x:c>
      <x:c r="AI17" s="284" t="s">
        <x:v>160</x:v>
      </x:c>
      <x:c r="AJ17" s="284" t="s">
        <x:v>170</x:v>
      </x:c>
      <x:c r="AK17" s="284"/>
      <x:c r="AL17" s="284" t="s">
        <x:v>741</x:v>
      </x:c>
      <x:c r="AM17" s="284" t="s">
        <x:v>742</x:v>
      </x:c>
      <x:c r="AN17" s="536" t="s">
        <x:v>784</x:v>
      </x:c>
      <x:c r="AO17" s="284" t="str">
        <x:f t="shared" si="1"/>
        <x:v>44</x:v>
      </x:c>
      <x:c r="AP17" s="1202" t="b">
        <x:v>0</x:v>
      </x:c>
      <x:c r="AQ17" s="236"/>
    </x:row>
    <x:row r="18" spans="1:43" ht="14.1" customHeight="1" x14ac:dyDescent="0.2">
      <x:c r="A18" s="2030" t="s">
        <x:v>1688</x:v>
      </x:c>
      <x:c r="B18" s="2031" t="s">
        <x:v>147</x:v>
      </x:c>
      <x:c r="C18" s="2031" t="s">
        <x:v>168</x:v>
      </x:c>
      <x:c r="D18" s="2031" t="s">
        <x:v>146</x:v>
      </x:c>
      <x:c r="E18" s="2032"/>
      <x:c r="F18" s="2033">
        <x:v>625</x:v>
      </x:c>
      <x:c r="G18" s="2034">
        <x:v>57</x:v>
      </x:c>
      <x:c r="H18" s="2035">
        <x:v>0</x:v>
      </x:c>
      <x:c r="I18" s="2033"/>
      <x:c r="J18" s="2034"/>
      <x:c r="K18" s="2035"/>
      <x:c r="L18" s="2036" t="s">
        <x:v>740</x:v>
      </x:c>
      <x:c r="M18" s="2037" t="s">
        <x:v>117</x:v>
      </x:c>
      <x:c r="N18" s="2038" t="s">
        <x:v>1653</x:v>
      </x:c>
      <x:c r="O18" s="2029"/>
      <x:c r="P18" s="2029"/>
      <x:c r="R18" s="295" t="b">
        <x:f t="shared" si="0"/>
        <x:v>0</x:v>
      </x:c>
      <x:c r="S18" s="678" t="s">
        <x:v>164</x:v>
      </x:c>
      <x:c r="T18" s="284"/>
      <x:c r="U18" s="284"/>
      <x:c r="V18" s="678" t="s">
        <x:v>164</x:v>
      </x:c>
      <x:c r="W18" s="678" t="s">
        <x:v>164</x:v>
      </x:c>
      <x:c r="X18" s="678" t="s">
        <x:v>164</x:v>
      </x:c>
      <x:c r="Y18" s="678" t="s">
        <x:v>164</x:v>
      </x:c>
      <x:c r="Z18" s="678" t="s">
        <x:v>164</x:v>
      </x:c>
      <x:c r="AA18" s="678" t="s">
        <x:v>164</x:v>
      </x:c>
      <x:c r="AB18" s="678" t="s">
        <x:v>164</x:v>
      </x:c>
      <x:c r="AC18" s="678" t="s">
        <x:v>164</x:v>
      </x:c>
      <x:c r="AD18" s="678" t="s">
        <x:v>164</x:v>
      </x:c>
      <x:c r="AE18" s="284"/>
      <x:c r="AF18" s="284"/>
      <x:c r="AG18" s="284"/>
      <x:c r="AH18" s="284"/>
      <x:c r="AI18" s="284" t="s">
        <x:v>161</x:v>
      </x:c>
      <x:c r="AJ18" s="284" t="s">
        <x:v>144</x:v>
      </x:c>
      <x:c r="AK18" s="284"/>
      <x:c r="AL18" s="284" t="s">
        <x:v>742</x:v>
      </x:c>
      <x:c r="AM18" s="284" t="s">
        <x:v>744</x:v>
      </x:c>
      <x:c r="AN18" s="536" t="s">
        <x:v>785</x:v>
      </x:c>
      <x:c r="AO18" s="284" t="str">
        <x:f t="shared" si="1"/>
        <x:v>45</x:v>
      </x:c>
      <x:c r="AP18" s="1202" t="b">
        <x:v>0</x:v>
      </x:c>
      <x:c r="AQ18" s="236"/>
    </x:row>
    <x:row r="19" spans="1:43" ht="14.1" customHeight="1" x14ac:dyDescent="0.2">
      <x:c r="A19" s="2030"/>
      <x:c r="B19" s="2031" t="s">
        <x:v>147</x:v>
      </x:c>
      <x:c r="C19" s="2031" t="s">
        <x:v>168</x:v>
      </x:c>
      <x:c r="D19" s="2031" t="s">
        <x:v>146</x:v>
      </x:c>
      <x:c r="E19" s="2032"/>
      <x:c r="F19" s="2033">
        <x:v>-625</x:v>
      </x:c>
      <x:c r="G19" s="2034">
        <x:v>57</x:v>
      </x:c>
      <x:c r="H19" s="2035">
        <x:v>0</x:v>
      </x:c>
      <x:c r="I19" s="2033"/>
      <x:c r="J19" s="2034"/>
      <x:c r="K19" s="2035"/>
      <x:c r="L19" s="2036" t="s">
        <x:v>740</x:v>
      </x:c>
      <x:c r="M19" s="2037" t="s">
        <x:v>850</x:v>
      </x:c>
      <x:c r="N19" s="2038" t="s">
        <x:v>117</x:v>
      </x:c>
      <x:c r="O19" s="2029"/>
      <x:c r="P19" s="2029"/>
      <x:c r="R19" s="295" t="b">
        <x:f t="shared" si="0"/>
        <x:v>0</x:v>
      </x:c>
      <x:c r="S19" s="678" t="s">
        <x:v>143</x:v>
      </x:c>
      <x:c r="T19" s="284"/>
      <x:c r="U19" s="284"/>
      <x:c r="V19" s="678" t="s">
        <x:v>143</x:v>
      </x:c>
      <x:c r="W19" s="678" t="s">
        <x:v>143</x:v>
      </x:c>
      <x:c r="X19" s="678" t="s">
        <x:v>143</x:v>
      </x:c>
      <x:c r="Y19" s="678" t="s">
        <x:v>143</x:v>
      </x:c>
      <x:c r="Z19" s="678" t="s">
        <x:v>143</x:v>
      </x:c>
      <x:c r="AA19" s="678" t="s">
        <x:v>143</x:v>
      </x:c>
      <x:c r="AB19" s="678" t="s">
        <x:v>143</x:v>
      </x:c>
      <x:c r="AC19" s="678" t="s">
        <x:v>143</x:v>
      </x:c>
      <x:c r="AD19" s="678" t="s">
        <x:v>166</x:v>
      </x:c>
      <x:c r="AE19" s="284"/>
      <x:c r="AF19" s="284"/>
      <x:c r="AG19" s="284"/>
      <x:c r="AH19" s="284"/>
      <x:c r="AI19" s="284" t="s">
        <x:v>162</x:v>
      </x:c>
      <x:c r="AJ19" s="284"/>
      <x:c r="AK19" s="554"/>
      <x:c r="AL19" s="284" t="s">
        <x:v>743</x:v>
      </x:c>
      <x:c r="AM19" s="284" t="s">
        <x:v>745</x:v>
      </x:c>
      <x:c r="AN19" s="536" t="s">
        <x:v>786</x:v>
      </x:c>
      <x:c r="AO19" s="284" t="str">
        <x:f t="shared" si="1"/>
        <x:v>45</x:v>
      </x:c>
      <x:c r="AP19" s="1202" t="b">
        <x:v>0</x:v>
      </x:c>
      <x:c r="AQ19" s="236"/>
    </x:row>
    <x:row r="20" spans="1:43" ht="14.1" customHeight="1" x14ac:dyDescent="0.2">
      <x:c r="A20" s="2030"/>
      <x:c r="B20" s="2031" t="s">
        <x:v>158</x:v>
      </x:c>
      <x:c r="C20" s="2031" t="s">
        <x:v>168</x:v>
      </x:c>
      <x:c r="D20" s="2031" t="s">
        <x:v>146</x:v>
      </x:c>
      <x:c r="E20" s="2032"/>
      <x:c r="F20" s="2033">
        <x:v>1075</x:v>
      </x:c>
      <x:c r="G20" s="2034"/>
      <x:c r="H20" s="2035"/>
      <x:c r="I20" s="2033"/>
      <x:c r="J20" s="2034"/>
      <x:c r="K20" s="2035"/>
      <x:c r="L20" s="2036" t="s">
        <x:v>117</x:v>
      </x:c>
      <x:c r="M20" s="2037" t="s">
        <x:v>117</x:v>
      </x:c>
      <x:c r="N20" s="2039" t="s">
        <x:v>117</x:v>
      </x:c>
      <x:c r="O20" s="2040"/>
      <x:c r="P20" s="2040"/>
      <x:c r="R20" s="295" t="b">
        <x:f t="shared" si="0"/>
        <x:v>1</x:v>
      </x:c>
      <x:c r="S20" s="678" t="s">
        <x:v>165</x:v>
      </x:c>
      <x:c r="T20" s="284"/>
      <x:c r="U20" s="284"/>
      <x:c r="V20" s="678" t="s">
        <x:v>166</x:v>
      </x:c>
      <x:c r="W20" s="678" t="s">
        <x:v>166</x:v>
      </x:c>
      <x:c r="X20" s="678" t="s">
        <x:v>166</x:v>
      </x:c>
      <x:c r="Y20" s="678" t="s">
        <x:v>166</x:v>
      </x:c>
      <x:c r="Z20" s="678" t="s">
        <x:v>166</x:v>
      </x:c>
      <x:c r="AA20" s="678" t="s">
        <x:v>166</x:v>
      </x:c>
      <x:c r="AB20" s="678" t="s">
        <x:v>166</x:v>
      </x:c>
      <x:c r="AC20" s="678" t="s">
        <x:v>166</x:v>
      </x:c>
      <x:c r="AD20" s="284"/>
      <x:c r="AE20" s="284"/>
      <x:c r="AF20" s="284"/>
      <x:c r="AG20" s="284"/>
      <x:c r="AH20" s="475"/>
      <x:c r="AI20" s="475"/>
      <x:c r="AJ20" s="475"/>
      <x:c r="AL20" s="284" t="s">
        <x:v>744</x:v>
      </x:c>
      <x:c r="AM20" s="284"/>
      <x:c r="AN20" s="536"/>
      <x:c r="AO20" s="284" t="str">
        <x:f t="shared" si="1"/>
        <x:v>45</x:v>
      </x:c>
      <x:c r="AP20" s="1202" t="b">
        <x:v>0</x:v>
      </x:c>
      <x:c r="AQ20" s="236"/>
    </x:row>
    <x:row r="21" spans="1:43" ht="14.1" customHeight="1" x14ac:dyDescent="0.2">
      <x:c r="A21" s="2030"/>
      <x:c r="B21" s="2031" t="s">
        <x:v>147</x:v>
      </x:c>
      <x:c r="C21" s="2031" t="s">
        <x:v>166</x:v>
      </x:c>
      <x:c r="D21" s="2031" t="s">
        <x:v>146</x:v>
      </x:c>
      <x:c r="E21" s="2032"/>
      <x:c r="F21" s="2033">
        <x:v>260</x:v>
      </x:c>
      <x:c r="G21" s="2034">
        <x:v>57</x:v>
      </x:c>
      <x:c r="H21" s="2035">
        <x:v>0</x:v>
      </x:c>
      <x:c r="I21" s="2033"/>
      <x:c r="J21" s="2034"/>
      <x:c r="K21" s="2035"/>
      <x:c r="L21" s="2036" t="s">
        <x:v>740</x:v>
      </x:c>
      <x:c r="M21" s="2037" t="s">
        <x:v>117</x:v>
      </x:c>
      <x:c r="N21" s="2039" t="s">
        <x:v>117</x:v>
      </x:c>
      <x:c r="O21" s="2040"/>
      <x:c r="P21" s="2040"/>
      <x:c r="R21" s="295" t="b">
        <x:f t="shared" si="0"/>
        <x:v>0</x:v>
      </x:c>
      <x:c r="S21" s="678" t="s">
        <x:v>166</x:v>
      </x:c>
      <x:c r="T21" s="284"/>
      <x:c r="U21" s="284"/>
      <x:c r="V21" s="678" t="s">
        <x:v>168</x:v>
      </x:c>
      <x:c r="W21" s="678" t="s">
        <x:v>168</x:v>
      </x:c>
      <x:c r="X21" s="678" t="s">
        <x:v>168</x:v>
      </x:c>
      <x:c r="Y21" s="678" t="s">
        <x:v>168</x:v>
      </x:c>
      <x:c r="Z21" s="678" t="s">
        <x:v>168</x:v>
      </x:c>
      <x:c r="AA21" s="678" t="s">
        <x:v>168</x:v>
      </x:c>
      <x:c r="AB21" s="678" t="s">
        <x:v>168</x:v>
      </x:c>
      <x:c r="AC21" s="678" t="s">
        <x:v>168</x:v>
      </x:c>
      <x:c r="AD21" s="284"/>
      <x:c r="AE21" s="284"/>
      <x:c r="AF21" s="284"/>
      <x:c r="AG21" s="284"/>
      <x:c r="AH21" s="475"/>
      <x:c r="AI21" s="475"/>
      <x:c r="AJ21" s="475"/>
      <x:c r="AL21" s="284" t="s">
        <x:v>745</x:v>
      </x:c>
      <x:c r="AM21" s="284"/>
      <x:c r="AN21" s="536"/>
      <x:c r="AO21" s="284" t="str">
        <x:f t="shared" si="1"/>
        <x:v>45</x:v>
      </x:c>
      <x:c r="AP21" s="1202" t="b">
        <x:v>0</x:v>
      </x:c>
      <x:c r="AQ21" s="236"/>
    </x:row>
    <x:row r="22" spans="1:43" ht="14.1" customHeight="1" x14ac:dyDescent="0.2">
      <x:c r="A22" s="2030" t="s">
        <x:v>1689</x:v>
      </x:c>
      <x:c r="B22" s="2031" t="s">
        <x:v>152</x:v>
      </x:c>
      <x:c r="C22" s="2031" t="s">
        <x:v>166</x:v>
      </x:c>
      <x:c r="D22" s="2031" t="s">
        <x:v>146</x:v>
      </x:c>
      <x:c r="E22" s="2032"/>
      <x:c r="F22" s="2033">
        <x:v>32</x:v>
      </x:c>
      <x:c r="G22" s="2034">
        <x:v>0</x:v>
      </x:c>
      <x:c r="H22" s="2035">
        <x:v>0</x:v>
      </x:c>
      <x:c r="I22" s="2033">
        <x:v>32</x:v>
      </x:c>
      <x:c r="J22" s="2034">
        <x:v>20</x:v>
      </x:c>
      <x:c r="K22" s="2035">
        <x:v>0</x:v>
      </x:c>
      <x:c r="L22" s="2036" t="s">
        <x:v>740</x:v>
      </x:c>
      <x:c r="M22" s="2037" t="s">
        <x:v>117</x:v>
      </x:c>
      <x:c r="N22" s="2039" t="s">
        <x:v>1690</x:v>
      </x:c>
      <x:c r="O22" s="2040"/>
      <x:c r="P22" s="2040"/>
      <x:c r="R22" s="295" t="b">
        <x:f t="shared" si="0"/>
        <x:v>0</x:v>
      </x:c>
      <x:c r="S22" s="678" t="s">
        <x:v>168</x:v>
      </x:c>
      <x:c r="T22" s="284"/>
      <x:c r="U22" s="284"/>
      <x:c r="V22" s="678" t="s">
        <x:v>167</x:v>
      </x:c>
      <x:c r="W22" s="678" t="s">
        <x:v>167</x:v>
      </x:c>
      <x:c r="X22" s="678" t="s">
        <x:v>167</x:v>
      </x:c>
      <x:c r="Y22" s="678" t="s">
        <x:v>167</x:v>
      </x:c>
      <x:c r="Z22" s="678" t="s">
        <x:v>167</x:v>
      </x:c>
      <x:c r="AA22" s="678" t="s">
        <x:v>167</x:v>
      </x:c>
      <x:c r="AB22" s="678" t="s">
        <x:v>167</x:v>
      </x:c>
      <x:c r="AC22" s="678" t="s">
        <x:v>167</x:v>
      </x:c>
      <x:c r="AD22" s="284"/>
      <x:c r="AE22" s="284"/>
      <x:c r="AF22" s="284"/>
      <x:c r="AG22" s="284"/>
      <x:c r="AH22" s="475"/>
      <x:c r="AI22" s="475"/>
      <x:c r="AJ22" s="475"/>
      <x:c r="AL22" s="284"/>
      <x:c r="AM22" s="284"/>
      <x:c r="AN22" s="536"/>
      <x:c r="AO22" s="284" t="str">
        <x:f t="shared" si="1"/>
        <x:v>46</x:v>
      </x:c>
      <x:c r="AP22" s="1202" t="b">
        <x:v>0</x:v>
      </x:c>
      <x:c r="AQ22" s="236"/>
    </x:row>
    <x:row r="23" spans="1:43" ht="14.1" customHeight="1" x14ac:dyDescent="0.2">
      <x:c r="A23" s="2030" t="s">
        <x:v>1691</x:v>
      </x:c>
      <x:c r="B23" s="2031" t="s">
        <x:v>155</x:v>
      </x:c>
      <x:c r="C23" s="2031" t="s">
        <x:v>168</x:v>
      </x:c>
      <x:c r="D23" s="2031" t="s">
        <x:v>146</x:v>
      </x:c>
      <x:c r="E23" s="2032"/>
      <x:c r="F23" s="2033">
        <x:v>940</x:v>
      </x:c>
      <x:c r="G23" s="2034"/>
      <x:c r="H23" s="2035"/>
      <x:c r="I23" s="2033"/>
      <x:c r="J23" s="2034"/>
      <x:c r="K23" s="2035"/>
      <x:c r="L23" s="2036" t="s">
        <x:v>117</x:v>
      </x:c>
      <x:c r="M23" s="2037" t="s">
        <x:v>117</x:v>
      </x:c>
      <x:c r="N23" s="2039" t="s">
        <x:v>117</x:v>
      </x:c>
      <x:c r="O23" s="2040"/>
      <x:c r="P23" s="2040"/>
      <x:c r="R23" s="295" t="b">
        <x:f t="shared" si="0"/>
        <x:v>1</x:v>
      </x:c>
      <x:c r="S23" s="678" t="s">
        <x:v>167</x:v>
      </x:c>
      <x:c r="T23" s="577"/>
      <x:c r="U23" s="577"/>
      <x:c r="V23" s="577"/>
      <x:c r="W23" s="577"/>
      <x:c r="X23" s="577"/>
      <x:c r="Y23" s="577"/>
      <x:c r="Z23" s="577"/>
      <x:c r="AA23" s="577"/>
      <x:c r="AB23" s="577"/>
      <x:c r="AC23" s="577"/>
      <x:c r="AD23" s="577"/>
      <x:c r="AE23" s="577"/>
      <x:c r="AF23" s="577"/>
      <x:c r="AG23" s="577"/>
      <x:c r="AH23" s="475"/>
      <x:c r="AI23" s="475"/>
      <x:c r="AJ23" s="475"/>
      <x:c r="AL23" s="284"/>
      <x:c r="AM23" s="284"/>
      <x:c r="AN23" s="536"/>
      <x:c r="AO23" s="284" t="str">
        <x:f t="shared" si="1"/>
        <x:v>47</x:v>
      </x:c>
      <x:c r="AP23" s="1202" t="b">
        <x:v>0</x:v>
      </x:c>
      <x:c r="AQ23" s="236"/>
    </x:row>
    <x:row r="24" spans="1:43" ht="14.1" customHeight="1" x14ac:dyDescent="0.2">
      <x:c r="A24" s="2030"/>
      <x:c r="B24" s="2031" t="s">
        <x:v>149</x:v>
      </x:c>
      <x:c r="C24" s="2031" t="s">
        <x:v>166</x:v>
      </x:c>
      <x:c r="D24" s="2031" t="s">
        <x:v>146</x:v>
      </x:c>
      <x:c r="E24" s="2032"/>
      <x:c r="F24" s="2033">
        <x:v>1600</x:v>
      </x:c>
      <x:c r="G24" s="2034">
        <x:v>3</x:v>
      </x:c>
      <x:c r="H24" s="2035">
        <x:v>11.75</x:v>
      </x:c>
      <x:c r="I24" s="2033">
        <x:v>1600</x:v>
      </x:c>
      <x:c r="J24" s="2034">
        <x:v>43</x:v>
      </x:c>
      <x:c r="K24" s="2035">
        <x:v>11.75</x:v>
      </x:c>
      <x:c r="L24" s="2036" t="s">
        <x:v>740</x:v>
      </x:c>
      <x:c r="M24" s="2037" t="s">
        <x:v>117</x:v>
      </x:c>
      <x:c r="N24" s="2039" t="s">
        <x:v>1690</x:v>
      </x:c>
      <x:c r="O24" s="2040"/>
      <x:c r="P24" s="2040"/>
      <x:c r="R24" s="295" t="b">
        <x:f t="shared" si="0"/>
        <x:v>0</x:v>
      </x:c>
      <x:c r="S24" s="577"/>
      <x:c r="T24" s="577"/>
      <x:c r="U24" s="577"/>
      <x:c r="V24" s="577"/>
      <x:c r="W24" s="577"/>
      <x:c r="X24" s="577"/>
      <x:c r="Y24" s="577"/>
      <x:c r="Z24" s="577"/>
      <x:c r="AA24" s="577"/>
      <x:c r="AB24" s="577"/>
      <x:c r="AC24" s="577"/>
      <x:c r="AD24" s="577"/>
      <x:c r="AE24" s="577"/>
      <x:c r="AF24" s="577"/>
      <x:c r="AG24" s="577"/>
      <x:c r="AH24" s="475"/>
      <x:c r="AI24" s="475"/>
      <x:c r="AJ24" s="475"/>
      <x:c r="AL24" s="284"/>
      <x:c r="AM24" s="284"/>
      <x:c r="AN24" s="536"/>
      <x:c r="AO24" s="284" t="str">
        <x:f t="shared" si="1"/>
        <x:v>47</x:v>
      </x:c>
      <x:c r="AP24" s="1202" t="b">
        <x:v>0</x:v>
      </x:c>
      <x:c r="AQ24" s="236"/>
    </x:row>
    <x:row r="25" spans="1:43" ht="14.1" customHeight="1" x14ac:dyDescent="0.2">
      <x:c r="A25" s="2030" t="s">
        <x:v>1692</x:v>
      </x:c>
      <x:c r="B25" s="2031" t="s">
        <x:v>155</x:v>
      </x:c>
      <x:c r="C25" s="2031" t="s">
        <x:v>168</x:v>
      </x:c>
      <x:c r="D25" s="2031" t="s">
        <x:v>146</x:v>
      </x:c>
      <x:c r="E25" s="2032"/>
      <x:c r="F25" s="2033">
        <x:v>940</x:v>
      </x:c>
      <x:c r="G25" s="2034"/>
      <x:c r="H25" s="2035"/>
      <x:c r="I25" s="2033"/>
      <x:c r="J25" s="2034"/>
      <x:c r="K25" s="2035"/>
      <x:c r="L25" s="2036" t="s">
        <x:v>117</x:v>
      </x:c>
      <x:c r="M25" s="2037" t="s">
        <x:v>117</x:v>
      </x:c>
      <x:c r="N25" s="2039" t="s">
        <x:v>117</x:v>
      </x:c>
      <x:c r="O25" s="2040"/>
      <x:c r="P25" s="2040"/>
      <x:c r="R25" s="295" t="b">
        <x:f t="shared" si="0"/>
        <x:v>1</x:v>
      </x:c>
      <x:c r="S25" s="284"/>
      <x:c r="T25" s="284"/>
      <x:c r="U25" s="284"/>
      <x:c r="V25" s="284"/>
      <x:c r="W25" s="284"/>
      <x:c r="X25" s="284"/>
      <x:c r="Y25" s="284"/>
      <x:c r="Z25" s="284"/>
      <x:c r="AA25" s="284"/>
      <x:c r="AB25" s="284"/>
      <x:c r="AC25" s="284"/>
      <x:c r="AD25" s="284"/>
      <x:c r="AE25" s="284"/>
      <x:c r="AF25" s="284"/>
      <x:c r="AG25" s="284"/>
      <x:c r="AH25" s="475"/>
      <x:c r="AI25" s="475"/>
      <x:c r="AJ25" s="475"/>
      <x:c r="AO25" s="284" t="str">
        <x:f t="shared" si="1"/>
        <x:v>48</x:v>
      </x:c>
      <x:c r="AP25" s="1202" t="b">
        <x:v>0</x:v>
      </x:c>
      <x:c r="AQ25" s="236"/>
    </x:row>
    <x:row r="26" spans="1:43" ht="14.1" customHeight="1" x14ac:dyDescent="0.2">
      <x:c r="A26" s="2030"/>
      <x:c r="B26" s="2031" t="s">
        <x:v>149</x:v>
      </x:c>
      <x:c r="C26" s="2031" t="s">
        <x:v>166</x:v>
      </x:c>
      <x:c r="D26" s="2031" t="s">
        <x:v>146</x:v>
      </x:c>
      <x:c r="E26" s="2032"/>
      <x:c r="F26" s="2033">
        <x:v>1600</x:v>
      </x:c>
      <x:c r="G26" s="2034">
        <x:v>11</x:v>
      </x:c>
      <x:c r="H26" s="2035">
        <x:v>11.75</x:v>
      </x:c>
      <x:c r="I26" s="2033">
        <x:v>850</x:v>
      </x:c>
      <x:c r="J26" s="2034">
        <x:v>43</x:v>
      </x:c>
      <x:c r="K26" s="2035">
        <x:v>11.75</x:v>
      </x:c>
      <x:c r="L26" s="2036" t="s">
        <x:v>740</x:v>
      </x:c>
      <x:c r="M26" s="2037" t="s">
        <x:v>117</x:v>
      </x:c>
      <x:c r="N26" s="2039" t="s">
        <x:v>1693</x:v>
      </x:c>
      <x:c r="O26" s="2040"/>
      <x:c r="P26" s="2040"/>
      <x:c r="R26" s="295" t="b">
        <x:f t="shared" si="0"/>
        <x:v>0</x:v>
      </x:c>
      <x:c r="S26" s="284"/>
      <x:c r="T26" s="284"/>
      <x:c r="U26" s="284"/>
      <x:c r="V26" s="284"/>
      <x:c r="W26" s="284"/>
      <x:c r="X26" s="284"/>
      <x:c r="Y26" s="284"/>
      <x:c r="Z26" s="284"/>
      <x:c r="AA26" s="284"/>
      <x:c r="AB26" s="284"/>
      <x:c r="AC26" s="284"/>
      <x:c r="AD26" s="284"/>
      <x:c r="AE26" s="284"/>
      <x:c r="AF26" s="284"/>
      <x:c r="AG26" s="284"/>
      <x:c r="AH26" s="475"/>
      <x:c r="AI26" s="475"/>
      <x:c r="AJ26" s="475"/>
      <x:c r="AO26" s="284" t="str">
        <x:f t="shared" si="1"/>
        <x:v>48</x:v>
      </x:c>
      <x:c r="AP26" s="1202" t="b">
        <x:v>0</x:v>
      </x:c>
      <x:c r="AQ26" s="236"/>
    </x:row>
    <x:row r="27" spans="1:43" ht="14.1" customHeight="1" x14ac:dyDescent="0.2">
      <x:c r="A27" s="2030" t="s">
        <x:v>1694</x:v>
      </x:c>
      <x:c r="B27" s="2031" t="s">
        <x:v>155</x:v>
      </x:c>
      <x:c r="C27" s="2031" t="s">
        <x:v>168</x:v>
      </x:c>
      <x:c r="D27" s="2031" t="s">
        <x:v>146</x:v>
      </x:c>
      <x:c r="E27" s="2032"/>
      <x:c r="F27" s="2033">
        <x:v>940</x:v>
      </x:c>
      <x:c r="G27" s="2034"/>
      <x:c r="H27" s="2035"/>
      <x:c r="I27" s="2033"/>
      <x:c r="J27" s="2034"/>
      <x:c r="K27" s="2035"/>
      <x:c r="L27" s="2036" t="s">
        <x:v>117</x:v>
      </x:c>
      <x:c r="M27" s="2037" t="s">
        <x:v>117</x:v>
      </x:c>
      <x:c r="N27" s="2039" t="s">
        <x:v>117</x:v>
      </x:c>
      <x:c r="O27" s="2040"/>
      <x:c r="P27" s="2040"/>
      <x:c r="R27" s="295" t="b">
        <x:f t="shared" si="0"/>
        <x:v>1</x:v>
      </x:c>
      <x:c r="S27" s="284"/>
      <x:c r="T27" s="284"/>
      <x:c r="U27" s="284"/>
      <x:c r="V27" s="284"/>
      <x:c r="W27" s="284"/>
      <x:c r="X27" s="284"/>
      <x:c r="Y27" s="284"/>
      <x:c r="Z27" s="284"/>
      <x:c r="AA27" s="284"/>
      <x:c r="AB27" s="284"/>
      <x:c r="AC27" s="284"/>
      <x:c r="AD27" s="284"/>
      <x:c r="AE27" s="284"/>
      <x:c r="AF27" s="284"/>
      <x:c r="AG27" s="284"/>
      <x:c r="AH27" s="475"/>
      <x:c r="AI27" s="475"/>
      <x:c r="AJ27" s="475"/>
      <x:c r="AO27" s="284" t="str">
        <x:f t="shared" si="1"/>
        <x:v>49</x:v>
      </x:c>
      <x:c r="AP27" s="1202" t="b">
        <x:v>0</x:v>
      </x:c>
      <x:c r="AQ27" s="236"/>
    </x:row>
    <x:row r="28" spans="1:43" ht="14.1" customHeight="1" x14ac:dyDescent="0.2">
      <x:c r="A28" s="2030"/>
      <x:c r="B28" s="2031" t="s">
        <x:v>149</x:v>
      </x:c>
      <x:c r="C28" s="2031" t="s">
        <x:v>166</x:v>
      </x:c>
      <x:c r="D28" s="2031" t="s">
        <x:v>146</x:v>
      </x:c>
      <x:c r="E28" s="2032"/>
      <x:c r="F28" s="2033">
        <x:v>1600</x:v>
      </x:c>
      <x:c r="G28" s="2034">
        <x:v>27</x:v>
      </x:c>
      <x:c r="H28" s="2035">
        <x:v>11.75</x:v>
      </x:c>
      <x:c r="I28" s="2033">
        <x:v>1600</x:v>
      </x:c>
      <x:c r="J28" s="2034">
        <x:v>43</x:v>
      </x:c>
      <x:c r="K28" s="2035">
        <x:v>11.75</x:v>
      </x:c>
      <x:c r="L28" s="2036" t="s">
        <x:v>740</x:v>
      </x:c>
      <x:c r="M28" s="2037" t="s">
        <x:v>117</x:v>
      </x:c>
      <x:c r="N28" s="2038" t="s">
        <x:v>117</x:v>
      </x:c>
      <x:c r="O28" s="2029"/>
      <x:c r="P28" s="2029"/>
      <x:c r="R28" s="295" t="b">
        <x:f t="shared" si="0"/>
        <x:v>0</x:v>
      </x:c>
      <x:c r="S28" s="284"/>
      <x:c r="T28" s="284"/>
      <x:c r="U28" s="284"/>
      <x:c r="V28" s="284"/>
      <x:c r="W28" s="284"/>
      <x:c r="X28" s="284"/>
      <x:c r="Y28" s="284"/>
      <x:c r="Z28" s="284"/>
      <x:c r="AA28" s="284"/>
      <x:c r="AB28" s="284"/>
      <x:c r="AC28" s="284"/>
      <x:c r="AD28" s="284"/>
      <x:c r="AE28" s="284"/>
      <x:c r="AF28" s="284"/>
      <x:c r="AG28" s="284"/>
      <x:c r="AH28" s="475"/>
      <x:c r="AI28" s="475"/>
      <x:c r="AJ28" s="475"/>
      <x:c r="AO28" s="284" t="str">
        <x:f t="shared" si="1"/>
        <x:v>49</x:v>
      </x:c>
      <x:c r="AP28" s="1202" t="b">
        <x:v>0</x:v>
      </x:c>
      <x:c r="AQ28" s="236"/>
    </x:row>
    <x:row r="29" spans="1:43" ht="14.1" customHeight="1" x14ac:dyDescent="0.2">
      <x:c r="A29" s="2030" t="s">
        <x:v>1695</x:v>
      </x:c>
      <x:c r="B29" s="2031" t="s">
        <x:v>155</x:v>
      </x:c>
      <x:c r="C29" s="2031" t="s">
        <x:v>168</x:v>
      </x:c>
      <x:c r="D29" s="2031" t="s">
        <x:v>146</x:v>
      </x:c>
      <x:c r="E29" s="2032"/>
      <x:c r="F29" s="2033">
        <x:v>940</x:v>
      </x:c>
      <x:c r="G29" s="2034"/>
      <x:c r="H29" s="2035"/>
      <x:c r="I29" s="2033"/>
      <x:c r="J29" s="2034"/>
      <x:c r="K29" s="2035"/>
      <x:c r="L29" s="2036" t="s">
        <x:v>117</x:v>
      </x:c>
      <x:c r="M29" s="2037" t="s">
        <x:v>117</x:v>
      </x:c>
      <x:c r="N29" s="2038" t="s">
        <x:v>117</x:v>
      </x:c>
      <x:c r="O29" s="2029"/>
      <x:c r="P29" s="2029"/>
      <x:c r="R29" s="295" t="b">
        <x:f t="shared" si="0"/>
        <x:v>1</x:v>
      </x:c>
      <x:c r="S29" s="284"/>
      <x:c r="T29" s="284"/>
      <x:c r="U29" s="284"/>
      <x:c r="V29" s="284"/>
      <x:c r="W29" s="284"/>
      <x:c r="X29" s="284"/>
      <x:c r="Y29" s="284"/>
      <x:c r="Z29" s="284"/>
      <x:c r="AA29" s="284"/>
      <x:c r="AB29" s="284"/>
      <x:c r="AC29" s="284"/>
      <x:c r="AD29" s="284"/>
      <x:c r="AE29" s="284"/>
      <x:c r="AF29" s="284"/>
      <x:c r="AG29" s="284"/>
      <x:c r="AH29" s="475"/>
      <x:c r="AI29" s="475"/>
      <x:c r="AJ29" s="475"/>
      <x:c r="AO29" s="284" t="str">
        <x:f t="shared" si="1"/>
        <x:v>50</x:v>
      </x:c>
      <x:c r="AP29" s="1202" t="b">
        <x:v>0</x:v>
      </x:c>
      <x:c r="AQ29" s="236"/>
    </x:row>
    <x:row r="30" spans="1:43" ht="14.1" customHeight="1" x14ac:dyDescent="0.2">
      <x:c r="A30" s="2030"/>
      <x:c r="B30" s="2031" t="s">
        <x:v>149</x:v>
      </x:c>
      <x:c r="C30" s="2031" t="s">
        <x:v>166</x:v>
      </x:c>
      <x:c r="D30" s="2031" t="s">
        <x:v>146</x:v>
      </x:c>
      <x:c r="E30" s="2032"/>
      <x:c r="F30" s="2033">
        <x:v>850</x:v>
      </x:c>
      <x:c r="G30" s="2034">
        <x:v>5</x:v>
      </x:c>
      <x:c r="H30" s="2035">
        <x:v>6.375</x:v>
      </x:c>
      <x:c r="I30" s="2033">
        <x:v>1600</x:v>
      </x:c>
      <x:c r="J30" s="2034">
        <x:v>53</x:v>
      </x:c>
      <x:c r="K30" s="2035">
        <x:v>6.375</x:v>
      </x:c>
      <x:c r="L30" s="2036" t="s">
        <x:v>740</x:v>
      </x:c>
      <x:c r="M30" s="2037" t="s">
        <x:v>117</x:v>
      </x:c>
      <x:c r="N30" s="2038" t="s">
        <x:v>117</x:v>
      </x:c>
      <x:c r="O30" s="2029"/>
      <x:c r="P30" s="2029"/>
      <x:c r="R30" s="295" t="b">
        <x:f t="shared" si="0"/>
        <x:v>0</x:v>
      </x:c>
      <x:c r="S30" s="721">
        <x:f t="shared" ref="S30:AN30" si="2">COUNTA(S16:S29)</x:f>
        <x:v>8</x:v>
      </x:c>
      <x:c r="T30" s="721">
        <x:f t="shared" si="2"/>
        <x:v>2</x:v>
      </x:c>
      <x:c r="U30" s="721">
        <x:f t="shared" si="2"/>
        <x:v>2</x:v>
      </x:c>
      <x:c r="V30" s="721">
        <x:f t="shared" si="2"/>
        <x:v>7</x:v>
      </x:c>
      <x:c r="W30" s="721">
        <x:f t="shared" si="2"/>
        <x:v>7</x:v>
      </x:c>
      <x:c r="X30" s="721">
        <x:f t="shared" si="2"/>
        <x:v>7</x:v>
      </x:c>
      <x:c r="Y30" s="721">
        <x:f t="shared" si="2"/>
        <x:v>7</x:v>
      </x:c>
      <x:c r="Z30" s="721">
        <x:f t="shared" si="2"/>
        <x:v>7</x:v>
      </x:c>
      <x:c r="AA30" s="721">
        <x:f t="shared" si="2"/>
        <x:v>7</x:v>
      </x:c>
      <x:c r="AB30" s="721">
        <x:f t="shared" si="2"/>
        <x:v>7</x:v>
      </x:c>
      <x:c r="AC30" s="721">
        <x:f t="shared" si="2"/>
        <x:v>7</x:v>
      </x:c>
      <x:c r="AD30" s="721">
        <x:f t="shared" si="2"/>
        <x:v>4</x:v>
      </x:c>
      <x:c r="AE30" s="721">
        <x:f t="shared" si="2"/>
        <x:v>0</x:v>
      </x:c>
      <x:c r="AF30" s="721">
        <x:f t="shared" si="2"/>
        <x:v>0</x:v>
      </x:c>
      <x:c r="AG30" s="721">
        <x:f t="shared" si="2"/>
        <x:v>0</x:v>
      </x:c>
      <x:c r="AH30" s="721">
        <x:f t="shared" si="2"/>
        <x:v>2</x:v>
      </x:c>
      <x:c r="AI30" s="721">
        <x:f t="shared" si="2"/>
        <x:v>4</x:v>
      </x:c>
      <x:c r="AJ30" s="721">
        <x:f t="shared" si="2"/>
        <x:v>3</x:v>
      </x:c>
      <x:c r="AK30" s="721">
        <x:f t="shared" si="2"/>
        <x:v>1</x:v>
      </x:c>
      <x:c r="AL30" s="721">
        <x:f t="shared" si="2"/>
        <x:v>6</x:v>
      </x:c>
      <x:c r="AM30" s="721">
        <x:f t="shared" si="2"/>
        <x:v>4</x:v>
      </x:c>
      <x:c r="AN30" s="721">
        <x:f t="shared" si="2"/>
        <x:v>4</x:v>
      </x:c>
      <x:c r="AO30" s="284" t="str">
        <x:f t="shared" si="1"/>
        <x:v>50</x:v>
      </x:c>
      <x:c r="AP30" s="1202" t="b">
        <x:v>0</x:v>
      </x:c>
      <x:c r="AQ30" s="236"/>
    </x:row>
    <x:row r="31" spans="1:43" ht="14.1" customHeight="1" x14ac:dyDescent="0.2">
      <x:c r="A31" s="2030" t="s">
        <x:v>1696</x:v>
      </x:c>
      <x:c r="B31" s="2031" t="s">
        <x:v>147</x:v>
      </x:c>
      <x:c r="C31" s="2031" t="s">
        <x:v>168</x:v>
      </x:c>
      <x:c r="D31" s="2031" t="s">
        <x:v>146</x:v>
      </x:c>
      <x:c r="E31" s="2032"/>
      <x:c r="F31" s="2033">
        <x:v>625</x:v>
      </x:c>
      <x:c r="G31" s="2034">
        <x:v>52</x:v>
      </x:c>
      <x:c r="H31" s="2035">
        <x:v>0</x:v>
      </x:c>
      <x:c r="I31" s="2033"/>
      <x:c r="J31" s="2034"/>
      <x:c r="K31" s="2035"/>
      <x:c r="L31" s="2036" t="s">
        <x:v>740</x:v>
      </x:c>
      <x:c r="M31" s="2036" t="s">
        <x:v>117</x:v>
      </x:c>
      <x:c r="N31" s="2038" t="s">
        <x:v>1653</x:v>
      </x:c>
      <x:c r="O31" s="2029"/>
      <x:c r="P31" s="2029"/>
      <x:c r="R31" s="295" t="b">
        <x:f t="shared" si="0"/>
        <x:v>0</x:v>
      </x:c>
      <x:c r="AO31" s="284" t="str">
        <x:f t="shared" si="1"/>
        <x:v>51</x:v>
      </x:c>
      <x:c r="AP31" s="1202" t="b">
        <x:v>0</x:v>
      </x:c>
      <x:c r="AQ31" s="236"/>
    </x:row>
    <x:row r="32" spans="1:43" ht="14.1" customHeight="1" x14ac:dyDescent="0.2">
      <x:c r="A32" s="2030"/>
      <x:c r="B32" s="2031" t="s">
        <x:v>147</x:v>
      </x:c>
      <x:c r="C32" s="2031" t="s">
        <x:v>168</x:v>
      </x:c>
      <x:c r="D32" s="2031" t="s">
        <x:v>146</x:v>
      </x:c>
      <x:c r="E32" s="2032"/>
      <x:c r="F32" s="2033">
        <x:v>-625</x:v>
      </x:c>
      <x:c r="G32" s="2034">
        <x:v>52</x:v>
      </x:c>
      <x:c r="H32" s="2035">
        <x:v>0</x:v>
      </x:c>
      <x:c r="I32" s="2033"/>
      <x:c r="J32" s="2034"/>
      <x:c r="K32" s="2035"/>
      <x:c r="L32" s="2036" t="s">
        <x:v>740</x:v>
      </x:c>
      <x:c r="M32" s="2036" t="s">
        <x:v>850</x:v>
      </x:c>
      <x:c r="N32" s="2038" t="s">
        <x:v>117</x:v>
      </x:c>
      <x:c r="O32" s="2029"/>
      <x:c r="P32" s="2029"/>
      <x:c r="R32" s="295" t="b">
        <x:f t="shared" si="0"/>
        <x:v>0</x:v>
      </x:c>
      <x:c r="AO32" s="284" t="str">
        <x:f t="shared" si="1"/>
        <x:v>51</x:v>
      </x:c>
      <x:c r="AP32" s="1202" t="b">
        <x:v>0</x:v>
      </x:c>
      <x:c r="AQ32" s="236"/>
    </x:row>
    <x:row r="33" spans="1:45" ht="14.1" customHeight="1" x14ac:dyDescent="0.2">
      <x:c r="A33" s="2030"/>
      <x:c r="B33" s="2031" t="s">
        <x:v>158</x:v>
      </x:c>
      <x:c r="C33" s="2031" t="s">
        <x:v>168</x:v>
      </x:c>
      <x:c r="D33" s="2031" t="s">
        <x:v>146</x:v>
      </x:c>
      <x:c r="E33" s="2032"/>
      <x:c r="F33" s="2033">
        <x:v>1075</x:v>
      </x:c>
      <x:c r="G33" s="2034"/>
      <x:c r="H33" s="2035"/>
      <x:c r="I33" s="2033"/>
      <x:c r="J33" s="2034"/>
      <x:c r="K33" s="2035"/>
      <x:c r="L33" s="2036" t="s">
        <x:v>117</x:v>
      </x:c>
      <x:c r="M33" s="2036" t="s">
        <x:v>117</x:v>
      </x:c>
      <x:c r="N33" s="2038" t="s">
        <x:v>117</x:v>
      </x:c>
      <x:c r="O33" s="2029"/>
      <x:c r="P33" s="2029"/>
      <x:c r="R33" s="295" t="b">
        <x:f t="shared" si="0"/>
        <x:v>1</x:v>
      </x:c>
      <x:c r="AO33" s="284" t="str">
        <x:f t="shared" si="1"/>
        <x:v>51</x:v>
      </x:c>
      <x:c r="AP33" s="1202" t="b">
        <x:v>0</x:v>
      </x:c>
      <x:c r="AQ33" s="236"/>
    </x:row>
    <x:row r="34" spans="1:45" ht="14.1" customHeight="1" x14ac:dyDescent="0.2">
      <x:c r="A34" s="2030"/>
      <x:c r="B34" s="2031" t="s">
        <x:v>147</x:v>
      </x:c>
      <x:c r="C34" s="2031" t="s">
        <x:v>166</x:v>
      </x:c>
      <x:c r="D34" s="2031" t="s">
        <x:v>146</x:v>
      </x:c>
      <x:c r="E34" s="2032"/>
      <x:c r="F34" s="2033">
        <x:v>260</x:v>
      </x:c>
      <x:c r="G34" s="2034">
        <x:v>52</x:v>
      </x:c>
      <x:c r="H34" s="2035">
        <x:v>0</x:v>
      </x:c>
      <x:c r="I34" s="2033"/>
      <x:c r="J34" s="2034"/>
      <x:c r="K34" s="2035"/>
      <x:c r="L34" s="2036" t="s">
        <x:v>740</x:v>
      </x:c>
      <x:c r="M34" s="2036" t="s">
        <x:v>117</x:v>
      </x:c>
      <x:c r="N34" s="2038" t="s">
        <x:v>117</x:v>
      </x:c>
      <x:c r="O34" s="2029"/>
      <x:c r="P34" s="2029"/>
      <x:c r="R34" s="295" t="b">
        <x:f t="shared" si="0"/>
        <x:v>0</x:v>
      </x:c>
      <x:c r="AO34" s="284" t="str">
        <x:f t="shared" si="1"/>
        <x:v>51</x:v>
      </x:c>
      <x:c r="AP34" s="1202" t="b">
        <x:v>0</x:v>
      </x:c>
      <x:c r="AQ34" s="236"/>
    </x:row>
    <x:row r="35" spans="1:45" ht="14.1" customHeight="1" x14ac:dyDescent="0.2">
      <x:c r="A35" s="2030" t="s">
        <x:v>1697</x:v>
      </x:c>
      <x:c r="B35" s="2031" t="s">
        <x:v>147</x:v>
      </x:c>
      <x:c r="C35" s="2031" t="s">
        <x:v>168</x:v>
      </x:c>
      <x:c r="D35" s="2031" t="s">
        <x:v>146</x:v>
      </x:c>
      <x:c r="E35" s="2032"/>
      <x:c r="F35" s="2033">
        <x:v>470</x:v>
      </x:c>
      <x:c r="G35" s="2034">
        <x:v>27</x:v>
      </x:c>
      <x:c r="H35" s="2035">
        <x:v>4</x:v>
      </x:c>
      <x:c r="I35" s="2033"/>
      <x:c r="J35" s="2034"/>
      <x:c r="K35" s="2035"/>
      <x:c r="L35" s="2036" t="s">
        <x:v>740</x:v>
      </x:c>
      <x:c r="M35" s="2036" t="s">
        <x:v>117</x:v>
      </x:c>
      <x:c r="N35" s="2038" t="s">
        <x:v>1673</x:v>
      </x:c>
      <x:c r="O35" s="2029"/>
      <x:c r="P35" s="2029"/>
      <x:c r="R35" s="295" t="b">
        <x:f t="shared" si="0"/>
        <x:v>0</x:v>
      </x:c>
      <x:c r="AO35" s="284" t="str">
        <x:f t="shared" si="1"/>
        <x:v>52</x:v>
      </x:c>
      <x:c r="AP35" s="1202" t="b">
        <x:v>0</x:v>
      </x:c>
      <x:c r="AQ35" s="236"/>
    </x:row>
    <x:row r="36" spans="1:45" ht="14.1" customHeight="1" x14ac:dyDescent="0.2">
      <x:c r="A36" s="2030"/>
      <x:c r="B36" s="2031" t="s">
        <x:v>147</x:v>
      </x:c>
      <x:c r="C36" s="2031" t="s">
        <x:v>168</x:v>
      </x:c>
      <x:c r="D36" s="2031" t="s">
        <x:v>146</x:v>
      </x:c>
      <x:c r="E36" s="2032"/>
      <x:c r="F36" s="2033">
        <x:v>-470</x:v>
      </x:c>
      <x:c r="G36" s="2034">
        <x:v>27</x:v>
      </x:c>
      <x:c r="H36" s="2035">
        <x:v>4</x:v>
      </x:c>
      <x:c r="I36" s="2033"/>
      <x:c r="J36" s="2034"/>
      <x:c r="K36" s="2035"/>
      <x:c r="L36" s="2036" t="s">
        <x:v>740</x:v>
      </x:c>
      <x:c r="M36" s="2036" t="s">
        <x:v>850</x:v>
      </x:c>
      <x:c r="N36" s="2038" t="s">
        <x:v>117</x:v>
      </x:c>
      <x:c r="O36" s="2029"/>
      <x:c r="P36" s="2029"/>
      <x:c r="R36" s="295" t="b">
        <x:f t="shared" si="0"/>
        <x:v>0</x:v>
      </x:c>
      <x:c r="AO36" s="284" t="str">
        <x:f t="shared" si="1"/>
        <x:v>52</x:v>
      </x:c>
      <x:c r="AP36" s="1202" t="b">
        <x:v>0</x:v>
      </x:c>
      <x:c r="AQ36" s="236"/>
    </x:row>
    <x:row r="37" spans="1:45" ht="14.1" customHeight="1" x14ac:dyDescent="0.2">
      <x:c r="A37" s="2030"/>
      <x:c r="B37" s="2031" t="s">
        <x:v>158</x:v>
      </x:c>
      <x:c r="C37" s="2031" t="s">
        <x:v>168</x:v>
      </x:c>
      <x:c r="D37" s="2031" t="s">
        <x:v>146</x:v>
      </x:c>
      <x:c r="E37" s="2032"/>
      <x:c r="F37" s="2033">
        <x:v>800</x:v>
      </x:c>
      <x:c r="G37" s="2034"/>
      <x:c r="H37" s="2035"/>
      <x:c r="I37" s="2033"/>
      <x:c r="J37" s="2034"/>
      <x:c r="K37" s="2035"/>
      <x:c r="L37" s="2036" t="s">
        <x:v>117</x:v>
      </x:c>
      <x:c r="M37" s="2036" t="s">
        <x:v>117</x:v>
      </x:c>
      <x:c r="N37" s="2038" t="s">
        <x:v>117</x:v>
      </x:c>
      <x:c r="O37" s="2029"/>
      <x:c r="P37" s="2029"/>
      <x:c r="R37" s="295" t="b">
        <x:f t="shared" si="0"/>
        <x:v>1</x:v>
      </x:c>
      <x:c r="AO37" s="284" t="str">
        <x:f t="shared" si="1"/>
        <x:v>52</x:v>
      </x:c>
      <x:c r="AP37" s="1202" t="b">
        <x:v>0</x:v>
      </x:c>
      <x:c r="AQ37" s="236"/>
    </x:row>
    <x:row r="38" spans="1:45" ht="14.1" customHeight="1" x14ac:dyDescent="0.2">
      <x:c r="A38" s="2030"/>
      <x:c r="B38" s="2031" t="s">
        <x:v>147</x:v>
      </x:c>
      <x:c r="C38" s="2031" t="s">
        <x:v>166</x:v>
      </x:c>
      <x:c r="D38" s="2031" t="s">
        <x:v>146</x:v>
      </x:c>
      <x:c r="E38" s="2032"/>
      <x:c r="F38" s="2033">
        <x:v>140</x:v>
      </x:c>
      <x:c r="G38" s="2034">
        <x:v>27</x:v>
      </x:c>
      <x:c r="H38" s="2035">
        <x:v>4</x:v>
      </x:c>
      <x:c r="I38" s="2033"/>
      <x:c r="J38" s="2034"/>
      <x:c r="K38" s="2035"/>
      <x:c r="L38" s="2036" t="s">
        <x:v>740</x:v>
      </x:c>
      <x:c r="M38" s="2036" t="s">
        <x:v>117</x:v>
      </x:c>
      <x:c r="N38" s="2038" t="s">
        <x:v>117</x:v>
      </x:c>
      <x:c r="O38" s="2029"/>
      <x:c r="P38" s="2029"/>
      <x:c r="R38" s="295" t="b">
        <x:f t="shared" si="0"/>
        <x:v>0</x:v>
      </x:c>
      <x:c r="AO38" s="284" t="str">
        <x:f t="shared" si="1"/>
        <x:v>52</x:v>
      </x:c>
      <x:c r="AP38" s="1202" t="b">
        <x:v>0</x:v>
      </x:c>
      <x:c r="AQ38" s="236"/>
    </x:row>
    <x:row r="39" spans="1:45" ht="14.1" customHeight="1" x14ac:dyDescent="0.2">
      <x:c r="A39" s="2030" t="s">
        <x:v>2314</x:v>
      </x:c>
      <x:c r="B39" s="2031" t="s">
        <x:v>155</x:v>
      </x:c>
      <x:c r="C39" s="2031" t="s">
        <x:v>168</x:v>
      </x:c>
      <x:c r="D39" s="2031" t="s">
        <x:v>146</x:v>
      </x:c>
      <x:c r="E39" s="2032"/>
      <x:c r="F39" s="2033">
        <x:v>700</x:v>
      </x:c>
      <x:c r="G39" s="2034"/>
      <x:c r="H39" s="2035"/>
      <x:c r="I39" s="2033"/>
      <x:c r="J39" s="2034"/>
      <x:c r="K39" s="2035"/>
      <x:c r="L39" s="2036"/>
      <x:c r="M39" s="2036"/>
      <x:c r="N39" s="2038" t="s">
        <x:v>2315</x:v>
      </x:c>
      <x:c r="O39" s="2029"/>
      <x:c r="P39" s="2029"/>
      <x:c r="R39" s="295" t="b">
        <x:f t="shared" si="0"/>
        <x:v>1</x:v>
      </x:c>
      <x:c r="AO39" s="284" t="str">
        <x:f t="shared" si="1"/>
        <x:v>53</x:v>
      </x:c>
      <x:c r="AP39" s="1202" t="b">
        <x:v>0</x:v>
      </x:c>
      <x:c r="AQ39" s="236"/>
    </x:row>
    <x:row r="40" spans="1:45" ht="14.1" customHeight="1" x14ac:dyDescent="0.2">
      <x:c r="A40" s="2030"/>
      <x:c r="B40" s="2031" t="s">
        <x:v>149</x:v>
      </x:c>
      <x:c r="C40" s="2031" t="s">
        <x:v>166</x:v>
      </x:c>
      <x:c r="D40" s="2031" t="s">
        <x:v>146</x:v>
      </x:c>
      <x:c r="E40" s="2032"/>
      <x:c r="F40" s="2033">
        <x:v>1020</x:v>
      </x:c>
      <x:c r="G40" s="2034">
        <x:v>3</x:v>
      </x:c>
      <x:c r="H40" s="2035">
        <x:v>11.75</x:v>
      </x:c>
      <x:c r="I40" s="2033">
        <x:v>120</x:v>
      </x:c>
      <x:c r="J40" s="2034">
        <x:v>43</x:v>
      </x:c>
      <x:c r="K40" s="2035">
        <x:v>11.75</x:v>
      </x:c>
      <x:c r="L40" s="2036" t="s">
        <x:v>740</x:v>
      </x:c>
      <x:c r="M40" s="2036"/>
      <x:c r="N40" s="2038" t="s">
        <x:v>117</x:v>
      </x:c>
      <x:c r="O40" s="2029"/>
      <x:c r="P40" s="2029"/>
      <x:c r="R40" s="295" t="b">
        <x:f t="shared" si="0"/>
        <x:v>0</x:v>
      </x:c>
      <x:c r="AO40" s="284" t="str">
        <x:f t="shared" si="1"/>
        <x:v>53</x:v>
      </x:c>
      <x:c r="AP40" s="1202" t="b">
        <x:v>0</x:v>
      </x:c>
      <x:c r="AQ40" s="236"/>
    </x:row>
    <x:row r="41" spans="1:45" ht="14.1" customHeight="1" x14ac:dyDescent="0.2">
      <x:c r="A41" s="2030"/>
      <x:c r="B41" s="2031"/>
      <x:c r="C41" s="2031"/>
      <x:c r="D41" s="2031"/>
      <x:c r="E41" s="2032"/>
      <x:c r="F41" s="2033"/>
      <x:c r="G41" s="2034"/>
      <x:c r="H41" s="2035"/>
      <x:c r="I41" s="2033"/>
      <x:c r="J41" s="2034"/>
      <x:c r="K41" s="2035"/>
      <x:c r="L41" s="2036"/>
      <x:c r="M41" s="2036"/>
      <x:c r="N41" s="2038" t="s">
        <x:v>117</x:v>
      </x:c>
      <x:c r="O41" s="2029"/>
      <x:c r="P41" s="2029"/>
      <x:c r="R41" s="295" t="b">
        <x:f t="shared" si="0"/>
        <x:v>0</x:v>
      </x:c>
      <x:c r="AO41" s="284" t="str">
        <x:f t="shared" si="1"/>
        <x:v>53</x:v>
      </x:c>
      <x:c r="AP41" s="1202" t="b">
        <x:v>0</x:v>
      </x:c>
      <x:c r="AQ41" s="236"/>
    </x:row>
    <x:row r="42" spans="1:45" ht="14.1" customHeight="1" x14ac:dyDescent="0.2">
      <x:c r="A42" s="2030"/>
      <x:c r="B42" s="2031"/>
      <x:c r="C42" s="2031"/>
      <x:c r="D42" s="2031"/>
      <x:c r="E42" s="2032"/>
      <x:c r="F42" s="2033"/>
      <x:c r="G42" s="2034"/>
      <x:c r="H42" s="2035"/>
      <x:c r="I42" s="2033"/>
      <x:c r="J42" s="2034"/>
      <x:c r="K42" s="2035"/>
      <x:c r="L42" s="2036"/>
      <x:c r="M42" s="2036"/>
      <x:c r="N42" s="2038" t="s">
        <x:v>117</x:v>
      </x:c>
      <x:c r="O42" s="2029"/>
      <x:c r="P42" s="2029"/>
      <x:c r="R42" s="295" t="b">
        <x:f t="shared" si="0"/>
        <x:v>0</x:v>
      </x:c>
      <x:c r="AO42" s="284" t="str">
        <x:f t="shared" si="1"/>
        <x:v>53</x:v>
      </x:c>
      <x:c r="AP42" s="1202" t="b">
        <x:v>0</x:v>
      </x:c>
      <x:c r="AQ42" s="236"/>
    </x:row>
    <x:row r="43" spans="1:45" ht="14.1" customHeight="1" x14ac:dyDescent="0.2">
      <x:c r="A43" s="2030"/>
      <x:c r="B43" s="2031"/>
      <x:c r="C43" s="2031"/>
      <x:c r="D43" s="2031"/>
      <x:c r="E43" s="2032"/>
      <x:c r="F43" s="2033"/>
      <x:c r="G43" s="2034"/>
      <x:c r="H43" s="2035"/>
      <x:c r="I43" s="2033"/>
      <x:c r="J43" s="2034"/>
      <x:c r="K43" s="2035"/>
      <x:c r="L43" s="2036"/>
      <x:c r="M43" s="2036"/>
      <x:c r="N43" s="2038" t="s">
        <x:v>117</x:v>
      </x:c>
      <x:c r="O43" s="2029"/>
      <x:c r="P43" s="2029"/>
      <x:c r="R43" s="295" t="b">
        <x:f t="shared" si="0"/>
        <x:v>0</x:v>
      </x:c>
      <x:c r="AO43" s="284" t="str">
        <x:f t="shared" si="1"/>
        <x:v>53</x:v>
      </x:c>
      <x:c r="AP43" s="1202" t="b">
        <x:v>0</x:v>
      </x:c>
      <x:c r="AQ43" s="236"/>
    </x:row>
    <x:row r="44" spans="1:45" ht="14.1" customHeight="1" x14ac:dyDescent="0.2">
      <x:c r="A44" s="2030"/>
      <x:c r="B44" s="2031"/>
      <x:c r="C44" s="2031"/>
      <x:c r="D44" s="2031"/>
      <x:c r="E44" s="2032"/>
      <x:c r="F44" s="2033"/>
      <x:c r="G44" s="2034"/>
      <x:c r="H44" s="2035"/>
      <x:c r="I44" s="2033"/>
      <x:c r="J44" s="2034"/>
      <x:c r="K44" s="2035"/>
      <x:c r="L44" s="2036"/>
      <x:c r="M44" s="2036"/>
      <x:c r="N44" s="2038" t="s">
        <x:v>117</x:v>
      </x:c>
      <x:c r="O44" s="2029"/>
      <x:c r="P44" s="2029"/>
      <x:c r="R44" s="295" t="b">
        <x:f t="shared" si="0"/>
        <x:v>0</x:v>
      </x:c>
      <x:c r="AO44" s="284" t="str">
        <x:f t="shared" si="1"/>
        <x:v>53</x:v>
      </x:c>
      <x:c r="AP44" s="1202" t="b">
        <x:v>0</x:v>
      </x:c>
      <x:c r="AQ44" s="236"/>
    </x:row>
    <x:row r="45" spans="1:45" ht="14.1" customHeight="1" x14ac:dyDescent="0.2">
      <x:c r="A45" s="2030"/>
      <x:c r="B45" s="2031"/>
      <x:c r="C45" s="2031"/>
      <x:c r="D45" s="2031"/>
      <x:c r="E45" s="2032"/>
      <x:c r="F45" s="2033"/>
      <x:c r="G45" s="2034"/>
      <x:c r="H45" s="2035"/>
      <x:c r="I45" s="2033"/>
      <x:c r="J45" s="2034"/>
      <x:c r="K45" s="2035"/>
      <x:c r="L45" s="2036"/>
      <x:c r="M45" s="2036"/>
      <x:c r="N45" s="2038" t="s">
        <x:v>117</x:v>
      </x:c>
      <x:c r="O45" s="2029"/>
      <x:c r="P45" s="2029"/>
      <x:c r="R45" s="295" t="b">
        <x:f t="shared" si="0"/>
        <x:v>0</x:v>
      </x:c>
      <x:c r="AO45" s="284" t="str">
        <x:f t="shared" si="1"/>
        <x:v>53</x:v>
      </x:c>
      <x:c r="AP45" s="1202" t="b">
        <x:v>0</x:v>
      </x:c>
      <x:c r="AQ45" s="236"/>
    </x:row>
    <x:row r="46" spans="1:45" ht="14.1" customHeight="1" x14ac:dyDescent="0.2">
      <x:c r="A46" s="2030"/>
      <x:c r="B46" s="2031"/>
      <x:c r="C46" s="2031"/>
      <x:c r="D46" s="2031"/>
      <x:c r="E46" s="2032"/>
      <x:c r="F46" s="2033"/>
      <x:c r="G46" s="2034"/>
      <x:c r="H46" s="2035"/>
      <x:c r="I46" s="2033"/>
      <x:c r="J46" s="2034"/>
      <x:c r="K46" s="2035"/>
      <x:c r="L46" s="2036"/>
      <x:c r="M46" s="2036"/>
      <x:c r="N46" s="2038" t="s">
        <x:v>117</x:v>
      </x:c>
      <x:c r="O46" s="2029"/>
      <x:c r="P46" s="2029"/>
      <x:c r="R46" s="295" t="b">
        <x:f t="shared" si="0"/>
        <x:v>0</x:v>
      </x:c>
      <x:c r="AO46" s="284" t="str">
        <x:f t="shared" si="1"/>
        <x:v>53</x:v>
      </x:c>
      <x:c r="AP46" s="1202" t="b">
        <x:v>0</x:v>
      </x:c>
      <x:c r="AQ46" s="236"/>
    </x:row>
    <x:row r="47" spans="1:45" ht="14.1" customHeight="1" x14ac:dyDescent="0.2">
      <x:c r="A47" s="2030"/>
      <x:c r="B47" s="2031"/>
      <x:c r="C47" s="2031"/>
      <x:c r="D47" s="2031"/>
      <x:c r="E47" s="2032"/>
      <x:c r="F47" s="2033"/>
      <x:c r="G47" s="2034"/>
      <x:c r="H47" s="2035"/>
      <x:c r="I47" s="2033"/>
      <x:c r="J47" s="2034"/>
      <x:c r="K47" s="2035"/>
      <x:c r="L47" s="2036"/>
      <x:c r="M47" s="2036"/>
      <x:c r="N47" s="2038" t="s">
        <x:v>117</x:v>
      </x:c>
      <x:c r="O47" s="2029"/>
      <x:c r="P47" s="2029"/>
      <x:c r="R47" s="295" t="b">
        <x:f t="shared" si="0"/>
        <x:v>0</x:v>
      </x:c>
      <x:c r="AO47" s="284" t="str">
        <x:f t="shared" si="1"/>
        <x:v>53</x:v>
      </x:c>
      <x:c r="AP47" s="1202" t="b">
        <x:v>0</x:v>
      </x:c>
      <x:c r="AQ47" s="236"/>
      <x:c r="AS47" s="973"/>
    </x:row>
    <x:row r="48" spans="1:45" ht="14.1" customHeight="1" x14ac:dyDescent="0.2">
      <x:c r="A48" s="2030"/>
      <x:c r="B48" s="2031"/>
      <x:c r="C48" s="2031"/>
      <x:c r="D48" s="2031"/>
      <x:c r="E48" s="2032"/>
      <x:c r="F48" s="2033"/>
      <x:c r="G48" s="2034"/>
      <x:c r="H48" s="2035"/>
      <x:c r="I48" s="2033"/>
      <x:c r="J48" s="2034"/>
      <x:c r="K48" s="2035"/>
      <x:c r="L48" s="2036"/>
      <x:c r="M48" s="2036"/>
      <x:c r="N48" s="2038" t="s">
        <x:v>117</x:v>
      </x:c>
      <x:c r="O48" s="2029"/>
      <x:c r="P48" s="2029"/>
      <x:c r="R48" s="295" t="b">
        <x:f t="shared" si="0"/>
        <x:v>0</x:v>
      </x:c>
      <x:c r="AO48" s="284" t="str">
        <x:f t="shared" si="1"/>
        <x:v>53</x:v>
      </x:c>
      <x:c r="AP48" s="1202" t="b">
        <x:v>0</x:v>
      </x:c>
      <x:c r="AQ48" s="236"/>
    </x:row>
    <x:row r="49" spans="1:43" ht="14.1" customHeight="1" x14ac:dyDescent="0.2">
      <x:c r="A49" s="2030"/>
      <x:c r="B49" s="2031"/>
      <x:c r="C49" s="2031"/>
      <x:c r="D49" s="2031"/>
      <x:c r="E49" s="2032"/>
      <x:c r="F49" s="2033"/>
      <x:c r="G49" s="2034"/>
      <x:c r="H49" s="2035"/>
      <x:c r="I49" s="2033"/>
      <x:c r="J49" s="2034"/>
      <x:c r="K49" s="2035"/>
      <x:c r="L49" s="2036"/>
      <x:c r="M49" s="2036"/>
      <x:c r="N49" s="2038" t="s">
        <x:v>117</x:v>
      </x:c>
      <x:c r="O49" s="2029"/>
      <x:c r="P49" s="2029"/>
      <x:c r="R49" s="295" t="b">
        <x:f t="shared" si="0"/>
        <x:v>0</x:v>
      </x:c>
      <x:c r="AO49" s="284" t="str">
        <x:f t="shared" si="1"/>
        <x:v>53</x:v>
      </x:c>
      <x:c r="AP49" s="1202" t="b">
        <x:v>0</x:v>
      </x:c>
      <x:c r="AQ49" s="236"/>
    </x:row>
    <x:row r="50" spans="1:43" ht="14.1" customHeight="1" x14ac:dyDescent="0.2">
      <x:c r="A50" s="2030"/>
      <x:c r="B50" s="2031"/>
      <x:c r="C50" s="2031"/>
      <x:c r="D50" s="2031"/>
      <x:c r="E50" s="2032"/>
      <x:c r="F50" s="2033"/>
      <x:c r="G50" s="2034"/>
      <x:c r="H50" s="2035"/>
      <x:c r="I50" s="2033"/>
      <x:c r="J50" s="2034"/>
      <x:c r="K50" s="2035"/>
      <x:c r="L50" s="2036"/>
      <x:c r="M50" s="2036"/>
      <x:c r="N50" s="2038" t="s">
        <x:v>117</x:v>
      </x:c>
      <x:c r="O50" s="2029"/>
      <x:c r="P50" s="2029"/>
      <x:c r="R50" s="295" t="b">
        <x:f t="shared" si="0"/>
        <x:v>0</x:v>
      </x:c>
      <x:c r="AO50" s="284" t="str">
        <x:f t="shared" si="1"/>
        <x:v>53</x:v>
      </x:c>
      <x:c r="AP50" s="1202" t="b">
        <x:v>0</x:v>
      </x:c>
      <x:c r="AQ50" s="236"/>
    </x:row>
    <x:row r="51" spans="1:43" ht="14.1" customHeight="1" x14ac:dyDescent="0.2">
      <x:c r="A51" s="2030"/>
      <x:c r="B51" s="2031"/>
      <x:c r="C51" s="2031"/>
      <x:c r="D51" s="2031"/>
      <x:c r="E51" s="2032"/>
      <x:c r="F51" s="2033"/>
      <x:c r="G51" s="2034"/>
      <x:c r="H51" s="2035"/>
      <x:c r="I51" s="2033"/>
      <x:c r="J51" s="2034"/>
      <x:c r="K51" s="2035"/>
      <x:c r="L51" s="2036"/>
      <x:c r="M51" s="2036"/>
      <x:c r="N51" s="2038" t="s">
        <x:v>117</x:v>
      </x:c>
      <x:c r="O51" s="2029"/>
      <x:c r="P51" s="2029"/>
      <x:c r="R51" s="295" t="b">
        <x:f t="shared" si="0"/>
        <x:v>0</x:v>
      </x:c>
      <x:c r="AO51" s="284" t="str">
        <x:f t="shared" si="1"/>
        <x:v>53</x:v>
      </x:c>
      <x:c r="AP51" s="1202" t="b">
        <x:v>0</x:v>
      </x:c>
      <x:c r="AQ51" s="236"/>
    </x:row>
    <x:row r="52" spans="1:43" ht="14.1" customHeight="1" x14ac:dyDescent="0.2">
      <x:c r="A52" s="2030"/>
      <x:c r="B52" s="2031"/>
      <x:c r="C52" s="2031"/>
      <x:c r="D52" s="2031"/>
      <x:c r="E52" s="2032"/>
      <x:c r="F52" s="2033"/>
      <x:c r="G52" s="2034"/>
      <x:c r="H52" s="2035"/>
      <x:c r="I52" s="2033"/>
      <x:c r="J52" s="2034"/>
      <x:c r="K52" s="2035"/>
      <x:c r="L52" s="2036"/>
      <x:c r="M52" s="2036"/>
      <x:c r="N52" s="2038" t="s">
        <x:v>117</x:v>
      </x:c>
      <x:c r="O52" s="2029"/>
      <x:c r="P52" s="2029"/>
      <x:c r="R52" s="295" t="b">
        <x:f t="shared" si="0"/>
        <x:v>0</x:v>
      </x:c>
      <x:c r="AO52" s="284" t="str">
        <x:f t="shared" si="1"/>
        <x:v>53</x:v>
      </x:c>
      <x:c r="AP52" s="1202" t="b">
        <x:v>0</x:v>
      </x:c>
      <x:c r="AQ52" s="236"/>
    </x:row>
    <x:row r="53" spans="1:43" ht="14.1" customHeight="1" x14ac:dyDescent="0.2">
      <x:c r="A53" s="2030"/>
      <x:c r="B53" s="2031"/>
      <x:c r="C53" s="2031"/>
      <x:c r="D53" s="2031"/>
      <x:c r="E53" s="2032"/>
      <x:c r="F53" s="2033"/>
      <x:c r="G53" s="2034"/>
      <x:c r="H53" s="2035"/>
      <x:c r="I53" s="2033"/>
      <x:c r="J53" s="2034"/>
      <x:c r="K53" s="2035"/>
      <x:c r="L53" s="2036"/>
      <x:c r="M53" s="2036"/>
      <x:c r="N53" s="2038" t="s">
        <x:v>117</x:v>
      </x:c>
      <x:c r="O53" s="2029"/>
      <x:c r="P53" s="2029"/>
      <x:c r="R53" s="295" t="b">
        <x:f t="shared" si="0"/>
        <x:v>0</x:v>
      </x:c>
      <x:c r="AO53" s="284" t="str">
        <x:f t="shared" si="1"/>
        <x:v>53</x:v>
      </x:c>
      <x:c r="AP53" s="1202" t="b">
        <x:v>0</x:v>
      </x:c>
      <x:c r="AQ53" s="236"/>
    </x:row>
    <x:row r="54" spans="1:43" ht="14.1" customHeight="1" x14ac:dyDescent="0.2">
      <x:c r="A54" s="2030"/>
      <x:c r="B54" s="2031"/>
      <x:c r="C54" s="2031"/>
      <x:c r="D54" s="2031"/>
      <x:c r="E54" s="2032"/>
      <x:c r="F54" s="2033"/>
      <x:c r="G54" s="2034"/>
      <x:c r="H54" s="2035"/>
      <x:c r="I54" s="2033"/>
      <x:c r="J54" s="2034"/>
      <x:c r="K54" s="2035"/>
      <x:c r="L54" s="2036"/>
      <x:c r="M54" s="2036"/>
      <x:c r="N54" s="2038" t="s">
        <x:v>117</x:v>
      </x:c>
      <x:c r="O54" s="2029"/>
      <x:c r="P54" s="2029"/>
      <x:c r="R54" s="295" t="b">
        <x:f t="shared" si="0"/>
        <x:v>0</x:v>
      </x:c>
      <x:c r="AO54" s="284" t="str">
        <x:f t="shared" si="1"/>
        <x:v>53</x:v>
      </x:c>
      <x:c r="AP54" s="1202" t="b">
        <x:v>0</x:v>
      </x:c>
      <x:c r="AQ54" s="236"/>
    </x:row>
    <x:row r="55" spans="1:43" ht="14.1" customHeight="1" x14ac:dyDescent="0.2">
      <x:c r="A55" s="2041"/>
      <x:c r="B55" s="2042"/>
      <x:c r="C55" s="2042"/>
      <x:c r="D55" s="2042"/>
      <x:c r="E55" s="2043"/>
      <x:c r="F55" s="2044"/>
      <x:c r="G55" s="2045"/>
      <x:c r="H55" s="2046"/>
      <x:c r="I55" s="2044"/>
      <x:c r="J55" s="2045"/>
      <x:c r="K55" s="2046"/>
      <x:c r="L55" s="2047"/>
      <x:c r="M55" s="2047"/>
      <x:c r="N55" s="2048"/>
      <x:c r="O55" s="2029"/>
      <x:c r="P55" s="2029"/>
      <x:c r="R55" s="295" t="b">
        <x:f t="shared" si="0"/>
        <x:v>0</x:v>
      </x:c>
      <x:c r="AO55" s="284" t="str">
        <x:f t="shared" si="1"/>
        <x:v>53</x:v>
      </x:c>
      <x:c r="AP55" s="1202" t="b">
        <x:v>0</x:v>
      </x:c>
      <x:c r="AQ55" s="236"/>
    </x:row>
    <x:row r="56" spans="1:43" ht="15.95" customHeight="1" x14ac:dyDescent="0.2">
      <x:c r="J56" s="449"/>
      <x:c r="K56" s="449"/>
      <x:c r="O56" s="449"/>
      <x:c r="P56" s="449"/>
    </x:row>
    <x:row r="57" spans="1:43" ht="15.95" customHeight="1" x14ac:dyDescent="0.2"/>
    <x:row r="58" spans="1:43" ht="15.95" customHeight="1" x14ac:dyDescent="0.2"/>
    <x:row r="59" spans="1:43" ht="15.95" customHeight="1" x14ac:dyDescent="0.2">
      <x:c r="A59" s="973" t="s">
        <x:v>1062</x:v>
      </x:c>
    </x:row>
    <x:row r="60" spans="1:43" ht="15.95" hidden="1" customHeight="1" x14ac:dyDescent="0.2">
      <x:c r="A60" s="1128" t="s">
        <x:v>113</x:v>
      </x:c>
    </x:row>
    <x:row r="61" spans="1:43" ht="15.95" hidden="1" customHeight="1" x14ac:dyDescent="0.2">
      <x:c r="A61" s="1130" t="s">
        <x:v>2010</x:v>
      </x:c>
    </x:row>
    <x:row r="62" spans="1:43" ht="15.95" hidden="1" customHeight="1" x14ac:dyDescent="0.2"/>
    <x:row r="63" spans="1:43" hidden="1" x14ac:dyDescent="0.2"/>
    <x:row r="64" spans="1:43" hidden="1" x14ac:dyDescent="0.2"/>
    <x:row r="65" spans="1:1" x14ac:dyDescent="0.2">
      <x:c r="A65" s="973" t="s">
        <x:v>1063</x:v>
      </x:c>
    </x:row>
  </x:sheetData>
  <x:sheetProtection algorithmName="SHA-512" hashValue="uIIke/iRavmqv7OJ8nZJZhqcUbJfguAQjSkjA3jQBQgglGDlP6GUWcADkT/481BFN4YdgT59QKqPpcjVmcrmWQ==" saltValue="29N2Cdhf6fZQ6Mdgn6CVtA==" spinCount="100000" sheet="1" objects="1" scenarios="1" selectLockedCells="1"/>
  <x:mergeCells count="17">
    <x:mergeCell ref="I1:K1"/>
    <x:mergeCell ref="I2:K3"/>
    <x:mergeCell ref="I4:K4"/>
    <x:mergeCell ref="A5:J5"/>
    <x:mergeCell ref="B9:H9"/>
    <x:mergeCell ref="K9:N9"/>
    <x:mergeCell ref="M12:M13"/>
    <x:mergeCell ref="N12:N13"/>
    <x:mergeCell ref="G13:H13"/>
    <x:mergeCell ref="J13:K13"/>
    <x:mergeCell ref="B10:H10"/>
    <x:mergeCell ref="I10:J10"/>
    <x:mergeCell ref="K10:L10"/>
    <x:mergeCell ref="A12:E12"/>
    <x:mergeCell ref="F12:H12"/>
    <x:mergeCell ref="I12:K12"/>
    <x:mergeCell ref="L12:L13"/>
  </x:mergeCells>
  <x:conditionalFormatting sqref="F14:F55">
    <x:cfRule type="expression" dxfId="1459" priority="2" stopIfTrue="1">
      <x:formula>AND($B14="NU",F14&lt;0)</x:formula>
    </x:cfRule>
  </x:conditionalFormatting>
  <x:conditionalFormatting sqref="B14:B55">
    <x:cfRule type="expression" dxfId="1458" priority="3" stopIfTrue="1">
      <x:formula>OR(AND($B14="NU",F14&lt;0),AND($B14="NU",I14&lt;0))</x:formula>
    </x:cfRule>
  </x:conditionalFormatting>
  <x:conditionalFormatting sqref="G14:H55 J14:L55">
    <x:cfRule type="expression" dxfId="1457" priority="4" stopIfTrue="1">
      <x:formula>$R14</x:formula>
    </x:cfRule>
  </x:conditionalFormatting>
  <x:conditionalFormatting sqref="I2:K4">
    <x:cfRule type="cellIs" dxfId="1456" priority="5" stopIfTrue="1" operator="equal">
      <x:formula>""</x:formula>
    </x:cfRule>
  </x:conditionalFormatting>
  <x:conditionalFormatting sqref="I14:I55">
    <x:cfRule type="expression" dxfId="1455" priority="6" stopIfTrue="1">
      <x:formula>OR($R14,$B14="CZ",AND($B14="NU",I14&lt;0))</x:formula>
    </x:cfRule>
  </x:conditionalFormatting>
  <x:conditionalFormatting sqref="A14:P55">
    <x:cfRule type="expression" dxfId="1454" priority="1" stopIfTrue="1">
      <x:formula>$AP14</x:formula>
    </x:cfRule>
  </x:conditionalFormatting>
  <x:dataValidations count="6">
    <x:dataValidation type="list" allowBlank="1" showErrorMessage="1" errorTitle="Invalid Category" error="You MUST select a Category from the dropdown list provided._x000a__x000a_Also, make sure your Cap Lock is turned on." sqref="C14">
      <x:formula1>OFFSET($S$16,0,MATCH($B14,Type,0)-1,OFFSET($S$30,0,MATCH($B14,Type,0)-1))</x:formula1>
    </x:dataValidation>
    <x:dataValidation type="list" allowBlank="1" showErrorMessage="1" errorTitle="Invalid Category" error="You MUST select a Category from the dropdown list provided._x000a__x000a_Also, make sure your Cap Lock is turned on." sqref="C15:C55">
      <x:formula1>OFFSET($S$16,0,MATCH($B15,Type,0)-1,OFFSET($S$30,0,MATCH($B15,Type,0)-1,1),1)</x:formula1>
    </x:dataValidation>
    <x:dataValidation type="list" allowBlank="1" showErrorMessage="1" errorTitle="Invalid Position" error="You MUST select a Position from the dropdown list provided._x000a__x000a_Also, make sure your Cap Lock is turned on." sqref="D14:D55">
      <x:formula1>OFFSET($AH$16,0,OFFSET($S$14,0,MATCH($B14,Type,0)-1),OFFSET($AH$30,0, OFFSET($S$14,0,MATCH($B14,Type,0)-1)))</x:formula1>
    </x:dataValidation>
    <x:dataValidation allowBlank="1" showInputMessage="1" errorTitle="Invalid Load Case" error="You MUST use a Load Case from the list provided." sqref="M14:M55"/>
    <x:dataValidation type="list" allowBlank="1" showErrorMessage="1" errorTitle="Invalid Reference Location" error="You MUST select a Reference Location from the dropdown list provided._x000a__x000a_Also, make sure your Cap Lock is turned on." sqref="L14:L55">
      <x:formula1>IF($AL$14,$AL$16:$AL$21,$AM$16:$AM$19)</x:formula1>
    </x:dataValidation>
    <x:dataValidation type="list" allowBlank="1" showErrorMessage="1" errorTitle="Invalid Type" error="You MUST select a Type from the dropdown list provided._x000a__x000a_Also, make sure your Cap Lock is turned on." sqref="B14:B55">
      <x:formula1>$S$15:$AD$15</x:formula1>
    </x:dataValidation>
  </x:dataValidations>
  <x:printOptions horizontalCentered="1"/>
  <x:pageMargins left="0.3" right="0.3" top="0.5" bottom="0.5" header="0" footer="0.25"/>
  <x:pageSetup orientation="portrait" r:id="rId1"/>
  <x:headerFooter alignWithMargins="0">
    <x:oddFooter>&amp;R&amp;7Printed: &amp;D &amp;T&amp;L&amp;7Version: 18.1019
File: &amp;F</x:oddFooter>
  </x:headerFooter>
  <x:drawing r:id="rId2"/>
  <x:legacyDrawing r:id="rId3"/>
</x: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indexed="51"/>
  </sheetPr>
  <dimension ref="A1:AM67"/>
  <sheetViews>
    <sheetView showGridLines="0" zoomScaleNormal="100" zoomScaleSheetLayoutView="100" workbookViewId="0">
      <selection activeCell="L7" sqref="L7"/>
    </sheetView>
  </sheetViews>
  <sheetFormatPr defaultRowHeight="11.25" x14ac:dyDescent="0.2"/>
  <cols>
    <col min="1" max="1" width="10.7109375" style="295" customWidth="1"/>
    <col min="2" max="2" width="4.7109375" style="297" customWidth="1"/>
    <col min="3" max="3" width="4.7109375" style="295" customWidth="1"/>
    <col min="4" max="4" width="5.7109375" style="453" customWidth="1"/>
    <col min="5" max="10" width="6.7109375" style="295" customWidth="1"/>
    <col min="11" max="11" width="11.28515625" style="295" customWidth="1"/>
    <col min="12" max="12" width="7.28515625" style="295" customWidth="1"/>
    <col min="13" max="13" width="11.28515625" style="295" customWidth="1"/>
    <col min="14" max="15" width="6.7109375" style="295" customWidth="1"/>
    <col min="16" max="16" width="10.7109375" style="295" hidden="1" customWidth="1"/>
    <col min="17" max="35" width="6.7109375" style="295" hidden="1" customWidth="1"/>
    <col min="36" max="38" width="9.140625" style="295" hidden="1" customWidth="1"/>
    <col min="39" max="16384" width="9.140625" style="295"/>
  </cols>
  <sheetData>
    <row r="1" spans="1:39" s="449" customFormat="1" ht="14.45" customHeight="1" thickBot="1" x14ac:dyDescent="0.25">
      <c r="A1" s="444"/>
      <c r="B1" s="550"/>
      <c r="C1" s="444"/>
      <c r="D1" s="565"/>
      <c r="E1" s="470"/>
      <c r="F1" s="470"/>
      <c r="G1" s="470"/>
      <c r="H1" s="2227" t="str">
        <f>IF(P1="","",VLOOKUP(P1,'Job Info.'!$X:$AA,4,FALSE))</f>
        <v>Master</v>
      </c>
      <c r="I1" s="2227"/>
      <c r="J1" s="2227"/>
      <c r="K1" s="2265" t="s">
        <v>96</v>
      </c>
      <c r="L1" s="2277"/>
      <c r="M1" s="2259" t="str">
        <f ca="1">'Job Info.'!D12</f>
        <v>775-428-0600</v>
      </c>
      <c r="N1" s="2260"/>
      <c r="O1" s="578" t="s">
        <v>763</v>
      </c>
      <c r="P1" s="448" t="str">
        <f>'Job Info.'!Q30</f>
        <v>M</v>
      </c>
      <c r="Q1" s="448" t="b">
        <f>'Job Info.'!Q32</f>
        <v>0</v>
      </c>
      <c r="R1" s="449" t="s">
        <v>122</v>
      </c>
      <c r="S1" s="449" t="s">
        <v>134</v>
      </c>
      <c r="T1" s="448"/>
      <c r="AM1" s="579" t="s">
        <v>787</v>
      </c>
    </row>
    <row r="2" spans="1:39" s="449" customFormat="1" ht="12.95" customHeight="1" thickTop="1" x14ac:dyDescent="0.2">
      <c r="A2" s="444"/>
      <c r="B2" s="550"/>
      <c r="C2" s="444"/>
      <c r="D2" s="565"/>
      <c r="E2" s="470"/>
      <c r="F2" s="470"/>
      <c r="G2" s="470"/>
      <c r="H2" s="2228" t="str">
        <f>IF(P1="","",IF(VLOOKUP(P1,'Job Info.'!$X:$Z,2,FALSE),"Released for Fabrication",""))</f>
        <v/>
      </c>
      <c r="I2" s="2229"/>
      <c r="J2" s="2230"/>
      <c r="K2" s="2265" t="s">
        <v>97</v>
      </c>
      <c r="L2" s="2265"/>
      <c r="M2" s="2259" t="str">
        <f ca="1">'Job Info.'!D13</f>
        <v>775-867-2140</v>
      </c>
      <c r="N2" s="2260"/>
      <c r="R2" s="449" t="s">
        <v>123</v>
      </c>
      <c r="S2" s="449" t="s">
        <v>135</v>
      </c>
      <c r="T2" s="448"/>
    </row>
    <row r="3" spans="1:39" s="449" customFormat="1" ht="12.95" customHeight="1" x14ac:dyDescent="0.2">
      <c r="A3" s="444"/>
      <c r="B3" s="550"/>
      <c r="C3" s="444"/>
      <c r="D3" s="565"/>
      <c r="E3" s="470"/>
      <c r="F3" s="470"/>
      <c r="G3" s="470"/>
      <c r="H3" s="2231"/>
      <c r="I3" s="2232"/>
      <c r="J3" s="2233"/>
      <c r="K3" s="2265" t="s">
        <v>99</v>
      </c>
      <c r="L3" s="2265"/>
      <c r="M3" s="2259" t="str">
        <f ca="1">'Job Info.'!D14</f>
        <v>775-867-2169</v>
      </c>
      <c r="N3" s="2260"/>
      <c r="R3" s="449" t="s">
        <v>124</v>
      </c>
      <c r="S3" s="449" t="s">
        <v>136</v>
      </c>
    </row>
    <row r="4" spans="1:39" s="449" customFormat="1" ht="12.95" customHeight="1" thickBot="1" x14ac:dyDescent="0.25">
      <c r="A4" s="444"/>
      <c r="B4" s="550"/>
      <c r="C4" s="444"/>
      <c r="D4" s="565"/>
      <c r="E4" s="470"/>
      <c r="F4" s="470"/>
      <c r="G4" s="470"/>
      <c r="H4" s="2234" t="str">
        <f>IF(P1="","",IF(VLOOKUP(P1,'Job Info.'!$X:$Z,2,FALSE),VLOOKUP(P1,'Job Info.'!$X:$Z,3,FALSE),""))</f>
        <v/>
      </c>
      <c r="I4" s="2235"/>
      <c r="J4" s="2236"/>
      <c r="K4" s="2265" t="s">
        <v>98</v>
      </c>
      <c r="L4" s="2265"/>
      <c r="M4" s="2259" t="str">
        <f ca="1">'Job Info.'!D15</f>
        <v>775-867-2060</v>
      </c>
      <c r="N4" s="2260"/>
      <c r="R4" s="449" t="s">
        <v>125</v>
      </c>
      <c r="S4" s="449" t="s">
        <v>137</v>
      </c>
    </row>
    <row r="5" spans="1:39" s="449" customFormat="1" ht="12.95" customHeight="1" thickTop="1" x14ac:dyDescent="0.2">
      <c r="A5" s="2237" t="str">
        <f ca="1">'Job Info.'!D11</f>
        <v>8200 Woolery Way | Fallon, NV 89406 | www.newmill.com</v>
      </c>
      <c r="B5" s="2299"/>
      <c r="C5" s="2299"/>
      <c r="D5" s="2299"/>
      <c r="E5" s="2299"/>
      <c r="F5" s="2299"/>
      <c r="G5" s="2299"/>
      <c r="H5" s="2299"/>
      <c r="I5" s="2299"/>
      <c r="J5" s="2299"/>
      <c r="K5" s="37"/>
      <c r="L5" s="444"/>
      <c r="M5" s="444"/>
      <c r="N5" s="444"/>
      <c r="R5" s="449" t="s">
        <v>126</v>
      </c>
      <c r="S5" s="449" t="s">
        <v>138</v>
      </c>
    </row>
    <row r="6" spans="1:39" s="449" customFormat="1" ht="12.95" customHeight="1" x14ac:dyDescent="0.2">
      <c r="A6" s="444"/>
      <c r="B6" s="550"/>
      <c r="C6" s="444"/>
      <c r="D6" s="565"/>
      <c r="E6" s="444"/>
      <c r="F6" s="444"/>
      <c r="G6" s="444"/>
      <c r="H6" s="444"/>
      <c r="I6" s="444"/>
      <c r="J6" s="444"/>
      <c r="K6" s="550" t="s">
        <v>20</v>
      </c>
      <c r="L6" s="2300">
        <f>IF(ISBLANK('Job Info.'!D8),"",'Job Info.'!D8)</f>
        <v>43406</v>
      </c>
      <c r="M6" s="2300"/>
      <c r="N6" s="444"/>
      <c r="P6" s="1392" t="s">
        <v>1180</v>
      </c>
      <c r="R6" s="449" t="s">
        <v>127</v>
      </c>
      <c r="S6" s="449" t="s">
        <v>139</v>
      </c>
    </row>
    <row r="7" spans="1:39" ht="12.95" customHeight="1" x14ac:dyDescent="0.2">
      <c r="A7" s="472" t="s">
        <v>56</v>
      </c>
      <c r="B7" s="551"/>
      <c r="C7" s="473"/>
      <c r="D7" s="566"/>
      <c r="E7" s="568"/>
      <c r="F7" s="568"/>
      <c r="G7" s="444"/>
      <c r="H7" s="444"/>
      <c r="I7" s="444"/>
      <c r="J7" s="444"/>
      <c r="K7" s="551" t="s">
        <v>21</v>
      </c>
      <c r="L7" s="1526" t="str">
        <f>CONCATENATE(P7, " of ",IF(ISBLANK('Job Info.'!D9),"",'Job Info.'!D9))</f>
        <v>12 of 42</v>
      </c>
      <c r="M7" s="822"/>
      <c r="N7" s="473"/>
      <c r="P7" s="1393">
        <v>12</v>
      </c>
      <c r="R7" s="295" t="s">
        <v>128</v>
      </c>
      <c r="S7" s="295" t="s">
        <v>140</v>
      </c>
    </row>
    <row r="8" spans="1:39" ht="3.95"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225" t="str">
        <f>IF(ISBLANK('Job Info.'!D3),"",'Job Info.'!D3)</f>
        <v>SUNPOINT CROSSING</v>
      </c>
      <c r="C9" s="2304"/>
      <c r="D9" s="2304"/>
      <c r="E9" s="2304"/>
      <c r="F9" s="2304"/>
      <c r="G9" s="2304"/>
      <c r="H9" s="2304"/>
      <c r="I9" s="2304"/>
      <c r="J9" s="2305"/>
      <c r="K9" s="572" t="s">
        <v>2</v>
      </c>
      <c r="L9" s="1822" t="str">
        <f>IF(ISBLANK('Job Info.'!D5),"",'Job Info.'!D5)</f>
        <v>9118-0062</v>
      </c>
      <c r="M9" s="482"/>
      <c r="N9" s="569"/>
      <c r="R9" s="295" t="s">
        <v>130</v>
      </c>
      <c r="S9" s="295" t="s">
        <v>142</v>
      </c>
    </row>
    <row r="10" spans="1:39" ht="12.6" customHeight="1" x14ac:dyDescent="0.2">
      <c r="A10" s="572" t="s">
        <v>3</v>
      </c>
      <c r="B10" s="2225" t="str">
        <f>IF(ISBLANK('Job Info.'!D4),"",'Job Info.'!D4)</f>
        <v>LAS VEGAS, NV</v>
      </c>
      <c r="C10" s="2304"/>
      <c r="D10" s="2304"/>
      <c r="E10" s="2304"/>
      <c r="F10" s="2304"/>
      <c r="G10" s="2304"/>
      <c r="H10" s="2304"/>
      <c r="I10" s="2304"/>
      <c r="J10" s="2305"/>
      <c r="K10" s="572" t="s">
        <v>22</v>
      </c>
      <c r="L10" s="824" t="str">
        <f>IF(ISBLANK('Job Info.'!D6),"",'Job Info.'!D6)</f>
        <v>CJA</v>
      </c>
      <c r="M10" s="572" t="s">
        <v>23</v>
      </c>
      <c r="N10" s="1823" t="str">
        <f>IF(ISBLANK('Job Info.'!D7),"",'Job Info.'!D7)</f>
        <v>LS</v>
      </c>
      <c r="AJ10" s="2281" t="s">
        <v>1160</v>
      </c>
      <c r="AK10" s="2282"/>
      <c r="AL10" s="2282"/>
    </row>
    <row r="11" spans="1:39" ht="3.95" customHeight="1" x14ac:dyDescent="0.2">
      <c r="A11" s="1396"/>
      <c r="B11" s="551"/>
      <c r="C11" s="473"/>
      <c r="D11" s="566"/>
      <c r="E11" s="473"/>
      <c r="F11" s="473"/>
      <c r="G11" s="473"/>
      <c r="H11" s="473"/>
      <c r="I11" s="473"/>
      <c r="J11" s="473"/>
      <c r="K11" s="473"/>
      <c r="L11" s="473"/>
      <c r="M11" s="473"/>
      <c r="N11" s="473"/>
      <c r="AJ11" s="2282"/>
      <c r="AK11" s="2282"/>
      <c r="AL11" s="2282"/>
    </row>
    <row r="12" spans="1:39" s="570" customFormat="1" ht="16.350000000000001" customHeight="1" x14ac:dyDescent="0.2">
      <c r="A12" s="1831" t="s">
        <v>55</v>
      </c>
      <c r="B12" s="2303" t="s">
        <v>121</v>
      </c>
      <c r="C12" s="2263"/>
      <c r="D12" s="2264"/>
      <c r="E12" s="2262" t="s">
        <v>1232</v>
      </c>
      <c r="F12" s="2263"/>
      <c r="G12" s="2263"/>
      <c r="H12" s="2263"/>
      <c r="I12" s="2263"/>
      <c r="J12" s="2263"/>
      <c r="K12" s="2301"/>
      <c r="L12" s="2301"/>
      <c r="M12" s="2301"/>
      <c r="N12" s="2302"/>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283"/>
      <c r="AK12" s="2283"/>
      <c r="AL12" s="2283"/>
    </row>
    <row r="13" spans="1:39" ht="16.350000000000001" customHeight="1" x14ac:dyDescent="0.2">
      <c r="A13" s="2049"/>
      <c r="B13" s="2050"/>
      <c r="C13" s="2051"/>
      <c r="D13" s="2052"/>
      <c r="E13" s="3053"/>
      <c r="F13" s="3054"/>
      <c r="G13" s="3055"/>
      <c r="H13" s="3055"/>
      <c r="I13" s="3055"/>
      <c r="J13" s="3055"/>
      <c r="K13" s="3055"/>
      <c r="L13" s="3055"/>
      <c r="M13" s="3055"/>
      <c r="N13" s="3056"/>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H28" si="9">ISBLANK(B13)</f>
        <v>1</v>
      </c>
      <c r="AH13" s="295" t="b">
        <f t="shared" si="9"/>
        <v>1</v>
      </c>
      <c r="AJ13" s="1259" t="s">
        <v>122</v>
      </c>
      <c r="AK13" s="1259"/>
      <c r="AL13" s="1259"/>
    </row>
    <row r="14" spans="1:39" ht="16.350000000000001" customHeight="1" x14ac:dyDescent="0.2">
      <c r="A14" s="2053"/>
      <c r="B14" s="2054"/>
      <c r="C14" s="2055"/>
      <c r="D14" s="2056"/>
      <c r="E14" s="3042"/>
      <c r="F14" s="3043"/>
      <c r="G14" s="3044"/>
      <c r="H14" s="3044"/>
      <c r="I14" s="3044"/>
      <c r="J14" s="3044"/>
      <c r="K14" s="3044"/>
      <c r="L14" s="3044"/>
      <c r="M14" s="3044"/>
      <c r="N14" s="3045"/>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9"/>
        <v>1</v>
      </c>
      <c r="AJ14" s="1259" t="s">
        <v>123</v>
      </c>
      <c r="AK14" s="1259"/>
      <c r="AL14" s="1259"/>
    </row>
    <row r="15" spans="1:39" ht="16.350000000000001" customHeight="1" x14ac:dyDescent="0.2">
      <c r="A15" s="2053" t="s">
        <v>1258</v>
      </c>
      <c r="B15" s="2054" t="s">
        <v>124</v>
      </c>
      <c r="C15" s="2055"/>
      <c r="D15" s="2056"/>
      <c r="E15" s="3042"/>
      <c r="F15" s="3043"/>
      <c r="G15" s="3044"/>
      <c r="H15" s="3044"/>
      <c r="I15" s="3044"/>
      <c r="J15" s="3044"/>
      <c r="K15" s="3044"/>
      <c r="L15" s="3044"/>
      <c r="M15" s="3044"/>
      <c r="N15" s="3045"/>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9" t="s">
        <v>124</v>
      </c>
      <c r="AK15" s="1259"/>
      <c r="AL15" s="1259"/>
    </row>
    <row r="16" spans="1:39" ht="16.350000000000001" customHeight="1" x14ac:dyDescent="0.2">
      <c r="A16" s="2053" t="s">
        <v>1259</v>
      </c>
      <c r="B16" s="2054" t="s">
        <v>125</v>
      </c>
      <c r="C16" s="2055"/>
      <c r="D16" s="2056"/>
      <c r="E16" s="3042"/>
      <c r="F16" s="3043"/>
      <c r="G16" s="3044"/>
      <c r="H16" s="3044"/>
      <c r="I16" s="3044"/>
      <c r="J16" s="3044"/>
      <c r="K16" s="3044"/>
      <c r="L16" s="3044"/>
      <c r="M16" s="3044"/>
      <c r="N16" s="3045"/>
      <c r="P16" s="554" t="str">
        <f t="shared" si="0"/>
        <v>Blue</v>
      </c>
      <c r="R16" s="284" t="str">
        <f t="shared" ca="1" si="1"/>
        <v>WHT</v>
      </c>
      <c r="S16" s="284" t="str">
        <f t="shared" ca="1" si="2"/>
        <v>BRN</v>
      </c>
      <c r="T16" s="284" t="str">
        <f t="shared" ca="1" si="3"/>
        <v>ORG</v>
      </c>
      <c r="U16" s="284" t="str">
        <f t="shared" ca="1" si="4"/>
        <v>GRN</v>
      </c>
      <c r="V16" s="284" t="str">
        <f t="shared" ca="1" si="5"/>
        <v>YLW</v>
      </c>
      <c r="W16" s="284" t="str">
        <f t="shared" ca="1" si="6"/>
        <v>PRP</v>
      </c>
      <c r="X16" s="284" t="str">
        <f t="shared" ca="1" si="7"/>
        <v>RED</v>
      </c>
      <c r="Y16" s="284" t="str">
        <f t="shared" ca="1" si="8"/>
        <v>BLK</v>
      </c>
      <c r="Z16" s="284" t="str">
        <f ca="1">OFFSET($R16,0,R$12+(COUNTIF($R16:R16,$C16)))</f>
        <v>WHT</v>
      </c>
      <c r="AA16" s="284" t="str">
        <f ca="1">OFFSET($R16,0,S$12+(COUNTIF($R16:S16,$C16)))</f>
        <v>BRN</v>
      </c>
      <c r="AB16" s="284" t="str">
        <f ca="1">OFFSET($R16,0,T$12+(COUNTIF($R16:T16,$C16)))</f>
        <v>ORG</v>
      </c>
      <c r="AC16" s="284" t="str">
        <f ca="1">OFFSET($R16,0,U$12+(COUNTIF($R16:U16,$C16)))</f>
        <v>GRN</v>
      </c>
      <c r="AD16" s="284" t="str">
        <f ca="1">OFFSET($R16,0,V$12+(COUNTIF($R16:V16,$C16)))</f>
        <v>YLW</v>
      </c>
      <c r="AE16" s="284" t="str">
        <f ca="1">OFFSET($R16,0,W$12+(COUNTIF($R16:W16,$C16)))</f>
        <v>PRP</v>
      </c>
      <c r="AF16" s="284" t="str">
        <f ca="1">OFFSET($R16,0,X$12+(COUNTIF($R16:X16,$C16)))</f>
        <v>RED</v>
      </c>
      <c r="AG16" s="295" t="b">
        <f t="shared" si="9"/>
        <v>0</v>
      </c>
      <c r="AH16" s="295" t="b">
        <f t="shared" si="9"/>
        <v>1</v>
      </c>
      <c r="AJ16" s="1259" t="s">
        <v>125</v>
      </c>
      <c r="AK16" s="1259"/>
      <c r="AL16" s="1259"/>
    </row>
    <row r="17" spans="1:38" ht="16.350000000000001" customHeight="1" x14ac:dyDescent="0.2">
      <c r="A17" s="2053" t="s">
        <v>1260</v>
      </c>
      <c r="B17" s="2054" t="s">
        <v>126</v>
      </c>
      <c r="C17" s="2055"/>
      <c r="D17" s="2056"/>
      <c r="E17" s="3042"/>
      <c r="F17" s="3043"/>
      <c r="G17" s="3044"/>
      <c r="H17" s="3044"/>
      <c r="I17" s="3044"/>
      <c r="J17" s="3044"/>
      <c r="K17" s="3044"/>
      <c r="L17" s="3044"/>
      <c r="M17" s="3044"/>
      <c r="N17" s="3045"/>
      <c r="P17" s="554" t="str">
        <f t="shared" si="0"/>
        <v>Green</v>
      </c>
      <c r="R17" s="284" t="str">
        <f t="shared" ca="1" si="1"/>
        <v>WHT</v>
      </c>
      <c r="S17" s="284" t="str">
        <f t="shared" ca="1" si="2"/>
        <v>BRN</v>
      </c>
      <c r="T17" s="284" t="str">
        <f t="shared" ca="1" si="3"/>
        <v>ORG</v>
      </c>
      <c r="U17" s="284" t="str">
        <f t="shared" ca="1" si="4"/>
        <v>BLU</v>
      </c>
      <c r="V17" s="284" t="str">
        <f t="shared" ca="1" si="5"/>
        <v>YLW</v>
      </c>
      <c r="W17" s="284" t="str">
        <f t="shared" ca="1" si="6"/>
        <v>PRP</v>
      </c>
      <c r="X17" s="284" t="str">
        <f t="shared" ca="1" si="7"/>
        <v>RED</v>
      </c>
      <c r="Y17" s="284" t="str">
        <f t="shared" ca="1" si="8"/>
        <v>BLK</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YLW</v>
      </c>
      <c r="AE17" s="284" t="str">
        <f ca="1">OFFSET($R17,0,W$12+(COUNTIF($R17:W17,$C17)))</f>
        <v>PRP</v>
      </c>
      <c r="AF17" s="284" t="str">
        <f ca="1">OFFSET($R17,0,X$12+(COUNTIF($R17:X17,$C17)))</f>
        <v>RED</v>
      </c>
      <c r="AG17" s="295" t="b">
        <f t="shared" si="9"/>
        <v>0</v>
      </c>
      <c r="AH17" s="295" t="b">
        <f t="shared" si="9"/>
        <v>1</v>
      </c>
      <c r="AJ17" s="1259" t="s">
        <v>126</v>
      </c>
      <c r="AK17" s="1259"/>
      <c r="AL17" s="1259"/>
    </row>
    <row r="18" spans="1:38" ht="16.350000000000001" customHeight="1" x14ac:dyDescent="0.2">
      <c r="A18" s="2053" t="s">
        <v>1261</v>
      </c>
      <c r="B18" s="2054" t="s">
        <v>127</v>
      </c>
      <c r="C18" s="2055"/>
      <c r="D18" s="2056"/>
      <c r="E18" s="3042"/>
      <c r="F18" s="3043"/>
      <c r="G18" s="3044"/>
      <c r="H18" s="3044"/>
      <c r="I18" s="3044"/>
      <c r="J18" s="3044"/>
      <c r="K18" s="3044"/>
      <c r="L18" s="3044"/>
      <c r="M18" s="3044"/>
      <c r="N18" s="3045"/>
      <c r="P18" s="554" t="str">
        <f t="shared" si="0"/>
        <v>Yellow</v>
      </c>
      <c r="R18" s="284" t="str">
        <f t="shared" ca="1" si="1"/>
        <v>WHT</v>
      </c>
      <c r="S18" s="284" t="str">
        <f t="shared" ca="1" si="2"/>
        <v>BRN</v>
      </c>
      <c r="T18" s="284" t="str">
        <f t="shared" ca="1" si="3"/>
        <v>ORG</v>
      </c>
      <c r="U18" s="284" t="str">
        <f t="shared" ca="1" si="4"/>
        <v>BLU</v>
      </c>
      <c r="V18" s="284" t="str">
        <f t="shared" ca="1" si="5"/>
        <v>GRN</v>
      </c>
      <c r="W18" s="284" t="str">
        <f t="shared" ca="1" si="6"/>
        <v>PRP</v>
      </c>
      <c r="X18" s="284" t="str">
        <f t="shared" ca="1" si="7"/>
        <v>RED</v>
      </c>
      <c r="Y18" s="284" t="str">
        <f t="shared" ca="1" si="8"/>
        <v>BLK</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PRP</v>
      </c>
      <c r="AF18" s="284" t="str">
        <f ca="1">OFFSET($R18,0,X$12+(COUNTIF($R18:X18,$C18)))</f>
        <v>RED</v>
      </c>
      <c r="AG18" s="295" t="b">
        <f t="shared" si="9"/>
        <v>0</v>
      </c>
      <c r="AH18" s="295" t="b">
        <f t="shared" si="9"/>
        <v>1</v>
      </c>
      <c r="AJ18" s="1259" t="s">
        <v>127</v>
      </c>
      <c r="AK18" s="1259"/>
      <c r="AL18" s="1259"/>
    </row>
    <row r="19" spans="1:38" ht="16.350000000000001" customHeight="1" x14ac:dyDescent="0.2">
      <c r="A19" s="2053"/>
      <c r="B19" s="2054"/>
      <c r="C19" s="2055"/>
      <c r="D19" s="2056"/>
      <c r="E19" s="3042"/>
      <c r="F19" s="3043"/>
      <c r="G19" s="3044"/>
      <c r="H19" s="3044"/>
      <c r="I19" s="3044"/>
      <c r="J19" s="3044"/>
      <c r="K19" s="3044"/>
      <c r="L19" s="3044"/>
      <c r="M19" s="3044"/>
      <c r="N19" s="3045"/>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9" t="s">
        <v>128</v>
      </c>
      <c r="AK19" s="1259"/>
      <c r="AL19" s="1259"/>
    </row>
    <row r="20" spans="1:38" ht="16.350000000000001" customHeight="1" x14ac:dyDescent="0.2">
      <c r="A20" s="2053"/>
      <c r="B20" s="2054"/>
      <c r="C20" s="2055"/>
      <c r="D20" s="2056"/>
      <c r="E20" s="3042"/>
      <c r="F20" s="3043"/>
      <c r="G20" s="3044"/>
      <c r="H20" s="3044"/>
      <c r="I20" s="3044"/>
      <c r="J20" s="3044"/>
      <c r="K20" s="3044"/>
      <c r="L20" s="3044"/>
      <c r="M20" s="3044"/>
      <c r="N20" s="3045"/>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9" t="s">
        <v>129</v>
      </c>
      <c r="AK20" s="1259"/>
      <c r="AL20" s="1259"/>
    </row>
    <row r="21" spans="1:38" ht="16.350000000000001" customHeight="1" x14ac:dyDescent="0.2">
      <c r="A21" s="2053"/>
      <c r="B21" s="2054"/>
      <c r="C21" s="2055"/>
      <c r="D21" s="2056"/>
      <c r="E21" s="3042"/>
      <c r="F21" s="3043"/>
      <c r="G21" s="3044"/>
      <c r="H21" s="3044"/>
      <c r="I21" s="3044"/>
      <c r="J21" s="3044"/>
      <c r="K21" s="3044"/>
      <c r="L21" s="3044"/>
      <c r="M21" s="3044"/>
      <c r="N21" s="3045"/>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9" t="s">
        <v>130</v>
      </c>
      <c r="AK21" s="1259"/>
      <c r="AL21" s="1259"/>
    </row>
    <row r="22" spans="1:38" ht="16.350000000000001" customHeight="1" x14ac:dyDescent="0.2">
      <c r="A22" s="2053"/>
      <c r="B22" s="2054"/>
      <c r="C22" s="2055"/>
      <c r="D22" s="2056"/>
      <c r="E22" s="3042"/>
      <c r="F22" s="3043"/>
      <c r="G22" s="3044"/>
      <c r="H22" s="3044"/>
      <c r="I22" s="3044"/>
      <c r="J22" s="3044"/>
      <c r="K22" s="3044"/>
      <c r="L22" s="3044"/>
      <c r="M22" s="3044"/>
      <c r="N22" s="3045"/>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9" t="s">
        <v>122</v>
      </c>
      <c r="AK22" s="1259" t="s">
        <v>130</v>
      </c>
      <c r="AL22" s="1259"/>
    </row>
    <row r="23" spans="1:38" ht="16.350000000000001" customHeight="1" x14ac:dyDescent="0.2">
      <c r="A23" s="2053"/>
      <c r="B23" s="2054"/>
      <c r="C23" s="2055"/>
      <c r="D23" s="2056"/>
      <c r="E23" s="3042"/>
      <c r="F23" s="3043"/>
      <c r="G23" s="3044"/>
      <c r="H23" s="3044"/>
      <c r="I23" s="3044"/>
      <c r="J23" s="3044"/>
      <c r="K23" s="3044"/>
      <c r="L23" s="3044"/>
      <c r="M23" s="3044"/>
      <c r="N23" s="3045"/>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9" t="s">
        <v>123</v>
      </c>
      <c r="AK23" s="1259" t="s">
        <v>129</v>
      </c>
      <c r="AL23" s="1259"/>
    </row>
    <row r="24" spans="1:38" ht="16.350000000000001" customHeight="1" x14ac:dyDescent="0.2">
      <c r="A24" s="2053"/>
      <c r="B24" s="2054"/>
      <c r="C24" s="2055"/>
      <c r="D24" s="2056"/>
      <c r="E24" s="3042"/>
      <c r="F24" s="3043"/>
      <c r="G24" s="3044"/>
      <c r="H24" s="3044"/>
      <c r="I24" s="3044"/>
      <c r="J24" s="3044"/>
      <c r="K24" s="3044"/>
      <c r="L24" s="3044"/>
      <c r="M24" s="3044"/>
      <c r="N24" s="3045"/>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9" t="s">
        <v>124</v>
      </c>
      <c r="AK24" s="1259" t="s">
        <v>128</v>
      </c>
      <c r="AL24" s="1259"/>
    </row>
    <row r="25" spans="1:38" ht="16.350000000000001" customHeight="1" x14ac:dyDescent="0.2">
      <c r="A25" s="2053"/>
      <c r="B25" s="2054"/>
      <c r="C25" s="2055"/>
      <c r="D25" s="2056"/>
      <c r="E25" s="3042"/>
      <c r="F25" s="3043"/>
      <c r="G25" s="3044"/>
      <c r="H25" s="3044"/>
      <c r="I25" s="3044"/>
      <c r="J25" s="3044"/>
      <c r="K25" s="3044"/>
      <c r="L25" s="3044"/>
      <c r="M25" s="3044"/>
      <c r="N25" s="3045"/>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9" t="s">
        <v>125</v>
      </c>
      <c r="AK25" s="1259" t="s">
        <v>127</v>
      </c>
      <c r="AL25" s="1259"/>
    </row>
    <row r="26" spans="1:38" ht="16.350000000000001" customHeight="1" x14ac:dyDescent="0.2">
      <c r="A26" s="2053"/>
      <c r="B26" s="2054"/>
      <c r="C26" s="2055"/>
      <c r="D26" s="2056"/>
      <c r="E26" s="3042"/>
      <c r="F26" s="3043"/>
      <c r="G26" s="3044"/>
      <c r="H26" s="3044"/>
      <c r="I26" s="3044"/>
      <c r="J26" s="3044"/>
      <c r="K26" s="3044"/>
      <c r="L26" s="3044"/>
      <c r="M26" s="3044"/>
      <c r="N26" s="3045"/>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9" t="s">
        <v>126</v>
      </c>
      <c r="AK26" s="1259" t="s">
        <v>1159</v>
      </c>
      <c r="AL26" s="1259"/>
    </row>
    <row r="27" spans="1:38" ht="16.350000000000001" customHeight="1" x14ac:dyDescent="0.2">
      <c r="A27" s="2053"/>
      <c r="B27" s="2054"/>
      <c r="C27" s="2055"/>
      <c r="D27" s="2056"/>
      <c r="E27" s="3042"/>
      <c r="F27" s="3043"/>
      <c r="G27" s="3044"/>
      <c r="H27" s="3044"/>
      <c r="I27" s="3044"/>
      <c r="J27" s="3044"/>
      <c r="K27" s="3044"/>
      <c r="L27" s="3044"/>
      <c r="M27" s="3044"/>
      <c r="N27" s="3045"/>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9" t="s">
        <v>123</v>
      </c>
      <c r="AK27" s="1259" t="s">
        <v>130</v>
      </c>
      <c r="AL27" s="1259"/>
    </row>
    <row r="28" spans="1:38" ht="16.350000000000001" customHeight="1" x14ac:dyDescent="0.2">
      <c r="A28" s="2053"/>
      <c r="B28" s="2054"/>
      <c r="C28" s="2055"/>
      <c r="D28" s="2056"/>
      <c r="E28" s="3050"/>
      <c r="F28" s="3051"/>
      <c r="G28" s="3051"/>
      <c r="H28" s="3051"/>
      <c r="I28" s="3051"/>
      <c r="J28" s="3051"/>
      <c r="K28" s="3051"/>
      <c r="L28" s="3051"/>
      <c r="M28" s="3051"/>
      <c r="N28" s="3052"/>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9" t="s">
        <v>124</v>
      </c>
      <c r="AK28" s="1259" t="s">
        <v>129</v>
      </c>
      <c r="AL28" s="1259"/>
    </row>
    <row r="29" spans="1:38" ht="16.350000000000001" customHeight="1" x14ac:dyDescent="0.2">
      <c r="A29" s="2053"/>
      <c r="B29" s="2054"/>
      <c r="C29" s="2055"/>
      <c r="D29" s="2056"/>
      <c r="E29" s="3050"/>
      <c r="F29" s="3051"/>
      <c r="G29" s="3051"/>
      <c r="H29" s="3051"/>
      <c r="I29" s="3051"/>
      <c r="J29" s="3051"/>
      <c r="K29" s="3051"/>
      <c r="L29" s="3051"/>
      <c r="M29" s="3051"/>
      <c r="N29" s="3052"/>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9" t="s">
        <v>125</v>
      </c>
      <c r="AK29" s="1259" t="s">
        <v>128</v>
      </c>
      <c r="AL29" s="1259"/>
    </row>
    <row r="30" spans="1:38" ht="16.350000000000001" customHeight="1" x14ac:dyDescent="0.2">
      <c r="A30" s="2053"/>
      <c r="B30" s="2054"/>
      <c r="C30" s="2055"/>
      <c r="D30" s="2056"/>
      <c r="E30" s="3050"/>
      <c r="F30" s="3051"/>
      <c r="G30" s="3051"/>
      <c r="H30" s="3051"/>
      <c r="I30" s="3051"/>
      <c r="J30" s="3051"/>
      <c r="K30" s="3051"/>
      <c r="L30" s="3051"/>
      <c r="M30" s="3051"/>
      <c r="N30" s="3052"/>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9" t="s">
        <v>126</v>
      </c>
      <c r="AK30" s="1259" t="s">
        <v>127</v>
      </c>
      <c r="AL30" s="1259"/>
    </row>
    <row r="31" spans="1:38" ht="16.350000000000001" customHeight="1" x14ac:dyDescent="0.2">
      <c r="A31" s="2053"/>
      <c r="B31" s="2054"/>
      <c r="C31" s="2055"/>
      <c r="D31" s="2056"/>
      <c r="E31" s="3050"/>
      <c r="F31" s="3051"/>
      <c r="G31" s="3051"/>
      <c r="H31" s="3051"/>
      <c r="I31" s="3051"/>
      <c r="J31" s="3051"/>
      <c r="K31" s="3051"/>
      <c r="L31" s="3051"/>
      <c r="M31" s="3051"/>
      <c r="N31" s="3052"/>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9" t="s">
        <v>122</v>
      </c>
      <c r="AK31" s="1259" t="s">
        <v>123</v>
      </c>
      <c r="AL31" s="1259"/>
    </row>
    <row r="32" spans="1:38" ht="16.350000000000001" customHeight="1" x14ac:dyDescent="0.2">
      <c r="A32" s="2053"/>
      <c r="B32" s="2054"/>
      <c r="C32" s="2055"/>
      <c r="D32" s="2056"/>
      <c r="E32" s="3050"/>
      <c r="F32" s="3051"/>
      <c r="G32" s="3051"/>
      <c r="H32" s="3051"/>
      <c r="I32" s="3051"/>
      <c r="J32" s="3051"/>
      <c r="K32" s="3051"/>
      <c r="L32" s="3051"/>
      <c r="M32" s="3051"/>
      <c r="N32" s="3052"/>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9" t="s">
        <v>124</v>
      </c>
      <c r="AK32" s="1259" t="s">
        <v>125</v>
      </c>
      <c r="AL32" s="1259"/>
    </row>
    <row r="33" spans="1:38" ht="16.350000000000001" customHeight="1" x14ac:dyDescent="0.2">
      <c r="A33" s="2053"/>
      <c r="B33" s="2054"/>
      <c r="C33" s="2055"/>
      <c r="D33" s="2056"/>
      <c r="E33" s="3050"/>
      <c r="F33" s="3051"/>
      <c r="G33" s="3051"/>
      <c r="H33" s="3051"/>
      <c r="I33" s="3051"/>
      <c r="J33" s="3051"/>
      <c r="K33" s="3051"/>
      <c r="L33" s="3051"/>
      <c r="M33" s="3051"/>
      <c r="N33" s="3052"/>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9" t="s">
        <v>127</v>
      </c>
      <c r="AK33" s="1259" t="s">
        <v>128</v>
      </c>
      <c r="AL33" s="1259"/>
    </row>
    <row r="34" spans="1:38" ht="16.350000000000001" customHeight="1" x14ac:dyDescent="0.2">
      <c r="A34" s="2053"/>
      <c r="B34" s="2054"/>
      <c r="C34" s="2055"/>
      <c r="D34" s="2056"/>
      <c r="E34" s="3050"/>
      <c r="F34" s="3051"/>
      <c r="G34" s="3051"/>
      <c r="H34" s="3051"/>
      <c r="I34" s="3051"/>
      <c r="J34" s="3051"/>
      <c r="K34" s="3051"/>
      <c r="L34" s="3051"/>
      <c r="M34" s="3051"/>
      <c r="N34" s="3052"/>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9" t="s">
        <v>129</v>
      </c>
      <c r="AK34" s="1259" t="s">
        <v>130</v>
      </c>
      <c r="AL34" s="1259"/>
    </row>
    <row r="35" spans="1:38" ht="16.350000000000001" customHeight="1" x14ac:dyDescent="0.2">
      <c r="A35" s="2053"/>
      <c r="B35" s="2054"/>
      <c r="C35" s="2055"/>
      <c r="D35" s="2056"/>
      <c r="E35" s="3042"/>
      <c r="F35" s="3043"/>
      <c r="G35" s="3044"/>
      <c r="H35" s="3044"/>
      <c r="I35" s="3044"/>
      <c r="J35" s="3044"/>
      <c r="K35" s="3044"/>
      <c r="L35" s="3044"/>
      <c r="M35" s="3044"/>
      <c r="N35" s="3045"/>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9" t="s">
        <v>123</v>
      </c>
      <c r="AK35" s="1259" t="s">
        <v>126</v>
      </c>
      <c r="AL35" s="1259"/>
    </row>
    <row r="36" spans="1:38" ht="16.350000000000001" customHeight="1" x14ac:dyDescent="0.2">
      <c r="A36" s="2053"/>
      <c r="B36" s="2054"/>
      <c r="C36" s="2055"/>
      <c r="D36" s="2056"/>
      <c r="E36" s="3042"/>
      <c r="F36" s="3043"/>
      <c r="G36" s="3044"/>
      <c r="H36" s="3044"/>
      <c r="I36" s="3044"/>
      <c r="J36" s="3044"/>
      <c r="K36" s="3044"/>
      <c r="L36" s="3044"/>
      <c r="M36" s="3044"/>
      <c r="N36" s="3045"/>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9" t="s">
        <v>125</v>
      </c>
      <c r="AK36" s="1259" t="s">
        <v>129</v>
      </c>
      <c r="AL36" s="1259"/>
    </row>
    <row r="37" spans="1:38" ht="16.350000000000001" customHeight="1" x14ac:dyDescent="0.2">
      <c r="A37" s="2053"/>
      <c r="B37" s="2054"/>
      <c r="C37" s="2055"/>
      <c r="D37" s="2056"/>
      <c r="E37" s="3042"/>
      <c r="F37" s="3043"/>
      <c r="G37" s="3044"/>
      <c r="H37" s="3044"/>
      <c r="I37" s="3044"/>
      <c r="J37" s="3044"/>
      <c r="K37" s="3044"/>
      <c r="L37" s="3044"/>
      <c r="M37" s="3044"/>
      <c r="N37" s="3045"/>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9" t="s">
        <v>126</v>
      </c>
      <c r="AK37" s="1259" t="s">
        <v>128</v>
      </c>
      <c r="AL37" s="1259"/>
    </row>
    <row r="38" spans="1:38" ht="16.350000000000001" customHeight="1" x14ac:dyDescent="0.2">
      <c r="A38" s="2053"/>
      <c r="B38" s="2054"/>
      <c r="C38" s="2055"/>
      <c r="D38" s="2056"/>
      <c r="E38" s="3042"/>
      <c r="F38" s="3043"/>
      <c r="G38" s="3044"/>
      <c r="H38" s="3044"/>
      <c r="I38" s="3044"/>
      <c r="J38" s="3044"/>
      <c r="K38" s="3044"/>
      <c r="L38" s="3044"/>
      <c r="M38" s="3044"/>
      <c r="N38" s="3045"/>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9" t="s">
        <v>127</v>
      </c>
      <c r="AK38" s="1259" t="s">
        <v>122</v>
      </c>
      <c r="AL38" s="1259"/>
    </row>
    <row r="39" spans="1:38" ht="16.350000000000001" customHeight="1" x14ac:dyDescent="0.2">
      <c r="A39" s="2053"/>
      <c r="B39" s="2054"/>
      <c r="C39" s="2055"/>
      <c r="D39" s="2056"/>
      <c r="E39" s="3042"/>
      <c r="F39" s="3043"/>
      <c r="G39" s="3044"/>
      <c r="H39" s="3044"/>
      <c r="I39" s="3044"/>
      <c r="J39" s="3044"/>
      <c r="K39" s="3044"/>
      <c r="L39" s="3044"/>
      <c r="M39" s="3044"/>
      <c r="N39" s="3045"/>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9" t="s">
        <v>128</v>
      </c>
      <c r="AK39" s="1259" t="s">
        <v>123</v>
      </c>
      <c r="AL39" s="1259"/>
    </row>
    <row r="40" spans="1:38" ht="16.350000000000001" customHeight="1" x14ac:dyDescent="0.2">
      <c r="A40" s="2053"/>
      <c r="B40" s="2054"/>
      <c r="C40" s="2055"/>
      <c r="D40" s="2056"/>
      <c r="E40" s="3042"/>
      <c r="F40" s="3043"/>
      <c r="G40" s="3044"/>
      <c r="H40" s="3044"/>
      <c r="I40" s="3044"/>
      <c r="J40" s="3044"/>
      <c r="K40" s="3044"/>
      <c r="L40" s="3044"/>
      <c r="M40" s="3044"/>
      <c r="N40" s="3045"/>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9" t="s">
        <v>125</v>
      </c>
      <c r="AK40" s="1259" t="s">
        <v>130</v>
      </c>
      <c r="AL40" s="1259"/>
    </row>
    <row r="41" spans="1:38" ht="16.350000000000001" customHeight="1" x14ac:dyDescent="0.2">
      <c r="A41" s="2053"/>
      <c r="B41" s="2054"/>
      <c r="C41" s="2055"/>
      <c r="D41" s="2056"/>
      <c r="E41" s="3042"/>
      <c r="F41" s="3043"/>
      <c r="G41" s="3044"/>
      <c r="H41" s="3044"/>
      <c r="I41" s="3044"/>
      <c r="J41" s="3044"/>
      <c r="K41" s="3044"/>
      <c r="L41" s="3044"/>
      <c r="M41" s="3044"/>
      <c r="N41" s="3045"/>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9" t="s">
        <v>127</v>
      </c>
      <c r="AK41" s="1259" t="s">
        <v>123</v>
      </c>
      <c r="AL41" s="1259"/>
    </row>
    <row r="42" spans="1:38" ht="16.350000000000001" customHeight="1" x14ac:dyDescent="0.2">
      <c r="A42" s="2053"/>
      <c r="B42" s="2054"/>
      <c r="C42" s="2055"/>
      <c r="D42" s="2056"/>
      <c r="E42" s="3042"/>
      <c r="F42" s="3043"/>
      <c r="G42" s="3044"/>
      <c r="H42" s="3044"/>
      <c r="I42" s="3044"/>
      <c r="J42" s="3044"/>
      <c r="K42" s="3044"/>
      <c r="L42" s="3044"/>
      <c r="M42" s="3044"/>
      <c r="N42" s="3045"/>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9" t="s">
        <v>124</v>
      </c>
      <c r="AK42" s="1259" t="s">
        <v>122</v>
      </c>
      <c r="AL42" s="1259"/>
    </row>
    <row r="43" spans="1:38" ht="16.350000000000001" customHeight="1" x14ac:dyDescent="0.2">
      <c r="A43" s="2053"/>
      <c r="B43" s="2054"/>
      <c r="C43" s="2055"/>
      <c r="D43" s="2056"/>
      <c r="E43" s="3042"/>
      <c r="F43" s="3043"/>
      <c r="G43" s="3044"/>
      <c r="H43" s="3044"/>
      <c r="I43" s="3044"/>
      <c r="J43" s="3044"/>
      <c r="K43" s="3044"/>
      <c r="L43" s="3044"/>
      <c r="M43" s="3044"/>
      <c r="N43" s="3045"/>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9" t="s">
        <v>126</v>
      </c>
      <c r="AK43" s="1259" t="s">
        <v>130</v>
      </c>
      <c r="AL43" s="1259"/>
    </row>
    <row r="44" spans="1:38" ht="16.350000000000001" customHeight="1" x14ac:dyDescent="0.2">
      <c r="A44" s="2053"/>
      <c r="B44" s="2054"/>
      <c r="C44" s="2055"/>
      <c r="D44" s="2056"/>
      <c r="E44" s="3042"/>
      <c r="F44" s="3043"/>
      <c r="G44" s="3044"/>
      <c r="H44" s="3044"/>
      <c r="I44" s="3044"/>
      <c r="J44" s="3044"/>
      <c r="K44" s="3044"/>
      <c r="L44" s="3044"/>
      <c r="M44" s="3044"/>
      <c r="N44" s="3045"/>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9" t="s">
        <v>122</v>
      </c>
      <c r="AK44" s="1259" t="s">
        <v>129</v>
      </c>
      <c r="AL44" s="1259"/>
    </row>
    <row r="45" spans="1:38" ht="16.350000000000001" customHeight="1" x14ac:dyDescent="0.2">
      <c r="A45" s="2053"/>
      <c r="B45" s="2054"/>
      <c r="C45" s="2055"/>
      <c r="D45" s="2056"/>
      <c r="E45" s="3042"/>
      <c r="F45" s="3043"/>
      <c r="G45" s="3044"/>
      <c r="H45" s="3044"/>
      <c r="I45" s="3044"/>
      <c r="J45" s="3044"/>
      <c r="K45" s="3044"/>
      <c r="L45" s="3044"/>
      <c r="M45" s="3044"/>
      <c r="N45" s="3045"/>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9" t="s">
        <v>125</v>
      </c>
      <c r="AK45" s="1259" t="s">
        <v>123</v>
      </c>
      <c r="AL45" s="1259"/>
    </row>
    <row r="46" spans="1:38" ht="16.350000000000001" customHeight="1" x14ac:dyDescent="0.2">
      <c r="A46" s="2053"/>
      <c r="B46" s="2054"/>
      <c r="C46" s="2055"/>
      <c r="D46" s="2056"/>
      <c r="E46" s="3042"/>
      <c r="F46" s="3043"/>
      <c r="G46" s="3044"/>
      <c r="H46" s="3044"/>
      <c r="I46" s="3044"/>
      <c r="J46" s="3044"/>
      <c r="K46" s="3044"/>
      <c r="L46" s="3044"/>
      <c r="M46" s="3044"/>
      <c r="N46" s="3045"/>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9" t="s">
        <v>127</v>
      </c>
      <c r="AK46" s="1259" t="s">
        <v>130</v>
      </c>
      <c r="AL46" s="1259"/>
    </row>
    <row r="47" spans="1:38" ht="16.350000000000001" customHeight="1" x14ac:dyDescent="0.2">
      <c r="A47" s="2053"/>
      <c r="B47" s="2054"/>
      <c r="C47" s="2055"/>
      <c r="D47" s="2056"/>
      <c r="E47" s="3042"/>
      <c r="F47" s="3043"/>
      <c r="G47" s="3044"/>
      <c r="H47" s="3044"/>
      <c r="I47" s="3044"/>
      <c r="J47" s="3044"/>
      <c r="K47" s="3044"/>
      <c r="L47" s="3044"/>
      <c r="M47" s="3044"/>
      <c r="N47" s="3045"/>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9" t="s">
        <v>126</v>
      </c>
      <c r="AK47" s="1259" t="s">
        <v>124</v>
      </c>
      <c r="AL47" s="1259"/>
    </row>
    <row r="48" spans="1:38" ht="16.350000000000001" customHeight="1" x14ac:dyDescent="0.2">
      <c r="A48" s="2053"/>
      <c r="B48" s="2054"/>
      <c r="C48" s="2055"/>
      <c r="D48" s="2056"/>
      <c r="E48" s="3042"/>
      <c r="F48" s="3043"/>
      <c r="G48" s="3044"/>
      <c r="H48" s="3044"/>
      <c r="I48" s="3044"/>
      <c r="J48" s="3044"/>
      <c r="K48" s="3044"/>
      <c r="L48" s="3044"/>
      <c r="M48" s="3044"/>
      <c r="N48" s="3045"/>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9" t="s">
        <v>129</v>
      </c>
      <c r="AK48" s="1259" t="s">
        <v>127</v>
      </c>
      <c r="AL48" s="1259"/>
    </row>
    <row r="49" spans="1:38" ht="16.350000000000001" customHeight="1" x14ac:dyDescent="0.2">
      <c r="A49" s="2057"/>
      <c r="B49" s="2058"/>
      <c r="C49" s="2059"/>
      <c r="D49" s="2060"/>
      <c r="E49" s="3046"/>
      <c r="F49" s="3047"/>
      <c r="G49" s="3048"/>
      <c r="H49" s="3048"/>
      <c r="I49" s="3048"/>
      <c r="J49" s="3048"/>
      <c r="K49" s="3048"/>
      <c r="L49" s="3048"/>
      <c r="M49" s="3048"/>
      <c r="N49" s="3049"/>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9" t="s">
        <v>130</v>
      </c>
      <c r="AK49" s="1259" t="s">
        <v>128</v>
      </c>
      <c r="AL49" s="1259"/>
    </row>
    <row r="50" spans="1:38" ht="15.95" customHeight="1" x14ac:dyDescent="0.2"/>
    <row r="51" spans="1:38" ht="15.95" customHeight="1" x14ac:dyDescent="0.2"/>
    <row r="52" spans="1:38" ht="15.95" customHeight="1" x14ac:dyDescent="0.2"/>
    <row r="53" spans="1:38" ht="15.95"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73" t="s">
        <v>1062</v>
      </c>
    </row>
    <row r="60" spans="1:38" ht="12.6" hidden="1" customHeight="1" x14ac:dyDescent="0.2">
      <c r="A60" s="1128" t="s">
        <v>74</v>
      </c>
    </row>
    <row r="61" spans="1:38" ht="12.6" hidden="1" customHeight="1" x14ac:dyDescent="0.2">
      <c r="A61" s="1130" t="s">
        <v>1161</v>
      </c>
    </row>
    <row r="62" spans="1:38" ht="12.6" hidden="1" customHeight="1" x14ac:dyDescent="0.2"/>
    <row r="63" spans="1:38" ht="12.6" hidden="1" customHeight="1" x14ac:dyDescent="0.2"/>
    <row r="64" spans="1:38" ht="12.6" hidden="1" customHeight="1" x14ac:dyDescent="0.2"/>
    <row r="65" spans="1:1" ht="12.6" customHeight="1" x14ac:dyDescent="0.2">
      <c r="A65" s="973" t="s">
        <v>1063</v>
      </c>
    </row>
    <row r="66" spans="1:1" ht="12.6" customHeight="1" x14ac:dyDescent="0.2"/>
    <row r="67" spans="1:1" ht="12.6" customHeight="1" x14ac:dyDescent="0.2"/>
  </sheetData>
  <sheetProtection algorithmName="SHA-512" hashValue="rE/K74kGGwkQTD7DnpU40SihI33FbrdW7hhBlVWmk53uZnh33W54dVtKUYF6aYbnA0VRGn1Y9Bd7Hh365IV0qA==" saltValue="bUu/utnb/paB+4PA0si85w=="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1453" priority="1" stopIfTrue="1" operator="equal">
      <formula>""</formula>
    </cfRule>
  </conditionalFormatting>
  <conditionalFormatting sqref="E13:N49">
    <cfRule type="expression" dxfId="1452" priority="2" stopIfTrue="1">
      <formula>LEN(E13)&gt;20</formula>
    </cfRule>
  </conditionalFormatting>
  <dataValidations count="3">
    <dataValidation type="list" allowBlank="1" showInputMessage="1" showErrorMessage="1" sqref="D13:D49">
      <formula1>IF(AH13,$T$1:$T$1,$Z13:$AF13)</formula1>
    </dataValidation>
    <dataValidation type="list" allowBlank="1" showInputMessage="1" showErrorMessage="1" sqref="C13:C49">
      <formula1>IF(AG13,$T$1,$R13:$Y13)</formula1>
    </dataValidation>
    <dataValidation type="list" allowBlank="1" showErrorMessage="1" sqref="B13:B49">
      <formula1>$R$1:$R$9</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31"/>
  </sheetPr>
  <dimension ref="A1:AL65"/>
  <sheetViews>
    <sheetView showGridLines="0" topLeftCell="A7"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13 of 42</v>
      </c>
      <c r="M7" s="822"/>
      <c r="N7" s="473"/>
      <c r="O7" s="473"/>
      <c r="P7" s="566"/>
      <c r="R7" s="1393">
        <v>13</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1262</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1263</v>
      </c>
      <c r="B15" s="2064">
        <v>0</v>
      </c>
      <c r="C15" s="2065">
        <v>0</v>
      </c>
      <c r="D15" s="2065" t="s">
        <v>1264</v>
      </c>
      <c r="E15" s="2065" t="s">
        <v>1264</v>
      </c>
      <c r="F15" s="2065" t="s">
        <v>1264</v>
      </c>
      <c r="G15" s="2065" t="s">
        <v>1264</v>
      </c>
      <c r="H15" s="2065"/>
      <c r="I15" s="2065"/>
      <c r="J15" s="2065"/>
      <c r="K15" s="2065"/>
      <c r="L15" s="2065"/>
      <c r="M15" s="2065"/>
      <c r="N15" s="2065"/>
      <c r="O15" s="2066"/>
      <c r="P15" s="821">
        <f t="shared" si="0"/>
        <v>0</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12" t="b">
        <v>0</v>
      </c>
    </row>
    <row r="16" spans="1:38" ht="15.95" customHeight="1" x14ac:dyDescent="0.2">
      <c r="A16" s="2018" t="s">
        <v>1265</v>
      </c>
      <c r="B16" s="2064">
        <v>0</v>
      </c>
      <c r="C16" s="2065" t="s">
        <v>1264</v>
      </c>
      <c r="D16" s="2065" t="s">
        <v>1264</v>
      </c>
      <c r="E16" s="2065" t="s">
        <v>1264</v>
      </c>
      <c r="F16" s="2065" t="s">
        <v>1264</v>
      </c>
      <c r="G16" s="2065" t="s">
        <v>1264</v>
      </c>
      <c r="H16" s="2065"/>
      <c r="I16" s="2065"/>
      <c r="J16" s="2065"/>
      <c r="K16" s="2065"/>
      <c r="L16" s="2065"/>
      <c r="M16" s="2065"/>
      <c r="N16" s="2065"/>
      <c r="O16" s="2066"/>
      <c r="P16" s="821">
        <f t="shared" si="0"/>
        <v>0</v>
      </c>
      <c r="R16" s="43"/>
      <c r="S16" s="43"/>
      <c r="T16" s="43"/>
      <c r="U16" s="43"/>
      <c r="V16" s="43"/>
      <c r="W16" s="43"/>
      <c r="X16" s="43"/>
      <c r="Y16" s="43"/>
      <c r="Z16" s="43"/>
      <c r="AA16" s="43"/>
      <c r="AB16" s="43"/>
      <c r="AC16" s="43"/>
      <c r="AD16" s="43"/>
      <c r="AE16" s="43"/>
      <c r="AF16" s="99" t="s">
        <v>475</v>
      </c>
      <c r="AG16" s="98" t="b">
        <f t="shared" si="1"/>
        <v>0</v>
      </c>
      <c r="AH16" s="1312" t="b">
        <v>0</v>
      </c>
    </row>
    <row r="17" spans="1:34" ht="15.95" customHeight="1" x14ac:dyDescent="0.2">
      <c r="A17" s="2018" t="s">
        <v>1266</v>
      </c>
      <c r="B17" s="2064">
        <v>0</v>
      </c>
      <c r="C17" s="2065" t="s">
        <v>1264</v>
      </c>
      <c r="D17" s="2065" t="s">
        <v>1264</v>
      </c>
      <c r="E17" s="2065" t="s">
        <v>1264</v>
      </c>
      <c r="F17" s="2065" t="s">
        <v>1264</v>
      </c>
      <c r="G17" s="2065" t="s">
        <v>1264</v>
      </c>
      <c r="H17" s="2065"/>
      <c r="I17" s="2065"/>
      <c r="J17" s="2065"/>
      <c r="K17" s="2065"/>
      <c r="L17" s="2065"/>
      <c r="M17" s="2065"/>
      <c r="N17" s="2065"/>
      <c r="O17" s="2066"/>
      <c r="P17" s="821">
        <f t="shared" si="0"/>
        <v>0</v>
      </c>
      <c r="R17" s="43"/>
      <c r="S17" s="43"/>
      <c r="T17" s="43"/>
      <c r="U17" s="43"/>
      <c r="V17" s="43"/>
      <c r="W17" s="43"/>
      <c r="X17" s="43"/>
      <c r="Y17" s="43"/>
      <c r="Z17" s="43"/>
      <c r="AA17" s="43"/>
      <c r="AB17" s="43"/>
      <c r="AC17" s="43"/>
      <c r="AD17" s="43"/>
      <c r="AE17" s="43"/>
      <c r="AF17" s="99" t="s">
        <v>475</v>
      </c>
      <c r="AG17" s="98" t="b">
        <f t="shared" si="1"/>
        <v>0</v>
      </c>
      <c r="AH17" s="1312" t="b">
        <v>0</v>
      </c>
    </row>
    <row r="18" spans="1:34" ht="15.95" customHeight="1" x14ac:dyDescent="0.2">
      <c r="A18" s="2018" t="s">
        <v>1267</v>
      </c>
      <c r="B18" s="2064">
        <v>0</v>
      </c>
      <c r="C18" s="2065" t="s">
        <v>1264</v>
      </c>
      <c r="D18" s="2065" t="s">
        <v>1264</v>
      </c>
      <c r="E18" s="2065" t="s">
        <v>1264</v>
      </c>
      <c r="F18" s="2065" t="s">
        <v>1264</v>
      </c>
      <c r="G18" s="2065" t="s">
        <v>1264</v>
      </c>
      <c r="H18" s="2065"/>
      <c r="I18" s="2065"/>
      <c r="J18" s="2065"/>
      <c r="K18" s="2065"/>
      <c r="L18" s="2065"/>
      <c r="M18" s="2065"/>
      <c r="N18" s="2065"/>
      <c r="O18" s="2066"/>
      <c r="P18" s="821">
        <f t="shared" si="0"/>
        <v>0</v>
      </c>
      <c r="R18" s="43"/>
      <c r="S18" s="43"/>
      <c r="T18" s="43"/>
      <c r="U18" s="43"/>
      <c r="V18" s="43"/>
      <c r="W18" s="43"/>
      <c r="X18" s="43"/>
      <c r="Y18" s="43"/>
      <c r="Z18" s="43"/>
      <c r="AA18" s="43"/>
      <c r="AB18" s="43"/>
      <c r="AC18" s="43"/>
      <c r="AD18" s="43"/>
      <c r="AE18" s="43"/>
      <c r="AF18" s="99" t="s">
        <v>475</v>
      </c>
      <c r="AG18" s="98" t="b">
        <f t="shared" si="1"/>
        <v>0</v>
      </c>
      <c r="AH18" s="1312" t="b">
        <v>0</v>
      </c>
    </row>
    <row r="19" spans="1:34" ht="15.95" customHeight="1" x14ac:dyDescent="0.2">
      <c r="A19" s="2018" t="s">
        <v>1268</v>
      </c>
      <c r="B19" s="2064">
        <v>0</v>
      </c>
      <c r="C19" s="2065">
        <v>0</v>
      </c>
      <c r="D19" s="2065" t="s">
        <v>1264</v>
      </c>
      <c r="E19" s="2065" t="s">
        <v>1264</v>
      </c>
      <c r="F19" s="2065" t="s">
        <v>1264</v>
      </c>
      <c r="G19" s="2065" t="s">
        <v>1264</v>
      </c>
      <c r="H19" s="2065"/>
      <c r="I19" s="2065"/>
      <c r="J19" s="2065"/>
      <c r="K19" s="2065"/>
      <c r="L19" s="2065"/>
      <c r="M19" s="2065"/>
      <c r="N19" s="2065"/>
      <c r="O19" s="2066"/>
      <c r="P19" s="821">
        <f t="shared" si="0"/>
        <v>0</v>
      </c>
      <c r="R19" s="43"/>
      <c r="S19" s="43"/>
      <c r="T19" s="43"/>
      <c r="U19" s="43"/>
      <c r="V19" s="43"/>
      <c r="W19" s="43"/>
      <c r="X19" s="43"/>
      <c r="Y19" s="43"/>
      <c r="Z19" s="43"/>
      <c r="AA19" s="43"/>
      <c r="AB19" s="43"/>
      <c r="AC19" s="43"/>
      <c r="AD19" s="43"/>
      <c r="AE19" s="43"/>
      <c r="AF19" s="99" t="s">
        <v>475</v>
      </c>
      <c r="AG19" s="98" t="b">
        <f t="shared" si="1"/>
        <v>0</v>
      </c>
      <c r="AH19" s="1312" t="b">
        <v>0</v>
      </c>
    </row>
    <row r="20" spans="1:34" ht="15.95" customHeight="1" x14ac:dyDescent="0.2">
      <c r="A20" s="2018" t="s">
        <v>1269</v>
      </c>
      <c r="B20" s="2064">
        <v>0</v>
      </c>
      <c r="C20" s="2065">
        <v>0</v>
      </c>
      <c r="D20" s="2065" t="s">
        <v>1264</v>
      </c>
      <c r="E20" s="2065" t="s">
        <v>1264</v>
      </c>
      <c r="F20" s="2065" t="s">
        <v>1264</v>
      </c>
      <c r="G20" s="2065" t="s">
        <v>1264</v>
      </c>
      <c r="H20" s="2065"/>
      <c r="I20" s="2065"/>
      <c r="J20" s="2065"/>
      <c r="K20" s="2065"/>
      <c r="L20" s="2065"/>
      <c r="M20" s="2065"/>
      <c r="N20" s="2065"/>
      <c r="O20" s="2066"/>
      <c r="P20" s="821">
        <f t="shared" si="0"/>
        <v>0</v>
      </c>
      <c r="R20" s="43"/>
      <c r="S20" s="43"/>
      <c r="T20" s="43"/>
      <c r="U20" s="43"/>
      <c r="V20" s="43"/>
      <c r="W20" s="43"/>
      <c r="X20" s="43"/>
      <c r="Y20" s="43"/>
      <c r="Z20" s="43"/>
      <c r="AA20" s="43"/>
      <c r="AB20" s="43"/>
      <c r="AC20" s="43"/>
      <c r="AD20" s="43"/>
      <c r="AE20" s="43"/>
      <c r="AF20" s="99" t="s">
        <v>475</v>
      </c>
      <c r="AG20" s="98" t="b">
        <f t="shared" si="1"/>
        <v>0</v>
      </c>
      <c r="AH20" s="1312" t="b">
        <v>0</v>
      </c>
    </row>
    <row r="21" spans="1:34" ht="15.95" customHeight="1" x14ac:dyDescent="0.2">
      <c r="A21" s="2018" t="s">
        <v>1270</v>
      </c>
      <c r="B21" s="2064">
        <v>0</v>
      </c>
      <c r="C21" s="2065">
        <v>0</v>
      </c>
      <c r="D21" s="2065" t="s">
        <v>1264</v>
      </c>
      <c r="E21" s="2065" t="s">
        <v>1264</v>
      </c>
      <c r="F21" s="2065" t="s">
        <v>1264</v>
      </c>
      <c r="G21" s="2065" t="s">
        <v>1264</v>
      </c>
      <c r="H21" s="2065"/>
      <c r="I21" s="2065"/>
      <c r="J21" s="2065"/>
      <c r="K21" s="2065"/>
      <c r="L21" s="2065"/>
      <c r="M21" s="2065"/>
      <c r="N21" s="2065"/>
      <c r="O21" s="2066"/>
      <c r="P21" s="821">
        <f t="shared" si="0"/>
        <v>0</v>
      </c>
      <c r="R21" s="43"/>
      <c r="S21" s="43"/>
      <c r="T21" s="43"/>
      <c r="U21" s="43"/>
      <c r="V21" s="43"/>
      <c r="W21" s="43"/>
      <c r="X21" s="43"/>
      <c r="Y21" s="43"/>
      <c r="Z21" s="43"/>
      <c r="AA21" s="43"/>
      <c r="AB21" s="43"/>
      <c r="AC21" s="43"/>
      <c r="AD21" s="43"/>
      <c r="AE21" s="43"/>
      <c r="AF21" s="99" t="s">
        <v>475</v>
      </c>
      <c r="AG21" s="98" t="b">
        <f t="shared" si="1"/>
        <v>0</v>
      </c>
      <c r="AH21" s="1312" t="b">
        <v>0</v>
      </c>
    </row>
    <row r="22" spans="1:34" ht="15.95" customHeight="1" x14ac:dyDescent="0.2">
      <c r="A22" s="2018" t="s">
        <v>1271</v>
      </c>
      <c r="B22" s="2064">
        <v>0</v>
      </c>
      <c r="C22" s="2065">
        <v>0</v>
      </c>
      <c r="D22" s="2065">
        <v>16</v>
      </c>
      <c r="E22" s="2065">
        <v>9</v>
      </c>
      <c r="F22" s="2065">
        <v>6</v>
      </c>
      <c r="G22" s="2065">
        <v>9</v>
      </c>
      <c r="H22" s="2065"/>
      <c r="I22" s="2065"/>
      <c r="J22" s="2065"/>
      <c r="K22" s="2065"/>
      <c r="L22" s="2065"/>
      <c r="M22" s="2065"/>
      <c r="N22" s="2065"/>
      <c r="O22" s="2066"/>
      <c r="P22" s="821">
        <f t="shared" si="0"/>
        <v>40</v>
      </c>
      <c r="R22" s="43"/>
      <c r="S22" s="43"/>
      <c r="T22" s="43"/>
      <c r="U22" s="43"/>
      <c r="V22" s="43"/>
      <c r="W22" s="43"/>
      <c r="X22" s="43"/>
      <c r="Y22" s="43"/>
      <c r="Z22" s="43"/>
      <c r="AA22" s="43"/>
      <c r="AB22" s="43"/>
      <c r="AC22" s="43"/>
      <c r="AD22" s="43"/>
      <c r="AE22" s="43"/>
      <c r="AF22" s="99" t="s">
        <v>475</v>
      </c>
      <c r="AG22" s="98" t="b">
        <f t="shared" si="1"/>
        <v>1</v>
      </c>
      <c r="AH22" s="1312" t="b">
        <v>0</v>
      </c>
    </row>
    <row r="23" spans="1:34" ht="15.95" customHeight="1" x14ac:dyDescent="0.2">
      <c r="A23" s="2018" t="s">
        <v>1272</v>
      </c>
      <c r="B23" s="2064">
        <v>0</v>
      </c>
      <c r="C23" s="2065" t="s">
        <v>1264</v>
      </c>
      <c r="D23" s="2065" t="s">
        <v>1264</v>
      </c>
      <c r="E23" s="2065" t="s">
        <v>1264</v>
      </c>
      <c r="F23" s="2065" t="s">
        <v>1264</v>
      </c>
      <c r="G23" s="2065" t="s">
        <v>1264</v>
      </c>
      <c r="H23" s="2065"/>
      <c r="I23" s="2065"/>
      <c r="J23" s="2065"/>
      <c r="K23" s="2065"/>
      <c r="L23" s="2065"/>
      <c r="M23" s="2065"/>
      <c r="N23" s="2065"/>
      <c r="O23" s="2066"/>
      <c r="P23" s="821">
        <f t="shared" si="0"/>
        <v>0</v>
      </c>
      <c r="R23" s="43"/>
      <c r="S23" s="43"/>
      <c r="T23" s="43"/>
      <c r="U23" s="43"/>
      <c r="V23" s="43"/>
      <c r="W23" s="43"/>
      <c r="X23" s="43"/>
      <c r="Y23" s="43"/>
      <c r="Z23" s="43"/>
      <c r="AA23" s="43"/>
      <c r="AB23" s="43"/>
      <c r="AC23" s="43"/>
      <c r="AD23" s="43"/>
      <c r="AE23" s="43"/>
      <c r="AF23" s="99" t="s">
        <v>475</v>
      </c>
      <c r="AG23" s="98" t="b">
        <f t="shared" si="1"/>
        <v>0</v>
      </c>
      <c r="AH23" s="1312" t="b">
        <v>0</v>
      </c>
    </row>
    <row r="24" spans="1:34" ht="15.95" customHeight="1" x14ac:dyDescent="0.2">
      <c r="A24" s="2018" t="s">
        <v>1273</v>
      </c>
      <c r="B24" s="2064">
        <v>0</v>
      </c>
      <c r="C24" s="2065" t="s">
        <v>1264</v>
      </c>
      <c r="D24" s="2065" t="s">
        <v>1264</v>
      </c>
      <c r="E24" s="2065" t="s">
        <v>1264</v>
      </c>
      <c r="F24" s="2065" t="s">
        <v>1264</v>
      </c>
      <c r="G24" s="2065" t="s">
        <v>1264</v>
      </c>
      <c r="H24" s="2065"/>
      <c r="I24" s="2065"/>
      <c r="J24" s="2065"/>
      <c r="K24" s="2065"/>
      <c r="L24" s="2065"/>
      <c r="M24" s="2065"/>
      <c r="N24" s="2065"/>
      <c r="O24" s="2066"/>
      <c r="P24" s="821">
        <f t="shared" si="0"/>
        <v>0</v>
      </c>
      <c r="R24" s="43"/>
      <c r="S24" s="43"/>
      <c r="T24" s="43"/>
      <c r="U24" s="43"/>
      <c r="V24" s="43"/>
      <c r="W24" s="43"/>
      <c r="X24" s="43"/>
      <c r="Y24" s="43"/>
      <c r="Z24" s="43"/>
      <c r="AA24" s="43"/>
      <c r="AB24" s="43"/>
      <c r="AC24" s="43"/>
      <c r="AD24" s="43"/>
      <c r="AE24" s="43"/>
      <c r="AF24" s="99" t="s">
        <v>475</v>
      </c>
      <c r="AG24" s="98" t="b">
        <f t="shared" si="1"/>
        <v>0</v>
      </c>
      <c r="AH24" s="1312" t="b">
        <v>0</v>
      </c>
    </row>
    <row r="25" spans="1:34" ht="15.95" customHeight="1" x14ac:dyDescent="0.2">
      <c r="A25" s="2018" t="s">
        <v>1274</v>
      </c>
      <c r="B25" s="2064" t="s">
        <v>1264</v>
      </c>
      <c r="C25" s="2065">
        <v>0</v>
      </c>
      <c r="D25" s="2065" t="s">
        <v>1264</v>
      </c>
      <c r="E25" s="2065" t="s">
        <v>1264</v>
      </c>
      <c r="F25" s="2065" t="s">
        <v>1264</v>
      </c>
      <c r="G25" s="2065" t="s">
        <v>1264</v>
      </c>
      <c r="H25" s="2065"/>
      <c r="I25" s="2065"/>
      <c r="J25" s="2065"/>
      <c r="K25" s="2065"/>
      <c r="L25" s="2065"/>
      <c r="M25" s="2065"/>
      <c r="N25" s="2065"/>
      <c r="O25" s="2066"/>
      <c r="P25" s="821">
        <f t="shared" si="0"/>
        <v>0</v>
      </c>
      <c r="R25" s="43"/>
      <c r="S25" s="43"/>
      <c r="T25" s="43"/>
      <c r="U25" s="43"/>
      <c r="V25" s="43"/>
      <c r="W25" s="43"/>
      <c r="X25" s="43"/>
      <c r="Y25" s="43"/>
      <c r="Z25" s="43"/>
      <c r="AA25" s="43"/>
      <c r="AB25" s="43"/>
      <c r="AC25" s="43"/>
      <c r="AD25" s="43"/>
      <c r="AE25" s="43"/>
      <c r="AF25" s="99" t="s">
        <v>475</v>
      </c>
      <c r="AG25" s="98" t="b">
        <f t="shared" si="1"/>
        <v>0</v>
      </c>
      <c r="AH25" s="1312" t="b">
        <v>0</v>
      </c>
    </row>
    <row r="26" spans="1:34" ht="15.95" customHeight="1" x14ac:dyDescent="0.2">
      <c r="A26" s="2018" t="s">
        <v>1275</v>
      </c>
      <c r="B26" s="2064" t="s">
        <v>1264</v>
      </c>
      <c r="C26" s="2065">
        <v>0</v>
      </c>
      <c r="D26" s="2065" t="s">
        <v>1264</v>
      </c>
      <c r="E26" s="2065" t="s">
        <v>1264</v>
      </c>
      <c r="F26" s="2065" t="s">
        <v>1264</v>
      </c>
      <c r="G26" s="2065" t="s">
        <v>1264</v>
      </c>
      <c r="H26" s="2065"/>
      <c r="I26" s="2065"/>
      <c r="J26" s="2065"/>
      <c r="K26" s="2065"/>
      <c r="L26" s="2065"/>
      <c r="M26" s="2065"/>
      <c r="N26" s="2065"/>
      <c r="O26" s="2066"/>
      <c r="P26" s="821">
        <f t="shared" si="0"/>
        <v>0</v>
      </c>
      <c r="R26" s="43"/>
      <c r="S26" s="43"/>
      <c r="T26" s="43"/>
      <c r="U26" s="43"/>
      <c r="V26" s="43"/>
      <c r="W26" s="43"/>
      <c r="X26" s="43"/>
      <c r="Y26" s="43"/>
      <c r="Z26" s="43"/>
      <c r="AA26" s="43"/>
      <c r="AB26" s="43"/>
      <c r="AC26" s="43"/>
      <c r="AD26" s="43"/>
      <c r="AE26" s="43"/>
      <c r="AF26" s="99" t="s">
        <v>475</v>
      </c>
      <c r="AG26" s="98" t="b">
        <f t="shared" si="1"/>
        <v>0</v>
      </c>
      <c r="AH26" s="1312" t="b">
        <v>0</v>
      </c>
    </row>
    <row r="27" spans="1:34" ht="15.95" customHeight="1" x14ac:dyDescent="0.2">
      <c r="A27" s="2018" t="s">
        <v>1276</v>
      </c>
      <c r="B27" s="2064" t="s">
        <v>1264</v>
      </c>
      <c r="C27" s="2065">
        <v>0</v>
      </c>
      <c r="D27" s="2065" t="s">
        <v>1264</v>
      </c>
      <c r="E27" s="2065" t="s">
        <v>1264</v>
      </c>
      <c r="F27" s="2065" t="s">
        <v>1264</v>
      </c>
      <c r="G27" s="2065" t="s">
        <v>1264</v>
      </c>
      <c r="H27" s="2065"/>
      <c r="I27" s="2065"/>
      <c r="J27" s="2065"/>
      <c r="K27" s="2065"/>
      <c r="L27" s="2065"/>
      <c r="M27" s="2065"/>
      <c r="N27" s="2065"/>
      <c r="O27" s="2066"/>
      <c r="P27" s="821">
        <f t="shared" si="0"/>
        <v>0</v>
      </c>
      <c r="R27" s="43"/>
      <c r="S27" s="43"/>
      <c r="T27" s="43"/>
      <c r="U27" s="43"/>
      <c r="V27" s="43"/>
      <c r="W27" s="43"/>
      <c r="X27" s="43"/>
      <c r="Y27" s="43"/>
      <c r="Z27" s="43"/>
      <c r="AA27" s="43"/>
      <c r="AB27" s="43"/>
      <c r="AC27" s="43"/>
      <c r="AD27" s="43"/>
      <c r="AE27" s="43"/>
      <c r="AF27" s="99" t="s">
        <v>475</v>
      </c>
      <c r="AG27" s="98" t="b">
        <f t="shared" si="1"/>
        <v>0</v>
      </c>
      <c r="AH27" s="1312" t="b">
        <v>0</v>
      </c>
    </row>
    <row r="28" spans="1:34" ht="15.95" customHeight="1" x14ac:dyDescent="0.2">
      <c r="A28" s="2018" t="s">
        <v>1277</v>
      </c>
      <c r="B28" s="2064" t="s">
        <v>1264</v>
      </c>
      <c r="C28" s="2065">
        <v>0</v>
      </c>
      <c r="D28" s="2065" t="s">
        <v>1264</v>
      </c>
      <c r="E28" s="2065" t="s">
        <v>1264</v>
      </c>
      <c r="F28" s="2065" t="s">
        <v>1264</v>
      </c>
      <c r="G28" s="2065" t="s">
        <v>1264</v>
      </c>
      <c r="H28" s="2065"/>
      <c r="I28" s="2065"/>
      <c r="J28" s="2065"/>
      <c r="K28" s="2065"/>
      <c r="L28" s="2065"/>
      <c r="M28" s="2065"/>
      <c r="N28" s="2065"/>
      <c r="O28" s="2066"/>
      <c r="P28" s="821">
        <f t="shared" si="0"/>
        <v>0</v>
      </c>
      <c r="R28" s="43"/>
      <c r="S28" s="43"/>
      <c r="T28" s="43"/>
      <c r="U28" s="43"/>
      <c r="V28" s="43"/>
      <c r="W28" s="43"/>
      <c r="X28" s="43"/>
      <c r="Y28" s="43"/>
      <c r="Z28" s="43"/>
      <c r="AA28" s="43"/>
      <c r="AB28" s="43"/>
      <c r="AC28" s="43"/>
      <c r="AD28" s="43"/>
      <c r="AE28" s="43"/>
      <c r="AF28" s="99" t="s">
        <v>475</v>
      </c>
      <c r="AG28" s="98" t="b">
        <f t="shared" si="1"/>
        <v>0</v>
      </c>
      <c r="AH28" s="1312" t="b">
        <v>0</v>
      </c>
    </row>
    <row r="29" spans="1:34" ht="15.95" customHeight="1" x14ac:dyDescent="0.2">
      <c r="A29" s="2018" t="s">
        <v>1278</v>
      </c>
      <c r="B29" s="2064" t="s">
        <v>1264</v>
      </c>
      <c r="C29" s="2065">
        <v>0</v>
      </c>
      <c r="D29" s="2065" t="s">
        <v>1264</v>
      </c>
      <c r="E29" s="2065" t="s">
        <v>1264</v>
      </c>
      <c r="F29" s="2065" t="s">
        <v>1264</v>
      </c>
      <c r="G29" s="2065" t="s">
        <v>1264</v>
      </c>
      <c r="H29" s="2065"/>
      <c r="I29" s="2065"/>
      <c r="J29" s="2065"/>
      <c r="K29" s="2065"/>
      <c r="L29" s="2065"/>
      <c r="M29" s="2065"/>
      <c r="N29" s="2065"/>
      <c r="O29" s="2066"/>
      <c r="P29" s="821">
        <f t="shared" si="0"/>
        <v>0</v>
      </c>
      <c r="R29" s="43"/>
      <c r="S29" s="43"/>
      <c r="T29" s="43"/>
      <c r="U29" s="43"/>
      <c r="V29" s="43"/>
      <c r="W29" s="43"/>
      <c r="X29" s="43"/>
      <c r="Y29" s="43"/>
      <c r="Z29" s="43"/>
      <c r="AA29" s="43"/>
      <c r="AB29" s="43"/>
      <c r="AC29" s="43"/>
      <c r="AD29" s="43"/>
      <c r="AE29" s="43"/>
      <c r="AF29" s="99" t="s">
        <v>475</v>
      </c>
      <c r="AG29" s="98" t="b">
        <f t="shared" si="1"/>
        <v>0</v>
      </c>
      <c r="AH29" s="1312" t="b">
        <v>0</v>
      </c>
    </row>
    <row r="30" spans="1:34" ht="15.95" customHeight="1" x14ac:dyDescent="0.2">
      <c r="A30" s="2018" t="s">
        <v>1279</v>
      </c>
      <c r="B30" s="2064" t="s">
        <v>1264</v>
      </c>
      <c r="C30" s="2065" t="s">
        <v>1264</v>
      </c>
      <c r="D30" s="2065">
        <v>1</v>
      </c>
      <c r="E30" s="2065" t="s">
        <v>1264</v>
      </c>
      <c r="F30" s="2065" t="s">
        <v>1264</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475</v>
      </c>
      <c r="AG30" s="98" t="b">
        <f t="shared" si="1"/>
        <v>1</v>
      </c>
      <c r="AH30" s="1312" t="b">
        <v>0</v>
      </c>
    </row>
    <row r="31" spans="1:34" ht="15.95" customHeight="1" x14ac:dyDescent="0.2">
      <c r="A31" s="2018" t="s">
        <v>1280</v>
      </c>
      <c r="B31" s="2064" t="s">
        <v>1264</v>
      </c>
      <c r="C31" s="2065" t="s">
        <v>1264</v>
      </c>
      <c r="D31" s="2065">
        <v>1</v>
      </c>
      <c r="E31" s="2065" t="s">
        <v>1264</v>
      </c>
      <c r="F31" s="2065" t="s">
        <v>1264</v>
      </c>
      <c r="G31" s="2065" t="s">
        <v>1264</v>
      </c>
      <c r="H31" s="2065"/>
      <c r="I31" s="2065"/>
      <c r="J31" s="2065"/>
      <c r="K31" s="2065"/>
      <c r="L31" s="2065"/>
      <c r="M31" s="2065"/>
      <c r="N31" s="2065"/>
      <c r="O31" s="2066"/>
      <c r="P31" s="821">
        <f t="shared" si="0"/>
        <v>1</v>
      </c>
      <c r="R31" s="43"/>
      <c r="S31" s="43"/>
      <c r="T31" s="43"/>
      <c r="U31" s="43"/>
      <c r="V31" s="43"/>
      <c r="W31" s="43"/>
      <c r="X31" s="43"/>
      <c r="Y31" s="43"/>
      <c r="Z31" s="43"/>
      <c r="AA31" s="43"/>
      <c r="AB31" s="43"/>
      <c r="AC31" s="43"/>
      <c r="AD31" s="43"/>
      <c r="AE31" s="43"/>
      <c r="AF31" s="99" t="s">
        <v>475</v>
      </c>
      <c r="AG31" s="98" t="b">
        <f t="shared" si="1"/>
        <v>1</v>
      </c>
      <c r="AH31" s="1312" t="b">
        <v>0</v>
      </c>
    </row>
    <row r="32" spans="1:34" ht="15.95" customHeight="1" x14ac:dyDescent="0.2">
      <c r="A32" s="2018" t="s">
        <v>1281</v>
      </c>
      <c r="B32" s="2064" t="s">
        <v>1264</v>
      </c>
      <c r="C32" s="2065" t="s">
        <v>1264</v>
      </c>
      <c r="D32" s="2065">
        <v>1</v>
      </c>
      <c r="E32" s="2065" t="s">
        <v>1264</v>
      </c>
      <c r="F32" s="2065" t="s">
        <v>1264</v>
      </c>
      <c r="G32" s="2065" t="s">
        <v>1264</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475</v>
      </c>
      <c r="AG32" s="98" t="b">
        <f t="shared" si="1"/>
        <v>1</v>
      </c>
      <c r="AH32" s="1312" t="b">
        <v>0</v>
      </c>
    </row>
    <row r="33" spans="1:34" ht="15.95" customHeight="1" x14ac:dyDescent="0.2">
      <c r="A33" s="2018" t="s">
        <v>1282</v>
      </c>
      <c r="B33" s="2064" t="s">
        <v>1264</v>
      </c>
      <c r="C33" s="2065" t="s">
        <v>1264</v>
      </c>
      <c r="D33" s="2065">
        <v>4</v>
      </c>
      <c r="E33" s="2065">
        <v>2</v>
      </c>
      <c r="F33" s="2065">
        <v>2</v>
      </c>
      <c r="G33" s="2065" t="s">
        <v>1264</v>
      </c>
      <c r="H33" s="2065"/>
      <c r="I33" s="2065"/>
      <c r="J33" s="2065"/>
      <c r="K33" s="2065"/>
      <c r="L33" s="2065"/>
      <c r="M33" s="2065"/>
      <c r="N33" s="2065"/>
      <c r="O33" s="2066"/>
      <c r="P33" s="821">
        <f t="shared" si="0"/>
        <v>8</v>
      </c>
      <c r="R33" s="43"/>
      <c r="S33" s="43"/>
      <c r="T33" s="43"/>
      <c r="U33" s="43"/>
      <c r="V33" s="43"/>
      <c r="W33" s="43"/>
      <c r="X33" s="43"/>
      <c r="Y33" s="43"/>
      <c r="Z33" s="43"/>
      <c r="AA33" s="43"/>
      <c r="AB33" s="43"/>
      <c r="AC33" s="43"/>
      <c r="AD33" s="43"/>
      <c r="AE33" s="43"/>
      <c r="AF33" s="99" t="s">
        <v>475</v>
      </c>
      <c r="AG33" s="98" t="b">
        <f t="shared" si="1"/>
        <v>1</v>
      </c>
      <c r="AH33" s="1312" t="b">
        <v>0</v>
      </c>
    </row>
    <row r="34" spans="1:34" ht="15.95" customHeight="1" x14ac:dyDescent="0.2">
      <c r="A34" s="2018" t="s">
        <v>1283</v>
      </c>
      <c r="B34" s="2064" t="s">
        <v>1264</v>
      </c>
      <c r="C34" s="2065" t="s">
        <v>1264</v>
      </c>
      <c r="D34" s="2065">
        <v>4</v>
      </c>
      <c r="E34" s="2065" t="s">
        <v>1264</v>
      </c>
      <c r="F34" s="2065" t="s">
        <v>1264</v>
      </c>
      <c r="G34" s="2065" t="s">
        <v>1264</v>
      </c>
      <c r="H34" s="2065"/>
      <c r="I34" s="2065"/>
      <c r="J34" s="2065"/>
      <c r="K34" s="2065"/>
      <c r="L34" s="2065"/>
      <c r="M34" s="2065"/>
      <c r="N34" s="2065"/>
      <c r="O34" s="2066"/>
      <c r="P34" s="821">
        <f t="shared" si="0"/>
        <v>4</v>
      </c>
      <c r="R34" s="43"/>
      <c r="S34" s="43"/>
      <c r="T34" s="43"/>
      <c r="U34" s="43"/>
      <c r="V34" s="43"/>
      <c r="W34" s="43"/>
      <c r="X34" s="43"/>
      <c r="Y34" s="43"/>
      <c r="Z34" s="43"/>
      <c r="AA34" s="43"/>
      <c r="AB34" s="43"/>
      <c r="AC34" s="43"/>
      <c r="AD34" s="43"/>
      <c r="AE34" s="43"/>
      <c r="AF34" s="99" t="s">
        <v>475</v>
      </c>
      <c r="AG34" s="98" t="b">
        <f t="shared" si="1"/>
        <v>1</v>
      </c>
      <c r="AH34" s="1312" t="b">
        <v>0</v>
      </c>
    </row>
    <row r="35" spans="1:34" ht="15.95" customHeight="1" x14ac:dyDescent="0.2">
      <c r="A35" s="2018" t="s">
        <v>1284</v>
      </c>
      <c r="B35" s="2064" t="s">
        <v>1264</v>
      </c>
      <c r="C35" s="2065" t="s">
        <v>1264</v>
      </c>
      <c r="D35" s="2065">
        <v>4</v>
      </c>
      <c r="E35" s="2065" t="s">
        <v>1264</v>
      </c>
      <c r="F35" s="2065" t="s">
        <v>1264</v>
      </c>
      <c r="G35" s="2065" t="s">
        <v>1264</v>
      </c>
      <c r="H35" s="2065"/>
      <c r="I35" s="2065"/>
      <c r="J35" s="2065"/>
      <c r="K35" s="2065"/>
      <c r="L35" s="2065"/>
      <c r="M35" s="2065"/>
      <c r="N35" s="2065"/>
      <c r="O35" s="2066"/>
      <c r="P35" s="821">
        <f t="shared" si="0"/>
        <v>4</v>
      </c>
      <c r="R35" s="43"/>
      <c r="S35" s="43"/>
      <c r="T35" s="43"/>
      <c r="U35" s="43"/>
      <c r="V35" s="43"/>
      <c r="W35" s="43"/>
      <c r="X35" s="43"/>
      <c r="Y35" s="43"/>
      <c r="Z35" s="43"/>
      <c r="AA35" s="43"/>
      <c r="AB35" s="43"/>
      <c r="AC35" s="43"/>
      <c r="AD35" s="43"/>
      <c r="AE35" s="43"/>
      <c r="AF35" s="99" t="s">
        <v>475</v>
      </c>
      <c r="AG35" s="98" t="b">
        <f t="shared" si="1"/>
        <v>1</v>
      </c>
      <c r="AH35" s="1312" t="b">
        <v>0</v>
      </c>
    </row>
    <row r="36" spans="1:34" ht="15.95" customHeight="1" x14ac:dyDescent="0.2">
      <c r="A36" s="2018" t="s">
        <v>1285</v>
      </c>
      <c r="B36" s="2064" t="s">
        <v>1264</v>
      </c>
      <c r="C36" s="2065" t="s">
        <v>1264</v>
      </c>
      <c r="D36" s="2065">
        <v>4</v>
      </c>
      <c r="E36" s="2065" t="s">
        <v>1264</v>
      </c>
      <c r="F36" s="2065" t="s">
        <v>1264</v>
      </c>
      <c r="G36" s="2065" t="s">
        <v>1264</v>
      </c>
      <c r="H36" s="2065"/>
      <c r="I36" s="2065"/>
      <c r="J36" s="2065"/>
      <c r="K36" s="2065"/>
      <c r="L36" s="2065"/>
      <c r="M36" s="2065"/>
      <c r="N36" s="2065"/>
      <c r="O36" s="2066"/>
      <c r="P36" s="821">
        <f t="shared" si="0"/>
        <v>4</v>
      </c>
      <c r="R36" s="43"/>
      <c r="S36" s="43"/>
      <c r="T36" s="43"/>
      <c r="U36" s="43"/>
      <c r="V36" s="43"/>
      <c r="W36" s="43"/>
      <c r="X36" s="43"/>
      <c r="Y36" s="43"/>
      <c r="Z36" s="43"/>
      <c r="AA36" s="43"/>
      <c r="AB36" s="43"/>
      <c r="AC36" s="43"/>
      <c r="AD36" s="43"/>
      <c r="AE36" s="43"/>
      <c r="AF36" s="99" t="s">
        <v>475</v>
      </c>
      <c r="AG36" s="98" t="b">
        <f t="shared" si="1"/>
        <v>1</v>
      </c>
      <c r="AH36" s="1312" t="b">
        <v>0</v>
      </c>
    </row>
    <row r="37" spans="1:34" ht="15.95" customHeight="1" x14ac:dyDescent="0.2">
      <c r="A37" s="2018" t="s">
        <v>1286</v>
      </c>
      <c r="B37" s="2064" t="s">
        <v>1264</v>
      </c>
      <c r="C37" s="2065" t="s">
        <v>1264</v>
      </c>
      <c r="D37" s="2065">
        <v>3</v>
      </c>
      <c r="E37" s="2065" t="s">
        <v>1264</v>
      </c>
      <c r="F37" s="2065" t="s">
        <v>1264</v>
      </c>
      <c r="G37" s="2065" t="s">
        <v>1264</v>
      </c>
      <c r="H37" s="2065"/>
      <c r="I37" s="2065"/>
      <c r="J37" s="2065"/>
      <c r="K37" s="2065"/>
      <c r="L37" s="2065"/>
      <c r="M37" s="2065"/>
      <c r="N37" s="2065"/>
      <c r="O37" s="2066"/>
      <c r="P37" s="821">
        <f t="shared" si="0"/>
        <v>3</v>
      </c>
      <c r="R37" s="43"/>
      <c r="S37" s="43"/>
      <c r="T37" s="43"/>
      <c r="U37" s="43"/>
      <c r="V37" s="43"/>
      <c r="W37" s="43"/>
      <c r="X37" s="43"/>
      <c r="Y37" s="43"/>
      <c r="Z37" s="43"/>
      <c r="AA37" s="43"/>
      <c r="AB37" s="43"/>
      <c r="AC37" s="43"/>
      <c r="AD37" s="43"/>
      <c r="AE37" s="43"/>
      <c r="AF37" s="99" t="s">
        <v>475</v>
      </c>
      <c r="AG37" s="98" t="b">
        <f t="shared" si="1"/>
        <v>1</v>
      </c>
      <c r="AH37" s="1312" t="b">
        <v>0</v>
      </c>
    </row>
    <row r="38" spans="1:34" ht="15.95" customHeight="1" x14ac:dyDescent="0.2">
      <c r="A38" s="2018" t="s">
        <v>1287</v>
      </c>
      <c r="B38" s="2064" t="s">
        <v>1264</v>
      </c>
      <c r="C38" s="2065" t="s">
        <v>1264</v>
      </c>
      <c r="D38" s="2065">
        <v>3</v>
      </c>
      <c r="E38" s="2065" t="s">
        <v>1264</v>
      </c>
      <c r="F38" s="2065" t="s">
        <v>1264</v>
      </c>
      <c r="G38" s="2065" t="s">
        <v>1264</v>
      </c>
      <c r="H38" s="2065"/>
      <c r="I38" s="2065"/>
      <c r="J38" s="2065"/>
      <c r="K38" s="2065"/>
      <c r="L38" s="2065"/>
      <c r="M38" s="2065"/>
      <c r="N38" s="2065"/>
      <c r="O38" s="2066"/>
      <c r="P38" s="821">
        <f t="shared" si="0"/>
        <v>3</v>
      </c>
      <c r="R38" s="43"/>
      <c r="S38" s="43"/>
      <c r="T38" s="43"/>
      <c r="U38" s="43"/>
      <c r="V38" s="43"/>
      <c r="W38" s="43"/>
      <c r="X38" s="43"/>
      <c r="Y38" s="43"/>
      <c r="Z38" s="43"/>
      <c r="AA38" s="43"/>
      <c r="AB38" s="43"/>
      <c r="AC38" s="43"/>
      <c r="AD38" s="43"/>
      <c r="AE38" s="43"/>
      <c r="AF38" s="99" t="s">
        <v>475</v>
      </c>
      <c r="AG38" s="98" t="b">
        <f t="shared" si="1"/>
        <v>1</v>
      </c>
      <c r="AH38" s="1312" t="b">
        <v>0</v>
      </c>
    </row>
    <row r="39" spans="1:34" ht="15.95" customHeight="1" x14ac:dyDescent="0.2">
      <c r="A39" s="2018" t="s">
        <v>1288</v>
      </c>
      <c r="B39" s="2064" t="s">
        <v>1264</v>
      </c>
      <c r="C39" s="2065" t="s">
        <v>1264</v>
      </c>
      <c r="D39" s="2065" t="s">
        <v>1264</v>
      </c>
      <c r="E39" s="2065">
        <v>1</v>
      </c>
      <c r="F39" s="2065" t="s">
        <v>1264</v>
      </c>
      <c r="G39" s="2065" t="s">
        <v>1264</v>
      </c>
      <c r="H39" s="2065"/>
      <c r="I39" s="2065"/>
      <c r="J39" s="2065"/>
      <c r="K39" s="2065"/>
      <c r="L39" s="2065"/>
      <c r="M39" s="2065"/>
      <c r="N39" s="2065"/>
      <c r="O39" s="2066"/>
      <c r="P39" s="821">
        <f t="shared" si="0"/>
        <v>1</v>
      </c>
      <c r="R39" s="43"/>
      <c r="S39" s="43"/>
      <c r="T39" s="43"/>
      <c r="U39" s="43"/>
      <c r="V39" s="43"/>
      <c r="W39" s="43"/>
      <c r="X39" s="43"/>
      <c r="Y39" s="43"/>
      <c r="Z39" s="43"/>
      <c r="AA39" s="43"/>
      <c r="AB39" s="43"/>
      <c r="AC39" s="43"/>
      <c r="AD39" s="43"/>
      <c r="AE39" s="43"/>
      <c r="AF39" s="99" t="s">
        <v>475</v>
      </c>
      <c r="AG39" s="98" t="b">
        <f t="shared" si="1"/>
        <v>1</v>
      </c>
      <c r="AH39" s="1312" t="b">
        <v>0</v>
      </c>
    </row>
    <row r="40" spans="1:34" ht="15.95" customHeight="1" x14ac:dyDescent="0.2">
      <c r="A40" s="2018" t="s">
        <v>1289</v>
      </c>
      <c r="B40" s="2064" t="s">
        <v>1264</v>
      </c>
      <c r="C40" s="2065" t="s">
        <v>1264</v>
      </c>
      <c r="D40" s="2065" t="s">
        <v>1264</v>
      </c>
      <c r="E40" s="2065">
        <v>1</v>
      </c>
      <c r="F40" s="2065" t="s">
        <v>1264</v>
      </c>
      <c r="G40" s="2065" t="s">
        <v>1264</v>
      </c>
      <c r="H40" s="2065"/>
      <c r="I40" s="2065"/>
      <c r="J40" s="2065"/>
      <c r="K40" s="2065"/>
      <c r="L40" s="2065"/>
      <c r="M40" s="2065"/>
      <c r="N40" s="2065"/>
      <c r="O40" s="2066"/>
      <c r="P40" s="821">
        <f t="shared" si="0"/>
        <v>1</v>
      </c>
      <c r="R40" s="43"/>
      <c r="S40" s="43"/>
      <c r="T40" s="43"/>
      <c r="U40" s="43"/>
      <c r="V40" s="43"/>
      <c r="W40" s="43"/>
      <c r="X40" s="43"/>
      <c r="Y40" s="43"/>
      <c r="Z40" s="43"/>
      <c r="AA40" s="43"/>
      <c r="AB40" s="43"/>
      <c r="AC40" s="43"/>
      <c r="AD40" s="43"/>
      <c r="AE40" s="43"/>
      <c r="AF40" s="99" t="s">
        <v>475</v>
      </c>
      <c r="AG40" s="98" t="b">
        <f t="shared" si="1"/>
        <v>1</v>
      </c>
      <c r="AH40" s="1312" t="b">
        <v>0</v>
      </c>
    </row>
    <row r="41" spans="1:34" ht="15.95" customHeight="1" x14ac:dyDescent="0.2">
      <c r="A41" s="2018" t="s">
        <v>1290</v>
      </c>
      <c r="B41" s="2064" t="s">
        <v>1264</v>
      </c>
      <c r="C41" s="2065" t="s">
        <v>1264</v>
      </c>
      <c r="D41" s="2065" t="s">
        <v>1264</v>
      </c>
      <c r="E41" s="2065">
        <v>1</v>
      </c>
      <c r="F41" s="2065" t="s">
        <v>1264</v>
      </c>
      <c r="G41" s="2065" t="s">
        <v>1264</v>
      </c>
      <c r="H41" s="2065"/>
      <c r="I41" s="2065"/>
      <c r="J41" s="2065"/>
      <c r="K41" s="2065"/>
      <c r="L41" s="2065"/>
      <c r="M41" s="2065"/>
      <c r="N41" s="2065"/>
      <c r="O41" s="2066"/>
      <c r="P41" s="821">
        <f t="shared" si="0"/>
        <v>1</v>
      </c>
      <c r="R41" s="43"/>
      <c r="S41" s="43"/>
      <c r="T41" s="43"/>
      <c r="U41" s="43"/>
      <c r="V41" s="43"/>
      <c r="W41" s="43"/>
      <c r="X41" s="43"/>
      <c r="Y41" s="43"/>
      <c r="Z41" s="43"/>
      <c r="AA41" s="43"/>
      <c r="AB41" s="43"/>
      <c r="AC41" s="43"/>
      <c r="AD41" s="43"/>
      <c r="AE41" s="43"/>
      <c r="AF41" s="99" t="s">
        <v>475</v>
      </c>
      <c r="AG41" s="98" t="b">
        <f t="shared" si="1"/>
        <v>1</v>
      </c>
      <c r="AH41" s="1312" t="b">
        <v>0</v>
      </c>
    </row>
    <row r="42" spans="1:34" ht="15.95" customHeight="1" x14ac:dyDescent="0.2">
      <c r="A42" s="2018" t="s">
        <v>1291</v>
      </c>
      <c r="B42" s="2064" t="s">
        <v>1264</v>
      </c>
      <c r="C42" s="2065" t="s">
        <v>1264</v>
      </c>
      <c r="D42" s="2065" t="s">
        <v>1264</v>
      </c>
      <c r="E42" s="2065">
        <v>2</v>
      </c>
      <c r="F42" s="2065" t="s">
        <v>1264</v>
      </c>
      <c r="G42" s="2065" t="s">
        <v>1264</v>
      </c>
      <c r="H42" s="2065"/>
      <c r="I42" s="2065"/>
      <c r="J42" s="2065"/>
      <c r="K42" s="2065"/>
      <c r="L42" s="2065"/>
      <c r="M42" s="2065"/>
      <c r="N42" s="2065"/>
      <c r="O42" s="2066"/>
      <c r="P42" s="821">
        <f t="shared" si="0"/>
        <v>2</v>
      </c>
      <c r="R42" s="43"/>
      <c r="S42" s="43"/>
      <c r="T42" s="43"/>
      <c r="U42" s="43"/>
      <c r="V42" s="43"/>
      <c r="W42" s="43"/>
      <c r="X42" s="43"/>
      <c r="Y42" s="43"/>
      <c r="Z42" s="43"/>
      <c r="AA42" s="43"/>
      <c r="AB42" s="43"/>
      <c r="AC42" s="43"/>
      <c r="AD42" s="43"/>
      <c r="AE42" s="43"/>
      <c r="AF42" s="99" t="s">
        <v>475</v>
      </c>
      <c r="AG42" s="98" t="b">
        <f t="shared" si="1"/>
        <v>1</v>
      </c>
      <c r="AH42" s="1312" t="b">
        <v>0</v>
      </c>
    </row>
    <row r="43" spans="1:34" ht="15.95" customHeight="1" x14ac:dyDescent="0.2">
      <c r="A43" s="2018" t="s">
        <v>1292</v>
      </c>
      <c r="B43" s="2064" t="s">
        <v>1264</v>
      </c>
      <c r="C43" s="2065" t="s">
        <v>1264</v>
      </c>
      <c r="D43" s="2065" t="s">
        <v>1264</v>
      </c>
      <c r="E43" s="2065">
        <v>7</v>
      </c>
      <c r="F43" s="2065" t="s">
        <v>1264</v>
      </c>
      <c r="G43" s="2065" t="s">
        <v>1264</v>
      </c>
      <c r="H43" s="2065"/>
      <c r="I43" s="2065"/>
      <c r="J43" s="2065"/>
      <c r="K43" s="2065"/>
      <c r="L43" s="2065"/>
      <c r="M43" s="2065"/>
      <c r="N43" s="2065"/>
      <c r="O43" s="2066"/>
      <c r="P43" s="821">
        <f t="shared" si="0"/>
        <v>7</v>
      </c>
      <c r="R43" s="43"/>
      <c r="S43" s="43"/>
      <c r="T43" s="43"/>
      <c r="U43" s="43"/>
      <c r="V43" s="43"/>
      <c r="W43" s="43"/>
      <c r="X43" s="43"/>
      <c r="Y43" s="43"/>
      <c r="Z43" s="43"/>
      <c r="AA43" s="43"/>
      <c r="AB43" s="43"/>
      <c r="AC43" s="43"/>
      <c r="AD43" s="43"/>
      <c r="AE43" s="43"/>
      <c r="AF43" s="99" t="s">
        <v>475</v>
      </c>
      <c r="AG43" s="98" t="b">
        <f t="shared" si="1"/>
        <v>1</v>
      </c>
      <c r="AH43" s="1312" t="b">
        <v>0</v>
      </c>
    </row>
    <row r="44" spans="1:34" ht="15.95" customHeight="1" x14ac:dyDescent="0.2">
      <c r="A44" s="2018" t="s">
        <v>1293</v>
      </c>
      <c r="B44" s="2064" t="s">
        <v>1264</v>
      </c>
      <c r="C44" s="2065" t="s">
        <v>1264</v>
      </c>
      <c r="D44" s="2065" t="s">
        <v>1264</v>
      </c>
      <c r="E44" s="2065">
        <v>8</v>
      </c>
      <c r="F44" s="2065" t="s">
        <v>1264</v>
      </c>
      <c r="G44" s="2065" t="s">
        <v>1264</v>
      </c>
      <c r="H44" s="2065"/>
      <c r="I44" s="2065"/>
      <c r="J44" s="2065"/>
      <c r="K44" s="2065"/>
      <c r="L44" s="2065"/>
      <c r="M44" s="2065"/>
      <c r="N44" s="2065"/>
      <c r="O44" s="2066"/>
      <c r="P44" s="821">
        <f t="shared" si="0"/>
        <v>8</v>
      </c>
      <c r="R44" s="43"/>
      <c r="S44" s="43"/>
      <c r="T44" s="43"/>
      <c r="U44" s="43"/>
      <c r="V44" s="43"/>
      <c r="W44" s="43"/>
      <c r="X44" s="43"/>
      <c r="Y44" s="43"/>
      <c r="Z44" s="43"/>
      <c r="AA44" s="43"/>
      <c r="AB44" s="43"/>
      <c r="AC44" s="43"/>
      <c r="AD44" s="43"/>
      <c r="AE44" s="43"/>
      <c r="AF44" s="99" t="s">
        <v>475</v>
      </c>
      <c r="AG44" s="98" t="b">
        <f t="shared" si="1"/>
        <v>1</v>
      </c>
      <c r="AH44" s="1312" t="b">
        <v>0</v>
      </c>
    </row>
    <row r="45" spans="1:34" ht="15.95" customHeight="1" x14ac:dyDescent="0.2">
      <c r="A45" s="2018" t="s">
        <v>1294</v>
      </c>
      <c r="B45" s="2064" t="s">
        <v>1264</v>
      </c>
      <c r="C45" s="2065" t="s">
        <v>1264</v>
      </c>
      <c r="D45" s="2065" t="s">
        <v>1264</v>
      </c>
      <c r="E45" s="2065">
        <v>4</v>
      </c>
      <c r="F45" s="2065" t="s">
        <v>1264</v>
      </c>
      <c r="G45" s="2065" t="s">
        <v>1264</v>
      </c>
      <c r="H45" s="2065"/>
      <c r="I45" s="2065"/>
      <c r="J45" s="2065"/>
      <c r="K45" s="2065"/>
      <c r="L45" s="2065"/>
      <c r="M45" s="2065"/>
      <c r="N45" s="2065"/>
      <c r="O45" s="2066"/>
      <c r="P45" s="821">
        <f t="shared" si="0"/>
        <v>4</v>
      </c>
      <c r="R45" s="43"/>
      <c r="S45" s="43"/>
      <c r="T45" s="43"/>
      <c r="U45" s="43"/>
      <c r="V45" s="43"/>
      <c r="W45" s="43"/>
      <c r="X45" s="43"/>
      <c r="Y45" s="43"/>
      <c r="Z45" s="43"/>
      <c r="AA45" s="43"/>
      <c r="AB45" s="43"/>
      <c r="AC45" s="43"/>
      <c r="AD45" s="43"/>
      <c r="AE45" s="43"/>
      <c r="AF45" s="99" t="s">
        <v>475</v>
      </c>
      <c r="AG45" s="98" t="b">
        <f t="shared" si="1"/>
        <v>1</v>
      </c>
      <c r="AH45" s="1312" t="b">
        <v>0</v>
      </c>
    </row>
    <row r="46" spans="1:34" ht="15.95" customHeight="1" x14ac:dyDescent="0.2">
      <c r="A46" s="2018" t="s">
        <v>1295</v>
      </c>
      <c r="B46" s="2064" t="s">
        <v>1264</v>
      </c>
      <c r="C46" s="2065" t="s">
        <v>1264</v>
      </c>
      <c r="D46" s="2065" t="s">
        <v>1264</v>
      </c>
      <c r="E46" s="2065">
        <v>1</v>
      </c>
      <c r="F46" s="2065" t="s">
        <v>1264</v>
      </c>
      <c r="G46" s="2065" t="s">
        <v>1264</v>
      </c>
      <c r="H46" s="2065"/>
      <c r="I46" s="2065"/>
      <c r="J46" s="2065"/>
      <c r="K46" s="2065"/>
      <c r="L46" s="2065"/>
      <c r="M46" s="2065"/>
      <c r="N46" s="2065"/>
      <c r="O46" s="2066"/>
      <c r="P46" s="821">
        <f t="shared" si="0"/>
        <v>1</v>
      </c>
      <c r="R46" s="43"/>
      <c r="S46" s="43"/>
      <c r="T46" s="43"/>
      <c r="U46" s="43"/>
      <c r="V46" s="43"/>
      <c r="W46" s="43"/>
      <c r="X46" s="43"/>
      <c r="Y46" s="43"/>
      <c r="Z46" s="43"/>
      <c r="AA46" s="43"/>
      <c r="AB46" s="43"/>
      <c r="AC46" s="43"/>
      <c r="AD46" s="43"/>
      <c r="AE46" s="43"/>
      <c r="AF46" s="99" t="s">
        <v>475</v>
      </c>
      <c r="AG46" s="98" t="b">
        <f t="shared" si="1"/>
        <v>1</v>
      </c>
      <c r="AH46" s="1312" t="b">
        <v>0</v>
      </c>
    </row>
    <row r="47" spans="1:34" ht="15.95" customHeight="1" x14ac:dyDescent="0.2">
      <c r="A47" s="2018" t="s">
        <v>1296</v>
      </c>
      <c r="B47" s="2064" t="s">
        <v>1264</v>
      </c>
      <c r="C47" s="2065" t="s">
        <v>1264</v>
      </c>
      <c r="D47" s="2065" t="s">
        <v>1264</v>
      </c>
      <c r="E47" s="2065">
        <v>1</v>
      </c>
      <c r="F47" s="2065" t="s">
        <v>1264</v>
      </c>
      <c r="G47" s="2065" t="s">
        <v>1264</v>
      </c>
      <c r="H47" s="2065"/>
      <c r="I47" s="2065"/>
      <c r="J47" s="2065"/>
      <c r="K47" s="2065"/>
      <c r="L47" s="2065"/>
      <c r="M47" s="2065"/>
      <c r="N47" s="2065"/>
      <c r="O47" s="2066"/>
      <c r="P47" s="821">
        <f t="shared" si="0"/>
        <v>1</v>
      </c>
      <c r="R47" s="43"/>
      <c r="S47" s="43"/>
      <c r="T47" s="43"/>
      <c r="U47" s="43"/>
      <c r="V47" s="43"/>
      <c r="W47" s="43"/>
      <c r="X47" s="43"/>
      <c r="Y47" s="43"/>
      <c r="Z47" s="43"/>
      <c r="AA47" s="43"/>
      <c r="AB47" s="43"/>
      <c r="AC47" s="43"/>
      <c r="AD47" s="43"/>
      <c r="AE47" s="43"/>
      <c r="AF47" s="99" t="s">
        <v>475</v>
      </c>
      <c r="AG47" s="98" t="b">
        <f t="shared" si="1"/>
        <v>1</v>
      </c>
      <c r="AH47" s="1312" t="b">
        <v>0</v>
      </c>
    </row>
    <row r="48" spans="1:34" ht="15.95" customHeight="1" x14ac:dyDescent="0.2">
      <c r="A48" s="2018" t="s">
        <v>1297</v>
      </c>
      <c r="B48" s="2064" t="s">
        <v>1264</v>
      </c>
      <c r="C48" s="2065" t="s">
        <v>1264</v>
      </c>
      <c r="D48" s="2065" t="s">
        <v>1264</v>
      </c>
      <c r="E48" s="2065">
        <v>1</v>
      </c>
      <c r="F48" s="2065" t="s">
        <v>1264</v>
      </c>
      <c r="G48" s="2065" t="s">
        <v>1264</v>
      </c>
      <c r="H48" s="2065"/>
      <c r="I48" s="2065"/>
      <c r="J48" s="2065"/>
      <c r="K48" s="2065"/>
      <c r="L48" s="2065"/>
      <c r="M48" s="2065"/>
      <c r="N48" s="2065"/>
      <c r="O48" s="2066"/>
      <c r="P48" s="821">
        <f t="shared" si="0"/>
        <v>1</v>
      </c>
      <c r="R48" s="43"/>
      <c r="S48" s="43"/>
      <c r="T48" s="43"/>
      <c r="U48" s="43"/>
      <c r="V48" s="43"/>
      <c r="W48" s="43"/>
      <c r="X48" s="43"/>
      <c r="Y48" s="43"/>
      <c r="Z48" s="43"/>
      <c r="AA48" s="43"/>
      <c r="AB48" s="43"/>
      <c r="AC48" s="43"/>
      <c r="AD48" s="43"/>
      <c r="AE48" s="43"/>
      <c r="AF48" s="99" t="s">
        <v>475</v>
      </c>
      <c r="AG48" s="98" t="b">
        <f t="shared" si="1"/>
        <v>1</v>
      </c>
      <c r="AH48" s="1312" t="b">
        <v>0</v>
      </c>
    </row>
    <row r="49" spans="1:34" ht="15.95" customHeight="1" x14ac:dyDescent="0.2">
      <c r="A49" s="2019" t="s">
        <v>1298</v>
      </c>
      <c r="B49" s="2067" t="s">
        <v>1264</v>
      </c>
      <c r="C49" s="2068" t="s">
        <v>1264</v>
      </c>
      <c r="D49" s="2068" t="s">
        <v>1264</v>
      </c>
      <c r="E49" s="2068">
        <v>1</v>
      </c>
      <c r="F49" s="2068" t="s">
        <v>1264</v>
      </c>
      <c r="G49" s="2068" t="s">
        <v>1264</v>
      </c>
      <c r="H49" s="2068"/>
      <c r="I49" s="2068"/>
      <c r="J49" s="2068"/>
      <c r="K49" s="2068"/>
      <c r="L49" s="2068"/>
      <c r="M49" s="2068"/>
      <c r="N49" s="2068"/>
      <c r="O49" s="2069"/>
      <c r="P49" s="821">
        <f t="shared" si="0"/>
        <v>1</v>
      </c>
      <c r="R49" s="43"/>
      <c r="S49" s="43"/>
      <c r="T49" s="43"/>
      <c r="U49" s="43"/>
      <c r="V49" s="43"/>
      <c r="W49" s="43"/>
      <c r="X49" s="43"/>
      <c r="Y49" s="43"/>
      <c r="Z49" s="43"/>
      <c r="AA49" s="43"/>
      <c r="AB49" s="43"/>
      <c r="AC49" s="43"/>
      <c r="AD49" s="43"/>
      <c r="AE49" s="43"/>
      <c r="AF49" s="99" t="s">
        <v>475</v>
      </c>
      <c r="AG49" s="98" t="b">
        <f t="shared" si="1"/>
        <v>1</v>
      </c>
      <c r="AH49" s="1312" t="b">
        <v>0</v>
      </c>
    </row>
    <row r="50" spans="1:34" ht="15" customHeight="1" x14ac:dyDescent="0.2">
      <c r="A50" s="817" t="s">
        <v>91</v>
      </c>
      <c r="B50" s="818">
        <f t="shared" ref="B50:O50" si="2">IF(ISBLANK(B13),"",SUM(B14:B49))</f>
        <v>0</v>
      </c>
      <c r="C50" s="818">
        <f t="shared" si="2"/>
        <v>0</v>
      </c>
      <c r="D50" s="818">
        <f t="shared" si="2"/>
        <v>41</v>
      </c>
      <c r="E50" s="818">
        <f t="shared" si="2"/>
        <v>39</v>
      </c>
      <c r="F50" s="818">
        <f t="shared" si="2"/>
        <v>8</v>
      </c>
      <c r="G50" s="818">
        <f t="shared" si="2"/>
        <v>9</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2011</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dc2B/xPDbA6R5CbpAUcJ1IHyR9iFlM8DBL286Wd27+JbB7Rwul+Cw/GTq1S02bG1F9yXbm0765f/+KPTReHL/g==" saltValue="Rvcsp7ssEL6IZBeCMq440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51" priority="2">
      <formula>OR(A14="Girder",A14="Girders",A14="Joist",A14="Joists",A14="Bridging")</formula>
    </cfRule>
    <cfRule type="expression" dxfId="1450" priority="3">
      <formula>AND(P14&gt;0,ISBLANK(AF14),OR($R$1="",$R$1="M"))</formula>
    </cfRule>
    <cfRule type="expression" dxfId="1449" priority="9">
      <formula>$AH14</formula>
    </cfRule>
  </conditionalFormatting>
  <conditionalFormatting sqref="H2:J4">
    <cfRule type="cellIs" dxfId="1448" priority="7" stopIfTrue="1" operator="equal">
      <formula>""</formula>
    </cfRule>
  </conditionalFormatting>
  <conditionalFormatting sqref="B14:O49">
    <cfRule type="expression" dxfId="1447" priority="4">
      <formula>IF($R$1="M",AND(B14&gt;R14,R14&gt;0),B14&lt;R14)</formula>
    </cfRule>
    <cfRule type="expression" dxfId="1446" priority="5">
      <formula>OR(AND($R$1="M",B14=R14),B14="-")</formula>
    </cfRule>
    <cfRule type="expression" dxfId="1445" priority="6">
      <formula>IF(NOT(ISBLANK($R$1)),IF($R$1="M",IF(ISTEXT(B14),0,B14)&lt;R14,IF(ISTEXT(B14),0,B14)&gt;R14))</formula>
    </cfRule>
    <cfRule type="expression" dxfId="1444" priority="8">
      <formula>OR($AH14,B$63)</formula>
    </cfRule>
  </conditionalFormatting>
  <conditionalFormatting sqref="B13:O13">
    <cfRule type="expression" dxfId="1443" priority="1">
      <formula>AND(NOT(ISBLANK(B$13)),ISERROR(MATCH(B$13,$AK:$AK,0)))</formula>
    </cfRule>
    <cfRule type="expression" dxfId="144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indexed="31"/>
  </sheetPr>
  <dimension ref="A1:AL65"/>
  <sheetViews>
    <sheetView showGridLines="0" topLeftCell="A19"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14 of 42</v>
      </c>
      <c r="M7" s="822"/>
      <c r="N7" s="473"/>
      <c r="O7" s="473"/>
      <c r="P7" s="566"/>
      <c r="R7" s="1393">
        <v>14</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1262</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1299</v>
      </c>
      <c r="B15" s="2064" t="s">
        <v>1264</v>
      </c>
      <c r="C15" s="2065" t="s">
        <v>1264</v>
      </c>
      <c r="D15" s="2065">
        <v>1</v>
      </c>
      <c r="E15" s="2065" t="s">
        <v>1264</v>
      </c>
      <c r="F15" s="2065" t="s">
        <v>1264</v>
      </c>
      <c r="G15" s="2065" t="s">
        <v>1264</v>
      </c>
      <c r="H15" s="2065"/>
      <c r="I15" s="2065"/>
      <c r="J15" s="2065"/>
      <c r="K15" s="2065"/>
      <c r="L15" s="2065"/>
      <c r="M15" s="2065"/>
      <c r="N15" s="2065"/>
      <c r="O15" s="2066"/>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1300</v>
      </c>
      <c r="B16" s="2064" t="s">
        <v>1264</v>
      </c>
      <c r="C16" s="2065" t="s">
        <v>1264</v>
      </c>
      <c r="D16" s="2065">
        <v>1</v>
      </c>
      <c r="E16" s="2065" t="s">
        <v>1264</v>
      </c>
      <c r="F16" s="2065" t="s">
        <v>1264</v>
      </c>
      <c r="G16" s="2065" t="s">
        <v>1264</v>
      </c>
      <c r="H16" s="2065"/>
      <c r="I16" s="2065"/>
      <c r="J16" s="2065"/>
      <c r="K16" s="2065"/>
      <c r="L16" s="2065"/>
      <c r="M16" s="2065"/>
      <c r="N16" s="2065"/>
      <c r="O16" s="2066"/>
      <c r="P16" s="821">
        <f t="shared" si="0"/>
        <v>1</v>
      </c>
      <c r="R16" s="43"/>
      <c r="S16" s="43"/>
      <c r="T16" s="43"/>
      <c r="U16" s="43"/>
      <c r="V16" s="43"/>
      <c r="W16" s="43"/>
      <c r="X16" s="43"/>
      <c r="Y16" s="43"/>
      <c r="Z16" s="43"/>
      <c r="AA16" s="43"/>
      <c r="AB16" s="43"/>
      <c r="AC16" s="43"/>
      <c r="AD16" s="43"/>
      <c r="AE16" s="43"/>
      <c r="AF16" s="99" t="s">
        <v>475</v>
      </c>
      <c r="AG16" s="98" t="b">
        <f t="shared" si="1"/>
        <v>1</v>
      </c>
      <c r="AH16" s="1312" t="b">
        <v>0</v>
      </c>
    </row>
    <row r="17" spans="1:34" ht="15.95" customHeight="1" x14ac:dyDescent="0.2">
      <c r="A17" s="2018" t="s">
        <v>1301</v>
      </c>
      <c r="B17" s="2064" t="s">
        <v>1264</v>
      </c>
      <c r="C17" s="2065" t="s">
        <v>1264</v>
      </c>
      <c r="D17" s="2065">
        <v>2</v>
      </c>
      <c r="E17" s="2065" t="s">
        <v>1264</v>
      </c>
      <c r="F17" s="2065" t="s">
        <v>1264</v>
      </c>
      <c r="G17" s="2065" t="s">
        <v>1264</v>
      </c>
      <c r="H17" s="2065"/>
      <c r="I17" s="2065"/>
      <c r="J17" s="2065"/>
      <c r="K17" s="2065"/>
      <c r="L17" s="2065"/>
      <c r="M17" s="2065"/>
      <c r="N17" s="2065"/>
      <c r="O17" s="2066"/>
      <c r="P17" s="821">
        <f t="shared" si="0"/>
        <v>2</v>
      </c>
      <c r="R17" s="43"/>
      <c r="S17" s="43"/>
      <c r="T17" s="43"/>
      <c r="U17" s="43"/>
      <c r="V17" s="43"/>
      <c r="W17" s="43"/>
      <c r="X17" s="43"/>
      <c r="Y17" s="43"/>
      <c r="Z17" s="43"/>
      <c r="AA17" s="43"/>
      <c r="AB17" s="43"/>
      <c r="AC17" s="43"/>
      <c r="AD17" s="43"/>
      <c r="AE17" s="43"/>
      <c r="AF17" s="99" t="s">
        <v>475</v>
      </c>
      <c r="AG17" s="98" t="b">
        <f t="shared" si="1"/>
        <v>1</v>
      </c>
      <c r="AH17" s="1312" t="b">
        <v>0</v>
      </c>
    </row>
    <row r="18" spans="1:34" ht="15.95" customHeight="1" x14ac:dyDescent="0.2">
      <c r="A18" s="2018" t="s">
        <v>1302</v>
      </c>
      <c r="B18" s="2064" t="s">
        <v>1264</v>
      </c>
      <c r="C18" s="2065" t="s">
        <v>1264</v>
      </c>
      <c r="D18" s="2065">
        <v>1</v>
      </c>
      <c r="E18" s="2065" t="s">
        <v>1264</v>
      </c>
      <c r="F18" s="2065" t="s">
        <v>1264</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475</v>
      </c>
      <c r="AG18" s="98" t="b">
        <f t="shared" si="1"/>
        <v>1</v>
      </c>
      <c r="AH18" s="1312" t="b">
        <v>0</v>
      </c>
    </row>
    <row r="19" spans="1:34" ht="15.95" customHeight="1" x14ac:dyDescent="0.2">
      <c r="A19" s="2018" t="s">
        <v>1303</v>
      </c>
      <c r="B19" s="2064" t="s">
        <v>1264</v>
      </c>
      <c r="C19" s="2065" t="s">
        <v>1264</v>
      </c>
      <c r="D19" s="2065">
        <v>1</v>
      </c>
      <c r="E19" s="2065" t="s">
        <v>1264</v>
      </c>
      <c r="F19" s="2065" t="s">
        <v>1264</v>
      </c>
      <c r="G19" s="2065" t="s">
        <v>1264</v>
      </c>
      <c r="H19" s="2065"/>
      <c r="I19" s="2065"/>
      <c r="J19" s="2065"/>
      <c r="K19" s="2065"/>
      <c r="L19" s="2065"/>
      <c r="M19" s="2065"/>
      <c r="N19" s="2065"/>
      <c r="O19" s="2066"/>
      <c r="P19" s="821">
        <f t="shared" si="0"/>
        <v>1</v>
      </c>
      <c r="R19" s="43"/>
      <c r="S19" s="43"/>
      <c r="T19" s="43"/>
      <c r="U19" s="43"/>
      <c r="V19" s="43"/>
      <c r="W19" s="43"/>
      <c r="X19" s="43"/>
      <c r="Y19" s="43"/>
      <c r="Z19" s="43"/>
      <c r="AA19" s="43"/>
      <c r="AB19" s="43"/>
      <c r="AC19" s="43"/>
      <c r="AD19" s="43"/>
      <c r="AE19" s="43"/>
      <c r="AF19" s="99" t="s">
        <v>475</v>
      </c>
      <c r="AG19" s="98" t="b">
        <f t="shared" si="1"/>
        <v>1</v>
      </c>
      <c r="AH19" s="1312" t="b">
        <v>0</v>
      </c>
    </row>
    <row r="20" spans="1:34" ht="15.95" customHeight="1" x14ac:dyDescent="0.2">
      <c r="A20" s="2018" t="s">
        <v>1304</v>
      </c>
      <c r="B20" s="2064" t="s">
        <v>1264</v>
      </c>
      <c r="C20" s="2065" t="s">
        <v>1264</v>
      </c>
      <c r="D20" s="2065">
        <v>1</v>
      </c>
      <c r="E20" s="2065" t="s">
        <v>1264</v>
      </c>
      <c r="F20" s="2065" t="s">
        <v>1264</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475</v>
      </c>
      <c r="AG20" s="98" t="b">
        <f t="shared" si="1"/>
        <v>1</v>
      </c>
      <c r="AH20" s="1312" t="b">
        <v>0</v>
      </c>
    </row>
    <row r="21" spans="1:34" ht="15.95" customHeight="1" x14ac:dyDescent="0.2">
      <c r="A21" s="2018" t="s">
        <v>1305</v>
      </c>
      <c r="B21" s="2064" t="s">
        <v>1264</v>
      </c>
      <c r="C21" s="2065" t="s">
        <v>1264</v>
      </c>
      <c r="D21" s="2065" t="s">
        <v>1264</v>
      </c>
      <c r="E21" s="2065">
        <v>1</v>
      </c>
      <c r="F21" s="2065" t="s">
        <v>1264</v>
      </c>
      <c r="G21" s="2065" t="s">
        <v>1264</v>
      </c>
      <c r="H21" s="2065"/>
      <c r="I21" s="2065"/>
      <c r="J21" s="2065"/>
      <c r="K21" s="2065"/>
      <c r="L21" s="2065"/>
      <c r="M21" s="2065"/>
      <c r="N21" s="2065"/>
      <c r="O21" s="2066"/>
      <c r="P21" s="821">
        <f t="shared" si="0"/>
        <v>1</v>
      </c>
      <c r="R21" s="43"/>
      <c r="S21" s="43"/>
      <c r="T21" s="43"/>
      <c r="U21" s="43"/>
      <c r="V21" s="43"/>
      <c r="W21" s="43"/>
      <c r="X21" s="43"/>
      <c r="Y21" s="43"/>
      <c r="Z21" s="43"/>
      <c r="AA21" s="43"/>
      <c r="AB21" s="43"/>
      <c r="AC21" s="43"/>
      <c r="AD21" s="43"/>
      <c r="AE21" s="43"/>
      <c r="AF21" s="99" t="s">
        <v>475</v>
      </c>
      <c r="AG21" s="98" t="b">
        <f t="shared" si="1"/>
        <v>1</v>
      </c>
      <c r="AH21" s="1312" t="b">
        <v>0</v>
      </c>
    </row>
    <row r="22" spans="1:34" ht="15.95" customHeight="1" x14ac:dyDescent="0.2">
      <c r="A22" s="2018" t="s">
        <v>1306</v>
      </c>
      <c r="B22" s="2064" t="s">
        <v>1264</v>
      </c>
      <c r="C22" s="2065" t="s">
        <v>1264</v>
      </c>
      <c r="D22" s="2065" t="s">
        <v>1264</v>
      </c>
      <c r="E22" s="2065">
        <v>1</v>
      </c>
      <c r="F22" s="2065" t="s">
        <v>1264</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475</v>
      </c>
      <c r="AG22" s="98" t="b">
        <f t="shared" si="1"/>
        <v>1</v>
      </c>
      <c r="AH22" s="1312" t="b">
        <v>0</v>
      </c>
    </row>
    <row r="23" spans="1:34" ht="15.95" customHeight="1" x14ac:dyDescent="0.2">
      <c r="A23" s="2018" t="s">
        <v>1307</v>
      </c>
      <c r="B23" s="2064" t="s">
        <v>1264</v>
      </c>
      <c r="C23" s="2065" t="s">
        <v>1264</v>
      </c>
      <c r="D23" s="2065" t="s">
        <v>1264</v>
      </c>
      <c r="E23" s="2065" t="s">
        <v>1264</v>
      </c>
      <c r="F23" s="2065">
        <v>1</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475</v>
      </c>
      <c r="AG23" s="98" t="b">
        <f t="shared" si="1"/>
        <v>1</v>
      </c>
      <c r="AH23" s="1312" t="b">
        <v>0</v>
      </c>
    </row>
    <row r="24" spans="1:34" ht="15.95" customHeight="1" x14ac:dyDescent="0.2">
      <c r="A24" s="2018" t="s">
        <v>1308</v>
      </c>
      <c r="B24" s="2064" t="s">
        <v>1264</v>
      </c>
      <c r="C24" s="2065" t="s">
        <v>1264</v>
      </c>
      <c r="D24" s="2065" t="s">
        <v>1264</v>
      </c>
      <c r="E24" s="2065" t="s">
        <v>1264</v>
      </c>
      <c r="F24" s="2065">
        <v>1</v>
      </c>
      <c r="G24" s="2065" t="s">
        <v>1264</v>
      </c>
      <c r="H24" s="2065"/>
      <c r="I24" s="2065"/>
      <c r="J24" s="2065"/>
      <c r="K24" s="2065"/>
      <c r="L24" s="2065"/>
      <c r="M24" s="2065"/>
      <c r="N24" s="2065"/>
      <c r="O24" s="2066"/>
      <c r="P24" s="821">
        <f t="shared" si="0"/>
        <v>1</v>
      </c>
      <c r="R24" s="43"/>
      <c r="S24" s="43"/>
      <c r="T24" s="43"/>
      <c r="U24" s="43"/>
      <c r="V24" s="43"/>
      <c r="W24" s="43"/>
      <c r="X24" s="43"/>
      <c r="Y24" s="43"/>
      <c r="Z24" s="43"/>
      <c r="AA24" s="43"/>
      <c r="AB24" s="43"/>
      <c r="AC24" s="43"/>
      <c r="AD24" s="43"/>
      <c r="AE24" s="43"/>
      <c r="AF24" s="99" t="s">
        <v>475</v>
      </c>
      <c r="AG24" s="98" t="b">
        <f t="shared" si="1"/>
        <v>1</v>
      </c>
      <c r="AH24" s="1312" t="b">
        <v>0</v>
      </c>
    </row>
    <row r="25" spans="1:34" ht="15.95" customHeight="1" x14ac:dyDescent="0.2">
      <c r="A25" s="2018" t="s">
        <v>1309</v>
      </c>
      <c r="B25" s="2064" t="s">
        <v>1264</v>
      </c>
      <c r="C25" s="2065" t="s">
        <v>1264</v>
      </c>
      <c r="D25" s="2065" t="s">
        <v>1264</v>
      </c>
      <c r="E25" s="2065" t="s">
        <v>1264</v>
      </c>
      <c r="F25" s="2065">
        <v>3</v>
      </c>
      <c r="G25" s="2065" t="s">
        <v>1264</v>
      </c>
      <c r="H25" s="2065"/>
      <c r="I25" s="2065"/>
      <c r="J25" s="2065"/>
      <c r="K25" s="2065"/>
      <c r="L25" s="2065"/>
      <c r="M25" s="2065"/>
      <c r="N25" s="2065"/>
      <c r="O25" s="2066"/>
      <c r="P25" s="821">
        <f t="shared" si="0"/>
        <v>3</v>
      </c>
      <c r="R25" s="43"/>
      <c r="S25" s="43"/>
      <c r="T25" s="43"/>
      <c r="U25" s="43"/>
      <c r="V25" s="43"/>
      <c r="W25" s="43"/>
      <c r="X25" s="43"/>
      <c r="Y25" s="43"/>
      <c r="Z25" s="43"/>
      <c r="AA25" s="43"/>
      <c r="AB25" s="43"/>
      <c r="AC25" s="43"/>
      <c r="AD25" s="43"/>
      <c r="AE25" s="43"/>
      <c r="AF25" s="99" t="s">
        <v>475</v>
      </c>
      <c r="AG25" s="98" t="b">
        <f t="shared" si="1"/>
        <v>1</v>
      </c>
      <c r="AH25" s="1312" t="b">
        <v>0</v>
      </c>
    </row>
    <row r="26" spans="1:34" ht="15.95" customHeight="1" x14ac:dyDescent="0.2">
      <c r="A26" s="2018" t="s">
        <v>1310</v>
      </c>
      <c r="B26" s="2064" t="s">
        <v>1264</v>
      </c>
      <c r="C26" s="2065" t="s">
        <v>1264</v>
      </c>
      <c r="D26" s="2065" t="s">
        <v>1264</v>
      </c>
      <c r="E26" s="2065" t="s">
        <v>1264</v>
      </c>
      <c r="F26" s="2065">
        <v>5</v>
      </c>
      <c r="G26" s="2065">
        <v>9</v>
      </c>
      <c r="H26" s="2065"/>
      <c r="I26" s="2065"/>
      <c r="J26" s="2065"/>
      <c r="K26" s="2065"/>
      <c r="L26" s="2065"/>
      <c r="M26" s="2065"/>
      <c r="N26" s="2065"/>
      <c r="O26" s="2066"/>
      <c r="P26" s="821">
        <f t="shared" si="0"/>
        <v>14</v>
      </c>
      <c r="R26" s="43"/>
      <c r="S26" s="43"/>
      <c r="T26" s="43"/>
      <c r="U26" s="43"/>
      <c r="V26" s="43"/>
      <c r="W26" s="43"/>
      <c r="X26" s="43"/>
      <c r="Y26" s="43"/>
      <c r="Z26" s="43"/>
      <c r="AA26" s="43"/>
      <c r="AB26" s="43"/>
      <c r="AC26" s="43"/>
      <c r="AD26" s="43"/>
      <c r="AE26" s="43"/>
      <c r="AF26" s="99" t="s">
        <v>475</v>
      </c>
      <c r="AG26" s="98" t="b">
        <f t="shared" si="1"/>
        <v>1</v>
      </c>
      <c r="AH26" s="1312" t="b">
        <v>0</v>
      </c>
    </row>
    <row r="27" spans="1:34" ht="15.95" customHeight="1" x14ac:dyDescent="0.2">
      <c r="A27" s="2018" t="s">
        <v>1311</v>
      </c>
      <c r="B27" s="2064" t="s">
        <v>1264</v>
      </c>
      <c r="C27" s="2065" t="s">
        <v>1264</v>
      </c>
      <c r="D27" s="2065" t="s">
        <v>1264</v>
      </c>
      <c r="E27" s="2065" t="s">
        <v>1264</v>
      </c>
      <c r="F27" s="2065">
        <v>3</v>
      </c>
      <c r="G27" s="2065" t="s">
        <v>1264</v>
      </c>
      <c r="H27" s="2065"/>
      <c r="I27" s="2065"/>
      <c r="J27" s="2065"/>
      <c r="K27" s="2065"/>
      <c r="L27" s="2065"/>
      <c r="M27" s="2065"/>
      <c r="N27" s="2065"/>
      <c r="O27" s="2066"/>
      <c r="P27" s="821">
        <f t="shared" si="0"/>
        <v>3</v>
      </c>
      <c r="R27" s="43"/>
      <c r="S27" s="43"/>
      <c r="T27" s="43"/>
      <c r="U27" s="43"/>
      <c r="V27" s="43"/>
      <c r="W27" s="43"/>
      <c r="X27" s="43"/>
      <c r="Y27" s="43"/>
      <c r="Z27" s="43"/>
      <c r="AA27" s="43"/>
      <c r="AB27" s="43"/>
      <c r="AC27" s="43"/>
      <c r="AD27" s="43"/>
      <c r="AE27" s="43"/>
      <c r="AF27" s="99" t="s">
        <v>475</v>
      </c>
      <c r="AG27" s="98" t="b">
        <f t="shared" si="1"/>
        <v>1</v>
      </c>
      <c r="AH27" s="1312" t="b">
        <v>0</v>
      </c>
    </row>
    <row r="28" spans="1:34" ht="15.95" customHeight="1" x14ac:dyDescent="0.2">
      <c r="A28" s="2018" t="s">
        <v>1312</v>
      </c>
      <c r="B28" s="2064" t="s">
        <v>1264</v>
      </c>
      <c r="C28" s="2065" t="s">
        <v>1264</v>
      </c>
      <c r="D28" s="2065" t="s">
        <v>1264</v>
      </c>
      <c r="E28" s="2065" t="s">
        <v>1264</v>
      </c>
      <c r="F28" s="2065">
        <v>3</v>
      </c>
      <c r="G28" s="2065">
        <v>3</v>
      </c>
      <c r="H28" s="2065"/>
      <c r="I28" s="2065"/>
      <c r="J28" s="2065"/>
      <c r="K28" s="2065"/>
      <c r="L28" s="2065"/>
      <c r="M28" s="2065"/>
      <c r="N28" s="2065"/>
      <c r="O28" s="2066"/>
      <c r="P28" s="821">
        <f t="shared" si="0"/>
        <v>6</v>
      </c>
      <c r="R28" s="43"/>
      <c r="S28" s="43"/>
      <c r="T28" s="43"/>
      <c r="U28" s="43"/>
      <c r="V28" s="43"/>
      <c r="W28" s="43"/>
      <c r="X28" s="43"/>
      <c r="Y28" s="43"/>
      <c r="Z28" s="43"/>
      <c r="AA28" s="43"/>
      <c r="AB28" s="43"/>
      <c r="AC28" s="43"/>
      <c r="AD28" s="43"/>
      <c r="AE28" s="43"/>
      <c r="AF28" s="99" t="s">
        <v>475</v>
      </c>
      <c r="AG28" s="98" t="b">
        <f t="shared" si="1"/>
        <v>1</v>
      </c>
      <c r="AH28" s="1312" t="b">
        <v>0</v>
      </c>
    </row>
    <row r="29" spans="1:34" ht="15.95" customHeight="1" x14ac:dyDescent="0.2">
      <c r="A29" s="2018" t="s">
        <v>1313</v>
      </c>
      <c r="B29" s="2064" t="s">
        <v>1264</v>
      </c>
      <c r="C29" s="2065" t="s">
        <v>1264</v>
      </c>
      <c r="D29" s="2065" t="s">
        <v>1264</v>
      </c>
      <c r="E29" s="2065" t="s">
        <v>1264</v>
      </c>
      <c r="F29" s="2065">
        <v>3</v>
      </c>
      <c r="G29" s="2065" t="s">
        <v>1264</v>
      </c>
      <c r="H29" s="2065"/>
      <c r="I29" s="2065"/>
      <c r="J29" s="2065"/>
      <c r="K29" s="2065"/>
      <c r="L29" s="2065"/>
      <c r="M29" s="2065"/>
      <c r="N29" s="2065"/>
      <c r="O29" s="2066"/>
      <c r="P29" s="821">
        <f t="shared" si="0"/>
        <v>3</v>
      </c>
      <c r="R29" s="43"/>
      <c r="S29" s="43"/>
      <c r="T29" s="43"/>
      <c r="U29" s="43"/>
      <c r="V29" s="43"/>
      <c r="W29" s="43"/>
      <c r="X29" s="43"/>
      <c r="Y29" s="43"/>
      <c r="Z29" s="43"/>
      <c r="AA29" s="43"/>
      <c r="AB29" s="43"/>
      <c r="AC29" s="43"/>
      <c r="AD29" s="43"/>
      <c r="AE29" s="43"/>
      <c r="AF29" s="99" t="s">
        <v>475</v>
      </c>
      <c r="AG29" s="98" t="b">
        <f t="shared" si="1"/>
        <v>1</v>
      </c>
      <c r="AH29" s="1312" t="b">
        <v>0</v>
      </c>
    </row>
    <row r="30" spans="1:34" ht="15.95" customHeight="1" x14ac:dyDescent="0.2">
      <c r="A30" s="2018" t="s">
        <v>1314</v>
      </c>
      <c r="B30" s="2064" t="s">
        <v>1264</v>
      </c>
      <c r="C30" s="2065" t="s">
        <v>1264</v>
      </c>
      <c r="D30" s="2065" t="s">
        <v>1264</v>
      </c>
      <c r="E30" s="2065" t="s">
        <v>1264</v>
      </c>
      <c r="F30" s="2065">
        <v>1</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475</v>
      </c>
      <c r="AG30" s="98" t="b">
        <f t="shared" si="1"/>
        <v>1</v>
      </c>
      <c r="AH30" s="1312" t="b">
        <v>0</v>
      </c>
    </row>
    <row r="31" spans="1:34" ht="15.95" customHeight="1" x14ac:dyDescent="0.2">
      <c r="A31" s="2018" t="s">
        <v>1315</v>
      </c>
      <c r="B31" s="2064" t="s">
        <v>1264</v>
      </c>
      <c r="C31" s="2065" t="s">
        <v>1264</v>
      </c>
      <c r="D31" s="2065" t="s">
        <v>1264</v>
      </c>
      <c r="E31" s="2065" t="s">
        <v>1264</v>
      </c>
      <c r="F31" s="2065">
        <v>1</v>
      </c>
      <c r="G31" s="2065" t="s">
        <v>1264</v>
      </c>
      <c r="H31" s="2065"/>
      <c r="I31" s="2065"/>
      <c r="J31" s="2065"/>
      <c r="K31" s="2065"/>
      <c r="L31" s="2065"/>
      <c r="M31" s="2065"/>
      <c r="N31" s="2065"/>
      <c r="O31" s="2066"/>
      <c r="P31" s="821">
        <f t="shared" si="0"/>
        <v>1</v>
      </c>
      <c r="R31" s="43"/>
      <c r="S31" s="43"/>
      <c r="T31" s="43"/>
      <c r="U31" s="43"/>
      <c r="V31" s="43"/>
      <c r="W31" s="43"/>
      <c r="X31" s="43"/>
      <c r="Y31" s="43"/>
      <c r="Z31" s="43"/>
      <c r="AA31" s="43"/>
      <c r="AB31" s="43"/>
      <c r="AC31" s="43"/>
      <c r="AD31" s="43"/>
      <c r="AE31" s="43"/>
      <c r="AF31" s="99" t="s">
        <v>475</v>
      </c>
      <c r="AG31" s="98" t="b">
        <f t="shared" si="1"/>
        <v>1</v>
      </c>
      <c r="AH31" s="1312" t="b">
        <v>0</v>
      </c>
    </row>
    <row r="32" spans="1:34" ht="15.95" customHeight="1" x14ac:dyDescent="0.2">
      <c r="A32" s="2018" t="s">
        <v>1316</v>
      </c>
      <c r="B32" s="2064" t="s">
        <v>1264</v>
      </c>
      <c r="C32" s="2065" t="s">
        <v>1264</v>
      </c>
      <c r="D32" s="2065" t="s">
        <v>1264</v>
      </c>
      <c r="E32" s="2065" t="s">
        <v>1264</v>
      </c>
      <c r="F32" s="2065">
        <v>1</v>
      </c>
      <c r="G32" s="2065" t="s">
        <v>1264</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475</v>
      </c>
      <c r="AG32" s="98" t="b">
        <f t="shared" si="1"/>
        <v>1</v>
      </c>
      <c r="AH32" s="1312" t="b">
        <v>0</v>
      </c>
    </row>
    <row r="33" spans="1:34" ht="15.95" customHeight="1" x14ac:dyDescent="0.2">
      <c r="A33" s="2018" t="s">
        <v>1317</v>
      </c>
      <c r="B33" s="2064" t="s">
        <v>1264</v>
      </c>
      <c r="C33" s="2065" t="s">
        <v>1264</v>
      </c>
      <c r="D33" s="2065" t="s">
        <v>1264</v>
      </c>
      <c r="E33" s="2065" t="s">
        <v>1264</v>
      </c>
      <c r="F33" s="2065">
        <v>1</v>
      </c>
      <c r="G33" s="2065" t="s">
        <v>1264</v>
      </c>
      <c r="H33" s="2065"/>
      <c r="I33" s="2065"/>
      <c r="J33" s="2065"/>
      <c r="K33" s="2065"/>
      <c r="L33" s="2065"/>
      <c r="M33" s="2065"/>
      <c r="N33" s="2065"/>
      <c r="O33" s="2066"/>
      <c r="P33" s="821">
        <f t="shared" si="0"/>
        <v>1</v>
      </c>
      <c r="R33" s="43"/>
      <c r="S33" s="43"/>
      <c r="T33" s="43"/>
      <c r="U33" s="43"/>
      <c r="V33" s="43"/>
      <c r="W33" s="43"/>
      <c r="X33" s="43"/>
      <c r="Y33" s="43"/>
      <c r="Z33" s="43"/>
      <c r="AA33" s="43"/>
      <c r="AB33" s="43"/>
      <c r="AC33" s="43"/>
      <c r="AD33" s="43"/>
      <c r="AE33" s="43"/>
      <c r="AF33" s="99" t="s">
        <v>475</v>
      </c>
      <c r="AG33" s="98" t="b">
        <f t="shared" si="1"/>
        <v>1</v>
      </c>
      <c r="AH33" s="1312" t="b">
        <v>0</v>
      </c>
    </row>
    <row r="34" spans="1:34" ht="15.95" customHeight="1" x14ac:dyDescent="0.2">
      <c r="A34" s="2018" t="s">
        <v>1318</v>
      </c>
      <c r="B34" s="2064" t="s">
        <v>1264</v>
      </c>
      <c r="C34" s="2065" t="s">
        <v>1264</v>
      </c>
      <c r="D34" s="2065" t="s">
        <v>1264</v>
      </c>
      <c r="E34" s="2065" t="s">
        <v>1264</v>
      </c>
      <c r="F34" s="2065">
        <v>1</v>
      </c>
      <c r="G34" s="2065" t="s">
        <v>1264</v>
      </c>
      <c r="H34" s="2065"/>
      <c r="I34" s="2065"/>
      <c r="J34" s="2065"/>
      <c r="K34" s="2065"/>
      <c r="L34" s="2065"/>
      <c r="M34" s="2065"/>
      <c r="N34" s="2065"/>
      <c r="O34" s="2066"/>
      <c r="P34" s="821">
        <f t="shared" si="0"/>
        <v>1</v>
      </c>
      <c r="R34" s="43"/>
      <c r="S34" s="43"/>
      <c r="T34" s="43"/>
      <c r="U34" s="43"/>
      <c r="V34" s="43"/>
      <c r="W34" s="43"/>
      <c r="X34" s="43"/>
      <c r="Y34" s="43"/>
      <c r="Z34" s="43"/>
      <c r="AA34" s="43"/>
      <c r="AB34" s="43"/>
      <c r="AC34" s="43"/>
      <c r="AD34" s="43"/>
      <c r="AE34" s="43"/>
      <c r="AF34" s="99" t="s">
        <v>475</v>
      </c>
      <c r="AG34" s="98" t="b">
        <f t="shared" si="1"/>
        <v>1</v>
      </c>
      <c r="AH34" s="1312" t="b">
        <v>0</v>
      </c>
    </row>
    <row r="35" spans="1:34" ht="15.95" customHeight="1" x14ac:dyDescent="0.2">
      <c r="A35" s="2018" t="s">
        <v>1319</v>
      </c>
      <c r="B35" s="2064" t="s">
        <v>1264</v>
      </c>
      <c r="C35" s="2065" t="s">
        <v>1264</v>
      </c>
      <c r="D35" s="2065" t="s">
        <v>1264</v>
      </c>
      <c r="E35" s="2065" t="s">
        <v>1264</v>
      </c>
      <c r="F35" s="2065" t="s">
        <v>1264</v>
      </c>
      <c r="G35" s="2065">
        <v>2</v>
      </c>
      <c r="H35" s="2065"/>
      <c r="I35" s="2065"/>
      <c r="J35" s="2065"/>
      <c r="K35" s="2065"/>
      <c r="L35" s="2065"/>
      <c r="M35" s="2065"/>
      <c r="N35" s="2065"/>
      <c r="O35" s="2066"/>
      <c r="P35" s="821">
        <f t="shared" si="0"/>
        <v>2</v>
      </c>
      <c r="R35" s="43"/>
      <c r="S35" s="43"/>
      <c r="T35" s="43"/>
      <c r="U35" s="43"/>
      <c r="V35" s="43"/>
      <c r="W35" s="43"/>
      <c r="X35" s="43"/>
      <c r="Y35" s="43"/>
      <c r="Z35" s="43"/>
      <c r="AA35" s="43"/>
      <c r="AB35" s="43"/>
      <c r="AC35" s="43"/>
      <c r="AD35" s="43"/>
      <c r="AE35" s="43"/>
      <c r="AF35" s="99" t="s">
        <v>475</v>
      </c>
      <c r="AG35" s="98" t="b">
        <f t="shared" si="1"/>
        <v>1</v>
      </c>
      <c r="AH35" s="1312" t="b">
        <v>0</v>
      </c>
    </row>
    <row r="36" spans="1:34" ht="15.95" customHeight="1" x14ac:dyDescent="0.2">
      <c r="A36" s="2018" t="s">
        <v>1320</v>
      </c>
      <c r="B36" s="2064" t="s">
        <v>1264</v>
      </c>
      <c r="C36" s="2065" t="s">
        <v>1264</v>
      </c>
      <c r="D36" s="2065" t="s">
        <v>1264</v>
      </c>
      <c r="E36" s="2065" t="s">
        <v>1264</v>
      </c>
      <c r="F36" s="2065" t="s">
        <v>1264</v>
      </c>
      <c r="G36" s="2065">
        <v>1</v>
      </c>
      <c r="H36" s="2065"/>
      <c r="I36" s="2065"/>
      <c r="J36" s="2065"/>
      <c r="K36" s="2065"/>
      <c r="L36" s="2065"/>
      <c r="M36" s="2065"/>
      <c r="N36" s="2065"/>
      <c r="O36" s="2066"/>
      <c r="P36" s="821">
        <f t="shared" si="0"/>
        <v>1</v>
      </c>
      <c r="R36" s="43"/>
      <c r="S36" s="43"/>
      <c r="T36" s="43"/>
      <c r="U36" s="43"/>
      <c r="V36" s="43"/>
      <c r="W36" s="43"/>
      <c r="X36" s="43"/>
      <c r="Y36" s="43"/>
      <c r="Z36" s="43"/>
      <c r="AA36" s="43"/>
      <c r="AB36" s="43"/>
      <c r="AC36" s="43"/>
      <c r="AD36" s="43"/>
      <c r="AE36" s="43"/>
      <c r="AF36" s="99" t="s">
        <v>475</v>
      </c>
      <c r="AG36" s="98" t="b">
        <f t="shared" si="1"/>
        <v>1</v>
      </c>
      <c r="AH36" s="1312" t="b">
        <v>0</v>
      </c>
    </row>
    <row r="37" spans="1:34" ht="15.95" customHeight="1" x14ac:dyDescent="0.2">
      <c r="A37" s="2018" t="s">
        <v>1321</v>
      </c>
      <c r="B37" s="2064" t="s">
        <v>1264</v>
      </c>
      <c r="C37" s="2065" t="s">
        <v>1264</v>
      </c>
      <c r="D37" s="2065" t="s">
        <v>1264</v>
      </c>
      <c r="E37" s="2065" t="s">
        <v>1264</v>
      </c>
      <c r="F37" s="2065" t="s">
        <v>1264</v>
      </c>
      <c r="G37" s="2065">
        <v>1</v>
      </c>
      <c r="H37" s="2065"/>
      <c r="I37" s="2065"/>
      <c r="J37" s="2065"/>
      <c r="K37" s="2065"/>
      <c r="L37" s="2065"/>
      <c r="M37" s="2065"/>
      <c r="N37" s="2065"/>
      <c r="O37" s="2066"/>
      <c r="P37" s="821">
        <f t="shared" si="0"/>
        <v>1</v>
      </c>
      <c r="R37" s="43"/>
      <c r="S37" s="43"/>
      <c r="T37" s="43"/>
      <c r="U37" s="43"/>
      <c r="V37" s="43"/>
      <c r="W37" s="43"/>
      <c r="X37" s="43"/>
      <c r="Y37" s="43"/>
      <c r="Z37" s="43"/>
      <c r="AA37" s="43"/>
      <c r="AB37" s="43"/>
      <c r="AC37" s="43"/>
      <c r="AD37" s="43"/>
      <c r="AE37" s="43"/>
      <c r="AF37" s="99" t="s">
        <v>475</v>
      </c>
      <c r="AG37" s="98" t="b">
        <f t="shared" si="1"/>
        <v>1</v>
      </c>
      <c r="AH37" s="1312" t="b">
        <v>0</v>
      </c>
    </row>
    <row r="38" spans="1:34" ht="15.95" customHeight="1" x14ac:dyDescent="0.2">
      <c r="A38" s="2018" t="s">
        <v>1322</v>
      </c>
      <c r="B38" s="2064" t="s">
        <v>1264</v>
      </c>
      <c r="C38" s="2065" t="s">
        <v>1264</v>
      </c>
      <c r="D38" s="2065" t="s">
        <v>1264</v>
      </c>
      <c r="E38" s="2065" t="s">
        <v>1264</v>
      </c>
      <c r="F38" s="2065" t="s">
        <v>1264</v>
      </c>
      <c r="G38" s="2065">
        <v>3</v>
      </c>
      <c r="H38" s="2065"/>
      <c r="I38" s="2065"/>
      <c r="J38" s="2065"/>
      <c r="K38" s="2065"/>
      <c r="L38" s="2065"/>
      <c r="M38" s="2065"/>
      <c r="N38" s="2065"/>
      <c r="O38" s="2066"/>
      <c r="P38" s="821">
        <f t="shared" si="0"/>
        <v>3</v>
      </c>
      <c r="R38" s="43"/>
      <c r="S38" s="43"/>
      <c r="T38" s="43"/>
      <c r="U38" s="43"/>
      <c r="V38" s="43"/>
      <c r="W38" s="43"/>
      <c r="X38" s="43"/>
      <c r="Y38" s="43"/>
      <c r="Z38" s="43"/>
      <c r="AA38" s="43"/>
      <c r="AB38" s="43"/>
      <c r="AC38" s="43"/>
      <c r="AD38" s="43"/>
      <c r="AE38" s="43"/>
      <c r="AF38" s="99" t="s">
        <v>475</v>
      </c>
      <c r="AG38" s="98" t="b">
        <f t="shared" si="1"/>
        <v>1</v>
      </c>
      <c r="AH38" s="1312" t="b">
        <v>0</v>
      </c>
    </row>
    <row r="39" spans="1:34" ht="15.95" customHeight="1" x14ac:dyDescent="0.2">
      <c r="A39" s="2018" t="s">
        <v>1323</v>
      </c>
      <c r="B39" s="2064" t="s">
        <v>1264</v>
      </c>
      <c r="C39" s="2065" t="s">
        <v>1264</v>
      </c>
      <c r="D39" s="2065" t="s">
        <v>1264</v>
      </c>
      <c r="E39" s="2065" t="s">
        <v>1264</v>
      </c>
      <c r="F39" s="2065" t="s">
        <v>1264</v>
      </c>
      <c r="G39" s="2065">
        <v>3</v>
      </c>
      <c r="H39" s="2065"/>
      <c r="I39" s="2065"/>
      <c r="J39" s="2065"/>
      <c r="K39" s="2065"/>
      <c r="L39" s="2065"/>
      <c r="M39" s="2065"/>
      <c r="N39" s="2065"/>
      <c r="O39" s="2066"/>
      <c r="P39" s="821">
        <f t="shared" si="0"/>
        <v>3</v>
      </c>
      <c r="R39" s="43"/>
      <c r="S39" s="43"/>
      <c r="T39" s="43"/>
      <c r="U39" s="43"/>
      <c r="V39" s="43"/>
      <c r="W39" s="43"/>
      <c r="X39" s="43"/>
      <c r="Y39" s="43"/>
      <c r="Z39" s="43"/>
      <c r="AA39" s="43"/>
      <c r="AB39" s="43"/>
      <c r="AC39" s="43"/>
      <c r="AD39" s="43"/>
      <c r="AE39" s="43"/>
      <c r="AF39" s="99" t="s">
        <v>475</v>
      </c>
      <c r="AG39" s="98" t="b">
        <f t="shared" si="1"/>
        <v>1</v>
      </c>
      <c r="AH39" s="1312" t="b">
        <v>0</v>
      </c>
    </row>
    <row r="40" spans="1:34" ht="15.95" customHeight="1" x14ac:dyDescent="0.2">
      <c r="A40" s="2018"/>
      <c r="B40" s="2064"/>
      <c r="C40" s="2065"/>
      <c r="D40" s="2065"/>
      <c r="E40" s="2065"/>
      <c r="F40" s="2065"/>
      <c r="G40" s="2065"/>
      <c r="H40" s="2065"/>
      <c r="I40" s="2065"/>
      <c r="J40" s="2065"/>
      <c r="K40" s="2065"/>
      <c r="L40" s="2065"/>
      <c r="M40" s="2065"/>
      <c r="N40" s="2065"/>
      <c r="O40" s="2066"/>
      <c r="P40" s="821" t="str">
        <f t="shared" si="0"/>
        <v/>
      </c>
      <c r="R40" s="43"/>
      <c r="S40" s="43"/>
      <c r="T40" s="43"/>
      <c r="U40" s="43"/>
      <c r="V40" s="43"/>
      <c r="W40" s="43"/>
      <c r="X40" s="43"/>
      <c r="Y40" s="43"/>
      <c r="Z40" s="43"/>
      <c r="AA40" s="43"/>
      <c r="AB40" s="43"/>
      <c r="AC40" s="43"/>
      <c r="AD40" s="43"/>
      <c r="AE40" s="43"/>
      <c r="AF40" s="99"/>
      <c r="AG40" s="98" t="b">
        <f t="shared" si="1"/>
        <v>0</v>
      </c>
      <c r="AH40" s="1312" t="b">
        <v>0</v>
      </c>
    </row>
    <row r="41" spans="1:34" ht="15.95" customHeight="1" x14ac:dyDescent="0.2">
      <c r="A41" s="2018" t="s">
        <v>1324</v>
      </c>
      <c r="B41" s="2064"/>
      <c r="C41" s="2065"/>
      <c r="D41" s="2065"/>
      <c r="E41" s="2065"/>
      <c r="F41" s="2065"/>
      <c r="G41" s="2065"/>
      <c r="H41" s="2065"/>
      <c r="I41" s="2065"/>
      <c r="J41" s="2065"/>
      <c r="K41" s="2065"/>
      <c r="L41" s="2065"/>
      <c r="M41" s="2065"/>
      <c r="N41" s="2065"/>
      <c r="O41" s="2066"/>
      <c r="P41" s="821">
        <f t="shared" si="0"/>
        <v>0</v>
      </c>
      <c r="R41" s="43"/>
      <c r="S41" s="43"/>
      <c r="T41" s="43"/>
      <c r="U41" s="43"/>
      <c r="V41" s="43"/>
      <c r="W41" s="43"/>
      <c r="X41" s="43"/>
      <c r="Y41" s="43"/>
      <c r="Z41" s="43"/>
      <c r="AA41" s="43"/>
      <c r="AB41" s="43"/>
      <c r="AC41" s="43"/>
      <c r="AD41" s="43"/>
      <c r="AE41" s="43"/>
      <c r="AF41" s="99"/>
      <c r="AG41" s="98" t="b">
        <f t="shared" si="1"/>
        <v>0</v>
      </c>
      <c r="AH41" s="1312" t="b">
        <v>0</v>
      </c>
    </row>
    <row r="42" spans="1:34" ht="15.95" customHeight="1" x14ac:dyDescent="0.2">
      <c r="A42" s="2018" t="s">
        <v>1325</v>
      </c>
      <c r="B42" s="2064">
        <v>0</v>
      </c>
      <c r="C42" s="2065">
        <v>0</v>
      </c>
      <c r="D42" s="2065" t="s">
        <v>1264</v>
      </c>
      <c r="E42" s="2065" t="s">
        <v>1264</v>
      </c>
      <c r="F42" s="2065" t="s">
        <v>1264</v>
      </c>
      <c r="G42" s="2065" t="s">
        <v>1264</v>
      </c>
      <c r="H42" s="2065"/>
      <c r="I42" s="2065"/>
      <c r="J42" s="2065"/>
      <c r="K42" s="2065"/>
      <c r="L42" s="2065"/>
      <c r="M42" s="2065"/>
      <c r="N42" s="2065"/>
      <c r="O42" s="2066"/>
      <c r="P42" s="821">
        <f t="shared" si="0"/>
        <v>0</v>
      </c>
      <c r="R42" s="43"/>
      <c r="S42" s="43"/>
      <c r="T42" s="43"/>
      <c r="U42" s="43"/>
      <c r="V42" s="43"/>
      <c r="W42" s="43"/>
      <c r="X42" s="43"/>
      <c r="Y42" s="43"/>
      <c r="Z42" s="43"/>
      <c r="AA42" s="43"/>
      <c r="AB42" s="43"/>
      <c r="AC42" s="43"/>
      <c r="AD42" s="43"/>
      <c r="AE42" s="43"/>
      <c r="AF42" s="99" t="s">
        <v>75</v>
      </c>
      <c r="AG42" s="98" t="b">
        <f t="shared" si="1"/>
        <v>0</v>
      </c>
      <c r="AH42" s="1312" t="b">
        <v>0</v>
      </c>
    </row>
    <row r="43" spans="1:34" ht="15.95" customHeight="1" x14ac:dyDescent="0.2">
      <c r="A43" s="2018" t="s">
        <v>1326</v>
      </c>
      <c r="B43" s="2064">
        <v>0</v>
      </c>
      <c r="C43" s="2065">
        <v>0</v>
      </c>
      <c r="D43" s="2065" t="s">
        <v>1264</v>
      </c>
      <c r="E43" s="2065" t="s">
        <v>1264</v>
      </c>
      <c r="F43" s="2065" t="s">
        <v>1264</v>
      </c>
      <c r="G43" s="2065" t="s">
        <v>1264</v>
      </c>
      <c r="H43" s="2065"/>
      <c r="I43" s="2065"/>
      <c r="J43" s="2065"/>
      <c r="K43" s="2065"/>
      <c r="L43" s="2065"/>
      <c r="M43" s="2065"/>
      <c r="N43" s="2065"/>
      <c r="O43" s="2066"/>
      <c r="P43" s="821">
        <f t="shared" si="0"/>
        <v>0</v>
      </c>
      <c r="R43" s="43"/>
      <c r="S43" s="43"/>
      <c r="T43" s="43"/>
      <c r="U43" s="43"/>
      <c r="V43" s="43"/>
      <c r="W43" s="43"/>
      <c r="X43" s="43"/>
      <c r="Y43" s="43"/>
      <c r="Z43" s="43"/>
      <c r="AA43" s="43"/>
      <c r="AB43" s="43"/>
      <c r="AC43" s="43"/>
      <c r="AD43" s="43"/>
      <c r="AE43" s="43"/>
      <c r="AF43" s="99" t="s">
        <v>75</v>
      </c>
      <c r="AG43" s="98" t="b">
        <f t="shared" si="1"/>
        <v>0</v>
      </c>
      <c r="AH43" s="1312" t="b">
        <v>0</v>
      </c>
    </row>
    <row r="44" spans="1:34" ht="15.95" customHeight="1" x14ac:dyDescent="0.2">
      <c r="A44" s="2018" t="s">
        <v>1327</v>
      </c>
      <c r="B44" s="2064">
        <v>0</v>
      </c>
      <c r="C44" s="2065">
        <v>0</v>
      </c>
      <c r="D44" s="2065" t="s">
        <v>1264</v>
      </c>
      <c r="E44" s="2065" t="s">
        <v>1264</v>
      </c>
      <c r="F44" s="2065" t="s">
        <v>1264</v>
      </c>
      <c r="G44" s="2065" t="s">
        <v>1264</v>
      </c>
      <c r="H44" s="2065"/>
      <c r="I44" s="2065"/>
      <c r="J44" s="2065"/>
      <c r="K44" s="2065"/>
      <c r="L44" s="2065"/>
      <c r="M44" s="2065"/>
      <c r="N44" s="2065"/>
      <c r="O44" s="2066"/>
      <c r="P44" s="821">
        <f t="shared" si="0"/>
        <v>0</v>
      </c>
      <c r="R44" s="43"/>
      <c r="S44" s="43"/>
      <c r="T44" s="43"/>
      <c r="U44" s="43"/>
      <c r="V44" s="43"/>
      <c r="W44" s="43"/>
      <c r="X44" s="43"/>
      <c r="Y44" s="43"/>
      <c r="Z44" s="43"/>
      <c r="AA44" s="43"/>
      <c r="AB44" s="43"/>
      <c r="AC44" s="43"/>
      <c r="AD44" s="43"/>
      <c r="AE44" s="43"/>
      <c r="AF44" s="99" t="s">
        <v>75</v>
      </c>
      <c r="AG44" s="98" t="b">
        <f t="shared" si="1"/>
        <v>0</v>
      </c>
      <c r="AH44" s="1312" t="b">
        <v>0</v>
      </c>
    </row>
    <row r="45" spans="1:34" ht="15.95" customHeight="1" x14ac:dyDescent="0.2">
      <c r="A45" s="2018" t="s">
        <v>1328</v>
      </c>
      <c r="B45" s="2064">
        <v>0</v>
      </c>
      <c r="C45" s="2065">
        <v>0</v>
      </c>
      <c r="D45" s="2065" t="s">
        <v>1264</v>
      </c>
      <c r="E45" s="2065" t="s">
        <v>1264</v>
      </c>
      <c r="F45" s="2065" t="s">
        <v>1264</v>
      </c>
      <c r="G45" s="2065" t="s">
        <v>1264</v>
      </c>
      <c r="H45" s="2065"/>
      <c r="I45" s="2065"/>
      <c r="J45" s="2065"/>
      <c r="K45" s="2065"/>
      <c r="L45" s="2065"/>
      <c r="M45" s="2065"/>
      <c r="N45" s="2065"/>
      <c r="O45" s="2066"/>
      <c r="P45" s="821">
        <f t="shared" si="0"/>
        <v>0</v>
      </c>
      <c r="R45" s="43"/>
      <c r="S45" s="43"/>
      <c r="T45" s="43"/>
      <c r="U45" s="43"/>
      <c r="V45" s="43"/>
      <c r="W45" s="43"/>
      <c r="X45" s="43"/>
      <c r="Y45" s="43"/>
      <c r="Z45" s="43"/>
      <c r="AA45" s="43"/>
      <c r="AB45" s="43"/>
      <c r="AC45" s="43"/>
      <c r="AD45" s="43"/>
      <c r="AE45" s="43"/>
      <c r="AF45" s="99" t="s">
        <v>75</v>
      </c>
      <c r="AG45" s="98" t="b">
        <f t="shared" si="1"/>
        <v>0</v>
      </c>
      <c r="AH45" s="1312" t="b">
        <v>0</v>
      </c>
    </row>
    <row r="46" spans="1:34" ht="15.95" customHeight="1" x14ac:dyDescent="0.2">
      <c r="A46" s="2018" t="s">
        <v>1329</v>
      </c>
      <c r="B46" s="2064">
        <v>0</v>
      </c>
      <c r="C46" s="2065">
        <v>0</v>
      </c>
      <c r="D46" s="2065" t="s">
        <v>1264</v>
      </c>
      <c r="E46" s="2065" t="s">
        <v>1264</v>
      </c>
      <c r="F46" s="2065" t="s">
        <v>1264</v>
      </c>
      <c r="G46" s="2065" t="s">
        <v>1264</v>
      </c>
      <c r="H46" s="2065"/>
      <c r="I46" s="2065"/>
      <c r="J46" s="2065"/>
      <c r="K46" s="2065"/>
      <c r="L46" s="2065"/>
      <c r="M46" s="2065"/>
      <c r="N46" s="2065"/>
      <c r="O46" s="2066"/>
      <c r="P46" s="821">
        <f t="shared" si="0"/>
        <v>0</v>
      </c>
      <c r="R46" s="43"/>
      <c r="S46" s="43"/>
      <c r="T46" s="43"/>
      <c r="U46" s="43"/>
      <c r="V46" s="43"/>
      <c r="W46" s="43"/>
      <c r="X46" s="43"/>
      <c r="Y46" s="43"/>
      <c r="Z46" s="43"/>
      <c r="AA46" s="43"/>
      <c r="AB46" s="43"/>
      <c r="AC46" s="43"/>
      <c r="AD46" s="43"/>
      <c r="AE46" s="43"/>
      <c r="AF46" s="99" t="s">
        <v>75</v>
      </c>
      <c r="AG46" s="98" t="b">
        <f t="shared" si="1"/>
        <v>0</v>
      </c>
      <c r="AH46" s="1312" t="b">
        <v>0</v>
      </c>
    </row>
    <row r="47" spans="1:34" ht="15.95" customHeight="1" x14ac:dyDescent="0.2">
      <c r="A47" s="2018" t="s">
        <v>1330</v>
      </c>
      <c r="B47" s="2064">
        <v>0</v>
      </c>
      <c r="C47" s="2065" t="s">
        <v>1264</v>
      </c>
      <c r="D47" s="2065" t="s">
        <v>1264</v>
      </c>
      <c r="E47" s="2065" t="s">
        <v>1264</v>
      </c>
      <c r="F47" s="2065" t="s">
        <v>1264</v>
      </c>
      <c r="G47" s="2065" t="s">
        <v>1264</v>
      </c>
      <c r="H47" s="2065"/>
      <c r="I47" s="2065"/>
      <c r="J47" s="2065"/>
      <c r="K47" s="2065"/>
      <c r="L47" s="2065"/>
      <c r="M47" s="2065"/>
      <c r="N47" s="2065"/>
      <c r="O47" s="2066"/>
      <c r="P47" s="821">
        <f t="shared" si="0"/>
        <v>0</v>
      </c>
      <c r="R47" s="43"/>
      <c r="S47" s="43"/>
      <c r="T47" s="43"/>
      <c r="U47" s="43"/>
      <c r="V47" s="43"/>
      <c r="W47" s="43"/>
      <c r="X47" s="43"/>
      <c r="Y47" s="43"/>
      <c r="Z47" s="43"/>
      <c r="AA47" s="43"/>
      <c r="AB47" s="43"/>
      <c r="AC47" s="43"/>
      <c r="AD47" s="43"/>
      <c r="AE47" s="43"/>
      <c r="AF47" s="99" t="s">
        <v>75</v>
      </c>
      <c r="AG47" s="98" t="b">
        <f t="shared" si="1"/>
        <v>0</v>
      </c>
      <c r="AH47" s="1312" t="b">
        <v>0</v>
      </c>
    </row>
    <row r="48" spans="1:34" ht="15.95" customHeight="1" x14ac:dyDescent="0.2">
      <c r="A48" s="2018" t="s">
        <v>1331</v>
      </c>
      <c r="B48" s="2064">
        <v>0</v>
      </c>
      <c r="C48" s="2065" t="s">
        <v>1264</v>
      </c>
      <c r="D48" s="2065" t="s">
        <v>1264</v>
      </c>
      <c r="E48" s="2065" t="s">
        <v>1264</v>
      </c>
      <c r="F48" s="2065" t="s">
        <v>1264</v>
      </c>
      <c r="G48" s="2065" t="s">
        <v>1264</v>
      </c>
      <c r="H48" s="2065"/>
      <c r="I48" s="2065"/>
      <c r="J48" s="2065"/>
      <c r="K48" s="2065"/>
      <c r="L48" s="2065"/>
      <c r="M48" s="2065"/>
      <c r="N48" s="2065"/>
      <c r="O48" s="2066"/>
      <c r="P48" s="821">
        <f t="shared" si="0"/>
        <v>0</v>
      </c>
      <c r="R48" s="43"/>
      <c r="S48" s="43"/>
      <c r="T48" s="43"/>
      <c r="U48" s="43"/>
      <c r="V48" s="43"/>
      <c r="W48" s="43"/>
      <c r="X48" s="43"/>
      <c r="Y48" s="43"/>
      <c r="Z48" s="43"/>
      <c r="AA48" s="43"/>
      <c r="AB48" s="43"/>
      <c r="AC48" s="43"/>
      <c r="AD48" s="43"/>
      <c r="AE48" s="43"/>
      <c r="AF48" s="99" t="s">
        <v>75</v>
      </c>
      <c r="AG48" s="98" t="b">
        <f t="shared" si="1"/>
        <v>0</v>
      </c>
      <c r="AH48" s="1312" t="b">
        <v>0</v>
      </c>
    </row>
    <row r="49" spans="1:34" ht="15.95" customHeight="1" x14ac:dyDescent="0.2">
      <c r="A49" s="2019" t="s">
        <v>1332</v>
      </c>
      <c r="B49" s="2067">
        <v>0</v>
      </c>
      <c r="C49" s="2068" t="s">
        <v>1264</v>
      </c>
      <c r="D49" s="2068" t="s">
        <v>1264</v>
      </c>
      <c r="E49" s="2068" t="s">
        <v>1264</v>
      </c>
      <c r="F49" s="2068" t="s">
        <v>1264</v>
      </c>
      <c r="G49" s="2068" t="s">
        <v>1264</v>
      </c>
      <c r="H49" s="2068"/>
      <c r="I49" s="2068"/>
      <c r="J49" s="2068"/>
      <c r="K49" s="2068"/>
      <c r="L49" s="2068"/>
      <c r="M49" s="2068"/>
      <c r="N49" s="2068"/>
      <c r="O49" s="2069"/>
      <c r="P49" s="821">
        <f t="shared" si="0"/>
        <v>0</v>
      </c>
      <c r="R49" s="43"/>
      <c r="S49" s="43"/>
      <c r="T49" s="43"/>
      <c r="U49" s="43"/>
      <c r="V49" s="43"/>
      <c r="W49" s="43"/>
      <c r="X49" s="43"/>
      <c r="Y49" s="43"/>
      <c r="Z49" s="43"/>
      <c r="AA49" s="43"/>
      <c r="AB49" s="43"/>
      <c r="AC49" s="43"/>
      <c r="AD49" s="43"/>
      <c r="AE49" s="43"/>
      <c r="AF49" s="99" t="s">
        <v>74</v>
      </c>
      <c r="AG49" s="98" t="b">
        <f t="shared" si="1"/>
        <v>0</v>
      </c>
      <c r="AH49" s="1312" t="b">
        <v>0</v>
      </c>
    </row>
    <row r="50" spans="1:34" ht="15" customHeight="1" x14ac:dyDescent="0.2">
      <c r="A50" s="817" t="s">
        <v>91</v>
      </c>
      <c r="B50" s="818">
        <f t="shared" ref="B50:O50" si="2">IF(ISBLANK(B13),"",SUM(B14:B49))</f>
        <v>0</v>
      </c>
      <c r="C50" s="818">
        <f t="shared" si="2"/>
        <v>0</v>
      </c>
      <c r="D50" s="818">
        <f t="shared" si="2"/>
        <v>7</v>
      </c>
      <c r="E50" s="818">
        <f t="shared" si="2"/>
        <v>2</v>
      </c>
      <c r="F50" s="818">
        <f t="shared" si="2"/>
        <v>24</v>
      </c>
      <c r="G50" s="818">
        <f t="shared" si="2"/>
        <v>22</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2012</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e/71s8JpxkmRhWNHUURxclwcHWFR7vIkNUpSrpb8+ZPpkRr9O4pvEbBWmbfSBAyldzL9w8+y8nv6KLnT1+64pA==" saltValue="k9YDMtSez2AKI0D1JzM2d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41" priority="2">
      <formula>OR(A14="Girder",A14="Girders",A14="Joist",A14="Joists",A14="Bridging")</formula>
    </cfRule>
    <cfRule type="expression" dxfId="1440" priority="3">
      <formula>AND(P14&gt;0,ISBLANK(AF14),OR($R$1="",$R$1="M"))</formula>
    </cfRule>
    <cfRule type="expression" dxfId="1439" priority="9">
      <formula>$AH14</formula>
    </cfRule>
  </conditionalFormatting>
  <conditionalFormatting sqref="H2:J4">
    <cfRule type="cellIs" dxfId="1438" priority="7" stopIfTrue="1" operator="equal">
      <formula>""</formula>
    </cfRule>
  </conditionalFormatting>
  <conditionalFormatting sqref="B14:O49">
    <cfRule type="expression" dxfId="1437" priority="4">
      <formula>IF($R$1="M",AND(B14&gt;R14,R14&gt;0),B14&lt;R14)</formula>
    </cfRule>
    <cfRule type="expression" dxfId="1436" priority="5">
      <formula>OR(AND($R$1="M",B14=R14),B14="-")</formula>
    </cfRule>
    <cfRule type="expression" dxfId="1435" priority="6">
      <formula>IF(NOT(ISBLANK($R$1)),IF($R$1="M",IF(ISTEXT(B14),0,B14)&lt;R14,IF(ISTEXT(B14),0,B14)&gt;R14))</formula>
    </cfRule>
    <cfRule type="expression" dxfId="1434" priority="8">
      <formula>OR($AH14,B$63)</formula>
    </cfRule>
  </conditionalFormatting>
  <conditionalFormatting sqref="B13:O13">
    <cfRule type="expression" dxfId="1433" priority="1">
      <formula>AND(NOT(ISBLANK(B$13)),ISERROR(MATCH(B$13,$AK:$AK,0)))</formula>
    </cfRule>
    <cfRule type="expression" dxfId="143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indexed="31"/>
  </sheetPr>
  <dimension ref="A1:AL65"/>
  <sheetViews>
    <sheetView showGridLines="0" topLeftCell="A14"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15 of 42</v>
      </c>
      <c r="M7" s="822"/>
      <c r="N7" s="473"/>
      <c r="O7" s="473"/>
      <c r="P7" s="566"/>
      <c r="R7" s="1393">
        <v>15</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1333</v>
      </c>
      <c r="B15" s="2064">
        <v>0</v>
      </c>
      <c r="C15" s="2065" t="s">
        <v>1264</v>
      </c>
      <c r="D15" s="2065" t="s">
        <v>1264</v>
      </c>
      <c r="E15" s="2065" t="s">
        <v>1264</v>
      </c>
      <c r="F15" s="2065" t="s">
        <v>1264</v>
      </c>
      <c r="G15" s="2065" t="s">
        <v>1264</v>
      </c>
      <c r="H15" s="2065"/>
      <c r="I15" s="2065"/>
      <c r="J15" s="2065"/>
      <c r="K15" s="2065"/>
      <c r="L15" s="2065"/>
      <c r="M15" s="2065"/>
      <c r="N15" s="2065"/>
      <c r="O15" s="2066"/>
      <c r="P15" s="821">
        <f t="shared" si="0"/>
        <v>0</v>
      </c>
      <c r="R15" s="43"/>
      <c r="S15" s="43"/>
      <c r="T15" s="43"/>
      <c r="U15" s="43"/>
      <c r="V15" s="43"/>
      <c r="W15" s="43"/>
      <c r="X15" s="43"/>
      <c r="Y15" s="43"/>
      <c r="Z15" s="43"/>
      <c r="AA15" s="43"/>
      <c r="AB15" s="43"/>
      <c r="AC15" s="43"/>
      <c r="AD15" s="43"/>
      <c r="AE15" s="43"/>
      <c r="AF15" s="99" t="s">
        <v>74</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12" t="b">
        <v>0</v>
      </c>
    </row>
    <row r="16" spans="1:38" ht="15.95" customHeight="1" x14ac:dyDescent="0.2">
      <c r="A16" s="2018" t="s">
        <v>1334</v>
      </c>
      <c r="B16" s="2064">
        <v>0</v>
      </c>
      <c r="C16" s="2065" t="s">
        <v>1264</v>
      </c>
      <c r="D16" s="2065" t="s">
        <v>1264</v>
      </c>
      <c r="E16" s="2065" t="s">
        <v>1264</v>
      </c>
      <c r="F16" s="2065" t="s">
        <v>1264</v>
      </c>
      <c r="G16" s="2065" t="s">
        <v>1264</v>
      </c>
      <c r="H16" s="2065"/>
      <c r="I16" s="2065"/>
      <c r="J16" s="2065"/>
      <c r="K16" s="2065"/>
      <c r="L16" s="2065"/>
      <c r="M16" s="2065"/>
      <c r="N16" s="2065"/>
      <c r="O16" s="2066"/>
      <c r="P16" s="821">
        <f t="shared" si="0"/>
        <v>0</v>
      </c>
      <c r="R16" s="43"/>
      <c r="S16" s="43"/>
      <c r="T16" s="43"/>
      <c r="U16" s="43"/>
      <c r="V16" s="43"/>
      <c r="W16" s="43"/>
      <c r="X16" s="43"/>
      <c r="Y16" s="43"/>
      <c r="Z16" s="43"/>
      <c r="AA16" s="43"/>
      <c r="AB16" s="43"/>
      <c r="AC16" s="43"/>
      <c r="AD16" s="43"/>
      <c r="AE16" s="43"/>
      <c r="AF16" s="99" t="s">
        <v>74</v>
      </c>
      <c r="AG16" s="98" t="b">
        <f t="shared" si="1"/>
        <v>0</v>
      </c>
      <c r="AH16" s="1312" t="b">
        <v>0</v>
      </c>
    </row>
    <row r="17" spans="1:34" ht="15.95" customHeight="1" x14ac:dyDescent="0.2">
      <c r="A17" s="2018" t="s">
        <v>1335</v>
      </c>
      <c r="B17" s="2064">
        <v>0</v>
      </c>
      <c r="C17" s="2065" t="s">
        <v>1264</v>
      </c>
      <c r="D17" s="2065" t="s">
        <v>1264</v>
      </c>
      <c r="E17" s="2065" t="s">
        <v>1264</v>
      </c>
      <c r="F17" s="2065" t="s">
        <v>1264</v>
      </c>
      <c r="G17" s="2065" t="s">
        <v>1264</v>
      </c>
      <c r="H17" s="2065"/>
      <c r="I17" s="2065"/>
      <c r="J17" s="2065"/>
      <c r="K17" s="2065"/>
      <c r="L17" s="2065"/>
      <c r="M17" s="2065"/>
      <c r="N17" s="2065"/>
      <c r="O17" s="2066"/>
      <c r="P17" s="821">
        <f t="shared" si="0"/>
        <v>0</v>
      </c>
      <c r="R17" s="43"/>
      <c r="S17" s="43"/>
      <c r="T17" s="43"/>
      <c r="U17" s="43"/>
      <c r="V17" s="43"/>
      <c r="W17" s="43"/>
      <c r="X17" s="43"/>
      <c r="Y17" s="43"/>
      <c r="Z17" s="43"/>
      <c r="AA17" s="43"/>
      <c r="AB17" s="43"/>
      <c r="AC17" s="43"/>
      <c r="AD17" s="43"/>
      <c r="AE17" s="43"/>
      <c r="AF17" s="99" t="s">
        <v>74</v>
      </c>
      <c r="AG17" s="98" t="b">
        <f t="shared" si="1"/>
        <v>0</v>
      </c>
      <c r="AH17" s="1312" t="b">
        <v>0</v>
      </c>
    </row>
    <row r="18" spans="1:34" ht="15.95" customHeight="1" x14ac:dyDescent="0.2">
      <c r="A18" s="2018" t="s">
        <v>1336</v>
      </c>
      <c r="B18" s="2064">
        <v>0</v>
      </c>
      <c r="C18" s="2065" t="s">
        <v>1264</v>
      </c>
      <c r="D18" s="2065" t="s">
        <v>1264</v>
      </c>
      <c r="E18" s="2065" t="s">
        <v>1264</v>
      </c>
      <c r="F18" s="2065" t="s">
        <v>1264</v>
      </c>
      <c r="G18" s="2065" t="s">
        <v>1264</v>
      </c>
      <c r="H18" s="2065"/>
      <c r="I18" s="2065"/>
      <c r="J18" s="2065"/>
      <c r="K18" s="2065"/>
      <c r="L18" s="2065"/>
      <c r="M18" s="2065"/>
      <c r="N18" s="2065"/>
      <c r="O18" s="2066"/>
      <c r="P18" s="821">
        <f t="shared" si="0"/>
        <v>0</v>
      </c>
      <c r="R18" s="43"/>
      <c r="S18" s="43"/>
      <c r="T18" s="43"/>
      <c r="U18" s="43"/>
      <c r="V18" s="43"/>
      <c r="W18" s="43"/>
      <c r="X18" s="43"/>
      <c r="Y18" s="43"/>
      <c r="Z18" s="43"/>
      <c r="AA18" s="43"/>
      <c r="AB18" s="43"/>
      <c r="AC18" s="43"/>
      <c r="AD18" s="43"/>
      <c r="AE18" s="43"/>
      <c r="AF18" s="99" t="s">
        <v>74</v>
      </c>
      <c r="AG18" s="98" t="b">
        <f t="shared" si="1"/>
        <v>0</v>
      </c>
      <c r="AH18" s="1312" t="b">
        <v>0</v>
      </c>
    </row>
    <row r="19" spans="1:34" ht="15.95" customHeight="1" x14ac:dyDescent="0.2">
      <c r="A19" s="2018" t="s">
        <v>1337</v>
      </c>
      <c r="B19" s="2064">
        <v>0</v>
      </c>
      <c r="C19" s="2065" t="s">
        <v>1264</v>
      </c>
      <c r="D19" s="2065" t="s">
        <v>1264</v>
      </c>
      <c r="E19" s="2065" t="s">
        <v>1264</v>
      </c>
      <c r="F19" s="2065" t="s">
        <v>1264</v>
      </c>
      <c r="G19" s="2065" t="s">
        <v>1264</v>
      </c>
      <c r="H19" s="2065"/>
      <c r="I19" s="2065"/>
      <c r="J19" s="2065"/>
      <c r="K19" s="2065"/>
      <c r="L19" s="2065"/>
      <c r="M19" s="2065"/>
      <c r="N19" s="2065"/>
      <c r="O19" s="2066"/>
      <c r="P19" s="821">
        <f t="shared" si="0"/>
        <v>0</v>
      </c>
      <c r="R19" s="43"/>
      <c r="S19" s="43"/>
      <c r="T19" s="43"/>
      <c r="U19" s="43"/>
      <c r="V19" s="43"/>
      <c r="W19" s="43"/>
      <c r="X19" s="43"/>
      <c r="Y19" s="43"/>
      <c r="Z19" s="43"/>
      <c r="AA19" s="43"/>
      <c r="AB19" s="43"/>
      <c r="AC19" s="43"/>
      <c r="AD19" s="43"/>
      <c r="AE19" s="43"/>
      <c r="AF19" s="99" t="s">
        <v>74</v>
      </c>
      <c r="AG19" s="98" t="b">
        <f t="shared" si="1"/>
        <v>0</v>
      </c>
      <c r="AH19" s="1312" t="b">
        <v>0</v>
      </c>
    </row>
    <row r="20" spans="1:34" ht="15.95" customHeight="1" x14ac:dyDescent="0.2">
      <c r="A20" s="2018" t="s">
        <v>1338</v>
      </c>
      <c r="B20" s="2064">
        <v>0</v>
      </c>
      <c r="C20" s="2065" t="s">
        <v>1264</v>
      </c>
      <c r="D20" s="2065" t="s">
        <v>1264</v>
      </c>
      <c r="E20" s="2065" t="s">
        <v>1264</v>
      </c>
      <c r="F20" s="2065" t="s">
        <v>1264</v>
      </c>
      <c r="G20" s="2065" t="s">
        <v>1264</v>
      </c>
      <c r="H20" s="2065"/>
      <c r="I20" s="2065"/>
      <c r="J20" s="2065"/>
      <c r="K20" s="2065"/>
      <c r="L20" s="2065"/>
      <c r="M20" s="2065"/>
      <c r="N20" s="2065"/>
      <c r="O20" s="2066"/>
      <c r="P20" s="821">
        <f t="shared" si="0"/>
        <v>0</v>
      </c>
      <c r="R20" s="43"/>
      <c r="S20" s="43"/>
      <c r="T20" s="43"/>
      <c r="U20" s="43"/>
      <c r="V20" s="43"/>
      <c r="W20" s="43"/>
      <c r="X20" s="43"/>
      <c r="Y20" s="43"/>
      <c r="Z20" s="43"/>
      <c r="AA20" s="43"/>
      <c r="AB20" s="43"/>
      <c r="AC20" s="43"/>
      <c r="AD20" s="43"/>
      <c r="AE20" s="43"/>
      <c r="AF20" s="99" t="s">
        <v>75</v>
      </c>
      <c r="AG20" s="98" t="b">
        <f t="shared" si="1"/>
        <v>0</v>
      </c>
      <c r="AH20" s="1312" t="b">
        <v>0</v>
      </c>
    </row>
    <row r="21" spans="1:34" ht="15.95" customHeight="1" x14ac:dyDescent="0.2">
      <c r="A21" s="2018" t="s">
        <v>1339</v>
      </c>
      <c r="B21" s="2064">
        <v>0</v>
      </c>
      <c r="C21" s="2065" t="s">
        <v>1264</v>
      </c>
      <c r="D21" s="2065" t="s">
        <v>1264</v>
      </c>
      <c r="E21" s="2065" t="s">
        <v>1264</v>
      </c>
      <c r="F21" s="2065" t="s">
        <v>1264</v>
      </c>
      <c r="G21" s="2065" t="s">
        <v>1264</v>
      </c>
      <c r="H21" s="2065"/>
      <c r="I21" s="2065"/>
      <c r="J21" s="2065"/>
      <c r="K21" s="2065"/>
      <c r="L21" s="2065"/>
      <c r="M21" s="2065"/>
      <c r="N21" s="2065"/>
      <c r="O21" s="2066"/>
      <c r="P21" s="821">
        <f t="shared" si="0"/>
        <v>0</v>
      </c>
      <c r="R21" s="43"/>
      <c r="S21" s="43"/>
      <c r="T21" s="43"/>
      <c r="U21" s="43"/>
      <c r="V21" s="43"/>
      <c r="W21" s="43"/>
      <c r="X21" s="43"/>
      <c r="Y21" s="43"/>
      <c r="Z21" s="43"/>
      <c r="AA21" s="43"/>
      <c r="AB21" s="43"/>
      <c r="AC21" s="43"/>
      <c r="AD21" s="43"/>
      <c r="AE21" s="43"/>
      <c r="AF21" s="99" t="s">
        <v>75</v>
      </c>
      <c r="AG21" s="98" t="b">
        <f t="shared" si="1"/>
        <v>0</v>
      </c>
      <c r="AH21" s="1312" t="b">
        <v>0</v>
      </c>
    </row>
    <row r="22" spans="1:34" ht="15.95" customHeight="1" x14ac:dyDescent="0.2">
      <c r="A22" s="2018" t="s">
        <v>1340</v>
      </c>
      <c r="B22" s="2064">
        <v>0</v>
      </c>
      <c r="C22" s="2065">
        <v>0</v>
      </c>
      <c r="D22" s="2065" t="s">
        <v>1264</v>
      </c>
      <c r="E22" s="2065" t="s">
        <v>1264</v>
      </c>
      <c r="F22" s="2065" t="s">
        <v>1264</v>
      </c>
      <c r="G22" s="2065" t="s">
        <v>1264</v>
      </c>
      <c r="H22" s="2065"/>
      <c r="I22" s="2065"/>
      <c r="J22" s="2065"/>
      <c r="K22" s="2065"/>
      <c r="L22" s="2065"/>
      <c r="M22" s="2065"/>
      <c r="N22" s="2065"/>
      <c r="O22" s="2066"/>
      <c r="P22" s="821">
        <f t="shared" si="0"/>
        <v>0</v>
      </c>
      <c r="R22" s="43"/>
      <c r="S22" s="43"/>
      <c r="T22" s="43"/>
      <c r="U22" s="43"/>
      <c r="V22" s="43"/>
      <c r="W22" s="43"/>
      <c r="X22" s="43"/>
      <c r="Y22" s="43"/>
      <c r="Z22" s="43"/>
      <c r="AA22" s="43"/>
      <c r="AB22" s="43"/>
      <c r="AC22" s="43"/>
      <c r="AD22" s="43"/>
      <c r="AE22" s="43"/>
      <c r="AF22" s="99" t="s">
        <v>75</v>
      </c>
      <c r="AG22" s="98" t="b">
        <f t="shared" si="1"/>
        <v>0</v>
      </c>
      <c r="AH22" s="1312" t="b">
        <v>0</v>
      </c>
    </row>
    <row r="23" spans="1:34" ht="15.95" customHeight="1" x14ac:dyDescent="0.2">
      <c r="A23" s="2018" t="s">
        <v>1341</v>
      </c>
      <c r="B23" s="2064">
        <v>0</v>
      </c>
      <c r="C23" s="2065">
        <v>0</v>
      </c>
      <c r="D23" s="2065" t="s">
        <v>1264</v>
      </c>
      <c r="E23" s="2065" t="s">
        <v>1264</v>
      </c>
      <c r="F23" s="2065" t="s">
        <v>1264</v>
      </c>
      <c r="G23" s="2065" t="s">
        <v>1264</v>
      </c>
      <c r="H23" s="2065"/>
      <c r="I23" s="2065"/>
      <c r="J23" s="2065"/>
      <c r="K23" s="2065"/>
      <c r="L23" s="2065"/>
      <c r="M23" s="2065"/>
      <c r="N23" s="2065"/>
      <c r="O23" s="2066"/>
      <c r="P23" s="821">
        <f t="shared" si="0"/>
        <v>0</v>
      </c>
      <c r="R23" s="43"/>
      <c r="S23" s="43"/>
      <c r="T23" s="43"/>
      <c r="U23" s="43"/>
      <c r="V23" s="43"/>
      <c r="W23" s="43"/>
      <c r="X23" s="43"/>
      <c r="Y23" s="43"/>
      <c r="Z23" s="43"/>
      <c r="AA23" s="43"/>
      <c r="AB23" s="43"/>
      <c r="AC23" s="43"/>
      <c r="AD23" s="43"/>
      <c r="AE23" s="43"/>
      <c r="AF23" s="99" t="s">
        <v>75</v>
      </c>
      <c r="AG23" s="98" t="b">
        <f t="shared" si="1"/>
        <v>0</v>
      </c>
      <c r="AH23" s="1312" t="b">
        <v>0</v>
      </c>
    </row>
    <row r="24" spans="1:34" ht="15.95" customHeight="1" x14ac:dyDescent="0.2">
      <c r="A24" s="2018" t="s">
        <v>1342</v>
      </c>
      <c r="B24" s="2064">
        <v>0</v>
      </c>
      <c r="C24" s="2065">
        <v>0</v>
      </c>
      <c r="D24" s="2065" t="s">
        <v>1264</v>
      </c>
      <c r="E24" s="2065" t="s">
        <v>1264</v>
      </c>
      <c r="F24" s="2065" t="s">
        <v>1264</v>
      </c>
      <c r="G24" s="2065" t="s">
        <v>1264</v>
      </c>
      <c r="H24" s="2065"/>
      <c r="I24" s="2065"/>
      <c r="J24" s="2065"/>
      <c r="K24" s="2065"/>
      <c r="L24" s="2065"/>
      <c r="M24" s="2065"/>
      <c r="N24" s="2065"/>
      <c r="O24" s="2066"/>
      <c r="P24" s="821">
        <f t="shared" si="0"/>
        <v>0</v>
      </c>
      <c r="R24" s="43"/>
      <c r="S24" s="43"/>
      <c r="T24" s="43"/>
      <c r="U24" s="43"/>
      <c r="V24" s="43"/>
      <c r="W24" s="43"/>
      <c r="X24" s="43"/>
      <c r="Y24" s="43"/>
      <c r="Z24" s="43"/>
      <c r="AA24" s="43"/>
      <c r="AB24" s="43"/>
      <c r="AC24" s="43"/>
      <c r="AD24" s="43"/>
      <c r="AE24" s="43"/>
      <c r="AF24" s="99" t="s">
        <v>75</v>
      </c>
      <c r="AG24" s="98" t="b">
        <f t="shared" si="1"/>
        <v>0</v>
      </c>
      <c r="AH24" s="1312" t="b">
        <v>0</v>
      </c>
    </row>
    <row r="25" spans="1:34" ht="15.95" customHeight="1" x14ac:dyDescent="0.2">
      <c r="A25" s="2018" t="s">
        <v>1343</v>
      </c>
      <c r="B25" s="2064">
        <v>0</v>
      </c>
      <c r="C25" s="2065">
        <v>0</v>
      </c>
      <c r="D25" s="2065" t="s">
        <v>1264</v>
      </c>
      <c r="E25" s="2065" t="s">
        <v>1264</v>
      </c>
      <c r="F25" s="2065" t="s">
        <v>1264</v>
      </c>
      <c r="G25" s="2065" t="s">
        <v>1264</v>
      </c>
      <c r="H25" s="2065"/>
      <c r="I25" s="2065"/>
      <c r="J25" s="2065"/>
      <c r="K25" s="2065"/>
      <c r="L25" s="2065"/>
      <c r="M25" s="2065"/>
      <c r="N25" s="2065"/>
      <c r="O25" s="2066"/>
      <c r="P25" s="821">
        <f t="shared" si="0"/>
        <v>0</v>
      </c>
      <c r="R25" s="43"/>
      <c r="S25" s="43"/>
      <c r="T25" s="43"/>
      <c r="U25" s="43"/>
      <c r="V25" s="43"/>
      <c r="W25" s="43"/>
      <c r="X25" s="43"/>
      <c r="Y25" s="43"/>
      <c r="Z25" s="43"/>
      <c r="AA25" s="43"/>
      <c r="AB25" s="43"/>
      <c r="AC25" s="43"/>
      <c r="AD25" s="43"/>
      <c r="AE25" s="43"/>
      <c r="AF25" s="99" t="s">
        <v>75</v>
      </c>
      <c r="AG25" s="98" t="b">
        <f t="shared" si="1"/>
        <v>0</v>
      </c>
      <c r="AH25" s="1312" t="b">
        <v>0</v>
      </c>
    </row>
    <row r="26" spans="1:34" ht="15.95" customHeight="1" x14ac:dyDescent="0.2">
      <c r="A26" s="2018" t="s">
        <v>1344</v>
      </c>
      <c r="B26" s="2064">
        <v>0</v>
      </c>
      <c r="C26" s="2065">
        <v>0</v>
      </c>
      <c r="D26" s="2065" t="s">
        <v>1264</v>
      </c>
      <c r="E26" s="2065" t="s">
        <v>1264</v>
      </c>
      <c r="F26" s="2065" t="s">
        <v>1264</v>
      </c>
      <c r="G26" s="2065" t="s">
        <v>1264</v>
      </c>
      <c r="H26" s="2065"/>
      <c r="I26" s="2065"/>
      <c r="J26" s="2065"/>
      <c r="K26" s="2065"/>
      <c r="L26" s="2065"/>
      <c r="M26" s="2065"/>
      <c r="N26" s="2065"/>
      <c r="O26" s="2066"/>
      <c r="P26" s="821">
        <f t="shared" si="0"/>
        <v>0</v>
      </c>
      <c r="R26" s="43"/>
      <c r="S26" s="43"/>
      <c r="T26" s="43"/>
      <c r="U26" s="43"/>
      <c r="V26" s="43"/>
      <c r="W26" s="43"/>
      <c r="X26" s="43"/>
      <c r="Y26" s="43"/>
      <c r="Z26" s="43"/>
      <c r="AA26" s="43"/>
      <c r="AB26" s="43"/>
      <c r="AC26" s="43"/>
      <c r="AD26" s="43"/>
      <c r="AE26" s="43"/>
      <c r="AF26" s="99" t="s">
        <v>75</v>
      </c>
      <c r="AG26" s="98" t="b">
        <f t="shared" si="1"/>
        <v>0</v>
      </c>
      <c r="AH26" s="1312" t="b">
        <v>0</v>
      </c>
    </row>
    <row r="27" spans="1:34" ht="15.95" customHeight="1" x14ac:dyDescent="0.2">
      <c r="A27" s="2018" t="s">
        <v>1345</v>
      </c>
      <c r="B27" s="2064">
        <v>0</v>
      </c>
      <c r="C27" s="2065" t="s">
        <v>1264</v>
      </c>
      <c r="D27" s="2065" t="s">
        <v>1264</v>
      </c>
      <c r="E27" s="2065" t="s">
        <v>1264</v>
      </c>
      <c r="F27" s="2065" t="s">
        <v>1264</v>
      </c>
      <c r="G27" s="2065" t="s">
        <v>1264</v>
      </c>
      <c r="H27" s="2065"/>
      <c r="I27" s="2065"/>
      <c r="J27" s="2065"/>
      <c r="K27" s="2065"/>
      <c r="L27" s="2065"/>
      <c r="M27" s="2065"/>
      <c r="N27" s="2065"/>
      <c r="O27" s="2066"/>
      <c r="P27" s="821">
        <f t="shared" si="0"/>
        <v>0</v>
      </c>
      <c r="R27" s="43"/>
      <c r="S27" s="43"/>
      <c r="T27" s="43"/>
      <c r="U27" s="43"/>
      <c r="V27" s="43"/>
      <c r="W27" s="43"/>
      <c r="X27" s="43"/>
      <c r="Y27" s="43"/>
      <c r="Z27" s="43"/>
      <c r="AA27" s="43"/>
      <c r="AB27" s="43"/>
      <c r="AC27" s="43"/>
      <c r="AD27" s="43"/>
      <c r="AE27" s="43"/>
      <c r="AF27" s="99" t="s">
        <v>75</v>
      </c>
      <c r="AG27" s="98" t="b">
        <f t="shared" si="1"/>
        <v>0</v>
      </c>
      <c r="AH27" s="1312" t="b">
        <v>0</v>
      </c>
    </row>
    <row r="28" spans="1:34" ht="15.95" customHeight="1" x14ac:dyDescent="0.2">
      <c r="A28" s="2018" t="s">
        <v>1346</v>
      </c>
      <c r="B28" s="2064">
        <v>0</v>
      </c>
      <c r="C28" s="2065" t="s">
        <v>1264</v>
      </c>
      <c r="D28" s="2065" t="s">
        <v>1264</v>
      </c>
      <c r="E28" s="2065" t="s">
        <v>1264</v>
      </c>
      <c r="F28" s="2065" t="s">
        <v>1264</v>
      </c>
      <c r="G28" s="2065" t="s">
        <v>1264</v>
      </c>
      <c r="H28" s="2065"/>
      <c r="I28" s="2065"/>
      <c r="J28" s="2065"/>
      <c r="K28" s="2065"/>
      <c r="L28" s="2065"/>
      <c r="M28" s="2065"/>
      <c r="N28" s="2065"/>
      <c r="O28" s="2066"/>
      <c r="P28" s="821">
        <f t="shared" si="0"/>
        <v>0</v>
      </c>
      <c r="R28" s="43"/>
      <c r="S28" s="43"/>
      <c r="T28" s="43"/>
      <c r="U28" s="43"/>
      <c r="V28" s="43"/>
      <c r="W28" s="43"/>
      <c r="X28" s="43"/>
      <c r="Y28" s="43"/>
      <c r="Z28" s="43"/>
      <c r="AA28" s="43"/>
      <c r="AB28" s="43"/>
      <c r="AC28" s="43"/>
      <c r="AD28" s="43"/>
      <c r="AE28" s="43"/>
      <c r="AF28" s="99" t="s">
        <v>75</v>
      </c>
      <c r="AG28" s="98" t="b">
        <f t="shared" si="1"/>
        <v>0</v>
      </c>
      <c r="AH28" s="1312" t="b">
        <v>0</v>
      </c>
    </row>
    <row r="29" spans="1:34" ht="15.95" customHeight="1" x14ac:dyDescent="0.2">
      <c r="A29" s="2018" t="s">
        <v>1347</v>
      </c>
      <c r="B29" s="2064">
        <v>0</v>
      </c>
      <c r="C29" s="2065" t="s">
        <v>1264</v>
      </c>
      <c r="D29" s="2065" t="s">
        <v>1264</v>
      </c>
      <c r="E29" s="2065" t="s">
        <v>1264</v>
      </c>
      <c r="F29" s="2065" t="s">
        <v>1264</v>
      </c>
      <c r="G29" s="2065" t="s">
        <v>1264</v>
      </c>
      <c r="H29" s="2065"/>
      <c r="I29" s="2065"/>
      <c r="J29" s="2065"/>
      <c r="K29" s="2065"/>
      <c r="L29" s="2065"/>
      <c r="M29" s="2065"/>
      <c r="N29" s="2065"/>
      <c r="O29" s="2066"/>
      <c r="P29" s="821">
        <f t="shared" si="0"/>
        <v>0</v>
      </c>
      <c r="R29" s="43"/>
      <c r="S29" s="43"/>
      <c r="T29" s="43"/>
      <c r="U29" s="43"/>
      <c r="V29" s="43"/>
      <c r="W29" s="43"/>
      <c r="X29" s="43"/>
      <c r="Y29" s="43"/>
      <c r="Z29" s="43"/>
      <c r="AA29" s="43"/>
      <c r="AB29" s="43"/>
      <c r="AC29" s="43"/>
      <c r="AD29" s="43"/>
      <c r="AE29" s="43"/>
      <c r="AF29" s="99" t="s">
        <v>75</v>
      </c>
      <c r="AG29" s="98" t="b">
        <f t="shared" si="1"/>
        <v>0</v>
      </c>
      <c r="AH29" s="1312" t="b">
        <v>0</v>
      </c>
    </row>
    <row r="30" spans="1:34" ht="15.95" customHeight="1" x14ac:dyDescent="0.2">
      <c r="A30" s="2018" t="s">
        <v>1348</v>
      </c>
      <c r="B30" s="2064">
        <v>0</v>
      </c>
      <c r="C30" s="2065" t="s">
        <v>1264</v>
      </c>
      <c r="D30" s="2065" t="s">
        <v>1264</v>
      </c>
      <c r="E30" s="2065" t="s">
        <v>1264</v>
      </c>
      <c r="F30" s="2065" t="s">
        <v>1264</v>
      </c>
      <c r="G30" s="2065" t="s">
        <v>1264</v>
      </c>
      <c r="H30" s="2065"/>
      <c r="I30" s="2065"/>
      <c r="J30" s="2065"/>
      <c r="K30" s="2065"/>
      <c r="L30" s="2065"/>
      <c r="M30" s="2065"/>
      <c r="N30" s="2065"/>
      <c r="O30" s="2066"/>
      <c r="P30" s="821">
        <f t="shared" si="0"/>
        <v>0</v>
      </c>
      <c r="R30" s="43"/>
      <c r="S30" s="43"/>
      <c r="T30" s="43"/>
      <c r="U30" s="43"/>
      <c r="V30" s="43"/>
      <c r="W30" s="43"/>
      <c r="X30" s="43"/>
      <c r="Y30" s="43"/>
      <c r="Z30" s="43"/>
      <c r="AA30" s="43"/>
      <c r="AB30" s="43"/>
      <c r="AC30" s="43"/>
      <c r="AD30" s="43"/>
      <c r="AE30" s="43"/>
      <c r="AF30" s="99" t="s">
        <v>75</v>
      </c>
      <c r="AG30" s="98" t="b">
        <f t="shared" si="1"/>
        <v>0</v>
      </c>
      <c r="AH30" s="1312" t="b">
        <v>0</v>
      </c>
    </row>
    <row r="31" spans="1:34" ht="15.95" customHeight="1" x14ac:dyDescent="0.2">
      <c r="A31" s="2018" t="s">
        <v>1349</v>
      </c>
      <c r="B31" s="2064">
        <v>0</v>
      </c>
      <c r="C31" s="2065">
        <v>0</v>
      </c>
      <c r="D31" s="2065" t="s">
        <v>1264</v>
      </c>
      <c r="E31" s="2065" t="s">
        <v>1264</v>
      </c>
      <c r="F31" s="2065" t="s">
        <v>1264</v>
      </c>
      <c r="G31" s="2065" t="s">
        <v>1264</v>
      </c>
      <c r="H31" s="2065"/>
      <c r="I31" s="2065"/>
      <c r="J31" s="2065"/>
      <c r="K31" s="2065"/>
      <c r="L31" s="2065"/>
      <c r="M31" s="2065"/>
      <c r="N31" s="2065"/>
      <c r="O31" s="2066"/>
      <c r="P31" s="821">
        <f t="shared" si="0"/>
        <v>0</v>
      </c>
      <c r="R31" s="43"/>
      <c r="S31" s="43"/>
      <c r="T31" s="43"/>
      <c r="U31" s="43"/>
      <c r="V31" s="43"/>
      <c r="W31" s="43"/>
      <c r="X31" s="43"/>
      <c r="Y31" s="43"/>
      <c r="Z31" s="43"/>
      <c r="AA31" s="43"/>
      <c r="AB31" s="43"/>
      <c r="AC31" s="43"/>
      <c r="AD31" s="43"/>
      <c r="AE31" s="43"/>
      <c r="AF31" s="99" t="s">
        <v>75</v>
      </c>
      <c r="AG31" s="98" t="b">
        <f t="shared" si="1"/>
        <v>0</v>
      </c>
      <c r="AH31" s="1312" t="b">
        <v>0</v>
      </c>
    </row>
    <row r="32" spans="1:34" ht="15.95" customHeight="1" x14ac:dyDescent="0.2">
      <c r="A32" s="2018" t="s">
        <v>1350</v>
      </c>
      <c r="B32" s="2064">
        <v>0</v>
      </c>
      <c r="C32" s="2065" t="s">
        <v>1264</v>
      </c>
      <c r="D32" s="2065" t="s">
        <v>1264</v>
      </c>
      <c r="E32" s="2065" t="s">
        <v>1264</v>
      </c>
      <c r="F32" s="2065" t="s">
        <v>1264</v>
      </c>
      <c r="G32" s="2065" t="s">
        <v>1264</v>
      </c>
      <c r="H32" s="2065"/>
      <c r="I32" s="2065"/>
      <c r="J32" s="2065"/>
      <c r="K32" s="2065"/>
      <c r="L32" s="2065"/>
      <c r="M32" s="2065"/>
      <c r="N32" s="2065"/>
      <c r="O32" s="2066"/>
      <c r="P32" s="821">
        <f t="shared" si="0"/>
        <v>0</v>
      </c>
      <c r="R32" s="43"/>
      <c r="S32" s="43"/>
      <c r="T32" s="43"/>
      <c r="U32" s="43"/>
      <c r="V32" s="43"/>
      <c r="W32" s="43"/>
      <c r="X32" s="43"/>
      <c r="Y32" s="43"/>
      <c r="Z32" s="43"/>
      <c r="AA32" s="43"/>
      <c r="AB32" s="43"/>
      <c r="AC32" s="43"/>
      <c r="AD32" s="43"/>
      <c r="AE32" s="43"/>
      <c r="AF32" s="99" t="s">
        <v>75</v>
      </c>
      <c r="AG32" s="98" t="b">
        <f t="shared" si="1"/>
        <v>0</v>
      </c>
      <c r="AH32" s="1312" t="b">
        <v>0</v>
      </c>
    </row>
    <row r="33" spans="1:34" ht="15.95" customHeight="1" x14ac:dyDescent="0.2">
      <c r="A33" s="2018" t="s">
        <v>1351</v>
      </c>
      <c r="B33" s="2064">
        <v>0</v>
      </c>
      <c r="C33" s="2065" t="s">
        <v>1264</v>
      </c>
      <c r="D33" s="2065" t="s">
        <v>1264</v>
      </c>
      <c r="E33" s="2065" t="s">
        <v>1264</v>
      </c>
      <c r="F33" s="2065" t="s">
        <v>1264</v>
      </c>
      <c r="G33" s="2065" t="s">
        <v>1264</v>
      </c>
      <c r="H33" s="2065"/>
      <c r="I33" s="2065"/>
      <c r="J33" s="2065"/>
      <c r="K33" s="2065"/>
      <c r="L33" s="2065"/>
      <c r="M33" s="2065"/>
      <c r="N33" s="2065"/>
      <c r="O33" s="2066"/>
      <c r="P33" s="821">
        <f t="shared" si="0"/>
        <v>0</v>
      </c>
      <c r="R33" s="43"/>
      <c r="S33" s="43"/>
      <c r="T33" s="43"/>
      <c r="U33" s="43"/>
      <c r="V33" s="43"/>
      <c r="W33" s="43"/>
      <c r="X33" s="43"/>
      <c r="Y33" s="43"/>
      <c r="Z33" s="43"/>
      <c r="AA33" s="43"/>
      <c r="AB33" s="43"/>
      <c r="AC33" s="43"/>
      <c r="AD33" s="43"/>
      <c r="AE33" s="43"/>
      <c r="AF33" s="99" t="s">
        <v>75</v>
      </c>
      <c r="AG33" s="98" t="b">
        <f t="shared" si="1"/>
        <v>0</v>
      </c>
      <c r="AH33" s="1312" t="b">
        <v>0</v>
      </c>
    </row>
    <row r="34" spans="1:34" ht="15.95" customHeight="1" x14ac:dyDescent="0.2">
      <c r="A34" s="2018" t="s">
        <v>1352</v>
      </c>
      <c r="B34" s="2064">
        <v>0</v>
      </c>
      <c r="C34" s="2065" t="s">
        <v>1264</v>
      </c>
      <c r="D34" s="2065" t="s">
        <v>1264</v>
      </c>
      <c r="E34" s="2065" t="s">
        <v>1264</v>
      </c>
      <c r="F34" s="2065" t="s">
        <v>1264</v>
      </c>
      <c r="G34" s="2065" t="s">
        <v>1264</v>
      </c>
      <c r="H34" s="2065"/>
      <c r="I34" s="2065"/>
      <c r="J34" s="2065"/>
      <c r="K34" s="2065"/>
      <c r="L34" s="2065"/>
      <c r="M34" s="2065"/>
      <c r="N34" s="2065"/>
      <c r="O34" s="2066"/>
      <c r="P34" s="821">
        <f t="shared" si="0"/>
        <v>0</v>
      </c>
      <c r="R34" s="43"/>
      <c r="S34" s="43"/>
      <c r="T34" s="43"/>
      <c r="U34" s="43"/>
      <c r="V34" s="43"/>
      <c r="W34" s="43"/>
      <c r="X34" s="43"/>
      <c r="Y34" s="43"/>
      <c r="Z34" s="43"/>
      <c r="AA34" s="43"/>
      <c r="AB34" s="43"/>
      <c r="AC34" s="43"/>
      <c r="AD34" s="43"/>
      <c r="AE34" s="43"/>
      <c r="AF34" s="99" t="s">
        <v>75</v>
      </c>
      <c r="AG34" s="98" t="b">
        <f t="shared" si="1"/>
        <v>0</v>
      </c>
      <c r="AH34" s="1312" t="b">
        <v>0</v>
      </c>
    </row>
    <row r="35" spans="1:34" ht="15.95" customHeight="1" x14ac:dyDescent="0.2">
      <c r="A35" s="2018" t="s">
        <v>1353</v>
      </c>
      <c r="B35" s="2064">
        <v>0</v>
      </c>
      <c r="C35" s="2065" t="s">
        <v>1264</v>
      </c>
      <c r="D35" s="2065" t="s">
        <v>1264</v>
      </c>
      <c r="E35" s="2065" t="s">
        <v>1264</v>
      </c>
      <c r="F35" s="2065" t="s">
        <v>1264</v>
      </c>
      <c r="G35" s="2065" t="s">
        <v>1264</v>
      </c>
      <c r="H35" s="2065"/>
      <c r="I35" s="2065"/>
      <c r="J35" s="2065"/>
      <c r="K35" s="2065"/>
      <c r="L35" s="2065"/>
      <c r="M35" s="2065"/>
      <c r="N35" s="2065"/>
      <c r="O35" s="2066"/>
      <c r="P35" s="821">
        <f t="shared" si="0"/>
        <v>0</v>
      </c>
      <c r="R35" s="43"/>
      <c r="S35" s="43"/>
      <c r="T35" s="43"/>
      <c r="U35" s="43"/>
      <c r="V35" s="43"/>
      <c r="W35" s="43"/>
      <c r="X35" s="43"/>
      <c r="Y35" s="43"/>
      <c r="Z35" s="43"/>
      <c r="AA35" s="43"/>
      <c r="AB35" s="43"/>
      <c r="AC35" s="43"/>
      <c r="AD35" s="43"/>
      <c r="AE35" s="43"/>
      <c r="AF35" s="99" t="s">
        <v>75</v>
      </c>
      <c r="AG35" s="98" t="b">
        <f t="shared" si="1"/>
        <v>0</v>
      </c>
      <c r="AH35" s="1312" t="b">
        <v>0</v>
      </c>
    </row>
    <row r="36" spans="1:34" ht="15.95" customHeight="1" x14ac:dyDescent="0.2">
      <c r="A36" s="2018" t="s">
        <v>1354</v>
      </c>
      <c r="B36" s="2064">
        <v>0</v>
      </c>
      <c r="C36" s="2065" t="s">
        <v>1264</v>
      </c>
      <c r="D36" s="2065" t="s">
        <v>1264</v>
      </c>
      <c r="E36" s="2065" t="s">
        <v>1264</v>
      </c>
      <c r="F36" s="2065" t="s">
        <v>1264</v>
      </c>
      <c r="G36" s="2065" t="s">
        <v>1264</v>
      </c>
      <c r="H36" s="2065"/>
      <c r="I36" s="2065"/>
      <c r="J36" s="2065"/>
      <c r="K36" s="2065"/>
      <c r="L36" s="2065"/>
      <c r="M36" s="2065"/>
      <c r="N36" s="2065"/>
      <c r="O36" s="2066"/>
      <c r="P36" s="821">
        <f t="shared" si="0"/>
        <v>0</v>
      </c>
      <c r="R36" s="43"/>
      <c r="S36" s="43"/>
      <c r="T36" s="43"/>
      <c r="U36" s="43"/>
      <c r="V36" s="43"/>
      <c r="W36" s="43"/>
      <c r="X36" s="43"/>
      <c r="Y36" s="43"/>
      <c r="Z36" s="43"/>
      <c r="AA36" s="43"/>
      <c r="AB36" s="43"/>
      <c r="AC36" s="43"/>
      <c r="AD36" s="43"/>
      <c r="AE36" s="43"/>
      <c r="AF36" s="99" t="s">
        <v>75</v>
      </c>
      <c r="AG36" s="98" t="b">
        <f t="shared" si="1"/>
        <v>0</v>
      </c>
      <c r="AH36" s="1312" t="b">
        <v>0</v>
      </c>
    </row>
    <row r="37" spans="1:34" ht="15.95" customHeight="1" x14ac:dyDescent="0.2">
      <c r="A37" s="2018" t="s">
        <v>1355</v>
      </c>
      <c r="B37" s="2064">
        <v>0</v>
      </c>
      <c r="C37" s="2065" t="s">
        <v>1264</v>
      </c>
      <c r="D37" s="2065" t="s">
        <v>1264</v>
      </c>
      <c r="E37" s="2065" t="s">
        <v>1264</v>
      </c>
      <c r="F37" s="2065" t="s">
        <v>1264</v>
      </c>
      <c r="G37" s="2065" t="s">
        <v>1264</v>
      </c>
      <c r="H37" s="2065"/>
      <c r="I37" s="2065"/>
      <c r="J37" s="2065"/>
      <c r="K37" s="2065"/>
      <c r="L37" s="2065"/>
      <c r="M37" s="2065"/>
      <c r="N37" s="2065"/>
      <c r="O37" s="2066"/>
      <c r="P37" s="821">
        <f t="shared" si="0"/>
        <v>0</v>
      </c>
      <c r="R37" s="43"/>
      <c r="S37" s="43"/>
      <c r="T37" s="43"/>
      <c r="U37" s="43"/>
      <c r="V37" s="43"/>
      <c r="W37" s="43"/>
      <c r="X37" s="43"/>
      <c r="Y37" s="43"/>
      <c r="Z37" s="43"/>
      <c r="AA37" s="43"/>
      <c r="AB37" s="43"/>
      <c r="AC37" s="43"/>
      <c r="AD37" s="43"/>
      <c r="AE37" s="43"/>
      <c r="AF37" s="99" t="s">
        <v>75</v>
      </c>
      <c r="AG37" s="98" t="b">
        <f t="shared" si="1"/>
        <v>0</v>
      </c>
      <c r="AH37" s="1312" t="b">
        <v>0</v>
      </c>
    </row>
    <row r="38" spans="1:34" ht="15.95" customHeight="1" x14ac:dyDescent="0.2">
      <c r="A38" s="2018" t="s">
        <v>1356</v>
      </c>
      <c r="B38" s="2064">
        <v>0</v>
      </c>
      <c r="C38" s="2065" t="s">
        <v>1264</v>
      </c>
      <c r="D38" s="2065" t="s">
        <v>1264</v>
      </c>
      <c r="E38" s="2065" t="s">
        <v>1264</v>
      </c>
      <c r="F38" s="2065" t="s">
        <v>1264</v>
      </c>
      <c r="G38" s="2065" t="s">
        <v>1264</v>
      </c>
      <c r="H38" s="2065"/>
      <c r="I38" s="2065"/>
      <c r="J38" s="2065"/>
      <c r="K38" s="2065"/>
      <c r="L38" s="2065"/>
      <c r="M38" s="2065"/>
      <c r="N38" s="2065"/>
      <c r="O38" s="2066"/>
      <c r="P38" s="821">
        <f t="shared" si="0"/>
        <v>0</v>
      </c>
      <c r="R38" s="43"/>
      <c r="S38" s="43"/>
      <c r="T38" s="43"/>
      <c r="U38" s="43"/>
      <c r="V38" s="43"/>
      <c r="W38" s="43"/>
      <c r="X38" s="43"/>
      <c r="Y38" s="43"/>
      <c r="Z38" s="43"/>
      <c r="AA38" s="43"/>
      <c r="AB38" s="43"/>
      <c r="AC38" s="43"/>
      <c r="AD38" s="43"/>
      <c r="AE38" s="43"/>
      <c r="AF38" s="99" t="s">
        <v>75</v>
      </c>
      <c r="AG38" s="98" t="b">
        <f t="shared" si="1"/>
        <v>0</v>
      </c>
      <c r="AH38" s="1312" t="b">
        <v>0</v>
      </c>
    </row>
    <row r="39" spans="1:34" ht="15.95" customHeight="1" x14ac:dyDescent="0.2">
      <c r="A39" s="2018" t="s">
        <v>1357</v>
      </c>
      <c r="B39" s="2064">
        <v>0</v>
      </c>
      <c r="C39" s="2065" t="s">
        <v>1264</v>
      </c>
      <c r="D39" s="2065" t="s">
        <v>1264</v>
      </c>
      <c r="E39" s="2065" t="s">
        <v>1264</v>
      </c>
      <c r="F39" s="2065" t="s">
        <v>1264</v>
      </c>
      <c r="G39" s="2065" t="s">
        <v>1264</v>
      </c>
      <c r="H39" s="2065"/>
      <c r="I39" s="2065"/>
      <c r="J39" s="2065"/>
      <c r="K39" s="2065"/>
      <c r="L39" s="2065"/>
      <c r="M39" s="2065"/>
      <c r="N39" s="2065"/>
      <c r="O39" s="2066"/>
      <c r="P39" s="821">
        <f t="shared" si="0"/>
        <v>0</v>
      </c>
      <c r="R39" s="43"/>
      <c r="S39" s="43"/>
      <c r="T39" s="43"/>
      <c r="U39" s="43"/>
      <c r="V39" s="43"/>
      <c r="W39" s="43"/>
      <c r="X39" s="43"/>
      <c r="Y39" s="43"/>
      <c r="Z39" s="43"/>
      <c r="AA39" s="43"/>
      <c r="AB39" s="43"/>
      <c r="AC39" s="43"/>
      <c r="AD39" s="43"/>
      <c r="AE39" s="43"/>
      <c r="AF39" s="99" t="s">
        <v>75</v>
      </c>
      <c r="AG39" s="98" t="b">
        <f t="shared" si="1"/>
        <v>0</v>
      </c>
      <c r="AH39" s="1312" t="b">
        <v>0</v>
      </c>
    </row>
    <row r="40" spans="1:34" ht="15.95" customHeight="1" x14ac:dyDescent="0.2">
      <c r="A40" s="2018" t="s">
        <v>1358</v>
      </c>
      <c r="B40" s="2064">
        <v>0</v>
      </c>
      <c r="C40" s="2065" t="s">
        <v>1264</v>
      </c>
      <c r="D40" s="2065" t="s">
        <v>1264</v>
      </c>
      <c r="E40" s="2065" t="s">
        <v>1264</v>
      </c>
      <c r="F40" s="2065" t="s">
        <v>1264</v>
      </c>
      <c r="G40" s="2065" t="s">
        <v>1264</v>
      </c>
      <c r="H40" s="2065"/>
      <c r="I40" s="2065"/>
      <c r="J40" s="2065"/>
      <c r="K40" s="2065"/>
      <c r="L40" s="2065"/>
      <c r="M40" s="2065"/>
      <c r="N40" s="2065"/>
      <c r="O40" s="2066"/>
      <c r="P40" s="821">
        <f t="shared" si="0"/>
        <v>0</v>
      </c>
      <c r="R40" s="43"/>
      <c r="S40" s="43"/>
      <c r="T40" s="43"/>
      <c r="U40" s="43"/>
      <c r="V40" s="43"/>
      <c r="W40" s="43"/>
      <c r="X40" s="43"/>
      <c r="Y40" s="43"/>
      <c r="Z40" s="43"/>
      <c r="AA40" s="43"/>
      <c r="AB40" s="43"/>
      <c r="AC40" s="43"/>
      <c r="AD40" s="43"/>
      <c r="AE40" s="43"/>
      <c r="AF40" s="99" t="s">
        <v>75</v>
      </c>
      <c r="AG40" s="98" t="b">
        <f t="shared" si="1"/>
        <v>0</v>
      </c>
      <c r="AH40" s="1312" t="b">
        <v>0</v>
      </c>
    </row>
    <row r="41" spans="1:34" ht="15.95" customHeight="1" x14ac:dyDescent="0.2">
      <c r="A41" s="2018" t="s">
        <v>1359</v>
      </c>
      <c r="B41" s="2064">
        <v>0</v>
      </c>
      <c r="C41" s="2065">
        <v>0</v>
      </c>
      <c r="D41" s="2065" t="s">
        <v>1264</v>
      </c>
      <c r="E41" s="2065" t="s">
        <v>1264</v>
      </c>
      <c r="F41" s="2065">
        <v>4</v>
      </c>
      <c r="G41" s="2065" t="s">
        <v>1264</v>
      </c>
      <c r="H41" s="2065"/>
      <c r="I41" s="2065"/>
      <c r="J41" s="2065"/>
      <c r="K41" s="2065"/>
      <c r="L41" s="2065"/>
      <c r="M41" s="2065"/>
      <c r="N41" s="2065"/>
      <c r="O41" s="2066"/>
      <c r="P41" s="821">
        <f t="shared" si="0"/>
        <v>4</v>
      </c>
      <c r="R41" s="43"/>
      <c r="S41" s="43"/>
      <c r="T41" s="43"/>
      <c r="U41" s="43"/>
      <c r="V41" s="43"/>
      <c r="W41" s="43"/>
      <c r="X41" s="43"/>
      <c r="Y41" s="43"/>
      <c r="Z41" s="43"/>
      <c r="AA41" s="43"/>
      <c r="AB41" s="43"/>
      <c r="AC41" s="43"/>
      <c r="AD41" s="43"/>
      <c r="AE41" s="43"/>
      <c r="AF41" s="99" t="s">
        <v>75</v>
      </c>
      <c r="AG41" s="98" t="b">
        <f t="shared" si="1"/>
        <v>1</v>
      </c>
      <c r="AH41" s="1312" t="b">
        <v>0</v>
      </c>
    </row>
    <row r="42" spans="1:34" ht="15.95" customHeight="1" x14ac:dyDescent="0.2">
      <c r="A42" s="2018" t="s">
        <v>1360</v>
      </c>
      <c r="B42" s="2064">
        <v>0</v>
      </c>
      <c r="C42" s="2065">
        <v>0</v>
      </c>
      <c r="D42" s="2065" t="s">
        <v>1264</v>
      </c>
      <c r="E42" s="2065" t="s">
        <v>1264</v>
      </c>
      <c r="F42" s="2065" t="s">
        <v>1264</v>
      </c>
      <c r="G42" s="2065" t="s">
        <v>1264</v>
      </c>
      <c r="H42" s="2065"/>
      <c r="I42" s="2065"/>
      <c r="J42" s="2065"/>
      <c r="K42" s="2065"/>
      <c r="L42" s="2065"/>
      <c r="M42" s="2065"/>
      <c r="N42" s="2065"/>
      <c r="O42" s="2066"/>
      <c r="P42" s="821">
        <f t="shared" si="0"/>
        <v>0</v>
      </c>
      <c r="R42" s="43"/>
      <c r="S42" s="43"/>
      <c r="T42" s="43"/>
      <c r="U42" s="43"/>
      <c r="V42" s="43"/>
      <c r="W42" s="43"/>
      <c r="X42" s="43"/>
      <c r="Y42" s="43"/>
      <c r="Z42" s="43"/>
      <c r="AA42" s="43"/>
      <c r="AB42" s="43"/>
      <c r="AC42" s="43"/>
      <c r="AD42" s="43"/>
      <c r="AE42" s="43"/>
      <c r="AF42" s="99" t="s">
        <v>75</v>
      </c>
      <c r="AG42" s="98" t="b">
        <f t="shared" si="1"/>
        <v>0</v>
      </c>
      <c r="AH42" s="1312" t="b">
        <v>0</v>
      </c>
    </row>
    <row r="43" spans="1:34" ht="15.95" customHeight="1" x14ac:dyDescent="0.2">
      <c r="A43" s="2018" t="s">
        <v>1361</v>
      </c>
      <c r="B43" s="2064">
        <v>0</v>
      </c>
      <c r="C43" s="2065">
        <v>0</v>
      </c>
      <c r="D43" s="2065" t="s">
        <v>1264</v>
      </c>
      <c r="E43" s="2065" t="s">
        <v>1264</v>
      </c>
      <c r="F43" s="2065" t="s">
        <v>1264</v>
      </c>
      <c r="G43" s="2065" t="s">
        <v>1264</v>
      </c>
      <c r="H43" s="2065"/>
      <c r="I43" s="2065"/>
      <c r="J43" s="2065"/>
      <c r="K43" s="2065"/>
      <c r="L43" s="2065"/>
      <c r="M43" s="2065"/>
      <c r="N43" s="2065"/>
      <c r="O43" s="2066"/>
      <c r="P43" s="821">
        <f t="shared" si="0"/>
        <v>0</v>
      </c>
      <c r="R43" s="43"/>
      <c r="S43" s="43"/>
      <c r="T43" s="43"/>
      <c r="U43" s="43"/>
      <c r="V43" s="43"/>
      <c r="W43" s="43"/>
      <c r="X43" s="43"/>
      <c r="Y43" s="43"/>
      <c r="Z43" s="43"/>
      <c r="AA43" s="43"/>
      <c r="AB43" s="43"/>
      <c r="AC43" s="43"/>
      <c r="AD43" s="43"/>
      <c r="AE43" s="43"/>
      <c r="AF43" s="99" t="s">
        <v>75</v>
      </c>
      <c r="AG43" s="98" t="b">
        <f t="shared" si="1"/>
        <v>0</v>
      </c>
      <c r="AH43" s="1312" t="b">
        <v>0</v>
      </c>
    </row>
    <row r="44" spans="1:34" ht="15.95" customHeight="1" x14ac:dyDescent="0.2">
      <c r="A44" s="2018" t="s">
        <v>1362</v>
      </c>
      <c r="B44" s="2064">
        <v>0</v>
      </c>
      <c r="C44" s="2065">
        <v>0</v>
      </c>
      <c r="D44" s="2065" t="s">
        <v>1264</v>
      </c>
      <c r="E44" s="2065" t="s">
        <v>1264</v>
      </c>
      <c r="F44" s="2065" t="s">
        <v>1264</v>
      </c>
      <c r="G44" s="2065" t="s">
        <v>1264</v>
      </c>
      <c r="H44" s="2065"/>
      <c r="I44" s="2065"/>
      <c r="J44" s="2065"/>
      <c r="K44" s="2065"/>
      <c r="L44" s="2065"/>
      <c r="M44" s="2065"/>
      <c r="N44" s="2065"/>
      <c r="O44" s="2066"/>
      <c r="P44" s="821">
        <f t="shared" si="0"/>
        <v>0</v>
      </c>
      <c r="R44" s="43"/>
      <c r="S44" s="43"/>
      <c r="T44" s="43"/>
      <c r="U44" s="43"/>
      <c r="V44" s="43"/>
      <c r="W44" s="43"/>
      <c r="X44" s="43"/>
      <c r="Y44" s="43"/>
      <c r="Z44" s="43"/>
      <c r="AA44" s="43"/>
      <c r="AB44" s="43"/>
      <c r="AC44" s="43"/>
      <c r="AD44" s="43"/>
      <c r="AE44" s="43"/>
      <c r="AF44" s="99" t="s">
        <v>75</v>
      </c>
      <c r="AG44" s="98" t="b">
        <f t="shared" si="1"/>
        <v>0</v>
      </c>
      <c r="AH44" s="1312" t="b">
        <v>0</v>
      </c>
    </row>
    <row r="45" spans="1:34" ht="15.95" customHeight="1" x14ac:dyDescent="0.2">
      <c r="A45" s="2018" t="s">
        <v>1363</v>
      </c>
      <c r="B45" s="2064">
        <v>0</v>
      </c>
      <c r="C45" s="2065">
        <v>0</v>
      </c>
      <c r="D45" s="2065" t="s">
        <v>1264</v>
      </c>
      <c r="E45" s="2065" t="s">
        <v>1264</v>
      </c>
      <c r="F45" s="2065" t="s">
        <v>1264</v>
      </c>
      <c r="G45" s="2065" t="s">
        <v>1264</v>
      </c>
      <c r="H45" s="2065"/>
      <c r="I45" s="2065"/>
      <c r="J45" s="2065"/>
      <c r="K45" s="2065"/>
      <c r="L45" s="2065"/>
      <c r="M45" s="2065"/>
      <c r="N45" s="2065"/>
      <c r="O45" s="2066"/>
      <c r="P45" s="821">
        <f t="shared" si="0"/>
        <v>0</v>
      </c>
      <c r="R45" s="43"/>
      <c r="S45" s="43"/>
      <c r="T45" s="43"/>
      <c r="U45" s="43"/>
      <c r="V45" s="43"/>
      <c r="W45" s="43"/>
      <c r="X45" s="43"/>
      <c r="Y45" s="43"/>
      <c r="Z45" s="43"/>
      <c r="AA45" s="43"/>
      <c r="AB45" s="43"/>
      <c r="AC45" s="43"/>
      <c r="AD45" s="43"/>
      <c r="AE45" s="43"/>
      <c r="AF45" s="99" t="s">
        <v>75</v>
      </c>
      <c r="AG45" s="98" t="b">
        <f t="shared" si="1"/>
        <v>0</v>
      </c>
      <c r="AH45" s="1312" t="b">
        <v>0</v>
      </c>
    </row>
    <row r="46" spans="1:34" ht="15.95" customHeight="1" x14ac:dyDescent="0.2">
      <c r="A46" s="2018" t="s">
        <v>1364</v>
      </c>
      <c r="B46" s="2064">
        <v>0</v>
      </c>
      <c r="C46" s="2065" t="s">
        <v>1264</v>
      </c>
      <c r="D46" s="2065" t="s">
        <v>1264</v>
      </c>
      <c r="E46" s="2065" t="s">
        <v>1264</v>
      </c>
      <c r="F46" s="2065" t="s">
        <v>1264</v>
      </c>
      <c r="G46" s="2065" t="s">
        <v>1264</v>
      </c>
      <c r="H46" s="2065"/>
      <c r="I46" s="2065"/>
      <c r="J46" s="2065"/>
      <c r="K46" s="2065"/>
      <c r="L46" s="2065"/>
      <c r="M46" s="2065"/>
      <c r="N46" s="2065"/>
      <c r="O46" s="2066"/>
      <c r="P46" s="821">
        <f t="shared" si="0"/>
        <v>0</v>
      </c>
      <c r="R46" s="43"/>
      <c r="S46" s="43"/>
      <c r="T46" s="43"/>
      <c r="U46" s="43"/>
      <c r="V46" s="43"/>
      <c r="W46" s="43"/>
      <c r="X46" s="43"/>
      <c r="Y46" s="43"/>
      <c r="Z46" s="43"/>
      <c r="AA46" s="43"/>
      <c r="AB46" s="43"/>
      <c r="AC46" s="43"/>
      <c r="AD46" s="43"/>
      <c r="AE46" s="43"/>
      <c r="AF46" s="99" t="s">
        <v>75</v>
      </c>
      <c r="AG46" s="98" t="b">
        <f t="shared" si="1"/>
        <v>0</v>
      </c>
      <c r="AH46" s="1312" t="b">
        <v>0</v>
      </c>
    </row>
    <row r="47" spans="1:34" ht="15.95" customHeight="1" x14ac:dyDescent="0.2">
      <c r="A47" s="2018" t="s">
        <v>1365</v>
      </c>
      <c r="B47" s="2064">
        <v>0</v>
      </c>
      <c r="C47" s="2065" t="s">
        <v>1264</v>
      </c>
      <c r="D47" s="2065" t="s">
        <v>1264</v>
      </c>
      <c r="E47" s="2065" t="s">
        <v>1264</v>
      </c>
      <c r="F47" s="2065" t="s">
        <v>1264</v>
      </c>
      <c r="G47" s="2065" t="s">
        <v>1264</v>
      </c>
      <c r="H47" s="2065"/>
      <c r="I47" s="2065"/>
      <c r="J47" s="2065"/>
      <c r="K47" s="2065"/>
      <c r="L47" s="2065"/>
      <c r="M47" s="2065"/>
      <c r="N47" s="2065"/>
      <c r="O47" s="2066"/>
      <c r="P47" s="821">
        <f t="shared" si="0"/>
        <v>0</v>
      </c>
      <c r="R47" s="43"/>
      <c r="S47" s="43"/>
      <c r="T47" s="43"/>
      <c r="U47" s="43"/>
      <c r="V47" s="43"/>
      <c r="W47" s="43"/>
      <c r="X47" s="43"/>
      <c r="Y47" s="43"/>
      <c r="Z47" s="43"/>
      <c r="AA47" s="43"/>
      <c r="AB47" s="43"/>
      <c r="AC47" s="43"/>
      <c r="AD47" s="43"/>
      <c r="AE47" s="43"/>
      <c r="AF47" s="99" t="s">
        <v>75</v>
      </c>
      <c r="AG47" s="98" t="b">
        <f t="shared" si="1"/>
        <v>0</v>
      </c>
      <c r="AH47" s="1312" t="b">
        <v>0</v>
      </c>
    </row>
    <row r="48" spans="1:34" ht="15.95" customHeight="1" x14ac:dyDescent="0.2">
      <c r="A48" s="2018" t="s">
        <v>1366</v>
      </c>
      <c r="B48" s="2064">
        <v>0</v>
      </c>
      <c r="C48" s="2065">
        <v>0</v>
      </c>
      <c r="D48" s="2065" t="s">
        <v>1264</v>
      </c>
      <c r="E48" s="2065">
        <v>9</v>
      </c>
      <c r="F48" s="2065">
        <v>39</v>
      </c>
      <c r="G48" s="2065">
        <v>34</v>
      </c>
      <c r="H48" s="2065"/>
      <c r="I48" s="2065"/>
      <c r="J48" s="2065"/>
      <c r="K48" s="2065"/>
      <c r="L48" s="2065"/>
      <c r="M48" s="2065"/>
      <c r="N48" s="2065"/>
      <c r="O48" s="2066"/>
      <c r="P48" s="821">
        <f t="shared" si="0"/>
        <v>82</v>
      </c>
      <c r="R48" s="43"/>
      <c r="S48" s="43"/>
      <c r="T48" s="43"/>
      <c r="U48" s="43"/>
      <c r="V48" s="43"/>
      <c r="W48" s="43"/>
      <c r="X48" s="43"/>
      <c r="Y48" s="43"/>
      <c r="Z48" s="43"/>
      <c r="AA48" s="43"/>
      <c r="AB48" s="43"/>
      <c r="AC48" s="43"/>
      <c r="AD48" s="43"/>
      <c r="AE48" s="43"/>
      <c r="AF48" s="99" t="s">
        <v>75</v>
      </c>
      <c r="AG48" s="98" t="b">
        <f t="shared" si="1"/>
        <v>1</v>
      </c>
      <c r="AH48" s="1312" t="b">
        <v>0</v>
      </c>
    </row>
    <row r="49" spans="1:34" ht="15.95" customHeight="1" x14ac:dyDescent="0.2">
      <c r="A49" s="2019" t="s">
        <v>1367</v>
      </c>
      <c r="B49" s="2067">
        <v>0</v>
      </c>
      <c r="C49" s="2068">
        <v>0</v>
      </c>
      <c r="D49" s="2068" t="s">
        <v>1264</v>
      </c>
      <c r="E49" s="2068" t="s">
        <v>1264</v>
      </c>
      <c r="F49" s="2068">
        <v>6</v>
      </c>
      <c r="G49" s="2068">
        <v>8</v>
      </c>
      <c r="H49" s="2068"/>
      <c r="I49" s="2068"/>
      <c r="J49" s="2068"/>
      <c r="K49" s="2068"/>
      <c r="L49" s="2068"/>
      <c r="M49" s="2068"/>
      <c r="N49" s="2068"/>
      <c r="O49" s="2069"/>
      <c r="P49" s="821">
        <f t="shared" si="0"/>
        <v>14</v>
      </c>
      <c r="R49" s="43"/>
      <c r="S49" s="43"/>
      <c r="T49" s="43"/>
      <c r="U49" s="43"/>
      <c r="V49" s="43"/>
      <c r="W49" s="43"/>
      <c r="X49" s="43"/>
      <c r="Y49" s="43"/>
      <c r="Z49" s="43"/>
      <c r="AA49" s="43"/>
      <c r="AB49" s="43"/>
      <c r="AC49" s="43"/>
      <c r="AD49" s="43"/>
      <c r="AE49" s="43"/>
      <c r="AF49" s="99" t="s">
        <v>75</v>
      </c>
      <c r="AG49" s="98" t="b">
        <f t="shared" si="1"/>
        <v>1</v>
      </c>
      <c r="AH49" s="1312" t="b">
        <v>0</v>
      </c>
    </row>
    <row r="50" spans="1:34" ht="15" customHeight="1" x14ac:dyDescent="0.2">
      <c r="A50" s="817" t="s">
        <v>91</v>
      </c>
      <c r="B50" s="818">
        <f t="shared" ref="B50:O50" si="2">IF(ISBLANK(B13),"",SUM(B14:B49))</f>
        <v>0</v>
      </c>
      <c r="C50" s="818">
        <f t="shared" si="2"/>
        <v>0</v>
      </c>
      <c r="D50" s="818">
        <f t="shared" si="2"/>
        <v>0</v>
      </c>
      <c r="E50" s="818">
        <f t="shared" si="2"/>
        <v>9</v>
      </c>
      <c r="F50" s="818">
        <f t="shared" si="2"/>
        <v>49</v>
      </c>
      <c r="G50" s="818">
        <f t="shared" si="2"/>
        <v>42</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2013</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MXaPI/XJX+K7bayHhwFCypRgIF40oy0LTVJegYqtfIP0I01YNn+2c4P/WBxylRNO9JCeXMGp6XIuVgM0xZTJRQ==" saltValue="qlL+YROPtm72DGTh7ffoE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31" priority="2">
      <formula>OR(A14="Girder",A14="Girders",A14="Joist",A14="Joists",A14="Bridging")</formula>
    </cfRule>
    <cfRule type="expression" dxfId="1430" priority="3">
      <formula>AND(P14&gt;0,ISBLANK(AF14),OR($R$1="",$R$1="M"))</formula>
    </cfRule>
    <cfRule type="expression" dxfId="1429" priority="9">
      <formula>$AH14</formula>
    </cfRule>
  </conditionalFormatting>
  <conditionalFormatting sqref="H2:J4">
    <cfRule type="cellIs" dxfId="1428" priority="7" stopIfTrue="1" operator="equal">
      <formula>""</formula>
    </cfRule>
  </conditionalFormatting>
  <conditionalFormatting sqref="B14:O49">
    <cfRule type="expression" dxfId="1427" priority="4">
      <formula>IF($R$1="M",AND(B14&gt;R14,R14&gt;0),B14&lt;R14)</formula>
    </cfRule>
    <cfRule type="expression" dxfId="1426" priority="5">
      <formula>OR(AND($R$1="M",B14=R14),B14="-")</formula>
    </cfRule>
    <cfRule type="expression" dxfId="1425" priority="6">
      <formula>IF(NOT(ISBLANK($R$1)),IF($R$1="M",IF(ISTEXT(B14),0,B14)&lt;R14,IF(ISTEXT(B14),0,B14)&gt;R14))</formula>
    </cfRule>
    <cfRule type="expression" dxfId="1424" priority="8">
      <formula>OR($AH14,B$63)</formula>
    </cfRule>
  </conditionalFormatting>
  <conditionalFormatting sqref="B13:O13">
    <cfRule type="expression" dxfId="1423" priority="1">
      <formula>AND(NOT(ISBLANK(B$13)),ISERROR(MATCH(B$13,$AK:$AK,0)))</formula>
    </cfRule>
    <cfRule type="expression" dxfId="142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indexed="31"/>
  </sheetPr>
  <dimension ref="A1:AL65"/>
  <sheetViews>
    <sheetView showGridLines="0" topLeftCell="A15"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16 of 42</v>
      </c>
      <c r="M7" s="822"/>
      <c r="N7" s="473"/>
      <c r="O7" s="473"/>
      <c r="P7" s="566"/>
      <c r="R7" s="1393">
        <v>16</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1368</v>
      </c>
      <c r="B15" s="2064">
        <v>0</v>
      </c>
      <c r="C15" s="2065">
        <v>0</v>
      </c>
      <c r="D15" s="2065" t="s">
        <v>1264</v>
      </c>
      <c r="E15" s="2065">
        <v>2</v>
      </c>
      <c r="F15" s="2065">
        <v>8</v>
      </c>
      <c r="G15" s="2065">
        <v>8</v>
      </c>
      <c r="H15" s="2065"/>
      <c r="I15" s="2065"/>
      <c r="J15" s="2065"/>
      <c r="K15" s="2065"/>
      <c r="L15" s="2065"/>
      <c r="M15" s="2065"/>
      <c r="N15" s="2065"/>
      <c r="O15" s="2066"/>
      <c r="P15" s="821">
        <f t="shared" si="0"/>
        <v>18</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1369</v>
      </c>
      <c r="B16" s="2064">
        <v>0</v>
      </c>
      <c r="C16" s="2065">
        <v>0</v>
      </c>
      <c r="D16" s="2065" t="s">
        <v>1264</v>
      </c>
      <c r="E16" s="2065" t="s">
        <v>1264</v>
      </c>
      <c r="F16" s="2065">
        <v>3</v>
      </c>
      <c r="G16" s="2065">
        <v>3</v>
      </c>
      <c r="H16" s="2065"/>
      <c r="I16" s="2065"/>
      <c r="J16" s="2065"/>
      <c r="K16" s="2065"/>
      <c r="L16" s="2065"/>
      <c r="M16" s="2065"/>
      <c r="N16" s="2065"/>
      <c r="O16" s="2066"/>
      <c r="P16" s="821">
        <f t="shared" si="0"/>
        <v>6</v>
      </c>
      <c r="R16" s="43"/>
      <c r="S16" s="43"/>
      <c r="T16" s="43"/>
      <c r="U16" s="43"/>
      <c r="V16" s="43"/>
      <c r="W16" s="43"/>
      <c r="X16" s="43"/>
      <c r="Y16" s="43"/>
      <c r="Z16" s="43"/>
      <c r="AA16" s="43"/>
      <c r="AB16" s="43"/>
      <c r="AC16" s="43"/>
      <c r="AD16" s="43"/>
      <c r="AE16" s="43"/>
      <c r="AF16" s="99" t="s">
        <v>75</v>
      </c>
      <c r="AG16" s="98" t="b">
        <f t="shared" si="1"/>
        <v>1</v>
      </c>
      <c r="AH16" s="1312" t="b">
        <v>0</v>
      </c>
    </row>
    <row r="17" spans="1:34" ht="15.95" customHeight="1" x14ac:dyDescent="0.2">
      <c r="A17" s="2018" t="s">
        <v>1370</v>
      </c>
      <c r="B17" s="2064">
        <v>0</v>
      </c>
      <c r="C17" s="2065">
        <v>0</v>
      </c>
      <c r="D17" s="2065" t="s">
        <v>1264</v>
      </c>
      <c r="E17" s="2065" t="s">
        <v>1264</v>
      </c>
      <c r="F17" s="2065">
        <v>2</v>
      </c>
      <c r="G17" s="2065">
        <v>4</v>
      </c>
      <c r="H17" s="2065"/>
      <c r="I17" s="2065"/>
      <c r="J17" s="2065"/>
      <c r="K17" s="2065"/>
      <c r="L17" s="2065"/>
      <c r="M17" s="2065"/>
      <c r="N17" s="2065"/>
      <c r="O17" s="2066"/>
      <c r="P17" s="821">
        <f t="shared" si="0"/>
        <v>6</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1371</v>
      </c>
      <c r="B18" s="2064">
        <v>0</v>
      </c>
      <c r="C18" s="2065" t="s">
        <v>1264</v>
      </c>
      <c r="D18" s="2065" t="s">
        <v>1264</v>
      </c>
      <c r="E18" s="2065" t="s">
        <v>1264</v>
      </c>
      <c r="F18" s="2065">
        <v>1</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1372</v>
      </c>
      <c r="B19" s="2064">
        <v>0</v>
      </c>
      <c r="C19" s="2065" t="s">
        <v>1264</v>
      </c>
      <c r="D19" s="2065" t="s">
        <v>1264</v>
      </c>
      <c r="E19" s="2065" t="s">
        <v>1264</v>
      </c>
      <c r="F19" s="2065">
        <v>1</v>
      </c>
      <c r="G19" s="2065" t="s">
        <v>1264</v>
      </c>
      <c r="H19" s="2065"/>
      <c r="I19" s="2065"/>
      <c r="J19" s="2065"/>
      <c r="K19" s="2065"/>
      <c r="L19" s="2065"/>
      <c r="M19" s="2065"/>
      <c r="N19" s="2065"/>
      <c r="O19" s="2066"/>
      <c r="P19" s="821">
        <f t="shared" si="0"/>
        <v>1</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1373</v>
      </c>
      <c r="B20" s="2064">
        <v>0</v>
      </c>
      <c r="C20" s="2065">
        <v>0</v>
      </c>
      <c r="D20" s="2065" t="s">
        <v>1264</v>
      </c>
      <c r="E20" s="2065" t="s">
        <v>1264</v>
      </c>
      <c r="F20" s="2065" t="s">
        <v>1264</v>
      </c>
      <c r="G20" s="2065" t="s">
        <v>1264</v>
      </c>
      <c r="H20" s="2065"/>
      <c r="I20" s="2065"/>
      <c r="J20" s="2065"/>
      <c r="K20" s="2065"/>
      <c r="L20" s="2065"/>
      <c r="M20" s="2065"/>
      <c r="N20" s="2065"/>
      <c r="O20" s="2066"/>
      <c r="P20" s="821">
        <f t="shared" si="0"/>
        <v>0</v>
      </c>
      <c r="R20" s="43"/>
      <c r="S20" s="43"/>
      <c r="T20" s="43"/>
      <c r="U20" s="43"/>
      <c r="V20" s="43"/>
      <c r="W20" s="43"/>
      <c r="X20" s="43"/>
      <c r="Y20" s="43"/>
      <c r="Z20" s="43"/>
      <c r="AA20" s="43"/>
      <c r="AB20" s="43"/>
      <c r="AC20" s="43"/>
      <c r="AD20" s="43"/>
      <c r="AE20" s="43"/>
      <c r="AF20" s="99" t="s">
        <v>74</v>
      </c>
      <c r="AG20" s="98" t="b">
        <f t="shared" si="1"/>
        <v>0</v>
      </c>
      <c r="AH20" s="1312" t="b">
        <v>0</v>
      </c>
    </row>
    <row r="21" spans="1:34" ht="15.95" customHeight="1" x14ac:dyDescent="0.2">
      <c r="A21" s="2018" t="s">
        <v>1374</v>
      </c>
      <c r="B21" s="2064">
        <v>0</v>
      </c>
      <c r="C21" s="2065">
        <v>0</v>
      </c>
      <c r="D21" s="2065" t="s">
        <v>1264</v>
      </c>
      <c r="E21" s="2065" t="s">
        <v>1264</v>
      </c>
      <c r="F21" s="2065" t="s">
        <v>1264</v>
      </c>
      <c r="G21" s="2065" t="s">
        <v>1264</v>
      </c>
      <c r="H21" s="2065"/>
      <c r="I21" s="2065"/>
      <c r="J21" s="2065"/>
      <c r="K21" s="2065"/>
      <c r="L21" s="2065"/>
      <c r="M21" s="2065"/>
      <c r="N21" s="2065"/>
      <c r="O21" s="2066"/>
      <c r="P21" s="821">
        <f t="shared" si="0"/>
        <v>0</v>
      </c>
      <c r="R21" s="43"/>
      <c r="S21" s="43"/>
      <c r="T21" s="43"/>
      <c r="U21" s="43"/>
      <c r="V21" s="43"/>
      <c r="W21" s="43"/>
      <c r="X21" s="43"/>
      <c r="Y21" s="43"/>
      <c r="Z21" s="43"/>
      <c r="AA21" s="43"/>
      <c r="AB21" s="43"/>
      <c r="AC21" s="43"/>
      <c r="AD21" s="43"/>
      <c r="AE21" s="43"/>
      <c r="AF21" s="99" t="s">
        <v>74</v>
      </c>
      <c r="AG21" s="98" t="b">
        <f t="shared" si="1"/>
        <v>0</v>
      </c>
      <c r="AH21" s="1312" t="b">
        <v>0</v>
      </c>
    </row>
    <row r="22" spans="1:34" ht="15.95" customHeight="1" x14ac:dyDescent="0.2">
      <c r="A22" s="2018" t="s">
        <v>1375</v>
      </c>
      <c r="B22" s="2064">
        <v>0</v>
      </c>
      <c r="C22" s="2065">
        <v>0</v>
      </c>
      <c r="D22" s="2065" t="s">
        <v>1264</v>
      </c>
      <c r="E22" s="2065" t="s">
        <v>1264</v>
      </c>
      <c r="F22" s="2065" t="s">
        <v>1264</v>
      </c>
      <c r="G22" s="2065" t="s">
        <v>1264</v>
      </c>
      <c r="H22" s="2065"/>
      <c r="I22" s="2065"/>
      <c r="J22" s="2065"/>
      <c r="K22" s="2065"/>
      <c r="L22" s="2065"/>
      <c r="M22" s="2065"/>
      <c r="N22" s="2065"/>
      <c r="O22" s="2066"/>
      <c r="P22" s="821">
        <f t="shared" si="0"/>
        <v>0</v>
      </c>
      <c r="R22" s="43"/>
      <c r="S22" s="43"/>
      <c r="T22" s="43"/>
      <c r="U22" s="43"/>
      <c r="V22" s="43"/>
      <c r="W22" s="43"/>
      <c r="X22" s="43"/>
      <c r="Y22" s="43"/>
      <c r="Z22" s="43"/>
      <c r="AA22" s="43"/>
      <c r="AB22" s="43"/>
      <c r="AC22" s="43"/>
      <c r="AD22" s="43"/>
      <c r="AE22" s="43"/>
      <c r="AF22" s="99" t="s">
        <v>74</v>
      </c>
      <c r="AG22" s="98" t="b">
        <f t="shared" si="1"/>
        <v>0</v>
      </c>
      <c r="AH22" s="1312" t="b">
        <v>0</v>
      </c>
    </row>
    <row r="23" spans="1:34" ht="15.95" customHeight="1" x14ac:dyDescent="0.2">
      <c r="A23" s="2018" t="s">
        <v>1376</v>
      </c>
      <c r="B23" s="2064">
        <v>0</v>
      </c>
      <c r="C23" s="2065">
        <v>0</v>
      </c>
      <c r="D23" s="2065" t="s">
        <v>1264</v>
      </c>
      <c r="E23" s="2065" t="s">
        <v>1264</v>
      </c>
      <c r="F23" s="2065" t="s">
        <v>1264</v>
      </c>
      <c r="G23" s="2065" t="s">
        <v>1264</v>
      </c>
      <c r="H23" s="2065"/>
      <c r="I23" s="2065"/>
      <c r="J23" s="2065"/>
      <c r="K23" s="2065"/>
      <c r="L23" s="2065"/>
      <c r="M23" s="2065"/>
      <c r="N23" s="2065"/>
      <c r="O23" s="2066"/>
      <c r="P23" s="821">
        <f t="shared" si="0"/>
        <v>0</v>
      </c>
      <c r="R23" s="43"/>
      <c r="S23" s="43"/>
      <c r="T23" s="43"/>
      <c r="U23" s="43"/>
      <c r="V23" s="43"/>
      <c r="W23" s="43"/>
      <c r="X23" s="43"/>
      <c r="Y23" s="43"/>
      <c r="Z23" s="43"/>
      <c r="AA23" s="43"/>
      <c r="AB23" s="43"/>
      <c r="AC23" s="43"/>
      <c r="AD23" s="43"/>
      <c r="AE23" s="43"/>
      <c r="AF23" s="99" t="s">
        <v>74</v>
      </c>
      <c r="AG23" s="98" t="b">
        <f t="shared" si="1"/>
        <v>0</v>
      </c>
      <c r="AH23" s="1312" t="b">
        <v>0</v>
      </c>
    </row>
    <row r="24" spans="1:34" ht="15.95" customHeight="1" x14ac:dyDescent="0.2">
      <c r="A24" s="2018" t="s">
        <v>1377</v>
      </c>
      <c r="B24" s="2064">
        <v>0</v>
      </c>
      <c r="C24" s="2065">
        <v>0</v>
      </c>
      <c r="D24" s="2065">
        <v>2</v>
      </c>
      <c r="E24" s="2065">
        <v>2</v>
      </c>
      <c r="F24" s="2065" t="s">
        <v>1264</v>
      </c>
      <c r="G24" s="2065" t="s">
        <v>1264</v>
      </c>
      <c r="H24" s="2065"/>
      <c r="I24" s="2065"/>
      <c r="J24" s="2065"/>
      <c r="K24" s="2065"/>
      <c r="L24" s="2065"/>
      <c r="M24" s="2065"/>
      <c r="N24" s="2065"/>
      <c r="O24" s="2066"/>
      <c r="P24" s="821">
        <f t="shared" si="0"/>
        <v>4</v>
      </c>
      <c r="R24" s="43"/>
      <c r="S24" s="43"/>
      <c r="T24" s="43"/>
      <c r="U24" s="43"/>
      <c r="V24" s="43"/>
      <c r="W24" s="43"/>
      <c r="X24" s="43"/>
      <c r="Y24" s="43"/>
      <c r="Z24" s="43"/>
      <c r="AA24" s="43"/>
      <c r="AB24" s="43"/>
      <c r="AC24" s="43"/>
      <c r="AD24" s="43"/>
      <c r="AE24" s="43"/>
      <c r="AF24" s="99" t="s">
        <v>74</v>
      </c>
      <c r="AG24" s="98" t="b">
        <f t="shared" si="1"/>
        <v>1</v>
      </c>
      <c r="AH24" s="1312" t="b">
        <v>0</v>
      </c>
    </row>
    <row r="25" spans="1:34" ht="15.95" customHeight="1" x14ac:dyDescent="0.2">
      <c r="A25" s="2018" t="s">
        <v>1378</v>
      </c>
      <c r="B25" s="2064">
        <v>0</v>
      </c>
      <c r="C25" s="2065" t="s">
        <v>1264</v>
      </c>
      <c r="D25" s="2065" t="s">
        <v>1264</v>
      </c>
      <c r="E25" s="2065" t="s">
        <v>1264</v>
      </c>
      <c r="F25" s="2065" t="s">
        <v>1264</v>
      </c>
      <c r="G25" s="2065" t="s">
        <v>1264</v>
      </c>
      <c r="H25" s="2065"/>
      <c r="I25" s="2065"/>
      <c r="J25" s="2065"/>
      <c r="K25" s="2065"/>
      <c r="L25" s="2065"/>
      <c r="M25" s="2065"/>
      <c r="N25" s="2065"/>
      <c r="O25" s="2066"/>
      <c r="P25" s="821">
        <f t="shared" si="0"/>
        <v>0</v>
      </c>
      <c r="R25" s="43"/>
      <c r="S25" s="43"/>
      <c r="T25" s="43"/>
      <c r="U25" s="43"/>
      <c r="V25" s="43"/>
      <c r="W25" s="43"/>
      <c r="X25" s="43"/>
      <c r="Y25" s="43"/>
      <c r="Z25" s="43"/>
      <c r="AA25" s="43"/>
      <c r="AB25" s="43"/>
      <c r="AC25" s="43"/>
      <c r="AD25" s="43"/>
      <c r="AE25" s="43"/>
      <c r="AF25" s="99" t="s">
        <v>74</v>
      </c>
      <c r="AG25" s="98" t="b">
        <f t="shared" si="1"/>
        <v>0</v>
      </c>
      <c r="AH25" s="1312" t="b">
        <v>0</v>
      </c>
    </row>
    <row r="26" spans="1:34" ht="15.95" customHeight="1" x14ac:dyDescent="0.2">
      <c r="A26" s="2018" t="s">
        <v>1379</v>
      </c>
      <c r="B26" s="2064">
        <v>0</v>
      </c>
      <c r="C26" s="2065" t="s">
        <v>1264</v>
      </c>
      <c r="D26" s="2065" t="s">
        <v>1264</v>
      </c>
      <c r="E26" s="2065" t="s">
        <v>1264</v>
      </c>
      <c r="F26" s="2065" t="s">
        <v>1264</v>
      </c>
      <c r="G26" s="2065" t="s">
        <v>1264</v>
      </c>
      <c r="H26" s="2065"/>
      <c r="I26" s="2065"/>
      <c r="J26" s="2065"/>
      <c r="K26" s="2065"/>
      <c r="L26" s="2065"/>
      <c r="M26" s="2065"/>
      <c r="N26" s="2065"/>
      <c r="O26" s="2066"/>
      <c r="P26" s="821">
        <f t="shared" si="0"/>
        <v>0</v>
      </c>
      <c r="R26" s="43"/>
      <c r="S26" s="43"/>
      <c r="T26" s="43"/>
      <c r="U26" s="43"/>
      <c r="V26" s="43"/>
      <c r="W26" s="43"/>
      <c r="X26" s="43"/>
      <c r="Y26" s="43"/>
      <c r="Z26" s="43"/>
      <c r="AA26" s="43"/>
      <c r="AB26" s="43"/>
      <c r="AC26" s="43"/>
      <c r="AD26" s="43"/>
      <c r="AE26" s="43"/>
      <c r="AF26" s="99" t="s">
        <v>74</v>
      </c>
      <c r="AG26" s="98" t="b">
        <f t="shared" si="1"/>
        <v>0</v>
      </c>
      <c r="AH26" s="1312" t="b">
        <v>0</v>
      </c>
    </row>
    <row r="27" spans="1:34" ht="15.95" customHeight="1" x14ac:dyDescent="0.2">
      <c r="A27" s="2018" t="s">
        <v>1380</v>
      </c>
      <c r="B27" s="2064">
        <v>0</v>
      </c>
      <c r="C27" s="2065" t="s">
        <v>1264</v>
      </c>
      <c r="D27" s="2065" t="s">
        <v>1264</v>
      </c>
      <c r="E27" s="2065" t="s">
        <v>1264</v>
      </c>
      <c r="F27" s="2065" t="s">
        <v>1264</v>
      </c>
      <c r="G27" s="2065" t="s">
        <v>1264</v>
      </c>
      <c r="H27" s="2065"/>
      <c r="I27" s="2065"/>
      <c r="J27" s="2065"/>
      <c r="K27" s="2065"/>
      <c r="L27" s="2065"/>
      <c r="M27" s="2065"/>
      <c r="N27" s="2065"/>
      <c r="O27" s="2066"/>
      <c r="P27" s="821">
        <f t="shared" si="0"/>
        <v>0</v>
      </c>
      <c r="R27" s="43"/>
      <c r="S27" s="43"/>
      <c r="T27" s="43"/>
      <c r="U27" s="43"/>
      <c r="V27" s="43"/>
      <c r="W27" s="43"/>
      <c r="X27" s="43"/>
      <c r="Y27" s="43"/>
      <c r="Z27" s="43"/>
      <c r="AA27" s="43"/>
      <c r="AB27" s="43"/>
      <c r="AC27" s="43"/>
      <c r="AD27" s="43"/>
      <c r="AE27" s="43"/>
      <c r="AF27" s="99" t="s">
        <v>74</v>
      </c>
      <c r="AG27" s="98" t="b">
        <f t="shared" si="1"/>
        <v>0</v>
      </c>
      <c r="AH27" s="1312" t="b">
        <v>0</v>
      </c>
    </row>
    <row r="28" spans="1:34" ht="15.95" customHeight="1" x14ac:dyDescent="0.2">
      <c r="A28" s="2018" t="s">
        <v>1381</v>
      </c>
      <c r="B28" s="2064">
        <v>0</v>
      </c>
      <c r="C28" s="2065">
        <v>0</v>
      </c>
      <c r="D28" s="2065" t="s">
        <v>1264</v>
      </c>
      <c r="E28" s="2065" t="s">
        <v>1264</v>
      </c>
      <c r="F28" s="2065" t="s">
        <v>1264</v>
      </c>
      <c r="G28" s="2065" t="s">
        <v>1264</v>
      </c>
      <c r="H28" s="2065"/>
      <c r="I28" s="2065"/>
      <c r="J28" s="2065"/>
      <c r="K28" s="2065"/>
      <c r="L28" s="2065"/>
      <c r="M28" s="2065"/>
      <c r="N28" s="2065"/>
      <c r="O28" s="2066"/>
      <c r="P28" s="821">
        <f t="shared" si="0"/>
        <v>0</v>
      </c>
      <c r="R28" s="43"/>
      <c r="S28" s="43"/>
      <c r="T28" s="43"/>
      <c r="U28" s="43"/>
      <c r="V28" s="43"/>
      <c r="W28" s="43"/>
      <c r="X28" s="43"/>
      <c r="Y28" s="43"/>
      <c r="Z28" s="43"/>
      <c r="AA28" s="43"/>
      <c r="AB28" s="43"/>
      <c r="AC28" s="43"/>
      <c r="AD28" s="43"/>
      <c r="AE28" s="43"/>
      <c r="AF28" s="99" t="s">
        <v>74</v>
      </c>
      <c r="AG28" s="98" t="b">
        <f t="shared" si="1"/>
        <v>0</v>
      </c>
      <c r="AH28" s="1312" t="b">
        <v>0</v>
      </c>
    </row>
    <row r="29" spans="1:34" ht="15.95" customHeight="1" x14ac:dyDescent="0.2">
      <c r="A29" s="2018" t="s">
        <v>1382</v>
      </c>
      <c r="B29" s="2064">
        <v>0</v>
      </c>
      <c r="C29" s="2065">
        <v>0</v>
      </c>
      <c r="D29" s="2065" t="s">
        <v>1264</v>
      </c>
      <c r="E29" s="2065" t="s">
        <v>1264</v>
      </c>
      <c r="F29" s="2065" t="s">
        <v>1264</v>
      </c>
      <c r="G29" s="2065" t="s">
        <v>1264</v>
      </c>
      <c r="H29" s="2065"/>
      <c r="I29" s="2065"/>
      <c r="J29" s="2065"/>
      <c r="K29" s="2065"/>
      <c r="L29" s="2065"/>
      <c r="M29" s="2065"/>
      <c r="N29" s="2065"/>
      <c r="O29" s="2066"/>
      <c r="P29" s="821">
        <f t="shared" si="0"/>
        <v>0</v>
      </c>
      <c r="R29" s="43"/>
      <c r="S29" s="43"/>
      <c r="T29" s="43"/>
      <c r="U29" s="43"/>
      <c r="V29" s="43"/>
      <c r="W29" s="43"/>
      <c r="X29" s="43"/>
      <c r="Y29" s="43"/>
      <c r="Z29" s="43"/>
      <c r="AA29" s="43"/>
      <c r="AB29" s="43"/>
      <c r="AC29" s="43"/>
      <c r="AD29" s="43"/>
      <c r="AE29" s="43"/>
      <c r="AF29" s="99" t="s">
        <v>74</v>
      </c>
      <c r="AG29" s="98" t="b">
        <f t="shared" si="1"/>
        <v>0</v>
      </c>
      <c r="AH29" s="1312" t="b">
        <v>0</v>
      </c>
    </row>
    <row r="30" spans="1:34" ht="15.95" customHeight="1" x14ac:dyDescent="0.2">
      <c r="A30" s="2018" t="s">
        <v>1383</v>
      </c>
      <c r="B30" s="2064">
        <v>0</v>
      </c>
      <c r="C30" s="2065">
        <v>0</v>
      </c>
      <c r="D30" s="2065" t="s">
        <v>1264</v>
      </c>
      <c r="E30" s="2065" t="s">
        <v>1264</v>
      </c>
      <c r="F30" s="2065" t="s">
        <v>1264</v>
      </c>
      <c r="G30" s="2065" t="s">
        <v>1264</v>
      </c>
      <c r="H30" s="2065"/>
      <c r="I30" s="2065"/>
      <c r="J30" s="2065"/>
      <c r="K30" s="2065"/>
      <c r="L30" s="2065"/>
      <c r="M30" s="2065"/>
      <c r="N30" s="2065"/>
      <c r="O30" s="2066"/>
      <c r="P30" s="821">
        <f t="shared" si="0"/>
        <v>0</v>
      </c>
      <c r="R30" s="43"/>
      <c r="S30" s="43"/>
      <c r="T30" s="43"/>
      <c r="U30" s="43"/>
      <c r="V30" s="43"/>
      <c r="W30" s="43"/>
      <c r="X30" s="43"/>
      <c r="Y30" s="43"/>
      <c r="Z30" s="43"/>
      <c r="AA30" s="43"/>
      <c r="AB30" s="43"/>
      <c r="AC30" s="43"/>
      <c r="AD30" s="43"/>
      <c r="AE30" s="43"/>
      <c r="AF30" s="99" t="s">
        <v>74</v>
      </c>
      <c r="AG30" s="98" t="b">
        <f t="shared" si="1"/>
        <v>0</v>
      </c>
      <c r="AH30" s="1312" t="b">
        <v>0</v>
      </c>
    </row>
    <row r="31" spans="1:34" ht="15.95" customHeight="1" x14ac:dyDescent="0.2">
      <c r="A31" s="2018" t="s">
        <v>1384</v>
      </c>
      <c r="B31" s="2064">
        <v>0</v>
      </c>
      <c r="C31" s="2065">
        <v>0</v>
      </c>
      <c r="D31" s="2065" t="s">
        <v>1264</v>
      </c>
      <c r="E31" s="2065" t="s">
        <v>1264</v>
      </c>
      <c r="F31" s="2065" t="s">
        <v>1264</v>
      </c>
      <c r="G31" s="2065" t="s">
        <v>1264</v>
      </c>
      <c r="H31" s="2065"/>
      <c r="I31" s="2065"/>
      <c r="J31" s="2065"/>
      <c r="K31" s="2065"/>
      <c r="L31" s="2065"/>
      <c r="M31" s="2065"/>
      <c r="N31" s="2065"/>
      <c r="O31" s="2066"/>
      <c r="P31" s="821">
        <f t="shared" si="0"/>
        <v>0</v>
      </c>
      <c r="R31" s="43"/>
      <c r="S31" s="43"/>
      <c r="T31" s="43"/>
      <c r="U31" s="43"/>
      <c r="V31" s="43"/>
      <c r="W31" s="43"/>
      <c r="X31" s="43"/>
      <c r="Y31" s="43"/>
      <c r="Z31" s="43"/>
      <c r="AA31" s="43"/>
      <c r="AB31" s="43"/>
      <c r="AC31" s="43"/>
      <c r="AD31" s="43"/>
      <c r="AE31" s="43"/>
      <c r="AF31" s="99" t="s">
        <v>74</v>
      </c>
      <c r="AG31" s="98" t="b">
        <f t="shared" si="1"/>
        <v>0</v>
      </c>
      <c r="AH31" s="1312" t="b">
        <v>0</v>
      </c>
    </row>
    <row r="32" spans="1:34" ht="15.95" customHeight="1" x14ac:dyDescent="0.2">
      <c r="A32" s="2018" t="s">
        <v>1385</v>
      </c>
      <c r="B32" s="2064">
        <v>0</v>
      </c>
      <c r="C32" s="2065">
        <v>0</v>
      </c>
      <c r="D32" s="2065" t="s">
        <v>1264</v>
      </c>
      <c r="E32" s="2065" t="s">
        <v>1264</v>
      </c>
      <c r="F32" s="2065" t="s">
        <v>1264</v>
      </c>
      <c r="G32" s="2065" t="s">
        <v>1264</v>
      </c>
      <c r="H32" s="2065"/>
      <c r="I32" s="2065"/>
      <c r="J32" s="2065"/>
      <c r="K32" s="2065"/>
      <c r="L32" s="2065"/>
      <c r="M32" s="2065"/>
      <c r="N32" s="2065"/>
      <c r="O32" s="2066"/>
      <c r="P32" s="821">
        <f t="shared" si="0"/>
        <v>0</v>
      </c>
      <c r="R32" s="43"/>
      <c r="S32" s="43"/>
      <c r="T32" s="43"/>
      <c r="U32" s="43"/>
      <c r="V32" s="43"/>
      <c r="W32" s="43"/>
      <c r="X32" s="43"/>
      <c r="Y32" s="43"/>
      <c r="Z32" s="43"/>
      <c r="AA32" s="43"/>
      <c r="AB32" s="43"/>
      <c r="AC32" s="43"/>
      <c r="AD32" s="43"/>
      <c r="AE32" s="43"/>
      <c r="AF32" s="99" t="s">
        <v>74</v>
      </c>
      <c r="AG32" s="98" t="b">
        <f t="shared" si="1"/>
        <v>0</v>
      </c>
      <c r="AH32" s="1312" t="b">
        <v>0</v>
      </c>
    </row>
    <row r="33" spans="1:34" ht="15.95" customHeight="1" x14ac:dyDescent="0.2">
      <c r="A33" s="2018" t="s">
        <v>1386</v>
      </c>
      <c r="B33" s="2064">
        <v>0</v>
      </c>
      <c r="C33" s="2065">
        <v>0</v>
      </c>
      <c r="D33" s="2065" t="s">
        <v>1264</v>
      </c>
      <c r="E33" s="2065" t="s">
        <v>1264</v>
      </c>
      <c r="F33" s="2065" t="s">
        <v>1264</v>
      </c>
      <c r="G33" s="2065" t="s">
        <v>1264</v>
      </c>
      <c r="H33" s="2065"/>
      <c r="I33" s="2065"/>
      <c r="J33" s="2065"/>
      <c r="K33" s="2065"/>
      <c r="L33" s="2065"/>
      <c r="M33" s="2065"/>
      <c r="N33" s="2065"/>
      <c r="O33" s="2066"/>
      <c r="P33" s="821">
        <f t="shared" si="0"/>
        <v>0</v>
      </c>
      <c r="R33" s="43"/>
      <c r="S33" s="43"/>
      <c r="T33" s="43"/>
      <c r="U33" s="43"/>
      <c r="V33" s="43"/>
      <c r="W33" s="43"/>
      <c r="X33" s="43"/>
      <c r="Y33" s="43"/>
      <c r="Z33" s="43"/>
      <c r="AA33" s="43"/>
      <c r="AB33" s="43"/>
      <c r="AC33" s="43"/>
      <c r="AD33" s="43"/>
      <c r="AE33" s="43"/>
      <c r="AF33" s="99" t="s">
        <v>74</v>
      </c>
      <c r="AG33" s="98" t="b">
        <f t="shared" si="1"/>
        <v>0</v>
      </c>
      <c r="AH33" s="1312" t="b">
        <v>0</v>
      </c>
    </row>
    <row r="34" spans="1:34" ht="15.95" customHeight="1" x14ac:dyDescent="0.2">
      <c r="A34" s="2018" t="s">
        <v>1387</v>
      </c>
      <c r="B34" s="2064">
        <v>0</v>
      </c>
      <c r="C34" s="2065" t="s">
        <v>1264</v>
      </c>
      <c r="D34" s="2065" t="s">
        <v>1264</v>
      </c>
      <c r="E34" s="2065" t="s">
        <v>1264</v>
      </c>
      <c r="F34" s="2065" t="s">
        <v>1264</v>
      </c>
      <c r="G34" s="2065" t="s">
        <v>1264</v>
      </c>
      <c r="H34" s="2065"/>
      <c r="I34" s="2065"/>
      <c r="J34" s="2065"/>
      <c r="K34" s="2065"/>
      <c r="L34" s="2065"/>
      <c r="M34" s="2065"/>
      <c r="N34" s="2065"/>
      <c r="O34" s="2066"/>
      <c r="P34" s="821">
        <f t="shared" si="0"/>
        <v>0</v>
      </c>
      <c r="R34" s="43"/>
      <c r="S34" s="43"/>
      <c r="T34" s="43"/>
      <c r="U34" s="43"/>
      <c r="V34" s="43"/>
      <c r="W34" s="43"/>
      <c r="X34" s="43"/>
      <c r="Y34" s="43"/>
      <c r="Z34" s="43"/>
      <c r="AA34" s="43"/>
      <c r="AB34" s="43"/>
      <c r="AC34" s="43"/>
      <c r="AD34" s="43"/>
      <c r="AE34" s="43"/>
      <c r="AF34" s="99" t="s">
        <v>74</v>
      </c>
      <c r="AG34" s="98" t="b">
        <f t="shared" si="1"/>
        <v>0</v>
      </c>
      <c r="AH34" s="1312" t="b">
        <v>0</v>
      </c>
    </row>
    <row r="35" spans="1:34" ht="15.95" customHeight="1" x14ac:dyDescent="0.2">
      <c r="A35" s="2018" t="s">
        <v>1388</v>
      </c>
      <c r="B35" s="2064">
        <v>0</v>
      </c>
      <c r="C35" s="2065">
        <v>0</v>
      </c>
      <c r="D35" s="2065" t="s">
        <v>1264</v>
      </c>
      <c r="E35" s="2065" t="s">
        <v>1264</v>
      </c>
      <c r="F35" s="2065" t="s">
        <v>1264</v>
      </c>
      <c r="G35" s="2065" t="s">
        <v>1264</v>
      </c>
      <c r="H35" s="2065"/>
      <c r="I35" s="2065"/>
      <c r="J35" s="2065"/>
      <c r="K35" s="2065"/>
      <c r="L35" s="2065"/>
      <c r="M35" s="2065"/>
      <c r="N35" s="2065"/>
      <c r="O35" s="2066"/>
      <c r="P35" s="821">
        <f t="shared" si="0"/>
        <v>0</v>
      </c>
      <c r="R35" s="43"/>
      <c r="S35" s="43"/>
      <c r="T35" s="43"/>
      <c r="U35" s="43"/>
      <c r="V35" s="43"/>
      <c r="W35" s="43"/>
      <c r="X35" s="43"/>
      <c r="Y35" s="43"/>
      <c r="Z35" s="43"/>
      <c r="AA35" s="43"/>
      <c r="AB35" s="43"/>
      <c r="AC35" s="43"/>
      <c r="AD35" s="43"/>
      <c r="AE35" s="43"/>
      <c r="AF35" s="99" t="s">
        <v>74</v>
      </c>
      <c r="AG35" s="98" t="b">
        <f t="shared" si="1"/>
        <v>0</v>
      </c>
      <c r="AH35" s="1312" t="b">
        <v>0</v>
      </c>
    </row>
    <row r="36" spans="1:34" ht="15.95" customHeight="1" x14ac:dyDescent="0.2">
      <c r="A36" s="2018" t="s">
        <v>1389</v>
      </c>
      <c r="B36" s="2064">
        <v>0</v>
      </c>
      <c r="C36" s="2065" t="s">
        <v>1264</v>
      </c>
      <c r="D36" s="2065" t="s">
        <v>1264</v>
      </c>
      <c r="E36" s="2065" t="s">
        <v>1264</v>
      </c>
      <c r="F36" s="2065" t="s">
        <v>1264</v>
      </c>
      <c r="G36" s="2065" t="s">
        <v>1264</v>
      </c>
      <c r="H36" s="2065"/>
      <c r="I36" s="2065"/>
      <c r="J36" s="2065"/>
      <c r="K36" s="2065"/>
      <c r="L36" s="2065"/>
      <c r="M36" s="2065"/>
      <c r="N36" s="2065"/>
      <c r="O36" s="2066"/>
      <c r="P36" s="821">
        <f t="shared" si="0"/>
        <v>0</v>
      </c>
      <c r="R36" s="43"/>
      <c r="S36" s="43"/>
      <c r="T36" s="43"/>
      <c r="U36" s="43"/>
      <c r="V36" s="43"/>
      <c r="W36" s="43"/>
      <c r="X36" s="43"/>
      <c r="Y36" s="43"/>
      <c r="Z36" s="43"/>
      <c r="AA36" s="43"/>
      <c r="AB36" s="43"/>
      <c r="AC36" s="43"/>
      <c r="AD36" s="43"/>
      <c r="AE36" s="43"/>
      <c r="AF36" s="99" t="s">
        <v>74</v>
      </c>
      <c r="AG36" s="98" t="b">
        <f t="shared" si="1"/>
        <v>0</v>
      </c>
      <c r="AH36" s="1312" t="b">
        <v>0</v>
      </c>
    </row>
    <row r="37" spans="1:34" ht="15.95" customHeight="1" x14ac:dyDescent="0.2">
      <c r="A37" s="2018" t="s">
        <v>1390</v>
      </c>
      <c r="B37" s="2064" t="s">
        <v>1264</v>
      </c>
      <c r="C37" s="2065">
        <v>0</v>
      </c>
      <c r="D37" s="2065" t="s">
        <v>1264</v>
      </c>
      <c r="E37" s="2065" t="s">
        <v>1264</v>
      </c>
      <c r="F37" s="2065" t="s">
        <v>1264</v>
      </c>
      <c r="G37" s="2065" t="s">
        <v>1264</v>
      </c>
      <c r="H37" s="2065"/>
      <c r="I37" s="2065"/>
      <c r="J37" s="2065"/>
      <c r="K37" s="2065"/>
      <c r="L37" s="2065"/>
      <c r="M37" s="2065"/>
      <c r="N37" s="2065"/>
      <c r="O37" s="2066"/>
      <c r="P37" s="821">
        <f t="shared" si="0"/>
        <v>0</v>
      </c>
      <c r="R37" s="43"/>
      <c r="S37" s="43"/>
      <c r="T37" s="43"/>
      <c r="U37" s="43"/>
      <c r="V37" s="43"/>
      <c r="W37" s="43"/>
      <c r="X37" s="43"/>
      <c r="Y37" s="43"/>
      <c r="Z37" s="43"/>
      <c r="AA37" s="43"/>
      <c r="AB37" s="43"/>
      <c r="AC37" s="43"/>
      <c r="AD37" s="43"/>
      <c r="AE37" s="43"/>
      <c r="AF37" s="99" t="s">
        <v>75</v>
      </c>
      <c r="AG37" s="98" t="b">
        <f t="shared" si="1"/>
        <v>0</v>
      </c>
      <c r="AH37" s="1312" t="b">
        <v>0</v>
      </c>
    </row>
    <row r="38" spans="1:34" ht="15.95" customHeight="1" x14ac:dyDescent="0.2">
      <c r="A38" s="2018" t="s">
        <v>1391</v>
      </c>
      <c r="B38" s="2064" t="s">
        <v>1264</v>
      </c>
      <c r="C38" s="2065">
        <v>0</v>
      </c>
      <c r="D38" s="2065" t="s">
        <v>1264</v>
      </c>
      <c r="E38" s="2065" t="s">
        <v>1264</v>
      </c>
      <c r="F38" s="2065" t="s">
        <v>1264</v>
      </c>
      <c r="G38" s="2065" t="s">
        <v>1264</v>
      </c>
      <c r="H38" s="2065"/>
      <c r="I38" s="2065"/>
      <c r="J38" s="2065"/>
      <c r="K38" s="2065"/>
      <c r="L38" s="2065"/>
      <c r="M38" s="2065"/>
      <c r="N38" s="2065"/>
      <c r="O38" s="2066"/>
      <c r="P38" s="821">
        <f t="shared" si="0"/>
        <v>0</v>
      </c>
      <c r="R38" s="43"/>
      <c r="S38" s="43"/>
      <c r="T38" s="43"/>
      <c r="U38" s="43"/>
      <c r="V38" s="43"/>
      <c r="W38" s="43"/>
      <c r="X38" s="43"/>
      <c r="Y38" s="43"/>
      <c r="Z38" s="43"/>
      <c r="AA38" s="43"/>
      <c r="AB38" s="43"/>
      <c r="AC38" s="43"/>
      <c r="AD38" s="43"/>
      <c r="AE38" s="43"/>
      <c r="AF38" s="99" t="s">
        <v>75</v>
      </c>
      <c r="AG38" s="98" t="b">
        <f t="shared" si="1"/>
        <v>0</v>
      </c>
      <c r="AH38" s="1312" t="b">
        <v>0</v>
      </c>
    </row>
    <row r="39" spans="1:34" ht="15.95" customHeight="1" x14ac:dyDescent="0.2">
      <c r="A39" s="2018" t="s">
        <v>1392</v>
      </c>
      <c r="B39" s="2064" t="s">
        <v>1264</v>
      </c>
      <c r="C39" s="2065">
        <v>0</v>
      </c>
      <c r="D39" s="2065" t="s">
        <v>1264</v>
      </c>
      <c r="E39" s="2065" t="s">
        <v>1264</v>
      </c>
      <c r="F39" s="2065" t="s">
        <v>1264</v>
      </c>
      <c r="G39" s="2065" t="s">
        <v>1264</v>
      </c>
      <c r="H39" s="2065"/>
      <c r="I39" s="2065"/>
      <c r="J39" s="2065"/>
      <c r="K39" s="2065"/>
      <c r="L39" s="2065"/>
      <c r="M39" s="2065"/>
      <c r="N39" s="2065"/>
      <c r="O39" s="2066"/>
      <c r="P39" s="821">
        <f t="shared" si="0"/>
        <v>0</v>
      </c>
      <c r="R39" s="43"/>
      <c r="S39" s="43"/>
      <c r="T39" s="43"/>
      <c r="U39" s="43"/>
      <c r="V39" s="43"/>
      <c r="W39" s="43"/>
      <c r="X39" s="43"/>
      <c r="Y39" s="43"/>
      <c r="Z39" s="43"/>
      <c r="AA39" s="43"/>
      <c r="AB39" s="43"/>
      <c r="AC39" s="43"/>
      <c r="AD39" s="43"/>
      <c r="AE39" s="43"/>
      <c r="AF39" s="99" t="s">
        <v>75</v>
      </c>
      <c r="AG39" s="98" t="b">
        <f t="shared" si="1"/>
        <v>0</v>
      </c>
      <c r="AH39" s="1312" t="b">
        <v>0</v>
      </c>
    </row>
    <row r="40" spans="1:34" ht="15.95" customHeight="1" x14ac:dyDescent="0.2">
      <c r="A40" s="2018" t="s">
        <v>1393</v>
      </c>
      <c r="B40" s="2064" t="s">
        <v>1264</v>
      </c>
      <c r="C40" s="2065">
        <v>0</v>
      </c>
      <c r="D40" s="2065" t="s">
        <v>1264</v>
      </c>
      <c r="E40" s="2065" t="s">
        <v>1264</v>
      </c>
      <c r="F40" s="2065" t="s">
        <v>1264</v>
      </c>
      <c r="G40" s="2065" t="s">
        <v>1264</v>
      </c>
      <c r="H40" s="2065"/>
      <c r="I40" s="2065"/>
      <c r="J40" s="2065"/>
      <c r="K40" s="2065"/>
      <c r="L40" s="2065"/>
      <c r="M40" s="2065"/>
      <c r="N40" s="2065"/>
      <c r="O40" s="2066"/>
      <c r="P40" s="821">
        <f t="shared" si="0"/>
        <v>0</v>
      </c>
      <c r="R40" s="43"/>
      <c r="S40" s="43"/>
      <c r="T40" s="43"/>
      <c r="U40" s="43"/>
      <c r="V40" s="43"/>
      <c r="W40" s="43"/>
      <c r="X40" s="43"/>
      <c r="Y40" s="43"/>
      <c r="Z40" s="43"/>
      <c r="AA40" s="43"/>
      <c r="AB40" s="43"/>
      <c r="AC40" s="43"/>
      <c r="AD40" s="43"/>
      <c r="AE40" s="43"/>
      <c r="AF40" s="99" t="s">
        <v>75</v>
      </c>
      <c r="AG40" s="98" t="b">
        <f t="shared" si="1"/>
        <v>0</v>
      </c>
      <c r="AH40" s="1312" t="b">
        <v>0</v>
      </c>
    </row>
    <row r="41" spans="1:34" ht="15.95" customHeight="1" x14ac:dyDescent="0.2">
      <c r="A41" s="2018" t="s">
        <v>1394</v>
      </c>
      <c r="B41" s="2064" t="s">
        <v>1264</v>
      </c>
      <c r="C41" s="2065">
        <v>0</v>
      </c>
      <c r="D41" s="2065" t="s">
        <v>1264</v>
      </c>
      <c r="E41" s="2065" t="s">
        <v>1264</v>
      </c>
      <c r="F41" s="2065" t="s">
        <v>1264</v>
      </c>
      <c r="G41" s="2065" t="s">
        <v>1264</v>
      </c>
      <c r="H41" s="2065"/>
      <c r="I41" s="2065"/>
      <c r="J41" s="2065"/>
      <c r="K41" s="2065"/>
      <c r="L41" s="2065"/>
      <c r="M41" s="2065"/>
      <c r="N41" s="2065"/>
      <c r="O41" s="2066"/>
      <c r="P41" s="821">
        <f t="shared" si="0"/>
        <v>0</v>
      </c>
      <c r="R41" s="43"/>
      <c r="S41" s="43"/>
      <c r="T41" s="43"/>
      <c r="U41" s="43"/>
      <c r="V41" s="43"/>
      <c r="W41" s="43"/>
      <c r="X41" s="43"/>
      <c r="Y41" s="43"/>
      <c r="Z41" s="43"/>
      <c r="AA41" s="43"/>
      <c r="AB41" s="43"/>
      <c r="AC41" s="43"/>
      <c r="AD41" s="43"/>
      <c r="AE41" s="43"/>
      <c r="AF41" s="99" t="s">
        <v>75</v>
      </c>
      <c r="AG41" s="98" t="b">
        <f t="shared" si="1"/>
        <v>0</v>
      </c>
      <c r="AH41" s="1312" t="b">
        <v>0</v>
      </c>
    </row>
    <row r="42" spans="1:34" ht="15.95" customHeight="1" x14ac:dyDescent="0.2">
      <c r="A42" s="2018" t="s">
        <v>1395</v>
      </c>
      <c r="B42" s="2064" t="s">
        <v>1264</v>
      </c>
      <c r="C42" s="2065">
        <v>0</v>
      </c>
      <c r="D42" s="2065" t="s">
        <v>1264</v>
      </c>
      <c r="E42" s="2065" t="s">
        <v>1264</v>
      </c>
      <c r="F42" s="2065" t="s">
        <v>1264</v>
      </c>
      <c r="G42" s="2065" t="s">
        <v>1264</v>
      </c>
      <c r="H42" s="2065"/>
      <c r="I42" s="2065"/>
      <c r="J42" s="2065"/>
      <c r="K42" s="2065"/>
      <c r="L42" s="2065"/>
      <c r="M42" s="2065"/>
      <c r="N42" s="2065"/>
      <c r="O42" s="2066"/>
      <c r="P42" s="821">
        <f t="shared" si="0"/>
        <v>0</v>
      </c>
      <c r="R42" s="43"/>
      <c r="S42" s="43"/>
      <c r="T42" s="43"/>
      <c r="U42" s="43"/>
      <c r="V42" s="43"/>
      <c r="W42" s="43"/>
      <c r="X42" s="43"/>
      <c r="Y42" s="43"/>
      <c r="Z42" s="43"/>
      <c r="AA42" s="43"/>
      <c r="AB42" s="43"/>
      <c r="AC42" s="43"/>
      <c r="AD42" s="43"/>
      <c r="AE42" s="43"/>
      <c r="AF42" s="99" t="s">
        <v>75</v>
      </c>
      <c r="AG42" s="98" t="b">
        <f t="shared" si="1"/>
        <v>0</v>
      </c>
      <c r="AH42" s="1312" t="b">
        <v>0</v>
      </c>
    </row>
    <row r="43" spans="1:34" ht="15.95" customHeight="1" x14ac:dyDescent="0.2">
      <c r="A43" s="2018" t="s">
        <v>1396</v>
      </c>
      <c r="B43" s="2064" t="s">
        <v>1264</v>
      </c>
      <c r="C43" s="2065">
        <v>0</v>
      </c>
      <c r="D43" s="2065" t="s">
        <v>1264</v>
      </c>
      <c r="E43" s="2065" t="s">
        <v>1264</v>
      </c>
      <c r="F43" s="2065" t="s">
        <v>1264</v>
      </c>
      <c r="G43" s="2065" t="s">
        <v>1264</v>
      </c>
      <c r="H43" s="2065"/>
      <c r="I43" s="2065"/>
      <c r="J43" s="2065"/>
      <c r="K43" s="2065"/>
      <c r="L43" s="2065"/>
      <c r="M43" s="2065"/>
      <c r="N43" s="2065"/>
      <c r="O43" s="2066"/>
      <c r="P43" s="821">
        <f t="shared" si="0"/>
        <v>0</v>
      </c>
      <c r="R43" s="43"/>
      <c r="S43" s="43"/>
      <c r="T43" s="43"/>
      <c r="U43" s="43"/>
      <c r="V43" s="43"/>
      <c r="W43" s="43"/>
      <c r="X43" s="43"/>
      <c r="Y43" s="43"/>
      <c r="Z43" s="43"/>
      <c r="AA43" s="43"/>
      <c r="AB43" s="43"/>
      <c r="AC43" s="43"/>
      <c r="AD43" s="43"/>
      <c r="AE43" s="43"/>
      <c r="AF43" s="99" t="s">
        <v>75</v>
      </c>
      <c r="AG43" s="98" t="b">
        <f t="shared" si="1"/>
        <v>0</v>
      </c>
      <c r="AH43" s="1312" t="b">
        <v>0</v>
      </c>
    </row>
    <row r="44" spans="1:34" ht="15.95" customHeight="1" x14ac:dyDescent="0.2">
      <c r="A44" s="2018" t="s">
        <v>1397</v>
      </c>
      <c r="B44" s="2064" t="s">
        <v>1264</v>
      </c>
      <c r="C44" s="2065">
        <v>0</v>
      </c>
      <c r="D44" s="2065" t="s">
        <v>1264</v>
      </c>
      <c r="E44" s="2065" t="s">
        <v>1264</v>
      </c>
      <c r="F44" s="2065" t="s">
        <v>1264</v>
      </c>
      <c r="G44" s="2065" t="s">
        <v>1264</v>
      </c>
      <c r="H44" s="2065"/>
      <c r="I44" s="2065"/>
      <c r="J44" s="2065"/>
      <c r="K44" s="2065"/>
      <c r="L44" s="2065"/>
      <c r="M44" s="2065"/>
      <c r="N44" s="2065"/>
      <c r="O44" s="2066"/>
      <c r="P44" s="821">
        <f t="shared" si="0"/>
        <v>0</v>
      </c>
      <c r="R44" s="43"/>
      <c r="S44" s="43"/>
      <c r="T44" s="43"/>
      <c r="U44" s="43"/>
      <c r="V44" s="43"/>
      <c r="W44" s="43"/>
      <c r="X44" s="43"/>
      <c r="Y44" s="43"/>
      <c r="Z44" s="43"/>
      <c r="AA44" s="43"/>
      <c r="AB44" s="43"/>
      <c r="AC44" s="43"/>
      <c r="AD44" s="43"/>
      <c r="AE44" s="43"/>
      <c r="AF44" s="99" t="s">
        <v>75</v>
      </c>
      <c r="AG44" s="98" t="b">
        <f t="shared" si="1"/>
        <v>0</v>
      </c>
      <c r="AH44" s="1312" t="b">
        <v>0</v>
      </c>
    </row>
    <row r="45" spans="1:34" ht="15.95" customHeight="1" x14ac:dyDescent="0.2">
      <c r="A45" s="2018" t="s">
        <v>1398</v>
      </c>
      <c r="B45" s="2064" t="s">
        <v>1264</v>
      </c>
      <c r="C45" s="2065">
        <v>0</v>
      </c>
      <c r="D45" s="2065" t="s">
        <v>1264</v>
      </c>
      <c r="E45" s="2065" t="s">
        <v>1264</v>
      </c>
      <c r="F45" s="2065" t="s">
        <v>1264</v>
      </c>
      <c r="G45" s="2065" t="s">
        <v>1264</v>
      </c>
      <c r="H45" s="2065"/>
      <c r="I45" s="2065"/>
      <c r="J45" s="2065"/>
      <c r="K45" s="2065"/>
      <c r="L45" s="2065"/>
      <c r="M45" s="2065"/>
      <c r="N45" s="2065"/>
      <c r="O45" s="2066"/>
      <c r="P45" s="821">
        <f t="shared" si="0"/>
        <v>0</v>
      </c>
      <c r="R45" s="43"/>
      <c r="S45" s="43"/>
      <c r="T45" s="43"/>
      <c r="U45" s="43"/>
      <c r="V45" s="43"/>
      <c r="W45" s="43"/>
      <c r="X45" s="43"/>
      <c r="Y45" s="43"/>
      <c r="Z45" s="43"/>
      <c r="AA45" s="43"/>
      <c r="AB45" s="43"/>
      <c r="AC45" s="43"/>
      <c r="AD45" s="43"/>
      <c r="AE45" s="43"/>
      <c r="AF45" s="99" t="s">
        <v>75</v>
      </c>
      <c r="AG45" s="98" t="b">
        <f t="shared" si="1"/>
        <v>0</v>
      </c>
      <c r="AH45" s="1312" t="b">
        <v>0</v>
      </c>
    </row>
    <row r="46" spans="1:34" ht="15.95" customHeight="1" x14ac:dyDescent="0.2">
      <c r="A46" s="2018" t="s">
        <v>1399</v>
      </c>
      <c r="B46" s="2064" t="s">
        <v>1264</v>
      </c>
      <c r="C46" s="2065">
        <v>0</v>
      </c>
      <c r="D46" s="2065" t="s">
        <v>1264</v>
      </c>
      <c r="E46" s="2065" t="s">
        <v>1264</v>
      </c>
      <c r="F46" s="2065" t="s">
        <v>1264</v>
      </c>
      <c r="G46" s="2065" t="s">
        <v>1264</v>
      </c>
      <c r="H46" s="2065"/>
      <c r="I46" s="2065"/>
      <c r="J46" s="2065"/>
      <c r="K46" s="2065"/>
      <c r="L46" s="2065"/>
      <c r="M46" s="2065"/>
      <c r="N46" s="2065"/>
      <c r="O46" s="2066"/>
      <c r="P46" s="821">
        <f t="shared" si="0"/>
        <v>0</v>
      </c>
      <c r="R46" s="43"/>
      <c r="S46" s="43"/>
      <c r="T46" s="43"/>
      <c r="U46" s="43"/>
      <c r="V46" s="43"/>
      <c r="W46" s="43"/>
      <c r="X46" s="43"/>
      <c r="Y46" s="43"/>
      <c r="Z46" s="43"/>
      <c r="AA46" s="43"/>
      <c r="AB46" s="43"/>
      <c r="AC46" s="43"/>
      <c r="AD46" s="43"/>
      <c r="AE46" s="43"/>
      <c r="AF46" s="99" t="s">
        <v>75</v>
      </c>
      <c r="AG46" s="98" t="b">
        <f t="shared" si="1"/>
        <v>0</v>
      </c>
      <c r="AH46" s="1312" t="b">
        <v>0</v>
      </c>
    </row>
    <row r="47" spans="1:34" ht="15.95" customHeight="1" x14ac:dyDescent="0.2">
      <c r="A47" s="2018" t="s">
        <v>1400</v>
      </c>
      <c r="B47" s="2064" t="s">
        <v>1264</v>
      </c>
      <c r="C47" s="2065">
        <v>0</v>
      </c>
      <c r="D47" s="2065" t="s">
        <v>1264</v>
      </c>
      <c r="E47" s="2065" t="s">
        <v>1264</v>
      </c>
      <c r="F47" s="2065" t="s">
        <v>1264</v>
      </c>
      <c r="G47" s="2065" t="s">
        <v>1264</v>
      </c>
      <c r="H47" s="2065"/>
      <c r="I47" s="2065"/>
      <c r="J47" s="2065"/>
      <c r="K47" s="2065"/>
      <c r="L47" s="2065"/>
      <c r="M47" s="2065"/>
      <c r="N47" s="2065"/>
      <c r="O47" s="2066"/>
      <c r="P47" s="821">
        <f t="shared" si="0"/>
        <v>0</v>
      </c>
      <c r="R47" s="43"/>
      <c r="S47" s="43"/>
      <c r="T47" s="43"/>
      <c r="U47" s="43"/>
      <c r="V47" s="43"/>
      <c r="W47" s="43"/>
      <c r="X47" s="43"/>
      <c r="Y47" s="43"/>
      <c r="Z47" s="43"/>
      <c r="AA47" s="43"/>
      <c r="AB47" s="43"/>
      <c r="AC47" s="43"/>
      <c r="AD47" s="43"/>
      <c r="AE47" s="43"/>
      <c r="AF47" s="99" t="s">
        <v>75</v>
      </c>
      <c r="AG47" s="98" t="b">
        <f t="shared" si="1"/>
        <v>0</v>
      </c>
      <c r="AH47" s="1312" t="b">
        <v>0</v>
      </c>
    </row>
    <row r="48" spans="1:34" ht="15.95" customHeight="1" x14ac:dyDescent="0.2">
      <c r="A48" s="2018" t="s">
        <v>1401</v>
      </c>
      <c r="B48" s="2064" t="s">
        <v>1264</v>
      </c>
      <c r="C48" s="2065">
        <v>0</v>
      </c>
      <c r="D48" s="2065" t="s">
        <v>1264</v>
      </c>
      <c r="E48" s="2065" t="s">
        <v>1264</v>
      </c>
      <c r="F48" s="2065" t="s">
        <v>1264</v>
      </c>
      <c r="G48" s="2065" t="s">
        <v>1264</v>
      </c>
      <c r="H48" s="2065"/>
      <c r="I48" s="2065"/>
      <c r="J48" s="2065"/>
      <c r="K48" s="2065"/>
      <c r="L48" s="2065"/>
      <c r="M48" s="2065"/>
      <c r="N48" s="2065"/>
      <c r="O48" s="2066"/>
      <c r="P48" s="821">
        <f t="shared" si="0"/>
        <v>0</v>
      </c>
      <c r="R48" s="43"/>
      <c r="S48" s="43"/>
      <c r="T48" s="43"/>
      <c r="U48" s="43"/>
      <c r="V48" s="43"/>
      <c r="W48" s="43"/>
      <c r="X48" s="43"/>
      <c r="Y48" s="43"/>
      <c r="Z48" s="43"/>
      <c r="AA48" s="43"/>
      <c r="AB48" s="43"/>
      <c r="AC48" s="43"/>
      <c r="AD48" s="43"/>
      <c r="AE48" s="43"/>
      <c r="AF48" s="99" t="s">
        <v>75</v>
      </c>
      <c r="AG48" s="98" t="b">
        <f t="shared" si="1"/>
        <v>0</v>
      </c>
      <c r="AH48" s="1312" t="b">
        <v>0</v>
      </c>
    </row>
    <row r="49" spans="1:34" ht="15.95" customHeight="1" x14ac:dyDescent="0.2">
      <c r="A49" s="2019" t="s">
        <v>1402</v>
      </c>
      <c r="B49" s="2067" t="s">
        <v>1264</v>
      </c>
      <c r="C49" s="2068">
        <v>0</v>
      </c>
      <c r="D49" s="2068" t="s">
        <v>1264</v>
      </c>
      <c r="E49" s="2068" t="s">
        <v>1264</v>
      </c>
      <c r="F49" s="2068" t="s">
        <v>1264</v>
      </c>
      <c r="G49" s="2068" t="s">
        <v>1264</v>
      </c>
      <c r="H49" s="2068"/>
      <c r="I49" s="2068"/>
      <c r="J49" s="2068"/>
      <c r="K49" s="2068"/>
      <c r="L49" s="2068"/>
      <c r="M49" s="2068"/>
      <c r="N49" s="2068"/>
      <c r="O49" s="2069"/>
      <c r="P49" s="821">
        <f t="shared" si="0"/>
        <v>0</v>
      </c>
      <c r="R49" s="43"/>
      <c r="S49" s="43"/>
      <c r="T49" s="43"/>
      <c r="U49" s="43"/>
      <c r="V49" s="43"/>
      <c r="W49" s="43"/>
      <c r="X49" s="43"/>
      <c r="Y49" s="43"/>
      <c r="Z49" s="43"/>
      <c r="AA49" s="43"/>
      <c r="AB49" s="43"/>
      <c r="AC49" s="43"/>
      <c r="AD49" s="43"/>
      <c r="AE49" s="43"/>
      <c r="AF49" s="99" t="s">
        <v>75</v>
      </c>
      <c r="AG49" s="98" t="b">
        <f t="shared" si="1"/>
        <v>0</v>
      </c>
      <c r="AH49" s="1312" t="b">
        <v>0</v>
      </c>
    </row>
    <row r="50" spans="1:34" ht="15" customHeight="1" x14ac:dyDescent="0.2">
      <c r="A50" s="817" t="s">
        <v>91</v>
      </c>
      <c r="B50" s="818">
        <f t="shared" ref="B50:O50" si="2">IF(ISBLANK(B13),"",SUM(B14:B49))</f>
        <v>0</v>
      </c>
      <c r="C50" s="818">
        <f t="shared" si="2"/>
        <v>0</v>
      </c>
      <c r="D50" s="818">
        <f t="shared" si="2"/>
        <v>2</v>
      </c>
      <c r="E50" s="818">
        <f t="shared" si="2"/>
        <v>4</v>
      </c>
      <c r="F50" s="818">
        <f t="shared" si="2"/>
        <v>15</v>
      </c>
      <c r="G50" s="818">
        <f t="shared" si="2"/>
        <v>15</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2014</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lXXQua8uYasIWPz4svcWrcw+r3usJAvmZPLeceAmw6PtqHvdR2iNgAugCje1NKOdIj/Nu5UO6+Xutc8Vp/pnJQ==" saltValue="AnAUHm+bOsA7QI77/deVQ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21" priority="2">
      <formula>OR(A14="Girder",A14="Girders",A14="Joist",A14="Joists",A14="Bridging")</formula>
    </cfRule>
    <cfRule type="expression" dxfId="1420" priority="3">
      <formula>AND(P14&gt;0,ISBLANK(AF14),OR($R$1="",$R$1="M"))</formula>
    </cfRule>
    <cfRule type="expression" dxfId="1419" priority="9">
      <formula>$AH14</formula>
    </cfRule>
  </conditionalFormatting>
  <conditionalFormatting sqref="H2:J4">
    <cfRule type="cellIs" dxfId="1418" priority="7" stopIfTrue="1" operator="equal">
      <formula>""</formula>
    </cfRule>
  </conditionalFormatting>
  <conditionalFormatting sqref="B14:O49">
    <cfRule type="expression" dxfId="1417" priority="4">
      <formula>IF($R$1="M",AND(B14&gt;R14,R14&gt;0),B14&lt;R14)</formula>
    </cfRule>
    <cfRule type="expression" dxfId="1416" priority="5">
      <formula>OR(AND($R$1="M",B14=R14),B14="-")</formula>
    </cfRule>
    <cfRule type="expression" dxfId="1415" priority="6">
      <formula>IF(NOT(ISBLANK($R$1)),IF($R$1="M",IF(ISTEXT(B14),0,B14)&lt;R14,IF(ISTEXT(B14),0,B14)&gt;R14))</formula>
    </cfRule>
    <cfRule type="expression" dxfId="1414" priority="8">
      <formula>OR($AH14,B$63)</formula>
    </cfRule>
  </conditionalFormatting>
  <conditionalFormatting sqref="B13:O13">
    <cfRule type="expression" dxfId="1413" priority="1">
      <formula>AND(NOT(ISBLANK(B$13)),ISERROR(MATCH(B$13,$AK:$AK,0)))</formula>
    </cfRule>
    <cfRule type="expression" dxfId="141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31"/>
  </sheetPr>
  <dimension ref="A1:AL65"/>
  <sheetViews>
    <sheetView showGridLines="0" topLeftCell="A19"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17 of 42</v>
      </c>
      <c r="M7" s="822"/>
      <c r="N7" s="473"/>
      <c r="O7" s="473"/>
      <c r="P7" s="566"/>
      <c r="R7" s="1393">
        <v>17</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1403</v>
      </c>
      <c r="B15" s="2064" t="s">
        <v>1264</v>
      </c>
      <c r="C15" s="2065">
        <v>0</v>
      </c>
      <c r="D15" s="2065" t="s">
        <v>1264</v>
      </c>
      <c r="E15" s="2065" t="s">
        <v>1264</v>
      </c>
      <c r="F15" s="2065">
        <v>1</v>
      </c>
      <c r="G15" s="2065" t="s">
        <v>1264</v>
      </c>
      <c r="H15" s="2065"/>
      <c r="I15" s="2065"/>
      <c r="J15" s="2065"/>
      <c r="K15" s="2065"/>
      <c r="L15" s="2065"/>
      <c r="M15" s="2065"/>
      <c r="N15" s="2065"/>
      <c r="O15" s="2066"/>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1404</v>
      </c>
      <c r="B16" s="2064" t="s">
        <v>1264</v>
      </c>
      <c r="C16" s="2065">
        <v>0</v>
      </c>
      <c r="D16" s="2065">
        <v>1</v>
      </c>
      <c r="E16" s="2065">
        <v>1</v>
      </c>
      <c r="F16" s="2065" t="s">
        <v>1264</v>
      </c>
      <c r="G16" s="2065" t="s">
        <v>1264</v>
      </c>
      <c r="H16" s="2065"/>
      <c r="I16" s="2065"/>
      <c r="J16" s="2065"/>
      <c r="K16" s="2065"/>
      <c r="L16" s="2065"/>
      <c r="M16" s="2065"/>
      <c r="N16" s="2065"/>
      <c r="O16" s="2066"/>
      <c r="P16" s="821">
        <f t="shared" si="0"/>
        <v>2</v>
      </c>
      <c r="R16" s="43"/>
      <c r="S16" s="43"/>
      <c r="T16" s="43"/>
      <c r="U16" s="43"/>
      <c r="V16" s="43"/>
      <c r="W16" s="43"/>
      <c r="X16" s="43"/>
      <c r="Y16" s="43"/>
      <c r="Z16" s="43"/>
      <c r="AA16" s="43"/>
      <c r="AB16" s="43"/>
      <c r="AC16" s="43"/>
      <c r="AD16" s="43"/>
      <c r="AE16" s="43"/>
      <c r="AF16" s="99" t="s">
        <v>74</v>
      </c>
      <c r="AG16" s="98" t="b">
        <f t="shared" si="1"/>
        <v>1</v>
      </c>
      <c r="AH16" s="1312" t="b">
        <v>0</v>
      </c>
    </row>
    <row r="17" spans="1:34" ht="15.95" customHeight="1" x14ac:dyDescent="0.2">
      <c r="A17" s="2018" t="s">
        <v>1405</v>
      </c>
      <c r="B17" s="2064" t="s">
        <v>1264</v>
      </c>
      <c r="C17" s="2065">
        <v>0</v>
      </c>
      <c r="D17" s="2065" t="s">
        <v>1264</v>
      </c>
      <c r="E17" s="2065" t="s">
        <v>1264</v>
      </c>
      <c r="F17" s="2065" t="s">
        <v>1264</v>
      </c>
      <c r="G17" s="2065" t="s">
        <v>1264</v>
      </c>
      <c r="H17" s="2065"/>
      <c r="I17" s="2065"/>
      <c r="J17" s="2065"/>
      <c r="K17" s="2065"/>
      <c r="L17" s="2065"/>
      <c r="M17" s="2065"/>
      <c r="N17" s="2065"/>
      <c r="O17" s="2066"/>
      <c r="P17" s="821">
        <f t="shared" si="0"/>
        <v>0</v>
      </c>
      <c r="R17" s="43"/>
      <c r="S17" s="43"/>
      <c r="T17" s="43"/>
      <c r="U17" s="43"/>
      <c r="V17" s="43"/>
      <c r="W17" s="43"/>
      <c r="X17" s="43"/>
      <c r="Y17" s="43"/>
      <c r="Z17" s="43"/>
      <c r="AA17" s="43"/>
      <c r="AB17" s="43"/>
      <c r="AC17" s="43"/>
      <c r="AD17" s="43"/>
      <c r="AE17" s="43"/>
      <c r="AF17" s="99" t="s">
        <v>74</v>
      </c>
      <c r="AG17" s="98" t="b">
        <f t="shared" si="1"/>
        <v>0</v>
      </c>
      <c r="AH17" s="1312" t="b">
        <v>0</v>
      </c>
    </row>
    <row r="18" spans="1:34" ht="15.95" customHeight="1" x14ac:dyDescent="0.2">
      <c r="A18" s="2018" t="s">
        <v>1406</v>
      </c>
      <c r="B18" s="2064" t="s">
        <v>1264</v>
      </c>
      <c r="C18" s="2065" t="s">
        <v>1264</v>
      </c>
      <c r="D18" s="2065">
        <v>1</v>
      </c>
      <c r="E18" s="2065" t="s">
        <v>1264</v>
      </c>
      <c r="F18" s="2065" t="s">
        <v>1264</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74</v>
      </c>
      <c r="AG18" s="98" t="b">
        <f t="shared" si="1"/>
        <v>1</v>
      </c>
      <c r="AH18" s="1312" t="b">
        <v>0</v>
      </c>
    </row>
    <row r="19" spans="1:34" ht="15.95" customHeight="1" x14ac:dyDescent="0.2">
      <c r="A19" s="2018" t="s">
        <v>1407</v>
      </c>
      <c r="B19" s="2064" t="s">
        <v>1264</v>
      </c>
      <c r="C19" s="2065" t="s">
        <v>1264</v>
      </c>
      <c r="D19" s="2065">
        <v>3</v>
      </c>
      <c r="E19" s="2065" t="s">
        <v>1264</v>
      </c>
      <c r="F19" s="2065" t="s">
        <v>1264</v>
      </c>
      <c r="G19" s="2065" t="s">
        <v>1264</v>
      </c>
      <c r="H19" s="2065"/>
      <c r="I19" s="2065"/>
      <c r="J19" s="2065"/>
      <c r="K19" s="2065"/>
      <c r="L19" s="2065"/>
      <c r="M19" s="2065"/>
      <c r="N19" s="2065"/>
      <c r="O19" s="2066"/>
      <c r="P19" s="821">
        <f t="shared" si="0"/>
        <v>3</v>
      </c>
      <c r="R19" s="43"/>
      <c r="S19" s="43"/>
      <c r="T19" s="43"/>
      <c r="U19" s="43"/>
      <c r="V19" s="43"/>
      <c r="W19" s="43"/>
      <c r="X19" s="43"/>
      <c r="Y19" s="43"/>
      <c r="Z19" s="43"/>
      <c r="AA19" s="43"/>
      <c r="AB19" s="43"/>
      <c r="AC19" s="43"/>
      <c r="AD19" s="43"/>
      <c r="AE19" s="43"/>
      <c r="AF19" s="99" t="s">
        <v>74</v>
      </c>
      <c r="AG19" s="98" t="b">
        <f t="shared" si="1"/>
        <v>1</v>
      </c>
      <c r="AH19" s="1312" t="b">
        <v>0</v>
      </c>
    </row>
    <row r="20" spans="1:34" ht="15.95" customHeight="1" x14ac:dyDescent="0.2">
      <c r="A20" s="2018" t="s">
        <v>1408</v>
      </c>
      <c r="B20" s="2064" t="s">
        <v>1264</v>
      </c>
      <c r="C20" s="2065" t="s">
        <v>1264</v>
      </c>
      <c r="D20" s="2065">
        <v>1</v>
      </c>
      <c r="E20" s="2065" t="s">
        <v>1264</v>
      </c>
      <c r="F20" s="2065" t="s">
        <v>1264</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74</v>
      </c>
      <c r="AG20" s="98" t="b">
        <f t="shared" si="1"/>
        <v>1</v>
      </c>
      <c r="AH20" s="1312" t="b">
        <v>0</v>
      </c>
    </row>
    <row r="21" spans="1:34" ht="15.95" customHeight="1" x14ac:dyDescent="0.2">
      <c r="A21" s="2018" t="s">
        <v>1409</v>
      </c>
      <c r="B21" s="2064" t="s">
        <v>1264</v>
      </c>
      <c r="C21" s="2065" t="s">
        <v>1264</v>
      </c>
      <c r="D21" s="2065">
        <v>2</v>
      </c>
      <c r="E21" s="2065" t="s">
        <v>1264</v>
      </c>
      <c r="F21" s="2065" t="s">
        <v>1264</v>
      </c>
      <c r="G21" s="2065" t="s">
        <v>1264</v>
      </c>
      <c r="H21" s="2065"/>
      <c r="I21" s="2065"/>
      <c r="J21" s="2065"/>
      <c r="K21" s="2065"/>
      <c r="L21" s="2065"/>
      <c r="M21" s="2065"/>
      <c r="N21" s="2065"/>
      <c r="O21" s="2066"/>
      <c r="P21" s="821">
        <f t="shared" si="0"/>
        <v>2</v>
      </c>
      <c r="R21" s="43"/>
      <c r="S21" s="43"/>
      <c r="T21" s="43"/>
      <c r="U21" s="43"/>
      <c r="V21" s="43"/>
      <c r="W21" s="43"/>
      <c r="X21" s="43"/>
      <c r="Y21" s="43"/>
      <c r="Z21" s="43"/>
      <c r="AA21" s="43"/>
      <c r="AB21" s="43"/>
      <c r="AC21" s="43"/>
      <c r="AD21" s="43"/>
      <c r="AE21" s="43"/>
      <c r="AF21" s="99" t="s">
        <v>74</v>
      </c>
      <c r="AG21" s="98" t="b">
        <f t="shared" si="1"/>
        <v>1</v>
      </c>
      <c r="AH21" s="1312" t="b">
        <v>0</v>
      </c>
    </row>
    <row r="22" spans="1:34" ht="15.95" customHeight="1" x14ac:dyDescent="0.2">
      <c r="A22" s="2018" t="s">
        <v>1410</v>
      </c>
      <c r="B22" s="2064" t="s">
        <v>1264</v>
      </c>
      <c r="C22" s="2065" t="s">
        <v>1264</v>
      </c>
      <c r="D22" s="2065">
        <v>1</v>
      </c>
      <c r="E22" s="2065" t="s">
        <v>1264</v>
      </c>
      <c r="F22" s="2065" t="s">
        <v>1264</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74</v>
      </c>
      <c r="AG22" s="98" t="b">
        <f t="shared" si="1"/>
        <v>1</v>
      </c>
      <c r="AH22" s="1312" t="b">
        <v>0</v>
      </c>
    </row>
    <row r="23" spans="1:34" ht="15.95" customHeight="1" x14ac:dyDescent="0.2">
      <c r="A23" s="2018" t="s">
        <v>1411</v>
      </c>
      <c r="B23" s="2064" t="s">
        <v>1264</v>
      </c>
      <c r="C23" s="2065" t="s">
        <v>1264</v>
      </c>
      <c r="D23" s="2065">
        <v>1</v>
      </c>
      <c r="E23" s="2065" t="s">
        <v>1264</v>
      </c>
      <c r="F23" s="2065" t="s">
        <v>1264</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74</v>
      </c>
      <c r="AG23" s="98" t="b">
        <f t="shared" si="1"/>
        <v>1</v>
      </c>
      <c r="AH23" s="1312" t="b">
        <v>0</v>
      </c>
    </row>
    <row r="24" spans="1:34" ht="15.95" customHeight="1" x14ac:dyDescent="0.2">
      <c r="A24" s="2018" t="s">
        <v>1412</v>
      </c>
      <c r="B24" s="2064" t="s">
        <v>1264</v>
      </c>
      <c r="C24" s="2065" t="s">
        <v>1264</v>
      </c>
      <c r="D24" s="2065">
        <v>1</v>
      </c>
      <c r="E24" s="2065" t="s">
        <v>1264</v>
      </c>
      <c r="F24" s="2065" t="s">
        <v>1264</v>
      </c>
      <c r="G24" s="2065" t="s">
        <v>1264</v>
      </c>
      <c r="H24" s="2065"/>
      <c r="I24" s="2065"/>
      <c r="J24" s="2065"/>
      <c r="K24" s="2065"/>
      <c r="L24" s="2065"/>
      <c r="M24" s="2065"/>
      <c r="N24" s="2065"/>
      <c r="O24" s="2066"/>
      <c r="P24" s="821">
        <f t="shared" si="0"/>
        <v>1</v>
      </c>
      <c r="R24" s="43"/>
      <c r="S24" s="43"/>
      <c r="T24" s="43"/>
      <c r="U24" s="43"/>
      <c r="V24" s="43"/>
      <c r="W24" s="43"/>
      <c r="X24" s="43"/>
      <c r="Y24" s="43"/>
      <c r="Z24" s="43"/>
      <c r="AA24" s="43"/>
      <c r="AB24" s="43"/>
      <c r="AC24" s="43"/>
      <c r="AD24" s="43"/>
      <c r="AE24" s="43"/>
      <c r="AF24" s="99" t="s">
        <v>74</v>
      </c>
      <c r="AG24" s="98" t="b">
        <f t="shared" si="1"/>
        <v>1</v>
      </c>
      <c r="AH24" s="1312" t="b">
        <v>0</v>
      </c>
    </row>
    <row r="25" spans="1:34" ht="15.95" customHeight="1" x14ac:dyDescent="0.2">
      <c r="A25" s="2018" t="s">
        <v>1413</v>
      </c>
      <c r="B25" s="2064" t="s">
        <v>1264</v>
      </c>
      <c r="C25" s="2065" t="s">
        <v>1264</v>
      </c>
      <c r="D25" s="2065">
        <v>1</v>
      </c>
      <c r="E25" s="2065" t="s">
        <v>1264</v>
      </c>
      <c r="F25" s="2065" t="s">
        <v>1264</v>
      </c>
      <c r="G25" s="2065" t="s">
        <v>1264</v>
      </c>
      <c r="H25" s="2065"/>
      <c r="I25" s="2065"/>
      <c r="J25" s="2065"/>
      <c r="K25" s="2065"/>
      <c r="L25" s="2065"/>
      <c r="M25" s="2065"/>
      <c r="N25" s="2065"/>
      <c r="O25" s="2066"/>
      <c r="P25" s="821">
        <f t="shared" si="0"/>
        <v>1</v>
      </c>
      <c r="R25" s="43"/>
      <c r="S25" s="43"/>
      <c r="T25" s="43"/>
      <c r="U25" s="43"/>
      <c r="V25" s="43"/>
      <c r="W25" s="43"/>
      <c r="X25" s="43"/>
      <c r="Y25" s="43"/>
      <c r="Z25" s="43"/>
      <c r="AA25" s="43"/>
      <c r="AB25" s="43"/>
      <c r="AC25" s="43"/>
      <c r="AD25" s="43"/>
      <c r="AE25" s="43"/>
      <c r="AF25" s="99" t="s">
        <v>74</v>
      </c>
      <c r="AG25" s="98" t="b">
        <f t="shared" si="1"/>
        <v>1</v>
      </c>
      <c r="AH25" s="1312" t="b">
        <v>0</v>
      </c>
    </row>
    <row r="26" spans="1:34" ht="15.95" customHeight="1" x14ac:dyDescent="0.2">
      <c r="A26" s="2018" t="s">
        <v>1414</v>
      </c>
      <c r="B26" s="2064" t="s">
        <v>1264</v>
      </c>
      <c r="C26" s="2065" t="s">
        <v>1264</v>
      </c>
      <c r="D26" s="2065">
        <v>1</v>
      </c>
      <c r="E26" s="2065" t="s">
        <v>1264</v>
      </c>
      <c r="F26" s="2065" t="s">
        <v>1264</v>
      </c>
      <c r="G26" s="2065" t="s">
        <v>1264</v>
      </c>
      <c r="H26" s="2065"/>
      <c r="I26" s="2065"/>
      <c r="J26" s="2065"/>
      <c r="K26" s="2065"/>
      <c r="L26" s="2065"/>
      <c r="M26" s="2065"/>
      <c r="N26" s="2065"/>
      <c r="O26" s="2066"/>
      <c r="P26" s="821">
        <f t="shared" si="0"/>
        <v>1</v>
      </c>
      <c r="R26" s="43"/>
      <c r="S26" s="43"/>
      <c r="T26" s="43"/>
      <c r="U26" s="43"/>
      <c r="V26" s="43"/>
      <c r="W26" s="43"/>
      <c r="X26" s="43"/>
      <c r="Y26" s="43"/>
      <c r="Z26" s="43"/>
      <c r="AA26" s="43"/>
      <c r="AB26" s="43"/>
      <c r="AC26" s="43"/>
      <c r="AD26" s="43"/>
      <c r="AE26" s="43"/>
      <c r="AF26" s="99" t="s">
        <v>74</v>
      </c>
      <c r="AG26" s="98" t="b">
        <f t="shared" si="1"/>
        <v>1</v>
      </c>
      <c r="AH26" s="1312" t="b">
        <v>0</v>
      </c>
    </row>
    <row r="27" spans="1:34" ht="15.95" customHeight="1" x14ac:dyDescent="0.2">
      <c r="A27" s="2018" t="s">
        <v>1415</v>
      </c>
      <c r="B27" s="2064" t="s">
        <v>1264</v>
      </c>
      <c r="C27" s="2065" t="s">
        <v>1264</v>
      </c>
      <c r="D27" s="2065">
        <v>1</v>
      </c>
      <c r="E27" s="2065" t="s">
        <v>1264</v>
      </c>
      <c r="F27" s="2065" t="s">
        <v>1264</v>
      </c>
      <c r="G27" s="2065" t="s">
        <v>1264</v>
      </c>
      <c r="H27" s="2065"/>
      <c r="I27" s="2065"/>
      <c r="J27" s="2065"/>
      <c r="K27" s="2065"/>
      <c r="L27" s="2065"/>
      <c r="M27" s="2065"/>
      <c r="N27" s="2065"/>
      <c r="O27" s="2066"/>
      <c r="P27" s="821">
        <f t="shared" si="0"/>
        <v>1</v>
      </c>
      <c r="R27" s="43"/>
      <c r="S27" s="43"/>
      <c r="T27" s="43"/>
      <c r="U27" s="43"/>
      <c r="V27" s="43"/>
      <c r="W27" s="43"/>
      <c r="X27" s="43"/>
      <c r="Y27" s="43"/>
      <c r="Z27" s="43"/>
      <c r="AA27" s="43"/>
      <c r="AB27" s="43"/>
      <c r="AC27" s="43"/>
      <c r="AD27" s="43"/>
      <c r="AE27" s="43"/>
      <c r="AF27" s="99" t="s">
        <v>74</v>
      </c>
      <c r="AG27" s="98" t="b">
        <f t="shared" si="1"/>
        <v>1</v>
      </c>
      <c r="AH27" s="1312" t="b">
        <v>0</v>
      </c>
    </row>
    <row r="28" spans="1:34" ht="15.95" customHeight="1" x14ac:dyDescent="0.2">
      <c r="A28" s="2018" t="s">
        <v>1416</v>
      </c>
      <c r="B28" s="2064" t="s">
        <v>1264</v>
      </c>
      <c r="C28" s="2065" t="s">
        <v>1264</v>
      </c>
      <c r="D28" s="2065">
        <v>1</v>
      </c>
      <c r="E28" s="2065" t="s">
        <v>1264</v>
      </c>
      <c r="F28" s="2065" t="s">
        <v>1264</v>
      </c>
      <c r="G28" s="2065" t="s">
        <v>1264</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74</v>
      </c>
      <c r="AG28" s="98" t="b">
        <f t="shared" si="1"/>
        <v>1</v>
      </c>
      <c r="AH28" s="1312" t="b">
        <v>0</v>
      </c>
    </row>
    <row r="29" spans="1:34" ht="15.95" customHeight="1" x14ac:dyDescent="0.2">
      <c r="A29" s="2018" t="s">
        <v>1417</v>
      </c>
      <c r="B29" s="2064" t="s">
        <v>1264</v>
      </c>
      <c r="C29" s="2065" t="s">
        <v>1264</v>
      </c>
      <c r="D29" s="2065">
        <v>1</v>
      </c>
      <c r="E29" s="2065" t="s">
        <v>1264</v>
      </c>
      <c r="F29" s="2065" t="s">
        <v>1264</v>
      </c>
      <c r="G29" s="2065" t="s">
        <v>1264</v>
      </c>
      <c r="H29" s="2065"/>
      <c r="I29" s="2065"/>
      <c r="J29" s="2065"/>
      <c r="K29" s="2065"/>
      <c r="L29" s="2065"/>
      <c r="M29" s="2065"/>
      <c r="N29" s="2065"/>
      <c r="O29" s="2066"/>
      <c r="P29" s="821">
        <f t="shared" si="0"/>
        <v>1</v>
      </c>
      <c r="R29" s="43"/>
      <c r="S29" s="43"/>
      <c r="T29" s="43"/>
      <c r="U29" s="43"/>
      <c r="V29" s="43"/>
      <c r="W29" s="43"/>
      <c r="X29" s="43"/>
      <c r="Y29" s="43"/>
      <c r="Z29" s="43"/>
      <c r="AA29" s="43"/>
      <c r="AB29" s="43"/>
      <c r="AC29" s="43"/>
      <c r="AD29" s="43"/>
      <c r="AE29" s="43"/>
      <c r="AF29" s="99" t="s">
        <v>74</v>
      </c>
      <c r="AG29" s="98" t="b">
        <f t="shared" si="1"/>
        <v>1</v>
      </c>
      <c r="AH29" s="1312" t="b">
        <v>0</v>
      </c>
    </row>
    <row r="30" spans="1:34" ht="15.95" customHeight="1" x14ac:dyDescent="0.2">
      <c r="A30" s="2018" t="s">
        <v>1418</v>
      </c>
      <c r="B30" s="2064" t="s">
        <v>1264</v>
      </c>
      <c r="C30" s="2065" t="s">
        <v>1264</v>
      </c>
      <c r="D30" s="2065">
        <v>1</v>
      </c>
      <c r="E30" s="2065" t="s">
        <v>1264</v>
      </c>
      <c r="F30" s="2065" t="s">
        <v>1264</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74</v>
      </c>
      <c r="AG30" s="98" t="b">
        <f t="shared" si="1"/>
        <v>1</v>
      </c>
      <c r="AH30" s="1312" t="b">
        <v>0</v>
      </c>
    </row>
    <row r="31" spans="1:34" ht="15.95" customHeight="1" x14ac:dyDescent="0.2">
      <c r="A31" s="2018" t="s">
        <v>1419</v>
      </c>
      <c r="B31" s="2064" t="s">
        <v>1264</v>
      </c>
      <c r="C31" s="2065" t="s">
        <v>1264</v>
      </c>
      <c r="D31" s="2065">
        <v>5</v>
      </c>
      <c r="E31" s="2065" t="s">
        <v>1264</v>
      </c>
      <c r="F31" s="2065" t="s">
        <v>1264</v>
      </c>
      <c r="G31" s="2065" t="s">
        <v>1264</v>
      </c>
      <c r="H31" s="2065"/>
      <c r="I31" s="2065"/>
      <c r="J31" s="2065"/>
      <c r="K31" s="2065"/>
      <c r="L31" s="2065"/>
      <c r="M31" s="2065"/>
      <c r="N31" s="2065"/>
      <c r="O31" s="2066"/>
      <c r="P31" s="821">
        <f t="shared" si="0"/>
        <v>5</v>
      </c>
      <c r="R31" s="43"/>
      <c r="S31" s="43"/>
      <c r="T31" s="43"/>
      <c r="U31" s="43"/>
      <c r="V31" s="43"/>
      <c r="W31" s="43"/>
      <c r="X31" s="43"/>
      <c r="Y31" s="43"/>
      <c r="Z31" s="43"/>
      <c r="AA31" s="43"/>
      <c r="AB31" s="43"/>
      <c r="AC31" s="43"/>
      <c r="AD31" s="43"/>
      <c r="AE31" s="43"/>
      <c r="AF31" s="99" t="s">
        <v>74</v>
      </c>
      <c r="AG31" s="98" t="b">
        <f t="shared" si="1"/>
        <v>1</v>
      </c>
      <c r="AH31" s="1312" t="b">
        <v>0</v>
      </c>
    </row>
    <row r="32" spans="1:34" ht="15.95" customHeight="1" x14ac:dyDescent="0.2">
      <c r="A32" s="2018" t="s">
        <v>1420</v>
      </c>
      <c r="B32" s="2064" t="s">
        <v>1264</v>
      </c>
      <c r="C32" s="2065" t="s">
        <v>1264</v>
      </c>
      <c r="D32" s="2065">
        <v>1</v>
      </c>
      <c r="E32" s="2065" t="s">
        <v>1264</v>
      </c>
      <c r="F32" s="2065" t="s">
        <v>1264</v>
      </c>
      <c r="G32" s="2065" t="s">
        <v>1264</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74</v>
      </c>
      <c r="AG32" s="98" t="b">
        <f t="shared" si="1"/>
        <v>1</v>
      </c>
      <c r="AH32" s="1312" t="b">
        <v>0</v>
      </c>
    </row>
    <row r="33" spans="1:34" ht="15.95" customHeight="1" x14ac:dyDescent="0.2">
      <c r="A33" s="2018" t="s">
        <v>1421</v>
      </c>
      <c r="B33" s="2064" t="s">
        <v>1264</v>
      </c>
      <c r="C33" s="2065" t="s">
        <v>1264</v>
      </c>
      <c r="D33" s="2065">
        <v>1</v>
      </c>
      <c r="E33" s="2065" t="s">
        <v>1264</v>
      </c>
      <c r="F33" s="2065" t="s">
        <v>1264</v>
      </c>
      <c r="G33" s="2065" t="s">
        <v>1264</v>
      </c>
      <c r="H33" s="2065"/>
      <c r="I33" s="2065"/>
      <c r="J33" s="2065"/>
      <c r="K33" s="2065"/>
      <c r="L33" s="2065"/>
      <c r="M33" s="2065"/>
      <c r="N33" s="2065"/>
      <c r="O33" s="2066"/>
      <c r="P33" s="821">
        <f t="shared" si="0"/>
        <v>1</v>
      </c>
      <c r="R33" s="43"/>
      <c r="S33" s="43"/>
      <c r="T33" s="43"/>
      <c r="U33" s="43"/>
      <c r="V33" s="43"/>
      <c r="W33" s="43"/>
      <c r="X33" s="43"/>
      <c r="Y33" s="43"/>
      <c r="Z33" s="43"/>
      <c r="AA33" s="43"/>
      <c r="AB33" s="43"/>
      <c r="AC33" s="43"/>
      <c r="AD33" s="43"/>
      <c r="AE33" s="43"/>
      <c r="AF33" s="99" t="s">
        <v>74</v>
      </c>
      <c r="AG33" s="98" t="b">
        <f t="shared" si="1"/>
        <v>1</v>
      </c>
      <c r="AH33" s="1312" t="b">
        <v>0</v>
      </c>
    </row>
    <row r="34" spans="1:34" ht="15.95" customHeight="1" x14ac:dyDescent="0.2">
      <c r="A34" s="2018" t="s">
        <v>1422</v>
      </c>
      <c r="B34" s="2064" t="s">
        <v>1264</v>
      </c>
      <c r="C34" s="2065" t="s">
        <v>1264</v>
      </c>
      <c r="D34" s="2065">
        <v>1</v>
      </c>
      <c r="E34" s="2065" t="s">
        <v>1264</v>
      </c>
      <c r="F34" s="2065" t="s">
        <v>1264</v>
      </c>
      <c r="G34" s="2065" t="s">
        <v>1264</v>
      </c>
      <c r="H34" s="2065"/>
      <c r="I34" s="2065"/>
      <c r="J34" s="2065"/>
      <c r="K34" s="2065"/>
      <c r="L34" s="2065"/>
      <c r="M34" s="2065"/>
      <c r="N34" s="2065"/>
      <c r="O34" s="2066"/>
      <c r="P34" s="821">
        <f t="shared" si="0"/>
        <v>1</v>
      </c>
      <c r="R34" s="43"/>
      <c r="S34" s="43"/>
      <c r="T34" s="43"/>
      <c r="U34" s="43"/>
      <c r="V34" s="43"/>
      <c r="W34" s="43"/>
      <c r="X34" s="43"/>
      <c r="Y34" s="43"/>
      <c r="Z34" s="43"/>
      <c r="AA34" s="43"/>
      <c r="AB34" s="43"/>
      <c r="AC34" s="43"/>
      <c r="AD34" s="43"/>
      <c r="AE34" s="43"/>
      <c r="AF34" s="99" t="s">
        <v>74</v>
      </c>
      <c r="AG34" s="98" t="b">
        <f t="shared" si="1"/>
        <v>1</v>
      </c>
      <c r="AH34" s="1312" t="b">
        <v>0</v>
      </c>
    </row>
    <row r="35" spans="1:34" ht="15.95" customHeight="1" x14ac:dyDescent="0.2">
      <c r="A35" s="2018" t="s">
        <v>1423</v>
      </c>
      <c r="B35" s="2064" t="s">
        <v>1264</v>
      </c>
      <c r="C35" s="2065" t="s">
        <v>1264</v>
      </c>
      <c r="D35" s="2065">
        <v>1</v>
      </c>
      <c r="E35" s="2065" t="s">
        <v>1264</v>
      </c>
      <c r="F35" s="2065" t="s">
        <v>1264</v>
      </c>
      <c r="G35" s="2065" t="s">
        <v>1264</v>
      </c>
      <c r="H35" s="2065"/>
      <c r="I35" s="2065"/>
      <c r="J35" s="2065"/>
      <c r="K35" s="2065"/>
      <c r="L35" s="2065"/>
      <c r="M35" s="2065"/>
      <c r="N35" s="2065"/>
      <c r="O35" s="2066"/>
      <c r="P35" s="821">
        <f t="shared" si="0"/>
        <v>1</v>
      </c>
      <c r="R35" s="43"/>
      <c r="S35" s="43"/>
      <c r="T35" s="43"/>
      <c r="U35" s="43"/>
      <c r="V35" s="43"/>
      <c r="W35" s="43"/>
      <c r="X35" s="43"/>
      <c r="Y35" s="43"/>
      <c r="Z35" s="43"/>
      <c r="AA35" s="43"/>
      <c r="AB35" s="43"/>
      <c r="AC35" s="43"/>
      <c r="AD35" s="43"/>
      <c r="AE35" s="43"/>
      <c r="AF35" s="99" t="s">
        <v>74</v>
      </c>
      <c r="AG35" s="98" t="b">
        <f t="shared" si="1"/>
        <v>1</v>
      </c>
      <c r="AH35" s="1312" t="b">
        <v>0</v>
      </c>
    </row>
    <row r="36" spans="1:34" ht="15.95" customHeight="1" x14ac:dyDescent="0.2">
      <c r="A36" s="2018" t="s">
        <v>1424</v>
      </c>
      <c r="B36" s="2064" t="s">
        <v>1264</v>
      </c>
      <c r="C36" s="2065" t="s">
        <v>1264</v>
      </c>
      <c r="D36" s="2065">
        <v>1</v>
      </c>
      <c r="E36" s="2065" t="s">
        <v>1264</v>
      </c>
      <c r="F36" s="2065" t="s">
        <v>1264</v>
      </c>
      <c r="G36" s="2065" t="s">
        <v>1264</v>
      </c>
      <c r="H36" s="2065"/>
      <c r="I36" s="2065"/>
      <c r="J36" s="2065"/>
      <c r="K36" s="2065"/>
      <c r="L36" s="2065"/>
      <c r="M36" s="2065"/>
      <c r="N36" s="2065"/>
      <c r="O36" s="2066"/>
      <c r="P36" s="821">
        <f t="shared" si="0"/>
        <v>1</v>
      </c>
      <c r="R36" s="43"/>
      <c r="S36" s="43"/>
      <c r="T36" s="43"/>
      <c r="U36" s="43"/>
      <c r="V36" s="43"/>
      <c r="W36" s="43"/>
      <c r="X36" s="43"/>
      <c r="Y36" s="43"/>
      <c r="Z36" s="43"/>
      <c r="AA36" s="43"/>
      <c r="AB36" s="43"/>
      <c r="AC36" s="43"/>
      <c r="AD36" s="43"/>
      <c r="AE36" s="43"/>
      <c r="AF36" s="99" t="s">
        <v>74</v>
      </c>
      <c r="AG36" s="98" t="b">
        <f t="shared" si="1"/>
        <v>1</v>
      </c>
      <c r="AH36" s="1312" t="b">
        <v>0</v>
      </c>
    </row>
    <row r="37" spans="1:34" ht="15.95" customHeight="1" x14ac:dyDescent="0.2">
      <c r="A37" s="2018" t="s">
        <v>1425</v>
      </c>
      <c r="B37" s="2064" t="s">
        <v>1264</v>
      </c>
      <c r="C37" s="2065" t="s">
        <v>1264</v>
      </c>
      <c r="D37" s="2065">
        <v>1</v>
      </c>
      <c r="E37" s="2065" t="s">
        <v>1264</v>
      </c>
      <c r="F37" s="2065" t="s">
        <v>1264</v>
      </c>
      <c r="G37" s="2065" t="s">
        <v>1264</v>
      </c>
      <c r="H37" s="2065"/>
      <c r="I37" s="2065"/>
      <c r="J37" s="2065"/>
      <c r="K37" s="2065"/>
      <c r="L37" s="2065"/>
      <c r="M37" s="2065"/>
      <c r="N37" s="2065"/>
      <c r="O37" s="2066"/>
      <c r="P37" s="821">
        <f t="shared" si="0"/>
        <v>1</v>
      </c>
      <c r="R37" s="43"/>
      <c r="S37" s="43"/>
      <c r="T37" s="43"/>
      <c r="U37" s="43"/>
      <c r="V37" s="43"/>
      <c r="W37" s="43"/>
      <c r="X37" s="43"/>
      <c r="Y37" s="43"/>
      <c r="Z37" s="43"/>
      <c r="AA37" s="43"/>
      <c r="AB37" s="43"/>
      <c r="AC37" s="43"/>
      <c r="AD37" s="43"/>
      <c r="AE37" s="43"/>
      <c r="AF37" s="99" t="s">
        <v>74</v>
      </c>
      <c r="AG37" s="98" t="b">
        <f t="shared" si="1"/>
        <v>1</v>
      </c>
      <c r="AH37" s="1312" t="b">
        <v>0</v>
      </c>
    </row>
    <row r="38" spans="1:34" ht="15.95" customHeight="1" x14ac:dyDescent="0.2">
      <c r="A38" s="2018" t="s">
        <v>1426</v>
      </c>
      <c r="B38" s="2064" t="s">
        <v>1264</v>
      </c>
      <c r="C38" s="2065" t="s">
        <v>1264</v>
      </c>
      <c r="D38" s="2065">
        <v>1</v>
      </c>
      <c r="E38" s="2065" t="s">
        <v>1264</v>
      </c>
      <c r="F38" s="2065" t="s">
        <v>1264</v>
      </c>
      <c r="G38" s="2065" t="s">
        <v>1264</v>
      </c>
      <c r="H38" s="2065"/>
      <c r="I38" s="2065"/>
      <c r="J38" s="2065"/>
      <c r="K38" s="2065"/>
      <c r="L38" s="2065"/>
      <c r="M38" s="2065"/>
      <c r="N38" s="2065"/>
      <c r="O38" s="2066"/>
      <c r="P38" s="821">
        <f t="shared" si="0"/>
        <v>1</v>
      </c>
      <c r="R38" s="43"/>
      <c r="S38" s="43"/>
      <c r="T38" s="43"/>
      <c r="U38" s="43"/>
      <c r="V38" s="43"/>
      <c r="W38" s="43"/>
      <c r="X38" s="43"/>
      <c r="Y38" s="43"/>
      <c r="Z38" s="43"/>
      <c r="AA38" s="43"/>
      <c r="AB38" s="43"/>
      <c r="AC38" s="43"/>
      <c r="AD38" s="43"/>
      <c r="AE38" s="43"/>
      <c r="AF38" s="99" t="s">
        <v>74</v>
      </c>
      <c r="AG38" s="98" t="b">
        <f t="shared" si="1"/>
        <v>1</v>
      </c>
      <c r="AH38" s="1312" t="b">
        <v>0</v>
      </c>
    </row>
    <row r="39" spans="1:34" ht="15.95" customHeight="1" x14ac:dyDescent="0.2">
      <c r="A39" s="2018" t="s">
        <v>1427</v>
      </c>
      <c r="B39" s="2064" t="s">
        <v>1264</v>
      </c>
      <c r="C39" s="2065" t="s">
        <v>1264</v>
      </c>
      <c r="D39" s="2065">
        <v>1</v>
      </c>
      <c r="E39" s="2065" t="s">
        <v>1264</v>
      </c>
      <c r="F39" s="2065" t="s">
        <v>1264</v>
      </c>
      <c r="G39" s="2065" t="s">
        <v>1264</v>
      </c>
      <c r="H39" s="2065"/>
      <c r="I39" s="2065"/>
      <c r="J39" s="2065"/>
      <c r="K39" s="2065"/>
      <c r="L39" s="2065"/>
      <c r="M39" s="2065"/>
      <c r="N39" s="2065"/>
      <c r="O39" s="2066"/>
      <c r="P39" s="821">
        <f t="shared" si="0"/>
        <v>1</v>
      </c>
      <c r="R39" s="43"/>
      <c r="S39" s="43"/>
      <c r="T39" s="43"/>
      <c r="U39" s="43"/>
      <c r="V39" s="43"/>
      <c r="W39" s="43"/>
      <c r="X39" s="43"/>
      <c r="Y39" s="43"/>
      <c r="Z39" s="43"/>
      <c r="AA39" s="43"/>
      <c r="AB39" s="43"/>
      <c r="AC39" s="43"/>
      <c r="AD39" s="43"/>
      <c r="AE39" s="43"/>
      <c r="AF39" s="99" t="s">
        <v>74</v>
      </c>
      <c r="AG39" s="98" t="b">
        <f t="shared" si="1"/>
        <v>1</v>
      </c>
      <c r="AH39" s="1312" t="b">
        <v>0</v>
      </c>
    </row>
    <row r="40" spans="1:34" ht="15.95" customHeight="1" x14ac:dyDescent="0.2">
      <c r="A40" s="2018" t="s">
        <v>1428</v>
      </c>
      <c r="B40" s="2064" t="s">
        <v>1264</v>
      </c>
      <c r="C40" s="2065" t="s">
        <v>1264</v>
      </c>
      <c r="D40" s="2065">
        <v>1</v>
      </c>
      <c r="E40" s="2065" t="s">
        <v>1264</v>
      </c>
      <c r="F40" s="2065" t="s">
        <v>1264</v>
      </c>
      <c r="G40" s="2065" t="s">
        <v>1264</v>
      </c>
      <c r="H40" s="2065"/>
      <c r="I40" s="2065"/>
      <c r="J40" s="2065"/>
      <c r="K40" s="2065"/>
      <c r="L40" s="2065"/>
      <c r="M40" s="2065"/>
      <c r="N40" s="2065"/>
      <c r="O40" s="2066"/>
      <c r="P40" s="821">
        <f t="shared" si="0"/>
        <v>1</v>
      </c>
      <c r="R40" s="43"/>
      <c r="S40" s="43"/>
      <c r="T40" s="43"/>
      <c r="U40" s="43"/>
      <c r="V40" s="43"/>
      <c r="W40" s="43"/>
      <c r="X40" s="43"/>
      <c r="Y40" s="43"/>
      <c r="Z40" s="43"/>
      <c r="AA40" s="43"/>
      <c r="AB40" s="43"/>
      <c r="AC40" s="43"/>
      <c r="AD40" s="43"/>
      <c r="AE40" s="43"/>
      <c r="AF40" s="99" t="s">
        <v>75</v>
      </c>
      <c r="AG40" s="98" t="b">
        <f t="shared" si="1"/>
        <v>1</v>
      </c>
      <c r="AH40" s="1312" t="b">
        <v>0</v>
      </c>
    </row>
    <row r="41" spans="1:34" ht="15.95" customHeight="1" x14ac:dyDescent="0.2">
      <c r="A41" s="2018" t="s">
        <v>1429</v>
      </c>
      <c r="B41" s="2064" t="s">
        <v>1264</v>
      </c>
      <c r="C41" s="2065" t="s">
        <v>1264</v>
      </c>
      <c r="D41" s="2065">
        <v>1</v>
      </c>
      <c r="E41" s="2065" t="s">
        <v>1264</v>
      </c>
      <c r="F41" s="2065" t="s">
        <v>1264</v>
      </c>
      <c r="G41" s="2065" t="s">
        <v>1264</v>
      </c>
      <c r="H41" s="2065"/>
      <c r="I41" s="2065"/>
      <c r="J41" s="2065"/>
      <c r="K41" s="2065"/>
      <c r="L41" s="2065"/>
      <c r="M41" s="2065"/>
      <c r="N41" s="2065"/>
      <c r="O41" s="2066"/>
      <c r="P41" s="821">
        <f t="shared" si="0"/>
        <v>1</v>
      </c>
      <c r="R41" s="43"/>
      <c r="S41" s="43"/>
      <c r="T41" s="43"/>
      <c r="U41" s="43"/>
      <c r="V41" s="43"/>
      <c r="W41" s="43"/>
      <c r="X41" s="43"/>
      <c r="Y41" s="43"/>
      <c r="Z41" s="43"/>
      <c r="AA41" s="43"/>
      <c r="AB41" s="43"/>
      <c r="AC41" s="43"/>
      <c r="AD41" s="43"/>
      <c r="AE41" s="43"/>
      <c r="AF41" s="99" t="s">
        <v>75</v>
      </c>
      <c r="AG41" s="98" t="b">
        <f t="shared" si="1"/>
        <v>1</v>
      </c>
      <c r="AH41" s="1312" t="b">
        <v>0</v>
      </c>
    </row>
    <row r="42" spans="1:34" ht="15.95" customHeight="1" x14ac:dyDescent="0.2">
      <c r="A42" s="2018" t="s">
        <v>1430</v>
      </c>
      <c r="B42" s="2064" t="s">
        <v>1264</v>
      </c>
      <c r="C42" s="2065" t="s">
        <v>1264</v>
      </c>
      <c r="D42" s="2065">
        <v>1</v>
      </c>
      <c r="E42" s="2065" t="s">
        <v>1264</v>
      </c>
      <c r="F42" s="2065" t="s">
        <v>1264</v>
      </c>
      <c r="G42" s="2065" t="s">
        <v>1264</v>
      </c>
      <c r="H42" s="2065"/>
      <c r="I42" s="2065"/>
      <c r="J42" s="2065"/>
      <c r="K42" s="2065"/>
      <c r="L42" s="2065"/>
      <c r="M42" s="2065"/>
      <c r="N42" s="2065"/>
      <c r="O42" s="2066"/>
      <c r="P42" s="821">
        <f t="shared" si="0"/>
        <v>1</v>
      </c>
      <c r="R42" s="43"/>
      <c r="S42" s="43"/>
      <c r="T42" s="43"/>
      <c r="U42" s="43"/>
      <c r="V42" s="43"/>
      <c r="W42" s="43"/>
      <c r="X42" s="43"/>
      <c r="Y42" s="43"/>
      <c r="Z42" s="43"/>
      <c r="AA42" s="43"/>
      <c r="AB42" s="43"/>
      <c r="AC42" s="43"/>
      <c r="AD42" s="43"/>
      <c r="AE42" s="43"/>
      <c r="AF42" s="99" t="s">
        <v>75</v>
      </c>
      <c r="AG42" s="98" t="b">
        <f t="shared" si="1"/>
        <v>1</v>
      </c>
      <c r="AH42" s="1312" t="b">
        <v>0</v>
      </c>
    </row>
    <row r="43" spans="1:34" ht="15.95" customHeight="1" x14ac:dyDescent="0.2">
      <c r="A43" s="2018" t="s">
        <v>1431</v>
      </c>
      <c r="B43" s="2064" t="s">
        <v>1264</v>
      </c>
      <c r="C43" s="2065" t="s">
        <v>1264</v>
      </c>
      <c r="D43" s="2065">
        <v>1</v>
      </c>
      <c r="E43" s="2065" t="s">
        <v>1264</v>
      </c>
      <c r="F43" s="2065" t="s">
        <v>1264</v>
      </c>
      <c r="G43" s="2065" t="s">
        <v>1264</v>
      </c>
      <c r="H43" s="2065"/>
      <c r="I43" s="2065"/>
      <c r="J43" s="2065"/>
      <c r="K43" s="2065"/>
      <c r="L43" s="2065"/>
      <c r="M43" s="2065"/>
      <c r="N43" s="2065"/>
      <c r="O43" s="2066"/>
      <c r="P43" s="821">
        <f t="shared" si="0"/>
        <v>1</v>
      </c>
      <c r="R43" s="43"/>
      <c r="S43" s="43"/>
      <c r="T43" s="43"/>
      <c r="U43" s="43"/>
      <c r="V43" s="43"/>
      <c r="W43" s="43"/>
      <c r="X43" s="43"/>
      <c r="Y43" s="43"/>
      <c r="Z43" s="43"/>
      <c r="AA43" s="43"/>
      <c r="AB43" s="43"/>
      <c r="AC43" s="43"/>
      <c r="AD43" s="43"/>
      <c r="AE43" s="43"/>
      <c r="AF43" s="99" t="s">
        <v>75</v>
      </c>
      <c r="AG43" s="98" t="b">
        <f t="shared" si="1"/>
        <v>1</v>
      </c>
      <c r="AH43" s="1312" t="b">
        <v>0</v>
      </c>
    </row>
    <row r="44" spans="1:34" ht="15.95" customHeight="1" x14ac:dyDescent="0.2">
      <c r="A44" s="2018" t="s">
        <v>1432</v>
      </c>
      <c r="B44" s="2064" t="s">
        <v>1264</v>
      </c>
      <c r="C44" s="2065" t="s">
        <v>1264</v>
      </c>
      <c r="D44" s="2065">
        <v>15</v>
      </c>
      <c r="E44" s="2065" t="s">
        <v>1264</v>
      </c>
      <c r="F44" s="2065" t="s">
        <v>1264</v>
      </c>
      <c r="G44" s="2065" t="s">
        <v>1264</v>
      </c>
      <c r="H44" s="2065"/>
      <c r="I44" s="2065"/>
      <c r="J44" s="2065"/>
      <c r="K44" s="2065"/>
      <c r="L44" s="2065"/>
      <c r="M44" s="2065"/>
      <c r="N44" s="2065"/>
      <c r="O44" s="2066"/>
      <c r="P44" s="821">
        <f t="shared" si="0"/>
        <v>15</v>
      </c>
      <c r="R44" s="43"/>
      <c r="S44" s="43"/>
      <c r="T44" s="43"/>
      <c r="U44" s="43"/>
      <c r="V44" s="43"/>
      <c r="W44" s="43"/>
      <c r="X44" s="43"/>
      <c r="Y44" s="43"/>
      <c r="Z44" s="43"/>
      <c r="AA44" s="43"/>
      <c r="AB44" s="43"/>
      <c r="AC44" s="43"/>
      <c r="AD44" s="43"/>
      <c r="AE44" s="43"/>
      <c r="AF44" s="99" t="s">
        <v>75</v>
      </c>
      <c r="AG44" s="98" t="b">
        <f t="shared" si="1"/>
        <v>1</v>
      </c>
      <c r="AH44" s="1312" t="b">
        <v>0</v>
      </c>
    </row>
    <row r="45" spans="1:34" ht="15.95" customHeight="1" x14ac:dyDescent="0.2">
      <c r="A45" s="2018" t="s">
        <v>1433</v>
      </c>
      <c r="B45" s="2064" t="s">
        <v>1264</v>
      </c>
      <c r="C45" s="2065" t="s">
        <v>1264</v>
      </c>
      <c r="D45" s="2065">
        <v>3</v>
      </c>
      <c r="E45" s="2065" t="s">
        <v>1264</v>
      </c>
      <c r="F45" s="2065" t="s">
        <v>1264</v>
      </c>
      <c r="G45" s="2065" t="s">
        <v>1264</v>
      </c>
      <c r="H45" s="2065"/>
      <c r="I45" s="2065"/>
      <c r="J45" s="2065"/>
      <c r="K45" s="2065"/>
      <c r="L45" s="2065"/>
      <c r="M45" s="2065"/>
      <c r="N45" s="2065"/>
      <c r="O45" s="2066"/>
      <c r="P45" s="821">
        <f t="shared" si="0"/>
        <v>3</v>
      </c>
      <c r="R45" s="43"/>
      <c r="S45" s="43"/>
      <c r="T45" s="43"/>
      <c r="U45" s="43"/>
      <c r="V45" s="43"/>
      <c r="W45" s="43"/>
      <c r="X45" s="43"/>
      <c r="Y45" s="43"/>
      <c r="Z45" s="43"/>
      <c r="AA45" s="43"/>
      <c r="AB45" s="43"/>
      <c r="AC45" s="43"/>
      <c r="AD45" s="43"/>
      <c r="AE45" s="43"/>
      <c r="AF45" s="99" t="s">
        <v>75</v>
      </c>
      <c r="AG45" s="98" t="b">
        <f t="shared" si="1"/>
        <v>1</v>
      </c>
      <c r="AH45" s="1312" t="b">
        <v>0</v>
      </c>
    </row>
    <row r="46" spans="1:34" ht="15.95" customHeight="1" x14ac:dyDescent="0.2">
      <c r="A46" s="2018" t="s">
        <v>1434</v>
      </c>
      <c r="B46" s="2064" t="s">
        <v>1264</v>
      </c>
      <c r="C46" s="2065" t="s">
        <v>1264</v>
      </c>
      <c r="D46" s="2065">
        <v>2</v>
      </c>
      <c r="E46" s="2065" t="s">
        <v>1264</v>
      </c>
      <c r="F46" s="2065" t="s">
        <v>1264</v>
      </c>
      <c r="G46" s="2065" t="s">
        <v>1264</v>
      </c>
      <c r="H46" s="2065"/>
      <c r="I46" s="2065"/>
      <c r="J46" s="2065"/>
      <c r="K46" s="2065"/>
      <c r="L46" s="2065"/>
      <c r="M46" s="2065"/>
      <c r="N46" s="2065"/>
      <c r="O46" s="2066"/>
      <c r="P46" s="821">
        <f t="shared" si="0"/>
        <v>2</v>
      </c>
      <c r="R46" s="43"/>
      <c r="S46" s="43"/>
      <c r="T46" s="43"/>
      <c r="U46" s="43"/>
      <c r="V46" s="43"/>
      <c r="W46" s="43"/>
      <c r="X46" s="43"/>
      <c r="Y46" s="43"/>
      <c r="Z46" s="43"/>
      <c r="AA46" s="43"/>
      <c r="AB46" s="43"/>
      <c r="AC46" s="43"/>
      <c r="AD46" s="43"/>
      <c r="AE46" s="43"/>
      <c r="AF46" s="99" t="s">
        <v>75</v>
      </c>
      <c r="AG46" s="98" t="b">
        <f t="shared" si="1"/>
        <v>1</v>
      </c>
      <c r="AH46" s="1312" t="b">
        <v>0</v>
      </c>
    </row>
    <row r="47" spans="1:34" ht="15.95" customHeight="1" x14ac:dyDescent="0.2">
      <c r="A47" s="2018" t="s">
        <v>1435</v>
      </c>
      <c r="B47" s="2064" t="s">
        <v>1264</v>
      </c>
      <c r="C47" s="2065" t="s">
        <v>1264</v>
      </c>
      <c r="D47" s="2065">
        <v>2</v>
      </c>
      <c r="E47" s="2065" t="s">
        <v>1264</v>
      </c>
      <c r="F47" s="2065" t="s">
        <v>1264</v>
      </c>
      <c r="G47" s="2065" t="s">
        <v>1264</v>
      </c>
      <c r="H47" s="2065"/>
      <c r="I47" s="2065"/>
      <c r="J47" s="2065"/>
      <c r="K47" s="2065"/>
      <c r="L47" s="2065"/>
      <c r="M47" s="2065"/>
      <c r="N47" s="2065"/>
      <c r="O47" s="2066"/>
      <c r="P47" s="821">
        <f t="shared" si="0"/>
        <v>2</v>
      </c>
      <c r="R47" s="43"/>
      <c r="S47" s="43"/>
      <c r="T47" s="43"/>
      <c r="U47" s="43"/>
      <c r="V47" s="43"/>
      <c r="W47" s="43"/>
      <c r="X47" s="43"/>
      <c r="Y47" s="43"/>
      <c r="Z47" s="43"/>
      <c r="AA47" s="43"/>
      <c r="AB47" s="43"/>
      <c r="AC47" s="43"/>
      <c r="AD47" s="43"/>
      <c r="AE47" s="43"/>
      <c r="AF47" s="99" t="s">
        <v>75</v>
      </c>
      <c r="AG47" s="98" t="b">
        <f t="shared" si="1"/>
        <v>1</v>
      </c>
      <c r="AH47" s="1312" t="b">
        <v>0</v>
      </c>
    </row>
    <row r="48" spans="1:34" ht="15.95" customHeight="1" x14ac:dyDescent="0.2">
      <c r="A48" s="2018" t="s">
        <v>1436</v>
      </c>
      <c r="B48" s="2064" t="s">
        <v>1264</v>
      </c>
      <c r="C48" s="2065" t="s">
        <v>1264</v>
      </c>
      <c r="D48" s="2065">
        <v>2</v>
      </c>
      <c r="E48" s="2065" t="s">
        <v>1264</v>
      </c>
      <c r="F48" s="2065" t="s">
        <v>1264</v>
      </c>
      <c r="G48" s="2065" t="s">
        <v>1264</v>
      </c>
      <c r="H48" s="2065"/>
      <c r="I48" s="2065"/>
      <c r="J48" s="2065"/>
      <c r="K48" s="2065"/>
      <c r="L48" s="2065"/>
      <c r="M48" s="2065"/>
      <c r="N48" s="2065"/>
      <c r="O48" s="2066"/>
      <c r="P48" s="821">
        <f t="shared" si="0"/>
        <v>2</v>
      </c>
      <c r="R48" s="43"/>
      <c r="S48" s="43"/>
      <c r="T48" s="43"/>
      <c r="U48" s="43"/>
      <c r="V48" s="43"/>
      <c r="W48" s="43"/>
      <c r="X48" s="43"/>
      <c r="Y48" s="43"/>
      <c r="Z48" s="43"/>
      <c r="AA48" s="43"/>
      <c r="AB48" s="43"/>
      <c r="AC48" s="43"/>
      <c r="AD48" s="43"/>
      <c r="AE48" s="43"/>
      <c r="AF48" s="99" t="s">
        <v>75</v>
      </c>
      <c r="AG48" s="98" t="b">
        <f t="shared" si="1"/>
        <v>1</v>
      </c>
      <c r="AH48" s="1312" t="b">
        <v>0</v>
      </c>
    </row>
    <row r="49" spans="1:34" ht="15.95" customHeight="1" x14ac:dyDescent="0.2">
      <c r="A49" s="2019" t="s">
        <v>1437</v>
      </c>
      <c r="B49" s="2067" t="s">
        <v>1264</v>
      </c>
      <c r="C49" s="2068" t="s">
        <v>1264</v>
      </c>
      <c r="D49" s="2068">
        <v>4</v>
      </c>
      <c r="E49" s="2068" t="s">
        <v>1264</v>
      </c>
      <c r="F49" s="2068" t="s">
        <v>1264</v>
      </c>
      <c r="G49" s="2068" t="s">
        <v>1264</v>
      </c>
      <c r="H49" s="2068"/>
      <c r="I49" s="2068"/>
      <c r="J49" s="2068"/>
      <c r="K49" s="2068"/>
      <c r="L49" s="2068"/>
      <c r="M49" s="2068"/>
      <c r="N49" s="2068"/>
      <c r="O49" s="2069"/>
      <c r="P49" s="821">
        <f t="shared" si="0"/>
        <v>4</v>
      </c>
      <c r="R49" s="43"/>
      <c r="S49" s="43"/>
      <c r="T49" s="43"/>
      <c r="U49" s="43"/>
      <c r="V49" s="43"/>
      <c r="W49" s="43"/>
      <c r="X49" s="43"/>
      <c r="Y49" s="43"/>
      <c r="Z49" s="43"/>
      <c r="AA49" s="43"/>
      <c r="AB49" s="43"/>
      <c r="AC49" s="43"/>
      <c r="AD49" s="43"/>
      <c r="AE49" s="43"/>
      <c r="AF49" s="99" t="s">
        <v>75</v>
      </c>
      <c r="AG49" s="98" t="b">
        <f t="shared" si="1"/>
        <v>1</v>
      </c>
      <c r="AH49" s="1312" t="b">
        <v>0</v>
      </c>
    </row>
    <row r="50" spans="1:34" ht="15" customHeight="1" x14ac:dyDescent="0.2">
      <c r="A50" s="817" t="s">
        <v>91</v>
      </c>
      <c r="B50" s="818">
        <f t="shared" ref="B50:O50" si="2">IF(ISBLANK(B13),"",SUM(B14:B49))</f>
        <v>0</v>
      </c>
      <c r="C50" s="818">
        <f t="shared" si="2"/>
        <v>0</v>
      </c>
      <c r="D50" s="818">
        <f t="shared" si="2"/>
        <v>62</v>
      </c>
      <c r="E50" s="818">
        <f t="shared" si="2"/>
        <v>1</v>
      </c>
      <c r="F50" s="818">
        <f t="shared" si="2"/>
        <v>1</v>
      </c>
      <c r="G50" s="818">
        <f t="shared" si="2"/>
        <v>0</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2015</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h2iFnkabKDHoVhG1AXdQcImgKLo0STbQYcoL9I5KvRKddZNCWAGBk0Cv8FMpVb3R50lQvNLyaCLOOS8A44bQQQ==" saltValue="AUj0ISQG3XBlXUV5gsL80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11" priority="2">
      <formula>OR(A14="Girder",A14="Girders",A14="Joist",A14="Joists",A14="Bridging")</formula>
    </cfRule>
    <cfRule type="expression" dxfId="1410" priority="3">
      <formula>AND(P14&gt;0,ISBLANK(AF14),OR($R$1="",$R$1="M"))</formula>
    </cfRule>
    <cfRule type="expression" dxfId="1409" priority="9">
      <formula>$AH14</formula>
    </cfRule>
  </conditionalFormatting>
  <conditionalFormatting sqref="H2:J4">
    <cfRule type="cellIs" dxfId="1408" priority="7" stopIfTrue="1" operator="equal">
      <formula>""</formula>
    </cfRule>
  </conditionalFormatting>
  <conditionalFormatting sqref="B14:O49">
    <cfRule type="expression" dxfId="1407" priority="4">
      <formula>IF($R$1="M",AND(B14&gt;R14,R14&gt;0),B14&lt;R14)</formula>
    </cfRule>
    <cfRule type="expression" dxfId="1406" priority="5">
      <formula>OR(AND($R$1="M",B14=R14),B14="-")</formula>
    </cfRule>
    <cfRule type="expression" dxfId="1405" priority="6">
      <formula>IF(NOT(ISBLANK($R$1)),IF($R$1="M",IF(ISTEXT(B14),0,B14)&lt;R14,IF(ISTEXT(B14),0,B14)&gt;R14))</formula>
    </cfRule>
    <cfRule type="expression" dxfId="1404" priority="8">
      <formula>OR($AH14,B$63)</formula>
    </cfRule>
  </conditionalFormatting>
  <conditionalFormatting sqref="B13:O13">
    <cfRule type="expression" dxfId="1403" priority="1">
      <formula>AND(NOT(ISBLANK(B$13)),ISERROR(MATCH(B$13,$AK:$AK,0)))</formula>
    </cfRule>
    <cfRule type="expression" dxfId="140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indexed="31"/>
  </sheetPr>
  <dimension ref="A1:AL65"/>
  <sheetViews>
    <sheetView showGridLines="0" topLeftCell="A16"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18 of 42</v>
      </c>
      <c r="M7" s="822"/>
      <c r="N7" s="473"/>
      <c r="O7" s="473"/>
      <c r="P7" s="566"/>
      <c r="R7" s="1393">
        <v>18</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1438</v>
      </c>
      <c r="B15" s="2064" t="s">
        <v>1264</v>
      </c>
      <c r="C15" s="2065" t="s">
        <v>1264</v>
      </c>
      <c r="D15" s="2065">
        <v>7</v>
      </c>
      <c r="E15" s="2065" t="s">
        <v>1264</v>
      </c>
      <c r="F15" s="2065" t="s">
        <v>1264</v>
      </c>
      <c r="G15" s="2065" t="s">
        <v>1264</v>
      </c>
      <c r="H15" s="2065"/>
      <c r="I15" s="2065"/>
      <c r="J15" s="2065"/>
      <c r="K15" s="2065"/>
      <c r="L15" s="2065"/>
      <c r="M15" s="2065"/>
      <c r="N15" s="2065"/>
      <c r="O15" s="2066"/>
      <c r="P15" s="821">
        <f t="shared" si="0"/>
        <v>7</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1439</v>
      </c>
      <c r="B16" s="2064" t="s">
        <v>1264</v>
      </c>
      <c r="C16" s="2065" t="s">
        <v>1264</v>
      </c>
      <c r="D16" s="2065">
        <v>2</v>
      </c>
      <c r="E16" s="2065" t="s">
        <v>1264</v>
      </c>
      <c r="F16" s="2065" t="s">
        <v>1264</v>
      </c>
      <c r="G16" s="2065" t="s">
        <v>1264</v>
      </c>
      <c r="H16" s="2065"/>
      <c r="I16" s="2065"/>
      <c r="J16" s="2065"/>
      <c r="K16" s="2065"/>
      <c r="L16" s="2065"/>
      <c r="M16" s="2065"/>
      <c r="N16" s="2065"/>
      <c r="O16" s="2066"/>
      <c r="P16" s="821">
        <f t="shared" si="0"/>
        <v>2</v>
      </c>
      <c r="R16" s="43"/>
      <c r="S16" s="43"/>
      <c r="T16" s="43"/>
      <c r="U16" s="43"/>
      <c r="V16" s="43"/>
      <c r="W16" s="43"/>
      <c r="X16" s="43"/>
      <c r="Y16" s="43"/>
      <c r="Z16" s="43"/>
      <c r="AA16" s="43"/>
      <c r="AB16" s="43"/>
      <c r="AC16" s="43"/>
      <c r="AD16" s="43"/>
      <c r="AE16" s="43"/>
      <c r="AF16" s="99" t="s">
        <v>75</v>
      </c>
      <c r="AG16" s="98" t="b">
        <f t="shared" si="1"/>
        <v>1</v>
      </c>
      <c r="AH16" s="1312" t="b">
        <v>0</v>
      </c>
    </row>
    <row r="17" spans="1:34" ht="15.95" customHeight="1" x14ac:dyDescent="0.2">
      <c r="A17" s="2018" t="s">
        <v>1440</v>
      </c>
      <c r="B17" s="2064" t="s">
        <v>1264</v>
      </c>
      <c r="C17" s="2065" t="s">
        <v>1264</v>
      </c>
      <c r="D17" s="2065">
        <v>1</v>
      </c>
      <c r="E17" s="2065" t="s">
        <v>1264</v>
      </c>
      <c r="F17" s="2065" t="s">
        <v>1264</v>
      </c>
      <c r="G17" s="2065" t="s">
        <v>1264</v>
      </c>
      <c r="H17" s="2065"/>
      <c r="I17" s="2065"/>
      <c r="J17" s="2065"/>
      <c r="K17" s="2065"/>
      <c r="L17" s="2065"/>
      <c r="M17" s="2065"/>
      <c r="N17" s="2065"/>
      <c r="O17" s="2066"/>
      <c r="P17" s="821">
        <f t="shared" si="0"/>
        <v>1</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1441</v>
      </c>
      <c r="B18" s="2064" t="s">
        <v>1264</v>
      </c>
      <c r="C18" s="2065" t="s">
        <v>1264</v>
      </c>
      <c r="D18" s="2065">
        <v>1</v>
      </c>
      <c r="E18" s="2065" t="s">
        <v>1264</v>
      </c>
      <c r="F18" s="2065" t="s">
        <v>1264</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1442</v>
      </c>
      <c r="B19" s="2064" t="s">
        <v>1264</v>
      </c>
      <c r="C19" s="2065" t="s">
        <v>1264</v>
      </c>
      <c r="D19" s="2065">
        <v>1</v>
      </c>
      <c r="E19" s="2065" t="s">
        <v>1264</v>
      </c>
      <c r="F19" s="2065" t="s">
        <v>1264</v>
      </c>
      <c r="G19" s="2065" t="s">
        <v>1264</v>
      </c>
      <c r="H19" s="2065"/>
      <c r="I19" s="2065"/>
      <c r="J19" s="2065"/>
      <c r="K19" s="2065"/>
      <c r="L19" s="2065"/>
      <c r="M19" s="2065"/>
      <c r="N19" s="2065"/>
      <c r="O19" s="2066"/>
      <c r="P19" s="821">
        <f t="shared" si="0"/>
        <v>1</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1443</v>
      </c>
      <c r="B20" s="2064" t="s">
        <v>1264</v>
      </c>
      <c r="C20" s="2065" t="s">
        <v>1264</v>
      </c>
      <c r="D20" s="2065">
        <v>1</v>
      </c>
      <c r="E20" s="2065" t="s">
        <v>1264</v>
      </c>
      <c r="F20" s="2065" t="s">
        <v>1264</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75</v>
      </c>
      <c r="AG20" s="98" t="b">
        <f t="shared" si="1"/>
        <v>1</v>
      </c>
      <c r="AH20" s="1312" t="b">
        <v>0</v>
      </c>
    </row>
    <row r="21" spans="1:34" ht="15.95" customHeight="1" x14ac:dyDescent="0.2">
      <c r="A21" s="2018" t="s">
        <v>1444</v>
      </c>
      <c r="B21" s="2064" t="s">
        <v>1264</v>
      </c>
      <c r="C21" s="2065" t="s">
        <v>1264</v>
      </c>
      <c r="D21" s="2065">
        <v>1</v>
      </c>
      <c r="E21" s="2065" t="s">
        <v>1264</v>
      </c>
      <c r="F21" s="2065" t="s">
        <v>1264</v>
      </c>
      <c r="G21" s="2065" t="s">
        <v>1264</v>
      </c>
      <c r="H21" s="2065"/>
      <c r="I21" s="2065"/>
      <c r="J21" s="2065"/>
      <c r="K21" s="2065"/>
      <c r="L21" s="2065"/>
      <c r="M21" s="2065"/>
      <c r="N21" s="2065"/>
      <c r="O21" s="2066"/>
      <c r="P21" s="821">
        <f t="shared" si="0"/>
        <v>1</v>
      </c>
      <c r="R21" s="43"/>
      <c r="S21" s="43"/>
      <c r="T21" s="43"/>
      <c r="U21" s="43"/>
      <c r="V21" s="43"/>
      <c r="W21" s="43"/>
      <c r="X21" s="43"/>
      <c r="Y21" s="43"/>
      <c r="Z21" s="43"/>
      <c r="AA21" s="43"/>
      <c r="AB21" s="43"/>
      <c r="AC21" s="43"/>
      <c r="AD21" s="43"/>
      <c r="AE21" s="43"/>
      <c r="AF21" s="99" t="s">
        <v>75</v>
      </c>
      <c r="AG21" s="98" t="b">
        <f t="shared" si="1"/>
        <v>1</v>
      </c>
      <c r="AH21" s="1312" t="b">
        <v>0</v>
      </c>
    </row>
    <row r="22" spans="1:34" ht="15.95" customHeight="1" x14ac:dyDescent="0.2">
      <c r="A22" s="2018" t="s">
        <v>1445</v>
      </c>
      <c r="B22" s="2064" t="s">
        <v>1264</v>
      </c>
      <c r="C22" s="2065" t="s">
        <v>1264</v>
      </c>
      <c r="D22" s="2065">
        <v>1</v>
      </c>
      <c r="E22" s="2065" t="s">
        <v>1264</v>
      </c>
      <c r="F22" s="2065" t="s">
        <v>1264</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75</v>
      </c>
      <c r="AG22" s="98" t="b">
        <f t="shared" si="1"/>
        <v>1</v>
      </c>
      <c r="AH22" s="1312" t="b">
        <v>0</v>
      </c>
    </row>
    <row r="23" spans="1:34" ht="15.95" customHeight="1" x14ac:dyDescent="0.2">
      <c r="A23" s="2018" t="s">
        <v>1446</v>
      </c>
      <c r="B23" s="2064" t="s">
        <v>1264</v>
      </c>
      <c r="C23" s="2065" t="s">
        <v>1264</v>
      </c>
      <c r="D23" s="2065">
        <v>1</v>
      </c>
      <c r="E23" s="2065" t="s">
        <v>1264</v>
      </c>
      <c r="F23" s="2065" t="s">
        <v>1264</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75</v>
      </c>
      <c r="AG23" s="98" t="b">
        <f t="shared" si="1"/>
        <v>1</v>
      </c>
      <c r="AH23" s="1312" t="b">
        <v>0</v>
      </c>
    </row>
    <row r="24" spans="1:34" ht="15.95" customHeight="1" x14ac:dyDescent="0.2">
      <c r="A24" s="2018" t="s">
        <v>1447</v>
      </c>
      <c r="B24" s="2064" t="s">
        <v>1264</v>
      </c>
      <c r="C24" s="2065" t="s">
        <v>1264</v>
      </c>
      <c r="D24" s="2065">
        <v>1</v>
      </c>
      <c r="E24" s="2065">
        <v>1</v>
      </c>
      <c r="F24" s="2065" t="s">
        <v>1264</v>
      </c>
      <c r="G24" s="2065" t="s">
        <v>1264</v>
      </c>
      <c r="H24" s="2065"/>
      <c r="I24" s="2065"/>
      <c r="J24" s="2065"/>
      <c r="K24" s="2065"/>
      <c r="L24" s="2065"/>
      <c r="M24" s="2065"/>
      <c r="N24" s="2065"/>
      <c r="O24" s="2066"/>
      <c r="P24" s="821">
        <f t="shared" si="0"/>
        <v>2</v>
      </c>
      <c r="R24" s="43"/>
      <c r="S24" s="43"/>
      <c r="T24" s="43"/>
      <c r="U24" s="43"/>
      <c r="V24" s="43"/>
      <c r="W24" s="43"/>
      <c r="X24" s="43"/>
      <c r="Y24" s="43"/>
      <c r="Z24" s="43"/>
      <c r="AA24" s="43"/>
      <c r="AB24" s="43"/>
      <c r="AC24" s="43"/>
      <c r="AD24" s="43"/>
      <c r="AE24" s="43"/>
      <c r="AF24" s="99" t="s">
        <v>75</v>
      </c>
      <c r="AG24" s="98" t="b">
        <f t="shared" si="1"/>
        <v>1</v>
      </c>
      <c r="AH24" s="1312" t="b">
        <v>0</v>
      </c>
    </row>
    <row r="25" spans="1:34" ht="15.95" customHeight="1" x14ac:dyDescent="0.2">
      <c r="A25" s="2018" t="s">
        <v>1448</v>
      </c>
      <c r="B25" s="2064" t="s">
        <v>1264</v>
      </c>
      <c r="C25" s="2065" t="s">
        <v>1264</v>
      </c>
      <c r="D25" s="2065">
        <v>19</v>
      </c>
      <c r="E25" s="2065">
        <v>19</v>
      </c>
      <c r="F25" s="2065" t="s">
        <v>1264</v>
      </c>
      <c r="G25" s="2065" t="s">
        <v>1264</v>
      </c>
      <c r="H25" s="2065"/>
      <c r="I25" s="2065"/>
      <c r="J25" s="2065"/>
      <c r="K25" s="2065"/>
      <c r="L25" s="2065"/>
      <c r="M25" s="2065"/>
      <c r="N25" s="2065"/>
      <c r="O25" s="2066"/>
      <c r="P25" s="821">
        <f t="shared" si="0"/>
        <v>38</v>
      </c>
      <c r="R25" s="43"/>
      <c r="S25" s="43"/>
      <c r="T25" s="43"/>
      <c r="U25" s="43"/>
      <c r="V25" s="43"/>
      <c r="W25" s="43"/>
      <c r="X25" s="43"/>
      <c r="Y25" s="43"/>
      <c r="Z25" s="43"/>
      <c r="AA25" s="43"/>
      <c r="AB25" s="43"/>
      <c r="AC25" s="43"/>
      <c r="AD25" s="43"/>
      <c r="AE25" s="43"/>
      <c r="AF25" s="99" t="s">
        <v>75</v>
      </c>
      <c r="AG25" s="98" t="b">
        <f t="shared" si="1"/>
        <v>1</v>
      </c>
      <c r="AH25" s="1312" t="b">
        <v>0</v>
      </c>
    </row>
    <row r="26" spans="1:34" ht="15.95" customHeight="1" x14ac:dyDescent="0.2">
      <c r="A26" s="2018" t="s">
        <v>1449</v>
      </c>
      <c r="B26" s="2064" t="s">
        <v>1264</v>
      </c>
      <c r="C26" s="2065" t="s">
        <v>1264</v>
      </c>
      <c r="D26" s="2065">
        <v>2</v>
      </c>
      <c r="E26" s="2065">
        <v>4</v>
      </c>
      <c r="F26" s="2065" t="s">
        <v>1264</v>
      </c>
      <c r="G26" s="2065" t="s">
        <v>1264</v>
      </c>
      <c r="H26" s="2065"/>
      <c r="I26" s="2065"/>
      <c r="J26" s="2065"/>
      <c r="K26" s="2065"/>
      <c r="L26" s="2065"/>
      <c r="M26" s="2065"/>
      <c r="N26" s="2065"/>
      <c r="O26" s="2066"/>
      <c r="P26" s="821">
        <f t="shared" si="0"/>
        <v>6</v>
      </c>
      <c r="R26" s="43"/>
      <c r="S26" s="43"/>
      <c r="T26" s="43"/>
      <c r="U26" s="43"/>
      <c r="V26" s="43"/>
      <c r="W26" s="43"/>
      <c r="X26" s="43"/>
      <c r="Y26" s="43"/>
      <c r="Z26" s="43"/>
      <c r="AA26" s="43"/>
      <c r="AB26" s="43"/>
      <c r="AC26" s="43"/>
      <c r="AD26" s="43"/>
      <c r="AE26" s="43"/>
      <c r="AF26" s="99" t="s">
        <v>75</v>
      </c>
      <c r="AG26" s="98" t="b">
        <f t="shared" si="1"/>
        <v>1</v>
      </c>
      <c r="AH26" s="1312" t="b">
        <v>0</v>
      </c>
    </row>
    <row r="27" spans="1:34" ht="15.95" customHeight="1" x14ac:dyDescent="0.2">
      <c r="A27" s="2018" t="s">
        <v>1450</v>
      </c>
      <c r="B27" s="2064" t="s">
        <v>1264</v>
      </c>
      <c r="C27" s="2065" t="s">
        <v>1264</v>
      </c>
      <c r="D27" s="2065">
        <v>2</v>
      </c>
      <c r="E27" s="2065">
        <v>1</v>
      </c>
      <c r="F27" s="2065" t="s">
        <v>1264</v>
      </c>
      <c r="G27" s="2065" t="s">
        <v>1264</v>
      </c>
      <c r="H27" s="2065"/>
      <c r="I27" s="2065"/>
      <c r="J27" s="2065"/>
      <c r="K27" s="2065"/>
      <c r="L27" s="2065"/>
      <c r="M27" s="2065"/>
      <c r="N27" s="2065"/>
      <c r="O27" s="2066"/>
      <c r="P27" s="821">
        <f t="shared" si="0"/>
        <v>3</v>
      </c>
      <c r="R27" s="43"/>
      <c r="S27" s="43"/>
      <c r="T27" s="43"/>
      <c r="U27" s="43"/>
      <c r="V27" s="43"/>
      <c r="W27" s="43"/>
      <c r="X27" s="43"/>
      <c r="Y27" s="43"/>
      <c r="Z27" s="43"/>
      <c r="AA27" s="43"/>
      <c r="AB27" s="43"/>
      <c r="AC27" s="43"/>
      <c r="AD27" s="43"/>
      <c r="AE27" s="43"/>
      <c r="AF27" s="99" t="s">
        <v>75</v>
      </c>
      <c r="AG27" s="98" t="b">
        <f t="shared" si="1"/>
        <v>1</v>
      </c>
      <c r="AH27" s="1312" t="b">
        <v>0</v>
      </c>
    </row>
    <row r="28" spans="1:34" ht="15.95" customHeight="1" x14ac:dyDescent="0.2">
      <c r="A28" s="2018" t="s">
        <v>1451</v>
      </c>
      <c r="B28" s="2064" t="s">
        <v>1264</v>
      </c>
      <c r="C28" s="2065" t="s">
        <v>1264</v>
      </c>
      <c r="D28" s="2065">
        <v>1</v>
      </c>
      <c r="E28" s="2065" t="s">
        <v>1264</v>
      </c>
      <c r="F28" s="2065" t="s">
        <v>1264</v>
      </c>
      <c r="G28" s="2065" t="s">
        <v>1264</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75</v>
      </c>
      <c r="AG28" s="98" t="b">
        <f t="shared" si="1"/>
        <v>1</v>
      </c>
      <c r="AH28" s="1312" t="b">
        <v>0</v>
      </c>
    </row>
    <row r="29" spans="1:34" ht="15.95" customHeight="1" x14ac:dyDescent="0.2">
      <c r="A29" s="2018" t="s">
        <v>1452</v>
      </c>
      <c r="B29" s="2064" t="s">
        <v>1264</v>
      </c>
      <c r="C29" s="2065" t="s">
        <v>1264</v>
      </c>
      <c r="D29" s="2065">
        <v>1</v>
      </c>
      <c r="E29" s="2065">
        <v>1</v>
      </c>
      <c r="F29" s="2065" t="s">
        <v>1264</v>
      </c>
      <c r="G29" s="2065" t="s">
        <v>1264</v>
      </c>
      <c r="H29" s="2065"/>
      <c r="I29" s="2065"/>
      <c r="J29" s="2065"/>
      <c r="K29" s="2065"/>
      <c r="L29" s="2065"/>
      <c r="M29" s="2065"/>
      <c r="N29" s="2065"/>
      <c r="O29" s="2066"/>
      <c r="P29" s="821">
        <f t="shared" si="0"/>
        <v>2</v>
      </c>
      <c r="R29" s="43"/>
      <c r="S29" s="43"/>
      <c r="T29" s="43"/>
      <c r="U29" s="43"/>
      <c r="V29" s="43"/>
      <c r="W29" s="43"/>
      <c r="X29" s="43"/>
      <c r="Y29" s="43"/>
      <c r="Z29" s="43"/>
      <c r="AA29" s="43"/>
      <c r="AB29" s="43"/>
      <c r="AC29" s="43"/>
      <c r="AD29" s="43"/>
      <c r="AE29" s="43"/>
      <c r="AF29" s="99" t="s">
        <v>75</v>
      </c>
      <c r="AG29" s="98" t="b">
        <f t="shared" si="1"/>
        <v>1</v>
      </c>
      <c r="AH29" s="1312" t="b">
        <v>0</v>
      </c>
    </row>
    <row r="30" spans="1:34" ht="15.95" customHeight="1" x14ac:dyDescent="0.2">
      <c r="A30" s="2018" t="s">
        <v>1453</v>
      </c>
      <c r="B30" s="2064" t="s">
        <v>1264</v>
      </c>
      <c r="C30" s="2065" t="s">
        <v>1264</v>
      </c>
      <c r="D30" s="2065">
        <v>2</v>
      </c>
      <c r="E30" s="2065" t="s">
        <v>1264</v>
      </c>
      <c r="F30" s="2065" t="s">
        <v>1264</v>
      </c>
      <c r="G30" s="2065" t="s">
        <v>1264</v>
      </c>
      <c r="H30" s="2065"/>
      <c r="I30" s="2065"/>
      <c r="J30" s="2065"/>
      <c r="K30" s="2065"/>
      <c r="L30" s="2065"/>
      <c r="M30" s="2065"/>
      <c r="N30" s="2065"/>
      <c r="O30" s="2066"/>
      <c r="P30" s="821">
        <f t="shared" si="0"/>
        <v>2</v>
      </c>
      <c r="R30" s="43"/>
      <c r="S30" s="43"/>
      <c r="T30" s="43"/>
      <c r="U30" s="43"/>
      <c r="V30" s="43"/>
      <c r="W30" s="43"/>
      <c r="X30" s="43"/>
      <c r="Y30" s="43"/>
      <c r="Z30" s="43"/>
      <c r="AA30" s="43"/>
      <c r="AB30" s="43"/>
      <c r="AC30" s="43"/>
      <c r="AD30" s="43"/>
      <c r="AE30" s="43"/>
      <c r="AF30" s="99" t="s">
        <v>75</v>
      </c>
      <c r="AG30" s="98" t="b">
        <f t="shared" si="1"/>
        <v>1</v>
      </c>
      <c r="AH30" s="1312" t="b">
        <v>0</v>
      </c>
    </row>
    <row r="31" spans="1:34" ht="15.95" customHeight="1" x14ac:dyDescent="0.2">
      <c r="A31" s="2018" t="s">
        <v>1454</v>
      </c>
      <c r="B31" s="2064" t="s">
        <v>1264</v>
      </c>
      <c r="C31" s="2065" t="s">
        <v>1264</v>
      </c>
      <c r="D31" s="2065">
        <v>1</v>
      </c>
      <c r="E31" s="2065" t="s">
        <v>1264</v>
      </c>
      <c r="F31" s="2065" t="s">
        <v>1264</v>
      </c>
      <c r="G31" s="2065" t="s">
        <v>1264</v>
      </c>
      <c r="H31" s="2065"/>
      <c r="I31" s="2065"/>
      <c r="J31" s="2065"/>
      <c r="K31" s="2065"/>
      <c r="L31" s="2065"/>
      <c r="M31" s="2065"/>
      <c r="N31" s="2065"/>
      <c r="O31" s="2066"/>
      <c r="P31" s="821">
        <f t="shared" si="0"/>
        <v>1</v>
      </c>
      <c r="R31" s="43"/>
      <c r="S31" s="43"/>
      <c r="T31" s="43"/>
      <c r="U31" s="43"/>
      <c r="V31" s="43"/>
      <c r="W31" s="43"/>
      <c r="X31" s="43"/>
      <c r="Y31" s="43"/>
      <c r="Z31" s="43"/>
      <c r="AA31" s="43"/>
      <c r="AB31" s="43"/>
      <c r="AC31" s="43"/>
      <c r="AD31" s="43"/>
      <c r="AE31" s="43"/>
      <c r="AF31" s="99" t="s">
        <v>75</v>
      </c>
      <c r="AG31" s="98" t="b">
        <f t="shared" si="1"/>
        <v>1</v>
      </c>
      <c r="AH31" s="1312" t="b">
        <v>0</v>
      </c>
    </row>
    <row r="32" spans="1:34" ht="15.95" customHeight="1" x14ac:dyDescent="0.2">
      <c r="A32" s="2018" t="s">
        <v>1455</v>
      </c>
      <c r="B32" s="2064" t="s">
        <v>1264</v>
      </c>
      <c r="C32" s="2065" t="s">
        <v>1264</v>
      </c>
      <c r="D32" s="2065">
        <v>1</v>
      </c>
      <c r="E32" s="2065">
        <v>1</v>
      </c>
      <c r="F32" s="2065" t="s">
        <v>1264</v>
      </c>
      <c r="G32" s="2065" t="s">
        <v>1264</v>
      </c>
      <c r="H32" s="2065"/>
      <c r="I32" s="2065"/>
      <c r="J32" s="2065"/>
      <c r="K32" s="2065"/>
      <c r="L32" s="2065"/>
      <c r="M32" s="2065"/>
      <c r="N32" s="2065"/>
      <c r="O32" s="2066"/>
      <c r="P32" s="821">
        <f t="shared" si="0"/>
        <v>2</v>
      </c>
      <c r="R32" s="43"/>
      <c r="S32" s="43"/>
      <c r="T32" s="43"/>
      <c r="U32" s="43"/>
      <c r="V32" s="43"/>
      <c r="W32" s="43"/>
      <c r="X32" s="43"/>
      <c r="Y32" s="43"/>
      <c r="Z32" s="43"/>
      <c r="AA32" s="43"/>
      <c r="AB32" s="43"/>
      <c r="AC32" s="43"/>
      <c r="AD32" s="43"/>
      <c r="AE32" s="43"/>
      <c r="AF32" s="99" t="s">
        <v>75</v>
      </c>
      <c r="AG32" s="98" t="b">
        <f t="shared" si="1"/>
        <v>1</v>
      </c>
      <c r="AH32" s="1312" t="b">
        <v>0</v>
      </c>
    </row>
    <row r="33" spans="1:34" ht="15.95" customHeight="1" x14ac:dyDescent="0.2">
      <c r="A33" s="2018" t="s">
        <v>1456</v>
      </c>
      <c r="B33" s="2064" t="s">
        <v>1264</v>
      </c>
      <c r="C33" s="2065" t="s">
        <v>1264</v>
      </c>
      <c r="D33" s="2065">
        <v>2</v>
      </c>
      <c r="E33" s="2065">
        <v>1</v>
      </c>
      <c r="F33" s="2065" t="s">
        <v>1264</v>
      </c>
      <c r="G33" s="2065" t="s">
        <v>1264</v>
      </c>
      <c r="H33" s="2065"/>
      <c r="I33" s="2065"/>
      <c r="J33" s="2065"/>
      <c r="K33" s="2065"/>
      <c r="L33" s="2065"/>
      <c r="M33" s="2065"/>
      <c r="N33" s="2065"/>
      <c r="O33" s="2066"/>
      <c r="P33" s="821">
        <f t="shared" si="0"/>
        <v>3</v>
      </c>
      <c r="R33" s="43"/>
      <c r="S33" s="43"/>
      <c r="T33" s="43"/>
      <c r="U33" s="43"/>
      <c r="V33" s="43"/>
      <c r="W33" s="43"/>
      <c r="X33" s="43"/>
      <c r="Y33" s="43"/>
      <c r="Z33" s="43"/>
      <c r="AA33" s="43"/>
      <c r="AB33" s="43"/>
      <c r="AC33" s="43"/>
      <c r="AD33" s="43"/>
      <c r="AE33" s="43"/>
      <c r="AF33" s="99" t="s">
        <v>75</v>
      </c>
      <c r="AG33" s="98" t="b">
        <f t="shared" si="1"/>
        <v>1</v>
      </c>
      <c r="AH33" s="1312" t="b">
        <v>0</v>
      </c>
    </row>
    <row r="34" spans="1:34" ht="15.95" customHeight="1" x14ac:dyDescent="0.2">
      <c r="A34" s="2018" t="s">
        <v>1457</v>
      </c>
      <c r="B34" s="2064" t="s">
        <v>1264</v>
      </c>
      <c r="C34" s="2065" t="s">
        <v>1264</v>
      </c>
      <c r="D34" s="2065">
        <v>2</v>
      </c>
      <c r="E34" s="2065">
        <v>1</v>
      </c>
      <c r="F34" s="2065" t="s">
        <v>1264</v>
      </c>
      <c r="G34" s="2065" t="s">
        <v>1264</v>
      </c>
      <c r="H34" s="2065"/>
      <c r="I34" s="2065"/>
      <c r="J34" s="2065"/>
      <c r="K34" s="2065"/>
      <c r="L34" s="2065"/>
      <c r="M34" s="2065"/>
      <c r="N34" s="2065"/>
      <c r="O34" s="2066"/>
      <c r="P34" s="821">
        <f t="shared" si="0"/>
        <v>3</v>
      </c>
      <c r="R34" s="43"/>
      <c r="S34" s="43"/>
      <c r="T34" s="43"/>
      <c r="U34" s="43"/>
      <c r="V34" s="43"/>
      <c r="W34" s="43"/>
      <c r="X34" s="43"/>
      <c r="Y34" s="43"/>
      <c r="Z34" s="43"/>
      <c r="AA34" s="43"/>
      <c r="AB34" s="43"/>
      <c r="AC34" s="43"/>
      <c r="AD34" s="43"/>
      <c r="AE34" s="43"/>
      <c r="AF34" s="99" t="s">
        <v>75</v>
      </c>
      <c r="AG34" s="98" t="b">
        <f t="shared" si="1"/>
        <v>1</v>
      </c>
      <c r="AH34" s="1312" t="b">
        <v>0</v>
      </c>
    </row>
    <row r="35" spans="1:34" ht="15.95" customHeight="1" x14ac:dyDescent="0.2">
      <c r="A35" s="2018" t="s">
        <v>1458</v>
      </c>
      <c r="B35" s="2064" t="s">
        <v>1264</v>
      </c>
      <c r="C35" s="2065" t="s">
        <v>1264</v>
      </c>
      <c r="D35" s="2065">
        <v>1</v>
      </c>
      <c r="E35" s="2065">
        <v>1</v>
      </c>
      <c r="F35" s="2065" t="s">
        <v>1264</v>
      </c>
      <c r="G35" s="2065" t="s">
        <v>1264</v>
      </c>
      <c r="H35" s="2065"/>
      <c r="I35" s="2065"/>
      <c r="J35" s="2065"/>
      <c r="K35" s="2065"/>
      <c r="L35" s="2065"/>
      <c r="M35" s="2065"/>
      <c r="N35" s="2065"/>
      <c r="O35" s="2066"/>
      <c r="P35" s="821">
        <f t="shared" si="0"/>
        <v>2</v>
      </c>
      <c r="R35" s="43"/>
      <c r="S35" s="43"/>
      <c r="T35" s="43"/>
      <c r="U35" s="43"/>
      <c r="V35" s="43"/>
      <c r="W35" s="43"/>
      <c r="X35" s="43"/>
      <c r="Y35" s="43"/>
      <c r="Z35" s="43"/>
      <c r="AA35" s="43"/>
      <c r="AB35" s="43"/>
      <c r="AC35" s="43"/>
      <c r="AD35" s="43"/>
      <c r="AE35" s="43"/>
      <c r="AF35" s="99" t="s">
        <v>75</v>
      </c>
      <c r="AG35" s="98" t="b">
        <f t="shared" si="1"/>
        <v>1</v>
      </c>
      <c r="AH35" s="1312" t="b">
        <v>0</v>
      </c>
    </row>
    <row r="36" spans="1:34" ht="15.95" customHeight="1" x14ac:dyDescent="0.2">
      <c r="A36" s="2018" t="s">
        <v>1459</v>
      </c>
      <c r="B36" s="2064" t="s">
        <v>1264</v>
      </c>
      <c r="C36" s="2065" t="s">
        <v>1264</v>
      </c>
      <c r="D36" s="2065">
        <v>4</v>
      </c>
      <c r="E36" s="2065" t="s">
        <v>1264</v>
      </c>
      <c r="F36" s="2065" t="s">
        <v>1264</v>
      </c>
      <c r="G36" s="2065" t="s">
        <v>1264</v>
      </c>
      <c r="H36" s="2065"/>
      <c r="I36" s="2065"/>
      <c r="J36" s="2065"/>
      <c r="K36" s="2065"/>
      <c r="L36" s="2065"/>
      <c r="M36" s="2065"/>
      <c r="N36" s="2065"/>
      <c r="O36" s="2066"/>
      <c r="P36" s="821">
        <f t="shared" si="0"/>
        <v>4</v>
      </c>
      <c r="R36" s="43"/>
      <c r="S36" s="43"/>
      <c r="T36" s="43"/>
      <c r="U36" s="43"/>
      <c r="V36" s="43"/>
      <c r="W36" s="43"/>
      <c r="X36" s="43"/>
      <c r="Y36" s="43"/>
      <c r="Z36" s="43"/>
      <c r="AA36" s="43"/>
      <c r="AB36" s="43"/>
      <c r="AC36" s="43"/>
      <c r="AD36" s="43"/>
      <c r="AE36" s="43"/>
      <c r="AF36" s="99" t="s">
        <v>74</v>
      </c>
      <c r="AG36" s="98" t="b">
        <f t="shared" si="1"/>
        <v>1</v>
      </c>
      <c r="AH36" s="1312" t="b">
        <v>0</v>
      </c>
    </row>
    <row r="37" spans="1:34" ht="15.95" customHeight="1" x14ac:dyDescent="0.2">
      <c r="A37" s="2018" t="s">
        <v>1460</v>
      </c>
      <c r="B37" s="2064" t="s">
        <v>1264</v>
      </c>
      <c r="C37" s="2065" t="s">
        <v>1264</v>
      </c>
      <c r="D37" s="2065">
        <v>2</v>
      </c>
      <c r="E37" s="2065" t="s">
        <v>1264</v>
      </c>
      <c r="F37" s="2065" t="s">
        <v>1264</v>
      </c>
      <c r="G37" s="2065" t="s">
        <v>1264</v>
      </c>
      <c r="H37" s="2065"/>
      <c r="I37" s="2065"/>
      <c r="J37" s="2065"/>
      <c r="K37" s="2065"/>
      <c r="L37" s="2065"/>
      <c r="M37" s="2065"/>
      <c r="N37" s="2065"/>
      <c r="O37" s="2066"/>
      <c r="P37" s="821">
        <f t="shared" si="0"/>
        <v>2</v>
      </c>
      <c r="R37" s="43"/>
      <c r="S37" s="43"/>
      <c r="T37" s="43"/>
      <c r="U37" s="43"/>
      <c r="V37" s="43"/>
      <c r="W37" s="43"/>
      <c r="X37" s="43"/>
      <c r="Y37" s="43"/>
      <c r="Z37" s="43"/>
      <c r="AA37" s="43"/>
      <c r="AB37" s="43"/>
      <c r="AC37" s="43"/>
      <c r="AD37" s="43"/>
      <c r="AE37" s="43"/>
      <c r="AF37" s="99" t="s">
        <v>74</v>
      </c>
      <c r="AG37" s="98" t="b">
        <f t="shared" si="1"/>
        <v>1</v>
      </c>
      <c r="AH37" s="1312" t="b">
        <v>0</v>
      </c>
    </row>
    <row r="38" spans="1:34" ht="15.95" customHeight="1" x14ac:dyDescent="0.2">
      <c r="A38" s="2018" t="s">
        <v>1461</v>
      </c>
      <c r="B38" s="2064" t="s">
        <v>1264</v>
      </c>
      <c r="C38" s="2065" t="s">
        <v>1264</v>
      </c>
      <c r="D38" s="2065">
        <v>1</v>
      </c>
      <c r="E38" s="2065" t="s">
        <v>1264</v>
      </c>
      <c r="F38" s="2065" t="s">
        <v>1264</v>
      </c>
      <c r="G38" s="2065" t="s">
        <v>1264</v>
      </c>
      <c r="H38" s="2065"/>
      <c r="I38" s="2065"/>
      <c r="J38" s="2065"/>
      <c r="K38" s="2065"/>
      <c r="L38" s="2065"/>
      <c r="M38" s="2065"/>
      <c r="N38" s="2065"/>
      <c r="O38" s="2066"/>
      <c r="P38" s="821">
        <f t="shared" si="0"/>
        <v>1</v>
      </c>
      <c r="R38" s="43"/>
      <c r="S38" s="43"/>
      <c r="T38" s="43"/>
      <c r="U38" s="43"/>
      <c r="V38" s="43"/>
      <c r="W38" s="43"/>
      <c r="X38" s="43"/>
      <c r="Y38" s="43"/>
      <c r="Z38" s="43"/>
      <c r="AA38" s="43"/>
      <c r="AB38" s="43"/>
      <c r="AC38" s="43"/>
      <c r="AD38" s="43"/>
      <c r="AE38" s="43"/>
      <c r="AF38" s="99" t="s">
        <v>74</v>
      </c>
      <c r="AG38" s="98" t="b">
        <f t="shared" si="1"/>
        <v>1</v>
      </c>
      <c r="AH38" s="1312" t="b">
        <v>0</v>
      </c>
    </row>
    <row r="39" spans="1:34" ht="15.95" customHeight="1" x14ac:dyDescent="0.2">
      <c r="A39" s="2018" t="s">
        <v>1462</v>
      </c>
      <c r="B39" s="2064" t="s">
        <v>1264</v>
      </c>
      <c r="C39" s="2065" t="s">
        <v>1264</v>
      </c>
      <c r="D39" s="2065">
        <v>4</v>
      </c>
      <c r="E39" s="2065">
        <v>1</v>
      </c>
      <c r="F39" s="2065" t="s">
        <v>1264</v>
      </c>
      <c r="G39" s="2065" t="s">
        <v>1264</v>
      </c>
      <c r="H39" s="2065"/>
      <c r="I39" s="2065"/>
      <c r="J39" s="2065"/>
      <c r="K39" s="2065"/>
      <c r="L39" s="2065"/>
      <c r="M39" s="2065"/>
      <c r="N39" s="2065"/>
      <c r="O39" s="2066"/>
      <c r="P39" s="821">
        <f t="shared" si="0"/>
        <v>5</v>
      </c>
      <c r="R39" s="43"/>
      <c r="S39" s="43"/>
      <c r="T39" s="43"/>
      <c r="U39" s="43"/>
      <c r="V39" s="43"/>
      <c r="W39" s="43"/>
      <c r="X39" s="43"/>
      <c r="Y39" s="43"/>
      <c r="Z39" s="43"/>
      <c r="AA39" s="43"/>
      <c r="AB39" s="43"/>
      <c r="AC39" s="43"/>
      <c r="AD39" s="43"/>
      <c r="AE39" s="43"/>
      <c r="AF39" s="99" t="s">
        <v>74</v>
      </c>
      <c r="AG39" s="98" t="b">
        <f t="shared" si="1"/>
        <v>1</v>
      </c>
      <c r="AH39" s="1312" t="b">
        <v>0</v>
      </c>
    </row>
    <row r="40" spans="1:34" ht="15.95" customHeight="1" x14ac:dyDescent="0.2">
      <c r="A40" s="2018" t="s">
        <v>1463</v>
      </c>
      <c r="B40" s="2064" t="s">
        <v>1264</v>
      </c>
      <c r="C40" s="2065" t="s">
        <v>1264</v>
      </c>
      <c r="D40" s="2065">
        <v>38</v>
      </c>
      <c r="E40" s="2065">
        <v>40</v>
      </c>
      <c r="F40" s="2065" t="s">
        <v>1264</v>
      </c>
      <c r="G40" s="2065" t="s">
        <v>1264</v>
      </c>
      <c r="H40" s="2065"/>
      <c r="I40" s="2065"/>
      <c r="J40" s="2065"/>
      <c r="K40" s="2065"/>
      <c r="L40" s="2065"/>
      <c r="M40" s="2065"/>
      <c r="N40" s="2065"/>
      <c r="O40" s="2066"/>
      <c r="P40" s="821">
        <f t="shared" si="0"/>
        <v>78</v>
      </c>
      <c r="R40" s="43"/>
      <c r="S40" s="43"/>
      <c r="T40" s="43"/>
      <c r="U40" s="43"/>
      <c r="V40" s="43"/>
      <c r="W40" s="43"/>
      <c r="X40" s="43"/>
      <c r="Y40" s="43"/>
      <c r="Z40" s="43"/>
      <c r="AA40" s="43"/>
      <c r="AB40" s="43"/>
      <c r="AC40" s="43"/>
      <c r="AD40" s="43"/>
      <c r="AE40" s="43"/>
      <c r="AF40" s="99" t="s">
        <v>74</v>
      </c>
      <c r="AG40" s="98" t="b">
        <f t="shared" si="1"/>
        <v>1</v>
      </c>
      <c r="AH40" s="1312" t="b">
        <v>0</v>
      </c>
    </row>
    <row r="41" spans="1:34" ht="15.95" customHeight="1" x14ac:dyDescent="0.2">
      <c r="A41" s="2018" t="s">
        <v>1464</v>
      </c>
      <c r="B41" s="2064" t="s">
        <v>1264</v>
      </c>
      <c r="C41" s="2065" t="s">
        <v>1264</v>
      </c>
      <c r="D41" s="2065">
        <v>4</v>
      </c>
      <c r="E41" s="2065">
        <v>5</v>
      </c>
      <c r="F41" s="2065" t="s">
        <v>1264</v>
      </c>
      <c r="G41" s="2065" t="s">
        <v>1264</v>
      </c>
      <c r="H41" s="2065"/>
      <c r="I41" s="2065"/>
      <c r="J41" s="2065"/>
      <c r="K41" s="2065"/>
      <c r="L41" s="2065"/>
      <c r="M41" s="2065"/>
      <c r="N41" s="2065"/>
      <c r="O41" s="2066"/>
      <c r="P41" s="821">
        <f t="shared" si="0"/>
        <v>9</v>
      </c>
      <c r="R41" s="43"/>
      <c r="S41" s="43"/>
      <c r="T41" s="43"/>
      <c r="U41" s="43"/>
      <c r="V41" s="43"/>
      <c r="W41" s="43"/>
      <c r="X41" s="43"/>
      <c r="Y41" s="43"/>
      <c r="Z41" s="43"/>
      <c r="AA41" s="43"/>
      <c r="AB41" s="43"/>
      <c r="AC41" s="43"/>
      <c r="AD41" s="43"/>
      <c r="AE41" s="43"/>
      <c r="AF41" s="99" t="s">
        <v>74</v>
      </c>
      <c r="AG41" s="98" t="b">
        <f t="shared" si="1"/>
        <v>1</v>
      </c>
      <c r="AH41" s="1312" t="b">
        <v>0</v>
      </c>
    </row>
    <row r="42" spans="1:34" ht="15.95" customHeight="1" x14ac:dyDescent="0.2">
      <c r="A42" s="2018" t="s">
        <v>1465</v>
      </c>
      <c r="B42" s="2064" t="s">
        <v>1264</v>
      </c>
      <c r="C42" s="2065" t="s">
        <v>1264</v>
      </c>
      <c r="D42" s="2065">
        <v>4</v>
      </c>
      <c r="E42" s="2065">
        <v>6</v>
      </c>
      <c r="F42" s="2065" t="s">
        <v>1264</v>
      </c>
      <c r="G42" s="2065" t="s">
        <v>1264</v>
      </c>
      <c r="H42" s="2065"/>
      <c r="I42" s="2065"/>
      <c r="J42" s="2065"/>
      <c r="K42" s="2065"/>
      <c r="L42" s="2065"/>
      <c r="M42" s="2065"/>
      <c r="N42" s="2065"/>
      <c r="O42" s="2066"/>
      <c r="P42" s="821">
        <f t="shared" si="0"/>
        <v>10</v>
      </c>
      <c r="R42" s="43"/>
      <c r="S42" s="43"/>
      <c r="T42" s="43"/>
      <c r="U42" s="43"/>
      <c r="V42" s="43"/>
      <c r="W42" s="43"/>
      <c r="X42" s="43"/>
      <c r="Y42" s="43"/>
      <c r="Z42" s="43"/>
      <c r="AA42" s="43"/>
      <c r="AB42" s="43"/>
      <c r="AC42" s="43"/>
      <c r="AD42" s="43"/>
      <c r="AE42" s="43"/>
      <c r="AF42" s="99" t="s">
        <v>74</v>
      </c>
      <c r="AG42" s="98" t="b">
        <f t="shared" si="1"/>
        <v>1</v>
      </c>
      <c r="AH42" s="1312" t="b">
        <v>0</v>
      </c>
    </row>
    <row r="43" spans="1:34" ht="15.95" customHeight="1" x14ac:dyDescent="0.2">
      <c r="A43" s="2018" t="s">
        <v>1466</v>
      </c>
      <c r="B43" s="2064" t="s">
        <v>1264</v>
      </c>
      <c r="C43" s="2065" t="s">
        <v>1264</v>
      </c>
      <c r="D43" s="2065">
        <v>2</v>
      </c>
      <c r="E43" s="2065">
        <v>1</v>
      </c>
      <c r="F43" s="2065" t="s">
        <v>1264</v>
      </c>
      <c r="G43" s="2065" t="s">
        <v>1264</v>
      </c>
      <c r="H43" s="2065"/>
      <c r="I43" s="2065"/>
      <c r="J43" s="2065"/>
      <c r="K43" s="2065"/>
      <c r="L43" s="2065"/>
      <c r="M43" s="2065"/>
      <c r="N43" s="2065"/>
      <c r="O43" s="2066"/>
      <c r="P43" s="821">
        <f t="shared" si="0"/>
        <v>3</v>
      </c>
      <c r="R43" s="43"/>
      <c r="S43" s="43"/>
      <c r="T43" s="43"/>
      <c r="U43" s="43"/>
      <c r="V43" s="43"/>
      <c r="W43" s="43"/>
      <c r="X43" s="43"/>
      <c r="Y43" s="43"/>
      <c r="Z43" s="43"/>
      <c r="AA43" s="43"/>
      <c r="AB43" s="43"/>
      <c r="AC43" s="43"/>
      <c r="AD43" s="43"/>
      <c r="AE43" s="43"/>
      <c r="AF43" s="99" t="s">
        <v>74</v>
      </c>
      <c r="AG43" s="98" t="b">
        <f t="shared" si="1"/>
        <v>1</v>
      </c>
      <c r="AH43" s="1312" t="b">
        <v>0</v>
      </c>
    </row>
    <row r="44" spans="1:34" ht="15.95" customHeight="1" x14ac:dyDescent="0.2">
      <c r="A44" s="2018" t="s">
        <v>1467</v>
      </c>
      <c r="B44" s="2064" t="s">
        <v>1264</v>
      </c>
      <c r="C44" s="2065" t="s">
        <v>1264</v>
      </c>
      <c r="D44" s="2065">
        <v>2</v>
      </c>
      <c r="E44" s="2065">
        <v>3</v>
      </c>
      <c r="F44" s="2065" t="s">
        <v>1264</v>
      </c>
      <c r="G44" s="2065" t="s">
        <v>1264</v>
      </c>
      <c r="H44" s="2065"/>
      <c r="I44" s="2065"/>
      <c r="J44" s="2065"/>
      <c r="K44" s="2065"/>
      <c r="L44" s="2065"/>
      <c r="M44" s="2065"/>
      <c r="N44" s="2065"/>
      <c r="O44" s="2066"/>
      <c r="P44" s="821">
        <f t="shared" si="0"/>
        <v>5</v>
      </c>
      <c r="R44" s="43"/>
      <c r="S44" s="43"/>
      <c r="T44" s="43"/>
      <c r="U44" s="43"/>
      <c r="V44" s="43"/>
      <c r="W44" s="43"/>
      <c r="X44" s="43"/>
      <c r="Y44" s="43"/>
      <c r="Z44" s="43"/>
      <c r="AA44" s="43"/>
      <c r="AB44" s="43"/>
      <c r="AC44" s="43"/>
      <c r="AD44" s="43"/>
      <c r="AE44" s="43"/>
      <c r="AF44" s="99" t="s">
        <v>74</v>
      </c>
      <c r="AG44" s="98" t="b">
        <f t="shared" si="1"/>
        <v>1</v>
      </c>
      <c r="AH44" s="1312" t="b">
        <v>0</v>
      </c>
    </row>
    <row r="45" spans="1:34" ht="15.95" customHeight="1" x14ac:dyDescent="0.2">
      <c r="A45" s="2018" t="s">
        <v>1468</v>
      </c>
      <c r="B45" s="2064" t="s">
        <v>1264</v>
      </c>
      <c r="C45" s="2065" t="s">
        <v>1264</v>
      </c>
      <c r="D45" s="2065">
        <v>84</v>
      </c>
      <c r="E45" s="2065">
        <v>69</v>
      </c>
      <c r="F45" s="2065" t="s">
        <v>1264</v>
      </c>
      <c r="G45" s="2065" t="s">
        <v>1264</v>
      </c>
      <c r="H45" s="2065"/>
      <c r="I45" s="2065"/>
      <c r="J45" s="2065"/>
      <c r="K45" s="2065"/>
      <c r="L45" s="2065"/>
      <c r="M45" s="2065"/>
      <c r="N45" s="2065"/>
      <c r="O45" s="2066"/>
      <c r="P45" s="821">
        <f t="shared" si="0"/>
        <v>153</v>
      </c>
      <c r="R45" s="43"/>
      <c r="S45" s="43"/>
      <c r="T45" s="43"/>
      <c r="U45" s="43"/>
      <c r="V45" s="43"/>
      <c r="W45" s="43"/>
      <c r="X45" s="43"/>
      <c r="Y45" s="43"/>
      <c r="Z45" s="43"/>
      <c r="AA45" s="43"/>
      <c r="AB45" s="43"/>
      <c r="AC45" s="43"/>
      <c r="AD45" s="43"/>
      <c r="AE45" s="43"/>
      <c r="AF45" s="99" t="s">
        <v>74</v>
      </c>
      <c r="AG45" s="98" t="b">
        <f t="shared" si="1"/>
        <v>1</v>
      </c>
      <c r="AH45" s="1312" t="b">
        <v>0</v>
      </c>
    </row>
    <row r="46" spans="1:34" ht="15.95" customHeight="1" x14ac:dyDescent="0.2">
      <c r="A46" s="2018" t="s">
        <v>1469</v>
      </c>
      <c r="B46" s="2064" t="s">
        <v>1264</v>
      </c>
      <c r="C46" s="2065" t="s">
        <v>1264</v>
      </c>
      <c r="D46" s="2065">
        <v>12</v>
      </c>
      <c r="E46" s="2065">
        <v>10</v>
      </c>
      <c r="F46" s="2065" t="s">
        <v>1264</v>
      </c>
      <c r="G46" s="2065" t="s">
        <v>1264</v>
      </c>
      <c r="H46" s="2065"/>
      <c r="I46" s="2065"/>
      <c r="J46" s="2065"/>
      <c r="K46" s="2065"/>
      <c r="L46" s="2065"/>
      <c r="M46" s="2065"/>
      <c r="N46" s="2065"/>
      <c r="O46" s="2066"/>
      <c r="P46" s="821">
        <f t="shared" si="0"/>
        <v>22</v>
      </c>
      <c r="R46" s="43"/>
      <c r="S46" s="43"/>
      <c r="T46" s="43"/>
      <c r="U46" s="43"/>
      <c r="V46" s="43"/>
      <c r="W46" s="43"/>
      <c r="X46" s="43"/>
      <c r="Y46" s="43"/>
      <c r="Z46" s="43"/>
      <c r="AA46" s="43"/>
      <c r="AB46" s="43"/>
      <c r="AC46" s="43"/>
      <c r="AD46" s="43"/>
      <c r="AE46" s="43"/>
      <c r="AF46" s="99" t="s">
        <v>74</v>
      </c>
      <c r="AG46" s="98" t="b">
        <f t="shared" si="1"/>
        <v>1</v>
      </c>
      <c r="AH46" s="1312" t="b">
        <v>0</v>
      </c>
    </row>
    <row r="47" spans="1:34" ht="15.95" customHeight="1" x14ac:dyDescent="0.2">
      <c r="A47" s="2018" t="s">
        <v>1470</v>
      </c>
      <c r="B47" s="2064" t="s">
        <v>1264</v>
      </c>
      <c r="C47" s="2065" t="s">
        <v>1264</v>
      </c>
      <c r="D47" s="2065">
        <v>2</v>
      </c>
      <c r="E47" s="2065" t="s">
        <v>1264</v>
      </c>
      <c r="F47" s="2065" t="s">
        <v>1264</v>
      </c>
      <c r="G47" s="2065" t="s">
        <v>1264</v>
      </c>
      <c r="H47" s="2065"/>
      <c r="I47" s="2065"/>
      <c r="J47" s="2065"/>
      <c r="K47" s="2065"/>
      <c r="L47" s="2065"/>
      <c r="M47" s="2065"/>
      <c r="N47" s="2065"/>
      <c r="O47" s="2066"/>
      <c r="P47" s="821">
        <f t="shared" si="0"/>
        <v>2</v>
      </c>
      <c r="R47" s="43"/>
      <c r="S47" s="43"/>
      <c r="T47" s="43"/>
      <c r="U47" s="43"/>
      <c r="V47" s="43"/>
      <c r="W47" s="43"/>
      <c r="X47" s="43"/>
      <c r="Y47" s="43"/>
      <c r="Z47" s="43"/>
      <c r="AA47" s="43"/>
      <c r="AB47" s="43"/>
      <c r="AC47" s="43"/>
      <c r="AD47" s="43"/>
      <c r="AE47" s="43"/>
      <c r="AF47" s="99" t="s">
        <v>74</v>
      </c>
      <c r="AG47" s="98" t="b">
        <f t="shared" si="1"/>
        <v>1</v>
      </c>
      <c r="AH47" s="1312" t="b">
        <v>0</v>
      </c>
    </row>
    <row r="48" spans="1:34" ht="15.95" customHeight="1" x14ac:dyDescent="0.2">
      <c r="A48" s="2018" t="s">
        <v>1471</v>
      </c>
      <c r="B48" s="2064" t="s">
        <v>1264</v>
      </c>
      <c r="C48" s="2065" t="s">
        <v>1264</v>
      </c>
      <c r="D48" s="2065">
        <v>8</v>
      </c>
      <c r="E48" s="2065">
        <v>2</v>
      </c>
      <c r="F48" s="2065" t="s">
        <v>1264</v>
      </c>
      <c r="G48" s="2065" t="s">
        <v>1264</v>
      </c>
      <c r="H48" s="2065"/>
      <c r="I48" s="2065"/>
      <c r="J48" s="2065"/>
      <c r="K48" s="2065"/>
      <c r="L48" s="2065"/>
      <c r="M48" s="2065"/>
      <c r="N48" s="2065"/>
      <c r="O48" s="2066"/>
      <c r="P48" s="821">
        <f t="shared" si="0"/>
        <v>10</v>
      </c>
      <c r="R48" s="43"/>
      <c r="S48" s="43"/>
      <c r="T48" s="43"/>
      <c r="U48" s="43"/>
      <c r="V48" s="43"/>
      <c r="W48" s="43"/>
      <c r="X48" s="43"/>
      <c r="Y48" s="43"/>
      <c r="Z48" s="43"/>
      <c r="AA48" s="43"/>
      <c r="AB48" s="43"/>
      <c r="AC48" s="43"/>
      <c r="AD48" s="43"/>
      <c r="AE48" s="43"/>
      <c r="AF48" s="99" t="s">
        <v>74</v>
      </c>
      <c r="AG48" s="98" t="b">
        <f t="shared" si="1"/>
        <v>1</v>
      </c>
      <c r="AH48" s="1312" t="b">
        <v>0</v>
      </c>
    </row>
    <row r="49" spans="1:34" ht="15.95" customHeight="1" x14ac:dyDescent="0.2">
      <c r="A49" s="2019" t="s">
        <v>1472</v>
      </c>
      <c r="B49" s="2067" t="s">
        <v>1264</v>
      </c>
      <c r="C49" s="2068" t="s">
        <v>1264</v>
      </c>
      <c r="D49" s="2068">
        <v>8</v>
      </c>
      <c r="E49" s="2068">
        <v>8</v>
      </c>
      <c r="F49" s="2068" t="s">
        <v>1264</v>
      </c>
      <c r="G49" s="2068" t="s">
        <v>1264</v>
      </c>
      <c r="H49" s="2068"/>
      <c r="I49" s="2068"/>
      <c r="J49" s="2068"/>
      <c r="K49" s="2068"/>
      <c r="L49" s="2068"/>
      <c r="M49" s="2068"/>
      <c r="N49" s="2068"/>
      <c r="O49" s="2069"/>
      <c r="P49" s="821">
        <f t="shared" si="0"/>
        <v>16</v>
      </c>
      <c r="R49" s="43"/>
      <c r="S49" s="43"/>
      <c r="T49" s="43"/>
      <c r="U49" s="43"/>
      <c r="V49" s="43"/>
      <c r="W49" s="43"/>
      <c r="X49" s="43"/>
      <c r="Y49" s="43"/>
      <c r="Z49" s="43"/>
      <c r="AA49" s="43"/>
      <c r="AB49" s="43"/>
      <c r="AC49" s="43"/>
      <c r="AD49" s="43"/>
      <c r="AE49" s="43"/>
      <c r="AF49" s="99" t="s">
        <v>74</v>
      </c>
      <c r="AG49" s="98" t="b">
        <f t="shared" si="1"/>
        <v>1</v>
      </c>
      <c r="AH49" s="1312" t="b">
        <v>0</v>
      </c>
    </row>
    <row r="50" spans="1:34" ht="15" customHeight="1" x14ac:dyDescent="0.2">
      <c r="A50" s="817" t="s">
        <v>91</v>
      </c>
      <c r="B50" s="818">
        <f t="shared" ref="B50:O50" si="2">IF(ISBLANK(B13),"",SUM(B14:B49))</f>
        <v>0</v>
      </c>
      <c r="C50" s="818">
        <f t="shared" si="2"/>
        <v>0</v>
      </c>
      <c r="D50" s="818">
        <f t="shared" si="2"/>
        <v>226</v>
      </c>
      <c r="E50" s="818">
        <f t="shared" si="2"/>
        <v>175</v>
      </c>
      <c r="F50" s="818">
        <f t="shared" si="2"/>
        <v>0</v>
      </c>
      <c r="G50" s="818">
        <f t="shared" si="2"/>
        <v>0</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2016</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7LEStlD9234xI7hqVFVEpJnC0t7wXok4REJFSZSiLUeNbqYAveXyITpd7rWkOwjNmv/1cakP2CmsT632gBugjQ==" saltValue="awGkW6Bu5M4m/D4aj5XoB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401" priority="2">
      <formula>OR(A14="Girder",A14="Girders",A14="Joist",A14="Joists",A14="Bridging")</formula>
    </cfRule>
    <cfRule type="expression" dxfId="1400" priority="3">
      <formula>AND(P14&gt;0,ISBLANK(AF14),OR($R$1="",$R$1="M"))</formula>
    </cfRule>
    <cfRule type="expression" dxfId="1399" priority="9">
      <formula>$AH14</formula>
    </cfRule>
  </conditionalFormatting>
  <conditionalFormatting sqref="H2:J4">
    <cfRule type="cellIs" dxfId="1398" priority="7" stopIfTrue="1" operator="equal">
      <formula>""</formula>
    </cfRule>
  </conditionalFormatting>
  <conditionalFormatting sqref="B14:O49">
    <cfRule type="expression" dxfId="1397" priority="4">
      <formula>IF($R$1="M",AND(B14&gt;R14,R14&gt;0),B14&lt;R14)</formula>
    </cfRule>
    <cfRule type="expression" dxfId="1396" priority="5">
      <formula>OR(AND($R$1="M",B14=R14),B14="-")</formula>
    </cfRule>
    <cfRule type="expression" dxfId="1395" priority="6">
      <formula>IF(NOT(ISBLANK($R$1)),IF($R$1="M",IF(ISTEXT(B14),0,B14)&lt;R14,IF(ISTEXT(B14),0,B14)&gt;R14))</formula>
    </cfRule>
    <cfRule type="expression" dxfId="1394" priority="8">
      <formula>OR($AH14,B$63)</formula>
    </cfRule>
  </conditionalFormatting>
  <conditionalFormatting sqref="B13:O13">
    <cfRule type="expression" dxfId="1393" priority="1">
      <formula>AND(NOT(ISBLANK(B$13)),ISERROR(MATCH(B$13,$AK:$AK,0)))</formula>
    </cfRule>
    <cfRule type="expression" dxfId="139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31"/>
  </sheetPr>
  <dimension ref="A1:AL65"/>
  <sheetViews>
    <sheetView showGridLines="0" topLeftCell="A19"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19 of 42</v>
      </c>
      <c r="M7" s="822"/>
      <c r="N7" s="473"/>
      <c r="O7" s="473"/>
      <c r="P7" s="566"/>
      <c r="R7" s="1393">
        <v>19</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1473</v>
      </c>
      <c r="B15" s="2064" t="s">
        <v>1264</v>
      </c>
      <c r="C15" s="2065" t="s">
        <v>1264</v>
      </c>
      <c r="D15" s="2065">
        <v>2</v>
      </c>
      <c r="E15" s="2065">
        <v>2</v>
      </c>
      <c r="F15" s="2065" t="s">
        <v>1264</v>
      </c>
      <c r="G15" s="2065" t="s">
        <v>1264</v>
      </c>
      <c r="H15" s="2065"/>
      <c r="I15" s="2065"/>
      <c r="J15" s="2065"/>
      <c r="K15" s="2065"/>
      <c r="L15" s="2065"/>
      <c r="M15" s="2065"/>
      <c r="N15" s="2065"/>
      <c r="O15" s="2066"/>
      <c r="P15" s="821">
        <f t="shared" si="0"/>
        <v>4</v>
      </c>
      <c r="R15" s="43"/>
      <c r="S15" s="43"/>
      <c r="T15" s="43"/>
      <c r="U15" s="43"/>
      <c r="V15" s="43"/>
      <c r="W15" s="43"/>
      <c r="X15" s="43"/>
      <c r="Y15" s="43"/>
      <c r="Z15" s="43"/>
      <c r="AA15" s="43"/>
      <c r="AB15" s="43"/>
      <c r="AC15" s="43"/>
      <c r="AD15" s="43"/>
      <c r="AE15" s="43"/>
      <c r="AF15" s="99" t="s">
        <v>74</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1474</v>
      </c>
      <c r="B16" s="2064" t="s">
        <v>1264</v>
      </c>
      <c r="C16" s="2065" t="s">
        <v>1264</v>
      </c>
      <c r="D16" s="2065">
        <v>4</v>
      </c>
      <c r="E16" s="2065">
        <v>4</v>
      </c>
      <c r="F16" s="2065" t="s">
        <v>1264</v>
      </c>
      <c r="G16" s="2065" t="s">
        <v>1264</v>
      </c>
      <c r="H16" s="2065"/>
      <c r="I16" s="2065"/>
      <c r="J16" s="2065"/>
      <c r="K16" s="2065"/>
      <c r="L16" s="2065"/>
      <c r="M16" s="2065"/>
      <c r="N16" s="2065"/>
      <c r="O16" s="2066"/>
      <c r="P16" s="821">
        <f t="shared" si="0"/>
        <v>8</v>
      </c>
      <c r="R16" s="43"/>
      <c r="S16" s="43"/>
      <c r="T16" s="43"/>
      <c r="U16" s="43"/>
      <c r="V16" s="43"/>
      <c r="W16" s="43"/>
      <c r="X16" s="43"/>
      <c r="Y16" s="43"/>
      <c r="Z16" s="43"/>
      <c r="AA16" s="43"/>
      <c r="AB16" s="43"/>
      <c r="AC16" s="43"/>
      <c r="AD16" s="43"/>
      <c r="AE16" s="43"/>
      <c r="AF16" s="99" t="s">
        <v>74</v>
      </c>
      <c r="AG16" s="98" t="b">
        <f t="shared" si="1"/>
        <v>1</v>
      </c>
      <c r="AH16" s="1312" t="b">
        <v>0</v>
      </c>
    </row>
    <row r="17" spans="1:34" ht="15.95" customHeight="1" x14ac:dyDescent="0.2">
      <c r="A17" s="2018" t="s">
        <v>1475</v>
      </c>
      <c r="B17" s="2064" t="s">
        <v>1264</v>
      </c>
      <c r="C17" s="2065" t="s">
        <v>1264</v>
      </c>
      <c r="D17" s="2065">
        <v>4</v>
      </c>
      <c r="E17" s="2065">
        <v>2</v>
      </c>
      <c r="F17" s="2065" t="s">
        <v>1264</v>
      </c>
      <c r="G17" s="2065" t="s">
        <v>1264</v>
      </c>
      <c r="H17" s="2065"/>
      <c r="I17" s="2065"/>
      <c r="J17" s="2065"/>
      <c r="K17" s="2065"/>
      <c r="L17" s="2065"/>
      <c r="M17" s="2065"/>
      <c r="N17" s="2065"/>
      <c r="O17" s="2066"/>
      <c r="P17" s="821">
        <f t="shared" si="0"/>
        <v>6</v>
      </c>
      <c r="R17" s="43"/>
      <c r="S17" s="43"/>
      <c r="T17" s="43"/>
      <c r="U17" s="43"/>
      <c r="V17" s="43"/>
      <c r="W17" s="43"/>
      <c r="X17" s="43"/>
      <c r="Y17" s="43"/>
      <c r="Z17" s="43"/>
      <c r="AA17" s="43"/>
      <c r="AB17" s="43"/>
      <c r="AC17" s="43"/>
      <c r="AD17" s="43"/>
      <c r="AE17" s="43"/>
      <c r="AF17" s="99" t="s">
        <v>74</v>
      </c>
      <c r="AG17" s="98" t="b">
        <f t="shared" si="1"/>
        <v>1</v>
      </c>
      <c r="AH17" s="1312" t="b">
        <v>0</v>
      </c>
    </row>
    <row r="18" spans="1:34" ht="15.95" customHeight="1" x14ac:dyDescent="0.2">
      <c r="A18" s="2018" t="s">
        <v>1476</v>
      </c>
      <c r="B18" s="2064" t="s">
        <v>1264</v>
      </c>
      <c r="C18" s="2065" t="s">
        <v>1264</v>
      </c>
      <c r="D18" s="2065">
        <v>4</v>
      </c>
      <c r="E18" s="2065">
        <v>6</v>
      </c>
      <c r="F18" s="2065" t="s">
        <v>1264</v>
      </c>
      <c r="G18" s="2065" t="s">
        <v>1264</v>
      </c>
      <c r="H18" s="2065"/>
      <c r="I18" s="2065"/>
      <c r="J18" s="2065"/>
      <c r="K18" s="2065"/>
      <c r="L18" s="2065"/>
      <c r="M18" s="2065"/>
      <c r="N18" s="2065"/>
      <c r="O18" s="2066"/>
      <c r="P18" s="821">
        <f t="shared" si="0"/>
        <v>10</v>
      </c>
      <c r="R18" s="43"/>
      <c r="S18" s="43"/>
      <c r="T18" s="43"/>
      <c r="U18" s="43"/>
      <c r="V18" s="43"/>
      <c r="W18" s="43"/>
      <c r="X18" s="43"/>
      <c r="Y18" s="43"/>
      <c r="Z18" s="43"/>
      <c r="AA18" s="43"/>
      <c r="AB18" s="43"/>
      <c r="AC18" s="43"/>
      <c r="AD18" s="43"/>
      <c r="AE18" s="43"/>
      <c r="AF18" s="99" t="s">
        <v>74</v>
      </c>
      <c r="AG18" s="98" t="b">
        <f t="shared" si="1"/>
        <v>1</v>
      </c>
      <c r="AH18" s="1312" t="b">
        <v>0</v>
      </c>
    </row>
    <row r="19" spans="1:34" ht="15.95" customHeight="1" x14ac:dyDescent="0.2">
      <c r="A19" s="2018" t="s">
        <v>1477</v>
      </c>
      <c r="B19" s="2064" t="s">
        <v>1264</v>
      </c>
      <c r="C19" s="2065" t="s">
        <v>1264</v>
      </c>
      <c r="D19" s="2065">
        <v>2</v>
      </c>
      <c r="E19" s="2065" t="s">
        <v>1264</v>
      </c>
      <c r="F19" s="2065" t="s">
        <v>1264</v>
      </c>
      <c r="G19" s="2065" t="s">
        <v>1264</v>
      </c>
      <c r="H19" s="2065"/>
      <c r="I19" s="2065"/>
      <c r="J19" s="2065"/>
      <c r="K19" s="2065"/>
      <c r="L19" s="2065"/>
      <c r="M19" s="2065"/>
      <c r="N19" s="2065"/>
      <c r="O19" s="2066"/>
      <c r="P19" s="821">
        <f t="shared" si="0"/>
        <v>2</v>
      </c>
      <c r="R19" s="43"/>
      <c r="S19" s="43"/>
      <c r="T19" s="43"/>
      <c r="U19" s="43"/>
      <c r="V19" s="43"/>
      <c r="W19" s="43"/>
      <c r="X19" s="43"/>
      <c r="Y19" s="43"/>
      <c r="Z19" s="43"/>
      <c r="AA19" s="43"/>
      <c r="AB19" s="43"/>
      <c r="AC19" s="43"/>
      <c r="AD19" s="43"/>
      <c r="AE19" s="43"/>
      <c r="AF19" s="99" t="s">
        <v>74</v>
      </c>
      <c r="AG19" s="98" t="b">
        <f t="shared" si="1"/>
        <v>1</v>
      </c>
      <c r="AH19" s="1312" t="b">
        <v>0</v>
      </c>
    </row>
    <row r="20" spans="1:34" ht="15.95" customHeight="1" x14ac:dyDescent="0.2">
      <c r="A20" s="2018" t="s">
        <v>1478</v>
      </c>
      <c r="B20" s="2064" t="s">
        <v>1264</v>
      </c>
      <c r="C20" s="2065" t="s">
        <v>1264</v>
      </c>
      <c r="D20" s="2065">
        <v>1</v>
      </c>
      <c r="E20" s="2065" t="s">
        <v>1264</v>
      </c>
      <c r="F20" s="2065" t="s">
        <v>1264</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74</v>
      </c>
      <c r="AG20" s="98" t="b">
        <f t="shared" si="1"/>
        <v>1</v>
      </c>
      <c r="AH20" s="1312" t="b">
        <v>0</v>
      </c>
    </row>
    <row r="21" spans="1:34" ht="15.95" customHeight="1" x14ac:dyDescent="0.2">
      <c r="A21" s="2018" t="s">
        <v>1479</v>
      </c>
      <c r="B21" s="2064" t="s">
        <v>1264</v>
      </c>
      <c r="C21" s="2065" t="s">
        <v>1264</v>
      </c>
      <c r="D21" s="2065">
        <v>5</v>
      </c>
      <c r="E21" s="2065">
        <v>6</v>
      </c>
      <c r="F21" s="2065" t="s">
        <v>1264</v>
      </c>
      <c r="G21" s="2065" t="s">
        <v>1264</v>
      </c>
      <c r="H21" s="2065"/>
      <c r="I21" s="2065"/>
      <c r="J21" s="2065"/>
      <c r="K21" s="2065"/>
      <c r="L21" s="2065"/>
      <c r="M21" s="2065"/>
      <c r="N21" s="2065"/>
      <c r="O21" s="2066"/>
      <c r="P21" s="821">
        <f t="shared" si="0"/>
        <v>11</v>
      </c>
      <c r="R21" s="43"/>
      <c r="S21" s="43"/>
      <c r="T21" s="43"/>
      <c r="U21" s="43"/>
      <c r="V21" s="43"/>
      <c r="W21" s="43"/>
      <c r="X21" s="43"/>
      <c r="Y21" s="43"/>
      <c r="Z21" s="43"/>
      <c r="AA21" s="43"/>
      <c r="AB21" s="43"/>
      <c r="AC21" s="43"/>
      <c r="AD21" s="43"/>
      <c r="AE21" s="43"/>
      <c r="AF21" s="99" t="s">
        <v>74</v>
      </c>
      <c r="AG21" s="98" t="b">
        <f t="shared" si="1"/>
        <v>1</v>
      </c>
      <c r="AH21" s="1312" t="b">
        <v>0</v>
      </c>
    </row>
    <row r="22" spans="1:34" ht="15.95" customHeight="1" x14ac:dyDescent="0.2">
      <c r="A22" s="2018" t="s">
        <v>1480</v>
      </c>
      <c r="B22" s="2064" t="s">
        <v>1264</v>
      </c>
      <c r="C22" s="2065" t="s">
        <v>1264</v>
      </c>
      <c r="D22" s="2065">
        <v>40</v>
      </c>
      <c r="E22" s="2065">
        <v>31</v>
      </c>
      <c r="F22" s="2065" t="s">
        <v>1264</v>
      </c>
      <c r="G22" s="2065" t="s">
        <v>1264</v>
      </c>
      <c r="H22" s="2065"/>
      <c r="I22" s="2065"/>
      <c r="J22" s="2065"/>
      <c r="K22" s="2065"/>
      <c r="L22" s="2065"/>
      <c r="M22" s="2065"/>
      <c r="N22" s="2065"/>
      <c r="O22" s="2066"/>
      <c r="P22" s="821">
        <f t="shared" si="0"/>
        <v>71</v>
      </c>
      <c r="R22" s="43"/>
      <c r="S22" s="43"/>
      <c r="T22" s="43"/>
      <c r="U22" s="43"/>
      <c r="V22" s="43"/>
      <c r="W22" s="43"/>
      <c r="X22" s="43"/>
      <c r="Y22" s="43"/>
      <c r="Z22" s="43"/>
      <c r="AA22" s="43"/>
      <c r="AB22" s="43"/>
      <c r="AC22" s="43"/>
      <c r="AD22" s="43"/>
      <c r="AE22" s="43"/>
      <c r="AF22" s="99" t="s">
        <v>74</v>
      </c>
      <c r="AG22" s="98" t="b">
        <f t="shared" si="1"/>
        <v>1</v>
      </c>
      <c r="AH22" s="1312" t="b">
        <v>0</v>
      </c>
    </row>
    <row r="23" spans="1:34" ht="15.95" customHeight="1" x14ac:dyDescent="0.2">
      <c r="A23" s="2018" t="s">
        <v>1481</v>
      </c>
      <c r="B23" s="2064" t="s">
        <v>1264</v>
      </c>
      <c r="C23" s="2065" t="s">
        <v>1264</v>
      </c>
      <c r="D23" s="2065">
        <v>1</v>
      </c>
      <c r="E23" s="2065" t="s">
        <v>1264</v>
      </c>
      <c r="F23" s="2065" t="s">
        <v>1264</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74</v>
      </c>
      <c r="AG23" s="98" t="b">
        <f t="shared" si="1"/>
        <v>1</v>
      </c>
      <c r="AH23" s="1312" t="b">
        <v>0</v>
      </c>
    </row>
    <row r="24" spans="1:34" ht="15.95" customHeight="1" x14ac:dyDescent="0.2">
      <c r="A24" s="2018" t="s">
        <v>1482</v>
      </c>
      <c r="B24" s="2064" t="s">
        <v>1264</v>
      </c>
      <c r="C24" s="2065" t="s">
        <v>1264</v>
      </c>
      <c r="D24" s="2065">
        <v>4</v>
      </c>
      <c r="E24" s="2065">
        <v>1</v>
      </c>
      <c r="F24" s="2065" t="s">
        <v>1264</v>
      </c>
      <c r="G24" s="2065" t="s">
        <v>1264</v>
      </c>
      <c r="H24" s="2065"/>
      <c r="I24" s="2065"/>
      <c r="J24" s="2065"/>
      <c r="K24" s="2065"/>
      <c r="L24" s="2065"/>
      <c r="M24" s="2065"/>
      <c r="N24" s="2065"/>
      <c r="O24" s="2066"/>
      <c r="P24" s="821">
        <f t="shared" si="0"/>
        <v>5</v>
      </c>
      <c r="R24" s="43"/>
      <c r="S24" s="43"/>
      <c r="T24" s="43"/>
      <c r="U24" s="43"/>
      <c r="V24" s="43"/>
      <c r="W24" s="43"/>
      <c r="X24" s="43"/>
      <c r="Y24" s="43"/>
      <c r="Z24" s="43"/>
      <c r="AA24" s="43"/>
      <c r="AB24" s="43"/>
      <c r="AC24" s="43"/>
      <c r="AD24" s="43"/>
      <c r="AE24" s="43"/>
      <c r="AF24" s="99" t="s">
        <v>74</v>
      </c>
      <c r="AG24" s="98" t="b">
        <f t="shared" si="1"/>
        <v>1</v>
      </c>
      <c r="AH24" s="1312" t="b">
        <v>0</v>
      </c>
    </row>
    <row r="25" spans="1:34" ht="15.95" customHeight="1" x14ac:dyDescent="0.2">
      <c r="A25" s="2018" t="s">
        <v>1483</v>
      </c>
      <c r="B25" s="2064" t="s">
        <v>1264</v>
      </c>
      <c r="C25" s="2065" t="s">
        <v>1264</v>
      </c>
      <c r="D25" s="2065">
        <v>4</v>
      </c>
      <c r="E25" s="2065">
        <v>4</v>
      </c>
      <c r="F25" s="2065" t="s">
        <v>1264</v>
      </c>
      <c r="G25" s="2065" t="s">
        <v>1264</v>
      </c>
      <c r="H25" s="2065"/>
      <c r="I25" s="2065"/>
      <c r="J25" s="2065"/>
      <c r="K25" s="2065"/>
      <c r="L25" s="2065"/>
      <c r="M25" s="2065"/>
      <c r="N25" s="2065"/>
      <c r="O25" s="2066"/>
      <c r="P25" s="821">
        <f t="shared" si="0"/>
        <v>8</v>
      </c>
      <c r="R25" s="43"/>
      <c r="S25" s="43"/>
      <c r="T25" s="43"/>
      <c r="U25" s="43"/>
      <c r="V25" s="43"/>
      <c r="W25" s="43"/>
      <c r="X25" s="43"/>
      <c r="Y25" s="43"/>
      <c r="Z25" s="43"/>
      <c r="AA25" s="43"/>
      <c r="AB25" s="43"/>
      <c r="AC25" s="43"/>
      <c r="AD25" s="43"/>
      <c r="AE25" s="43"/>
      <c r="AF25" s="99" t="s">
        <v>74</v>
      </c>
      <c r="AG25" s="98" t="b">
        <f t="shared" si="1"/>
        <v>1</v>
      </c>
      <c r="AH25" s="1312" t="b">
        <v>0</v>
      </c>
    </row>
    <row r="26" spans="1:34" ht="15.95" customHeight="1" x14ac:dyDescent="0.2">
      <c r="A26" s="2018" t="s">
        <v>1484</v>
      </c>
      <c r="B26" s="2064" t="s">
        <v>1264</v>
      </c>
      <c r="C26" s="2065" t="s">
        <v>1264</v>
      </c>
      <c r="D26" s="2065">
        <v>1</v>
      </c>
      <c r="E26" s="2065">
        <v>1</v>
      </c>
      <c r="F26" s="2065" t="s">
        <v>1264</v>
      </c>
      <c r="G26" s="2065" t="s">
        <v>1264</v>
      </c>
      <c r="H26" s="2065"/>
      <c r="I26" s="2065"/>
      <c r="J26" s="2065"/>
      <c r="K26" s="2065"/>
      <c r="L26" s="2065"/>
      <c r="M26" s="2065"/>
      <c r="N26" s="2065"/>
      <c r="O26" s="2066"/>
      <c r="P26" s="821">
        <f t="shared" si="0"/>
        <v>2</v>
      </c>
      <c r="R26" s="43"/>
      <c r="S26" s="43"/>
      <c r="T26" s="43"/>
      <c r="U26" s="43"/>
      <c r="V26" s="43"/>
      <c r="W26" s="43"/>
      <c r="X26" s="43"/>
      <c r="Y26" s="43"/>
      <c r="Z26" s="43"/>
      <c r="AA26" s="43"/>
      <c r="AB26" s="43"/>
      <c r="AC26" s="43"/>
      <c r="AD26" s="43"/>
      <c r="AE26" s="43"/>
      <c r="AF26" s="99" t="s">
        <v>74</v>
      </c>
      <c r="AG26" s="98" t="b">
        <f t="shared" si="1"/>
        <v>1</v>
      </c>
      <c r="AH26" s="1312" t="b">
        <v>0</v>
      </c>
    </row>
    <row r="27" spans="1:34" ht="15.95" customHeight="1" x14ac:dyDescent="0.2">
      <c r="A27" s="2018" t="s">
        <v>1485</v>
      </c>
      <c r="B27" s="2064" t="s">
        <v>1264</v>
      </c>
      <c r="C27" s="2065" t="s">
        <v>1264</v>
      </c>
      <c r="D27" s="2065">
        <v>2</v>
      </c>
      <c r="E27" s="2065">
        <v>2</v>
      </c>
      <c r="F27" s="2065" t="s">
        <v>1264</v>
      </c>
      <c r="G27" s="2065" t="s">
        <v>1264</v>
      </c>
      <c r="H27" s="2065"/>
      <c r="I27" s="2065"/>
      <c r="J27" s="2065"/>
      <c r="K27" s="2065"/>
      <c r="L27" s="2065"/>
      <c r="M27" s="2065"/>
      <c r="N27" s="2065"/>
      <c r="O27" s="2066"/>
      <c r="P27" s="821">
        <f t="shared" si="0"/>
        <v>4</v>
      </c>
      <c r="R27" s="43"/>
      <c r="S27" s="43"/>
      <c r="T27" s="43"/>
      <c r="U27" s="43"/>
      <c r="V27" s="43"/>
      <c r="W27" s="43"/>
      <c r="X27" s="43"/>
      <c r="Y27" s="43"/>
      <c r="Z27" s="43"/>
      <c r="AA27" s="43"/>
      <c r="AB27" s="43"/>
      <c r="AC27" s="43"/>
      <c r="AD27" s="43"/>
      <c r="AE27" s="43"/>
      <c r="AF27" s="99" t="s">
        <v>74</v>
      </c>
      <c r="AG27" s="98" t="b">
        <f t="shared" si="1"/>
        <v>1</v>
      </c>
      <c r="AH27" s="1312" t="b">
        <v>0</v>
      </c>
    </row>
    <row r="28" spans="1:34" ht="15.95" customHeight="1" x14ac:dyDescent="0.2">
      <c r="A28" s="2018" t="s">
        <v>1486</v>
      </c>
      <c r="B28" s="2064" t="s">
        <v>1264</v>
      </c>
      <c r="C28" s="2065" t="s">
        <v>1264</v>
      </c>
      <c r="D28" s="2065">
        <v>2</v>
      </c>
      <c r="E28" s="2065">
        <v>1</v>
      </c>
      <c r="F28" s="2065" t="s">
        <v>1264</v>
      </c>
      <c r="G28" s="2065" t="s">
        <v>1264</v>
      </c>
      <c r="H28" s="2065"/>
      <c r="I28" s="2065"/>
      <c r="J28" s="2065"/>
      <c r="K28" s="2065"/>
      <c r="L28" s="2065"/>
      <c r="M28" s="2065"/>
      <c r="N28" s="2065"/>
      <c r="O28" s="2066"/>
      <c r="P28" s="821">
        <f t="shared" si="0"/>
        <v>3</v>
      </c>
      <c r="R28" s="43"/>
      <c r="S28" s="43"/>
      <c r="T28" s="43"/>
      <c r="U28" s="43"/>
      <c r="V28" s="43"/>
      <c r="W28" s="43"/>
      <c r="X28" s="43"/>
      <c r="Y28" s="43"/>
      <c r="Z28" s="43"/>
      <c r="AA28" s="43"/>
      <c r="AB28" s="43"/>
      <c r="AC28" s="43"/>
      <c r="AD28" s="43"/>
      <c r="AE28" s="43"/>
      <c r="AF28" s="99" t="s">
        <v>74</v>
      </c>
      <c r="AG28" s="98" t="b">
        <f t="shared" si="1"/>
        <v>1</v>
      </c>
      <c r="AH28" s="1312" t="b">
        <v>0</v>
      </c>
    </row>
    <row r="29" spans="1:34" ht="15.95" customHeight="1" x14ac:dyDescent="0.2">
      <c r="A29" s="2018" t="s">
        <v>1487</v>
      </c>
      <c r="B29" s="2064" t="s">
        <v>1264</v>
      </c>
      <c r="C29" s="2065" t="s">
        <v>1264</v>
      </c>
      <c r="D29" s="2065">
        <v>2</v>
      </c>
      <c r="E29" s="2065">
        <v>2</v>
      </c>
      <c r="F29" s="2065" t="s">
        <v>1264</v>
      </c>
      <c r="G29" s="2065" t="s">
        <v>1264</v>
      </c>
      <c r="H29" s="2065"/>
      <c r="I29" s="2065"/>
      <c r="J29" s="2065"/>
      <c r="K29" s="2065"/>
      <c r="L29" s="2065"/>
      <c r="M29" s="2065"/>
      <c r="N29" s="2065"/>
      <c r="O29" s="2066"/>
      <c r="P29" s="821">
        <f t="shared" si="0"/>
        <v>4</v>
      </c>
      <c r="R29" s="43"/>
      <c r="S29" s="43"/>
      <c r="T29" s="43"/>
      <c r="U29" s="43"/>
      <c r="V29" s="43"/>
      <c r="W29" s="43"/>
      <c r="X29" s="43"/>
      <c r="Y29" s="43"/>
      <c r="Z29" s="43"/>
      <c r="AA29" s="43"/>
      <c r="AB29" s="43"/>
      <c r="AC29" s="43"/>
      <c r="AD29" s="43"/>
      <c r="AE29" s="43"/>
      <c r="AF29" s="99" t="s">
        <v>74</v>
      </c>
      <c r="AG29" s="98" t="b">
        <f t="shared" si="1"/>
        <v>1</v>
      </c>
      <c r="AH29" s="1312" t="b">
        <v>0</v>
      </c>
    </row>
    <row r="30" spans="1:34" ht="15.95" customHeight="1" x14ac:dyDescent="0.2">
      <c r="A30" s="2018" t="s">
        <v>1488</v>
      </c>
      <c r="B30" s="2064" t="s">
        <v>1264</v>
      </c>
      <c r="C30" s="2065" t="s">
        <v>1264</v>
      </c>
      <c r="D30" s="2065" t="s">
        <v>1264</v>
      </c>
      <c r="E30" s="2065">
        <v>1</v>
      </c>
      <c r="F30" s="2065" t="s">
        <v>1264</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75</v>
      </c>
      <c r="AG30" s="98" t="b">
        <f t="shared" si="1"/>
        <v>1</v>
      </c>
      <c r="AH30" s="1312" t="b">
        <v>0</v>
      </c>
    </row>
    <row r="31" spans="1:34" ht="15.95" customHeight="1" x14ac:dyDescent="0.2">
      <c r="A31" s="2018" t="s">
        <v>1489</v>
      </c>
      <c r="B31" s="2064" t="s">
        <v>1264</v>
      </c>
      <c r="C31" s="2065" t="s">
        <v>1264</v>
      </c>
      <c r="D31" s="2065" t="s">
        <v>1264</v>
      </c>
      <c r="E31" s="2065">
        <v>13</v>
      </c>
      <c r="F31" s="2065" t="s">
        <v>1264</v>
      </c>
      <c r="G31" s="2065" t="s">
        <v>1264</v>
      </c>
      <c r="H31" s="2065"/>
      <c r="I31" s="2065"/>
      <c r="J31" s="2065"/>
      <c r="K31" s="2065"/>
      <c r="L31" s="2065"/>
      <c r="M31" s="2065"/>
      <c r="N31" s="2065"/>
      <c r="O31" s="2066"/>
      <c r="P31" s="821">
        <f t="shared" si="0"/>
        <v>13</v>
      </c>
      <c r="R31" s="43"/>
      <c r="S31" s="43"/>
      <c r="T31" s="43"/>
      <c r="U31" s="43"/>
      <c r="V31" s="43"/>
      <c r="W31" s="43"/>
      <c r="X31" s="43"/>
      <c r="Y31" s="43"/>
      <c r="Z31" s="43"/>
      <c r="AA31" s="43"/>
      <c r="AB31" s="43"/>
      <c r="AC31" s="43"/>
      <c r="AD31" s="43"/>
      <c r="AE31" s="43"/>
      <c r="AF31" s="99" t="s">
        <v>75</v>
      </c>
      <c r="AG31" s="98" t="b">
        <f t="shared" si="1"/>
        <v>1</v>
      </c>
      <c r="AH31" s="1312" t="b">
        <v>0</v>
      </c>
    </row>
    <row r="32" spans="1:34" ht="15.95" customHeight="1" x14ac:dyDescent="0.2">
      <c r="A32" s="2018" t="s">
        <v>1490</v>
      </c>
      <c r="B32" s="2064" t="s">
        <v>1264</v>
      </c>
      <c r="C32" s="2065" t="s">
        <v>1264</v>
      </c>
      <c r="D32" s="2065" t="s">
        <v>1264</v>
      </c>
      <c r="E32" s="2065">
        <v>2</v>
      </c>
      <c r="F32" s="2065" t="s">
        <v>1264</v>
      </c>
      <c r="G32" s="2065" t="s">
        <v>1264</v>
      </c>
      <c r="H32" s="2065"/>
      <c r="I32" s="2065"/>
      <c r="J32" s="2065"/>
      <c r="K32" s="2065"/>
      <c r="L32" s="2065"/>
      <c r="M32" s="2065"/>
      <c r="N32" s="2065"/>
      <c r="O32" s="2066"/>
      <c r="P32" s="821">
        <f t="shared" si="0"/>
        <v>2</v>
      </c>
      <c r="R32" s="43"/>
      <c r="S32" s="43"/>
      <c r="T32" s="43"/>
      <c r="U32" s="43"/>
      <c r="V32" s="43"/>
      <c r="W32" s="43"/>
      <c r="X32" s="43"/>
      <c r="Y32" s="43"/>
      <c r="Z32" s="43"/>
      <c r="AA32" s="43"/>
      <c r="AB32" s="43"/>
      <c r="AC32" s="43"/>
      <c r="AD32" s="43"/>
      <c r="AE32" s="43"/>
      <c r="AF32" s="99" t="s">
        <v>75</v>
      </c>
      <c r="AG32" s="98" t="b">
        <f t="shared" si="1"/>
        <v>1</v>
      </c>
      <c r="AH32" s="1312" t="b">
        <v>0</v>
      </c>
    </row>
    <row r="33" spans="1:34" ht="15.95" customHeight="1" x14ac:dyDescent="0.2">
      <c r="A33" s="2018" t="s">
        <v>1491</v>
      </c>
      <c r="B33" s="2064" t="s">
        <v>1264</v>
      </c>
      <c r="C33" s="2065" t="s">
        <v>1264</v>
      </c>
      <c r="D33" s="2065" t="s">
        <v>1264</v>
      </c>
      <c r="E33" s="2065">
        <v>1</v>
      </c>
      <c r="F33" s="2065" t="s">
        <v>1264</v>
      </c>
      <c r="G33" s="2065" t="s">
        <v>1264</v>
      </c>
      <c r="H33" s="2065"/>
      <c r="I33" s="2065"/>
      <c r="J33" s="2065"/>
      <c r="K33" s="2065"/>
      <c r="L33" s="2065"/>
      <c r="M33" s="2065"/>
      <c r="N33" s="2065"/>
      <c r="O33" s="2066"/>
      <c r="P33" s="821">
        <f t="shared" si="0"/>
        <v>1</v>
      </c>
      <c r="R33" s="43"/>
      <c r="S33" s="43"/>
      <c r="T33" s="43"/>
      <c r="U33" s="43"/>
      <c r="V33" s="43"/>
      <c r="W33" s="43"/>
      <c r="X33" s="43"/>
      <c r="Y33" s="43"/>
      <c r="Z33" s="43"/>
      <c r="AA33" s="43"/>
      <c r="AB33" s="43"/>
      <c r="AC33" s="43"/>
      <c r="AD33" s="43"/>
      <c r="AE33" s="43"/>
      <c r="AF33" s="99" t="s">
        <v>75</v>
      </c>
      <c r="AG33" s="98" t="b">
        <f t="shared" si="1"/>
        <v>1</v>
      </c>
      <c r="AH33" s="1312" t="b">
        <v>0</v>
      </c>
    </row>
    <row r="34" spans="1:34" ht="15.95" customHeight="1" x14ac:dyDescent="0.2">
      <c r="A34" s="2018" t="s">
        <v>1492</v>
      </c>
      <c r="B34" s="2064" t="s">
        <v>1264</v>
      </c>
      <c r="C34" s="2065" t="s">
        <v>1264</v>
      </c>
      <c r="D34" s="2065" t="s">
        <v>1264</v>
      </c>
      <c r="E34" s="2065">
        <v>2</v>
      </c>
      <c r="F34" s="2065" t="s">
        <v>1264</v>
      </c>
      <c r="G34" s="2065" t="s">
        <v>1264</v>
      </c>
      <c r="H34" s="2065"/>
      <c r="I34" s="2065"/>
      <c r="J34" s="2065"/>
      <c r="K34" s="2065"/>
      <c r="L34" s="2065"/>
      <c r="M34" s="2065"/>
      <c r="N34" s="2065"/>
      <c r="O34" s="2066"/>
      <c r="P34" s="821">
        <f t="shared" si="0"/>
        <v>2</v>
      </c>
      <c r="R34" s="43"/>
      <c r="S34" s="43"/>
      <c r="T34" s="43"/>
      <c r="U34" s="43"/>
      <c r="V34" s="43"/>
      <c r="W34" s="43"/>
      <c r="X34" s="43"/>
      <c r="Y34" s="43"/>
      <c r="Z34" s="43"/>
      <c r="AA34" s="43"/>
      <c r="AB34" s="43"/>
      <c r="AC34" s="43"/>
      <c r="AD34" s="43"/>
      <c r="AE34" s="43"/>
      <c r="AF34" s="99" t="s">
        <v>75</v>
      </c>
      <c r="AG34" s="98" t="b">
        <f t="shared" si="1"/>
        <v>1</v>
      </c>
      <c r="AH34" s="1312" t="b">
        <v>0</v>
      </c>
    </row>
    <row r="35" spans="1:34" ht="15.95" customHeight="1" x14ac:dyDescent="0.2">
      <c r="A35" s="2018" t="s">
        <v>1493</v>
      </c>
      <c r="B35" s="2064" t="s">
        <v>1264</v>
      </c>
      <c r="C35" s="2065" t="s">
        <v>1264</v>
      </c>
      <c r="D35" s="2065" t="s">
        <v>1264</v>
      </c>
      <c r="E35" s="2065">
        <v>1</v>
      </c>
      <c r="F35" s="2065" t="s">
        <v>1264</v>
      </c>
      <c r="G35" s="2065" t="s">
        <v>1264</v>
      </c>
      <c r="H35" s="2065"/>
      <c r="I35" s="2065"/>
      <c r="J35" s="2065"/>
      <c r="K35" s="2065"/>
      <c r="L35" s="2065"/>
      <c r="M35" s="2065"/>
      <c r="N35" s="2065"/>
      <c r="O35" s="2066"/>
      <c r="P35" s="821">
        <f t="shared" si="0"/>
        <v>1</v>
      </c>
      <c r="R35" s="43"/>
      <c r="S35" s="43"/>
      <c r="T35" s="43"/>
      <c r="U35" s="43"/>
      <c r="V35" s="43"/>
      <c r="W35" s="43"/>
      <c r="X35" s="43"/>
      <c r="Y35" s="43"/>
      <c r="Z35" s="43"/>
      <c r="AA35" s="43"/>
      <c r="AB35" s="43"/>
      <c r="AC35" s="43"/>
      <c r="AD35" s="43"/>
      <c r="AE35" s="43"/>
      <c r="AF35" s="99" t="s">
        <v>75</v>
      </c>
      <c r="AG35" s="98" t="b">
        <f t="shared" si="1"/>
        <v>1</v>
      </c>
      <c r="AH35" s="1312" t="b">
        <v>0</v>
      </c>
    </row>
    <row r="36" spans="1:34" ht="15.95" customHeight="1" x14ac:dyDescent="0.2">
      <c r="A36" s="2018" t="s">
        <v>1494</v>
      </c>
      <c r="B36" s="2064" t="s">
        <v>1264</v>
      </c>
      <c r="C36" s="2065" t="s">
        <v>1264</v>
      </c>
      <c r="D36" s="2065" t="s">
        <v>1264</v>
      </c>
      <c r="E36" s="2065">
        <v>1</v>
      </c>
      <c r="F36" s="2065" t="s">
        <v>1264</v>
      </c>
      <c r="G36" s="2065" t="s">
        <v>1264</v>
      </c>
      <c r="H36" s="2065"/>
      <c r="I36" s="2065"/>
      <c r="J36" s="2065"/>
      <c r="K36" s="2065"/>
      <c r="L36" s="2065"/>
      <c r="M36" s="2065"/>
      <c r="N36" s="2065"/>
      <c r="O36" s="2066"/>
      <c r="P36" s="821">
        <f t="shared" si="0"/>
        <v>1</v>
      </c>
      <c r="R36" s="43"/>
      <c r="S36" s="43"/>
      <c r="T36" s="43"/>
      <c r="U36" s="43"/>
      <c r="V36" s="43"/>
      <c r="W36" s="43"/>
      <c r="X36" s="43"/>
      <c r="Y36" s="43"/>
      <c r="Z36" s="43"/>
      <c r="AA36" s="43"/>
      <c r="AB36" s="43"/>
      <c r="AC36" s="43"/>
      <c r="AD36" s="43"/>
      <c r="AE36" s="43"/>
      <c r="AF36" s="99" t="s">
        <v>74</v>
      </c>
      <c r="AG36" s="98" t="b">
        <f t="shared" si="1"/>
        <v>1</v>
      </c>
      <c r="AH36" s="1312" t="b">
        <v>0</v>
      </c>
    </row>
    <row r="37" spans="1:34" ht="15.95" customHeight="1" x14ac:dyDescent="0.2">
      <c r="A37" s="2018" t="s">
        <v>1495</v>
      </c>
      <c r="B37" s="2064" t="s">
        <v>1264</v>
      </c>
      <c r="C37" s="2065" t="s">
        <v>1264</v>
      </c>
      <c r="D37" s="2065" t="s">
        <v>1264</v>
      </c>
      <c r="E37" s="2065">
        <v>1</v>
      </c>
      <c r="F37" s="2065" t="s">
        <v>1264</v>
      </c>
      <c r="G37" s="2065" t="s">
        <v>1264</v>
      </c>
      <c r="H37" s="2065"/>
      <c r="I37" s="2065"/>
      <c r="J37" s="2065"/>
      <c r="K37" s="2065"/>
      <c r="L37" s="2065"/>
      <c r="M37" s="2065"/>
      <c r="N37" s="2065"/>
      <c r="O37" s="2066"/>
      <c r="P37" s="821">
        <f t="shared" si="0"/>
        <v>1</v>
      </c>
      <c r="R37" s="43"/>
      <c r="S37" s="43"/>
      <c r="T37" s="43"/>
      <c r="U37" s="43"/>
      <c r="V37" s="43"/>
      <c r="W37" s="43"/>
      <c r="X37" s="43"/>
      <c r="Y37" s="43"/>
      <c r="Z37" s="43"/>
      <c r="AA37" s="43"/>
      <c r="AB37" s="43"/>
      <c r="AC37" s="43"/>
      <c r="AD37" s="43"/>
      <c r="AE37" s="43"/>
      <c r="AF37" s="99" t="s">
        <v>74</v>
      </c>
      <c r="AG37" s="98" t="b">
        <f t="shared" si="1"/>
        <v>1</v>
      </c>
      <c r="AH37" s="1312" t="b">
        <v>0</v>
      </c>
    </row>
    <row r="38" spans="1:34" ht="15.95" customHeight="1" x14ac:dyDescent="0.2">
      <c r="A38" s="2018" t="s">
        <v>1496</v>
      </c>
      <c r="B38" s="2064" t="s">
        <v>1264</v>
      </c>
      <c r="C38" s="2065" t="s">
        <v>1264</v>
      </c>
      <c r="D38" s="2065" t="s">
        <v>1264</v>
      </c>
      <c r="E38" s="2065">
        <v>1</v>
      </c>
      <c r="F38" s="2065" t="s">
        <v>1264</v>
      </c>
      <c r="G38" s="2065" t="s">
        <v>1264</v>
      </c>
      <c r="H38" s="2065"/>
      <c r="I38" s="2065"/>
      <c r="J38" s="2065"/>
      <c r="K38" s="2065"/>
      <c r="L38" s="2065"/>
      <c r="M38" s="2065"/>
      <c r="N38" s="2065"/>
      <c r="O38" s="2066"/>
      <c r="P38" s="821">
        <f t="shared" si="0"/>
        <v>1</v>
      </c>
      <c r="R38" s="43"/>
      <c r="S38" s="43"/>
      <c r="T38" s="43"/>
      <c r="U38" s="43"/>
      <c r="V38" s="43"/>
      <c r="W38" s="43"/>
      <c r="X38" s="43"/>
      <c r="Y38" s="43"/>
      <c r="Z38" s="43"/>
      <c r="AA38" s="43"/>
      <c r="AB38" s="43"/>
      <c r="AC38" s="43"/>
      <c r="AD38" s="43"/>
      <c r="AE38" s="43"/>
      <c r="AF38" s="99" t="s">
        <v>74</v>
      </c>
      <c r="AG38" s="98" t="b">
        <f t="shared" si="1"/>
        <v>1</v>
      </c>
      <c r="AH38" s="1312" t="b">
        <v>0</v>
      </c>
    </row>
    <row r="39" spans="1:34" ht="15.95" customHeight="1" x14ac:dyDescent="0.2">
      <c r="A39" s="2018" t="s">
        <v>1497</v>
      </c>
      <c r="B39" s="2064" t="s">
        <v>1264</v>
      </c>
      <c r="C39" s="2065" t="s">
        <v>1264</v>
      </c>
      <c r="D39" s="2065" t="s">
        <v>1264</v>
      </c>
      <c r="E39" s="2065">
        <v>1</v>
      </c>
      <c r="F39" s="2065" t="s">
        <v>1264</v>
      </c>
      <c r="G39" s="2065" t="s">
        <v>1264</v>
      </c>
      <c r="H39" s="2065"/>
      <c r="I39" s="2065"/>
      <c r="J39" s="2065"/>
      <c r="K39" s="2065"/>
      <c r="L39" s="2065"/>
      <c r="M39" s="2065"/>
      <c r="N39" s="2065"/>
      <c r="O39" s="2066"/>
      <c r="P39" s="821">
        <f t="shared" si="0"/>
        <v>1</v>
      </c>
      <c r="R39" s="43"/>
      <c r="S39" s="43"/>
      <c r="T39" s="43"/>
      <c r="U39" s="43"/>
      <c r="V39" s="43"/>
      <c r="W39" s="43"/>
      <c r="X39" s="43"/>
      <c r="Y39" s="43"/>
      <c r="Z39" s="43"/>
      <c r="AA39" s="43"/>
      <c r="AB39" s="43"/>
      <c r="AC39" s="43"/>
      <c r="AD39" s="43"/>
      <c r="AE39" s="43"/>
      <c r="AF39" s="99" t="s">
        <v>74</v>
      </c>
      <c r="AG39" s="98" t="b">
        <f t="shared" si="1"/>
        <v>1</v>
      </c>
      <c r="AH39" s="1312" t="b">
        <v>0</v>
      </c>
    </row>
    <row r="40" spans="1:34" ht="15.95" customHeight="1" x14ac:dyDescent="0.2">
      <c r="A40" s="2018" t="s">
        <v>1498</v>
      </c>
      <c r="B40" s="2064" t="s">
        <v>1264</v>
      </c>
      <c r="C40" s="2065" t="s">
        <v>1264</v>
      </c>
      <c r="D40" s="2065" t="s">
        <v>1264</v>
      </c>
      <c r="E40" s="2065">
        <v>1</v>
      </c>
      <c r="F40" s="2065" t="s">
        <v>1264</v>
      </c>
      <c r="G40" s="2065" t="s">
        <v>1264</v>
      </c>
      <c r="H40" s="2065"/>
      <c r="I40" s="2065"/>
      <c r="J40" s="2065"/>
      <c r="K40" s="2065"/>
      <c r="L40" s="2065"/>
      <c r="M40" s="2065"/>
      <c r="N40" s="2065"/>
      <c r="O40" s="2066"/>
      <c r="P40" s="821">
        <f t="shared" si="0"/>
        <v>1</v>
      </c>
      <c r="R40" s="43"/>
      <c r="S40" s="43"/>
      <c r="T40" s="43"/>
      <c r="U40" s="43"/>
      <c r="V40" s="43"/>
      <c r="W40" s="43"/>
      <c r="X40" s="43"/>
      <c r="Y40" s="43"/>
      <c r="Z40" s="43"/>
      <c r="AA40" s="43"/>
      <c r="AB40" s="43"/>
      <c r="AC40" s="43"/>
      <c r="AD40" s="43"/>
      <c r="AE40" s="43"/>
      <c r="AF40" s="99" t="s">
        <v>75</v>
      </c>
      <c r="AG40" s="98" t="b">
        <f t="shared" si="1"/>
        <v>1</v>
      </c>
      <c r="AH40" s="1312" t="b">
        <v>0</v>
      </c>
    </row>
    <row r="41" spans="1:34" ht="15.95" customHeight="1" x14ac:dyDescent="0.2">
      <c r="A41" s="2018" t="s">
        <v>1499</v>
      </c>
      <c r="B41" s="2064" t="s">
        <v>1264</v>
      </c>
      <c r="C41" s="2065" t="s">
        <v>1264</v>
      </c>
      <c r="D41" s="2065" t="s">
        <v>1264</v>
      </c>
      <c r="E41" s="2065">
        <v>1</v>
      </c>
      <c r="F41" s="2065">
        <v>1</v>
      </c>
      <c r="G41" s="2065" t="s">
        <v>1264</v>
      </c>
      <c r="H41" s="2065"/>
      <c r="I41" s="2065"/>
      <c r="J41" s="2065"/>
      <c r="K41" s="2065"/>
      <c r="L41" s="2065"/>
      <c r="M41" s="2065"/>
      <c r="N41" s="2065"/>
      <c r="O41" s="2066"/>
      <c r="P41" s="821">
        <f t="shared" si="0"/>
        <v>2</v>
      </c>
      <c r="R41" s="43"/>
      <c r="S41" s="43"/>
      <c r="T41" s="43"/>
      <c r="U41" s="43"/>
      <c r="V41" s="43"/>
      <c r="W41" s="43"/>
      <c r="X41" s="43"/>
      <c r="Y41" s="43"/>
      <c r="Z41" s="43"/>
      <c r="AA41" s="43"/>
      <c r="AB41" s="43"/>
      <c r="AC41" s="43"/>
      <c r="AD41" s="43"/>
      <c r="AE41" s="43"/>
      <c r="AF41" s="99" t="s">
        <v>75</v>
      </c>
      <c r="AG41" s="98" t="b">
        <f t="shared" si="1"/>
        <v>1</v>
      </c>
      <c r="AH41" s="1312" t="b">
        <v>0</v>
      </c>
    </row>
    <row r="42" spans="1:34" ht="15.95" customHeight="1" x14ac:dyDescent="0.2">
      <c r="A42" s="2018" t="s">
        <v>1500</v>
      </c>
      <c r="B42" s="2064" t="s">
        <v>1264</v>
      </c>
      <c r="C42" s="2065" t="s">
        <v>1264</v>
      </c>
      <c r="D42" s="2065" t="s">
        <v>1264</v>
      </c>
      <c r="E42" s="2065">
        <v>1</v>
      </c>
      <c r="F42" s="2065">
        <v>1</v>
      </c>
      <c r="G42" s="2065" t="s">
        <v>1264</v>
      </c>
      <c r="H42" s="2065"/>
      <c r="I42" s="2065"/>
      <c r="J42" s="2065"/>
      <c r="K42" s="2065"/>
      <c r="L42" s="2065"/>
      <c r="M42" s="2065"/>
      <c r="N42" s="2065"/>
      <c r="O42" s="2066"/>
      <c r="P42" s="821">
        <f t="shared" si="0"/>
        <v>2</v>
      </c>
      <c r="R42" s="43"/>
      <c r="S42" s="43"/>
      <c r="T42" s="43"/>
      <c r="U42" s="43"/>
      <c r="V42" s="43"/>
      <c r="W42" s="43"/>
      <c r="X42" s="43"/>
      <c r="Y42" s="43"/>
      <c r="Z42" s="43"/>
      <c r="AA42" s="43"/>
      <c r="AB42" s="43"/>
      <c r="AC42" s="43"/>
      <c r="AD42" s="43"/>
      <c r="AE42" s="43"/>
      <c r="AF42" s="99" t="s">
        <v>75</v>
      </c>
      <c r="AG42" s="98" t="b">
        <f t="shared" si="1"/>
        <v>1</v>
      </c>
      <c r="AH42" s="1312" t="b">
        <v>0</v>
      </c>
    </row>
    <row r="43" spans="1:34" ht="15.95" customHeight="1" x14ac:dyDescent="0.2">
      <c r="A43" s="2018" t="s">
        <v>1501</v>
      </c>
      <c r="B43" s="2064" t="s">
        <v>1264</v>
      </c>
      <c r="C43" s="2065" t="s">
        <v>1264</v>
      </c>
      <c r="D43" s="2065" t="s">
        <v>1264</v>
      </c>
      <c r="E43" s="2065">
        <v>1</v>
      </c>
      <c r="F43" s="2065" t="s">
        <v>1264</v>
      </c>
      <c r="G43" s="2065" t="s">
        <v>1264</v>
      </c>
      <c r="H43" s="2065"/>
      <c r="I43" s="2065"/>
      <c r="J43" s="2065"/>
      <c r="K43" s="2065"/>
      <c r="L43" s="2065"/>
      <c r="M43" s="2065"/>
      <c r="N43" s="2065"/>
      <c r="O43" s="2066"/>
      <c r="P43" s="821">
        <f t="shared" si="0"/>
        <v>1</v>
      </c>
      <c r="R43" s="43"/>
      <c r="S43" s="43"/>
      <c r="T43" s="43"/>
      <c r="U43" s="43"/>
      <c r="V43" s="43"/>
      <c r="W43" s="43"/>
      <c r="X43" s="43"/>
      <c r="Y43" s="43"/>
      <c r="Z43" s="43"/>
      <c r="AA43" s="43"/>
      <c r="AB43" s="43"/>
      <c r="AC43" s="43"/>
      <c r="AD43" s="43"/>
      <c r="AE43" s="43"/>
      <c r="AF43" s="99" t="s">
        <v>75</v>
      </c>
      <c r="AG43" s="98" t="b">
        <f t="shared" si="1"/>
        <v>1</v>
      </c>
      <c r="AH43" s="1312" t="b">
        <v>0</v>
      </c>
    </row>
    <row r="44" spans="1:34" ht="15.95" customHeight="1" x14ac:dyDescent="0.2">
      <c r="A44" s="2018" t="s">
        <v>1502</v>
      </c>
      <c r="B44" s="2064" t="s">
        <v>1264</v>
      </c>
      <c r="C44" s="2065" t="s">
        <v>1264</v>
      </c>
      <c r="D44" s="2065" t="s">
        <v>1264</v>
      </c>
      <c r="E44" s="2065">
        <v>1</v>
      </c>
      <c r="F44" s="2065" t="s">
        <v>1264</v>
      </c>
      <c r="G44" s="2065" t="s">
        <v>1264</v>
      </c>
      <c r="H44" s="2065"/>
      <c r="I44" s="2065"/>
      <c r="J44" s="2065"/>
      <c r="K44" s="2065"/>
      <c r="L44" s="2065"/>
      <c r="M44" s="2065"/>
      <c r="N44" s="2065"/>
      <c r="O44" s="2066"/>
      <c r="P44" s="821">
        <f t="shared" si="0"/>
        <v>1</v>
      </c>
      <c r="R44" s="43"/>
      <c r="S44" s="43"/>
      <c r="T44" s="43"/>
      <c r="U44" s="43"/>
      <c r="V44" s="43"/>
      <c r="W44" s="43"/>
      <c r="X44" s="43"/>
      <c r="Y44" s="43"/>
      <c r="Z44" s="43"/>
      <c r="AA44" s="43"/>
      <c r="AB44" s="43"/>
      <c r="AC44" s="43"/>
      <c r="AD44" s="43"/>
      <c r="AE44" s="43"/>
      <c r="AF44" s="99" t="s">
        <v>75</v>
      </c>
      <c r="AG44" s="98" t="b">
        <f t="shared" si="1"/>
        <v>1</v>
      </c>
      <c r="AH44" s="1312" t="b">
        <v>0</v>
      </c>
    </row>
    <row r="45" spans="1:34" ht="15.95" customHeight="1" x14ac:dyDescent="0.2">
      <c r="A45" s="2018" t="s">
        <v>1503</v>
      </c>
      <c r="B45" s="2064" t="s">
        <v>1264</v>
      </c>
      <c r="C45" s="2065" t="s">
        <v>1264</v>
      </c>
      <c r="D45" s="2065" t="s">
        <v>1264</v>
      </c>
      <c r="E45" s="2065">
        <v>1</v>
      </c>
      <c r="F45" s="2065" t="s">
        <v>1264</v>
      </c>
      <c r="G45" s="2065" t="s">
        <v>1264</v>
      </c>
      <c r="H45" s="2065"/>
      <c r="I45" s="2065"/>
      <c r="J45" s="2065"/>
      <c r="K45" s="2065"/>
      <c r="L45" s="2065"/>
      <c r="M45" s="2065"/>
      <c r="N45" s="2065"/>
      <c r="O45" s="2066"/>
      <c r="P45" s="821">
        <f t="shared" si="0"/>
        <v>1</v>
      </c>
      <c r="R45" s="43"/>
      <c r="S45" s="43"/>
      <c r="T45" s="43"/>
      <c r="U45" s="43"/>
      <c r="V45" s="43"/>
      <c r="W45" s="43"/>
      <c r="X45" s="43"/>
      <c r="Y45" s="43"/>
      <c r="Z45" s="43"/>
      <c r="AA45" s="43"/>
      <c r="AB45" s="43"/>
      <c r="AC45" s="43"/>
      <c r="AD45" s="43"/>
      <c r="AE45" s="43"/>
      <c r="AF45" s="99" t="s">
        <v>75</v>
      </c>
      <c r="AG45" s="98" t="b">
        <f t="shared" si="1"/>
        <v>1</v>
      </c>
      <c r="AH45" s="1312" t="b">
        <v>0</v>
      </c>
    </row>
    <row r="46" spans="1:34" ht="15.95" customHeight="1" x14ac:dyDescent="0.2">
      <c r="A46" s="2018" t="s">
        <v>1504</v>
      </c>
      <c r="B46" s="2064" t="s">
        <v>1264</v>
      </c>
      <c r="C46" s="2065" t="s">
        <v>1264</v>
      </c>
      <c r="D46" s="2065" t="s">
        <v>1264</v>
      </c>
      <c r="E46" s="2065">
        <v>1</v>
      </c>
      <c r="F46" s="2065" t="s">
        <v>1264</v>
      </c>
      <c r="G46" s="2065" t="s">
        <v>1264</v>
      </c>
      <c r="H46" s="2065"/>
      <c r="I46" s="2065"/>
      <c r="J46" s="2065"/>
      <c r="K46" s="2065"/>
      <c r="L46" s="2065"/>
      <c r="M46" s="2065"/>
      <c r="N46" s="2065"/>
      <c r="O46" s="2066"/>
      <c r="P46" s="821">
        <f t="shared" si="0"/>
        <v>1</v>
      </c>
      <c r="R46" s="43"/>
      <c r="S46" s="43"/>
      <c r="T46" s="43"/>
      <c r="U46" s="43"/>
      <c r="V46" s="43"/>
      <c r="W46" s="43"/>
      <c r="X46" s="43"/>
      <c r="Y46" s="43"/>
      <c r="Z46" s="43"/>
      <c r="AA46" s="43"/>
      <c r="AB46" s="43"/>
      <c r="AC46" s="43"/>
      <c r="AD46" s="43"/>
      <c r="AE46" s="43"/>
      <c r="AF46" s="99" t="s">
        <v>75</v>
      </c>
      <c r="AG46" s="98" t="b">
        <f t="shared" si="1"/>
        <v>1</v>
      </c>
      <c r="AH46" s="1312" t="b">
        <v>0</v>
      </c>
    </row>
    <row r="47" spans="1:34" ht="15.95" customHeight="1" x14ac:dyDescent="0.2">
      <c r="A47" s="2018" t="s">
        <v>1505</v>
      </c>
      <c r="B47" s="2064" t="s">
        <v>1264</v>
      </c>
      <c r="C47" s="2065" t="s">
        <v>1264</v>
      </c>
      <c r="D47" s="2065" t="s">
        <v>1264</v>
      </c>
      <c r="E47" s="2065">
        <v>7</v>
      </c>
      <c r="F47" s="2065" t="s">
        <v>1264</v>
      </c>
      <c r="G47" s="2065" t="s">
        <v>1264</v>
      </c>
      <c r="H47" s="2065"/>
      <c r="I47" s="2065"/>
      <c r="J47" s="2065"/>
      <c r="K47" s="2065"/>
      <c r="L47" s="2065"/>
      <c r="M47" s="2065"/>
      <c r="N47" s="2065"/>
      <c r="O47" s="2066"/>
      <c r="P47" s="821">
        <f t="shared" si="0"/>
        <v>7</v>
      </c>
      <c r="R47" s="43"/>
      <c r="S47" s="43"/>
      <c r="T47" s="43"/>
      <c r="U47" s="43"/>
      <c r="V47" s="43"/>
      <c r="W47" s="43"/>
      <c r="X47" s="43"/>
      <c r="Y47" s="43"/>
      <c r="Z47" s="43"/>
      <c r="AA47" s="43"/>
      <c r="AB47" s="43"/>
      <c r="AC47" s="43"/>
      <c r="AD47" s="43"/>
      <c r="AE47" s="43"/>
      <c r="AF47" s="99" t="s">
        <v>75</v>
      </c>
      <c r="AG47" s="98" t="b">
        <f t="shared" si="1"/>
        <v>1</v>
      </c>
      <c r="AH47" s="1312" t="b">
        <v>0</v>
      </c>
    </row>
    <row r="48" spans="1:34" ht="15.95" customHeight="1" x14ac:dyDescent="0.2">
      <c r="A48" s="2018" t="s">
        <v>1506</v>
      </c>
      <c r="B48" s="2064" t="s">
        <v>1264</v>
      </c>
      <c r="C48" s="2065" t="s">
        <v>1264</v>
      </c>
      <c r="D48" s="2065" t="s">
        <v>1264</v>
      </c>
      <c r="E48" s="2065">
        <v>2</v>
      </c>
      <c r="F48" s="2065" t="s">
        <v>1264</v>
      </c>
      <c r="G48" s="2065" t="s">
        <v>1264</v>
      </c>
      <c r="H48" s="2065"/>
      <c r="I48" s="2065"/>
      <c r="J48" s="2065"/>
      <c r="K48" s="2065"/>
      <c r="L48" s="2065"/>
      <c r="M48" s="2065"/>
      <c r="N48" s="2065"/>
      <c r="O48" s="2066"/>
      <c r="P48" s="821">
        <f t="shared" si="0"/>
        <v>2</v>
      </c>
      <c r="R48" s="43"/>
      <c r="S48" s="43"/>
      <c r="T48" s="43"/>
      <c r="U48" s="43"/>
      <c r="V48" s="43"/>
      <c r="W48" s="43"/>
      <c r="X48" s="43"/>
      <c r="Y48" s="43"/>
      <c r="Z48" s="43"/>
      <c r="AA48" s="43"/>
      <c r="AB48" s="43"/>
      <c r="AC48" s="43"/>
      <c r="AD48" s="43"/>
      <c r="AE48" s="43"/>
      <c r="AF48" s="99" t="s">
        <v>75</v>
      </c>
      <c r="AG48" s="98" t="b">
        <f t="shared" si="1"/>
        <v>1</v>
      </c>
      <c r="AH48" s="1312" t="b">
        <v>0</v>
      </c>
    </row>
    <row r="49" spans="1:34" ht="15.95" customHeight="1" x14ac:dyDescent="0.2">
      <c r="A49" s="2019" t="s">
        <v>1507</v>
      </c>
      <c r="B49" s="2067" t="s">
        <v>1264</v>
      </c>
      <c r="C49" s="2068" t="s">
        <v>1264</v>
      </c>
      <c r="D49" s="2068" t="s">
        <v>1264</v>
      </c>
      <c r="E49" s="2068">
        <v>1</v>
      </c>
      <c r="F49" s="2068" t="s">
        <v>1264</v>
      </c>
      <c r="G49" s="2068" t="s">
        <v>1264</v>
      </c>
      <c r="H49" s="2068"/>
      <c r="I49" s="2068"/>
      <c r="J49" s="2068"/>
      <c r="K49" s="2068"/>
      <c r="L49" s="2068"/>
      <c r="M49" s="2068"/>
      <c r="N49" s="2068"/>
      <c r="O49" s="2069"/>
      <c r="P49" s="821">
        <f t="shared" si="0"/>
        <v>1</v>
      </c>
      <c r="R49" s="43"/>
      <c r="S49" s="43"/>
      <c r="T49" s="43"/>
      <c r="U49" s="43"/>
      <c r="V49" s="43"/>
      <c r="W49" s="43"/>
      <c r="X49" s="43"/>
      <c r="Y49" s="43"/>
      <c r="Z49" s="43"/>
      <c r="AA49" s="43"/>
      <c r="AB49" s="43"/>
      <c r="AC49" s="43"/>
      <c r="AD49" s="43"/>
      <c r="AE49" s="43"/>
      <c r="AF49" s="99" t="s">
        <v>75</v>
      </c>
      <c r="AG49" s="98" t="b">
        <f t="shared" si="1"/>
        <v>1</v>
      </c>
      <c r="AH49" s="1312" t="b">
        <v>0</v>
      </c>
    </row>
    <row r="50" spans="1:34" ht="15" customHeight="1" x14ac:dyDescent="0.2">
      <c r="A50" s="817" t="s">
        <v>91</v>
      </c>
      <c r="B50" s="818">
        <f t="shared" ref="B50:O50" si="2">IF(ISBLANK(B13),"",SUM(B14:B49))</f>
        <v>0</v>
      </c>
      <c r="C50" s="818">
        <f t="shared" si="2"/>
        <v>0</v>
      </c>
      <c r="D50" s="818">
        <f t="shared" si="2"/>
        <v>78</v>
      </c>
      <c r="E50" s="818">
        <f t="shared" si="2"/>
        <v>103</v>
      </c>
      <c r="F50" s="818">
        <f t="shared" si="2"/>
        <v>2</v>
      </c>
      <c r="G50" s="818">
        <f t="shared" si="2"/>
        <v>0</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2017</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Ud1X/huWhjHtFRq8Z5UIDl1yX48np+OsfUQjVaBzpCBMPPkLwiWL52a3rjkNZ2ZXPBLtNoaEr3twzT0hLADipg==" saltValue="xro97U+K64+i2fKGpECaA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391" priority="2">
      <formula>OR(A14="Girder",A14="Girders",A14="Joist",A14="Joists",A14="Bridging")</formula>
    </cfRule>
    <cfRule type="expression" dxfId="1390" priority="3">
      <formula>AND(P14&gt;0,ISBLANK(AF14),OR($R$1="",$R$1="M"))</formula>
    </cfRule>
    <cfRule type="expression" dxfId="1389" priority="9">
      <formula>$AH14</formula>
    </cfRule>
  </conditionalFormatting>
  <conditionalFormatting sqref="H2:J4">
    <cfRule type="cellIs" dxfId="1388" priority="7" stopIfTrue="1" operator="equal">
      <formula>""</formula>
    </cfRule>
  </conditionalFormatting>
  <conditionalFormatting sqref="B14:O49">
    <cfRule type="expression" dxfId="1387" priority="4">
      <formula>IF($R$1="M",AND(B14&gt;R14,R14&gt;0),B14&lt;R14)</formula>
    </cfRule>
    <cfRule type="expression" dxfId="1386" priority="5">
      <formula>OR(AND($R$1="M",B14=R14),B14="-")</formula>
    </cfRule>
    <cfRule type="expression" dxfId="1385" priority="6">
      <formula>IF(NOT(ISBLANK($R$1)),IF($R$1="M",IF(ISTEXT(B14),0,B14)&lt;R14,IF(ISTEXT(B14),0,B14)&gt;R14))</formula>
    </cfRule>
    <cfRule type="expression" dxfId="1384" priority="8">
      <formula>OR($AH14,B$63)</formula>
    </cfRule>
  </conditionalFormatting>
  <conditionalFormatting sqref="B13:O13">
    <cfRule type="expression" dxfId="1383" priority="1">
      <formula>AND(NOT(ISBLANK(B$13)),ISERROR(MATCH(B$13,$AK:$AK,0)))</formula>
    </cfRule>
    <cfRule type="expression" dxfId="138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indexed="31"/>
  </sheetPr>
  <dimension ref="A1:AL65"/>
  <sheetViews>
    <sheetView showGridLines="0" topLeftCell="A22"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20 of 42</v>
      </c>
      <c r="M7" s="822"/>
      <c r="N7" s="473"/>
      <c r="O7" s="473"/>
      <c r="P7" s="566"/>
      <c r="R7" s="1393">
        <v>20</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1508</v>
      </c>
      <c r="B15" s="2064" t="s">
        <v>1264</v>
      </c>
      <c r="C15" s="2065" t="s">
        <v>1264</v>
      </c>
      <c r="D15" s="2065" t="s">
        <v>1264</v>
      </c>
      <c r="E15" s="2065">
        <v>1</v>
      </c>
      <c r="F15" s="2065" t="s">
        <v>1264</v>
      </c>
      <c r="G15" s="2065" t="s">
        <v>1264</v>
      </c>
      <c r="H15" s="2065"/>
      <c r="I15" s="2065"/>
      <c r="J15" s="2065"/>
      <c r="K15" s="2065"/>
      <c r="L15" s="2065"/>
      <c r="M15" s="2065"/>
      <c r="N15" s="2065"/>
      <c r="O15" s="2066"/>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1509</v>
      </c>
      <c r="B16" s="2064" t="s">
        <v>1264</v>
      </c>
      <c r="C16" s="2065" t="s">
        <v>1264</v>
      </c>
      <c r="D16" s="2065" t="s">
        <v>1264</v>
      </c>
      <c r="E16" s="2065">
        <v>1</v>
      </c>
      <c r="F16" s="2065" t="s">
        <v>1264</v>
      </c>
      <c r="G16" s="2065" t="s">
        <v>1264</v>
      </c>
      <c r="H16" s="2065"/>
      <c r="I16" s="2065"/>
      <c r="J16" s="2065"/>
      <c r="K16" s="2065"/>
      <c r="L16" s="2065"/>
      <c r="M16" s="2065"/>
      <c r="N16" s="2065"/>
      <c r="O16" s="2066"/>
      <c r="P16" s="821">
        <f t="shared" si="0"/>
        <v>1</v>
      </c>
      <c r="R16" s="43"/>
      <c r="S16" s="43"/>
      <c r="T16" s="43"/>
      <c r="U16" s="43"/>
      <c r="V16" s="43"/>
      <c r="W16" s="43"/>
      <c r="X16" s="43"/>
      <c r="Y16" s="43"/>
      <c r="Z16" s="43"/>
      <c r="AA16" s="43"/>
      <c r="AB16" s="43"/>
      <c r="AC16" s="43"/>
      <c r="AD16" s="43"/>
      <c r="AE16" s="43"/>
      <c r="AF16" s="99" t="s">
        <v>75</v>
      </c>
      <c r="AG16" s="98" t="b">
        <f t="shared" si="1"/>
        <v>1</v>
      </c>
      <c r="AH16" s="1312" t="b">
        <v>0</v>
      </c>
    </row>
    <row r="17" spans="1:34" ht="15.95" customHeight="1" x14ac:dyDescent="0.2">
      <c r="A17" s="2018" t="s">
        <v>1510</v>
      </c>
      <c r="B17" s="2064" t="s">
        <v>1264</v>
      </c>
      <c r="C17" s="2065" t="s">
        <v>1264</v>
      </c>
      <c r="D17" s="2065" t="s">
        <v>1264</v>
      </c>
      <c r="E17" s="2065">
        <v>4</v>
      </c>
      <c r="F17" s="2065" t="s">
        <v>1264</v>
      </c>
      <c r="G17" s="2065" t="s">
        <v>1264</v>
      </c>
      <c r="H17" s="2065"/>
      <c r="I17" s="2065"/>
      <c r="J17" s="2065"/>
      <c r="K17" s="2065"/>
      <c r="L17" s="2065"/>
      <c r="M17" s="2065"/>
      <c r="N17" s="2065"/>
      <c r="O17" s="2066"/>
      <c r="P17" s="821">
        <f t="shared" si="0"/>
        <v>4</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1511</v>
      </c>
      <c r="B18" s="2064" t="s">
        <v>1264</v>
      </c>
      <c r="C18" s="2065" t="s">
        <v>1264</v>
      </c>
      <c r="D18" s="2065" t="s">
        <v>1264</v>
      </c>
      <c r="E18" s="2065">
        <v>1</v>
      </c>
      <c r="F18" s="2065" t="s">
        <v>1264</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1512</v>
      </c>
      <c r="B19" s="2064" t="s">
        <v>1264</v>
      </c>
      <c r="C19" s="2065" t="s">
        <v>1264</v>
      </c>
      <c r="D19" s="2065" t="s">
        <v>1264</v>
      </c>
      <c r="E19" s="2065">
        <v>1</v>
      </c>
      <c r="F19" s="2065" t="s">
        <v>1264</v>
      </c>
      <c r="G19" s="2065" t="s">
        <v>1264</v>
      </c>
      <c r="H19" s="2065"/>
      <c r="I19" s="2065"/>
      <c r="J19" s="2065"/>
      <c r="K19" s="2065"/>
      <c r="L19" s="2065"/>
      <c r="M19" s="2065"/>
      <c r="N19" s="2065"/>
      <c r="O19" s="2066"/>
      <c r="P19" s="821">
        <f t="shared" si="0"/>
        <v>1</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1513</v>
      </c>
      <c r="B20" s="2064" t="s">
        <v>1264</v>
      </c>
      <c r="C20" s="2065" t="s">
        <v>1264</v>
      </c>
      <c r="D20" s="2065" t="s">
        <v>1264</v>
      </c>
      <c r="E20" s="2065">
        <v>1</v>
      </c>
      <c r="F20" s="2065" t="s">
        <v>1264</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75</v>
      </c>
      <c r="AG20" s="98" t="b">
        <f t="shared" si="1"/>
        <v>1</v>
      </c>
      <c r="AH20" s="1312" t="b">
        <v>0</v>
      </c>
    </row>
    <row r="21" spans="1:34" ht="15.95" customHeight="1" x14ac:dyDescent="0.2">
      <c r="A21" s="2018" t="s">
        <v>1514</v>
      </c>
      <c r="B21" s="2064" t="s">
        <v>1264</v>
      </c>
      <c r="C21" s="2065" t="s">
        <v>1264</v>
      </c>
      <c r="D21" s="2065" t="s">
        <v>1264</v>
      </c>
      <c r="E21" s="2065">
        <v>1</v>
      </c>
      <c r="F21" s="2065" t="s">
        <v>1264</v>
      </c>
      <c r="G21" s="2065" t="s">
        <v>1264</v>
      </c>
      <c r="H21" s="2065"/>
      <c r="I21" s="2065"/>
      <c r="J21" s="2065"/>
      <c r="K21" s="2065"/>
      <c r="L21" s="2065"/>
      <c r="M21" s="2065"/>
      <c r="N21" s="2065"/>
      <c r="O21" s="2066"/>
      <c r="P21" s="821">
        <f t="shared" si="0"/>
        <v>1</v>
      </c>
      <c r="R21" s="43"/>
      <c r="S21" s="43"/>
      <c r="T21" s="43"/>
      <c r="U21" s="43"/>
      <c r="V21" s="43"/>
      <c r="W21" s="43"/>
      <c r="X21" s="43"/>
      <c r="Y21" s="43"/>
      <c r="Z21" s="43"/>
      <c r="AA21" s="43"/>
      <c r="AB21" s="43"/>
      <c r="AC21" s="43"/>
      <c r="AD21" s="43"/>
      <c r="AE21" s="43"/>
      <c r="AF21" s="99" t="s">
        <v>74</v>
      </c>
      <c r="AG21" s="98" t="b">
        <f t="shared" si="1"/>
        <v>1</v>
      </c>
      <c r="AH21" s="1312" t="b">
        <v>0</v>
      </c>
    </row>
    <row r="22" spans="1:34" ht="15.95" customHeight="1" x14ac:dyDescent="0.2">
      <c r="A22" s="2018" t="s">
        <v>1515</v>
      </c>
      <c r="B22" s="2064" t="s">
        <v>1264</v>
      </c>
      <c r="C22" s="2065" t="s">
        <v>1264</v>
      </c>
      <c r="D22" s="2065" t="s">
        <v>1264</v>
      </c>
      <c r="E22" s="2065">
        <v>1</v>
      </c>
      <c r="F22" s="2065" t="s">
        <v>1264</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74</v>
      </c>
      <c r="AG22" s="98" t="b">
        <f t="shared" si="1"/>
        <v>1</v>
      </c>
      <c r="AH22" s="1312" t="b">
        <v>0</v>
      </c>
    </row>
    <row r="23" spans="1:34" ht="15.95" customHeight="1" x14ac:dyDescent="0.2">
      <c r="A23" s="2018" t="s">
        <v>1516</v>
      </c>
      <c r="B23" s="2064" t="s">
        <v>1264</v>
      </c>
      <c r="C23" s="2065" t="s">
        <v>1264</v>
      </c>
      <c r="D23" s="2065" t="s">
        <v>1264</v>
      </c>
      <c r="E23" s="2065">
        <v>1</v>
      </c>
      <c r="F23" s="2065" t="s">
        <v>1264</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74</v>
      </c>
      <c r="AG23" s="98" t="b">
        <f t="shared" si="1"/>
        <v>1</v>
      </c>
      <c r="AH23" s="1312" t="b">
        <v>0</v>
      </c>
    </row>
    <row r="24" spans="1:34" ht="15.95" customHeight="1" x14ac:dyDescent="0.2">
      <c r="A24" s="2018" t="s">
        <v>1517</v>
      </c>
      <c r="B24" s="2064" t="s">
        <v>1264</v>
      </c>
      <c r="C24" s="2065" t="s">
        <v>1264</v>
      </c>
      <c r="D24" s="2065" t="s">
        <v>1264</v>
      </c>
      <c r="E24" s="2065">
        <v>1</v>
      </c>
      <c r="F24" s="2065" t="s">
        <v>1264</v>
      </c>
      <c r="G24" s="2065" t="s">
        <v>1264</v>
      </c>
      <c r="H24" s="2065"/>
      <c r="I24" s="2065"/>
      <c r="J24" s="2065"/>
      <c r="K24" s="2065"/>
      <c r="L24" s="2065"/>
      <c r="M24" s="2065"/>
      <c r="N24" s="2065"/>
      <c r="O24" s="2066"/>
      <c r="P24" s="821">
        <f t="shared" si="0"/>
        <v>1</v>
      </c>
      <c r="R24" s="43"/>
      <c r="S24" s="43"/>
      <c r="T24" s="43"/>
      <c r="U24" s="43"/>
      <c r="V24" s="43"/>
      <c r="W24" s="43"/>
      <c r="X24" s="43"/>
      <c r="Y24" s="43"/>
      <c r="Z24" s="43"/>
      <c r="AA24" s="43"/>
      <c r="AB24" s="43"/>
      <c r="AC24" s="43"/>
      <c r="AD24" s="43"/>
      <c r="AE24" s="43"/>
      <c r="AF24" s="99" t="s">
        <v>74</v>
      </c>
      <c r="AG24" s="98" t="b">
        <f t="shared" si="1"/>
        <v>1</v>
      </c>
      <c r="AH24" s="1312" t="b">
        <v>0</v>
      </c>
    </row>
    <row r="25" spans="1:34" ht="15.95" customHeight="1" x14ac:dyDescent="0.2">
      <c r="A25" s="2018" t="s">
        <v>1518</v>
      </c>
      <c r="B25" s="2064" t="s">
        <v>1264</v>
      </c>
      <c r="C25" s="2065" t="s">
        <v>1264</v>
      </c>
      <c r="D25" s="2065" t="s">
        <v>1264</v>
      </c>
      <c r="E25" s="2065">
        <v>1</v>
      </c>
      <c r="F25" s="2065" t="s">
        <v>1264</v>
      </c>
      <c r="G25" s="2065" t="s">
        <v>1264</v>
      </c>
      <c r="H25" s="2065"/>
      <c r="I25" s="2065"/>
      <c r="J25" s="2065"/>
      <c r="K25" s="2065"/>
      <c r="L25" s="2065"/>
      <c r="M25" s="2065"/>
      <c r="N25" s="2065"/>
      <c r="O25" s="2066"/>
      <c r="P25" s="821">
        <f t="shared" si="0"/>
        <v>1</v>
      </c>
      <c r="R25" s="43"/>
      <c r="S25" s="43"/>
      <c r="T25" s="43"/>
      <c r="U25" s="43"/>
      <c r="V25" s="43"/>
      <c r="W25" s="43"/>
      <c r="X25" s="43"/>
      <c r="Y25" s="43"/>
      <c r="Z25" s="43"/>
      <c r="AA25" s="43"/>
      <c r="AB25" s="43"/>
      <c r="AC25" s="43"/>
      <c r="AD25" s="43"/>
      <c r="AE25" s="43"/>
      <c r="AF25" s="99" t="s">
        <v>74</v>
      </c>
      <c r="AG25" s="98" t="b">
        <f t="shared" si="1"/>
        <v>1</v>
      </c>
      <c r="AH25" s="1312" t="b">
        <v>0</v>
      </c>
    </row>
    <row r="26" spans="1:34" ht="15.95" customHeight="1" x14ac:dyDescent="0.2">
      <c r="A26" s="2018" t="s">
        <v>1519</v>
      </c>
      <c r="B26" s="2064" t="s">
        <v>1264</v>
      </c>
      <c r="C26" s="2065" t="s">
        <v>1264</v>
      </c>
      <c r="D26" s="2065" t="s">
        <v>1264</v>
      </c>
      <c r="E26" s="2065">
        <v>1</v>
      </c>
      <c r="F26" s="2065" t="s">
        <v>1264</v>
      </c>
      <c r="G26" s="2065" t="s">
        <v>1264</v>
      </c>
      <c r="H26" s="2065"/>
      <c r="I26" s="2065"/>
      <c r="J26" s="2065"/>
      <c r="K26" s="2065"/>
      <c r="L26" s="2065"/>
      <c r="M26" s="2065"/>
      <c r="N26" s="2065"/>
      <c r="O26" s="2066"/>
      <c r="P26" s="821">
        <f t="shared" si="0"/>
        <v>1</v>
      </c>
      <c r="R26" s="43"/>
      <c r="S26" s="43"/>
      <c r="T26" s="43"/>
      <c r="U26" s="43"/>
      <c r="V26" s="43"/>
      <c r="W26" s="43"/>
      <c r="X26" s="43"/>
      <c r="Y26" s="43"/>
      <c r="Z26" s="43"/>
      <c r="AA26" s="43"/>
      <c r="AB26" s="43"/>
      <c r="AC26" s="43"/>
      <c r="AD26" s="43"/>
      <c r="AE26" s="43"/>
      <c r="AF26" s="99" t="s">
        <v>74</v>
      </c>
      <c r="AG26" s="98" t="b">
        <f t="shared" si="1"/>
        <v>1</v>
      </c>
      <c r="AH26" s="1312" t="b">
        <v>0</v>
      </c>
    </row>
    <row r="27" spans="1:34" ht="15.95" customHeight="1" x14ac:dyDescent="0.2">
      <c r="A27" s="2018" t="s">
        <v>1520</v>
      </c>
      <c r="B27" s="2064" t="s">
        <v>1264</v>
      </c>
      <c r="C27" s="2065" t="s">
        <v>1264</v>
      </c>
      <c r="D27" s="2065" t="s">
        <v>1264</v>
      </c>
      <c r="E27" s="2065">
        <v>1</v>
      </c>
      <c r="F27" s="2065" t="s">
        <v>1264</v>
      </c>
      <c r="G27" s="2065" t="s">
        <v>1264</v>
      </c>
      <c r="H27" s="2065"/>
      <c r="I27" s="2065"/>
      <c r="J27" s="2065"/>
      <c r="K27" s="2065"/>
      <c r="L27" s="2065"/>
      <c r="M27" s="2065"/>
      <c r="N27" s="2065"/>
      <c r="O27" s="2066"/>
      <c r="P27" s="821">
        <f t="shared" si="0"/>
        <v>1</v>
      </c>
      <c r="R27" s="43"/>
      <c r="S27" s="43"/>
      <c r="T27" s="43"/>
      <c r="U27" s="43"/>
      <c r="V27" s="43"/>
      <c r="W27" s="43"/>
      <c r="X27" s="43"/>
      <c r="Y27" s="43"/>
      <c r="Z27" s="43"/>
      <c r="AA27" s="43"/>
      <c r="AB27" s="43"/>
      <c r="AC27" s="43"/>
      <c r="AD27" s="43"/>
      <c r="AE27" s="43"/>
      <c r="AF27" s="99" t="s">
        <v>74</v>
      </c>
      <c r="AG27" s="98" t="b">
        <f t="shared" si="1"/>
        <v>1</v>
      </c>
      <c r="AH27" s="1312" t="b">
        <v>0</v>
      </c>
    </row>
    <row r="28" spans="1:34" ht="15.95" customHeight="1" x14ac:dyDescent="0.2">
      <c r="A28" s="2018" t="s">
        <v>1521</v>
      </c>
      <c r="B28" s="2064" t="s">
        <v>1264</v>
      </c>
      <c r="C28" s="2065" t="s">
        <v>1264</v>
      </c>
      <c r="D28" s="2065" t="s">
        <v>1264</v>
      </c>
      <c r="E28" s="2065">
        <v>1</v>
      </c>
      <c r="F28" s="2065" t="s">
        <v>1264</v>
      </c>
      <c r="G28" s="2065" t="s">
        <v>1264</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74</v>
      </c>
      <c r="AG28" s="98" t="b">
        <f t="shared" si="1"/>
        <v>1</v>
      </c>
      <c r="AH28" s="1312" t="b">
        <v>0</v>
      </c>
    </row>
    <row r="29" spans="1:34" ht="15.95" customHeight="1" x14ac:dyDescent="0.2">
      <c r="A29" s="2018" t="s">
        <v>1522</v>
      </c>
      <c r="B29" s="2064" t="s">
        <v>1264</v>
      </c>
      <c r="C29" s="2065" t="s">
        <v>1264</v>
      </c>
      <c r="D29" s="2065" t="s">
        <v>1264</v>
      </c>
      <c r="E29" s="2065">
        <v>1</v>
      </c>
      <c r="F29" s="2065" t="s">
        <v>1264</v>
      </c>
      <c r="G29" s="2065" t="s">
        <v>1264</v>
      </c>
      <c r="H29" s="2065"/>
      <c r="I29" s="2065"/>
      <c r="J29" s="2065"/>
      <c r="K29" s="2065"/>
      <c r="L29" s="2065"/>
      <c r="M29" s="2065"/>
      <c r="N29" s="2065"/>
      <c r="O29" s="2066"/>
      <c r="P29" s="821">
        <f t="shared" si="0"/>
        <v>1</v>
      </c>
      <c r="R29" s="43"/>
      <c r="S29" s="43"/>
      <c r="T29" s="43"/>
      <c r="U29" s="43"/>
      <c r="V29" s="43"/>
      <c r="W29" s="43"/>
      <c r="X29" s="43"/>
      <c r="Y29" s="43"/>
      <c r="Z29" s="43"/>
      <c r="AA29" s="43"/>
      <c r="AB29" s="43"/>
      <c r="AC29" s="43"/>
      <c r="AD29" s="43"/>
      <c r="AE29" s="43"/>
      <c r="AF29" s="99" t="s">
        <v>74</v>
      </c>
      <c r="AG29" s="98" t="b">
        <f t="shared" si="1"/>
        <v>1</v>
      </c>
      <c r="AH29" s="1312" t="b">
        <v>0</v>
      </c>
    </row>
    <row r="30" spans="1:34" ht="15.95" customHeight="1" x14ac:dyDescent="0.2">
      <c r="A30" s="2018" t="s">
        <v>1523</v>
      </c>
      <c r="B30" s="2064" t="s">
        <v>1264</v>
      </c>
      <c r="C30" s="2065" t="s">
        <v>1264</v>
      </c>
      <c r="D30" s="2065" t="s">
        <v>1264</v>
      </c>
      <c r="E30" s="2065">
        <v>1</v>
      </c>
      <c r="F30" s="2065" t="s">
        <v>1264</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74</v>
      </c>
      <c r="AG30" s="98" t="b">
        <f t="shared" si="1"/>
        <v>1</v>
      </c>
      <c r="AH30" s="1312" t="b">
        <v>0</v>
      </c>
    </row>
    <row r="31" spans="1:34" ht="15.95" customHeight="1" x14ac:dyDescent="0.2">
      <c r="A31" s="2018" t="s">
        <v>1524</v>
      </c>
      <c r="B31" s="2064" t="s">
        <v>1264</v>
      </c>
      <c r="C31" s="2065" t="s">
        <v>1264</v>
      </c>
      <c r="D31" s="2065" t="s">
        <v>1264</v>
      </c>
      <c r="E31" s="2065">
        <v>1</v>
      </c>
      <c r="F31" s="2065" t="s">
        <v>1264</v>
      </c>
      <c r="G31" s="2065" t="s">
        <v>1264</v>
      </c>
      <c r="H31" s="2065"/>
      <c r="I31" s="2065"/>
      <c r="J31" s="2065"/>
      <c r="K31" s="2065"/>
      <c r="L31" s="2065"/>
      <c r="M31" s="2065"/>
      <c r="N31" s="2065"/>
      <c r="O31" s="2066"/>
      <c r="P31" s="821">
        <f t="shared" si="0"/>
        <v>1</v>
      </c>
      <c r="R31" s="43"/>
      <c r="S31" s="43"/>
      <c r="T31" s="43"/>
      <c r="U31" s="43"/>
      <c r="V31" s="43"/>
      <c r="W31" s="43"/>
      <c r="X31" s="43"/>
      <c r="Y31" s="43"/>
      <c r="Z31" s="43"/>
      <c r="AA31" s="43"/>
      <c r="AB31" s="43"/>
      <c r="AC31" s="43"/>
      <c r="AD31" s="43"/>
      <c r="AE31" s="43"/>
      <c r="AF31" s="99" t="s">
        <v>74</v>
      </c>
      <c r="AG31" s="98" t="b">
        <f t="shared" si="1"/>
        <v>1</v>
      </c>
      <c r="AH31" s="1312" t="b">
        <v>0</v>
      </c>
    </row>
    <row r="32" spans="1:34" ht="15.95" customHeight="1" x14ac:dyDescent="0.2">
      <c r="A32" s="2018" t="s">
        <v>1525</v>
      </c>
      <c r="B32" s="2064" t="s">
        <v>1264</v>
      </c>
      <c r="C32" s="2065" t="s">
        <v>1264</v>
      </c>
      <c r="D32" s="2065" t="s">
        <v>1264</v>
      </c>
      <c r="E32" s="2065">
        <v>1</v>
      </c>
      <c r="F32" s="2065" t="s">
        <v>1264</v>
      </c>
      <c r="G32" s="2065" t="s">
        <v>1264</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74</v>
      </c>
      <c r="AG32" s="98" t="b">
        <f t="shared" si="1"/>
        <v>1</v>
      </c>
      <c r="AH32" s="1312" t="b">
        <v>0</v>
      </c>
    </row>
    <row r="33" spans="1:34" ht="15.95" customHeight="1" x14ac:dyDescent="0.2">
      <c r="A33" s="2018" t="s">
        <v>1526</v>
      </c>
      <c r="B33" s="2064" t="s">
        <v>1264</v>
      </c>
      <c r="C33" s="2065" t="s">
        <v>1264</v>
      </c>
      <c r="D33" s="2065" t="s">
        <v>1264</v>
      </c>
      <c r="E33" s="2065">
        <v>2</v>
      </c>
      <c r="F33" s="2065" t="s">
        <v>1264</v>
      </c>
      <c r="G33" s="2065" t="s">
        <v>1264</v>
      </c>
      <c r="H33" s="2065"/>
      <c r="I33" s="2065"/>
      <c r="J33" s="2065"/>
      <c r="K33" s="2065"/>
      <c r="L33" s="2065"/>
      <c r="M33" s="2065"/>
      <c r="N33" s="2065"/>
      <c r="O33" s="2066"/>
      <c r="P33" s="821">
        <f t="shared" si="0"/>
        <v>2</v>
      </c>
      <c r="R33" s="43"/>
      <c r="S33" s="43"/>
      <c r="T33" s="43"/>
      <c r="U33" s="43"/>
      <c r="V33" s="43"/>
      <c r="W33" s="43"/>
      <c r="X33" s="43"/>
      <c r="Y33" s="43"/>
      <c r="Z33" s="43"/>
      <c r="AA33" s="43"/>
      <c r="AB33" s="43"/>
      <c r="AC33" s="43"/>
      <c r="AD33" s="43"/>
      <c r="AE33" s="43"/>
      <c r="AF33" s="99" t="s">
        <v>74</v>
      </c>
      <c r="AG33" s="98" t="b">
        <f t="shared" si="1"/>
        <v>1</v>
      </c>
      <c r="AH33" s="1312" t="b">
        <v>0</v>
      </c>
    </row>
    <row r="34" spans="1:34" ht="15.95" customHeight="1" x14ac:dyDescent="0.2">
      <c r="A34" s="2018" t="s">
        <v>1527</v>
      </c>
      <c r="B34" s="2064" t="s">
        <v>1264</v>
      </c>
      <c r="C34" s="2065" t="s">
        <v>1264</v>
      </c>
      <c r="D34" s="2065" t="s">
        <v>1264</v>
      </c>
      <c r="E34" s="2065">
        <v>1</v>
      </c>
      <c r="F34" s="2065" t="s">
        <v>1264</v>
      </c>
      <c r="G34" s="2065" t="s">
        <v>1264</v>
      </c>
      <c r="H34" s="2065"/>
      <c r="I34" s="2065"/>
      <c r="J34" s="2065"/>
      <c r="K34" s="2065"/>
      <c r="L34" s="2065"/>
      <c r="M34" s="2065"/>
      <c r="N34" s="2065"/>
      <c r="O34" s="2066"/>
      <c r="P34" s="821">
        <f t="shared" si="0"/>
        <v>1</v>
      </c>
      <c r="R34" s="43"/>
      <c r="S34" s="43"/>
      <c r="T34" s="43"/>
      <c r="U34" s="43"/>
      <c r="V34" s="43"/>
      <c r="W34" s="43"/>
      <c r="X34" s="43"/>
      <c r="Y34" s="43"/>
      <c r="Z34" s="43"/>
      <c r="AA34" s="43"/>
      <c r="AB34" s="43"/>
      <c r="AC34" s="43"/>
      <c r="AD34" s="43"/>
      <c r="AE34" s="43"/>
      <c r="AF34" s="99" t="s">
        <v>74</v>
      </c>
      <c r="AG34" s="98" t="b">
        <f t="shared" si="1"/>
        <v>1</v>
      </c>
      <c r="AH34" s="1312" t="b">
        <v>0</v>
      </c>
    </row>
    <row r="35" spans="1:34" ht="15.95" customHeight="1" x14ac:dyDescent="0.2">
      <c r="A35" s="2018" t="s">
        <v>1528</v>
      </c>
      <c r="B35" s="2064" t="s">
        <v>1264</v>
      </c>
      <c r="C35" s="2065" t="s">
        <v>1264</v>
      </c>
      <c r="D35" s="2065" t="s">
        <v>1264</v>
      </c>
      <c r="E35" s="2065">
        <v>1</v>
      </c>
      <c r="F35" s="2065" t="s">
        <v>1264</v>
      </c>
      <c r="G35" s="2065" t="s">
        <v>1264</v>
      </c>
      <c r="H35" s="2065"/>
      <c r="I35" s="2065"/>
      <c r="J35" s="2065"/>
      <c r="K35" s="2065"/>
      <c r="L35" s="2065"/>
      <c r="M35" s="2065"/>
      <c r="N35" s="2065"/>
      <c r="O35" s="2066"/>
      <c r="P35" s="821">
        <f t="shared" si="0"/>
        <v>1</v>
      </c>
      <c r="R35" s="43"/>
      <c r="S35" s="43"/>
      <c r="T35" s="43"/>
      <c r="U35" s="43"/>
      <c r="V35" s="43"/>
      <c r="W35" s="43"/>
      <c r="X35" s="43"/>
      <c r="Y35" s="43"/>
      <c r="Z35" s="43"/>
      <c r="AA35" s="43"/>
      <c r="AB35" s="43"/>
      <c r="AC35" s="43"/>
      <c r="AD35" s="43"/>
      <c r="AE35" s="43"/>
      <c r="AF35" s="99" t="s">
        <v>74</v>
      </c>
      <c r="AG35" s="98" t="b">
        <f t="shared" si="1"/>
        <v>1</v>
      </c>
      <c r="AH35" s="1312" t="b">
        <v>0</v>
      </c>
    </row>
    <row r="36" spans="1:34" ht="15.95" customHeight="1" x14ac:dyDescent="0.2">
      <c r="A36" s="2018" t="s">
        <v>1529</v>
      </c>
      <c r="B36" s="2064" t="s">
        <v>1264</v>
      </c>
      <c r="C36" s="2065" t="s">
        <v>1264</v>
      </c>
      <c r="D36" s="2065" t="s">
        <v>1264</v>
      </c>
      <c r="E36" s="2065">
        <v>1</v>
      </c>
      <c r="F36" s="2065" t="s">
        <v>1264</v>
      </c>
      <c r="G36" s="2065" t="s">
        <v>1264</v>
      </c>
      <c r="H36" s="2065"/>
      <c r="I36" s="2065"/>
      <c r="J36" s="2065"/>
      <c r="K36" s="2065"/>
      <c r="L36" s="2065"/>
      <c r="M36" s="2065"/>
      <c r="N36" s="2065"/>
      <c r="O36" s="2066"/>
      <c r="P36" s="821">
        <f t="shared" si="0"/>
        <v>1</v>
      </c>
      <c r="R36" s="43"/>
      <c r="S36" s="43"/>
      <c r="T36" s="43"/>
      <c r="U36" s="43"/>
      <c r="V36" s="43"/>
      <c r="W36" s="43"/>
      <c r="X36" s="43"/>
      <c r="Y36" s="43"/>
      <c r="Z36" s="43"/>
      <c r="AA36" s="43"/>
      <c r="AB36" s="43"/>
      <c r="AC36" s="43"/>
      <c r="AD36" s="43"/>
      <c r="AE36" s="43"/>
      <c r="AF36" s="99" t="s">
        <v>74</v>
      </c>
      <c r="AG36" s="98" t="b">
        <f t="shared" si="1"/>
        <v>1</v>
      </c>
      <c r="AH36" s="1312" t="b">
        <v>0</v>
      </c>
    </row>
    <row r="37" spans="1:34" ht="15.95" customHeight="1" x14ac:dyDescent="0.2">
      <c r="A37" s="2018" t="s">
        <v>1530</v>
      </c>
      <c r="B37" s="2064" t="s">
        <v>1264</v>
      </c>
      <c r="C37" s="2065" t="s">
        <v>1264</v>
      </c>
      <c r="D37" s="2065" t="s">
        <v>1264</v>
      </c>
      <c r="E37" s="2065">
        <v>1</v>
      </c>
      <c r="F37" s="2065" t="s">
        <v>1264</v>
      </c>
      <c r="G37" s="2065" t="s">
        <v>1264</v>
      </c>
      <c r="H37" s="2065"/>
      <c r="I37" s="2065"/>
      <c r="J37" s="2065"/>
      <c r="K37" s="2065"/>
      <c r="L37" s="2065"/>
      <c r="M37" s="2065"/>
      <c r="N37" s="2065"/>
      <c r="O37" s="2066"/>
      <c r="P37" s="821">
        <f t="shared" si="0"/>
        <v>1</v>
      </c>
      <c r="R37" s="43"/>
      <c r="S37" s="43"/>
      <c r="T37" s="43"/>
      <c r="U37" s="43"/>
      <c r="V37" s="43"/>
      <c r="W37" s="43"/>
      <c r="X37" s="43"/>
      <c r="Y37" s="43"/>
      <c r="Z37" s="43"/>
      <c r="AA37" s="43"/>
      <c r="AB37" s="43"/>
      <c r="AC37" s="43"/>
      <c r="AD37" s="43"/>
      <c r="AE37" s="43"/>
      <c r="AF37" s="99" t="s">
        <v>74</v>
      </c>
      <c r="AG37" s="98" t="b">
        <f t="shared" si="1"/>
        <v>1</v>
      </c>
      <c r="AH37" s="1312" t="b">
        <v>0</v>
      </c>
    </row>
    <row r="38" spans="1:34" ht="15.95" customHeight="1" x14ac:dyDescent="0.2">
      <c r="A38" s="2018" t="s">
        <v>1531</v>
      </c>
      <c r="B38" s="2064" t="s">
        <v>1264</v>
      </c>
      <c r="C38" s="2065" t="s">
        <v>1264</v>
      </c>
      <c r="D38" s="2065" t="s">
        <v>1264</v>
      </c>
      <c r="E38" s="2065">
        <v>1</v>
      </c>
      <c r="F38" s="2065" t="s">
        <v>1264</v>
      </c>
      <c r="G38" s="2065" t="s">
        <v>1264</v>
      </c>
      <c r="H38" s="2065"/>
      <c r="I38" s="2065"/>
      <c r="J38" s="2065"/>
      <c r="K38" s="2065"/>
      <c r="L38" s="2065"/>
      <c r="M38" s="2065"/>
      <c r="N38" s="2065"/>
      <c r="O38" s="2066"/>
      <c r="P38" s="821">
        <f t="shared" si="0"/>
        <v>1</v>
      </c>
      <c r="R38" s="43"/>
      <c r="S38" s="43"/>
      <c r="T38" s="43"/>
      <c r="U38" s="43"/>
      <c r="V38" s="43"/>
      <c r="W38" s="43"/>
      <c r="X38" s="43"/>
      <c r="Y38" s="43"/>
      <c r="Z38" s="43"/>
      <c r="AA38" s="43"/>
      <c r="AB38" s="43"/>
      <c r="AC38" s="43"/>
      <c r="AD38" s="43"/>
      <c r="AE38" s="43"/>
      <c r="AF38" s="99" t="s">
        <v>74</v>
      </c>
      <c r="AG38" s="98" t="b">
        <f t="shared" si="1"/>
        <v>1</v>
      </c>
      <c r="AH38" s="1312" t="b">
        <v>0</v>
      </c>
    </row>
    <row r="39" spans="1:34" ht="15.95" customHeight="1" x14ac:dyDescent="0.2">
      <c r="A39" s="2018" t="s">
        <v>1532</v>
      </c>
      <c r="B39" s="2064" t="s">
        <v>1264</v>
      </c>
      <c r="C39" s="2065" t="s">
        <v>1264</v>
      </c>
      <c r="D39" s="2065" t="s">
        <v>1264</v>
      </c>
      <c r="E39" s="2065">
        <v>1</v>
      </c>
      <c r="F39" s="2065" t="s">
        <v>1264</v>
      </c>
      <c r="G39" s="2065" t="s">
        <v>1264</v>
      </c>
      <c r="H39" s="2065"/>
      <c r="I39" s="2065"/>
      <c r="J39" s="2065"/>
      <c r="K39" s="2065"/>
      <c r="L39" s="2065"/>
      <c r="M39" s="2065"/>
      <c r="N39" s="2065"/>
      <c r="O39" s="2066"/>
      <c r="P39" s="821">
        <f t="shared" si="0"/>
        <v>1</v>
      </c>
      <c r="R39" s="43"/>
      <c r="S39" s="43"/>
      <c r="T39" s="43"/>
      <c r="U39" s="43"/>
      <c r="V39" s="43"/>
      <c r="W39" s="43"/>
      <c r="X39" s="43"/>
      <c r="Y39" s="43"/>
      <c r="Z39" s="43"/>
      <c r="AA39" s="43"/>
      <c r="AB39" s="43"/>
      <c r="AC39" s="43"/>
      <c r="AD39" s="43"/>
      <c r="AE39" s="43"/>
      <c r="AF39" s="99" t="s">
        <v>74</v>
      </c>
      <c r="AG39" s="98" t="b">
        <f t="shared" si="1"/>
        <v>1</v>
      </c>
      <c r="AH39" s="1312" t="b">
        <v>0</v>
      </c>
    </row>
    <row r="40" spans="1:34" ht="15.95" customHeight="1" x14ac:dyDescent="0.2">
      <c r="A40" s="2018" t="s">
        <v>1533</v>
      </c>
      <c r="B40" s="2064" t="s">
        <v>1264</v>
      </c>
      <c r="C40" s="2065" t="s">
        <v>1264</v>
      </c>
      <c r="D40" s="2065" t="s">
        <v>1264</v>
      </c>
      <c r="E40" s="2065">
        <v>3</v>
      </c>
      <c r="F40" s="2065" t="s">
        <v>1264</v>
      </c>
      <c r="G40" s="2065" t="s">
        <v>1264</v>
      </c>
      <c r="H40" s="2065"/>
      <c r="I40" s="2065"/>
      <c r="J40" s="2065"/>
      <c r="K40" s="2065"/>
      <c r="L40" s="2065"/>
      <c r="M40" s="2065"/>
      <c r="N40" s="2065"/>
      <c r="O40" s="2066"/>
      <c r="P40" s="821">
        <f t="shared" si="0"/>
        <v>3</v>
      </c>
      <c r="R40" s="43"/>
      <c r="S40" s="43"/>
      <c r="T40" s="43"/>
      <c r="U40" s="43"/>
      <c r="V40" s="43"/>
      <c r="W40" s="43"/>
      <c r="X40" s="43"/>
      <c r="Y40" s="43"/>
      <c r="Z40" s="43"/>
      <c r="AA40" s="43"/>
      <c r="AB40" s="43"/>
      <c r="AC40" s="43"/>
      <c r="AD40" s="43"/>
      <c r="AE40" s="43"/>
      <c r="AF40" s="99" t="s">
        <v>74</v>
      </c>
      <c r="AG40" s="98" t="b">
        <f t="shared" si="1"/>
        <v>1</v>
      </c>
      <c r="AH40" s="1312" t="b">
        <v>0</v>
      </c>
    </row>
    <row r="41" spans="1:34" ht="15.95" customHeight="1" x14ac:dyDescent="0.2">
      <c r="A41" s="2018" t="s">
        <v>1534</v>
      </c>
      <c r="B41" s="2064" t="s">
        <v>1264</v>
      </c>
      <c r="C41" s="2065" t="s">
        <v>1264</v>
      </c>
      <c r="D41" s="2065" t="s">
        <v>1264</v>
      </c>
      <c r="E41" s="2065">
        <v>1</v>
      </c>
      <c r="F41" s="2065" t="s">
        <v>1264</v>
      </c>
      <c r="G41" s="2065" t="s">
        <v>1264</v>
      </c>
      <c r="H41" s="2065"/>
      <c r="I41" s="2065"/>
      <c r="J41" s="2065"/>
      <c r="K41" s="2065"/>
      <c r="L41" s="2065"/>
      <c r="M41" s="2065"/>
      <c r="N41" s="2065"/>
      <c r="O41" s="2066"/>
      <c r="P41" s="821">
        <f t="shared" si="0"/>
        <v>1</v>
      </c>
      <c r="R41" s="43"/>
      <c r="S41" s="43"/>
      <c r="T41" s="43"/>
      <c r="U41" s="43"/>
      <c r="V41" s="43"/>
      <c r="W41" s="43"/>
      <c r="X41" s="43"/>
      <c r="Y41" s="43"/>
      <c r="Z41" s="43"/>
      <c r="AA41" s="43"/>
      <c r="AB41" s="43"/>
      <c r="AC41" s="43"/>
      <c r="AD41" s="43"/>
      <c r="AE41" s="43"/>
      <c r="AF41" s="99" t="s">
        <v>74</v>
      </c>
      <c r="AG41" s="98" t="b">
        <f t="shared" si="1"/>
        <v>1</v>
      </c>
      <c r="AH41" s="1312" t="b">
        <v>0</v>
      </c>
    </row>
    <row r="42" spans="1:34" ht="15.95" customHeight="1" x14ac:dyDescent="0.2">
      <c r="A42" s="2018" t="s">
        <v>1535</v>
      </c>
      <c r="B42" s="2064" t="s">
        <v>1264</v>
      </c>
      <c r="C42" s="2065" t="s">
        <v>1264</v>
      </c>
      <c r="D42" s="2065" t="s">
        <v>1264</v>
      </c>
      <c r="E42" s="2065">
        <v>1</v>
      </c>
      <c r="F42" s="2065" t="s">
        <v>1264</v>
      </c>
      <c r="G42" s="2065" t="s">
        <v>1264</v>
      </c>
      <c r="H42" s="2065"/>
      <c r="I42" s="2065"/>
      <c r="J42" s="2065"/>
      <c r="K42" s="2065"/>
      <c r="L42" s="2065"/>
      <c r="M42" s="2065"/>
      <c r="N42" s="2065"/>
      <c r="O42" s="2066"/>
      <c r="P42" s="821">
        <f t="shared" si="0"/>
        <v>1</v>
      </c>
      <c r="R42" s="43"/>
      <c r="S42" s="43"/>
      <c r="T42" s="43"/>
      <c r="U42" s="43"/>
      <c r="V42" s="43"/>
      <c r="W42" s="43"/>
      <c r="X42" s="43"/>
      <c r="Y42" s="43"/>
      <c r="Z42" s="43"/>
      <c r="AA42" s="43"/>
      <c r="AB42" s="43"/>
      <c r="AC42" s="43"/>
      <c r="AD42" s="43"/>
      <c r="AE42" s="43"/>
      <c r="AF42" s="99" t="s">
        <v>74</v>
      </c>
      <c r="AG42" s="98" t="b">
        <f t="shared" si="1"/>
        <v>1</v>
      </c>
      <c r="AH42" s="1312" t="b">
        <v>0</v>
      </c>
    </row>
    <row r="43" spans="1:34" ht="15.95" customHeight="1" x14ac:dyDescent="0.2">
      <c r="A43" s="2018" t="s">
        <v>1536</v>
      </c>
      <c r="B43" s="2064" t="s">
        <v>1264</v>
      </c>
      <c r="C43" s="2065" t="s">
        <v>1264</v>
      </c>
      <c r="D43" s="2065" t="s">
        <v>1264</v>
      </c>
      <c r="E43" s="2065">
        <v>1</v>
      </c>
      <c r="F43" s="2065" t="s">
        <v>1264</v>
      </c>
      <c r="G43" s="2065" t="s">
        <v>1264</v>
      </c>
      <c r="H43" s="2065"/>
      <c r="I43" s="2065"/>
      <c r="J43" s="2065"/>
      <c r="K43" s="2065"/>
      <c r="L43" s="2065"/>
      <c r="M43" s="2065"/>
      <c r="N43" s="2065"/>
      <c r="O43" s="2066"/>
      <c r="P43" s="821">
        <f t="shared" si="0"/>
        <v>1</v>
      </c>
      <c r="R43" s="43"/>
      <c r="S43" s="43"/>
      <c r="T43" s="43"/>
      <c r="U43" s="43"/>
      <c r="V43" s="43"/>
      <c r="W43" s="43"/>
      <c r="X43" s="43"/>
      <c r="Y43" s="43"/>
      <c r="Z43" s="43"/>
      <c r="AA43" s="43"/>
      <c r="AB43" s="43"/>
      <c r="AC43" s="43"/>
      <c r="AD43" s="43"/>
      <c r="AE43" s="43"/>
      <c r="AF43" s="99" t="s">
        <v>74</v>
      </c>
      <c r="AG43" s="98" t="b">
        <f t="shared" si="1"/>
        <v>1</v>
      </c>
      <c r="AH43" s="1312" t="b">
        <v>0</v>
      </c>
    </row>
    <row r="44" spans="1:34" ht="15.95" customHeight="1" x14ac:dyDescent="0.2">
      <c r="A44" s="2018" t="s">
        <v>1537</v>
      </c>
      <c r="B44" s="2064" t="s">
        <v>1264</v>
      </c>
      <c r="C44" s="2065" t="s">
        <v>1264</v>
      </c>
      <c r="D44" s="2065" t="s">
        <v>1264</v>
      </c>
      <c r="E44" s="2065">
        <v>1</v>
      </c>
      <c r="F44" s="2065" t="s">
        <v>1264</v>
      </c>
      <c r="G44" s="2065" t="s">
        <v>1264</v>
      </c>
      <c r="H44" s="2065"/>
      <c r="I44" s="2065"/>
      <c r="J44" s="2065"/>
      <c r="K44" s="2065"/>
      <c r="L44" s="2065"/>
      <c r="M44" s="2065"/>
      <c r="N44" s="2065"/>
      <c r="O44" s="2066"/>
      <c r="P44" s="821">
        <f t="shared" si="0"/>
        <v>1</v>
      </c>
      <c r="R44" s="43"/>
      <c r="S44" s="43"/>
      <c r="T44" s="43"/>
      <c r="U44" s="43"/>
      <c r="V44" s="43"/>
      <c r="W44" s="43"/>
      <c r="X44" s="43"/>
      <c r="Y44" s="43"/>
      <c r="Z44" s="43"/>
      <c r="AA44" s="43"/>
      <c r="AB44" s="43"/>
      <c r="AC44" s="43"/>
      <c r="AD44" s="43"/>
      <c r="AE44" s="43"/>
      <c r="AF44" s="99" t="s">
        <v>74</v>
      </c>
      <c r="AG44" s="98" t="b">
        <f t="shared" si="1"/>
        <v>1</v>
      </c>
      <c r="AH44" s="1312" t="b">
        <v>0</v>
      </c>
    </row>
    <row r="45" spans="1:34" ht="15.95" customHeight="1" x14ac:dyDescent="0.2">
      <c r="A45" s="2018" t="s">
        <v>1538</v>
      </c>
      <c r="B45" s="2064" t="s">
        <v>1264</v>
      </c>
      <c r="C45" s="2065" t="s">
        <v>1264</v>
      </c>
      <c r="D45" s="2065" t="s">
        <v>1264</v>
      </c>
      <c r="E45" s="2065" t="s">
        <v>1264</v>
      </c>
      <c r="F45" s="2065">
        <v>1</v>
      </c>
      <c r="G45" s="2065" t="s">
        <v>1264</v>
      </c>
      <c r="H45" s="2065"/>
      <c r="I45" s="2065"/>
      <c r="J45" s="2065"/>
      <c r="K45" s="2065"/>
      <c r="L45" s="2065"/>
      <c r="M45" s="2065"/>
      <c r="N45" s="2065"/>
      <c r="O45" s="2066"/>
      <c r="P45" s="821">
        <f t="shared" si="0"/>
        <v>1</v>
      </c>
      <c r="R45" s="43"/>
      <c r="S45" s="43"/>
      <c r="T45" s="43"/>
      <c r="U45" s="43"/>
      <c r="V45" s="43"/>
      <c r="W45" s="43"/>
      <c r="X45" s="43"/>
      <c r="Y45" s="43"/>
      <c r="Z45" s="43"/>
      <c r="AA45" s="43"/>
      <c r="AB45" s="43"/>
      <c r="AC45" s="43"/>
      <c r="AD45" s="43"/>
      <c r="AE45" s="43"/>
      <c r="AF45" s="99" t="s">
        <v>74</v>
      </c>
      <c r="AG45" s="98" t="b">
        <f t="shared" si="1"/>
        <v>1</v>
      </c>
      <c r="AH45" s="1312" t="b">
        <v>0</v>
      </c>
    </row>
    <row r="46" spans="1:34" ht="15.95" customHeight="1" x14ac:dyDescent="0.2">
      <c r="A46" s="2018" t="s">
        <v>1539</v>
      </c>
      <c r="B46" s="2064" t="s">
        <v>1264</v>
      </c>
      <c r="C46" s="2065" t="s">
        <v>1264</v>
      </c>
      <c r="D46" s="2065" t="s">
        <v>1264</v>
      </c>
      <c r="E46" s="2065" t="s">
        <v>1264</v>
      </c>
      <c r="F46" s="2065">
        <v>1</v>
      </c>
      <c r="G46" s="2065" t="s">
        <v>1264</v>
      </c>
      <c r="H46" s="2065"/>
      <c r="I46" s="2065"/>
      <c r="J46" s="2065"/>
      <c r="K46" s="2065"/>
      <c r="L46" s="2065"/>
      <c r="M46" s="2065"/>
      <c r="N46" s="2065"/>
      <c r="O46" s="2066"/>
      <c r="P46" s="821">
        <f t="shared" si="0"/>
        <v>1</v>
      </c>
      <c r="R46" s="43"/>
      <c r="S46" s="43"/>
      <c r="T46" s="43"/>
      <c r="U46" s="43"/>
      <c r="V46" s="43"/>
      <c r="W46" s="43"/>
      <c r="X46" s="43"/>
      <c r="Y46" s="43"/>
      <c r="Z46" s="43"/>
      <c r="AA46" s="43"/>
      <c r="AB46" s="43"/>
      <c r="AC46" s="43"/>
      <c r="AD46" s="43"/>
      <c r="AE46" s="43"/>
      <c r="AF46" s="99" t="s">
        <v>74</v>
      </c>
      <c r="AG46" s="98" t="b">
        <f t="shared" si="1"/>
        <v>1</v>
      </c>
      <c r="AH46" s="1312" t="b">
        <v>0</v>
      </c>
    </row>
    <row r="47" spans="1:34" ht="15.95" customHeight="1" x14ac:dyDescent="0.2">
      <c r="A47" s="2018" t="s">
        <v>1540</v>
      </c>
      <c r="B47" s="2064" t="s">
        <v>1264</v>
      </c>
      <c r="C47" s="2065" t="s">
        <v>1264</v>
      </c>
      <c r="D47" s="2065" t="s">
        <v>1264</v>
      </c>
      <c r="E47" s="2065" t="s">
        <v>1264</v>
      </c>
      <c r="F47" s="2065">
        <v>1</v>
      </c>
      <c r="G47" s="2065" t="s">
        <v>1264</v>
      </c>
      <c r="H47" s="2065"/>
      <c r="I47" s="2065"/>
      <c r="J47" s="2065"/>
      <c r="K47" s="2065"/>
      <c r="L47" s="2065"/>
      <c r="M47" s="2065"/>
      <c r="N47" s="2065"/>
      <c r="O47" s="2066"/>
      <c r="P47" s="821">
        <f t="shared" si="0"/>
        <v>1</v>
      </c>
      <c r="R47" s="43"/>
      <c r="S47" s="43"/>
      <c r="T47" s="43"/>
      <c r="U47" s="43"/>
      <c r="V47" s="43"/>
      <c r="W47" s="43"/>
      <c r="X47" s="43"/>
      <c r="Y47" s="43"/>
      <c r="Z47" s="43"/>
      <c r="AA47" s="43"/>
      <c r="AB47" s="43"/>
      <c r="AC47" s="43"/>
      <c r="AD47" s="43"/>
      <c r="AE47" s="43"/>
      <c r="AF47" s="99" t="s">
        <v>74</v>
      </c>
      <c r="AG47" s="98" t="b">
        <f t="shared" si="1"/>
        <v>1</v>
      </c>
      <c r="AH47" s="1312" t="b">
        <v>0</v>
      </c>
    </row>
    <row r="48" spans="1:34" ht="15.95" customHeight="1" x14ac:dyDescent="0.2">
      <c r="A48" s="2018" t="s">
        <v>1541</v>
      </c>
      <c r="B48" s="2064" t="s">
        <v>1264</v>
      </c>
      <c r="C48" s="2065" t="s">
        <v>1264</v>
      </c>
      <c r="D48" s="2065" t="s">
        <v>1264</v>
      </c>
      <c r="E48" s="2065" t="s">
        <v>1264</v>
      </c>
      <c r="F48" s="2065">
        <v>1</v>
      </c>
      <c r="G48" s="2065" t="s">
        <v>1264</v>
      </c>
      <c r="H48" s="2065"/>
      <c r="I48" s="2065"/>
      <c r="J48" s="2065"/>
      <c r="K48" s="2065"/>
      <c r="L48" s="2065"/>
      <c r="M48" s="2065"/>
      <c r="N48" s="2065"/>
      <c r="O48" s="2066"/>
      <c r="P48" s="821">
        <f t="shared" si="0"/>
        <v>1</v>
      </c>
      <c r="R48" s="43"/>
      <c r="S48" s="43"/>
      <c r="T48" s="43"/>
      <c r="U48" s="43"/>
      <c r="V48" s="43"/>
      <c r="W48" s="43"/>
      <c r="X48" s="43"/>
      <c r="Y48" s="43"/>
      <c r="Z48" s="43"/>
      <c r="AA48" s="43"/>
      <c r="AB48" s="43"/>
      <c r="AC48" s="43"/>
      <c r="AD48" s="43"/>
      <c r="AE48" s="43"/>
      <c r="AF48" s="99" t="s">
        <v>74</v>
      </c>
      <c r="AG48" s="98" t="b">
        <f t="shared" si="1"/>
        <v>1</v>
      </c>
      <c r="AH48" s="1312" t="b">
        <v>0</v>
      </c>
    </row>
    <row r="49" spans="1:34" ht="15.95" customHeight="1" x14ac:dyDescent="0.2">
      <c r="A49" s="2019" t="s">
        <v>1542</v>
      </c>
      <c r="B49" s="2067" t="s">
        <v>1264</v>
      </c>
      <c r="C49" s="2068" t="s">
        <v>1264</v>
      </c>
      <c r="D49" s="2068" t="s">
        <v>1264</v>
      </c>
      <c r="E49" s="2068" t="s">
        <v>1264</v>
      </c>
      <c r="F49" s="2068">
        <v>7</v>
      </c>
      <c r="G49" s="2068">
        <v>8</v>
      </c>
      <c r="H49" s="2068"/>
      <c r="I49" s="2068"/>
      <c r="J49" s="2068"/>
      <c r="K49" s="2068"/>
      <c r="L49" s="2068"/>
      <c r="M49" s="2068"/>
      <c r="N49" s="2068"/>
      <c r="O49" s="2069"/>
      <c r="P49" s="821">
        <f t="shared" si="0"/>
        <v>15</v>
      </c>
      <c r="R49" s="43"/>
      <c r="S49" s="43"/>
      <c r="T49" s="43"/>
      <c r="U49" s="43"/>
      <c r="V49" s="43"/>
      <c r="W49" s="43"/>
      <c r="X49" s="43"/>
      <c r="Y49" s="43"/>
      <c r="Z49" s="43"/>
      <c r="AA49" s="43"/>
      <c r="AB49" s="43"/>
      <c r="AC49" s="43"/>
      <c r="AD49" s="43"/>
      <c r="AE49" s="43"/>
      <c r="AF49" s="99" t="s">
        <v>75</v>
      </c>
      <c r="AG49" s="98" t="b">
        <f t="shared" si="1"/>
        <v>1</v>
      </c>
      <c r="AH49" s="1312" t="b">
        <v>0</v>
      </c>
    </row>
    <row r="50" spans="1:34" ht="15" customHeight="1" x14ac:dyDescent="0.2">
      <c r="A50" s="817" t="s">
        <v>91</v>
      </c>
      <c r="B50" s="818">
        <f t="shared" ref="B50:O50" si="2">IF(ISBLANK(B13),"",SUM(B14:B49))</f>
        <v>0</v>
      </c>
      <c r="C50" s="818">
        <f t="shared" si="2"/>
        <v>0</v>
      </c>
      <c r="D50" s="818">
        <f t="shared" si="2"/>
        <v>0</v>
      </c>
      <c r="E50" s="818">
        <f t="shared" si="2"/>
        <v>36</v>
      </c>
      <c r="F50" s="818">
        <f t="shared" si="2"/>
        <v>11</v>
      </c>
      <c r="G50" s="818">
        <f t="shared" si="2"/>
        <v>8</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2018</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6T5zIXoV9Yuj9jQL/wks04cua84wiE8ttakFZd2mMUlWLMmzZFrDGXj4rIUbcfMCZhXYZex4R9A5CaLhlHeACw==" saltValue="fToKob1k8Jsj6LYtSf0iO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381" priority="2">
      <formula>OR(A14="Girder",A14="Girders",A14="Joist",A14="Joists",A14="Bridging")</formula>
    </cfRule>
    <cfRule type="expression" dxfId="1380" priority="3">
      <formula>AND(P14&gt;0,ISBLANK(AF14),OR($R$1="",$R$1="M"))</formula>
    </cfRule>
    <cfRule type="expression" dxfId="1379" priority="9">
      <formula>$AH14</formula>
    </cfRule>
  </conditionalFormatting>
  <conditionalFormatting sqref="H2:J4">
    <cfRule type="cellIs" dxfId="1378" priority="7" stopIfTrue="1" operator="equal">
      <formula>""</formula>
    </cfRule>
  </conditionalFormatting>
  <conditionalFormatting sqref="B14:O49">
    <cfRule type="expression" dxfId="1377" priority="4">
      <formula>IF($R$1="M",AND(B14&gt;R14,R14&gt;0),B14&lt;R14)</formula>
    </cfRule>
    <cfRule type="expression" dxfId="1376" priority="5">
      <formula>OR(AND($R$1="M",B14=R14),B14="-")</formula>
    </cfRule>
    <cfRule type="expression" dxfId="1375" priority="6">
      <formula>IF(NOT(ISBLANK($R$1)),IF($R$1="M",IF(ISTEXT(B14),0,B14)&lt;R14,IF(ISTEXT(B14),0,B14)&gt;R14))</formula>
    </cfRule>
    <cfRule type="expression" dxfId="1374" priority="8">
      <formula>OR($AH14,B$63)</formula>
    </cfRule>
  </conditionalFormatting>
  <conditionalFormatting sqref="B13:O13">
    <cfRule type="expression" dxfId="1373" priority="1">
      <formula>AND(NOT(ISBLANK(B$13)),ISERROR(MATCH(B$13,$AK:$AK,0)))</formula>
    </cfRule>
    <cfRule type="expression" dxfId="137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indexed="31"/>
  </sheetPr>
  <dimension ref="A1:AL65"/>
  <sheetViews>
    <sheetView showGridLines="0" topLeftCell="A19"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21 of 42</v>
      </c>
      <c r="M7" s="822"/>
      <c r="N7" s="473"/>
      <c r="O7" s="473"/>
      <c r="P7" s="566"/>
      <c r="R7" s="1393">
        <v>21</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1543</v>
      </c>
      <c r="B15" s="2064" t="s">
        <v>1264</v>
      </c>
      <c r="C15" s="2065" t="s">
        <v>1264</v>
      </c>
      <c r="D15" s="2065" t="s">
        <v>1264</v>
      </c>
      <c r="E15" s="2065" t="s">
        <v>1264</v>
      </c>
      <c r="F15" s="2065">
        <v>6</v>
      </c>
      <c r="G15" s="2065">
        <v>6</v>
      </c>
      <c r="H15" s="2065"/>
      <c r="I15" s="2065"/>
      <c r="J15" s="2065"/>
      <c r="K15" s="2065"/>
      <c r="L15" s="2065"/>
      <c r="M15" s="2065"/>
      <c r="N15" s="2065"/>
      <c r="O15" s="2066"/>
      <c r="P15" s="821">
        <f t="shared" si="0"/>
        <v>12</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1544</v>
      </c>
      <c r="B16" s="2064" t="s">
        <v>1264</v>
      </c>
      <c r="C16" s="2065" t="s">
        <v>1264</v>
      </c>
      <c r="D16" s="2065" t="s">
        <v>1264</v>
      </c>
      <c r="E16" s="2065" t="s">
        <v>1264</v>
      </c>
      <c r="F16" s="2065">
        <v>30</v>
      </c>
      <c r="G16" s="2065">
        <v>33</v>
      </c>
      <c r="H16" s="2065"/>
      <c r="I16" s="2065"/>
      <c r="J16" s="2065"/>
      <c r="K16" s="2065"/>
      <c r="L16" s="2065"/>
      <c r="M16" s="2065"/>
      <c r="N16" s="2065"/>
      <c r="O16" s="2066"/>
      <c r="P16" s="821">
        <f t="shared" si="0"/>
        <v>63</v>
      </c>
      <c r="R16" s="43"/>
      <c r="S16" s="43"/>
      <c r="T16" s="43"/>
      <c r="U16" s="43"/>
      <c r="V16" s="43"/>
      <c r="W16" s="43"/>
      <c r="X16" s="43"/>
      <c r="Y16" s="43"/>
      <c r="Z16" s="43"/>
      <c r="AA16" s="43"/>
      <c r="AB16" s="43"/>
      <c r="AC16" s="43"/>
      <c r="AD16" s="43"/>
      <c r="AE16" s="43"/>
      <c r="AF16" s="99" t="s">
        <v>75</v>
      </c>
      <c r="AG16" s="98" t="b">
        <f t="shared" si="1"/>
        <v>1</v>
      </c>
      <c r="AH16" s="1312" t="b">
        <v>0</v>
      </c>
    </row>
    <row r="17" spans="1:34" ht="15.95" customHeight="1" x14ac:dyDescent="0.2">
      <c r="A17" s="2018" t="s">
        <v>1545</v>
      </c>
      <c r="B17" s="2064" t="s">
        <v>1264</v>
      </c>
      <c r="C17" s="2065" t="s">
        <v>1264</v>
      </c>
      <c r="D17" s="2065" t="s">
        <v>1264</v>
      </c>
      <c r="E17" s="2065" t="s">
        <v>1264</v>
      </c>
      <c r="F17" s="2065">
        <v>1</v>
      </c>
      <c r="G17" s="2065" t="s">
        <v>1264</v>
      </c>
      <c r="H17" s="2065"/>
      <c r="I17" s="2065"/>
      <c r="J17" s="2065"/>
      <c r="K17" s="2065"/>
      <c r="L17" s="2065"/>
      <c r="M17" s="2065"/>
      <c r="N17" s="2065"/>
      <c r="O17" s="2066"/>
      <c r="P17" s="821">
        <f t="shared" si="0"/>
        <v>1</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1546</v>
      </c>
      <c r="B18" s="2064" t="s">
        <v>1264</v>
      </c>
      <c r="C18" s="2065" t="s">
        <v>1264</v>
      </c>
      <c r="D18" s="2065" t="s">
        <v>1264</v>
      </c>
      <c r="E18" s="2065" t="s">
        <v>1264</v>
      </c>
      <c r="F18" s="2065">
        <v>1</v>
      </c>
      <c r="G18" s="2065" t="s">
        <v>1264</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1547</v>
      </c>
      <c r="B19" s="2064" t="s">
        <v>1264</v>
      </c>
      <c r="C19" s="2065" t="s">
        <v>1264</v>
      </c>
      <c r="D19" s="2065" t="s">
        <v>1264</v>
      </c>
      <c r="E19" s="2065" t="s">
        <v>1264</v>
      </c>
      <c r="F19" s="2065">
        <v>2</v>
      </c>
      <c r="G19" s="2065">
        <v>4</v>
      </c>
      <c r="H19" s="2065"/>
      <c r="I19" s="2065"/>
      <c r="J19" s="2065"/>
      <c r="K19" s="2065"/>
      <c r="L19" s="2065"/>
      <c r="M19" s="2065"/>
      <c r="N19" s="2065"/>
      <c r="O19" s="2066"/>
      <c r="P19" s="821">
        <f t="shared" si="0"/>
        <v>6</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1548</v>
      </c>
      <c r="B20" s="2064" t="s">
        <v>1264</v>
      </c>
      <c r="C20" s="2065" t="s">
        <v>1264</v>
      </c>
      <c r="D20" s="2065" t="s">
        <v>1264</v>
      </c>
      <c r="E20" s="2065" t="s">
        <v>1264</v>
      </c>
      <c r="F20" s="2065">
        <v>1</v>
      </c>
      <c r="G20" s="2065" t="s">
        <v>1264</v>
      </c>
      <c r="H20" s="2065"/>
      <c r="I20" s="2065"/>
      <c r="J20" s="2065"/>
      <c r="K20" s="2065"/>
      <c r="L20" s="2065"/>
      <c r="M20" s="2065"/>
      <c r="N20" s="2065"/>
      <c r="O20" s="2066"/>
      <c r="P20" s="821">
        <f t="shared" si="0"/>
        <v>1</v>
      </c>
      <c r="R20" s="43"/>
      <c r="S20" s="43"/>
      <c r="T20" s="43"/>
      <c r="U20" s="43"/>
      <c r="V20" s="43"/>
      <c r="W20" s="43"/>
      <c r="X20" s="43"/>
      <c r="Y20" s="43"/>
      <c r="Z20" s="43"/>
      <c r="AA20" s="43"/>
      <c r="AB20" s="43"/>
      <c r="AC20" s="43"/>
      <c r="AD20" s="43"/>
      <c r="AE20" s="43"/>
      <c r="AF20" s="99" t="s">
        <v>75</v>
      </c>
      <c r="AG20" s="98" t="b">
        <f t="shared" si="1"/>
        <v>1</v>
      </c>
      <c r="AH20" s="1312" t="b">
        <v>0</v>
      </c>
    </row>
    <row r="21" spans="1:34" ht="15.95" customHeight="1" x14ac:dyDescent="0.2">
      <c r="A21" s="2018" t="s">
        <v>1549</v>
      </c>
      <c r="B21" s="2064" t="s">
        <v>1264</v>
      </c>
      <c r="C21" s="2065" t="s">
        <v>1264</v>
      </c>
      <c r="D21" s="2065" t="s">
        <v>1264</v>
      </c>
      <c r="E21" s="2065" t="s">
        <v>1264</v>
      </c>
      <c r="F21" s="2065">
        <v>3</v>
      </c>
      <c r="G21" s="2065">
        <v>3</v>
      </c>
      <c r="H21" s="2065"/>
      <c r="I21" s="2065"/>
      <c r="J21" s="2065"/>
      <c r="K21" s="2065"/>
      <c r="L21" s="2065"/>
      <c r="M21" s="2065"/>
      <c r="N21" s="2065"/>
      <c r="O21" s="2066"/>
      <c r="P21" s="821">
        <f t="shared" si="0"/>
        <v>6</v>
      </c>
      <c r="R21" s="43"/>
      <c r="S21" s="43"/>
      <c r="T21" s="43"/>
      <c r="U21" s="43"/>
      <c r="V21" s="43"/>
      <c r="W21" s="43"/>
      <c r="X21" s="43"/>
      <c r="Y21" s="43"/>
      <c r="Z21" s="43"/>
      <c r="AA21" s="43"/>
      <c r="AB21" s="43"/>
      <c r="AC21" s="43"/>
      <c r="AD21" s="43"/>
      <c r="AE21" s="43"/>
      <c r="AF21" s="99" t="s">
        <v>75</v>
      </c>
      <c r="AG21" s="98" t="b">
        <f t="shared" si="1"/>
        <v>1</v>
      </c>
      <c r="AH21" s="1312" t="b">
        <v>0</v>
      </c>
    </row>
    <row r="22" spans="1:34" ht="15.95" customHeight="1" x14ac:dyDescent="0.2">
      <c r="A22" s="2018" t="s">
        <v>1550</v>
      </c>
      <c r="B22" s="2064" t="s">
        <v>1264</v>
      </c>
      <c r="C22" s="2065" t="s">
        <v>1264</v>
      </c>
      <c r="D22" s="2065" t="s">
        <v>1264</v>
      </c>
      <c r="E22" s="2065" t="s">
        <v>1264</v>
      </c>
      <c r="F22" s="2065">
        <v>1</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75</v>
      </c>
      <c r="AG22" s="98" t="b">
        <f t="shared" si="1"/>
        <v>1</v>
      </c>
      <c r="AH22" s="1312" t="b">
        <v>0</v>
      </c>
    </row>
    <row r="23" spans="1:34" ht="15.95" customHeight="1" x14ac:dyDescent="0.2">
      <c r="A23" s="2018" t="s">
        <v>1551</v>
      </c>
      <c r="B23" s="2064" t="s">
        <v>1264</v>
      </c>
      <c r="C23" s="2065" t="s">
        <v>1264</v>
      </c>
      <c r="D23" s="2065" t="s">
        <v>1264</v>
      </c>
      <c r="E23" s="2065" t="s">
        <v>1264</v>
      </c>
      <c r="F23" s="2065">
        <v>1</v>
      </c>
      <c r="G23" s="2065" t="s">
        <v>1264</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74</v>
      </c>
      <c r="AG23" s="98" t="b">
        <f t="shared" si="1"/>
        <v>1</v>
      </c>
      <c r="AH23" s="1312" t="b">
        <v>0</v>
      </c>
    </row>
    <row r="24" spans="1:34" ht="15.95" customHeight="1" x14ac:dyDescent="0.2">
      <c r="A24" s="2018" t="s">
        <v>1552</v>
      </c>
      <c r="B24" s="2064" t="s">
        <v>1264</v>
      </c>
      <c r="C24" s="2065" t="s">
        <v>1264</v>
      </c>
      <c r="D24" s="2065" t="s">
        <v>1264</v>
      </c>
      <c r="E24" s="2065" t="s">
        <v>1264</v>
      </c>
      <c r="F24" s="2065">
        <v>1</v>
      </c>
      <c r="G24" s="2065" t="s">
        <v>1264</v>
      </c>
      <c r="H24" s="2065"/>
      <c r="I24" s="2065"/>
      <c r="J24" s="2065"/>
      <c r="K24" s="2065"/>
      <c r="L24" s="2065"/>
      <c r="M24" s="2065"/>
      <c r="N24" s="2065"/>
      <c r="O24" s="2066"/>
      <c r="P24" s="821">
        <f t="shared" si="0"/>
        <v>1</v>
      </c>
      <c r="R24" s="43"/>
      <c r="S24" s="43"/>
      <c r="T24" s="43"/>
      <c r="U24" s="43"/>
      <c r="V24" s="43"/>
      <c r="W24" s="43"/>
      <c r="X24" s="43"/>
      <c r="Y24" s="43"/>
      <c r="Z24" s="43"/>
      <c r="AA24" s="43"/>
      <c r="AB24" s="43"/>
      <c r="AC24" s="43"/>
      <c r="AD24" s="43"/>
      <c r="AE24" s="43"/>
      <c r="AF24" s="99" t="s">
        <v>74</v>
      </c>
      <c r="AG24" s="98" t="b">
        <f t="shared" si="1"/>
        <v>1</v>
      </c>
      <c r="AH24" s="1312" t="b">
        <v>0</v>
      </c>
    </row>
    <row r="25" spans="1:34" ht="15.95" customHeight="1" x14ac:dyDescent="0.2">
      <c r="A25" s="2018" t="s">
        <v>1553</v>
      </c>
      <c r="B25" s="2064" t="s">
        <v>1264</v>
      </c>
      <c r="C25" s="2065" t="s">
        <v>1264</v>
      </c>
      <c r="D25" s="2065" t="s">
        <v>1264</v>
      </c>
      <c r="E25" s="2065" t="s">
        <v>1264</v>
      </c>
      <c r="F25" s="2065">
        <v>1</v>
      </c>
      <c r="G25" s="2065" t="s">
        <v>1264</v>
      </c>
      <c r="H25" s="2065"/>
      <c r="I25" s="2065"/>
      <c r="J25" s="2065"/>
      <c r="K25" s="2065"/>
      <c r="L25" s="2065"/>
      <c r="M25" s="2065"/>
      <c r="N25" s="2065"/>
      <c r="O25" s="2066"/>
      <c r="P25" s="821">
        <f t="shared" si="0"/>
        <v>1</v>
      </c>
      <c r="R25" s="43"/>
      <c r="S25" s="43"/>
      <c r="T25" s="43"/>
      <c r="U25" s="43"/>
      <c r="V25" s="43"/>
      <c r="W25" s="43"/>
      <c r="X25" s="43"/>
      <c r="Y25" s="43"/>
      <c r="Z25" s="43"/>
      <c r="AA25" s="43"/>
      <c r="AB25" s="43"/>
      <c r="AC25" s="43"/>
      <c r="AD25" s="43"/>
      <c r="AE25" s="43"/>
      <c r="AF25" s="99" t="s">
        <v>74</v>
      </c>
      <c r="AG25" s="98" t="b">
        <f t="shared" si="1"/>
        <v>1</v>
      </c>
      <c r="AH25" s="1312" t="b">
        <v>0</v>
      </c>
    </row>
    <row r="26" spans="1:34" ht="15.95" customHeight="1" x14ac:dyDescent="0.2">
      <c r="A26" s="2018" t="s">
        <v>1554</v>
      </c>
      <c r="B26" s="2064" t="s">
        <v>1264</v>
      </c>
      <c r="C26" s="2065" t="s">
        <v>1264</v>
      </c>
      <c r="D26" s="2065" t="s">
        <v>1264</v>
      </c>
      <c r="E26" s="2065" t="s">
        <v>1264</v>
      </c>
      <c r="F26" s="2065">
        <v>1</v>
      </c>
      <c r="G26" s="2065" t="s">
        <v>1264</v>
      </c>
      <c r="H26" s="2065"/>
      <c r="I26" s="2065"/>
      <c r="J26" s="2065"/>
      <c r="K26" s="2065"/>
      <c r="L26" s="2065"/>
      <c r="M26" s="2065"/>
      <c r="N26" s="2065"/>
      <c r="O26" s="2066"/>
      <c r="P26" s="821">
        <f t="shared" si="0"/>
        <v>1</v>
      </c>
      <c r="R26" s="43"/>
      <c r="S26" s="43"/>
      <c r="T26" s="43"/>
      <c r="U26" s="43"/>
      <c r="V26" s="43"/>
      <c r="W26" s="43"/>
      <c r="X26" s="43"/>
      <c r="Y26" s="43"/>
      <c r="Z26" s="43"/>
      <c r="AA26" s="43"/>
      <c r="AB26" s="43"/>
      <c r="AC26" s="43"/>
      <c r="AD26" s="43"/>
      <c r="AE26" s="43"/>
      <c r="AF26" s="99" t="s">
        <v>74</v>
      </c>
      <c r="AG26" s="98" t="b">
        <f t="shared" si="1"/>
        <v>1</v>
      </c>
      <c r="AH26" s="1312" t="b">
        <v>0</v>
      </c>
    </row>
    <row r="27" spans="1:34" ht="15.95" customHeight="1" x14ac:dyDescent="0.2">
      <c r="A27" s="2018" t="s">
        <v>1555</v>
      </c>
      <c r="B27" s="2064" t="s">
        <v>1264</v>
      </c>
      <c r="C27" s="2065" t="s">
        <v>1264</v>
      </c>
      <c r="D27" s="2065" t="s">
        <v>1264</v>
      </c>
      <c r="E27" s="2065" t="s">
        <v>1264</v>
      </c>
      <c r="F27" s="2065">
        <v>1</v>
      </c>
      <c r="G27" s="2065" t="s">
        <v>1264</v>
      </c>
      <c r="H27" s="2065"/>
      <c r="I27" s="2065"/>
      <c r="J27" s="2065"/>
      <c r="K27" s="2065"/>
      <c r="L27" s="2065"/>
      <c r="M27" s="2065"/>
      <c r="N27" s="2065"/>
      <c r="O27" s="2066"/>
      <c r="P27" s="821">
        <f t="shared" si="0"/>
        <v>1</v>
      </c>
      <c r="R27" s="43"/>
      <c r="S27" s="43"/>
      <c r="T27" s="43"/>
      <c r="U27" s="43"/>
      <c r="V27" s="43"/>
      <c r="W27" s="43"/>
      <c r="X27" s="43"/>
      <c r="Y27" s="43"/>
      <c r="Z27" s="43"/>
      <c r="AA27" s="43"/>
      <c r="AB27" s="43"/>
      <c r="AC27" s="43"/>
      <c r="AD27" s="43"/>
      <c r="AE27" s="43"/>
      <c r="AF27" s="99" t="s">
        <v>74</v>
      </c>
      <c r="AG27" s="98" t="b">
        <f t="shared" si="1"/>
        <v>1</v>
      </c>
      <c r="AH27" s="1312" t="b">
        <v>0</v>
      </c>
    </row>
    <row r="28" spans="1:34" ht="15.95" customHeight="1" x14ac:dyDescent="0.2">
      <c r="A28" s="2018" t="s">
        <v>1556</v>
      </c>
      <c r="B28" s="2064" t="s">
        <v>1264</v>
      </c>
      <c r="C28" s="2065" t="s">
        <v>1264</v>
      </c>
      <c r="D28" s="2065" t="s">
        <v>1264</v>
      </c>
      <c r="E28" s="2065" t="s">
        <v>1264</v>
      </c>
      <c r="F28" s="2065">
        <v>1</v>
      </c>
      <c r="G28" s="2065" t="s">
        <v>1264</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75</v>
      </c>
      <c r="AG28" s="98" t="b">
        <f t="shared" si="1"/>
        <v>1</v>
      </c>
      <c r="AH28" s="1312" t="b">
        <v>0</v>
      </c>
    </row>
    <row r="29" spans="1:34" ht="15.95" customHeight="1" x14ac:dyDescent="0.2">
      <c r="A29" s="2018" t="s">
        <v>1557</v>
      </c>
      <c r="B29" s="2064" t="s">
        <v>1264</v>
      </c>
      <c r="C29" s="2065" t="s">
        <v>1264</v>
      </c>
      <c r="D29" s="2065" t="s">
        <v>1264</v>
      </c>
      <c r="E29" s="2065" t="s">
        <v>1264</v>
      </c>
      <c r="F29" s="2065">
        <v>3</v>
      </c>
      <c r="G29" s="2065" t="s">
        <v>1264</v>
      </c>
      <c r="H29" s="2065"/>
      <c r="I29" s="2065"/>
      <c r="J29" s="2065"/>
      <c r="K29" s="2065"/>
      <c r="L29" s="2065"/>
      <c r="M29" s="2065"/>
      <c r="N29" s="2065"/>
      <c r="O29" s="2066"/>
      <c r="P29" s="821">
        <f t="shared" si="0"/>
        <v>3</v>
      </c>
      <c r="R29" s="43"/>
      <c r="S29" s="43"/>
      <c r="T29" s="43"/>
      <c r="U29" s="43"/>
      <c r="V29" s="43"/>
      <c r="W29" s="43"/>
      <c r="X29" s="43"/>
      <c r="Y29" s="43"/>
      <c r="Z29" s="43"/>
      <c r="AA29" s="43"/>
      <c r="AB29" s="43"/>
      <c r="AC29" s="43"/>
      <c r="AD29" s="43"/>
      <c r="AE29" s="43"/>
      <c r="AF29" s="99" t="s">
        <v>75</v>
      </c>
      <c r="AG29" s="98" t="b">
        <f t="shared" si="1"/>
        <v>1</v>
      </c>
      <c r="AH29" s="1312" t="b">
        <v>0</v>
      </c>
    </row>
    <row r="30" spans="1:34" ht="15.95" customHeight="1" x14ac:dyDescent="0.2">
      <c r="A30" s="2018" t="s">
        <v>1558</v>
      </c>
      <c r="B30" s="2064" t="s">
        <v>1264</v>
      </c>
      <c r="C30" s="2065" t="s">
        <v>1264</v>
      </c>
      <c r="D30" s="2065" t="s">
        <v>1264</v>
      </c>
      <c r="E30" s="2065" t="s">
        <v>1264</v>
      </c>
      <c r="F30" s="2065">
        <v>1</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75</v>
      </c>
      <c r="AG30" s="98" t="b">
        <f t="shared" si="1"/>
        <v>1</v>
      </c>
      <c r="AH30" s="1312" t="b">
        <v>0</v>
      </c>
    </row>
    <row r="31" spans="1:34" ht="15.95" customHeight="1" x14ac:dyDescent="0.2">
      <c r="A31" s="2018" t="s">
        <v>1559</v>
      </c>
      <c r="B31" s="2064" t="s">
        <v>1264</v>
      </c>
      <c r="C31" s="2065" t="s">
        <v>1264</v>
      </c>
      <c r="D31" s="2065" t="s">
        <v>1264</v>
      </c>
      <c r="E31" s="2065" t="s">
        <v>1264</v>
      </c>
      <c r="F31" s="2065">
        <v>1</v>
      </c>
      <c r="G31" s="2065" t="s">
        <v>1264</v>
      </c>
      <c r="H31" s="2065"/>
      <c r="I31" s="2065"/>
      <c r="J31" s="2065"/>
      <c r="K31" s="2065"/>
      <c r="L31" s="2065"/>
      <c r="M31" s="2065"/>
      <c r="N31" s="2065"/>
      <c r="O31" s="2066"/>
      <c r="P31" s="821">
        <f t="shared" si="0"/>
        <v>1</v>
      </c>
      <c r="R31" s="43"/>
      <c r="S31" s="43"/>
      <c r="T31" s="43"/>
      <c r="U31" s="43"/>
      <c r="V31" s="43"/>
      <c r="W31" s="43"/>
      <c r="X31" s="43"/>
      <c r="Y31" s="43"/>
      <c r="Z31" s="43"/>
      <c r="AA31" s="43"/>
      <c r="AB31" s="43"/>
      <c r="AC31" s="43"/>
      <c r="AD31" s="43"/>
      <c r="AE31" s="43"/>
      <c r="AF31" s="99" t="s">
        <v>75</v>
      </c>
      <c r="AG31" s="98" t="b">
        <f t="shared" si="1"/>
        <v>1</v>
      </c>
      <c r="AH31" s="1312" t="b">
        <v>0</v>
      </c>
    </row>
    <row r="32" spans="1:34" ht="15.95" customHeight="1" x14ac:dyDescent="0.2">
      <c r="A32" s="2018" t="s">
        <v>1560</v>
      </c>
      <c r="B32" s="2064" t="s">
        <v>1264</v>
      </c>
      <c r="C32" s="2065" t="s">
        <v>1264</v>
      </c>
      <c r="D32" s="2065" t="s">
        <v>1264</v>
      </c>
      <c r="E32" s="2065" t="s">
        <v>1264</v>
      </c>
      <c r="F32" s="2065">
        <v>2</v>
      </c>
      <c r="G32" s="2065" t="s">
        <v>1264</v>
      </c>
      <c r="H32" s="2065"/>
      <c r="I32" s="2065"/>
      <c r="J32" s="2065"/>
      <c r="K32" s="2065"/>
      <c r="L32" s="2065"/>
      <c r="M32" s="2065"/>
      <c r="N32" s="2065"/>
      <c r="O32" s="2066"/>
      <c r="P32" s="821">
        <f t="shared" si="0"/>
        <v>2</v>
      </c>
      <c r="R32" s="43"/>
      <c r="S32" s="43"/>
      <c r="T32" s="43"/>
      <c r="U32" s="43"/>
      <c r="V32" s="43"/>
      <c r="W32" s="43"/>
      <c r="X32" s="43"/>
      <c r="Y32" s="43"/>
      <c r="Z32" s="43"/>
      <c r="AA32" s="43"/>
      <c r="AB32" s="43"/>
      <c r="AC32" s="43"/>
      <c r="AD32" s="43"/>
      <c r="AE32" s="43"/>
      <c r="AF32" s="99" t="s">
        <v>75</v>
      </c>
      <c r="AG32" s="98" t="b">
        <f t="shared" si="1"/>
        <v>1</v>
      </c>
      <c r="AH32" s="1312" t="b">
        <v>0</v>
      </c>
    </row>
    <row r="33" spans="1:34" ht="15.95" customHeight="1" x14ac:dyDescent="0.2">
      <c r="A33" s="2018" t="s">
        <v>1561</v>
      </c>
      <c r="B33" s="2064" t="s">
        <v>1264</v>
      </c>
      <c r="C33" s="2065" t="s">
        <v>1264</v>
      </c>
      <c r="D33" s="2065" t="s">
        <v>1264</v>
      </c>
      <c r="E33" s="2065" t="s">
        <v>1264</v>
      </c>
      <c r="F33" s="2065">
        <v>31</v>
      </c>
      <c r="G33" s="2065">
        <v>34</v>
      </c>
      <c r="H33" s="2065"/>
      <c r="I33" s="2065"/>
      <c r="J33" s="2065"/>
      <c r="K33" s="2065"/>
      <c r="L33" s="2065"/>
      <c r="M33" s="2065"/>
      <c r="N33" s="2065"/>
      <c r="O33" s="2066"/>
      <c r="P33" s="821">
        <f t="shared" si="0"/>
        <v>65</v>
      </c>
      <c r="R33" s="43"/>
      <c r="S33" s="43"/>
      <c r="T33" s="43"/>
      <c r="U33" s="43"/>
      <c r="V33" s="43"/>
      <c r="W33" s="43"/>
      <c r="X33" s="43"/>
      <c r="Y33" s="43"/>
      <c r="Z33" s="43"/>
      <c r="AA33" s="43"/>
      <c r="AB33" s="43"/>
      <c r="AC33" s="43"/>
      <c r="AD33" s="43"/>
      <c r="AE33" s="43"/>
      <c r="AF33" s="99" t="s">
        <v>75</v>
      </c>
      <c r="AG33" s="98" t="b">
        <f t="shared" si="1"/>
        <v>1</v>
      </c>
      <c r="AH33" s="1312" t="b">
        <v>0</v>
      </c>
    </row>
    <row r="34" spans="1:34" ht="15.95" customHeight="1" x14ac:dyDescent="0.2">
      <c r="A34" s="2018" t="s">
        <v>1562</v>
      </c>
      <c r="B34" s="2064" t="s">
        <v>1264</v>
      </c>
      <c r="C34" s="2065" t="s">
        <v>1264</v>
      </c>
      <c r="D34" s="2065" t="s">
        <v>1264</v>
      </c>
      <c r="E34" s="2065" t="s">
        <v>1264</v>
      </c>
      <c r="F34" s="2065">
        <v>1</v>
      </c>
      <c r="G34" s="2065" t="s">
        <v>1264</v>
      </c>
      <c r="H34" s="2065"/>
      <c r="I34" s="2065"/>
      <c r="J34" s="2065"/>
      <c r="K34" s="2065"/>
      <c r="L34" s="2065"/>
      <c r="M34" s="2065"/>
      <c r="N34" s="2065"/>
      <c r="O34" s="2066"/>
      <c r="P34" s="821">
        <f t="shared" si="0"/>
        <v>1</v>
      </c>
      <c r="R34" s="43"/>
      <c r="S34" s="43"/>
      <c r="T34" s="43"/>
      <c r="U34" s="43"/>
      <c r="V34" s="43"/>
      <c r="W34" s="43"/>
      <c r="X34" s="43"/>
      <c r="Y34" s="43"/>
      <c r="Z34" s="43"/>
      <c r="AA34" s="43"/>
      <c r="AB34" s="43"/>
      <c r="AC34" s="43"/>
      <c r="AD34" s="43"/>
      <c r="AE34" s="43"/>
      <c r="AF34" s="99" t="s">
        <v>75</v>
      </c>
      <c r="AG34" s="98" t="b">
        <f t="shared" si="1"/>
        <v>1</v>
      </c>
      <c r="AH34" s="1312" t="b">
        <v>0</v>
      </c>
    </row>
    <row r="35" spans="1:34" ht="15.95" customHeight="1" x14ac:dyDescent="0.2">
      <c r="A35" s="2018" t="s">
        <v>1563</v>
      </c>
      <c r="B35" s="2064" t="s">
        <v>1264</v>
      </c>
      <c r="C35" s="2065" t="s">
        <v>1264</v>
      </c>
      <c r="D35" s="2065" t="s">
        <v>1264</v>
      </c>
      <c r="E35" s="2065" t="s">
        <v>1264</v>
      </c>
      <c r="F35" s="2065">
        <v>4</v>
      </c>
      <c r="G35" s="2065">
        <v>8</v>
      </c>
      <c r="H35" s="2065"/>
      <c r="I35" s="2065"/>
      <c r="J35" s="2065"/>
      <c r="K35" s="2065"/>
      <c r="L35" s="2065"/>
      <c r="M35" s="2065"/>
      <c r="N35" s="2065"/>
      <c r="O35" s="2066"/>
      <c r="P35" s="821">
        <f t="shared" si="0"/>
        <v>12</v>
      </c>
      <c r="R35" s="43"/>
      <c r="S35" s="43"/>
      <c r="T35" s="43"/>
      <c r="U35" s="43"/>
      <c r="V35" s="43"/>
      <c r="W35" s="43"/>
      <c r="X35" s="43"/>
      <c r="Y35" s="43"/>
      <c r="Z35" s="43"/>
      <c r="AA35" s="43"/>
      <c r="AB35" s="43"/>
      <c r="AC35" s="43"/>
      <c r="AD35" s="43"/>
      <c r="AE35" s="43"/>
      <c r="AF35" s="99" t="s">
        <v>75</v>
      </c>
      <c r="AG35" s="98" t="b">
        <f t="shared" si="1"/>
        <v>1</v>
      </c>
      <c r="AH35" s="1312" t="b">
        <v>0</v>
      </c>
    </row>
    <row r="36" spans="1:34" ht="15.95" customHeight="1" x14ac:dyDescent="0.2">
      <c r="A36" s="2018" t="s">
        <v>1564</v>
      </c>
      <c r="B36" s="2064" t="s">
        <v>1264</v>
      </c>
      <c r="C36" s="2065" t="s">
        <v>1264</v>
      </c>
      <c r="D36" s="2065" t="s">
        <v>1264</v>
      </c>
      <c r="E36" s="2065" t="s">
        <v>1264</v>
      </c>
      <c r="F36" s="2065">
        <v>6</v>
      </c>
      <c r="G36" s="2065">
        <v>8</v>
      </c>
      <c r="H36" s="2065"/>
      <c r="I36" s="2065"/>
      <c r="J36" s="2065"/>
      <c r="K36" s="2065"/>
      <c r="L36" s="2065"/>
      <c r="M36" s="2065"/>
      <c r="N36" s="2065"/>
      <c r="O36" s="2066"/>
      <c r="P36" s="821">
        <f t="shared" si="0"/>
        <v>14</v>
      </c>
      <c r="R36" s="43"/>
      <c r="S36" s="43"/>
      <c r="T36" s="43"/>
      <c r="U36" s="43"/>
      <c r="V36" s="43"/>
      <c r="W36" s="43"/>
      <c r="X36" s="43"/>
      <c r="Y36" s="43"/>
      <c r="Z36" s="43"/>
      <c r="AA36" s="43"/>
      <c r="AB36" s="43"/>
      <c r="AC36" s="43"/>
      <c r="AD36" s="43"/>
      <c r="AE36" s="43"/>
      <c r="AF36" s="99" t="s">
        <v>75</v>
      </c>
      <c r="AG36" s="98" t="b">
        <f t="shared" si="1"/>
        <v>1</v>
      </c>
      <c r="AH36" s="1312" t="b">
        <v>0</v>
      </c>
    </row>
    <row r="37" spans="1:34" ht="15.95" customHeight="1" x14ac:dyDescent="0.2">
      <c r="A37" s="2018" t="s">
        <v>1565</v>
      </c>
      <c r="B37" s="2064" t="s">
        <v>1264</v>
      </c>
      <c r="C37" s="2065" t="s">
        <v>1264</v>
      </c>
      <c r="D37" s="2065" t="s">
        <v>1264</v>
      </c>
      <c r="E37" s="2065" t="s">
        <v>1264</v>
      </c>
      <c r="F37" s="2065">
        <v>2</v>
      </c>
      <c r="G37" s="2065">
        <v>4</v>
      </c>
      <c r="H37" s="2065"/>
      <c r="I37" s="2065"/>
      <c r="J37" s="2065"/>
      <c r="K37" s="2065"/>
      <c r="L37" s="2065"/>
      <c r="M37" s="2065"/>
      <c r="N37" s="2065"/>
      <c r="O37" s="2066"/>
      <c r="P37" s="821">
        <f t="shared" si="0"/>
        <v>6</v>
      </c>
      <c r="R37" s="43"/>
      <c r="S37" s="43"/>
      <c r="T37" s="43"/>
      <c r="U37" s="43"/>
      <c r="V37" s="43"/>
      <c r="W37" s="43"/>
      <c r="X37" s="43"/>
      <c r="Y37" s="43"/>
      <c r="Z37" s="43"/>
      <c r="AA37" s="43"/>
      <c r="AB37" s="43"/>
      <c r="AC37" s="43"/>
      <c r="AD37" s="43"/>
      <c r="AE37" s="43"/>
      <c r="AF37" s="99" t="s">
        <v>75</v>
      </c>
      <c r="AG37" s="98" t="b">
        <f t="shared" si="1"/>
        <v>1</v>
      </c>
      <c r="AH37" s="1312" t="b">
        <v>0</v>
      </c>
    </row>
    <row r="38" spans="1:34" ht="15.95" customHeight="1" x14ac:dyDescent="0.2">
      <c r="A38" s="2018" t="s">
        <v>1566</v>
      </c>
      <c r="B38" s="2064" t="s">
        <v>1264</v>
      </c>
      <c r="C38" s="2065" t="s">
        <v>1264</v>
      </c>
      <c r="D38" s="2065" t="s">
        <v>1264</v>
      </c>
      <c r="E38" s="2065" t="s">
        <v>1264</v>
      </c>
      <c r="F38" s="2065">
        <v>1</v>
      </c>
      <c r="G38" s="2065" t="s">
        <v>1264</v>
      </c>
      <c r="H38" s="2065"/>
      <c r="I38" s="2065"/>
      <c r="J38" s="2065"/>
      <c r="K38" s="2065"/>
      <c r="L38" s="2065"/>
      <c r="M38" s="2065"/>
      <c r="N38" s="2065"/>
      <c r="O38" s="2066"/>
      <c r="P38" s="821">
        <f t="shared" si="0"/>
        <v>1</v>
      </c>
      <c r="R38" s="43"/>
      <c r="S38" s="43"/>
      <c r="T38" s="43"/>
      <c r="U38" s="43"/>
      <c r="V38" s="43"/>
      <c r="W38" s="43"/>
      <c r="X38" s="43"/>
      <c r="Y38" s="43"/>
      <c r="Z38" s="43"/>
      <c r="AA38" s="43"/>
      <c r="AB38" s="43"/>
      <c r="AC38" s="43"/>
      <c r="AD38" s="43"/>
      <c r="AE38" s="43"/>
      <c r="AF38" s="99" t="s">
        <v>75</v>
      </c>
      <c r="AG38" s="98" t="b">
        <f t="shared" si="1"/>
        <v>1</v>
      </c>
      <c r="AH38" s="1312" t="b">
        <v>0</v>
      </c>
    </row>
    <row r="39" spans="1:34" ht="15.95" customHeight="1" x14ac:dyDescent="0.2">
      <c r="A39" s="2018" t="s">
        <v>1567</v>
      </c>
      <c r="B39" s="2064" t="s">
        <v>1264</v>
      </c>
      <c r="C39" s="2065" t="s">
        <v>1264</v>
      </c>
      <c r="D39" s="2065" t="s">
        <v>1264</v>
      </c>
      <c r="E39" s="2065" t="s">
        <v>1264</v>
      </c>
      <c r="F39" s="2065">
        <v>3</v>
      </c>
      <c r="G39" s="2065">
        <v>3</v>
      </c>
      <c r="H39" s="2065"/>
      <c r="I39" s="2065"/>
      <c r="J39" s="2065"/>
      <c r="K39" s="2065"/>
      <c r="L39" s="2065"/>
      <c r="M39" s="2065"/>
      <c r="N39" s="2065"/>
      <c r="O39" s="2066"/>
      <c r="P39" s="821">
        <f t="shared" si="0"/>
        <v>6</v>
      </c>
      <c r="R39" s="43"/>
      <c r="S39" s="43"/>
      <c r="T39" s="43"/>
      <c r="U39" s="43"/>
      <c r="V39" s="43"/>
      <c r="W39" s="43"/>
      <c r="X39" s="43"/>
      <c r="Y39" s="43"/>
      <c r="Z39" s="43"/>
      <c r="AA39" s="43"/>
      <c r="AB39" s="43"/>
      <c r="AC39" s="43"/>
      <c r="AD39" s="43"/>
      <c r="AE39" s="43"/>
      <c r="AF39" s="99" t="s">
        <v>75</v>
      </c>
      <c r="AG39" s="98" t="b">
        <f t="shared" si="1"/>
        <v>1</v>
      </c>
      <c r="AH39" s="1312" t="b">
        <v>0</v>
      </c>
    </row>
    <row r="40" spans="1:34" ht="15.95" customHeight="1" x14ac:dyDescent="0.2">
      <c r="A40" s="2018" t="s">
        <v>1568</v>
      </c>
      <c r="B40" s="2064" t="s">
        <v>1264</v>
      </c>
      <c r="C40" s="2065" t="s">
        <v>1264</v>
      </c>
      <c r="D40" s="2065" t="s">
        <v>1264</v>
      </c>
      <c r="E40" s="2065" t="s">
        <v>1264</v>
      </c>
      <c r="F40" s="2065">
        <v>1</v>
      </c>
      <c r="G40" s="2065" t="s">
        <v>1264</v>
      </c>
      <c r="H40" s="2065"/>
      <c r="I40" s="2065"/>
      <c r="J40" s="2065"/>
      <c r="K40" s="2065"/>
      <c r="L40" s="2065"/>
      <c r="M40" s="2065"/>
      <c r="N40" s="2065"/>
      <c r="O40" s="2066"/>
      <c r="P40" s="821">
        <f t="shared" si="0"/>
        <v>1</v>
      </c>
      <c r="R40" s="43"/>
      <c r="S40" s="43"/>
      <c r="T40" s="43"/>
      <c r="U40" s="43"/>
      <c r="V40" s="43"/>
      <c r="W40" s="43"/>
      <c r="X40" s="43"/>
      <c r="Y40" s="43"/>
      <c r="Z40" s="43"/>
      <c r="AA40" s="43"/>
      <c r="AB40" s="43"/>
      <c r="AC40" s="43"/>
      <c r="AD40" s="43"/>
      <c r="AE40" s="43"/>
      <c r="AF40" s="99" t="s">
        <v>75</v>
      </c>
      <c r="AG40" s="98" t="b">
        <f t="shared" si="1"/>
        <v>1</v>
      </c>
      <c r="AH40" s="1312" t="b">
        <v>0</v>
      </c>
    </row>
    <row r="41" spans="1:34" ht="15.95" customHeight="1" x14ac:dyDescent="0.2">
      <c r="A41" s="2018" t="s">
        <v>1569</v>
      </c>
      <c r="B41" s="2064" t="s">
        <v>1264</v>
      </c>
      <c r="C41" s="2065" t="s">
        <v>1264</v>
      </c>
      <c r="D41" s="2065" t="s">
        <v>1264</v>
      </c>
      <c r="E41" s="2065" t="s">
        <v>1264</v>
      </c>
      <c r="F41" s="2065">
        <v>1</v>
      </c>
      <c r="G41" s="2065" t="s">
        <v>1264</v>
      </c>
      <c r="H41" s="2065"/>
      <c r="I41" s="2065"/>
      <c r="J41" s="2065"/>
      <c r="K41" s="2065"/>
      <c r="L41" s="2065"/>
      <c r="M41" s="2065"/>
      <c r="N41" s="2065"/>
      <c r="O41" s="2066"/>
      <c r="P41" s="821">
        <f t="shared" si="0"/>
        <v>1</v>
      </c>
      <c r="R41" s="43"/>
      <c r="S41" s="43"/>
      <c r="T41" s="43"/>
      <c r="U41" s="43"/>
      <c r="V41" s="43"/>
      <c r="W41" s="43"/>
      <c r="X41" s="43"/>
      <c r="Y41" s="43"/>
      <c r="Z41" s="43"/>
      <c r="AA41" s="43"/>
      <c r="AB41" s="43"/>
      <c r="AC41" s="43"/>
      <c r="AD41" s="43"/>
      <c r="AE41" s="43"/>
      <c r="AF41" s="99" t="s">
        <v>74</v>
      </c>
      <c r="AG41" s="98" t="b">
        <f t="shared" si="1"/>
        <v>1</v>
      </c>
      <c r="AH41" s="1312" t="b">
        <v>0</v>
      </c>
    </row>
    <row r="42" spans="1:34" ht="15.95" customHeight="1" x14ac:dyDescent="0.2">
      <c r="A42" s="2018" t="s">
        <v>1570</v>
      </c>
      <c r="B42" s="2064" t="s">
        <v>1264</v>
      </c>
      <c r="C42" s="2065" t="s">
        <v>1264</v>
      </c>
      <c r="D42" s="2065" t="s">
        <v>1264</v>
      </c>
      <c r="E42" s="2065" t="s">
        <v>1264</v>
      </c>
      <c r="F42" s="2065">
        <v>1</v>
      </c>
      <c r="G42" s="2065" t="s">
        <v>1264</v>
      </c>
      <c r="H42" s="2065"/>
      <c r="I42" s="2065"/>
      <c r="J42" s="2065"/>
      <c r="K42" s="2065"/>
      <c r="L42" s="2065"/>
      <c r="M42" s="2065"/>
      <c r="N42" s="2065"/>
      <c r="O42" s="2066"/>
      <c r="P42" s="821">
        <f t="shared" si="0"/>
        <v>1</v>
      </c>
      <c r="R42" s="43"/>
      <c r="S42" s="43"/>
      <c r="T42" s="43"/>
      <c r="U42" s="43"/>
      <c r="V42" s="43"/>
      <c r="W42" s="43"/>
      <c r="X42" s="43"/>
      <c r="Y42" s="43"/>
      <c r="Z42" s="43"/>
      <c r="AA42" s="43"/>
      <c r="AB42" s="43"/>
      <c r="AC42" s="43"/>
      <c r="AD42" s="43"/>
      <c r="AE42" s="43"/>
      <c r="AF42" s="99" t="s">
        <v>74</v>
      </c>
      <c r="AG42" s="98" t="b">
        <f t="shared" si="1"/>
        <v>1</v>
      </c>
      <c r="AH42" s="1312" t="b">
        <v>0</v>
      </c>
    </row>
    <row r="43" spans="1:34" ht="15.95" customHeight="1" x14ac:dyDescent="0.2">
      <c r="A43" s="2018" t="s">
        <v>1571</v>
      </c>
      <c r="B43" s="2064" t="s">
        <v>1264</v>
      </c>
      <c r="C43" s="2065" t="s">
        <v>1264</v>
      </c>
      <c r="D43" s="2065" t="s">
        <v>1264</v>
      </c>
      <c r="E43" s="2065" t="s">
        <v>1264</v>
      </c>
      <c r="F43" s="2065">
        <v>1</v>
      </c>
      <c r="G43" s="2065" t="s">
        <v>1264</v>
      </c>
      <c r="H43" s="2065"/>
      <c r="I43" s="2065"/>
      <c r="J43" s="2065"/>
      <c r="K43" s="2065"/>
      <c r="L43" s="2065"/>
      <c r="M43" s="2065"/>
      <c r="N43" s="2065"/>
      <c r="O43" s="2066"/>
      <c r="P43" s="821">
        <f t="shared" si="0"/>
        <v>1</v>
      </c>
      <c r="R43" s="43"/>
      <c r="S43" s="43"/>
      <c r="T43" s="43"/>
      <c r="U43" s="43"/>
      <c r="V43" s="43"/>
      <c r="W43" s="43"/>
      <c r="X43" s="43"/>
      <c r="Y43" s="43"/>
      <c r="Z43" s="43"/>
      <c r="AA43" s="43"/>
      <c r="AB43" s="43"/>
      <c r="AC43" s="43"/>
      <c r="AD43" s="43"/>
      <c r="AE43" s="43"/>
      <c r="AF43" s="99" t="s">
        <v>74</v>
      </c>
      <c r="AG43" s="98" t="b">
        <f t="shared" si="1"/>
        <v>1</v>
      </c>
      <c r="AH43" s="1312" t="b">
        <v>0</v>
      </c>
    </row>
    <row r="44" spans="1:34" ht="15.95" customHeight="1" x14ac:dyDescent="0.2">
      <c r="A44" s="2018" t="s">
        <v>1572</v>
      </c>
      <c r="B44" s="2064" t="s">
        <v>1264</v>
      </c>
      <c r="C44" s="2065" t="s">
        <v>1264</v>
      </c>
      <c r="D44" s="2065" t="s">
        <v>1264</v>
      </c>
      <c r="E44" s="2065" t="s">
        <v>1264</v>
      </c>
      <c r="F44" s="2065">
        <v>1</v>
      </c>
      <c r="G44" s="2065" t="s">
        <v>1264</v>
      </c>
      <c r="H44" s="2065"/>
      <c r="I44" s="2065"/>
      <c r="J44" s="2065"/>
      <c r="K44" s="2065"/>
      <c r="L44" s="2065"/>
      <c r="M44" s="2065"/>
      <c r="N44" s="2065"/>
      <c r="O44" s="2066"/>
      <c r="P44" s="821">
        <f t="shared" si="0"/>
        <v>1</v>
      </c>
      <c r="R44" s="43"/>
      <c r="S44" s="43"/>
      <c r="T44" s="43"/>
      <c r="U44" s="43"/>
      <c r="V44" s="43"/>
      <c r="W44" s="43"/>
      <c r="X44" s="43"/>
      <c r="Y44" s="43"/>
      <c r="Z44" s="43"/>
      <c r="AA44" s="43"/>
      <c r="AB44" s="43"/>
      <c r="AC44" s="43"/>
      <c r="AD44" s="43"/>
      <c r="AE44" s="43"/>
      <c r="AF44" s="99" t="s">
        <v>74</v>
      </c>
      <c r="AG44" s="98" t="b">
        <f t="shared" si="1"/>
        <v>1</v>
      </c>
      <c r="AH44" s="1312" t="b">
        <v>0</v>
      </c>
    </row>
    <row r="45" spans="1:34" ht="15.95" customHeight="1" x14ac:dyDescent="0.2">
      <c r="A45" s="2018" t="s">
        <v>1573</v>
      </c>
      <c r="B45" s="2064" t="s">
        <v>1264</v>
      </c>
      <c r="C45" s="2065" t="s">
        <v>1264</v>
      </c>
      <c r="D45" s="2065" t="s">
        <v>1264</v>
      </c>
      <c r="E45" s="2065" t="s">
        <v>1264</v>
      </c>
      <c r="F45" s="2065">
        <v>1</v>
      </c>
      <c r="G45" s="2065" t="s">
        <v>1264</v>
      </c>
      <c r="H45" s="2065"/>
      <c r="I45" s="2065"/>
      <c r="J45" s="2065"/>
      <c r="K45" s="2065"/>
      <c r="L45" s="2065"/>
      <c r="M45" s="2065"/>
      <c r="N45" s="2065"/>
      <c r="O45" s="2066"/>
      <c r="P45" s="821">
        <f t="shared" si="0"/>
        <v>1</v>
      </c>
      <c r="R45" s="43"/>
      <c r="S45" s="43"/>
      <c r="T45" s="43"/>
      <c r="U45" s="43"/>
      <c r="V45" s="43"/>
      <c r="W45" s="43"/>
      <c r="X45" s="43"/>
      <c r="Y45" s="43"/>
      <c r="Z45" s="43"/>
      <c r="AA45" s="43"/>
      <c r="AB45" s="43"/>
      <c r="AC45" s="43"/>
      <c r="AD45" s="43"/>
      <c r="AE45" s="43"/>
      <c r="AF45" s="99" t="s">
        <v>75</v>
      </c>
      <c r="AG45" s="98" t="b">
        <f t="shared" si="1"/>
        <v>1</v>
      </c>
      <c r="AH45" s="1312" t="b">
        <v>0</v>
      </c>
    </row>
    <row r="46" spans="1:34" ht="15.95" customHeight="1" x14ac:dyDescent="0.2">
      <c r="A46" s="2018" t="s">
        <v>1574</v>
      </c>
      <c r="B46" s="2064" t="s">
        <v>1264</v>
      </c>
      <c r="C46" s="2065" t="s">
        <v>1264</v>
      </c>
      <c r="D46" s="2065" t="s">
        <v>1264</v>
      </c>
      <c r="E46" s="2065" t="s">
        <v>1264</v>
      </c>
      <c r="F46" s="2065">
        <v>1</v>
      </c>
      <c r="G46" s="2065" t="s">
        <v>1264</v>
      </c>
      <c r="H46" s="2065"/>
      <c r="I46" s="2065"/>
      <c r="J46" s="2065"/>
      <c r="K46" s="2065"/>
      <c r="L46" s="2065"/>
      <c r="M46" s="2065"/>
      <c r="N46" s="2065"/>
      <c r="O46" s="2066"/>
      <c r="P46" s="821">
        <f t="shared" si="0"/>
        <v>1</v>
      </c>
      <c r="R46" s="43"/>
      <c r="S46" s="43"/>
      <c r="T46" s="43"/>
      <c r="U46" s="43"/>
      <c r="V46" s="43"/>
      <c r="W46" s="43"/>
      <c r="X46" s="43"/>
      <c r="Y46" s="43"/>
      <c r="Z46" s="43"/>
      <c r="AA46" s="43"/>
      <c r="AB46" s="43"/>
      <c r="AC46" s="43"/>
      <c r="AD46" s="43"/>
      <c r="AE46" s="43"/>
      <c r="AF46" s="99" t="s">
        <v>75</v>
      </c>
      <c r="AG46" s="98" t="b">
        <f t="shared" si="1"/>
        <v>1</v>
      </c>
      <c r="AH46" s="1312" t="b">
        <v>0</v>
      </c>
    </row>
    <row r="47" spans="1:34" ht="15.95" customHeight="1" x14ac:dyDescent="0.2">
      <c r="A47" s="2018" t="s">
        <v>1575</v>
      </c>
      <c r="B47" s="2064" t="s">
        <v>1264</v>
      </c>
      <c r="C47" s="2065" t="s">
        <v>1264</v>
      </c>
      <c r="D47" s="2065" t="s">
        <v>1264</v>
      </c>
      <c r="E47" s="2065" t="s">
        <v>1264</v>
      </c>
      <c r="F47" s="2065">
        <v>1</v>
      </c>
      <c r="G47" s="2065" t="s">
        <v>1264</v>
      </c>
      <c r="H47" s="2065"/>
      <c r="I47" s="2065"/>
      <c r="J47" s="2065"/>
      <c r="K47" s="2065"/>
      <c r="L47" s="2065"/>
      <c r="M47" s="2065"/>
      <c r="N47" s="2065"/>
      <c r="O47" s="2066"/>
      <c r="P47" s="821">
        <f t="shared" si="0"/>
        <v>1</v>
      </c>
      <c r="R47" s="43"/>
      <c r="S47" s="43"/>
      <c r="T47" s="43"/>
      <c r="U47" s="43"/>
      <c r="V47" s="43"/>
      <c r="W47" s="43"/>
      <c r="X47" s="43"/>
      <c r="Y47" s="43"/>
      <c r="Z47" s="43"/>
      <c r="AA47" s="43"/>
      <c r="AB47" s="43"/>
      <c r="AC47" s="43"/>
      <c r="AD47" s="43"/>
      <c r="AE47" s="43"/>
      <c r="AF47" s="99" t="s">
        <v>75</v>
      </c>
      <c r="AG47" s="98" t="b">
        <f t="shared" si="1"/>
        <v>1</v>
      </c>
      <c r="AH47" s="1312" t="b">
        <v>0</v>
      </c>
    </row>
    <row r="48" spans="1:34" ht="15.95" customHeight="1" x14ac:dyDescent="0.2">
      <c r="A48" s="2018" t="s">
        <v>1576</v>
      </c>
      <c r="B48" s="2064" t="s">
        <v>1264</v>
      </c>
      <c r="C48" s="2065" t="s">
        <v>1264</v>
      </c>
      <c r="D48" s="2065" t="s">
        <v>1264</v>
      </c>
      <c r="E48" s="2065" t="s">
        <v>1264</v>
      </c>
      <c r="F48" s="2065">
        <v>1</v>
      </c>
      <c r="G48" s="2065" t="s">
        <v>1264</v>
      </c>
      <c r="H48" s="2065"/>
      <c r="I48" s="2065"/>
      <c r="J48" s="2065"/>
      <c r="K48" s="2065"/>
      <c r="L48" s="2065"/>
      <c r="M48" s="2065"/>
      <c r="N48" s="2065"/>
      <c r="O48" s="2066"/>
      <c r="P48" s="821">
        <f t="shared" si="0"/>
        <v>1</v>
      </c>
      <c r="R48" s="43"/>
      <c r="S48" s="43"/>
      <c r="T48" s="43"/>
      <c r="U48" s="43"/>
      <c r="V48" s="43"/>
      <c r="W48" s="43"/>
      <c r="X48" s="43"/>
      <c r="Y48" s="43"/>
      <c r="Z48" s="43"/>
      <c r="AA48" s="43"/>
      <c r="AB48" s="43"/>
      <c r="AC48" s="43"/>
      <c r="AD48" s="43"/>
      <c r="AE48" s="43"/>
      <c r="AF48" s="99" t="s">
        <v>74</v>
      </c>
      <c r="AG48" s="98" t="b">
        <f t="shared" si="1"/>
        <v>1</v>
      </c>
      <c r="AH48" s="1312" t="b">
        <v>0</v>
      </c>
    </row>
    <row r="49" spans="1:34" ht="15.95" customHeight="1" x14ac:dyDescent="0.2">
      <c r="A49" s="2019" t="s">
        <v>1577</v>
      </c>
      <c r="B49" s="2067" t="s">
        <v>1264</v>
      </c>
      <c r="C49" s="2068" t="s">
        <v>1264</v>
      </c>
      <c r="D49" s="2068" t="s">
        <v>1264</v>
      </c>
      <c r="E49" s="2068" t="s">
        <v>1264</v>
      </c>
      <c r="F49" s="2068">
        <v>1</v>
      </c>
      <c r="G49" s="2068" t="s">
        <v>1264</v>
      </c>
      <c r="H49" s="2068"/>
      <c r="I49" s="2068"/>
      <c r="J49" s="2068"/>
      <c r="K49" s="2068"/>
      <c r="L49" s="2068"/>
      <c r="M49" s="2068"/>
      <c r="N49" s="2068"/>
      <c r="O49" s="2069"/>
      <c r="P49" s="821">
        <f t="shared" si="0"/>
        <v>1</v>
      </c>
      <c r="R49" s="43"/>
      <c r="S49" s="43"/>
      <c r="T49" s="43"/>
      <c r="U49" s="43"/>
      <c r="V49" s="43"/>
      <c r="W49" s="43"/>
      <c r="X49" s="43"/>
      <c r="Y49" s="43"/>
      <c r="Z49" s="43"/>
      <c r="AA49" s="43"/>
      <c r="AB49" s="43"/>
      <c r="AC49" s="43"/>
      <c r="AD49" s="43"/>
      <c r="AE49" s="43"/>
      <c r="AF49" s="99" t="s">
        <v>74</v>
      </c>
      <c r="AG49" s="98" t="b">
        <f t="shared" si="1"/>
        <v>1</v>
      </c>
      <c r="AH49" s="1312" t="b">
        <v>0</v>
      </c>
    </row>
    <row r="50" spans="1:34" ht="15" customHeight="1" x14ac:dyDescent="0.2">
      <c r="A50" s="817" t="s">
        <v>91</v>
      </c>
      <c r="B50" s="818">
        <f t="shared" ref="B50:O50" si="2">IF(ISBLANK(B13),"",SUM(B14:B49))</f>
        <v>0</v>
      </c>
      <c r="C50" s="818">
        <f t="shared" si="2"/>
        <v>0</v>
      </c>
      <c r="D50" s="818">
        <f t="shared" si="2"/>
        <v>0</v>
      </c>
      <c r="E50" s="818">
        <f t="shared" si="2"/>
        <v>0</v>
      </c>
      <c r="F50" s="818">
        <f t="shared" si="2"/>
        <v>116</v>
      </c>
      <c r="G50" s="818">
        <f t="shared" si="2"/>
        <v>103</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2019</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8Ink7n2cjIw3D2HyYVid/Lcacw4z21pdxl4ZqV5rQoP/t1/MOBz/NPuyA5qxN2AaUJBPSHxYzkbkYQzgZGTo1A==" saltValue="dZf6LDQBnf1af6CJylWppQ=="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371" priority="2">
      <formula>OR(A14="Girder",A14="Girders",A14="Joist",A14="Joists",A14="Bridging")</formula>
    </cfRule>
    <cfRule type="expression" dxfId="1370" priority="3">
      <formula>AND(P14&gt;0,ISBLANK(AF14),OR($R$1="",$R$1="M"))</formula>
    </cfRule>
    <cfRule type="expression" dxfId="1369" priority="9">
      <formula>$AH14</formula>
    </cfRule>
  </conditionalFormatting>
  <conditionalFormatting sqref="H2:J4">
    <cfRule type="cellIs" dxfId="1368" priority="7" stopIfTrue="1" operator="equal">
      <formula>""</formula>
    </cfRule>
  </conditionalFormatting>
  <conditionalFormatting sqref="B14:O49">
    <cfRule type="expression" dxfId="1367" priority="4">
      <formula>IF($R$1="M",AND(B14&gt;R14,R14&gt;0),B14&lt;R14)</formula>
    </cfRule>
    <cfRule type="expression" dxfId="1366" priority="5">
      <formula>OR(AND($R$1="M",B14=R14),B14="-")</formula>
    </cfRule>
    <cfRule type="expression" dxfId="1365" priority="6">
      <formula>IF(NOT(ISBLANK($R$1)),IF($R$1="M",IF(ISTEXT(B14),0,B14)&lt;R14,IF(ISTEXT(B14),0,B14)&gt;R14))</formula>
    </cfRule>
    <cfRule type="expression" dxfId="1364" priority="8">
      <formula>OR($AH14,B$63)</formula>
    </cfRule>
  </conditionalFormatting>
  <conditionalFormatting sqref="B13:O13">
    <cfRule type="expression" dxfId="1363" priority="1">
      <formula>AND(NOT(ISBLANK(B$13)),ISERROR(MATCH(B$13,$AK:$AK,0)))</formula>
    </cfRule>
    <cfRule type="expression" dxfId="136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indexed="31"/>
  </sheetPr>
  <dimension ref="A1:AL65"/>
  <sheetViews>
    <sheetView showGridLines="0" topLeftCell="A16"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22 of 42</v>
      </c>
      <c r="M7" s="822"/>
      <c r="N7" s="473"/>
      <c r="O7" s="473"/>
      <c r="P7" s="566"/>
      <c r="R7" s="1393">
        <v>22</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1578</v>
      </c>
      <c r="B15" s="2064" t="s">
        <v>1264</v>
      </c>
      <c r="C15" s="2065" t="s">
        <v>1264</v>
      </c>
      <c r="D15" s="2065" t="s">
        <v>1264</v>
      </c>
      <c r="E15" s="2065" t="s">
        <v>1264</v>
      </c>
      <c r="F15" s="2065">
        <v>1</v>
      </c>
      <c r="G15" s="2065" t="s">
        <v>1264</v>
      </c>
      <c r="H15" s="2065"/>
      <c r="I15" s="2065"/>
      <c r="J15" s="2065"/>
      <c r="K15" s="2065"/>
      <c r="L15" s="2065"/>
      <c r="M15" s="2065"/>
      <c r="N15" s="2065"/>
      <c r="O15" s="2066"/>
      <c r="P15" s="821">
        <f t="shared" si="0"/>
        <v>1</v>
      </c>
      <c r="R15" s="43"/>
      <c r="S15" s="43"/>
      <c r="T15" s="43"/>
      <c r="U15" s="43"/>
      <c r="V15" s="43"/>
      <c r="W15" s="43"/>
      <c r="X15" s="43"/>
      <c r="Y15" s="43"/>
      <c r="Z15" s="43"/>
      <c r="AA15" s="43"/>
      <c r="AB15" s="43"/>
      <c r="AC15" s="43"/>
      <c r="AD15" s="43"/>
      <c r="AE15" s="43"/>
      <c r="AF15" s="99" t="s">
        <v>74</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1579</v>
      </c>
      <c r="B16" s="2064" t="s">
        <v>1264</v>
      </c>
      <c r="C16" s="2065" t="s">
        <v>1264</v>
      </c>
      <c r="D16" s="2065" t="s">
        <v>1264</v>
      </c>
      <c r="E16" s="2065" t="s">
        <v>1264</v>
      </c>
      <c r="F16" s="2065">
        <v>1</v>
      </c>
      <c r="G16" s="2065" t="s">
        <v>1264</v>
      </c>
      <c r="H16" s="2065"/>
      <c r="I16" s="2065"/>
      <c r="J16" s="2065"/>
      <c r="K16" s="2065"/>
      <c r="L16" s="2065"/>
      <c r="M16" s="2065"/>
      <c r="N16" s="2065"/>
      <c r="O16" s="2066"/>
      <c r="P16" s="821">
        <f t="shared" si="0"/>
        <v>1</v>
      </c>
      <c r="R16" s="43"/>
      <c r="S16" s="43"/>
      <c r="T16" s="43"/>
      <c r="U16" s="43"/>
      <c r="V16" s="43"/>
      <c r="W16" s="43"/>
      <c r="X16" s="43"/>
      <c r="Y16" s="43"/>
      <c r="Z16" s="43"/>
      <c r="AA16" s="43"/>
      <c r="AB16" s="43"/>
      <c r="AC16" s="43"/>
      <c r="AD16" s="43"/>
      <c r="AE16" s="43"/>
      <c r="AF16" s="99" t="s">
        <v>74</v>
      </c>
      <c r="AG16" s="98" t="b">
        <f t="shared" si="1"/>
        <v>1</v>
      </c>
      <c r="AH16" s="1312" t="b">
        <v>0</v>
      </c>
    </row>
    <row r="17" spans="1:34" ht="15.95" customHeight="1" x14ac:dyDescent="0.2">
      <c r="A17" s="2018" t="s">
        <v>1580</v>
      </c>
      <c r="B17" s="2064" t="s">
        <v>1264</v>
      </c>
      <c r="C17" s="2065" t="s">
        <v>1264</v>
      </c>
      <c r="D17" s="2065" t="s">
        <v>1264</v>
      </c>
      <c r="E17" s="2065" t="s">
        <v>1264</v>
      </c>
      <c r="F17" s="2065">
        <v>1</v>
      </c>
      <c r="G17" s="2065" t="s">
        <v>1264</v>
      </c>
      <c r="H17" s="2065"/>
      <c r="I17" s="2065"/>
      <c r="J17" s="2065"/>
      <c r="K17" s="2065"/>
      <c r="L17" s="2065"/>
      <c r="M17" s="2065"/>
      <c r="N17" s="2065"/>
      <c r="O17" s="2066"/>
      <c r="P17" s="821">
        <f t="shared" si="0"/>
        <v>1</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1581</v>
      </c>
      <c r="B18" s="2064" t="s">
        <v>1264</v>
      </c>
      <c r="C18" s="2065" t="s">
        <v>1264</v>
      </c>
      <c r="D18" s="2065" t="s">
        <v>1264</v>
      </c>
      <c r="E18" s="2065" t="s">
        <v>1264</v>
      </c>
      <c r="F18" s="2065">
        <v>2</v>
      </c>
      <c r="G18" s="2065" t="s">
        <v>1264</v>
      </c>
      <c r="H18" s="2065"/>
      <c r="I18" s="2065"/>
      <c r="J18" s="2065"/>
      <c r="K18" s="2065"/>
      <c r="L18" s="2065"/>
      <c r="M18" s="2065"/>
      <c r="N18" s="2065"/>
      <c r="O18" s="2066"/>
      <c r="P18" s="821">
        <f t="shared" si="0"/>
        <v>2</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1582</v>
      </c>
      <c r="B19" s="2064" t="s">
        <v>1264</v>
      </c>
      <c r="C19" s="2065" t="s">
        <v>1264</v>
      </c>
      <c r="D19" s="2065" t="s">
        <v>1264</v>
      </c>
      <c r="E19" s="2065" t="s">
        <v>1264</v>
      </c>
      <c r="F19" s="2065">
        <v>5</v>
      </c>
      <c r="G19" s="2065" t="s">
        <v>1264</v>
      </c>
      <c r="H19" s="2065"/>
      <c r="I19" s="2065"/>
      <c r="J19" s="2065"/>
      <c r="K19" s="2065"/>
      <c r="L19" s="2065"/>
      <c r="M19" s="2065"/>
      <c r="N19" s="2065"/>
      <c r="O19" s="2066"/>
      <c r="P19" s="821">
        <f t="shared" si="0"/>
        <v>5</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1583</v>
      </c>
      <c r="B20" s="2064" t="s">
        <v>1264</v>
      </c>
      <c r="C20" s="2065" t="s">
        <v>1264</v>
      </c>
      <c r="D20" s="2065" t="s">
        <v>1264</v>
      </c>
      <c r="E20" s="2065" t="s">
        <v>1264</v>
      </c>
      <c r="F20" s="2065">
        <v>2</v>
      </c>
      <c r="G20" s="2065" t="s">
        <v>1264</v>
      </c>
      <c r="H20" s="2065"/>
      <c r="I20" s="2065"/>
      <c r="J20" s="2065"/>
      <c r="K20" s="2065"/>
      <c r="L20" s="2065"/>
      <c r="M20" s="2065"/>
      <c r="N20" s="2065"/>
      <c r="O20" s="2066"/>
      <c r="P20" s="821">
        <f t="shared" si="0"/>
        <v>2</v>
      </c>
      <c r="R20" s="43"/>
      <c r="S20" s="43"/>
      <c r="T20" s="43"/>
      <c r="U20" s="43"/>
      <c r="V20" s="43"/>
      <c r="W20" s="43"/>
      <c r="X20" s="43"/>
      <c r="Y20" s="43"/>
      <c r="Z20" s="43"/>
      <c r="AA20" s="43"/>
      <c r="AB20" s="43"/>
      <c r="AC20" s="43"/>
      <c r="AD20" s="43"/>
      <c r="AE20" s="43"/>
      <c r="AF20" s="99" t="s">
        <v>75</v>
      </c>
      <c r="AG20" s="98" t="b">
        <f t="shared" si="1"/>
        <v>1</v>
      </c>
      <c r="AH20" s="1312" t="b">
        <v>0</v>
      </c>
    </row>
    <row r="21" spans="1:34" ht="15.95" customHeight="1" x14ac:dyDescent="0.2">
      <c r="A21" s="2018" t="s">
        <v>1584</v>
      </c>
      <c r="B21" s="2064" t="s">
        <v>1264</v>
      </c>
      <c r="C21" s="2065" t="s">
        <v>1264</v>
      </c>
      <c r="D21" s="2065" t="s">
        <v>1264</v>
      </c>
      <c r="E21" s="2065" t="s">
        <v>1264</v>
      </c>
      <c r="F21" s="2065">
        <v>1</v>
      </c>
      <c r="G21" s="2065" t="s">
        <v>1264</v>
      </c>
      <c r="H21" s="2065"/>
      <c r="I21" s="2065"/>
      <c r="J21" s="2065"/>
      <c r="K21" s="2065"/>
      <c r="L21" s="2065"/>
      <c r="M21" s="2065"/>
      <c r="N21" s="2065"/>
      <c r="O21" s="2066"/>
      <c r="P21" s="821">
        <f t="shared" si="0"/>
        <v>1</v>
      </c>
      <c r="R21" s="43"/>
      <c r="S21" s="43"/>
      <c r="T21" s="43"/>
      <c r="U21" s="43"/>
      <c r="V21" s="43"/>
      <c r="W21" s="43"/>
      <c r="X21" s="43"/>
      <c r="Y21" s="43"/>
      <c r="Z21" s="43"/>
      <c r="AA21" s="43"/>
      <c r="AB21" s="43"/>
      <c r="AC21" s="43"/>
      <c r="AD21" s="43"/>
      <c r="AE21" s="43"/>
      <c r="AF21" s="99" t="s">
        <v>75</v>
      </c>
      <c r="AG21" s="98" t="b">
        <f t="shared" si="1"/>
        <v>1</v>
      </c>
      <c r="AH21" s="1312" t="b">
        <v>0</v>
      </c>
    </row>
    <row r="22" spans="1:34" ht="15.95" customHeight="1" x14ac:dyDescent="0.2">
      <c r="A22" s="2018" t="s">
        <v>1585</v>
      </c>
      <c r="B22" s="2064" t="s">
        <v>1264</v>
      </c>
      <c r="C22" s="2065" t="s">
        <v>1264</v>
      </c>
      <c r="D22" s="2065" t="s">
        <v>1264</v>
      </c>
      <c r="E22" s="2065" t="s">
        <v>1264</v>
      </c>
      <c r="F22" s="2065">
        <v>1</v>
      </c>
      <c r="G22" s="2065" t="s">
        <v>1264</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75</v>
      </c>
      <c r="AG22" s="98" t="b">
        <f t="shared" si="1"/>
        <v>1</v>
      </c>
      <c r="AH22" s="1312" t="b">
        <v>0</v>
      </c>
    </row>
    <row r="23" spans="1:34" ht="15.95" customHeight="1" x14ac:dyDescent="0.2">
      <c r="A23" s="2018" t="s">
        <v>1586</v>
      </c>
      <c r="B23" s="2064" t="s">
        <v>1264</v>
      </c>
      <c r="C23" s="2065" t="s">
        <v>1264</v>
      </c>
      <c r="D23" s="2065" t="s">
        <v>1264</v>
      </c>
      <c r="E23" s="2065" t="s">
        <v>1264</v>
      </c>
      <c r="F23" s="2065">
        <v>12</v>
      </c>
      <c r="G23" s="2065" t="s">
        <v>1264</v>
      </c>
      <c r="H23" s="2065"/>
      <c r="I23" s="2065"/>
      <c r="J23" s="2065"/>
      <c r="K23" s="2065"/>
      <c r="L23" s="2065"/>
      <c r="M23" s="2065"/>
      <c r="N23" s="2065"/>
      <c r="O23" s="2066"/>
      <c r="P23" s="821">
        <f t="shared" si="0"/>
        <v>12</v>
      </c>
      <c r="R23" s="43"/>
      <c r="S23" s="43"/>
      <c r="T23" s="43"/>
      <c r="U23" s="43"/>
      <c r="V23" s="43"/>
      <c r="W23" s="43"/>
      <c r="X23" s="43"/>
      <c r="Y23" s="43"/>
      <c r="Z23" s="43"/>
      <c r="AA23" s="43"/>
      <c r="AB23" s="43"/>
      <c r="AC23" s="43"/>
      <c r="AD23" s="43"/>
      <c r="AE23" s="43"/>
      <c r="AF23" s="99" t="s">
        <v>75</v>
      </c>
      <c r="AG23" s="98" t="b">
        <f t="shared" si="1"/>
        <v>1</v>
      </c>
      <c r="AH23" s="1312" t="b">
        <v>0</v>
      </c>
    </row>
    <row r="24" spans="1:34" ht="15.95" customHeight="1" x14ac:dyDescent="0.2">
      <c r="A24" s="2018" t="s">
        <v>1587</v>
      </c>
      <c r="B24" s="2064" t="s">
        <v>1264</v>
      </c>
      <c r="C24" s="2065" t="s">
        <v>1264</v>
      </c>
      <c r="D24" s="2065" t="s">
        <v>1264</v>
      </c>
      <c r="E24" s="2065" t="s">
        <v>1264</v>
      </c>
      <c r="F24" s="2065">
        <v>1</v>
      </c>
      <c r="G24" s="2065" t="s">
        <v>1264</v>
      </c>
      <c r="H24" s="2065"/>
      <c r="I24" s="2065"/>
      <c r="J24" s="2065"/>
      <c r="K24" s="2065"/>
      <c r="L24" s="2065"/>
      <c r="M24" s="2065"/>
      <c r="N24" s="2065"/>
      <c r="O24" s="2066"/>
      <c r="P24" s="821">
        <f t="shared" si="0"/>
        <v>1</v>
      </c>
      <c r="R24" s="43"/>
      <c r="S24" s="43"/>
      <c r="T24" s="43"/>
      <c r="U24" s="43"/>
      <c r="V24" s="43"/>
      <c r="W24" s="43"/>
      <c r="X24" s="43"/>
      <c r="Y24" s="43"/>
      <c r="Z24" s="43"/>
      <c r="AA24" s="43"/>
      <c r="AB24" s="43"/>
      <c r="AC24" s="43"/>
      <c r="AD24" s="43"/>
      <c r="AE24" s="43"/>
      <c r="AF24" s="99" t="s">
        <v>75</v>
      </c>
      <c r="AG24" s="98" t="b">
        <f t="shared" si="1"/>
        <v>1</v>
      </c>
      <c r="AH24" s="1312" t="b">
        <v>0</v>
      </c>
    </row>
    <row r="25" spans="1:34" ht="15.95" customHeight="1" x14ac:dyDescent="0.2">
      <c r="A25" s="2018" t="s">
        <v>1588</v>
      </c>
      <c r="B25" s="2064" t="s">
        <v>1264</v>
      </c>
      <c r="C25" s="2065" t="s">
        <v>1264</v>
      </c>
      <c r="D25" s="2065" t="s">
        <v>1264</v>
      </c>
      <c r="E25" s="2065" t="s">
        <v>1264</v>
      </c>
      <c r="F25" s="2065">
        <v>1</v>
      </c>
      <c r="G25" s="2065" t="s">
        <v>1264</v>
      </c>
      <c r="H25" s="2065"/>
      <c r="I25" s="2065"/>
      <c r="J25" s="2065"/>
      <c r="K25" s="2065"/>
      <c r="L25" s="2065"/>
      <c r="M25" s="2065"/>
      <c r="N25" s="2065"/>
      <c r="O25" s="2066"/>
      <c r="P25" s="821">
        <f t="shared" si="0"/>
        <v>1</v>
      </c>
      <c r="R25" s="43"/>
      <c r="S25" s="43"/>
      <c r="T25" s="43"/>
      <c r="U25" s="43"/>
      <c r="V25" s="43"/>
      <c r="W25" s="43"/>
      <c r="X25" s="43"/>
      <c r="Y25" s="43"/>
      <c r="Z25" s="43"/>
      <c r="AA25" s="43"/>
      <c r="AB25" s="43"/>
      <c r="AC25" s="43"/>
      <c r="AD25" s="43"/>
      <c r="AE25" s="43"/>
      <c r="AF25" s="99" t="s">
        <v>75</v>
      </c>
      <c r="AG25" s="98" t="b">
        <f t="shared" si="1"/>
        <v>1</v>
      </c>
      <c r="AH25" s="1312" t="b">
        <v>0</v>
      </c>
    </row>
    <row r="26" spans="1:34" ht="15.95" customHeight="1" x14ac:dyDescent="0.2">
      <c r="A26" s="2018" t="s">
        <v>1589</v>
      </c>
      <c r="B26" s="2064" t="s">
        <v>1264</v>
      </c>
      <c r="C26" s="2065" t="s">
        <v>1264</v>
      </c>
      <c r="D26" s="2065" t="s">
        <v>1264</v>
      </c>
      <c r="E26" s="2065" t="s">
        <v>1264</v>
      </c>
      <c r="F26" s="2065">
        <v>2</v>
      </c>
      <c r="G26" s="2065" t="s">
        <v>1264</v>
      </c>
      <c r="H26" s="2065"/>
      <c r="I26" s="2065"/>
      <c r="J26" s="2065"/>
      <c r="K26" s="2065"/>
      <c r="L26" s="2065"/>
      <c r="M26" s="2065"/>
      <c r="N26" s="2065"/>
      <c r="O26" s="2066"/>
      <c r="P26" s="821">
        <f t="shared" si="0"/>
        <v>2</v>
      </c>
      <c r="R26" s="43"/>
      <c r="S26" s="43"/>
      <c r="T26" s="43"/>
      <c r="U26" s="43"/>
      <c r="V26" s="43"/>
      <c r="W26" s="43"/>
      <c r="X26" s="43"/>
      <c r="Y26" s="43"/>
      <c r="Z26" s="43"/>
      <c r="AA26" s="43"/>
      <c r="AB26" s="43"/>
      <c r="AC26" s="43"/>
      <c r="AD26" s="43"/>
      <c r="AE26" s="43"/>
      <c r="AF26" s="99" t="s">
        <v>75</v>
      </c>
      <c r="AG26" s="98" t="b">
        <f t="shared" si="1"/>
        <v>1</v>
      </c>
      <c r="AH26" s="1312" t="b">
        <v>0</v>
      </c>
    </row>
    <row r="27" spans="1:34" ht="15.95" customHeight="1" x14ac:dyDescent="0.2">
      <c r="A27" s="2018" t="s">
        <v>1590</v>
      </c>
      <c r="B27" s="2064" t="s">
        <v>1264</v>
      </c>
      <c r="C27" s="2065" t="s">
        <v>1264</v>
      </c>
      <c r="D27" s="2065" t="s">
        <v>1264</v>
      </c>
      <c r="E27" s="2065" t="s">
        <v>1264</v>
      </c>
      <c r="F27" s="2065">
        <v>1</v>
      </c>
      <c r="G27" s="2065" t="s">
        <v>1264</v>
      </c>
      <c r="H27" s="2065"/>
      <c r="I27" s="2065"/>
      <c r="J27" s="2065"/>
      <c r="K27" s="2065"/>
      <c r="L27" s="2065"/>
      <c r="M27" s="2065"/>
      <c r="N27" s="2065"/>
      <c r="O27" s="2066"/>
      <c r="P27" s="821">
        <f t="shared" si="0"/>
        <v>1</v>
      </c>
      <c r="R27" s="43"/>
      <c r="S27" s="43"/>
      <c r="T27" s="43"/>
      <c r="U27" s="43"/>
      <c r="V27" s="43"/>
      <c r="W27" s="43"/>
      <c r="X27" s="43"/>
      <c r="Y27" s="43"/>
      <c r="Z27" s="43"/>
      <c r="AA27" s="43"/>
      <c r="AB27" s="43"/>
      <c r="AC27" s="43"/>
      <c r="AD27" s="43"/>
      <c r="AE27" s="43"/>
      <c r="AF27" s="99" t="s">
        <v>75</v>
      </c>
      <c r="AG27" s="98" t="b">
        <f t="shared" si="1"/>
        <v>1</v>
      </c>
      <c r="AH27" s="1312" t="b">
        <v>0</v>
      </c>
    </row>
    <row r="28" spans="1:34" ht="15.95" customHeight="1" x14ac:dyDescent="0.2">
      <c r="A28" s="2018" t="s">
        <v>1591</v>
      </c>
      <c r="B28" s="2064" t="s">
        <v>1264</v>
      </c>
      <c r="C28" s="2065" t="s">
        <v>1264</v>
      </c>
      <c r="D28" s="2065" t="s">
        <v>1264</v>
      </c>
      <c r="E28" s="2065" t="s">
        <v>1264</v>
      </c>
      <c r="F28" s="2065">
        <v>1</v>
      </c>
      <c r="G28" s="2065" t="s">
        <v>1264</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75</v>
      </c>
      <c r="AG28" s="98" t="b">
        <f t="shared" si="1"/>
        <v>1</v>
      </c>
      <c r="AH28" s="1312" t="b">
        <v>0</v>
      </c>
    </row>
    <row r="29" spans="1:34" ht="15.95" customHeight="1" x14ac:dyDescent="0.2">
      <c r="A29" s="2018" t="s">
        <v>1592</v>
      </c>
      <c r="B29" s="2064" t="s">
        <v>1264</v>
      </c>
      <c r="C29" s="2065" t="s">
        <v>1264</v>
      </c>
      <c r="D29" s="2065" t="s">
        <v>1264</v>
      </c>
      <c r="E29" s="2065" t="s">
        <v>1264</v>
      </c>
      <c r="F29" s="2065">
        <v>1</v>
      </c>
      <c r="G29" s="2065" t="s">
        <v>1264</v>
      </c>
      <c r="H29" s="2065"/>
      <c r="I29" s="2065"/>
      <c r="J29" s="2065"/>
      <c r="K29" s="2065"/>
      <c r="L29" s="2065"/>
      <c r="M29" s="2065"/>
      <c r="N29" s="2065"/>
      <c r="O29" s="2066"/>
      <c r="P29" s="821">
        <f t="shared" si="0"/>
        <v>1</v>
      </c>
      <c r="R29" s="43"/>
      <c r="S29" s="43"/>
      <c r="T29" s="43"/>
      <c r="U29" s="43"/>
      <c r="V29" s="43"/>
      <c r="W29" s="43"/>
      <c r="X29" s="43"/>
      <c r="Y29" s="43"/>
      <c r="Z29" s="43"/>
      <c r="AA29" s="43"/>
      <c r="AB29" s="43"/>
      <c r="AC29" s="43"/>
      <c r="AD29" s="43"/>
      <c r="AE29" s="43"/>
      <c r="AF29" s="99" t="s">
        <v>75</v>
      </c>
      <c r="AG29" s="98" t="b">
        <f t="shared" si="1"/>
        <v>1</v>
      </c>
      <c r="AH29" s="1312" t="b">
        <v>0</v>
      </c>
    </row>
    <row r="30" spans="1:34" ht="15.95" customHeight="1" x14ac:dyDescent="0.2">
      <c r="A30" s="2018" t="s">
        <v>1593</v>
      </c>
      <c r="B30" s="2064" t="s">
        <v>1264</v>
      </c>
      <c r="C30" s="2065" t="s">
        <v>1264</v>
      </c>
      <c r="D30" s="2065" t="s">
        <v>1264</v>
      </c>
      <c r="E30" s="2065" t="s">
        <v>1264</v>
      </c>
      <c r="F30" s="2065">
        <v>1</v>
      </c>
      <c r="G30" s="2065" t="s">
        <v>1264</v>
      </c>
      <c r="H30" s="2065"/>
      <c r="I30" s="2065"/>
      <c r="J30" s="2065"/>
      <c r="K30" s="2065"/>
      <c r="L30" s="2065"/>
      <c r="M30" s="2065"/>
      <c r="N30" s="2065"/>
      <c r="O30" s="2066"/>
      <c r="P30" s="821">
        <f t="shared" si="0"/>
        <v>1</v>
      </c>
      <c r="R30" s="43"/>
      <c r="S30" s="43"/>
      <c r="T30" s="43"/>
      <c r="U30" s="43"/>
      <c r="V30" s="43"/>
      <c r="W30" s="43"/>
      <c r="X30" s="43"/>
      <c r="Y30" s="43"/>
      <c r="Z30" s="43"/>
      <c r="AA30" s="43"/>
      <c r="AB30" s="43"/>
      <c r="AC30" s="43"/>
      <c r="AD30" s="43"/>
      <c r="AE30" s="43"/>
      <c r="AF30" s="99" t="s">
        <v>75</v>
      </c>
      <c r="AG30" s="98" t="b">
        <f t="shared" si="1"/>
        <v>1</v>
      </c>
      <c r="AH30" s="1312" t="b">
        <v>0</v>
      </c>
    </row>
    <row r="31" spans="1:34" ht="15.95" customHeight="1" x14ac:dyDescent="0.2">
      <c r="A31" s="2018" t="s">
        <v>1594</v>
      </c>
      <c r="B31" s="2064" t="s">
        <v>1264</v>
      </c>
      <c r="C31" s="2065" t="s">
        <v>1264</v>
      </c>
      <c r="D31" s="2065" t="s">
        <v>1264</v>
      </c>
      <c r="E31" s="2065" t="s">
        <v>1264</v>
      </c>
      <c r="F31" s="2065">
        <v>2</v>
      </c>
      <c r="G31" s="2065" t="s">
        <v>1264</v>
      </c>
      <c r="H31" s="2065"/>
      <c r="I31" s="2065"/>
      <c r="J31" s="2065"/>
      <c r="K31" s="2065"/>
      <c r="L31" s="2065"/>
      <c r="M31" s="2065"/>
      <c r="N31" s="2065"/>
      <c r="O31" s="2066"/>
      <c r="P31" s="821">
        <f t="shared" si="0"/>
        <v>2</v>
      </c>
      <c r="R31" s="43"/>
      <c r="S31" s="43"/>
      <c r="T31" s="43"/>
      <c r="U31" s="43"/>
      <c r="V31" s="43"/>
      <c r="W31" s="43"/>
      <c r="X31" s="43"/>
      <c r="Y31" s="43"/>
      <c r="Z31" s="43"/>
      <c r="AA31" s="43"/>
      <c r="AB31" s="43"/>
      <c r="AC31" s="43"/>
      <c r="AD31" s="43"/>
      <c r="AE31" s="43"/>
      <c r="AF31" s="99" t="s">
        <v>75</v>
      </c>
      <c r="AG31" s="98" t="b">
        <f t="shared" si="1"/>
        <v>1</v>
      </c>
      <c r="AH31" s="1312" t="b">
        <v>0</v>
      </c>
    </row>
    <row r="32" spans="1:34" ht="15.95" customHeight="1" x14ac:dyDescent="0.2">
      <c r="A32" s="2018" t="s">
        <v>1595</v>
      </c>
      <c r="B32" s="2064" t="s">
        <v>1264</v>
      </c>
      <c r="C32" s="2065" t="s">
        <v>1264</v>
      </c>
      <c r="D32" s="2065" t="s">
        <v>1264</v>
      </c>
      <c r="E32" s="2065" t="s">
        <v>1264</v>
      </c>
      <c r="F32" s="2065">
        <v>1</v>
      </c>
      <c r="G32" s="2065" t="s">
        <v>1264</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75</v>
      </c>
      <c r="AG32" s="98" t="b">
        <f t="shared" si="1"/>
        <v>1</v>
      </c>
      <c r="AH32" s="1312" t="b">
        <v>0</v>
      </c>
    </row>
    <row r="33" spans="1:34" ht="15.95" customHeight="1" x14ac:dyDescent="0.2">
      <c r="A33" s="2018" t="s">
        <v>1596</v>
      </c>
      <c r="B33" s="2064" t="s">
        <v>1264</v>
      </c>
      <c r="C33" s="2065" t="s">
        <v>1264</v>
      </c>
      <c r="D33" s="2065" t="s">
        <v>1264</v>
      </c>
      <c r="E33" s="2065" t="s">
        <v>1264</v>
      </c>
      <c r="F33" s="2065">
        <v>1</v>
      </c>
      <c r="G33" s="2065" t="s">
        <v>1264</v>
      </c>
      <c r="H33" s="2065"/>
      <c r="I33" s="2065"/>
      <c r="J33" s="2065"/>
      <c r="K33" s="2065"/>
      <c r="L33" s="2065"/>
      <c r="M33" s="2065"/>
      <c r="N33" s="2065"/>
      <c r="O33" s="2066"/>
      <c r="P33" s="821">
        <f t="shared" si="0"/>
        <v>1</v>
      </c>
      <c r="R33" s="43"/>
      <c r="S33" s="43"/>
      <c r="T33" s="43"/>
      <c r="U33" s="43"/>
      <c r="V33" s="43"/>
      <c r="W33" s="43"/>
      <c r="X33" s="43"/>
      <c r="Y33" s="43"/>
      <c r="Z33" s="43"/>
      <c r="AA33" s="43"/>
      <c r="AB33" s="43"/>
      <c r="AC33" s="43"/>
      <c r="AD33" s="43"/>
      <c r="AE33" s="43"/>
      <c r="AF33" s="99" t="s">
        <v>75</v>
      </c>
      <c r="AG33" s="98" t="b">
        <f t="shared" si="1"/>
        <v>1</v>
      </c>
      <c r="AH33" s="1312" t="b">
        <v>0</v>
      </c>
    </row>
    <row r="34" spans="1:34" ht="15.95" customHeight="1" x14ac:dyDescent="0.2">
      <c r="A34" s="2018" t="s">
        <v>1597</v>
      </c>
      <c r="B34" s="2064" t="s">
        <v>1264</v>
      </c>
      <c r="C34" s="2065" t="s">
        <v>1264</v>
      </c>
      <c r="D34" s="2065" t="s">
        <v>1264</v>
      </c>
      <c r="E34" s="2065" t="s">
        <v>1264</v>
      </c>
      <c r="F34" s="2065">
        <v>1</v>
      </c>
      <c r="G34" s="2065">
        <v>1</v>
      </c>
      <c r="H34" s="2065"/>
      <c r="I34" s="2065"/>
      <c r="J34" s="2065"/>
      <c r="K34" s="2065"/>
      <c r="L34" s="2065"/>
      <c r="M34" s="2065"/>
      <c r="N34" s="2065"/>
      <c r="O34" s="2066"/>
      <c r="P34" s="821">
        <f t="shared" si="0"/>
        <v>2</v>
      </c>
      <c r="R34" s="43"/>
      <c r="S34" s="43"/>
      <c r="T34" s="43"/>
      <c r="U34" s="43"/>
      <c r="V34" s="43"/>
      <c r="W34" s="43"/>
      <c r="X34" s="43"/>
      <c r="Y34" s="43"/>
      <c r="Z34" s="43"/>
      <c r="AA34" s="43"/>
      <c r="AB34" s="43"/>
      <c r="AC34" s="43"/>
      <c r="AD34" s="43"/>
      <c r="AE34" s="43"/>
      <c r="AF34" s="99" t="s">
        <v>75</v>
      </c>
      <c r="AG34" s="98" t="b">
        <f t="shared" si="1"/>
        <v>1</v>
      </c>
      <c r="AH34" s="1312" t="b">
        <v>0</v>
      </c>
    </row>
    <row r="35" spans="1:34" ht="15.95" customHeight="1" x14ac:dyDescent="0.2">
      <c r="A35" s="2018" t="s">
        <v>1598</v>
      </c>
      <c r="B35" s="2064" t="s">
        <v>1264</v>
      </c>
      <c r="C35" s="2065" t="s">
        <v>1264</v>
      </c>
      <c r="D35" s="2065" t="s">
        <v>1264</v>
      </c>
      <c r="E35" s="2065" t="s">
        <v>1264</v>
      </c>
      <c r="F35" s="2065">
        <v>16</v>
      </c>
      <c r="G35" s="2065">
        <v>16</v>
      </c>
      <c r="H35" s="2065"/>
      <c r="I35" s="2065"/>
      <c r="J35" s="2065"/>
      <c r="K35" s="2065"/>
      <c r="L35" s="2065"/>
      <c r="M35" s="2065"/>
      <c r="N35" s="2065"/>
      <c r="O35" s="2066"/>
      <c r="P35" s="821">
        <f t="shared" si="0"/>
        <v>32</v>
      </c>
      <c r="R35" s="43"/>
      <c r="S35" s="43"/>
      <c r="T35" s="43"/>
      <c r="U35" s="43"/>
      <c r="V35" s="43"/>
      <c r="W35" s="43"/>
      <c r="X35" s="43"/>
      <c r="Y35" s="43"/>
      <c r="Z35" s="43"/>
      <c r="AA35" s="43"/>
      <c r="AB35" s="43"/>
      <c r="AC35" s="43"/>
      <c r="AD35" s="43"/>
      <c r="AE35" s="43"/>
      <c r="AF35" s="99" t="s">
        <v>75</v>
      </c>
      <c r="AG35" s="98" t="b">
        <f t="shared" si="1"/>
        <v>1</v>
      </c>
      <c r="AH35" s="1312" t="b">
        <v>0</v>
      </c>
    </row>
    <row r="36" spans="1:34" ht="15.95" customHeight="1" x14ac:dyDescent="0.2">
      <c r="A36" s="2018" t="s">
        <v>1599</v>
      </c>
      <c r="B36" s="2064" t="s">
        <v>1264</v>
      </c>
      <c r="C36" s="2065" t="s">
        <v>1264</v>
      </c>
      <c r="D36" s="2065" t="s">
        <v>1264</v>
      </c>
      <c r="E36" s="2065" t="s">
        <v>1264</v>
      </c>
      <c r="F36" s="2065">
        <v>1</v>
      </c>
      <c r="G36" s="2065">
        <v>3</v>
      </c>
      <c r="H36" s="2065"/>
      <c r="I36" s="2065"/>
      <c r="J36" s="2065"/>
      <c r="K36" s="2065"/>
      <c r="L36" s="2065"/>
      <c r="M36" s="2065"/>
      <c r="N36" s="2065"/>
      <c r="O36" s="2066"/>
      <c r="P36" s="821">
        <f t="shared" si="0"/>
        <v>4</v>
      </c>
      <c r="R36" s="43"/>
      <c r="S36" s="43"/>
      <c r="T36" s="43"/>
      <c r="U36" s="43"/>
      <c r="V36" s="43"/>
      <c r="W36" s="43"/>
      <c r="X36" s="43"/>
      <c r="Y36" s="43"/>
      <c r="Z36" s="43"/>
      <c r="AA36" s="43"/>
      <c r="AB36" s="43"/>
      <c r="AC36" s="43"/>
      <c r="AD36" s="43"/>
      <c r="AE36" s="43"/>
      <c r="AF36" s="99" t="s">
        <v>75</v>
      </c>
      <c r="AG36" s="98" t="b">
        <f t="shared" si="1"/>
        <v>1</v>
      </c>
      <c r="AH36" s="1312" t="b">
        <v>0</v>
      </c>
    </row>
    <row r="37" spans="1:34" ht="15.95" customHeight="1" x14ac:dyDescent="0.2">
      <c r="A37" s="2018" t="s">
        <v>1600</v>
      </c>
      <c r="B37" s="2064" t="s">
        <v>1264</v>
      </c>
      <c r="C37" s="2065" t="s">
        <v>1264</v>
      </c>
      <c r="D37" s="2065" t="s">
        <v>1264</v>
      </c>
      <c r="E37" s="2065" t="s">
        <v>1264</v>
      </c>
      <c r="F37" s="2065">
        <v>2</v>
      </c>
      <c r="G37" s="2065">
        <v>2</v>
      </c>
      <c r="H37" s="2065"/>
      <c r="I37" s="2065"/>
      <c r="J37" s="2065"/>
      <c r="K37" s="2065"/>
      <c r="L37" s="2065"/>
      <c r="M37" s="2065"/>
      <c r="N37" s="2065"/>
      <c r="O37" s="2066"/>
      <c r="P37" s="821">
        <f t="shared" si="0"/>
        <v>4</v>
      </c>
      <c r="R37" s="43"/>
      <c r="S37" s="43"/>
      <c r="T37" s="43"/>
      <c r="U37" s="43"/>
      <c r="V37" s="43"/>
      <c r="W37" s="43"/>
      <c r="X37" s="43"/>
      <c r="Y37" s="43"/>
      <c r="Z37" s="43"/>
      <c r="AA37" s="43"/>
      <c r="AB37" s="43"/>
      <c r="AC37" s="43"/>
      <c r="AD37" s="43"/>
      <c r="AE37" s="43"/>
      <c r="AF37" s="99" t="s">
        <v>75</v>
      </c>
      <c r="AG37" s="98" t="b">
        <f t="shared" si="1"/>
        <v>1</v>
      </c>
      <c r="AH37" s="1312" t="b">
        <v>0</v>
      </c>
    </row>
    <row r="38" spans="1:34" ht="15.95" customHeight="1" x14ac:dyDescent="0.2">
      <c r="A38" s="2018" t="s">
        <v>1601</v>
      </c>
      <c r="B38" s="2064" t="s">
        <v>1264</v>
      </c>
      <c r="C38" s="2065" t="s">
        <v>1264</v>
      </c>
      <c r="D38" s="2065" t="s">
        <v>1264</v>
      </c>
      <c r="E38" s="2065" t="s">
        <v>1264</v>
      </c>
      <c r="F38" s="2065">
        <v>3</v>
      </c>
      <c r="G38" s="2065">
        <v>2</v>
      </c>
      <c r="H38" s="2065"/>
      <c r="I38" s="2065"/>
      <c r="J38" s="2065"/>
      <c r="K38" s="2065"/>
      <c r="L38" s="2065"/>
      <c r="M38" s="2065"/>
      <c r="N38" s="2065"/>
      <c r="O38" s="2066"/>
      <c r="P38" s="821">
        <f t="shared" si="0"/>
        <v>5</v>
      </c>
      <c r="R38" s="43"/>
      <c r="S38" s="43"/>
      <c r="T38" s="43"/>
      <c r="U38" s="43"/>
      <c r="V38" s="43"/>
      <c r="W38" s="43"/>
      <c r="X38" s="43"/>
      <c r="Y38" s="43"/>
      <c r="Z38" s="43"/>
      <c r="AA38" s="43"/>
      <c r="AB38" s="43"/>
      <c r="AC38" s="43"/>
      <c r="AD38" s="43"/>
      <c r="AE38" s="43"/>
      <c r="AF38" s="99" t="s">
        <v>75</v>
      </c>
      <c r="AG38" s="98" t="b">
        <f t="shared" si="1"/>
        <v>1</v>
      </c>
      <c r="AH38" s="1312" t="b">
        <v>0</v>
      </c>
    </row>
    <row r="39" spans="1:34" ht="15.95" customHeight="1" x14ac:dyDescent="0.2">
      <c r="A39" s="2018" t="s">
        <v>1602</v>
      </c>
      <c r="B39" s="2064" t="s">
        <v>1264</v>
      </c>
      <c r="C39" s="2065" t="s">
        <v>1264</v>
      </c>
      <c r="D39" s="2065" t="s">
        <v>1264</v>
      </c>
      <c r="E39" s="2065" t="s">
        <v>1264</v>
      </c>
      <c r="F39" s="2065">
        <v>1</v>
      </c>
      <c r="G39" s="2065" t="s">
        <v>1264</v>
      </c>
      <c r="H39" s="2065"/>
      <c r="I39" s="2065"/>
      <c r="J39" s="2065"/>
      <c r="K39" s="2065"/>
      <c r="L39" s="2065"/>
      <c r="M39" s="2065"/>
      <c r="N39" s="2065"/>
      <c r="O39" s="2066"/>
      <c r="P39" s="821">
        <f t="shared" si="0"/>
        <v>1</v>
      </c>
      <c r="R39" s="43"/>
      <c r="S39" s="43"/>
      <c r="T39" s="43"/>
      <c r="U39" s="43"/>
      <c r="V39" s="43"/>
      <c r="W39" s="43"/>
      <c r="X39" s="43"/>
      <c r="Y39" s="43"/>
      <c r="Z39" s="43"/>
      <c r="AA39" s="43"/>
      <c r="AB39" s="43"/>
      <c r="AC39" s="43"/>
      <c r="AD39" s="43"/>
      <c r="AE39" s="43"/>
      <c r="AF39" s="99" t="s">
        <v>75</v>
      </c>
      <c r="AG39" s="98" t="b">
        <f t="shared" si="1"/>
        <v>1</v>
      </c>
      <c r="AH39" s="1312" t="b">
        <v>0</v>
      </c>
    </row>
    <row r="40" spans="1:34" ht="15.95" customHeight="1" x14ac:dyDescent="0.2">
      <c r="A40" s="2018" t="s">
        <v>1603</v>
      </c>
      <c r="B40" s="2064" t="s">
        <v>1264</v>
      </c>
      <c r="C40" s="2065" t="s">
        <v>1264</v>
      </c>
      <c r="D40" s="2065" t="s">
        <v>1264</v>
      </c>
      <c r="E40" s="2065" t="s">
        <v>1264</v>
      </c>
      <c r="F40" s="2065">
        <v>7</v>
      </c>
      <c r="G40" s="2065" t="s">
        <v>1264</v>
      </c>
      <c r="H40" s="2065"/>
      <c r="I40" s="2065"/>
      <c r="J40" s="2065"/>
      <c r="K40" s="2065"/>
      <c r="L40" s="2065"/>
      <c r="M40" s="2065"/>
      <c r="N40" s="2065"/>
      <c r="O40" s="2066"/>
      <c r="P40" s="821">
        <f t="shared" si="0"/>
        <v>7</v>
      </c>
      <c r="R40" s="43"/>
      <c r="S40" s="43"/>
      <c r="T40" s="43"/>
      <c r="U40" s="43"/>
      <c r="V40" s="43"/>
      <c r="W40" s="43"/>
      <c r="X40" s="43"/>
      <c r="Y40" s="43"/>
      <c r="Z40" s="43"/>
      <c r="AA40" s="43"/>
      <c r="AB40" s="43"/>
      <c r="AC40" s="43"/>
      <c r="AD40" s="43"/>
      <c r="AE40" s="43"/>
      <c r="AF40" s="99" t="s">
        <v>75</v>
      </c>
      <c r="AG40" s="98" t="b">
        <f t="shared" si="1"/>
        <v>1</v>
      </c>
      <c r="AH40" s="1312" t="b">
        <v>0</v>
      </c>
    </row>
    <row r="41" spans="1:34" ht="15.95" customHeight="1" x14ac:dyDescent="0.2">
      <c r="A41" s="2018" t="s">
        <v>1604</v>
      </c>
      <c r="B41" s="2064" t="s">
        <v>1264</v>
      </c>
      <c r="C41" s="2065" t="s">
        <v>1264</v>
      </c>
      <c r="D41" s="2065" t="s">
        <v>1264</v>
      </c>
      <c r="E41" s="2065" t="s">
        <v>1264</v>
      </c>
      <c r="F41" s="2065">
        <v>2</v>
      </c>
      <c r="G41" s="2065" t="s">
        <v>1264</v>
      </c>
      <c r="H41" s="2065"/>
      <c r="I41" s="2065"/>
      <c r="J41" s="2065"/>
      <c r="K41" s="2065"/>
      <c r="L41" s="2065"/>
      <c r="M41" s="2065"/>
      <c r="N41" s="2065"/>
      <c r="O41" s="2066"/>
      <c r="P41" s="821">
        <f t="shared" si="0"/>
        <v>2</v>
      </c>
      <c r="R41" s="43"/>
      <c r="S41" s="43"/>
      <c r="T41" s="43"/>
      <c r="U41" s="43"/>
      <c r="V41" s="43"/>
      <c r="W41" s="43"/>
      <c r="X41" s="43"/>
      <c r="Y41" s="43"/>
      <c r="Z41" s="43"/>
      <c r="AA41" s="43"/>
      <c r="AB41" s="43"/>
      <c r="AC41" s="43"/>
      <c r="AD41" s="43"/>
      <c r="AE41" s="43"/>
      <c r="AF41" s="99" t="s">
        <v>75</v>
      </c>
      <c r="AG41" s="98" t="b">
        <f t="shared" si="1"/>
        <v>1</v>
      </c>
      <c r="AH41" s="1312" t="b">
        <v>0</v>
      </c>
    </row>
    <row r="42" spans="1:34" ht="15.95" customHeight="1" x14ac:dyDescent="0.2">
      <c r="A42" s="2018" t="s">
        <v>1605</v>
      </c>
      <c r="B42" s="2064" t="s">
        <v>1264</v>
      </c>
      <c r="C42" s="2065" t="s">
        <v>1264</v>
      </c>
      <c r="D42" s="2065" t="s">
        <v>1264</v>
      </c>
      <c r="E42" s="2065" t="s">
        <v>1264</v>
      </c>
      <c r="F42" s="2065">
        <v>2</v>
      </c>
      <c r="G42" s="2065" t="s">
        <v>1264</v>
      </c>
      <c r="H42" s="2065"/>
      <c r="I42" s="2065"/>
      <c r="J42" s="2065"/>
      <c r="K42" s="2065"/>
      <c r="L42" s="2065"/>
      <c r="M42" s="2065"/>
      <c r="N42" s="2065"/>
      <c r="O42" s="2066"/>
      <c r="P42" s="821">
        <f t="shared" si="0"/>
        <v>2</v>
      </c>
      <c r="R42" s="43"/>
      <c r="S42" s="43"/>
      <c r="T42" s="43"/>
      <c r="U42" s="43"/>
      <c r="V42" s="43"/>
      <c r="W42" s="43"/>
      <c r="X42" s="43"/>
      <c r="Y42" s="43"/>
      <c r="Z42" s="43"/>
      <c r="AA42" s="43"/>
      <c r="AB42" s="43"/>
      <c r="AC42" s="43"/>
      <c r="AD42" s="43"/>
      <c r="AE42" s="43"/>
      <c r="AF42" s="99" t="s">
        <v>75</v>
      </c>
      <c r="AG42" s="98" t="b">
        <f t="shared" si="1"/>
        <v>1</v>
      </c>
      <c r="AH42" s="1312" t="b">
        <v>0</v>
      </c>
    </row>
    <row r="43" spans="1:34" ht="15.95" customHeight="1" x14ac:dyDescent="0.2">
      <c r="A43" s="2018" t="s">
        <v>1606</v>
      </c>
      <c r="B43" s="2064" t="s">
        <v>1264</v>
      </c>
      <c r="C43" s="2065" t="s">
        <v>1264</v>
      </c>
      <c r="D43" s="2065" t="s">
        <v>1264</v>
      </c>
      <c r="E43" s="2065" t="s">
        <v>1264</v>
      </c>
      <c r="F43" s="2065">
        <v>1</v>
      </c>
      <c r="G43" s="2065" t="s">
        <v>1264</v>
      </c>
      <c r="H43" s="2065"/>
      <c r="I43" s="2065"/>
      <c r="J43" s="2065"/>
      <c r="K43" s="2065"/>
      <c r="L43" s="2065"/>
      <c r="M43" s="2065"/>
      <c r="N43" s="2065"/>
      <c r="O43" s="2066"/>
      <c r="P43" s="821">
        <f t="shared" si="0"/>
        <v>1</v>
      </c>
      <c r="R43" s="43"/>
      <c r="S43" s="43"/>
      <c r="T43" s="43"/>
      <c r="U43" s="43"/>
      <c r="V43" s="43"/>
      <c r="W43" s="43"/>
      <c r="X43" s="43"/>
      <c r="Y43" s="43"/>
      <c r="Z43" s="43"/>
      <c r="AA43" s="43"/>
      <c r="AB43" s="43"/>
      <c r="AC43" s="43"/>
      <c r="AD43" s="43"/>
      <c r="AE43" s="43"/>
      <c r="AF43" s="99" t="s">
        <v>75</v>
      </c>
      <c r="AG43" s="98" t="b">
        <f t="shared" si="1"/>
        <v>1</v>
      </c>
      <c r="AH43" s="1312" t="b">
        <v>0</v>
      </c>
    </row>
    <row r="44" spans="1:34" ht="15.95" customHeight="1" x14ac:dyDescent="0.2">
      <c r="A44" s="2018" t="s">
        <v>1607</v>
      </c>
      <c r="B44" s="2064" t="s">
        <v>1264</v>
      </c>
      <c r="C44" s="2065" t="s">
        <v>1264</v>
      </c>
      <c r="D44" s="2065" t="s">
        <v>1264</v>
      </c>
      <c r="E44" s="2065" t="s">
        <v>1264</v>
      </c>
      <c r="F44" s="2065">
        <v>2</v>
      </c>
      <c r="G44" s="2065" t="s">
        <v>1264</v>
      </c>
      <c r="H44" s="2065"/>
      <c r="I44" s="2065"/>
      <c r="J44" s="2065"/>
      <c r="K44" s="2065"/>
      <c r="L44" s="2065"/>
      <c r="M44" s="2065"/>
      <c r="N44" s="2065"/>
      <c r="O44" s="2066"/>
      <c r="P44" s="821">
        <f t="shared" si="0"/>
        <v>2</v>
      </c>
      <c r="R44" s="43"/>
      <c r="S44" s="43"/>
      <c r="T44" s="43"/>
      <c r="U44" s="43"/>
      <c r="V44" s="43"/>
      <c r="W44" s="43"/>
      <c r="X44" s="43"/>
      <c r="Y44" s="43"/>
      <c r="Z44" s="43"/>
      <c r="AA44" s="43"/>
      <c r="AB44" s="43"/>
      <c r="AC44" s="43"/>
      <c r="AD44" s="43"/>
      <c r="AE44" s="43"/>
      <c r="AF44" s="99" t="s">
        <v>75</v>
      </c>
      <c r="AG44" s="98" t="b">
        <f t="shared" si="1"/>
        <v>1</v>
      </c>
      <c r="AH44" s="1312" t="b">
        <v>0</v>
      </c>
    </row>
    <row r="45" spans="1:34" ht="15.95" customHeight="1" x14ac:dyDescent="0.2">
      <c r="A45" s="2018" t="s">
        <v>1608</v>
      </c>
      <c r="B45" s="2064" t="s">
        <v>1264</v>
      </c>
      <c r="C45" s="2065" t="s">
        <v>1264</v>
      </c>
      <c r="D45" s="2065" t="s">
        <v>1264</v>
      </c>
      <c r="E45" s="2065" t="s">
        <v>1264</v>
      </c>
      <c r="F45" s="2065" t="s">
        <v>1264</v>
      </c>
      <c r="G45" s="2065">
        <v>22</v>
      </c>
      <c r="H45" s="2065"/>
      <c r="I45" s="2065"/>
      <c r="J45" s="2065"/>
      <c r="K45" s="2065"/>
      <c r="L45" s="2065"/>
      <c r="M45" s="2065"/>
      <c r="N45" s="2065"/>
      <c r="O45" s="2066"/>
      <c r="P45" s="821">
        <f t="shared" si="0"/>
        <v>22</v>
      </c>
      <c r="R45" s="43"/>
      <c r="S45" s="43"/>
      <c r="T45" s="43"/>
      <c r="U45" s="43"/>
      <c r="V45" s="43"/>
      <c r="W45" s="43"/>
      <c r="X45" s="43"/>
      <c r="Y45" s="43"/>
      <c r="Z45" s="43"/>
      <c r="AA45" s="43"/>
      <c r="AB45" s="43"/>
      <c r="AC45" s="43"/>
      <c r="AD45" s="43"/>
      <c r="AE45" s="43"/>
      <c r="AF45" s="99" t="s">
        <v>75</v>
      </c>
      <c r="AG45" s="98" t="b">
        <f t="shared" si="1"/>
        <v>1</v>
      </c>
      <c r="AH45" s="1312" t="b">
        <v>0</v>
      </c>
    </row>
    <row r="46" spans="1:34" ht="15.95" customHeight="1" x14ac:dyDescent="0.2">
      <c r="A46" s="2018" t="s">
        <v>1609</v>
      </c>
      <c r="B46" s="2064" t="s">
        <v>1264</v>
      </c>
      <c r="C46" s="2065" t="s">
        <v>1264</v>
      </c>
      <c r="D46" s="2065" t="s">
        <v>1264</v>
      </c>
      <c r="E46" s="2065" t="s">
        <v>1264</v>
      </c>
      <c r="F46" s="2065" t="s">
        <v>1264</v>
      </c>
      <c r="G46" s="2065">
        <v>4</v>
      </c>
      <c r="H46" s="2065"/>
      <c r="I46" s="2065"/>
      <c r="J46" s="2065"/>
      <c r="K46" s="2065"/>
      <c r="L46" s="2065"/>
      <c r="M46" s="2065"/>
      <c r="N46" s="2065"/>
      <c r="O46" s="2066"/>
      <c r="P46" s="821">
        <f t="shared" si="0"/>
        <v>4</v>
      </c>
      <c r="R46" s="43"/>
      <c r="S46" s="43"/>
      <c r="T46" s="43"/>
      <c r="U46" s="43"/>
      <c r="V46" s="43"/>
      <c r="W46" s="43"/>
      <c r="X46" s="43"/>
      <c r="Y46" s="43"/>
      <c r="Z46" s="43"/>
      <c r="AA46" s="43"/>
      <c r="AB46" s="43"/>
      <c r="AC46" s="43"/>
      <c r="AD46" s="43"/>
      <c r="AE46" s="43"/>
      <c r="AF46" s="99" t="s">
        <v>75</v>
      </c>
      <c r="AG46" s="98" t="b">
        <f t="shared" si="1"/>
        <v>1</v>
      </c>
      <c r="AH46" s="1312" t="b">
        <v>0</v>
      </c>
    </row>
    <row r="47" spans="1:34" ht="15.95" customHeight="1" x14ac:dyDescent="0.2">
      <c r="A47" s="2018" t="s">
        <v>1610</v>
      </c>
      <c r="B47" s="2064" t="s">
        <v>1264</v>
      </c>
      <c r="C47" s="2065" t="s">
        <v>1264</v>
      </c>
      <c r="D47" s="2065" t="s">
        <v>1264</v>
      </c>
      <c r="E47" s="2065" t="s">
        <v>1264</v>
      </c>
      <c r="F47" s="2065" t="s">
        <v>1264</v>
      </c>
      <c r="G47" s="2065">
        <v>2</v>
      </c>
      <c r="H47" s="2065"/>
      <c r="I47" s="2065"/>
      <c r="J47" s="2065"/>
      <c r="K47" s="2065"/>
      <c r="L47" s="2065"/>
      <c r="M47" s="2065"/>
      <c r="N47" s="2065"/>
      <c r="O47" s="2066"/>
      <c r="P47" s="821">
        <f t="shared" si="0"/>
        <v>2</v>
      </c>
      <c r="R47" s="43"/>
      <c r="S47" s="43"/>
      <c r="T47" s="43"/>
      <c r="U47" s="43"/>
      <c r="V47" s="43"/>
      <c r="W47" s="43"/>
      <c r="X47" s="43"/>
      <c r="Y47" s="43"/>
      <c r="Z47" s="43"/>
      <c r="AA47" s="43"/>
      <c r="AB47" s="43"/>
      <c r="AC47" s="43"/>
      <c r="AD47" s="43"/>
      <c r="AE47" s="43"/>
      <c r="AF47" s="99" t="s">
        <v>75</v>
      </c>
      <c r="AG47" s="98" t="b">
        <f t="shared" si="1"/>
        <v>1</v>
      </c>
      <c r="AH47" s="1312" t="b">
        <v>0</v>
      </c>
    </row>
    <row r="48" spans="1:34" ht="15.95" customHeight="1" x14ac:dyDescent="0.2">
      <c r="A48" s="2018" t="s">
        <v>1611</v>
      </c>
      <c r="B48" s="2064" t="s">
        <v>1264</v>
      </c>
      <c r="C48" s="2065" t="s">
        <v>1264</v>
      </c>
      <c r="D48" s="2065" t="s">
        <v>1264</v>
      </c>
      <c r="E48" s="2065" t="s">
        <v>1264</v>
      </c>
      <c r="F48" s="2065" t="s">
        <v>1264</v>
      </c>
      <c r="G48" s="2065">
        <v>3</v>
      </c>
      <c r="H48" s="2065"/>
      <c r="I48" s="2065"/>
      <c r="J48" s="2065"/>
      <c r="K48" s="2065"/>
      <c r="L48" s="2065"/>
      <c r="M48" s="2065"/>
      <c r="N48" s="2065"/>
      <c r="O48" s="2066"/>
      <c r="P48" s="821">
        <f t="shared" si="0"/>
        <v>3</v>
      </c>
      <c r="R48" s="43"/>
      <c r="S48" s="43"/>
      <c r="T48" s="43"/>
      <c r="U48" s="43"/>
      <c r="V48" s="43"/>
      <c r="W48" s="43"/>
      <c r="X48" s="43"/>
      <c r="Y48" s="43"/>
      <c r="Z48" s="43"/>
      <c r="AA48" s="43"/>
      <c r="AB48" s="43"/>
      <c r="AC48" s="43"/>
      <c r="AD48" s="43"/>
      <c r="AE48" s="43"/>
      <c r="AF48" s="99" t="s">
        <v>75</v>
      </c>
      <c r="AG48" s="98" t="b">
        <f t="shared" si="1"/>
        <v>1</v>
      </c>
      <c r="AH48" s="1312" t="b">
        <v>0</v>
      </c>
    </row>
    <row r="49" spans="1:34" ht="15.95" customHeight="1" x14ac:dyDescent="0.2">
      <c r="A49" s="2019" t="s">
        <v>1612</v>
      </c>
      <c r="B49" s="2067" t="s">
        <v>1264</v>
      </c>
      <c r="C49" s="2068" t="s">
        <v>1264</v>
      </c>
      <c r="D49" s="2068" t="s">
        <v>1264</v>
      </c>
      <c r="E49" s="2068" t="s">
        <v>1264</v>
      </c>
      <c r="F49" s="2068" t="s">
        <v>1264</v>
      </c>
      <c r="G49" s="2068">
        <v>1</v>
      </c>
      <c r="H49" s="2068"/>
      <c r="I49" s="2068"/>
      <c r="J49" s="2068"/>
      <c r="K49" s="2068"/>
      <c r="L49" s="2068"/>
      <c r="M49" s="2068"/>
      <c r="N49" s="2068"/>
      <c r="O49" s="2069"/>
      <c r="P49" s="821">
        <f t="shared" si="0"/>
        <v>1</v>
      </c>
      <c r="R49" s="43"/>
      <c r="S49" s="43"/>
      <c r="T49" s="43"/>
      <c r="U49" s="43"/>
      <c r="V49" s="43"/>
      <c r="W49" s="43"/>
      <c r="X49" s="43"/>
      <c r="Y49" s="43"/>
      <c r="Z49" s="43"/>
      <c r="AA49" s="43"/>
      <c r="AB49" s="43"/>
      <c r="AC49" s="43"/>
      <c r="AD49" s="43"/>
      <c r="AE49" s="43"/>
      <c r="AF49" s="99" t="s">
        <v>75</v>
      </c>
      <c r="AG49" s="98" t="b">
        <f t="shared" si="1"/>
        <v>1</v>
      </c>
      <c r="AH49" s="1312" t="b">
        <v>0</v>
      </c>
    </row>
    <row r="50" spans="1:34" ht="15" customHeight="1" x14ac:dyDescent="0.2">
      <c r="A50" s="817" t="s">
        <v>91</v>
      </c>
      <c r="B50" s="818">
        <f t="shared" ref="B50:O50" si="2">IF(ISBLANK(B13),"",SUM(B14:B49))</f>
        <v>0</v>
      </c>
      <c r="C50" s="818">
        <f t="shared" si="2"/>
        <v>0</v>
      </c>
      <c r="D50" s="818">
        <f t="shared" si="2"/>
        <v>0</v>
      </c>
      <c r="E50" s="818">
        <f t="shared" si="2"/>
        <v>0</v>
      </c>
      <c r="F50" s="818">
        <f t="shared" si="2"/>
        <v>76</v>
      </c>
      <c r="G50" s="818">
        <f t="shared" si="2"/>
        <v>56</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2020</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oWYDu1Ij+kCZ+10hvk+iWtjw08j3KL9cR2/2/uev9xHYkI+A8ghnvhbWbBHHfRA6WNnJefVXVycMhxsmvCDLZw==" saltValue="OXwmAtqXLXNzjRRhug51L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361" priority="2">
      <formula>OR(A14="Girder",A14="Girders",A14="Joist",A14="Joists",A14="Bridging")</formula>
    </cfRule>
    <cfRule type="expression" dxfId="1360" priority="3">
      <formula>AND(P14&gt;0,ISBLANK(AF14),OR($R$1="",$R$1="M"))</formula>
    </cfRule>
    <cfRule type="expression" dxfId="1359" priority="9">
      <formula>$AH14</formula>
    </cfRule>
  </conditionalFormatting>
  <conditionalFormatting sqref="H2:J4">
    <cfRule type="cellIs" dxfId="1358" priority="7" stopIfTrue="1" operator="equal">
      <formula>""</formula>
    </cfRule>
  </conditionalFormatting>
  <conditionalFormatting sqref="B14:O49">
    <cfRule type="expression" dxfId="1357" priority="4">
      <formula>IF($R$1="M",AND(B14&gt;R14,R14&gt;0),B14&lt;R14)</formula>
    </cfRule>
    <cfRule type="expression" dxfId="1356" priority="5">
      <formula>OR(AND($R$1="M",B14=R14),B14="-")</formula>
    </cfRule>
    <cfRule type="expression" dxfId="1355" priority="6">
      <formula>IF(NOT(ISBLANK($R$1)),IF($R$1="M",IF(ISTEXT(B14),0,B14)&lt;R14,IF(ISTEXT(B14),0,B14)&gt;R14))</formula>
    </cfRule>
    <cfRule type="expression" dxfId="1354" priority="8">
      <formula>OR($AH14,B$63)</formula>
    </cfRule>
  </conditionalFormatting>
  <conditionalFormatting sqref="B13:O13">
    <cfRule type="expression" dxfId="1353" priority="1">
      <formula>AND(NOT(ISBLANK(B$13)),ISERROR(MATCH(B$13,$AK:$AK,0)))</formula>
    </cfRule>
    <cfRule type="expression" dxfId="135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indexed="31"/>
  </sheetPr>
  <dimension ref="A1:AL65"/>
  <sheetViews>
    <sheetView showGridLines="0" topLeftCell="A16" zoomScaleNormal="100" zoomScaleSheetLayoutView="100" workbookViewId="0">
      <selection activeCell="L7" sqref="L7"/>
    </sheetView>
  </sheetViews>
  <sheetFormatPr defaultRowHeight="12.75" x14ac:dyDescent="0.2"/>
  <cols>
    <col min="1" max="1" width="8.7109375" style="2" customWidth="1"/>
    <col min="2" max="10" width="6.42578125" style="2" customWidth="1"/>
    <col min="11" max="15" width="6.28515625" style="2" customWidth="1"/>
    <col min="16" max="16" width="3.7109375" style="2" customWidth="1"/>
    <col min="17" max="17" width="6.7109375" style="2" customWidth="1"/>
    <col min="18" max="31" width="6.7109375" style="2" hidden="1" customWidth="1"/>
    <col min="32" max="32" width="6.7109375" style="38" hidden="1" customWidth="1"/>
    <col min="33" max="34" width="6.7109375" style="2" hidden="1" customWidth="1"/>
    <col min="35" max="36" width="9.140625" style="2" hidden="1" customWidth="1"/>
    <col min="37" max="37" width="9.140625" style="1310" hidden="1" customWidth="1"/>
    <col min="38" max="16384" width="9.140625" style="2"/>
  </cols>
  <sheetData>
    <row r="1" spans="1:38" s="449" customFormat="1" ht="14.45" customHeight="1" thickBot="1" x14ac:dyDescent="0.25">
      <c r="A1" s="444"/>
      <c r="B1" s="444"/>
      <c r="C1" s="444"/>
      <c r="D1" s="444"/>
      <c r="E1" s="444"/>
      <c r="F1" s="444"/>
      <c r="G1" s="444"/>
      <c r="H1" s="2227" t="str">
        <f>IF(ISBLANK(R1),"",VLOOKUP(R1,'Job Info.'!X:AA,4,FALSE))</f>
        <v>Master</v>
      </c>
      <c r="I1" s="2227"/>
      <c r="J1" s="2227"/>
      <c r="K1" s="2313" t="s">
        <v>96</v>
      </c>
      <c r="L1" s="2313"/>
      <c r="M1" s="2313"/>
      <c r="N1" s="2306" t="str">
        <f ca="1">'Job Info.'!D12</f>
        <v>775-428-0600</v>
      </c>
      <c r="O1" s="2306"/>
      <c r="P1" s="565"/>
      <c r="Q1" s="578" t="s">
        <v>763</v>
      </c>
      <c r="R1" s="950" t="s">
        <v>119</v>
      </c>
      <c r="S1" s="448">
        <f>IF(ISBLANK(R1),"",VLOOKUP(R1,'Job Info.'!X:AA,2,FALSE))</f>
        <v>0</v>
      </c>
      <c r="AF1" s="448"/>
      <c r="AJ1" s="984" t="s">
        <v>1179</v>
      </c>
      <c r="AK1" s="1307" t="s">
        <v>1257</v>
      </c>
      <c r="AL1" s="580" t="s">
        <v>764</v>
      </c>
    </row>
    <row r="2" spans="1:38" s="449" customFormat="1" ht="12.95" customHeight="1" thickTop="1" x14ac:dyDescent="0.2">
      <c r="A2" s="444"/>
      <c r="B2" s="444"/>
      <c r="C2" s="444"/>
      <c r="D2" s="444"/>
      <c r="E2" s="444"/>
      <c r="F2" s="444"/>
      <c r="G2" s="444"/>
      <c r="H2" s="2307" t="str">
        <f>IF(ISBLANK(R1),"",IF(VLOOKUP(R1,'Job Info.'!X:Z,2,FALSE),"Released for Fabrication",""))</f>
        <v/>
      </c>
      <c r="I2" s="2308"/>
      <c r="J2" s="2309"/>
      <c r="K2" s="2313" t="s">
        <v>97</v>
      </c>
      <c r="L2" s="2313"/>
      <c r="M2" s="2313"/>
      <c r="N2" s="2306" t="str">
        <f ca="1">'Job Info.'!D13</f>
        <v>775-867-2140</v>
      </c>
      <c r="O2" s="2306"/>
      <c r="P2" s="565"/>
      <c r="AF2" s="448"/>
      <c r="AK2" s="1307" t="s">
        <v>850</v>
      </c>
    </row>
    <row r="3" spans="1:38" s="449" customFormat="1" ht="12.95" customHeight="1" x14ac:dyDescent="0.2">
      <c r="A3" s="444"/>
      <c r="B3" s="444"/>
      <c r="C3" s="444"/>
      <c r="D3" s="444"/>
      <c r="E3" s="444"/>
      <c r="F3" s="444"/>
      <c r="G3" s="444"/>
      <c r="H3" s="2231"/>
      <c r="I3" s="2232"/>
      <c r="J3" s="2233"/>
      <c r="K3" s="2313" t="s">
        <v>99</v>
      </c>
      <c r="L3" s="2313"/>
      <c r="M3" s="2313"/>
      <c r="N3" s="2306" t="str">
        <f ca="1">'Job Info.'!D14</f>
        <v>775-867-2169</v>
      </c>
      <c r="O3" s="2306"/>
      <c r="P3" s="565"/>
      <c r="AF3" s="448"/>
      <c r="AK3" s="1307" t="s">
        <v>1258</v>
      </c>
    </row>
    <row r="4" spans="1:38" s="449" customFormat="1" ht="12.95" customHeight="1" thickBot="1" x14ac:dyDescent="0.25">
      <c r="A4" s="444"/>
      <c r="B4" s="444"/>
      <c r="C4" s="444"/>
      <c r="D4" s="444"/>
      <c r="E4" s="444"/>
      <c r="F4" s="444"/>
      <c r="G4" s="444"/>
      <c r="H4" s="2310" t="str">
        <f>IF(ISBLANK(R1),"",IF(VLOOKUP(R1,'Job Info.'!X:Z,2,FALSE),VLOOKUP(R1,'Job Info.'!X:Z,3,FALSE),""))</f>
        <v/>
      </c>
      <c r="I4" s="2311"/>
      <c r="J4" s="2312"/>
      <c r="K4" s="2313" t="s">
        <v>98</v>
      </c>
      <c r="L4" s="2313"/>
      <c r="M4" s="2313"/>
      <c r="N4" s="2306" t="str">
        <f ca="1">'Job Info.'!D15</f>
        <v>775-867-2060</v>
      </c>
      <c r="O4" s="2306"/>
      <c r="P4" s="565"/>
      <c r="AF4" s="448"/>
      <c r="AK4" s="1307" t="s">
        <v>1259</v>
      </c>
    </row>
    <row r="5" spans="1:38" s="449" customFormat="1" ht="12.95" customHeight="1" thickTop="1" x14ac:dyDescent="0.2">
      <c r="A5" s="2237" t="str">
        <f ca="1">'Job Info.'!D11</f>
        <v>8200 Woolery Way | Fallon, NV 89406 | www.newmill.com</v>
      </c>
      <c r="B5" s="2237"/>
      <c r="C5" s="2237"/>
      <c r="D5" s="2237"/>
      <c r="E5" s="2237"/>
      <c r="F5" s="2237"/>
      <c r="G5" s="2237"/>
      <c r="H5" s="2237"/>
      <c r="I5" s="2237"/>
      <c r="J5" s="2237"/>
      <c r="K5" s="37"/>
      <c r="L5" s="444"/>
      <c r="M5" s="444"/>
      <c r="N5" s="444"/>
      <c r="O5" s="444"/>
      <c r="P5" s="565"/>
      <c r="AF5" s="448"/>
      <c r="AK5" s="1308" t="s">
        <v>1260</v>
      </c>
    </row>
    <row r="6" spans="1:38" s="449" customFormat="1" ht="12.95" customHeight="1" x14ac:dyDescent="0.2">
      <c r="A6" s="444"/>
      <c r="B6" s="444"/>
      <c r="C6" s="444"/>
      <c r="D6" s="444"/>
      <c r="E6" s="444"/>
      <c r="F6" s="444"/>
      <c r="G6" s="444"/>
      <c r="H6" s="444"/>
      <c r="I6" s="444"/>
      <c r="J6" s="444"/>
      <c r="K6" s="1836" t="s">
        <v>20</v>
      </c>
      <c r="L6" s="2300">
        <f>IF(ISBLANK('Job Info.'!D8),"",'Job Info.'!D8)</f>
        <v>43406</v>
      </c>
      <c r="M6" s="2300"/>
      <c r="N6" s="444"/>
      <c r="O6" s="444"/>
      <c r="P6" s="565"/>
      <c r="R6" s="1392" t="s">
        <v>1180</v>
      </c>
      <c r="AF6" s="448"/>
      <c r="AK6" s="1307" t="s">
        <v>1261</v>
      </c>
    </row>
    <row r="7" spans="1:38" s="295" customFormat="1" ht="12.95" customHeight="1" x14ac:dyDescent="0.2">
      <c r="A7" s="472" t="s">
        <v>54</v>
      </c>
      <c r="B7" s="473"/>
      <c r="C7" s="473"/>
      <c r="D7" s="473"/>
      <c r="E7" s="473"/>
      <c r="F7" s="473"/>
      <c r="G7" s="444"/>
      <c r="H7" s="473"/>
      <c r="I7" s="473"/>
      <c r="J7" s="473"/>
      <c r="K7" s="1835" t="s">
        <v>21</v>
      </c>
      <c r="L7" s="1526" t="str">
        <f>CONCATENATE(R7, " of ",IF(ISBLANK('Job Info.'!D9),"",'Job Info.'!D9))</f>
        <v>23 of 42</v>
      </c>
      <c r="M7" s="822"/>
      <c r="N7" s="473"/>
      <c r="O7" s="473"/>
      <c r="P7" s="566"/>
      <c r="R7" s="1393">
        <v>23</v>
      </c>
      <c r="AF7" s="475"/>
      <c r="AK7" s="1309"/>
    </row>
    <row r="8" spans="1:38" ht="3.95" customHeight="1" x14ac:dyDescent="0.2">
      <c r="A8" s="21"/>
      <c r="B8" s="21"/>
      <c r="C8" s="21"/>
      <c r="D8" s="21"/>
      <c r="E8" s="21"/>
      <c r="F8" s="21"/>
      <c r="G8" s="21"/>
      <c r="H8" s="21"/>
      <c r="I8" s="21"/>
      <c r="J8" s="21"/>
      <c r="K8" s="21"/>
      <c r="L8" s="21"/>
      <c r="M8" s="21"/>
      <c r="N8" s="21"/>
      <c r="O8" s="21"/>
      <c r="P8" s="25"/>
    </row>
    <row r="9" spans="1:38" ht="12.2" customHeight="1" x14ac:dyDescent="0.2">
      <c r="A9" s="1830" t="s">
        <v>1</v>
      </c>
      <c r="B9" s="2225" t="str">
        <f>IF(ISBLANK('Job Info.'!D3),"",'Job Info.'!D3)</f>
        <v>SUNPOINT CROSSING</v>
      </c>
      <c r="C9" s="2225"/>
      <c r="D9" s="2225"/>
      <c r="E9" s="2225"/>
      <c r="F9" s="2225"/>
      <c r="G9" s="2226"/>
      <c r="H9" s="2239" t="s">
        <v>2</v>
      </c>
      <c r="I9" s="2239"/>
      <c r="J9" s="2225" t="str">
        <f>IF(ISBLANK('Job Info.'!D5),"",'Job Info.'!D5)</f>
        <v>9118-0062</v>
      </c>
      <c r="K9" s="2225"/>
      <c r="L9" s="2225"/>
      <c r="M9" s="2225"/>
      <c r="N9" s="2225"/>
      <c r="O9" s="2226"/>
      <c r="P9" s="25"/>
    </row>
    <row r="10" spans="1:38" ht="12.2" customHeight="1" x14ac:dyDescent="0.2">
      <c r="A10" s="1830" t="s">
        <v>3</v>
      </c>
      <c r="B10" s="2225" t="str">
        <f>IF(ISBLANK('Job Info.'!D4),"",'Job Info.'!D4)</f>
        <v>LAS VEGAS, NV</v>
      </c>
      <c r="C10" s="2225"/>
      <c r="D10" s="2225"/>
      <c r="E10" s="2225"/>
      <c r="F10" s="2225"/>
      <c r="G10" s="2226"/>
      <c r="H10" s="2239" t="s">
        <v>22</v>
      </c>
      <c r="I10" s="2239"/>
      <c r="J10" s="2225" t="str">
        <f>IF(ISBLANK('Job Info.'!D6),"",'Job Info.'!D6)</f>
        <v>CJA</v>
      </c>
      <c r="K10" s="2226"/>
      <c r="L10" s="2319" t="s">
        <v>23</v>
      </c>
      <c r="M10" s="2239"/>
      <c r="N10" s="2225" t="str">
        <f>IF(ISBLANK('Job Info.'!D7),"",'Job Info.'!D7)</f>
        <v>LS</v>
      </c>
      <c r="O10" s="2226"/>
      <c r="P10" s="25"/>
    </row>
    <row r="11" spans="1:38" ht="3.95" customHeight="1" x14ac:dyDescent="0.2">
      <c r="A11" s="1397"/>
      <c r="B11" s="21"/>
      <c r="C11" s="21"/>
      <c r="D11" s="21"/>
      <c r="E11" s="21"/>
      <c r="F11" s="21"/>
      <c r="G11" s="21"/>
      <c r="H11" s="21"/>
      <c r="I11" s="21"/>
      <c r="J11" s="21"/>
      <c r="K11" s="21"/>
      <c r="L11" s="21"/>
      <c r="M11" s="21"/>
      <c r="N11" s="21"/>
      <c r="O11" s="21"/>
      <c r="P11" s="25"/>
      <c r="R11" s="2320" t="s">
        <v>457</v>
      </c>
      <c r="S11" s="2321"/>
      <c r="T11" s="2321"/>
      <c r="U11" s="2321"/>
      <c r="V11" s="2321"/>
      <c r="W11" s="2321"/>
      <c r="X11" s="2321"/>
      <c r="Y11" s="2321"/>
      <c r="Z11" s="2321"/>
      <c r="AA11" s="2321"/>
      <c r="AB11" s="2321"/>
      <c r="AC11" s="2321"/>
      <c r="AD11" s="2321"/>
      <c r="AE11" s="2322"/>
      <c r="AF11" s="2314" t="s">
        <v>492</v>
      </c>
      <c r="AG11" s="2314" t="s">
        <v>493</v>
      </c>
      <c r="AH11" s="2314" t="s">
        <v>1147</v>
      </c>
    </row>
    <row r="12" spans="1:38" s="23" customFormat="1" ht="15.95" customHeight="1" x14ac:dyDescent="0.2">
      <c r="A12" s="2317" t="s">
        <v>40</v>
      </c>
      <c r="B12" s="2329" t="s">
        <v>57</v>
      </c>
      <c r="C12" s="2330"/>
      <c r="D12" s="2330"/>
      <c r="E12" s="2330"/>
      <c r="F12" s="2330"/>
      <c r="G12" s="2330"/>
      <c r="H12" s="2330"/>
      <c r="I12" s="2330"/>
      <c r="J12" s="2330"/>
      <c r="K12" s="2330"/>
      <c r="L12" s="2330"/>
      <c r="M12" s="2330"/>
      <c r="N12" s="2330"/>
      <c r="O12" s="2331"/>
      <c r="P12" s="25"/>
      <c r="R12" s="2323"/>
      <c r="S12" s="2324"/>
      <c r="T12" s="2324"/>
      <c r="U12" s="2324"/>
      <c r="V12" s="2324"/>
      <c r="W12" s="2324"/>
      <c r="X12" s="2324"/>
      <c r="Y12" s="2324"/>
      <c r="Z12" s="2324"/>
      <c r="AA12" s="2324"/>
      <c r="AB12" s="2324"/>
      <c r="AC12" s="2324"/>
      <c r="AD12" s="2324"/>
      <c r="AE12" s="2325"/>
      <c r="AF12" s="2315"/>
      <c r="AG12" s="2315"/>
      <c r="AH12" s="2315"/>
      <c r="AK12" s="1311"/>
    </row>
    <row r="13" spans="1:38" ht="15.95" customHeight="1" x14ac:dyDescent="0.2">
      <c r="A13" s="2318"/>
      <c r="B13" s="2070" t="s">
        <v>1257</v>
      </c>
      <c r="C13" s="2071" t="s">
        <v>850</v>
      </c>
      <c r="D13" s="2071" t="s">
        <v>1258</v>
      </c>
      <c r="E13" s="2071" t="s">
        <v>1259</v>
      </c>
      <c r="F13" s="2071" t="s">
        <v>1260</v>
      </c>
      <c r="G13" s="2071" t="s">
        <v>1261</v>
      </c>
      <c r="H13" s="2071"/>
      <c r="I13" s="2071"/>
      <c r="J13" s="2071"/>
      <c r="K13" s="2071"/>
      <c r="L13" s="2071"/>
      <c r="M13" s="2071"/>
      <c r="N13" s="2071"/>
      <c r="O13" s="2072"/>
      <c r="P13" s="820" t="s">
        <v>91</v>
      </c>
      <c r="R13" s="2326"/>
      <c r="S13" s="2327"/>
      <c r="T13" s="2327"/>
      <c r="U13" s="2327"/>
      <c r="V13" s="2327"/>
      <c r="W13" s="2327"/>
      <c r="X13" s="2327"/>
      <c r="Y13" s="2327"/>
      <c r="Z13" s="2327"/>
      <c r="AA13" s="2327"/>
      <c r="AB13" s="2327"/>
      <c r="AC13" s="2327"/>
      <c r="AD13" s="2327"/>
      <c r="AE13" s="2328"/>
      <c r="AF13" s="2316"/>
      <c r="AG13" s="2316"/>
      <c r="AH13" s="2316"/>
    </row>
    <row r="14" spans="1:38" ht="15.95" customHeight="1" x14ac:dyDescent="0.2">
      <c r="A14" s="2017" t="s">
        <v>1324</v>
      </c>
      <c r="B14" s="2061"/>
      <c r="C14" s="2062"/>
      <c r="D14" s="2062"/>
      <c r="E14" s="2062"/>
      <c r="F14" s="2062"/>
      <c r="G14" s="2062"/>
      <c r="H14" s="2062"/>
      <c r="I14" s="2062"/>
      <c r="J14" s="2062"/>
      <c r="K14" s="2062"/>
      <c r="L14" s="2062"/>
      <c r="M14" s="2062"/>
      <c r="N14" s="2062"/>
      <c r="O14" s="206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12" t="b">
        <v>0</v>
      </c>
    </row>
    <row r="15" spans="1:38" ht="15.95" customHeight="1" x14ac:dyDescent="0.2">
      <c r="A15" s="2018" t="s">
        <v>1613</v>
      </c>
      <c r="B15" s="2064" t="s">
        <v>1264</v>
      </c>
      <c r="C15" s="2065" t="s">
        <v>1264</v>
      </c>
      <c r="D15" s="2065" t="s">
        <v>1264</v>
      </c>
      <c r="E15" s="2065" t="s">
        <v>1264</v>
      </c>
      <c r="F15" s="2065" t="s">
        <v>1264</v>
      </c>
      <c r="G15" s="2065">
        <v>1</v>
      </c>
      <c r="H15" s="2065"/>
      <c r="I15" s="2065"/>
      <c r="J15" s="2065"/>
      <c r="K15" s="2065"/>
      <c r="L15" s="2065"/>
      <c r="M15" s="2065"/>
      <c r="N15" s="2065"/>
      <c r="O15" s="2066"/>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12" t="b">
        <v>0</v>
      </c>
    </row>
    <row r="16" spans="1:38" ht="15.95" customHeight="1" x14ac:dyDescent="0.2">
      <c r="A16" s="2018" t="s">
        <v>1614</v>
      </c>
      <c r="B16" s="2064" t="s">
        <v>1264</v>
      </c>
      <c r="C16" s="2065" t="s">
        <v>1264</v>
      </c>
      <c r="D16" s="2065" t="s">
        <v>1264</v>
      </c>
      <c r="E16" s="2065" t="s">
        <v>1264</v>
      </c>
      <c r="F16" s="2065" t="s">
        <v>1264</v>
      </c>
      <c r="G16" s="2065">
        <v>1</v>
      </c>
      <c r="H16" s="2065"/>
      <c r="I16" s="2065"/>
      <c r="J16" s="2065"/>
      <c r="K16" s="2065"/>
      <c r="L16" s="2065"/>
      <c r="M16" s="2065"/>
      <c r="N16" s="2065"/>
      <c r="O16" s="2066"/>
      <c r="P16" s="821">
        <f t="shared" si="0"/>
        <v>1</v>
      </c>
      <c r="R16" s="43"/>
      <c r="S16" s="43"/>
      <c r="T16" s="43"/>
      <c r="U16" s="43"/>
      <c r="V16" s="43"/>
      <c r="W16" s="43"/>
      <c r="X16" s="43"/>
      <c r="Y16" s="43"/>
      <c r="Z16" s="43"/>
      <c r="AA16" s="43"/>
      <c r="AB16" s="43"/>
      <c r="AC16" s="43"/>
      <c r="AD16" s="43"/>
      <c r="AE16" s="43"/>
      <c r="AF16" s="99" t="s">
        <v>75</v>
      </c>
      <c r="AG16" s="98" t="b">
        <f t="shared" si="1"/>
        <v>1</v>
      </c>
      <c r="AH16" s="1312" t="b">
        <v>0</v>
      </c>
    </row>
    <row r="17" spans="1:34" ht="15.95" customHeight="1" x14ac:dyDescent="0.2">
      <c r="A17" s="2018" t="s">
        <v>1615</v>
      </c>
      <c r="B17" s="2064" t="s">
        <v>1264</v>
      </c>
      <c r="C17" s="2065" t="s">
        <v>1264</v>
      </c>
      <c r="D17" s="2065" t="s">
        <v>1264</v>
      </c>
      <c r="E17" s="2065" t="s">
        <v>1264</v>
      </c>
      <c r="F17" s="2065" t="s">
        <v>1264</v>
      </c>
      <c r="G17" s="2065">
        <v>1</v>
      </c>
      <c r="H17" s="2065"/>
      <c r="I17" s="2065"/>
      <c r="J17" s="2065"/>
      <c r="K17" s="2065"/>
      <c r="L17" s="2065"/>
      <c r="M17" s="2065"/>
      <c r="N17" s="2065"/>
      <c r="O17" s="2066"/>
      <c r="P17" s="821">
        <f t="shared" si="0"/>
        <v>1</v>
      </c>
      <c r="R17" s="43"/>
      <c r="S17" s="43"/>
      <c r="T17" s="43"/>
      <c r="U17" s="43"/>
      <c r="V17" s="43"/>
      <c r="W17" s="43"/>
      <c r="X17" s="43"/>
      <c r="Y17" s="43"/>
      <c r="Z17" s="43"/>
      <c r="AA17" s="43"/>
      <c r="AB17" s="43"/>
      <c r="AC17" s="43"/>
      <c r="AD17" s="43"/>
      <c r="AE17" s="43"/>
      <c r="AF17" s="99" t="s">
        <v>75</v>
      </c>
      <c r="AG17" s="98" t="b">
        <f t="shared" si="1"/>
        <v>1</v>
      </c>
      <c r="AH17" s="1312" t="b">
        <v>0</v>
      </c>
    </row>
    <row r="18" spans="1:34" ht="15.95" customHeight="1" x14ac:dyDescent="0.2">
      <c r="A18" s="2018" t="s">
        <v>1616</v>
      </c>
      <c r="B18" s="2064" t="s">
        <v>1264</v>
      </c>
      <c r="C18" s="2065" t="s">
        <v>1264</v>
      </c>
      <c r="D18" s="2065" t="s">
        <v>1264</v>
      </c>
      <c r="E18" s="2065" t="s">
        <v>1264</v>
      </c>
      <c r="F18" s="2065" t="s">
        <v>1264</v>
      </c>
      <c r="G18" s="2065">
        <v>1</v>
      </c>
      <c r="H18" s="2065"/>
      <c r="I18" s="2065"/>
      <c r="J18" s="2065"/>
      <c r="K18" s="2065"/>
      <c r="L18" s="2065"/>
      <c r="M18" s="2065"/>
      <c r="N18" s="2065"/>
      <c r="O18" s="2066"/>
      <c r="P18" s="821">
        <f t="shared" si="0"/>
        <v>1</v>
      </c>
      <c r="R18" s="43"/>
      <c r="S18" s="43"/>
      <c r="T18" s="43"/>
      <c r="U18" s="43"/>
      <c r="V18" s="43"/>
      <c r="W18" s="43"/>
      <c r="X18" s="43"/>
      <c r="Y18" s="43"/>
      <c r="Z18" s="43"/>
      <c r="AA18" s="43"/>
      <c r="AB18" s="43"/>
      <c r="AC18" s="43"/>
      <c r="AD18" s="43"/>
      <c r="AE18" s="43"/>
      <c r="AF18" s="99" t="s">
        <v>75</v>
      </c>
      <c r="AG18" s="98" t="b">
        <f t="shared" si="1"/>
        <v>1</v>
      </c>
      <c r="AH18" s="1312" t="b">
        <v>0</v>
      </c>
    </row>
    <row r="19" spans="1:34" ht="15.95" customHeight="1" x14ac:dyDescent="0.2">
      <c r="A19" s="2018" t="s">
        <v>1617</v>
      </c>
      <c r="B19" s="2064" t="s">
        <v>1264</v>
      </c>
      <c r="C19" s="2065" t="s">
        <v>1264</v>
      </c>
      <c r="D19" s="2065" t="s">
        <v>1264</v>
      </c>
      <c r="E19" s="2065" t="s">
        <v>1264</v>
      </c>
      <c r="F19" s="2065" t="s">
        <v>1264</v>
      </c>
      <c r="G19" s="2065">
        <v>1</v>
      </c>
      <c r="H19" s="2065"/>
      <c r="I19" s="2065"/>
      <c r="J19" s="2065"/>
      <c r="K19" s="2065"/>
      <c r="L19" s="2065"/>
      <c r="M19" s="2065"/>
      <c r="N19" s="2065"/>
      <c r="O19" s="2066"/>
      <c r="P19" s="821">
        <f t="shared" si="0"/>
        <v>1</v>
      </c>
      <c r="R19" s="43"/>
      <c r="S19" s="43"/>
      <c r="T19" s="43"/>
      <c r="U19" s="43"/>
      <c r="V19" s="43"/>
      <c r="W19" s="43"/>
      <c r="X19" s="43"/>
      <c r="Y19" s="43"/>
      <c r="Z19" s="43"/>
      <c r="AA19" s="43"/>
      <c r="AB19" s="43"/>
      <c r="AC19" s="43"/>
      <c r="AD19" s="43"/>
      <c r="AE19" s="43"/>
      <c r="AF19" s="99" t="s">
        <v>75</v>
      </c>
      <c r="AG19" s="98" t="b">
        <f t="shared" si="1"/>
        <v>1</v>
      </c>
      <c r="AH19" s="1312" t="b">
        <v>0</v>
      </c>
    </row>
    <row r="20" spans="1:34" ht="15.95" customHeight="1" x14ac:dyDescent="0.2">
      <c r="A20" s="2018" t="s">
        <v>1618</v>
      </c>
      <c r="B20" s="2064" t="s">
        <v>1264</v>
      </c>
      <c r="C20" s="2065" t="s">
        <v>1264</v>
      </c>
      <c r="D20" s="2065" t="s">
        <v>1264</v>
      </c>
      <c r="E20" s="2065" t="s">
        <v>1264</v>
      </c>
      <c r="F20" s="2065">
        <v>1</v>
      </c>
      <c r="G20" s="2065">
        <v>1</v>
      </c>
      <c r="H20" s="2065"/>
      <c r="I20" s="2065"/>
      <c r="J20" s="2065"/>
      <c r="K20" s="2065"/>
      <c r="L20" s="2065"/>
      <c r="M20" s="2065"/>
      <c r="N20" s="2065"/>
      <c r="O20" s="2066"/>
      <c r="P20" s="821">
        <f t="shared" si="0"/>
        <v>2</v>
      </c>
      <c r="R20" s="43"/>
      <c r="S20" s="43"/>
      <c r="T20" s="43"/>
      <c r="U20" s="43"/>
      <c r="V20" s="43"/>
      <c r="W20" s="43"/>
      <c r="X20" s="43"/>
      <c r="Y20" s="43"/>
      <c r="Z20" s="43"/>
      <c r="AA20" s="43"/>
      <c r="AB20" s="43"/>
      <c r="AC20" s="43"/>
      <c r="AD20" s="43"/>
      <c r="AE20" s="43"/>
      <c r="AF20" s="99" t="s">
        <v>75</v>
      </c>
      <c r="AG20" s="98" t="b">
        <f t="shared" si="1"/>
        <v>1</v>
      </c>
      <c r="AH20" s="1312" t="b">
        <v>0</v>
      </c>
    </row>
    <row r="21" spans="1:34" ht="15.95" customHeight="1" x14ac:dyDescent="0.2">
      <c r="A21" s="2018" t="s">
        <v>1619</v>
      </c>
      <c r="B21" s="2064" t="s">
        <v>1264</v>
      </c>
      <c r="C21" s="2065" t="s">
        <v>1264</v>
      </c>
      <c r="D21" s="2065" t="s">
        <v>1264</v>
      </c>
      <c r="E21" s="2065" t="s">
        <v>1264</v>
      </c>
      <c r="F21" s="2065" t="s">
        <v>1264</v>
      </c>
      <c r="G21" s="2065">
        <v>1</v>
      </c>
      <c r="H21" s="2065"/>
      <c r="I21" s="2065"/>
      <c r="J21" s="2065"/>
      <c r="K21" s="2065"/>
      <c r="L21" s="2065"/>
      <c r="M21" s="2065"/>
      <c r="N21" s="2065"/>
      <c r="O21" s="2066"/>
      <c r="P21" s="821">
        <f t="shared" si="0"/>
        <v>1</v>
      </c>
      <c r="R21" s="43"/>
      <c r="S21" s="43"/>
      <c r="T21" s="43"/>
      <c r="U21" s="43"/>
      <c r="V21" s="43"/>
      <c r="W21" s="43"/>
      <c r="X21" s="43"/>
      <c r="Y21" s="43"/>
      <c r="Z21" s="43"/>
      <c r="AA21" s="43"/>
      <c r="AB21" s="43"/>
      <c r="AC21" s="43"/>
      <c r="AD21" s="43"/>
      <c r="AE21" s="43"/>
      <c r="AF21" s="99" t="s">
        <v>75</v>
      </c>
      <c r="AG21" s="98" t="b">
        <f t="shared" si="1"/>
        <v>1</v>
      </c>
      <c r="AH21" s="1312" t="b">
        <v>0</v>
      </c>
    </row>
    <row r="22" spans="1:34" ht="15.95" customHeight="1" x14ac:dyDescent="0.2">
      <c r="A22" s="2018" t="s">
        <v>1620</v>
      </c>
      <c r="B22" s="2064" t="s">
        <v>1264</v>
      </c>
      <c r="C22" s="2065" t="s">
        <v>1264</v>
      </c>
      <c r="D22" s="2065" t="s">
        <v>1264</v>
      </c>
      <c r="E22" s="2065" t="s">
        <v>1264</v>
      </c>
      <c r="F22" s="2065" t="s">
        <v>1264</v>
      </c>
      <c r="G22" s="2065">
        <v>1</v>
      </c>
      <c r="H22" s="2065"/>
      <c r="I22" s="2065"/>
      <c r="J22" s="2065"/>
      <c r="K22" s="2065"/>
      <c r="L22" s="2065"/>
      <c r="M22" s="2065"/>
      <c r="N22" s="2065"/>
      <c r="O22" s="2066"/>
      <c r="P22" s="821">
        <f t="shared" si="0"/>
        <v>1</v>
      </c>
      <c r="R22" s="43"/>
      <c r="S22" s="43"/>
      <c r="T22" s="43"/>
      <c r="U22" s="43"/>
      <c r="V22" s="43"/>
      <c r="W22" s="43"/>
      <c r="X22" s="43"/>
      <c r="Y22" s="43"/>
      <c r="Z22" s="43"/>
      <c r="AA22" s="43"/>
      <c r="AB22" s="43"/>
      <c r="AC22" s="43"/>
      <c r="AD22" s="43"/>
      <c r="AE22" s="43"/>
      <c r="AF22" s="99" t="s">
        <v>75</v>
      </c>
      <c r="AG22" s="98" t="b">
        <f t="shared" si="1"/>
        <v>1</v>
      </c>
      <c r="AH22" s="1312" t="b">
        <v>0</v>
      </c>
    </row>
    <row r="23" spans="1:34" ht="15.95" customHeight="1" x14ac:dyDescent="0.2">
      <c r="A23" s="2018" t="s">
        <v>1621</v>
      </c>
      <c r="B23" s="2064" t="s">
        <v>1264</v>
      </c>
      <c r="C23" s="2065" t="s">
        <v>1264</v>
      </c>
      <c r="D23" s="2065" t="s">
        <v>1264</v>
      </c>
      <c r="E23" s="2065" t="s">
        <v>1264</v>
      </c>
      <c r="F23" s="2065" t="s">
        <v>1264</v>
      </c>
      <c r="G23" s="2065">
        <v>1</v>
      </c>
      <c r="H23" s="2065"/>
      <c r="I23" s="2065"/>
      <c r="J23" s="2065"/>
      <c r="K23" s="2065"/>
      <c r="L23" s="2065"/>
      <c r="M23" s="2065"/>
      <c r="N23" s="2065"/>
      <c r="O23" s="2066"/>
      <c r="P23" s="821">
        <f t="shared" si="0"/>
        <v>1</v>
      </c>
      <c r="R23" s="43"/>
      <c r="S23" s="43"/>
      <c r="T23" s="43"/>
      <c r="U23" s="43"/>
      <c r="V23" s="43"/>
      <c r="W23" s="43"/>
      <c r="X23" s="43"/>
      <c r="Y23" s="43"/>
      <c r="Z23" s="43"/>
      <c r="AA23" s="43"/>
      <c r="AB23" s="43"/>
      <c r="AC23" s="43"/>
      <c r="AD23" s="43"/>
      <c r="AE23" s="43"/>
      <c r="AF23" s="99" t="s">
        <v>75</v>
      </c>
      <c r="AG23" s="98" t="b">
        <f t="shared" si="1"/>
        <v>1</v>
      </c>
      <c r="AH23" s="1312" t="b">
        <v>0</v>
      </c>
    </row>
    <row r="24" spans="1:34" ht="15.95" customHeight="1" x14ac:dyDescent="0.2">
      <c r="A24" s="2018" t="s">
        <v>1622</v>
      </c>
      <c r="B24" s="2064" t="s">
        <v>1264</v>
      </c>
      <c r="C24" s="2065" t="s">
        <v>1264</v>
      </c>
      <c r="D24" s="2065" t="s">
        <v>1264</v>
      </c>
      <c r="E24" s="2065" t="s">
        <v>1264</v>
      </c>
      <c r="F24" s="2065" t="s">
        <v>1264</v>
      </c>
      <c r="G24" s="2065">
        <v>2</v>
      </c>
      <c r="H24" s="2065"/>
      <c r="I24" s="2065"/>
      <c r="J24" s="2065"/>
      <c r="K24" s="2065"/>
      <c r="L24" s="2065"/>
      <c r="M24" s="2065"/>
      <c r="N24" s="2065"/>
      <c r="O24" s="2066"/>
      <c r="P24" s="821">
        <f t="shared" si="0"/>
        <v>2</v>
      </c>
      <c r="R24" s="43"/>
      <c r="S24" s="43"/>
      <c r="T24" s="43"/>
      <c r="U24" s="43"/>
      <c r="V24" s="43"/>
      <c r="W24" s="43"/>
      <c r="X24" s="43"/>
      <c r="Y24" s="43"/>
      <c r="Z24" s="43"/>
      <c r="AA24" s="43"/>
      <c r="AB24" s="43"/>
      <c r="AC24" s="43"/>
      <c r="AD24" s="43"/>
      <c r="AE24" s="43"/>
      <c r="AF24" s="99" t="s">
        <v>75</v>
      </c>
      <c r="AG24" s="98" t="b">
        <f t="shared" si="1"/>
        <v>1</v>
      </c>
      <c r="AH24" s="1312" t="b">
        <v>0</v>
      </c>
    </row>
    <row r="25" spans="1:34" ht="15.95" customHeight="1" x14ac:dyDescent="0.2">
      <c r="A25" s="2018" t="s">
        <v>1623</v>
      </c>
      <c r="B25" s="2064" t="s">
        <v>1264</v>
      </c>
      <c r="C25" s="2065" t="s">
        <v>1264</v>
      </c>
      <c r="D25" s="2065" t="s">
        <v>1264</v>
      </c>
      <c r="E25" s="2065" t="s">
        <v>1264</v>
      </c>
      <c r="F25" s="2065" t="s">
        <v>1264</v>
      </c>
      <c r="G25" s="2065">
        <v>1</v>
      </c>
      <c r="H25" s="2065"/>
      <c r="I25" s="2065"/>
      <c r="J25" s="2065"/>
      <c r="K25" s="2065"/>
      <c r="L25" s="2065"/>
      <c r="M25" s="2065"/>
      <c r="N25" s="2065"/>
      <c r="O25" s="2066"/>
      <c r="P25" s="821">
        <f t="shared" si="0"/>
        <v>1</v>
      </c>
      <c r="R25" s="43"/>
      <c r="S25" s="43"/>
      <c r="T25" s="43"/>
      <c r="U25" s="43"/>
      <c r="V25" s="43"/>
      <c r="W25" s="43"/>
      <c r="X25" s="43"/>
      <c r="Y25" s="43"/>
      <c r="Z25" s="43"/>
      <c r="AA25" s="43"/>
      <c r="AB25" s="43"/>
      <c r="AC25" s="43"/>
      <c r="AD25" s="43"/>
      <c r="AE25" s="43"/>
      <c r="AF25" s="99" t="s">
        <v>75</v>
      </c>
      <c r="AG25" s="98" t="b">
        <f t="shared" si="1"/>
        <v>1</v>
      </c>
      <c r="AH25" s="1312" t="b">
        <v>0</v>
      </c>
    </row>
    <row r="26" spans="1:34" ht="15.95" customHeight="1" x14ac:dyDescent="0.2">
      <c r="A26" s="2018" t="s">
        <v>1624</v>
      </c>
      <c r="B26" s="2064" t="s">
        <v>1264</v>
      </c>
      <c r="C26" s="2065" t="s">
        <v>1264</v>
      </c>
      <c r="D26" s="2065" t="s">
        <v>1264</v>
      </c>
      <c r="E26" s="2065" t="s">
        <v>1264</v>
      </c>
      <c r="F26" s="2065" t="s">
        <v>1264</v>
      </c>
      <c r="G26" s="2065">
        <v>2</v>
      </c>
      <c r="H26" s="2065"/>
      <c r="I26" s="2065"/>
      <c r="J26" s="2065"/>
      <c r="K26" s="2065"/>
      <c r="L26" s="2065"/>
      <c r="M26" s="2065"/>
      <c r="N26" s="2065"/>
      <c r="O26" s="2066"/>
      <c r="P26" s="821">
        <f t="shared" si="0"/>
        <v>2</v>
      </c>
      <c r="R26" s="43"/>
      <c r="S26" s="43"/>
      <c r="T26" s="43"/>
      <c r="U26" s="43"/>
      <c r="V26" s="43"/>
      <c r="W26" s="43"/>
      <c r="X26" s="43"/>
      <c r="Y26" s="43"/>
      <c r="Z26" s="43"/>
      <c r="AA26" s="43"/>
      <c r="AB26" s="43"/>
      <c r="AC26" s="43"/>
      <c r="AD26" s="43"/>
      <c r="AE26" s="43"/>
      <c r="AF26" s="99" t="s">
        <v>75</v>
      </c>
      <c r="AG26" s="98" t="b">
        <f t="shared" si="1"/>
        <v>1</v>
      </c>
      <c r="AH26" s="1312" t="b">
        <v>0</v>
      </c>
    </row>
    <row r="27" spans="1:34" ht="15.95" customHeight="1" x14ac:dyDescent="0.2">
      <c r="A27" s="2018" t="s">
        <v>1625</v>
      </c>
      <c r="B27" s="2064" t="s">
        <v>1264</v>
      </c>
      <c r="C27" s="2065" t="s">
        <v>1264</v>
      </c>
      <c r="D27" s="2065" t="s">
        <v>1264</v>
      </c>
      <c r="E27" s="2065" t="s">
        <v>1264</v>
      </c>
      <c r="F27" s="2065" t="s">
        <v>1264</v>
      </c>
      <c r="G27" s="2065">
        <v>1</v>
      </c>
      <c r="H27" s="2065"/>
      <c r="I27" s="2065"/>
      <c r="J27" s="2065"/>
      <c r="K27" s="2065"/>
      <c r="L27" s="2065"/>
      <c r="M27" s="2065"/>
      <c r="N27" s="2065"/>
      <c r="O27" s="2066"/>
      <c r="P27" s="821">
        <f t="shared" si="0"/>
        <v>1</v>
      </c>
      <c r="R27" s="43"/>
      <c r="S27" s="43"/>
      <c r="T27" s="43"/>
      <c r="U27" s="43"/>
      <c r="V27" s="43"/>
      <c r="W27" s="43"/>
      <c r="X27" s="43"/>
      <c r="Y27" s="43"/>
      <c r="Z27" s="43"/>
      <c r="AA27" s="43"/>
      <c r="AB27" s="43"/>
      <c r="AC27" s="43"/>
      <c r="AD27" s="43"/>
      <c r="AE27" s="43"/>
      <c r="AF27" s="99" t="s">
        <v>75</v>
      </c>
      <c r="AG27" s="98" t="b">
        <f t="shared" si="1"/>
        <v>1</v>
      </c>
      <c r="AH27" s="1312" t="b">
        <v>0</v>
      </c>
    </row>
    <row r="28" spans="1:34" ht="15.95" customHeight="1" x14ac:dyDescent="0.2">
      <c r="A28" s="2018" t="s">
        <v>1626</v>
      </c>
      <c r="B28" s="2064" t="s">
        <v>1264</v>
      </c>
      <c r="C28" s="2065" t="s">
        <v>1264</v>
      </c>
      <c r="D28" s="2065" t="s">
        <v>1264</v>
      </c>
      <c r="E28" s="2065" t="s">
        <v>1264</v>
      </c>
      <c r="F28" s="2065" t="s">
        <v>1264</v>
      </c>
      <c r="G28" s="2065">
        <v>1</v>
      </c>
      <c r="H28" s="2065"/>
      <c r="I28" s="2065"/>
      <c r="J28" s="2065"/>
      <c r="K28" s="2065"/>
      <c r="L28" s="2065"/>
      <c r="M28" s="2065"/>
      <c r="N28" s="2065"/>
      <c r="O28" s="2066"/>
      <c r="P28" s="821">
        <f t="shared" si="0"/>
        <v>1</v>
      </c>
      <c r="R28" s="43"/>
      <c r="S28" s="43"/>
      <c r="T28" s="43"/>
      <c r="U28" s="43"/>
      <c r="V28" s="43"/>
      <c r="W28" s="43"/>
      <c r="X28" s="43"/>
      <c r="Y28" s="43"/>
      <c r="Z28" s="43"/>
      <c r="AA28" s="43"/>
      <c r="AB28" s="43"/>
      <c r="AC28" s="43"/>
      <c r="AD28" s="43"/>
      <c r="AE28" s="43"/>
      <c r="AF28" s="99" t="s">
        <v>75</v>
      </c>
      <c r="AG28" s="98" t="b">
        <f t="shared" si="1"/>
        <v>1</v>
      </c>
      <c r="AH28" s="1312" t="b">
        <v>0</v>
      </c>
    </row>
    <row r="29" spans="1:34" ht="15.95" customHeight="1" x14ac:dyDescent="0.2">
      <c r="A29" s="2018" t="s">
        <v>1627</v>
      </c>
      <c r="B29" s="2064" t="s">
        <v>1264</v>
      </c>
      <c r="C29" s="2065" t="s">
        <v>1264</v>
      </c>
      <c r="D29" s="2065" t="s">
        <v>1264</v>
      </c>
      <c r="E29" s="2065" t="s">
        <v>1264</v>
      </c>
      <c r="F29" s="2065" t="s">
        <v>1264</v>
      </c>
      <c r="G29" s="2065">
        <v>1</v>
      </c>
      <c r="H29" s="2065"/>
      <c r="I29" s="2065"/>
      <c r="J29" s="2065"/>
      <c r="K29" s="2065"/>
      <c r="L29" s="2065"/>
      <c r="M29" s="2065"/>
      <c r="N29" s="2065"/>
      <c r="O29" s="2066"/>
      <c r="P29" s="821">
        <f t="shared" si="0"/>
        <v>1</v>
      </c>
      <c r="R29" s="43"/>
      <c r="S29" s="43"/>
      <c r="T29" s="43"/>
      <c r="U29" s="43"/>
      <c r="V29" s="43"/>
      <c r="W29" s="43"/>
      <c r="X29" s="43"/>
      <c r="Y29" s="43"/>
      <c r="Z29" s="43"/>
      <c r="AA29" s="43"/>
      <c r="AB29" s="43"/>
      <c r="AC29" s="43"/>
      <c r="AD29" s="43"/>
      <c r="AE29" s="43"/>
      <c r="AF29" s="99" t="s">
        <v>75</v>
      </c>
      <c r="AG29" s="98" t="b">
        <f t="shared" si="1"/>
        <v>1</v>
      </c>
      <c r="AH29" s="1312" t="b">
        <v>0</v>
      </c>
    </row>
    <row r="30" spans="1:34" ht="15.95" customHeight="1" x14ac:dyDescent="0.2">
      <c r="A30" s="2018" t="s">
        <v>1628</v>
      </c>
      <c r="B30" s="2064" t="s">
        <v>1264</v>
      </c>
      <c r="C30" s="2065" t="s">
        <v>1264</v>
      </c>
      <c r="D30" s="2065" t="s">
        <v>1264</v>
      </c>
      <c r="E30" s="2065" t="s">
        <v>1264</v>
      </c>
      <c r="F30" s="2065" t="s">
        <v>1264</v>
      </c>
      <c r="G30" s="2065">
        <v>13</v>
      </c>
      <c r="H30" s="2065"/>
      <c r="I30" s="2065"/>
      <c r="J30" s="2065"/>
      <c r="K30" s="2065"/>
      <c r="L30" s="2065"/>
      <c r="M30" s="2065"/>
      <c r="N30" s="2065"/>
      <c r="O30" s="2066"/>
      <c r="P30" s="821">
        <f t="shared" si="0"/>
        <v>13</v>
      </c>
      <c r="R30" s="43"/>
      <c r="S30" s="43"/>
      <c r="T30" s="43"/>
      <c r="U30" s="43"/>
      <c r="V30" s="43"/>
      <c r="W30" s="43"/>
      <c r="X30" s="43"/>
      <c r="Y30" s="43"/>
      <c r="Z30" s="43"/>
      <c r="AA30" s="43"/>
      <c r="AB30" s="43"/>
      <c r="AC30" s="43"/>
      <c r="AD30" s="43"/>
      <c r="AE30" s="43"/>
      <c r="AF30" s="99" t="s">
        <v>75</v>
      </c>
      <c r="AG30" s="98" t="b">
        <f t="shared" si="1"/>
        <v>1</v>
      </c>
      <c r="AH30" s="1312" t="b">
        <v>0</v>
      </c>
    </row>
    <row r="31" spans="1:34" ht="15.95" customHeight="1" x14ac:dyDescent="0.2">
      <c r="A31" s="2018" t="s">
        <v>1629</v>
      </c>
      <c r="B31" s="2064" t="s">
        <v>1264</v>
      </c>
      <c r="C31" s="2065" t="s">
        <v>1264</v>
      </c>
      <c r="D31" s="2065" t="s">
        <v>1264</v>
      </c>
      <c r="E31" s="2065" t="s">
        <v>1264</v>
      </c>
      <c r="F31" s="2065" t="s">
        <v>1264</v>
      </c>
      <c r="G31" s="2065">
        <v>3</v>
      </c>
      <c r="H31" s="2065"/>
      <c r="I31" s="2065"/>
      <c r="J31" s="2065"/>
      <c r="K31" s="2065"/>
      <c r="L31" s="2065"/>
      <c r="M31" s="2065"/>
      <c r="N31" s="2065"/>
      <c r="O31" s="2066"/>
      <c r="P31" s="821">
        <f t="shared" si="0"/>
        <v>3</v>
      </c>
      <c r="R31" s="43"/>
      <c r="S31" s="43"/>
      <c r="T31" s="43"/>
      <c r="U31" s="43"/>
      <c r="V31" s="43"/>
      <c r="W31" s="43"/>
      <c r="X31" s="43"/>
      <c r="Y31" s="43"/>
      <c r="Z31" s="43"/>
      <c r="AA31" s="43"/>
      <c r="AB31" s="43"/>
      <c r="AC31" s="43"/>
      <c r="AD31" s="43"/>
      <c r="AE31" s="43"/>
      <c r="AF31" s="99" t="s">
        <v>75</v>
      </c>
      <c r="AG31" s="98" t="b">
        <f t="shared" si="1"/>
        <v>1</v>
      </c>
      <c r="AH31" s="1312" t="b">
        <v>0</v>
      </c>
    </row>
    <row r="32" spans="1:34" ht="15.95" customHeight="1" x14ac:dyDescent="0.2">
      <c r="A32" s="2018" t="s">
        <v>1630</v>
      </c>
      <c r="B32" s="2064" t="s">
        <v>1264</v>
      </c>
      <c r="C32" s="2065" t="s">
        <v>1264</v>
      </c>
      <c r="D32" s="2065" t="s">
        <v>1264</v>
      </c>
      <c r="E32" s="2065" t="s">
        <v>1264</v>
      </c>
      <c r="F32" s="2065" t="s">
        <v>1264</v>
      </c>
      <c r="G32" s="2065">
        <v>1</v>
      </c>
      <c r="H32" s="2065"/>
      <c r="I32" s="2065"/>
      <c r="J32" s="2065"/>
      <c r="K32" s="2065"/>
      <c r="L32" s="2065"/>
      <c r="M32" s="2065"/>
      <c r="N32" s="2065"/>
      <c r="O32" s="2066"/>
      <c r="P32" s="821">
        <f t="shared" si="0"/>
        <v>1</v>
      </c>
      <c r="R32" s="43"/>
      <c r="S32" s="43"/>
      <c r="T32" s="43"/>
      <c r="U32" s="43"/>
      <c r="V32" s="43"/>
      <c r="W32" s="43"/>
      <c r="X32" s="43"/>
      <c r="Y32" s="43"/>
      <c r="Z32" s="43"/>
      <c r="AA32" s="43"/>
      <c r="AB32" s="43"/>
      <c r="AC32" s="43"/>
      <c r="AD32" s="43"/>
      <c r="AE32" s="43"/>
      <c r="AF32" s="99" t="s">
        <v>75</v>
      </c>
      <c r="AG32" s="98" t="b">
        <f t="shared" si="1"/>
        <v>1</v>
      </c>
      <c r="AH32" s="1312" t="b">
        <v>0</v>
      </c>
    </row>
    <row r="33" spans="1:34" ht="15.95" customHeight="1" x14ac:dyDescent="0.2">
      <c r="A33" s="2018" t="s">
        <v>1631</v>
      </c>
      <c r="B33" s="2064" t="s">
        <v>1264</v>
      </c>
      <c r="C33" s="2065" t="s">
        <v>1264</v>
      </c>
      <c r="D33" s="2065" t="s">
        <v>1264</v>
      </c>
      <c r="E33" s="2065" t="s">
        <v>1264</v>
      </c>
      <c r="F33" s="2065" t="s">
        <v>1264</v>
      </c>
      <c r="G33" s="2065">
        <v>1</v>
      </c>
      <c r="H33" s="2065"/>
      <c r="I33" s="2065"/>
      <c r="J33" s="2065"/>
      <c r="K33" s="2065"/>
      <c r="L33" s="2065"/>
      <c r="M33" s="2065"/>
      <c r="N33" s="2065"/>
      <c r="O33" s="2066"/>
      <c r="P33" s="821">
        <f t="shared" si="0"/>
        <v>1</v>
      </c>
      <c r="R33" s="43"/>
      <c r="S33" s="43"/>
      <c r="T33" s="43"/>
      <c r="U33" s="43"/>
      <c r="V33" s="43"/>
      <c r="W33" s="43"/>
      <c r="X33" s="43"/>
      <c r="Y33" s="43"/>
      <c r="Z33" s="43"/>
      <c r="AA33" s="43"/>
      <c r="AB33" s="43"/>
      <c r="AC33" s="43"/>
      <c r="AD33" s="43"/>
      <c r="AE33" s="43"/>
      <c r="AF33" s="99" t="s">
        <v>75</v>
      </c>
      <c r="AG33" s="98" t="b">
        <f t="shared" si="1"/>
        <v>1</v>
      </c>
      <c r="AH33" s="1312" t="b">
        <v>0</v>
      </c>
    </row>
    <row r="34" spans="1:34" ht="15.95" customHeight="1" x14ac:dyDescent="0.2">
      <c r="A34" s="2018" t="s">
        <v>1632</v>
      </c>
      <c r="B34" s="2064" t="s">
        <v>1264</v>
      </c>
      <c r="C34" s="2065" t="s">
        <v>1264</v>
      </c>
      <c r="D34" s="2065" t="s">
        <v>1264</v>
      </c>
      <c r="E34" s="2065" t="s">
        <v>1264</v>
      </c>
      <c r="F34" s="2065" t="s">
        <v>1264</v>
      </c>
      <c r="G34" s="2065">
        <v>1</v>
      </c>
      <c r="H34" s="2065"/>
      <c r="I34" s="2065"/>
      <c r="J34" s="2065"/>
      <c r="K34" s="2065"/>
      <c r="L34" s="2065"/>
      <c r="M34" s="2065"/>
      <c r="N34" s="2065"/>
      <c r="O34" s="2066"/>
      <c r="P34" s="821">
        <f t="shared" si="0"/>
        <v>1</v>
      </c>
      <c r="R34" s="43"/>
      <c r="S34" s="43"/>
      <c r="T34" s="43"/>
      <c r="U34" s="43"/>
      <c r="V34" s="43"/>
      <c r="W34" s="43"/>
      <c r="X34" s="43"/>
      <c r="Y34" s="43"/>
      <c r="Z34" s="43"/>
      <c r="AA34" s="43"/>
      <c r="AB34" s="43"/>
      <c r="AC34" s="43"/>
      <c r="AD34" s="43"/>
      <c r="AE34" s="43"/>
      <c r="AF34" s="99" t="s">
        <v>75</v>
      </c>
      <c r="AG34" s="98" t="b">
        <f t="shared" si="1"/>
        <v>1</v>
      </c>
      <c r="AH34" s="1312" t="b">
        <v>0</v>
      </c>
    </row>
    <row r="35" spans="1:34" ht="15.95" customHeight="1" x14ac:dyDescent="0.2">
      <c r="A35" s="2018" t="s">
        <v>1633</v>
      </c>
      <c r="B35" s="2064" t="s">
        <v>1264</v>
      </c>
      <c r="C35" s="2065" t="s">
        <v>1264</v>
      </c>
      <c r="D35" s="2065" t="s">
        <v>1264</v>
      </c>
      <c r="E35" s="2065" t="s">
        <v>1264</v>
      </c>
      <c r="F35" s="2065" t="s">
        <v>1264</v>
      </c>
      <c r="G35" s="2065">
        <v>1</v>
      </c>
      <c r="H35" s="2065"/>
      <c r="I35" s="2065"/>
      <c r="J35" s="2065"/>
      <c r="K35" s="2065"/>
      <c r="L35" s="2065"/>
      <c r="M35" s="2065"/>
      <c r="N35" s="2065"/>
      <c r="O35" s="2066"/>
      <c r="P35" s="821">
        <f t="shared" si="0"/>
        <v>1</v>
      </c>
      <c r="R35" s="43"/>
      <c r="S35" s="43"/>
      <c r="T35" s="43"/>
      <c r="U35" s="43"/>
      <c r="V35" s="43"/>
      <c r="W35" s="43"/>
      <c r="X35" s="43"/>
      <c r="Y35" s="43"/>
      <c r="Z35" s="43"/>
      <c r="AA35" s="43"/>
      <c r="AB35" s="43"/>
      <c r="AC35" s="43"/>
      <c r="AD35" s="43"/>
      <c r="AE35" s="43"/>
      <c r="AF35" s="99" t="s">
        <v>75</v>
      </c>
      <c r="AG35" s="98" t="b">
        <f t="shared" si="1"/>
        <v>1</v>
      </c>
      <c r="AH35" s="1312" t="b">
        <v>0</v>
      </c>
    </row>
    <row r="36" spans="1:34" ht="15.95" customHeight="1" x14ac:dyDescent="0.2">
      <c r="A36" s="2018" t="s">
        <v>1634</v>
      </c>
      <c r="B36" s="2064" t="s">
        <v>1264</v>
      </c>
      <c r="C36" s="2065" t="s">
        <v>1264</v>
      </c>
      <c r="D36" s="2065" t="s">
        <v>1264</v>
      </c>
      <c r="E36" s="2065" t="s">
        <v>1264</v>
      </c>
      <c r="F36" s="2065" t="s">
        <v>1264</v>
      </c>
      <c r="G36" s="2065">
        <v>1</v>
      </c>
      <c r="H36" s="2065"/>
      <c r="I36" s="2065"/>
      <c r="J36" s="2065"/>
      <c r="K36" s="2065"/>
      <c r="L36" s="2065"/>
      <c r="M36" s="2065"/>
      <c r="N36" s="2065"/>
      <c r="O36" s="2066"/>
      <c r="P36" s="821">
        <f t="shared" si="0"/>
        <v>1</v>
      </c>
      <c r="R36" s="43"/>
      <c r="S36" s="43"/>
      <c r="T36" s="43"/>
      <c r="U36" s="43"/>
      <c r="V36" s="43"/>
      <c r="W36" s="43"/>
      <c r="X36" s="43"/>
      <c r="Y36" s="43"/>
      <c r="Z36" s="43"/>
      <c r="AA36" s="43"/>
      <c r="AB36" s="43"/>
      <c r="AC36" s="43"/>
      <c r="AD36" s="43"/>
      <c r="AE36" s="43"/>
      <c r="AF36" s="99" t="s">
        <v>75</v>
      </c>
      <c r="AG36" s="98" t="b">
        <f t="shared" si="1"/>
        <v>1</v>
      </c>
      <c r="AH36" s="1312" t="b">
        <v>0</v>
      </c>
    </row>
    <row r="37" spans="1:34" ht="15.95" customHeight="1" x14ac:dyDescent="0.2">
      <c r="A37" s="2018" t="s">
        <v>1635</v>
      </c>
      <c r="B37" s="2064" t="s">
        <v>1264</v>
      </c>
      <c r="C37" s="2065" t="s">
        <v>1264</v>
      </c>
      <c r="D37" s="2065" t="s">
        <v>1264</v>
      </c>
      <c r="E37" s="2065" t="s">
        <v>1264</v>
      </c>
      <c r="F37" s="2065" t="s">
        <v>1264</v>
      </c>
      <c r="G37" s="2065">
        <v>1</v>
      </c>
      <c r="H37" s="2065"/>
      <c r="I37" s="2065"/>
      <c r="J37" s="2065"/>
      <c r="K37" s="2065"/>
      <c r="L37" s="2065"/>
      <c r="M37" s="2065"/>
      <c r="N37" s="2065"/>
      <c r="O37" s="2066"/>
      <c r="P37" s="821">
        <f t="shared" si="0"/>
        <v>1</v>
      </c>
      <c r="R37" s="43"/>
      <c r="S37" s="43"/>
      <c r="T37" s="43"/>
      <c r="U37" s="43"/>
      <c r="V37" s="43"/>
      <c r="W37" s="43"/>
      <c r="X37" s="43"/>
      <c r="Y37" s="43"/>
      <c r="Z37" s="43"/>
      <c r="AA37" s="43"/>
      <c r="AB37" s="43"/>
      <c r="AC37" s="43"/>
      <c r="AD37" s="43"/>
      <c r="AE37" s="43"/>
      <c r="AF37" s="99" t="s">
        <v>75</v>
      </c>
      <c r="AG37" s="98" t="b">
        <f t="shared" si="1"/>
        <v>1</v>
      </c>
      <c r="AH37" s="1312" t="b">
        <v>0</v>
      </c>
    </row>
    <row r="38" spans="1:34" ht="15.95" customHeight="1" x14ac:dyDescent="0.2">
      <c r="A38" s="2018" t="s">
        <v>2293</v>
      </c>
      <c r="B38" s="2064"/>
      <c r="C38" s="2065"/>
      <c r="D38" s="2065">
        <v>1720</v>
      </c>
      <c r="E38" s="2065">
        <v>1410</v>
      </c>
      <c r="F38" s="2065">
        <v>80</v>
      </c>
      <c r="G38" s="2065"/>
      <c r="H38" s="2065"/>
      <c r="I38" s="2065"/>
      <c r="J38" s="2065"/>
      <c r="K38" s="2065"/>
      <c r="L38" s="2065"/>
      <c r="M38" s="2065"/>
      <c r="N38" s="2065"/>
      <c r="O38" s="2066"/>
      <c r="P38" s="821">
        <f t="shared" si="0"/>
        <v>3210</v>
      </c>
      <c r="R38" s="43"/>
      <c r="S38" s="43"/>
      <c r="T38" s="43"/>
      <c r="U38" s="43"/>
      <c r="V38" s="43"/>
      <c r="W38" s="43"/>
      <c r="X38" s="43"/>
      <c r="Y38" s="43"/>
      <c r="Z38" s="43"/>
      <c r="AA38" s="43"/>
      <c r="AB38" s="43"/>
      <c r="AC38" s="43"/>
      <c r="AD38" s="43"/>
      <c r="AE38" s="43"/>
      <c r="AF38" s="99" t="s">
        <v>178</v>
      </c>
      <c r="AG38" s="98" t="b">
        <f t="shared" si="1"/>
        <v>1</v>
      </c>
      <c r="AH38" s="1312" t="b">
        <v>0</v>
      </c>
    </row>
    <row r="39" spans="1:34" ht="15.95" customHeight="1" x14ac:dyDescent="0.2">
      <c r="A39" s="2018" t="s">
        <v>2294</v>
      </c>
      <c r="B39" s="2064"/>
      <c r="C39" s="2065"/>
      <c r="D39" s="2065">
        <v>600</v>
      </c>
      <c r="E39" s="2065">
        <v>620</v>
      </c>
      <c r="F39" s="2065">
        <v>1785</v>
      </c>
      <c r="G39" s="2065">
        <v>1850</v>
      </c>
      <c r="H39" s="2065"/>
      <c r="I39" s="2065"/>
      <c r="J39" s="2065"/>
      <c r="K39" s="2065"/>
      <c r="L39" s="2065"/>
      <c r="M39" s="2065"/>
      <c r="N39" s="2065"/>
      <c r="O39" s="2066"/>
      <c r="P39" s="821">
        <f t="shared" si="0"/>
        <v>4855</v>
      </c>
      <c r="R39" s="43"/>
      <c r="S39" s="43"/>
      <c r="T39" s="43"/>
      <c r="U39" s="43"/>
      <c r="V39" s="43"/>
      <c r="W39" s="43"/>
      <c r="X39" s="43"/>
      <c r="Y39" s="43"/>
      <c r="Z39" s="43"/>
      <c r="AA39" s="43"/>
      <c r="AB39" s="43"/>
      <c r="AC39" s="43"/>
      <c r="AD39" s="43"/>
      <c r="AE39" s="43"/>
      <c r="AF39" s="99" t="s">
        <v>178</v>
      </c>
      <c r="AG39" s="98" t="b">
        <f t="shared" si="1"/>
        <v>1</v>
      </c>
      <c r="AH39" s="1312" t="b">
        <v>0</v>
      </c>
    </row>
    <row r="40" spans="1:34" ht="15.95" customHeight="1" x14ac:dyDescent="0.2">
      <c r="A40" s="2018" t="s">
        <v>2330</v>
      </c>
      <c r="B40" s="2064"/>
      <c r="C40" s="2065"/>
      <c r="D40" s="2065">
        <v>1</v>
      </c>
      <c r="E40" s="2065"/>
      <c r="F40" s="2065"/>
      <c r="G40" s="2065"/>
      <c r="H40" s="2065"/>
      <c r="I40" s="2065"/>
      <c r="J40" s="2065"/>
      <c r="K40" s="2065"/>
      <c r="L40" s="2065"/>
      <c r="M40" s="2065"/>
      <c r="N40" s="2065"/>
      <c r="O40" s="2066"/>
      <c r="P40" s="821">
        <f t="shared" si="0"/>
        <v>1</v>
      </c>
      <c r="R40" s="43"/>
      <c r="S40" s="43"/>
      <c r="T40" s="43"/>
      <c r="U40" s="43"/>
      <c r="V40" s="43"/>
      <c r="W40" s="43"/>
      <c r="X40" s="43"/>
      <c r="Y40" s="43"/>
      <c r="Z40" s="43"/>
      <c r="AA40" s="43"/>
      <c r="AB40" s="43"/>
      <c r="AC40" s="43"/>
      <c r="AD40" s="43"/>
      <c r="AE40" s="43"/>
      <c r="AF40" s="99" t="s">
        <v>74</v>
      </c>
      <c r="AG40" s="98" t="b">
        <f t="shared" si="1"/>
        <v>1</v>
      </c>
      <c r="AH40" s="1312" t="b">
        <v>0</v>
      </c>
    </row>
    <row r="41" spans="1:34" ht="15.95" customHeight="1" x14ac:dyDescent="0.2">
      <c r="A41" s="2018"/>
      <c r="B41" s="2064"/>
      <c r="C41" s="2065"/>
      <c r="D41" s="2065"/>
      <c r="E41" s="2065"/>
      <c r="F41" s="2065"/>
      <c r="G41" s="2065"/>
      <c r="H41" s="2065"/>
      <c r="I41" s="2065"/>
      <c r="J41" s="2065"/>
      <c r="K41" s="2065"/>
      <c r="L41" s="2065"/>
      <c r="M41" s="2065"/>
      <c r="N41" s="2065"/>
      <c r="O41" s="2066"/>
      <c r="P41" s="821" t="str">
        <f t="shared" si="0"/>
        <v/>
      </c>
      <c r="R41" s="43"/>
      <c r="S41" s="43"/>
      <c r="T41" s="43"/>
      <c r="U41" s="43"/>
      <c r="V41" s="43"/>
      <c r="W41" s="43"/>
      <c r="X41" s="43"/>
      <c r="Y41" s="43"/>
      <c r="Z41" s="43"/>
      <c r="AA41" s="43"/>
      <c r="AB41" s="43"/>
      <c r="AC41" s="43"/>
      <c r="AD41" s="43"/>
      <c r="AE41" s="43"/>
      <c r="AF41" s="99"/>
      <c r="AG41" s="98" t="b">
        <f t="shared" si="1"/>
        <v>0</v>
      </c>
      <c r="AH41" s="1312" t="b">
        <v>0</v>
      </c>
    </row>
    <row r="42" spans="1:34" ht="15.95" customHeight="1" x14ac:dyDescent="0.2">
      <c r="A42" s="2018"/>
      <c r="B42" s="2064"/>
      <c r="C42" s="2065"/>
      <c r="D42" s="2065"/>
      <c r="E42" s="2065"/>
      <c r="F42" s="2065"/>
      <c r="G42" s="2065"/>
      <c r="H42" s="2065"/>
      <c r="I42" s="2065"/>
      <c r="J42" s="2065"/>
      <c r="K42" s="2065"/>
      <c r="L42" s="2065"/>
      <c r="M42" s="2065"/>
      <c r="N42" s="2065"/>
      <c r="O42" s="2066"/>
      <c r="P42" s="821" t="str">
        <f t="shared" si="0"/>
        <v/>
      </c>
      <c r="R42" s="43"/>
      <c r="S42" s="43"/>
      <c r="T42" s="43"/>
      <c r="U42" s="43"/>
      <c r="V42" s="43"/>
      <c r="W42" s="43"/>
      <c r="X42" s="43"/>
      <c r="Y42" s="43"/>
      <c r="Z42" s="43"/>
      <c r="AA42" s="43"/>
      <c r="AB42" s="43"/>
      <c r="AC42" s="43"/>
      <c r="AD42" s="43"/>
      <c r="AE42" s="43"/>
      <c r="AF42" s="99"/>
      <c r="AG42" s="98" t="b">
        <f t="shared" si="1"/>
        <v>0</v>
      </c>
      <c r="AH42" s="1312" t="b">
        <v>0</v>
      </c>
    </row>
    <row r="43" spans="1:34" ht="15.95" customHeight="1" x14ac:dyDescent="0.2">
      <c r="A43" s="2018"/>
      <c r="B43" s="2064"/>
      <c r="C43" s="2065"/>
      <c r="D43" s="2065"/>
      <c r="E43" s="2065"/>
      <c r="F43" s="2065"/>
      <c r="G43" s="2065"/>
      <c r="H43" s="2065"/>
      <c r="I43" s="2065"/>
      <c r="J43" s="2065"/>
      <c r="K43" s="2065"/>
      <c r="L43" s="2065"/>
      <c r="M43" s="2065"/>
      <c r="N43" s="2065"/>
      <c r="O43" s="2066"/>
      <c r="P43" s="821" t="str">
        <f t="shared" si="0"/>
        <v/>
      </c>
      <c r="R43" s="43"/>
      <c r="S43" s="43"/>
      <c r="T43" s="43"/>
      <c r="U43" s="43"/>
      <c r="V43" s="43"/>
      <c r="W43" s="43"/>
      <c r="X43" s="43"/>
      <c r="Y43" s="43"/>
      <c r="Z43" s="43"/>
      <c r="AA43" s="43"/>
      <c r="AB43" s="43"/>
      <c r="AC43" s="43"/>
      <c r="AD43" s="43"/>
      <c r="AE43" s="43"/>
      <c r="AF43" s="99"/>
      <c r="AG43" s="98" t="b">
        <f t="shared" si="1"/>
        <v>0</v>
      </c>
      <c r="AH43" s="1312" t="b">
        <v>0</v>
      </c>
    </row>
    <row r="44" spans="1:34" ht="15.95" customHeight="1" x14ac:dyDescent="0.2">
      <c r="A44" s="2018"/>
      <c r="B44" s="2064"/>
      <c r="C44" s="2065"/>
      <c r="D44" s="2065"/>
      <c r="E44" s="2065"/>
      <c r="F44" s="2065"/>
      <c r="G44" s="2065"/>
      <c r="H44" s="2065"/>
      <c r="I44" s="2065"/>
      <c r="J44" s="2065"/>
      <c r="K44" s="2065"/>
      <c r="L44" s="2065"/>
      <c r="M44" s="2065"/>
      <c r="N44" s="2065"/>
      <c r="O44" s="2066"/>
      <c r="P44" s="821" t="str">
        <f t="shared" si="0"/>
        <v/>
      </c>
      <c r="R44" s="43"/>
      <c r="S44" s="43"/>
      <c r="T44" s="43"/>
      <c r="U44" s="43"/>
      <c r="V44" s="43"/>
      <c r="W44" s="43"/>
      <c r="X44" s="43"/>
      <c r="Y44" s="43"/>
      <c r="Z44" s="43"/>
      <c r="AA44" s="43"/>
      <c r="AB44" s="43"/>
      <c r="AC44" s="43"/>
      <c r="AD44" s="43"/>
      <c r="AE44" s="43"/>
      <c r="AF44" s="99"/>
      <c r="AG44" s="98" t="b">
        <f t="shared" si="1"/>
        <v>0</v>
      </c>
      <c r="AH44" s="1312" t="b">
        <v>0</v>
      </c>
    </row>
    <row r="45" spans="1:34" ht="15.95" customHeight="1" x14ac:dyDescent="0.2">
      <c r="A45" s="2018"/>
      <c r="B45" s="2064"/>
      <c r="C45" s="2065"/>
      <c r="D45" s="2065"/>
      <c r="E45" s="2065"/>
      <c r="F45" s="2065"/>
      <c r="G45" s="2065"/>
      <c r="H45" s="2065"/>
      <c r="I45" s="2065"/>
      <c r="J45" s="2065"/>
      <c r="K45" s="2065"/>
      <c r="L45" s="2065"/>
      <c r="M45" s="2065"/>
      <c r="N45" s="2065"/>
      <c r="O45" s="2066"/>
      <c r="P45" s="821" t="str">
        <f t="shared" si="0"/>
        <v/>
      </c>
      <c r="R45" s="43"/>
      <c r="S45" s="43"/>
      <c r="T45" s="43"/>
      <c r="U45" s="43"/>
      <c r="V45" s="43"/>
      <c r="W45" s="43"/>
      <c r="X45" s="43"/>
      <c r="Y45" s="43"/>
      <c r="Z45" s="43"/>
      <c r="AA45" s="43"/>
      <c r="AB45" s="43"/>
      <c r="AC45" s="43"/>
      <c r="AD45" s="43"/>
      <c r="AE45" s="43"/>
      <c r="AF45" s="99"/>
      <c r="AG45" s="98" t="b">
        <f t="shared" si="1"/>
        <v>0</v>
      </c>
      <c r="AH45" s="1312" t="b">
        <v>0</v>
      </c>
    </row>
    <row r="46" spans="1:34" ht="15.95" customHeight="1" x14ac:dyDescent="0.2">
      <c r="A46" s="2018"/>
      <c r="B46" s="2064"/>
      <c r="C46" s="2065"/>
      <c r="D46" s="2065"/>
      <c r="E46" s="2065"/>
      <c r="F46" s="2065"/>
      <c r="G46" s="2065"/>
      <c r="H46" s="2065"/>
      <c r="I46" s="2065"/>
      <c r="J46" s="2065"/>
      <c r="K46" s="2065"/>
      <c r="L46" s="2065"/>
      <c r="M46" s="2065"/>
      <c r="N46" s="2065"/>
      <c r="O46" s="2066"/>
      <c r="P46" s="821" t="str">
        <f t="shared" si="0"/>
        <v/>
      </c>
      <c r="R46" s="43"/>
      <c r="S46" s="43"/>
      <c r="T46" s="43"/>
      <c r="U46" s="43"/>
      <c r="V46" s="43"/>
      <c r="W46" s="43"/>
      <c r="X46" s="43"/>
      <c r="Y46" s="43"/>
      <c r="Z46" s="43"/>
      <c r="AA46" s="43"/>
      <c r="AB46" s="43"/>
      <c r="AC46" s="43"/>
      <c r="AD46" s="43"/>
      <c r="AE46" s="43"/>
      <c r="AF46" s="99"/>
      <c r="AG46" s="98" t="b">
        <f t="shared" si="1"/>
        <v>0</v>
      </c>
      <c r="AH46" s="1312" t="b">
        <v>0</v>
      </c>
    </row>
    <row r="47" spans="1:34" ht="15.95" customHeight="1" x14ac:dyDescent="0.2">
      <c r="A47" s="2018"/>
      <c r="B47" s="2064"/>
      <c r="C47" s="2065"/>
      <c r="D47" s="2065"/>
      <c r="E47" s="2065"/>
      <c r="F47" s="2065"/>
      <c r="G47" s="2065"/>
      <c r="H47" s="2065"/>
      <c r="I47" s="2065"/>
      <c r="J47" s="2065"/>
      <c r="K47" s="2065"/>
      <c r="L47" s="2065"/>
      <c r="M47" s="2065"/>
      <c r="N47" s="2065"/>
      <c r="O47" s="2066"/>
      <c r="P47" s="821" t="str">
        <f t="shared" si="0"/>
        <v/>
      </c>
      <c r="R47" s="43"/>
      <c r="S47" s="43"/>
      <c r="T47" s="43"/>
      <c r="U47" s="43"/>
      <c r="V47" s="43"/>
      <c r="W47" s="43"/>
      <c r="X47" s="43"/>
      <c r="Y47" s="43"/>
      <c r="Z47" s="43"/>
      <c r="AA47" s="43"/>
      <c r="AB47" s="43"/>
      <c r="AC47" s="43"/>
      <c r="AD47" s="43"/>
      <c r="AE47" s="43"/>
      <c r="AF47" s="99"/>
      <c r="AG47" s="98" t="b">
        <f t="shared" si="1"/>
        <v>0</v>
      </c>
      <c r="AH47" s="1312" t="b">
        <v>0</v>
      </c>
    </row>
    <row r="48" spans="1:34" ht="15.95" customHeight="1" x14ac:dyDescent="0.2">
      <c r="A48" s="2018"/>
      <c r="B48" s="2064"/>
      <c r="C48" s="2065"/>
      <c r="D48" s="2065"/>
      <c r="E48" s="2065"/>
      <c r="F48" s="2065"/>
      <c r="G48" s="2065"/>
      <c r="H48" s="2065"/>
      <c r="I48" s="2065"/>
      <c r="J48" s="2065"/>
      <c r="K48" s="2065"/>
      <c r="L48" s="2065"/>
      <c r="M48" s="2065"/>
      <c r="N48" s="2065"/>
      <c r="O48" s="2066"/>
      <c r="P48" s="821" t="str">
        <f t="shared" si="0"/>
        <v/>
      </c>
      <c r="R48" s="43"/>
      <c r="S48" s="43"/>
      <c r="T48" s="43"/>
      <c r="U48" s="43"/>
      <c r="V48" s="43"/>
      <c r="W48" s="43"/>
      <c r="X48" s="43"/>
      <c r="Y48" s="43"/>
      <c r="Z48" s="43"/>
      <c r="AA48" s="43"/>
      <c r="AB48" s="43"/>
      <c r="AC48" s="43"/>
      <c r="AD48" s="43"/>
      <c r="AE48" s="43"/>
      <c r="AF48" s="99"/>
      <c r="AG48" s="98" t="b">
        <f t="shared" si="1"/>
        <v>0</v>
      </c>
      <c r="AH48" s="1312" t="b">
        <v>0</v>
      </c>
    </row>
    <row r="49" spans="1:34" ht="15.95" customHeight="1" x14ac:dyDescent="0.2">
      <c r="A49" s="2019"/>
      <c r="B49" s="2067"/>
      <c r="C49" s="2068"/>
      <c r="D49" s="2068"/>
      <c r="E49" s="2068"/>
      <c r="F49" s="2068"/>
      <c r="G49" s="2068"/>
      <c r="H49" s="2068"/>
      <c r="I49" s="2068"/>
      <c r="J49" s="2068"/>
      <c r="K49" s="2068"/>
      <c r="L49" s="2068"/>
      <c r="M49" s="2068"/>
      <c r="N49" s="2068"/>
      <c r="O49" s="2069"/>
      <c r="P49" s="821" t="str">
        <f t="shared" si="0"/>
        <v/>
      </c>
      <c r="R49" s="43"/>
      <c r="S49" s="43"/>
      <c r="T49" s="43"/>
      <c r="U49" s="43"/>
      <c r="V49" s="43"/>
      <c r="W49" s="43"/>
      <c r="X49" s="43"/>
      <c r="Y49" s="43"/>
      <c r="Z49" s="43"/>
      <c r="AA49" s="43"/>
      <c r="AB49" s="43"/>
      <c r="AC49" s="43"/>
      <c r="AD49" s="43"/>
      <c r="AE49" s="43"/>
      <c r="AF49" s="99"/>
      <c r="AG49" s="98" t="b">
        <f t="shared" si="1"/>
        <v>0</v>
      </c>
      <c r="AH49" s="1312" t="b">
        <v>0</v>
      </c>
    </row>
    <row r="50" spans="1:34" ht="15" customHeight="1" x14ac:dyDescent="0.2">
      <c r="A50" s="817" t="s">
        <v>91</v>
      </c>
      <c r="B50" s="818">
        <f t="shared" ref="B50:O50" si="2">IF(ISBLANK(B13),"",SUM(B14:B49))</f>
        <v>0</v>
      </c>
      <c r="C50" s="818">
        <f t="shared" si="2"/>
        <v>0</v>
      </c>
      <c r="D50" s="818">
        <f t="shared" si="2"/>
        <v>2321</v>
      </c>
      <c r="E50" s="818">
        <f t="shared" si="2"/>
        <v>2030</v>
      </c>
      <c r="F50" s="818">
        <f t="shared" si="2"/>
        <v>1866</v>
      </c>
      <c r="G50" s="818">
        <f t="shared" si="2"/>
        <v>1889</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
      <c r="A59" s="973" t="s">
        <v>1062</v>
      </c>
    </row>
    <row r="60" spans="1:34" hidden="1" x14ac:dyDescent="0.2">
      <c r="A60" s="1128" t="s">
        <v>159</v>
      </c>
    </row>
    <row r="61" spans="1:34" hidden="1" x14ac:dyDescent="0.2">
      <c r="A61" s="1130" t="s">
        <v>2021</v>
      </c>
    </row>
    <row r="62" spans="1:34" hidden="1" x14ac:dyDescent="0.2"/>
    <row r="63" spans="1:34" hidden="1" x14ac:dyDescent="0.2">
      <c r="A63" s="1312" t="b">
        <v>0</v>
      </c>
      <c r="B63" s="1312" t="b">
        <v>0</v>
      </c>
      <c r="C63" s="1312" t="b">
        <v>0</v>
      </c>
      <c r="D63" s="1312" t="b">
        <v>0</v>
      </c>
      <c r="E63" s="1312" t="b">
        <v>0</v>
      </c>
      <c r="F63" s="1312" t="b">
        <v>0</v>
      </c>
      <c r="G63" s="1312" t="b">
        <v>0</v>
      </c>
      <c r="H63" s="1312" t="b">
        <v>0</v>
      </c>
      <c r="I63" s="1312" t="b">
        <v>0</v>
      </c>
      <c r="J63" s="1312" t="b">
        <v>0</v>
      </c>
      <c r="K63" s="1312" t="b">
        <v>0</v>
      </c>
      <c r="L63" s="1312" t="b">
        <v>0</v>
      </c>
      <c r="M63" s="1312" t="b">
        <v>0</v>
      </c>
      <c r="N63" s="1312" t="b">
        <v>0</v>
      </c>
      <c r="O63" s="1312" t="b">
        <v>0</v>
      </c>
    </row>
    <row r="64" spans="1:34" hidden="1" x14ac:dyDescent="0.2"/>
    <row r="65" spans="1:1" x14ac:dyDescent="0.2">
      <c r="A65" s="973" t="s">
        <v>1063</v>
      </c>
    </row>
  </sheetData>
  <sheetProtection algorithmName="SHA-512" hashValue="Yr+bAxkybT50iVNzo8zGvytYLpVYU35WikVHQMl38f/S7rOj7wzfwalD0QUj5ze62r2G3KWXLt9qkfs0aB+OwA==" saltValue="IC6A9tbJKcrV9RbI+oUnWw=="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1351" priority="2">
      <formula>OR(A14="Girder",A14="Girders",A14="Joist",A14="Joists",A14="Bridging")</formula>
    </cfRule>
    <cfRule type="expression" dxfId="1350" priority="3">
      <formula>AND(P14&gt;0,ISBLANK(AF14),OR($R$1="",$R$1="M"))</formula>
    </cfRule>
    <cfRule type="expression" dxfId="1349" priority="9">
      <formula>$AH14</formula>
    </cfRule>
  </conditionalFormatting>
  <conditionalFormatting sqref="H2:J4">
    <cfRule type="cellIs" dxfId="1348" priority="7" stopIfTrue="1" operator="equal">
      <formula>""</formula>
    </cfRule>
  </conditionalFormatting>
  <conditionalFormatting sqref="B14:O49">
    <cfRule type="expression" dxfId="1347" priority="4">
      <formula>IF($R$1="M",AND(B14&gt;R14,R14&gt;0),B14&lt;R14)</formula>
    </cfRule>
    <cfRule type="expression" dxfId="1346" priority="5">
      <formula>OR(AND($R$1="M",B14=R14),B14="-")</formula>
    </cfRule>
    <cfRule type="expression" dxfId="1345" priority="6">
      <formula>IF(NOT(ISBLANK($R$1)),IF($R$1="M",IF(ISTEXT(B14),0,B14)&lt;R14,IF(ISTEXT(B14),0,B14)&gt;R14))</formula>
    </cfRule>
    <cfRule type="expression" dxfId="1344" priority="8">
      <formula>OR($AH14,B$63)</formula>
    </cfRule>
  </conditionalFormatting>
  <conditionalFormatting sqref="B13:O13">
    <cfRule type="expression" dxfId="1343" priority="1">
      <formula>AND(NOT(ISBLANK(B$13)),ISERROR(MATCH(B$13,$AK:$AK,0)))</formula>
    </cfRule>
    <cfRule type="expression" dxfId="1342"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formula1>B13=TRIM(B13)</formula1>
    </dataValidation>
    <dataValidation type="custom" allowBlank="1" showInputMessage="1" showErrorMessage="1" errorTitle="Input Error" error="Value can only be a positive integer OR a dash." sqref="B14:O49">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18.1019
File: &amp;F</oddFooter>
  </headerFooter>
  <drawing r:id="rId2"/>
  <legacyDrawing r:id="rId3"/>
</worksheet>
</file>

<file path=xl/worksheets/sheet48.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1">
    <x:tabColor indexed="42"/>
  </x:sheetPr>
  <x:dimension ref="A1:JP92"/>
  <x:sheetViews>
    <x:sheetView showGridLines="0" topLeftCell="A4" zoomScaleNormal="100" zoomScaleSheetLayoutView="50" workbookViewId="0">
      <x:selection activeCell="GA45" sqref="GA45"/>
    </x:sheetView>
  </x:sheetViews>
  <x:sheetFormatPr defaultColWidth="0" defaultRowHeight="12.75" x14ac:dyDescent="0.2"/>
  <x:cols>
    <x:col min="1" max="1" width="5.7109375" style="161" customWidth="1"/>
    <x:col min="2" max="2" width="4.28515625" style="161" customWidth="1"/>
    <x:col min="3" max="3" width="15.7109375" style="161" customWidth="1"/>
    <x:col min="4" max="4" width="3.7109375" style="161" customWidth="1"/>
    <x:col min="5" max="5" width="4.42578125" style="161" customWidth="1"/>
    <x:col min="6" max="6" width="4.7109375" style="161" customWidth="1"/>
    <x:col min="7" max="7" width="3" style="161" customWidth="1"/>
    <x:col min="8" max="8" width="4.42578125" style="161" customWidth="1"/>
    <x:col min="9" max="10" width="3" style="161" customWidth="1"/>
    <x:col min="11" max="11" width="4.42578125" style="161" customWidth="1"/>
    <x:col min="12" max="12" width="3" style="161" customWidth="1"/>
    <x:col min="13" max="14" width="4.28515625" style="161" customWidth="1"/>
    <x:col min="15" max="15" width="3.28515625" style="161" customWidth="1"/>
    <x:col min="16" max="16" width="5" style="161" customWidth="1"/>
    <x:col min="17" max="17" width="3.28515625" style="161" customWidth="1"/>
    <x:col min="18" max="18" width="5" style="161" customWidth="1"/>
    <x:col min="19" max="19" width="2.85546875" style="161" customWidth="1"/>
    <x:col min="20" max="20" width="4.42578125" style="161" customWidth="1"/>
    <x:col min="21" max="21" width="2.85546875" style="161" customWidth="1"/>
    <x:col min="22" max="22" width="4.42578125" style="161" customWidth="1"/>
    <x:col min="23" max="23" width="4.28515625" style="161" customWidth="1"/>
    <x:col min="24" max="25" width="4.7109375" style="161" customWidth="1"/>
    <x:col min="26" max="26" width="18.5703125" style="161" customWidth="1"/>
    <x:col min="27" max="27" width="4" style="161" customWidth="1"/>
    <x:col min="28" max="28" width="5.7109375" style="161" customWidth="1"/>
    <x:col min="29" max="29" width="3.28515625" style="161" customWidth="1"/>
    <x:col min="30" max="30" width="3" style="161" customWidth="1"/>
    <x:col min="31" max="31" width="4.42578125" style="161" customWidth="1"/>
    <x:col min="32" max="32" width="3.42578125" style="161" customWidth="1"/>
    <x:col min="33" max="33" width="3" style="161" customWidth="1"/>
    <x:col min="34" max="34" width="4.42578125" style="161" customWidth="1"/>
    <x:col min="35" max="35" width="3" style="161" customWidth="1"/>
    <x:col min="36" max="37" width="4.42578125" style="161" customWidth="1"/>
    <x:col min="38" max="38" width="5" style="161" customWidth="1"/>
    <x:col min="39" max="39" width="4.42578125" style="161" customWidth="1"/>
    <x:col min="40" max="40" width="5.28515625" style="161" customWidth="1"/>
    <x:col min="41" max="43" width="4.42578125" style="161" customWidth="1"/>
    <x:col min="44" max="44" width="3.7109375" style="161" customWidth="1"/>
    <x:col min="45" max="47" width="4.42578125" style="161" customWidth="1"/>
    <x:col min="48" max="48" width="3.7109375" style="161" customWidth="1"/>
    <x:col min="49" max="51" width="4.42578125" style="161" customWidth="1"/>
    <x:col min="52" max="52" width="3.7109375" style="161" customWidth="1"/>
    <x:col min="53" max="55" width="4.42578125" style="161" customWidth="1"/>
    <x:col min="56" max="56" width="3.7109375" style="161" customWidth="1"/>
    <x:col min="57" max="59" width="4.42578125" style="161" customWidth="1"/>
    <x:col min="60" max="60" width="4.7109375" style="318" customWidth="1"/>
    <x:col min="61" max="61" width="5.7109375" style="161" hidden="1" customWidth="1"/>
    <x:col min="62" max="63" width="6.7109375" style="161" hidden="1" customWidth="1"/>
    <x:col min="64" max="64" width="5.7109375" style="161" hidden="1" customWidth="1"/>
    <x:col min="65" max="69" width="3.7109375" style="161" hidden="1" customWidth="1"/>
    <x:col min="70" max="70" width="5.7109375" style="161" hidden="1" customWidth="1"/>
    <x:col min="71" max="74" width="3.7109375" style="161" hidden="1" customWidth="1"/>
    <x:col min="75" max="78" width="6.7109375" style="161" hidden="1" customWidth="1"/>
    <x:col min="79" max="79" width="5.7109375" style="161" customWidth="1"/>
    <x:col min="80" max="81" width="6.7109375" style="161" hidden="1" customWidth="1"/>
    <x:col min="82" max="82" width="18.7109375" style="161" hidden="1" customWidth="1"/>
    <x:col min="83" max="84" width="6.7109375" style="161" hidden="1" customWidth="1"/>
    <x:col min="85" max="85" width="7.7109375" style="161" hidden="1" customWidth="1"/>
    <x:col min="86" max="90" width="6.7109375" style="161" hidden="1" customWidth="1"/>
    <x:col min="91" max="91" width="7.7109375" style="161" hidden="1" customWidth="1"/>
    <x:col min="92" max="92" width="6.7109375" style="161" hidden="1" customWidth="1"/>
    <x:col min="93" max="93" width="7.7109375" style="161" hidden="1" customWidth="1"/>
    <x:col min="94" max="97" width="6.7109375" style="161" hidden="1" customWidth="1"/>
    <x:col min="98" max="99" width="7.7109375" style="161" hidden="1" customWidth="1"/>
    <x:col min="100" max="101" width="12.7109375" style="161" hidden="1" customWidth="1"/>
    <x:col min="102" max="103" width="8.7109375" style="161" hidden="1" customWidth="1"/>
    <x:col min="104" max="109" width="7.7109375" style="161" hidden="1" customWidth="1"/>
    <x:col min="110" max="111" width="1.7109375" style="161" hidden="1" customWidth="1"/>
    <x:col min="112" max="113" width="6.7109375" style="161" hidden="1" customWidth="1"/>
    <x:col min="114" max="114" width="4.7109375" style="161" hidden="1" customWidth="1"/>
    <x:col min="115" max="115" width="6.7109375" style="161" hidden="1" customWidth="1"/>
    <x:col min="116" max="117" width="4.7109375" style="161" hidden="1" customWidth="1"/>
    <x:col min="118" max="125" width="6.7109375" style="161" hidden="1" customWidth="1"/>
    <x:col min="126" max="126" width="4.7109375" style="161" hidden="1" customWidth="1"/>
    <x:col min="127" max="129" width="6.7109375" style="161" hidden="1" customWidth="1"/>
    <x:col min="130" max="130" width="4.7109375" style="161" hidden="1" customWidth="1"/>
    <x:col min="131" max="133" width="6.7109375" style="161" hidden="1" customWidth="1"/>
    <x:col min="134" max="134" width="4.7109375" style="161" hidden="1" customWidth="1"/>
    <x:col min="135" max="137" width="6.7109375" style="161" hidden="1" customWidth="1"/>
    <x:col min="138" max="138" width="4.7109375" style="161" hidden="1" customWidth="1"/>
    <x:col min="139" max="141" width="6.7109375" style="161" hidden="1" customWidth="1"/>
    <x:col min="142" max="143" width="8.7109375" style="161" hidden="1" customWidth="1"/>
    <x:col min="144" max="144" width="10.7109375" style="172" hidden="1" customWidth="1"/>
    <x:col min="145" max="145" width="6.7109375" style="161" hidden="1" customWidth="1"/>
    <x:col min="146" max="147" width="7.7109375" style="161" hidden="1" customWidth="1"/>
    <x:col min="148" max="149" width="5.28515625" style="161" hidden="1" customWidth="1"/>
    <x:col min="150" max="151" width="5.7109375" style="161" hidden="1" customWidth="1"/>
    <x:col min="152" max="152" width="6.7109375" style="161" customWidth="1"/>
    <x:col min="153" max="177" width="8.7109375" style="161" hidden="1" customWidth="1"/>
    <x:col min="178" max="178" width="6.7109375" style="161" hidden="1" customWidth="1"/>
    <x:col min="179" max="181" width="8.7109375" style="161" hidden="1" customWidth="1"/>
    <x:col min="182" max="182" width="4.7109375" style="161" customWidth="1"/>
    <x:col min="183" max="183" width="5.28515625" style="161" customWidth="1"/>
    <x:col min="184" max="184" width="6.28515625" style="161" customWidth="1"/>
    <x:col min="185" max="187" width="8.7109375" style="161" customWidth="1"/>
    <x:col min="188" max="188" width="5.7109375" style="161" customWidth="1"/>
    <x:col min="189" max="189" width="5.28515625" style="161" customWidth="1"/>
    <x:col min="190" max="190" width="6.28515625" style="161" customWidth="1"/>
    <x:col min="191" max="191" width="5.28515625" style="161" hidden="1" customWidth="1"/>
    <x:col min="192" max="192" width="6.28515625" style="161" hidden="1" customWidth="1"/>
    <x:col min="193" max="195" width="8.7109375" style="161" hidden="1" customWidth="1"/>
    <x:col min="196" max="196" width="4.7109375" style="161" customWidth="1"/>
    <x:col min="197" max="198" width="8.7109375" style="161" hidden="1" customWidth="1"/>
    <x:col min="199" max="199" width="6.7109375" style="161" hidden="1" customWidth="1"/>
    <x:col min="200" max="206" width="8.7109375" style="161" hidden="1" customWidth="1"/>
    <x:col min="207" max="207" width="8.7109375" style="161" customWidth="1"/>
    <x:col min="208" max="208" width="8.7109375" style="161" hidden="1" customWidth="1"/>
    <x:col min="209" max="210" width="8.7109375" style="172" hidden="1" customWidth="1"/>
    <x:col min="211" max="211" width="12.7109375" style="172" hidden="1" customWidth="1"/>
    <x:col min="212" max="212" width="8.7109375" style="162" hidden="1" customWidth="1"/>
    <x:col min="213" max="213" width="8.7109375" style="163" hidden="1" customWidth="1"/>
    <x:col min="214" max="237" width="8.7109375" style="172" hidden="1" customWidth="1"/>
    <x:col min="238" max="260" width="8.7109375" style="161" hidden="1" customWidth="1"/>
    <x:col min="261" max="273" width="6.7109375" style="161" hidden="1" customWidth="1"/>
    <x:col min="274" max="274" width="8.7109375" style="161" hidden="1" customWidth="1"/>
    <x:col min="275" max="275" width="6.7109375" style="161" hidden="1" customWidth="1"/>
    <x:col min="276" max="706" width="6.7109375" style="161" customWidth="1"/>
    <x:col min="707" max="707" width="0" style="161" hidden="1" customWidth="1"/>
    <x:col min="708" max="16384" width="0" style="161" hidden="1"/>
  </x:cols>
  <x:sheetData>
    <x:row r="1" spans="1:276" s="289" customFormat="1" ht="14.45" customHeight="1" thickBot="1" x14ac:dyDescent="0.25">
      <x:c r="A1" s="454"/>
      <x:c r="B1" s="454"/>
      <x:c r="C1" s="454"/>
      <x:c r="D1" s="454"/>
      <x:c r="E1" s="454"/>
      <x:c r="F1" s="454"/>
      <x:c r="G1" s="454"/>
      <x:c r="H1" s="454"/>
      <x:c r="I1" s="454"/>
      <x:c r="J1" s="454"/>
      <x:c r="K1" s="454"/>
      <x:c r="L1" s="454"/>
      <x:c r="M1" s="454"/>
      <x:c r="N1" s="454"/>
      <x:c r="O1" s="454"/>
      <x:c r="P1" s="454"/>
      <x:c r="Q1" s="2227" t="str">
        <x:f>IF(BJ1="","",VLOOKUP(BJ1,'Job Info.'!X:AA,4,FALSE))</x:f>
        <x:v>Master</x:v>
      </x:c>
      <x:c r="R1" s="2227"/>
      <x:c r="S1" s="2227"/>
      <x:c r="T1" s="2227"/>
      <x:c r="U1" s="454"/>
      <x:c r="V1" s="445"/>
      <x:c r="W1" s="2433" t="s">
        <x:v>96</x:v>
      </x:c>
      <x:c r="X1" s="2433"/>
      <x:c r="Y1" s="2433"/>
      <x:c r="Z1" s="1829" t="s">
        <x:v>92</x:v>
      </x:c>
      <x:c r="AA1" s="444"/>
      <x:c r="AB1" s="454"/>
      <x:c r="AC1" s="454"/>
      <x:c r="AD1" s="454"/>
      <x:c r="AE1" s="454"/>
      <x:c r="AF1" s="454"/>
      <x:c r="AG1" s="454"/>
      <x:c r="AH1" s="454"/>
      <x:c r="AI1" s="454"/>
      <x:c r="AJ1" s="454"/>
      <x:c r="AK1" s="454"/>
      <x:c r="AL1" s="454"/>
      <x:c r="AM1" s="454"/>
      <x:c r="AN1" s="454"/>
      <x:c r="AO1" s="454"/>
      <x:c r="AP1" s="454"/>
      <x:c r="AQ1" s="444"/>
      <x:c r="AR1" s="454"/>
      <x:c r="AS1" s="454"/>
      <x:c r="AT1" s="454"/>
      <x:c r="AU1" s="2446" t="str">
        <x:f>Q1</x:f>
        <x:v>Master</x:v>
      </x:c>
      <x:c r="AV1" s="2446"/>
      <x:c r="AW1" s="2446"/>
      <x:c r="AX1" s="2446"/>
      <x:c r="AY1" s="454"/>
      <x:c r="AZ1" s="454"/>
      <x:c r="BA1" s="2433" t="s">
        <x:v>96</x:v>
      </x:c>
      <x:c r="BB1" s="2433"/>
      <x:c r="BC1" s="2433"/>
      <x:c r="BD1" s="2259" t="str">
        <x:f ca="1">'Job Info.'!D12</x:f>
        <x:v>775-428-0600</x:v>
      </x:c>
      <x:c r="BE1" s="2259"/>
      <x:c r="BF1" s="2259"/>
      <x:c r="BG1" s="556"/>
      <x:c r="BH1" s="581" t="s">
        <x:v>763</x:v>
      </x:c>
      <x:c r="BJ1" s="291" t="str">
        <x:f>'Job Info.'!Q30</x:f>
        <x:v>M</x:v>
      </x:c>
      <x:c r="BK1" s="291" t="b">
        <x:f>'Job Info.'!Q32</x:f>
        <x:v>0</x:v>
      </x:c>
      <x:c r="BL1" s="976" t="s">
        <x:v>1000</x:v>
      </x:c>
      <x:c r="CA1" s="582" t="s">
        <x:v>764</x:v>
      </x:c>
      <x:c r="CB1" s="292"/>
      <x:c r="CC1" s="292"/>
      <x:c r="CD1" s="292"/>
      <x:c r="CE1" s="292"/>
      <x:c r="CF1" s="292"/>
      <x:c r="CG1" s="292"/>
      <x:c r="CH1" s="292"/>
      <x:c r="CI1" s="292"/>
      <x:c r="CJ1" s="292"/>
      <x:c r="CK1" s="292"/>
      <x:c r="CL1" s="292"/>
      <x:c r="CM1" s="292"/>
      <x:c r="CN1" s="292"/>
      <x:c r="CO1" s="293"/>
      <x:c r="CP1" s="293"/>
      <x:c r="CQ1" s="293"/>
      <x:c r="CR1" s="293"/>
      <x:c r="CS1" s="293"/>
      <x:c r="CT1" s="293"/>
      <x:c r="CU1" s="293"/>
      <x:c r="CV1" s="293"/>
      <x:c r="CW1" s="293"/>
      <x:c r="CX1" s="287"/>
      <x:c r="CY1" s="293"/>
      <x:c r="CZ1" s="293"/>
      <x:c r="DA1" s="292"/>
      <x:c r="DB1" s="292"/>
      <x:c r="DC1" s="292"/>
      <x:c r="DD1" s="292"/>
      <x:c r="DE1" s="292"/>
      <x:c r="DF1" s="292"/>
      <x:c r="DG1" s="292"/>
      <x:c r="DH1" s="292"/>
      <x:c r="DI1" s="292"/>
      <x:c r="DJ1" s="294"/>
      <x:c r="DK1" s="294"/>
      <x:c r="DL1" s="294"/>
      <x:c r="DM1" s="294"/>
      <x:c r="DN1" s="294"/>
      <x:c r="DO1" s="294"/>
      <x:c r="DP1" s="294"/>
      <x:c r="DQ1" s="287"/>
      <x:c r="DR1" s="287"/>
      <x:c r="DS1" s="287"/>
      <x:c r="DT1" s="287"/>
      <x:c r="DU1" s="287"/>
      <x:c r="DV1" s="287"/>
      <x:c r="DW1" s="287"/>
      <x:c r="DX1" s="287"/>
      <x:c r="DY1" s="287"/>
      <x:c r="DZ1" s="287"/>
      <x:c r="EA1" s="287"/>
      <x:c r="EB1" s="287"/>
      <x:c r="EC1" s="292"/>
      <x:c r="ED1" s="292"/>
      <x:c r="EE1" s="292"/>
      <x:c r="EF1" s="292"/>
      <x:c r="EG1" s="292"/>
      <x:c r="EH1" s="292"/>
      <x:c r="EI1" s="292"/>
      <x:c r="EJ1" s="292"/>
      <x:c r="EK1" s="292"/>
      <x:c r="EL1" s="287"/>
      <x:c r="EM1" s="287"/>
      <x:c r="EN1" s="287"/>
      <x:c r="EO1" s="1176"/>
      <x:c r="EP1" s="1177"/>
      <x:c r="EQ1" s="287"/>
      <x:c r="ER1" s="287"/>
      <x:c r="ES1" s="287"/>
      <x:c r="ET1" s="287"/>
      <x:c r="EU1" s="287"/>
      <x:c r="EV1" s="581" t="s">
        <x:v>763</x:v>
      </x:c>
      <x:c r="EW1" s="360"/>
      <x:c r="EY1" s="359"/>
      <x:c r="EZ1" s="361" t="s">
        <x:v>504</x:v>
      </x:c>
      <x:c r="FA1" s="362">
        <x:f>'Job Info.'!U26</x:f>
        <x:v>3</x:v>
      </x:c>
      <x:c r="FB1" s="363" t="str">
        <x:f>IF(FA1=1,"Girder BL @ CL of Steel Support (if possible), minimize BL",IF(FA1=2,"Minimize Joist Base Length",IF(FA1=3,"Minimize TCX (Maximize Joist BL)",IF(FA1=4,"Girder BL @ CL of Steel Support (if possible), minimize TCX"))))</x:f>
        <x:v>Minimize TCX (Maximize Joist BL)</x:v>
      </x:c>
      <x:c r="FC1" s="363"/>
      <x:c r="FD1" s="360"/>
      <x:c r="FE1" s="360"/>
      <x:c r="FF1" s="296" t="s">
        <x:v>984</x:v>
      </x:c>
      <x:c r="FG1" s="449" t="str">
        <x:f>'Job Info.'!U27</x:f>
        <x:v>N</x:v>
      </x:c>
      <x:c r="FH1" s="296"/>
      <x:c r="FI1" s="296"/>
      <x:c r="FJ1" s="296"/>
      <x:c r="FL1" s="296"/>
      <x:c r="FP1" s="296"/>
      <x:c r="FR1" s="296"/>
      <x:c r="FS1" s="296"/>
      <x:c r="FT1" s="296"/>
      <x:c r="FV1" s="671"/>
      <x:c r="FW1" s="139"/>
      <x:c r="FX1" s="139"/>
      <x:c r="FZ1" s="582" t="s">
        <x:v>764</x:v>
      </x:c>
      <x:c r="GA1" s="288"/>
      <x:c r="GB1" s="288"/>
      <x:c r="GC1" s="288"/>
      <x:c r="GD1" s="288"/>
      <x:c r="GE1" s="288"/>
      <x:c r="GF1" s="288"/>
      <x:c r="GG1" s="288"/>
      <x:c r="GH1" s="288"/>
      <x:c r="GI1" s="288"/>
      <x:c r="GJ1" s="288"/>
      <x:c r="GL1" s="298"/>
      <x:c r="GM1" s="298"/>
      <x:c r="GN1" s="298"/>
      <x:c r="GO1" s="298"/>
      <x:c r="GY1" s="666" t="s">
        <x:v>759</x:v>
      </x:c>
      <x:c r="GZ1" s="1006" t="s">
        <x:v>1206</x:v>
      </x:c>
      <x:c r="HA1" s="289" t="b">
        <x:f>'Job Info.'!U4</x:f>
        <x:v>0</x:v>
      </x:c>
      <x:c r="HB1" s="298"/>
      <x:c r="HC1" s="298"/>
      <x:c r="HD1" s="298"/>
      <x:c r="HE1" s="298"/>
      <x:c r="HF1" s="298"/>
      <x:c r="HG1" s="298"/>
      <x:c r="HH1" s="298"/>
      <x:c r="HI1" s="298"/>
      <x:c r="HJ1" s="298"/>
      <x:c r="HK1" s="291"/>
      <x:c r="HL1" s="291"/>
      <x:c r="HM1" s="291"/>
      <x:c r="HN1" s="290"/>
      <x:c r="HO1" s="299"/>
      <x:c r="HP1" s="291"/>
      <x:c r="HQ1" s="291"/>
      <x:c r="HR1" s="291"/>
      <x:c r="HS1" s="291"/>
      <x:c r="HT1" s="291"/>
      <x:c r="HU1" s="291"/>
      <x:c r="HV1" s="291"/>
      <x:c r="HW1" s="291"/>
      <x:c r="HX1" s="291"/>
      <x:c r="HY1" s="291"/>
      <x:c r="HZ1" s="291"/>
      <x:c r="IA1" s="291"/>
      <x:c r="IB1" s="291"/>
      <x:c r="IC1" s="291"/>
      <x:c r="ID1" s="291"/>
      <x:c r="IE1" s="291"/>
      <x:c r="IF1" s="291"/>
      <x:c r="IG1" s="291"/>
      <x:c r="IH1" s="291"/>
      <x:c r="II1" s="291"/>
      <x:c r="IJ1" s="291"/>
      <x:c r="IK1" s="291"/>
      <x:c r="IL1" s="291"/>
      <x:c r="IM1" s="291"/>
      <x:c r="IN1" s="298"/>
      <x:c r="IO1" s="298"/>
      <x:c r="IP1" s="298"/>
      <x:c r="IQ1" s="298"/>
      <x:c r="JP1" s="582" t="s">
        <x:v>1191</x:v>
      </x:c>
    </x:row>
    <x:row r="2" spans="1:276" s="289" customFormat="1" ht="12.95" customHeight="1" thickTop="1" thickBot="1" x14ac:dyDescent="0.3">
      <x:c r="A2" s="454"/>
      <x:c r="B2" s="454"/>
      <x:c r="C2" s="454"/>
      <x:c r="D2" s="454"/>
      <x:c r="E2" s="454"/>
      <x:c r="F2" s="454"/>
      <x:c r="G2" s="454"/>
      <x:c r="H2" s="454"/>
      <x:c r="I2" s="454"/>
      <x:c r="J2" s="454"/>
      <x:c r="K2" s="454"/>
      <x:c r="L2" s="454"/>
      <x:c r="M2" s="454"/>
      <x:c r="N2" s="454"/>
      <x:c r="O2" s="454"/>
      <x:c r="P2" s="454"/>
      <x:c r="Q2" s="2228" t="str">
        <x:f>IF(BJ1="","",IF(VLOOKUP(BJ1,'Job Info.'!X:Z,2,FALSE),"Released for Fabrication",""))</x:f>
        <x:v/>
      </x:c>
      <x:c r="R2" s="2229"/>
      <x:c r="S2" s="2229"/>
      <x:c r="T2" s="2230"/>
      <x:c r="U2" s="454"/>
      <x:c r="V2" s="445"/>
      <x:c r="W2" s="2433" t="s">
        <x:v>97</x:v>
      </x:c>
      <x:c r="X2" s="2433"/>
      <x:c r="Y2" s="2433"/>
      <x:c r="Z2" s="1829" t="str">
        <x:f ca="1">'Job Info.'!D13</x:f>
        <x:v>775-867-2140</x:v>
      </x:c>
      <x:c r="AA2" s="444"/>
      <x:c r="AB2" s="454"/>
      <x:c r="AC2" s="454"/>
      <x:c r="AD2" s="454"/>
      <x:c r="AE2" s="454"/>
      <x:c r="AF2" s="454"/>
      <x:c r="AG2" s="454"/>
      <x:c r="AH2" s="454"/>
      <x:c r="AI2" s="454"/>
      <x:c r="AJ2" s="454"/>
      <x:c r="AK2" s="454"/>
      <x:c r="AL2" s="454"/>
      <x:c r="AM2" s="454"/>
      <x:c r="AN2" s="454"/>
      <x:c r="AO2" s="454"/>
      <x:c r="AP2" s="454"/>
      <x:c r="AQ2" s="444"/>
      <x:c r="AR2" s="454"/>
      <x:c r="AS2" s="454"/>
      <x:c r="AT2" s="454"/>
      <x:c r="AU2" s="2228" t="str">
        <x:f>Q2</x:f>
        <x:v/>
      </x:c>
      <x:c r="AV2" s="2229"/>
      <x:c r="AW2" s="2229"/>
      <x:c r="AX2" s="2230"/>
      <x:c r="AY2" s="454"/>
      <x:c r="AZ2" s="454"/>
      <x:c r="BA2" s="2433" t="s">
        <x:v>97</x:v>
      </x:c>
      <x:c r="BB2" s="2433"/>
      <x:c r="BC2" s="2433"/>
      <x:c r="BD2" s="2259" t="str">
        <x:f ca="1">'Job Info.'!D13</x:f>
        <x:v>775-867-2140</x:v>
      </x:c>
      <x:c r="BE2" s="2259"/>
      <x:c r="BF2" s="2259"/>
      <x:c r="BG2" s="556"/>
      <x:c r="BH2" s="321"/>
      <x:c r="BK2" s="291"/>
      <x:c r="CA2" s="581" t="s">
        <x:v>771</x:v>
      </x:c>
      <x:c r="CB2" s="292"/>
      <x:c r="CC2" s="292"/>
      <x:c r="CD2" s="292"/>
      <x:c r="CE2" s="292"/>
      <x:c r="CF2" s="292"/>
      <x:c r="CG2" s="292"/>
      <x:c r="CH2" s="292"/>
      <x:c r="CI2" s="292"/>
      <x:c r="CJ2" s="292"/>
      <x:c r="CK2" s="292"/>
      <x:c r="CL2" s="292"/>
      <x:c r="CM2" s="292"/>
      <x:c r="CN2" s="292"/>
      <x:c r="CO2" s="293"/>
      <x:c r="CP2" s="293"/>
      <x:c r="CQ2" s="239"/>
      <x:c r="CR2" s="239"/>
      <x:c r="CS2" s="240"/>
      <x:c r="CT2" s="239"/>
      <x:c r="CU2" s="239"/>
      <x:c r="CV2" s="239"/>
      <x:c r="CW2" s="243"/>
      <x:c r="CX2" s="287"/>
      <x:c r="CY2" s="300"/>
      <x:c r="CZ2" s="243"/>
      <x:c r="DA2" s="292"/>
      <x:c r="DB2" s="292"/>
      <x:c r="DC2" s="292"/>
      <x:c r="DD2" s="292"/>
      <x:c r="DE2" s="292"/>
      <x:c r="DF2" s="292"/>
      <x:c r="DG2" s="292"/>
      <x:c r="DH2" s="292"/>
      <x:c r="DI2" s="292"/>
      <x:c r="DJ2" s="294"/>
      <x:c r="DK2" s="294"/>
      <x:c r="DL2" s="294"/>
      <x:c r="DM2" s="294"/>
      <x:c r="DN2" s="294"/>
      <x:c r="DO2" s="294"/>
      <x:c r="DP2" s="294"/>
      <x:c r="DQ2" s="287"/>
      <x:c r="DR2" s="287"/>
      <x:c r="DS2" s="287"/>
      <x:c r="DT2" s="287"/>
      <x:c r="DU2" s="287"/>
      <x:c r="DV2" s="287"/>
      <x:c r="DW2" s="287"/>
      <x:c r="DX2" s="287"/>
      <x:c r="DY2" s="287"/>
      <x:c r="DZ2" s="287"/>
      <x:c r="EA2" s="287"/>
      <x:c r="EB2" s="287"/>
      <x:c r="EC2" s="292"/>
      <x:c r="ED2" s="292"/>
      <x:c r="EE2" s="292"/>
      <x:c r="EF2" s="292"/>
      <x:c r="EG2" s="292"/>
      <x:c r="EH2" s="292"/>
      <x:c r="EI2" s="292"/>
      <x:c r="EJ2" s="292"/>
      <x:c r="EK2" s="292"/>
      <x:c r="EL2" s="287"/>
      <x:c r="EM2" s="287"/>
      <x:c r="EN2" s="1178"/>
      <x:c r="EO2" s="1176"/>
      <x:c r="EP2" s="287"/>
      <x:c r="EQ2" s="287"/>
      <x:c r="ER2" s="287"/>
      <x:c r="ES2" s="287"/>
      <x:c r="ET2" s="287"/>
      <x:c r="EU2" s="287"/>
      <x:c r="EV2" s="588" t="s">
        <x:v>772</x:v>
      </x:c>
      <x:c r="EW2" s="360"/>
      <x:c r="EY2" s="359"/>
      <x:c r="EZ2" s="361" t="s">
        <x:v>505</x:v>
      </x:c>
      <x:c r="FA2" s="362">
        <x:f>'Job Info.'!L19</x:f>
        <x:v>0.375</x:v>
      </x:c>
      <x:c r="FB2" s="361" t="s">
        <x:v>689</x:v>
      </x:c>
      <x:c r="FC2" s="364">
        <x:f>'Job Info.'!L21</x:f>
        <x:v>0.5</x:v>
      </x:c>
      <x:c r="FD2" s="361" t="s">
        <x:v>690</x:v>
      </x:c>
      <x:c r="FE2" s="364">
        <x:f>'Job Info.'!L22</x:f>
        <x:v>0.25</x:v>
      </x:c>
      <x:c r="FF2" s="360" t="s">
        <x:v>560</x:v>
      </x:c>
      <x:c r="FG2" s="667">
        <x:f>'Job Info.'!L20</x:f>
        <x:v>0.1875</x:v>
      </x:c>
      <x:c r="FH2" s="296"/>
      <x:c r="FI2" s="296"/>
      <x:c r="FJ2" s="296"/>
      <x:c r="FL2" s="296"/>
      <x:c r="FM2" s="296"/>
      <x:c r="FN2" s="296"/>
      <x:c r="FO2" s="296"/>
      <x:c r="FP2" s="296"/>
      <x:c r="FQ2" s="296"/>
      <x:c r="FR2" s="296"/>
      <x:c r="FS2" s="296"/>
      <x:c r="FT2" s="296"/>
      <x:c r="FU2" s="139"/>
      <x:c r="FW2" s="139"/>
      <x:c r="FX2" s="139"/>
      <x:c r="FY2" s="139"/>
      <x:c r="GA2" s="288"/>
      <x:c r="GB2" s="288"/>
      <x:c r="GC2" s="288"/>
      <x:c r="GD2" s="288"/>
      <x:c r="GE2" s="288"/>
      <x:c r="GF2" s="288"/>
      <x:c r="GG2" s="288"/>
      <x:c r="GH2" s="288"/>
      <x:c r="GI2" s="288"/>
      <x:c r="GJ2" s="288"/>
      <x:c r="GL2" s="298"/>
      <x:c r="GM2" s="298"/>
      <x:c r="GN2" s="298"/>
      <x:c r="GO2" s="298"/>
      <x:c r="GZ2" s="298"/>
      <x:c r="HA2" s="2434" t="s">
        <x:v>40</x:v>
      </x:c>
      <x:c r="HB2" s="2435" t="s">
        <x:v>131</x:v>
      </x:c>
      <x:c r="HC2" s="2435" t="s">
        <x:v>31</x:v>
      </x:c>
      <x:c r="HD2" s="2435" t="s">
        <x:v>25</x:v>
      </x:c>
      <x:c r="HE2" s="2439"/>
      <x:c r="HF2" s="2445" t="s">
        <x:v>89</x:v>
      </x:c>
      <x:c r="HG2" s="2344" t="s">
        <x:v>9</x:v>
      </x:c>
      <x:c r="HH2" s="2443"/>
      <x:c r="HI2" s="2443"/>
      <x:c r="HJ2" s="2443" t="s">
        <x:v>10</x:v>
      </x:c>
      <x:c r="HK2" s="2443"/>
      <x:c r="HL2" s="2342"/>
      <x:c r="HM2" s="2437" t="s">
        <x:v>11</x:v>
      </x:c>
      <x:c r="HN2" s="2438"/>
      <x:c r="HO2" s="2440" t="s">
        <x:v>12</x:v>
      </x:c>
      <x:c r="HP2" s="2441"/>
      <x:c r="HQ2" s="2441" t="s">
        <x:v>13</x:v>
      </x:c>
      <x:c r="HR2" s="2451"/>
      <x:c r="HS2" s="2442" t="s">
        <x:v>14</x:v>
      </x:c>
      <x:c r="HT2" s="2443"/>
      <x:c r="HU2" s="2443"/>
      <x:c r="HV2" s="2443"/>
      <x:c r="HW2" s="2444"/>
      <x:c r="HX2" s="2344" t="s">
        <x:v>112</x:v>
      </x:c>
      <x:c r="HY2" s="2342"/>
      <x:c r="HZ2" s="1437" t="s">
        <x:v>15</x:v>
      </x:c>
      <x:c r="IA2" s="2496" t="s">
        <x:v>982</x:v>
      </x:c>
      <x:c r="IB2" s="291"/>
      <x:c r="IC2" s="291"/>
      <x:c r="ID2" s="291"/>
      <x:c r="IE2" s="291"/>
      <x:c r="IF2" s="2336" t="s">
        <x:v>63</x:v>
      </x:c>
      <x:c r="IG2" s="2338" t="s">
        <x:v>32</x:v>
      </x:c>
      <x:c r="IH2" s="2339"/>
      <x:c r="II2" s="2342" t="s">
        <x:v>34</x:v>
      </x:c>
      <x:c r="IJ2" s="2343"/>
      <x:c r="IK2" s="2344"/>
      <x:c r="IL2" s="2338" t="s">
        <x:v>35</x:v>
      </x:c>
      <x:c r="IM2" s="2339"/>
      <x:c r="IN2" s="2345" t="s">
        <x:v>64</x:v>
      </x:c>
      <x:c r="IO2" s="2347" t="s">
        <x:v>778</x:v>
      </x:c>
      <x:c r="IP2" s="2348"/>
      <x:c r="IQ2" s="2348"/>
      <x:c r="IR2" s="2348"/>
      <x:c r="IS2" s="2348"/>
      <x:c r="IT2" s="2349"/>
      <x:c r="IU2" s="2343" t="s">
        <x:v>83</x:v>
      </x:c>
      <x:c r="IV2" s="2343"/>
      <x:c r="IW2" s="2343"/>
      <x:c r="IX2" s="2343"/>
      <x:c r="IY2" s="2343"/>
      <x:c r="IZ2" s="2343"/>
      <x:c r="JA2" s="2343"/>
      <x:c r="JB2" s="2343"/>
      <x:c r="JC2" s="2343"/>
      <x:c r="JD2" s="2343"/>
      <x:c r="JE2" s="2343"/>
      <x:c r="JF2" s="2343"/>
      <x:c r="JG2" s="2343"/>
      <x:c r="JH2" s="2343"/>
      <x:c r="JI2" s="2343"/>
      <x:c r="JJ2" s="2350"/>
      <x:c r="JK2" s="2332" t="s">
        <x:v>1208</x:v>
      </x:c>
    </x:row>
    <x:row r="3" spans="1:276" s="289" customFormat="1" ht="12.95" customHeight="1" thickBot="1" x14ac:dyDescent="0.3">
      <x:c r="A3" s="454"/>
      <x:c r="B3" s="454"/>
      <x:c r="C3" s="454"/>
      <x:c r="D3" s="454"/>
      <x:c r="E3" s="454"/>
      <x:c r="F3" s="454"/>
      <x:c r="G3" s="454"/>
      <x:c r="H3" s="454"/>
      <x:c r="I3" s="454"/>
      <x:c r="J3" s="454"/>
      <x:c r="K3" s="454"/>
      <x:c r="L3" s="454"/>
      <x:c r="M3" s="454"/>
      <x:c r="N3" s="454"/>
      <x:c r="O3" s="454"/>
      <x:c r="P3" s="454"/>
      <x:c r="Q3" s="2231"/>
      <x:c r="R3" s="2232"/>
      <x:c r="S3" s="2232"/>
      <x:c r="T3" s="2233"/>
      <x:c r="U3" s="454"/>
      <x:c r="V3" s="445"/>
      <x:c r="W3" s="2433" t="s">
        <x:v>99</x:v>
      </x:c>
      <x:c r="X3" s="2433"/>
      <x:c r="Y3" s="2433"/>
      <x:c r="Z3" s="1829" t="str">
        <x:f ca="1">'Job Info.'!D14</x:f>
        <x:v>775-867-2169</x:v>
      </x:c>
      <x:c r="AA3" s="444"/>
      <x:c r="AB3" s="454"/>
      <x:c r="AC3" s="454"/>
      <x:c r="AD3" s="454"/>
      <x:c r="AE3" s="454"/>
      <x:c r="AF3" s="454"/>
      <x:c r="AG3" s="454"/>
      <x:c r="AH3" s="454"/>
      <x:c r="AI3" s="454"/>
      <x:c r="AJ3" s="454"/>
      <x:c r="AK3" s="454"/>
      <x:c r="AL3" s="454"/>
      <x:c r="AM3" s="454"/>
      <x:c r="AN3" s="454"/>
      <x:c r="AO3" s="454"/>
      <x:c r="AP3" s="454"/>
      <x:c r="AQ3" s="444"/>
      <x:c r="AR3" s="454"/>
      <x:c r="AS3" s="454"/>
      <x:c r="AT3" s="454"/>
      <x:c r="AU3" s="2231"/>
      <x:c r="AV3" s="2232"/>
      <x:c r="AW3" s="2232"/>
      <x:c r="AX3" s="2233"/>
      <x:c r="AY3" s="454"/>
      <x:c r="AZ3" s="454"/>
      <x:c r="BA3" s="2433" t="s">
        <x:v>99</x:v>
      </x:c>
      <x:c r="BB3" s="2433"/>
      <x:c r="BC3" s="2433"/>
      <x:c r="BD3" s="2259" t="str">
        <x:f ca="1">'Job Info.'!D14</x:f>
        <x:v>775-867-2169</x:v>
      </x:c>
      <x:c r="BE3" s="2259"/>
      <x:c r="BF3" s="2259"/>
      <x:c r="BG3" s="444"/>
      <x:c r="BH3" s="321"/>
      <x:c r="CA3" s="302"/>
      <x:c r="CB3" s="292"/>
      <x:c r="CC3" s="292"/>
      <x:c r="CD3" s="292"/>
      <x:c r="CE3" s="292"/>
      <x:c r="CF3" s="292"/>
      <x:c r="CG3" s="292"/>
      <x:c r="CH3" s="292"/>
      <x:c r="CI3" s="292"/>
      <x:c r="CJ3" s="292"/>
      <x:c r="CK3" s="292"/>
      <x:c r="CL3" s="292"/>
      <x:c r="CM3" s="292"/>
      <x:c r="CN3" s="292"/>
      <x:c r="CO3" s="293"/>
      <x:c r="CP3" s="239"/>
      <x:c r="CQ3" s="241"/>
      <x:c r="CR3" s="242"/>
      <x:c r="CS3" s="243"/>
      <x:c r="CT3" s="243"/>
      <x:c r="CU3" s="244"/>
      <x:c r="CV3" s="241"/>
      <x:c r="CW3" s="241"/>
      <x:c r="CX3" s="287"/>
      <x:c r="CY3" s="300"/>
      <x:c r="CZ3" s="243"/>
      <x:c r="DA3" s="292"/>
      <x:c r="DB3" s="292"/>
      <x:c r="DC3" s="292"/>
      <x:c r="DD3" s="292"/>
      <x:c r="DE3" s="292"/>
      <x:c r="DF3" s="292"/>
      <x:c r="DG3" s="292"/>
      <x:c r="DH3" s="292"/>
      <x:c r="DI3" s="292"/>
      <x:c r="DJ3" s="294"/>
      <x:c r="DK3" s="294"/>
      <x:c r="DL3" s="294"/>
      <x:c r="DM3" s="294"/>
      <x:c r="DN3" s="294"/>
      <x:c r="DO3" s="294"/>
      <x:c r="DP3" s="294"/>
      <x:c r="DQ3" s="287"/>
      <x:c r="DR3" s="287"/>
      <x:c r="DS3" s="287"/>
      <x:c r="DT3" s="287"/>
      <x:c r="DU3" s="287"/>
      <x:c r="DV3" s="287"/>
      <x:c r="DW3" s="287"/>
      <x:c r="DX3" s="287"/>
      <x:c r="DY3" s="287"/>
      <x:c r="DZ3" s="287"/>
      <x:c r="EA3" s="287"/>
      <x:c r="EB3" s="287"/>
      <x:c r="EC3" s="292"/>
      <x:c r="ED3" s="292"/>
      <x:c r="EE3" s="292"/>
      <x:c r="EF3" s="292"/>
      <x:c r="EG3" s="292"/>
      <x:c r="EH3" s="292"/>
      <x:c r="EI3" s="292"/>
      <x:c r="EJ3" s="292"/>
      <x:c r="EK3" s="292"/>
      <x:c r="EL3" s="294"/>
      <x:c r="EM3" s="287"/>
      <x:c r="EN3" s="1178"/>
      <x:c r="EO3" s="1176"/>
      <x:c r="EP3" s="1174"/>
      <x:c r="EQ3" s="287"/>
      <x:c r="ER3" s="287"/>
      <x:c r="ES3" s="287"/>
      <x:c r="ET3" s="287"/>
      <x:c r="EU3" s="1249"/>
      <x:c r="EW3" s="360"/>
      <x:c r="EX3" s="366" t="s">
        <x:v>985</x:v>
      </x:c>
      <x:c r="EY3" s="366" t="s">
        <x:v>1148</x:v>
      </x:c>
      <x:c r="EZ3" s="367" t="s">
        <x:v>172</x:v>
      </x:c>
      <x:c r="FA3" s="368" t="s">
        <x:v>499</x:v>
      </x:c>
      <x:c r="FB3" s="369" t="s">
        <x:v>500</x:v>
      </x:c>
      <x:c r="FC3" s="368" t="s">
        <x:v>501</x:v>
      </x:c>
      <x:c r="FD3" s="368" t="s">
        <x:v>502</x:v>
      </x:c>
      <x:c r="FE3" s="368" t="s">
        <x:v>503</x:v>
      </x:c>
      <x:c r="FF3" s="368" t="s">
        <x:v>722</x:v>
      </x:c>
      <x:c r="FG3" s="2375" t="s">
        <x:v>1153</x:v>
      </x:c>
      <x:c r="FH3" s="2376"/>
      <x:c r="FI3" s="2377"/>
      <x:c r="FJ3" s="296"/>
      <x:c r="FK3" s="161"/>
      <x:c r="FL3" s="296"/>
      <x:c r="FM3" s="296"/>
      <x:c r="FN3" s="296"/>
      <x:c r="FO3" s="296"/>
      <x:c r="FP3" s="296"/>
      <x:c r="FQ3" s="296"/>
      <x:c r="FR3" s="296"/>
      <x:c r="FS3" s="296"/>
      <x:c r="FT3" s="296"/>
      <x:c r="FU3" s="139"/>
      <x:c r="FV3" s="139"/>
      <x:c r="FW3" s="139"/>
      <x:c r="FX3" s="139"/>
      <x:c r="FY3" s="139"/>
      <x:c r="FZ3" s="666" t="s">
        <x:v>757</x:v>
      </x:c>
      <x:c r="GA3" s="288"/>
      <x:c r="GB3" s="288"/>
      <x:c r="GC3" s="288"/>
      <x:c r="GD3" s="288"/>
      <x:c r="GE3" s="288"/>
      <x:c r="GF3" s="288"/>
      <x:c r="GG3" s="288"/>
      <x:c r="GH3" s="288"/>
      <x:c r="GI3" s="288"/>
      <x:c r="GJ3" s="288"/>
      <x:c r="GL3" s="298"/>
      <x:c r="GM3" s="298"/>
      <x:c r="GN3" s="586" t="s">
        <x:v>758</x:v>
      </x:c>
      <x:c r="GO3" s="298"/>
      <x:c r="GZ3" s="298"/>
      <x:c r="HA3" s="2434"/>
      <x:c r="HB3" s="2435"/>
      <x:c r="HC3" s="2435"/>
      <x:c r="HD3" s="2435"/>
      <x:c r="HE3" s="2439"/>
      <x:c r="HF3" s="2445"/>
      <x:c r="HG3" s="2352" t="s">
        <x:v>16</x:v>
      </x:c>
      <x:c r="HH3" s="2436"/>
      <x:c r="HI3" s="1839" t="s">
        <x:v>773</x:v>
      </x:c>
      <x:c r="HJ3" s="2436" t="s">
        <x:v>16</x:v>
      </x:c>
      <x:c r="HK3" s="2436"/>
      <x:c r="HL3" s="1832" t="s">
        <x:v>773</x:v>
      </x:c>
      <x:c r="HM3" s="1834" t="s">
        <x:v>18</x:v>
      </x:c>
      <x:c r="HN3" s="549" t="s">
        <x:v>19</x:v>
      </x:c>
      <x:c r="HO3" s="2440"/>
      <x:c r="HP3" s="2441"/>
      <x:c r="HQ3" s="2441"/>
      <x:c r="HR3" s="2451"/>
      <x:c r="HS3" s="2355" t="s">
        <x:v>81</x:v>
      </x:c>
      <x:c r="HT3" s="2436"/>
      <x:c r="HU3" s="2436" t="s">
        <x:v>82</x:v>
      </x:c>
      <x:c r="HV3" s="2436"/>
      <x:c r="HW3" s="549" t="s">
        <x:v>27</x:v>
      </x:c>
      <x:c r="HX3" s="1833" t="s">
        <x:v>113</x:v>
      </x:c>
      <x:c r="HY3" s="1832" t="s">
        <x:v>114</x:v>
      </x:c>
      <x:c r="HZ3" s="1438" t="s">
        <x:v>58</x:v>
      </x:c>
      <x:c r="IA3" s="2497"/>
      <x:c r="IB3" s="291"/>
      <x:c r="IC3" s="291"/>
      <x:c r="ID3" s="291"/>
      <x:c r="IE3" s="291"/>
      <x:c r="IF3" s="2337"/>
      <x:c r="IG3" s="2340"/>
      <x:c r="IH3" s="2341"/>
      <x:c r="II3" s="1839" t="s">
        <x:v>33</x:v>
      </x:c>
      <x:c r="IJ3" s="2351" t="s">
        <x:v>16</x:v>
      </x:c>
      <x:c r="IK3" s="2352"/>
      <x:c r="IL3" s="2340"/>
      <x:c r="IM3" s="2341"/>
      <x:c r="IN3" s="2346"/>
      <x:c r="IO3" s="1439" t="s">
        <x:v>779</x:v>
      </x:c>
      <x:c r="IP3" s="1840" t="s">
        <x:v>776</x:v>
      </x:c>
      <x:c r="IQ3" s="1840" t="s">
        <x:v>777</x:v>
      </x:c>
      <x:c r="IR3" s="1843" t="s">
        <x:v>61</x:v>
      </x:c>
      <x:c r="IS3" s="1842" t="s">
        <x:v>780</x:v>
      </x:c>
      <x:c r="IT3" s="1440" t="s">
        <x:v>781</x:v>
      </x:c>
      <x:c r="IU3" s="2353" t="s">
        <x:v>59</x:v>
      </x:c>
      <x:c r="IV3" s="2352"/>
      <x:c r="IW3" s="1441" t="s">
        <x:v>64</x:v>
      </x:c>
      <x:c r="IX3" s="1442" t="s">
        <x:v>60</x:v>
      </x:c>
      <x:c r="IY3" s="2354" t="s">
        <x:v>59</x:v>
      </x:c>
      <x:c r="IZ3" s="2355"/>
      <x:c r="JA3" s="1441" t="s">
        <x:v>64</x:v>
      </x:c>
      <x:c r="JB3" s="1442" t="s">
        <x:v>60</x:v>
      </x:c>
      <x:c r="JC3" s="2354" t="s">
        <x:v>59</x:v>
      </x:c>
      <x:c r="JD3" s="2355"/>
      <x:c r="JE3" s="1441" t="s">
        <x:v>64</x:v>
      </x:c>
      <x:c r="JF3" s="1442" t="s">
        <x:v>60</x:v>
      </x:c>
      <x:c r="JG3" s="2354" t="s">
        <x:v>59</x:v>
      </x:c>
      <x:c r="JH3" s="2355"/>
      <x:c r="JI3" s="1441" t="s">
        <x:v>64</x:v>
      </x:c>
      <x:c r="JJ3" s="1442" t="s">
        <x:v>60</x:v>
      </x:c>
      <x:c r="JK3" s="2333"/>
    </x:row>
    <x:row r="4" spans="1:276" s="289" customFormat="1" ht="12.95" customHeight="1" thickTop="1" thickBot="1" x14ac:dyDescent="0.25">
      <x:c r="A4" s="454"/>
      <x:c r="B4" s="454"/>
      <x:c r="C4" s="454"/>
      <x:c r="D4" s="454"/>
      <x:c r="E4" s="454"/>
      <x:c r="F4" s="454"/>
      <x:c r="G4" s="454"/>
      <x:c r="H4" s="454"/>
      <x:c r="I4" s="454"/>
      <x:c r="J4" s="454"/>
      <x:c r="K4" s="454"/>
      <x:c r="L4" s="454"/>
      <x:c r="M4" s="1398"/>
      <x:c r="N4" s="444"/>
      <x:c r="O4" s="444"/>
      <x:c r="P4" s="444"/>
      <x:c r="Q4" s="2234" t="str">
        <x:f>IF(BJ1="","",IF(VLOOKUP(BJ1,'Job Info.'!X:Z,2,FALSE),VLOOKUP(BJ1,'Job Info.'!X:Z,3,FALSE),""))</x:f>
        <x:v/>
      </x:c>
      <x:c r="R4" s="2235"/>
      <x:c r="S4" s="2235"/>
      <x:c r="T4" s="2236"/>
      <x:c r="U4" s="444"/>
      <x:c r="V4" s="445"/>
      <x:c r="W4" s="2433" t="s">
        <x:v>98</x:v>
      </x:c>
      <x:c r="X4" s="2433"/>
      <x:c r="Y4" s="2433"/>
      <x:c r="Z4" s="1829" t="str">
        <x:f ca="1">'Job Info.'!D15</x:f>
        <x:v>775-867-2060</x:v>
      </x:c>
      <x:c r="AA4" s="444"/>
      <x:c r="AB4" s="444"/>
      <x:c r="AC4" s="444"/>
      <x:c r="AD4" s="444"/>
      <x:c r="AE4" s="444"/>
      <x:c r="AF4" s="444"/>
      <x:c r="AG4" s="444"/>
      <x:c r="AH4" s="444"/>
      <x:c r="AI4" s="444"/>
      <x:c r="AJ4" s="444"/>
      <x:c r="AK4" s="444"/>
      <x:c r="AL4" s="444"/>
      <x:c r="AM4" s="444"/>
      <x:c r="AN4" s="444"/>
      <x:c r="AO4" s="444"/>
      <x:c r="AP4" s="444"/>
      <x:c r="AQ4" s="444"/>
      <x:c r="AR4" s="1398"/>
      <x:c r="AS4" s="1398"/>
      <x:c r="AT4" s="444"/>
      <x:c r="AU4" s="2447" t="str">
        <x:f>Q4</x:f>
        <x:v/>
      </x:c>
      <x:c r="AV4" s="2448"/>
      <x:c r="AW4" s="2448"/>
      <x:c r="AX4" s="2449"/>
      <x:c r="AY4" s="454"/>
      <x:c r="AZ4" s="454"/>
      <x:c r="BA4" s="2433" t="s">
        <x:v>98</x:v>
      </x:c>
      <x:c r="BB4" s="2433"/>
      <x:c r="BC4" s="2433"/>
      <x:c r="BD4" s="2259" t="str">
        <x:f ca="1">'Job Info.'!D15</x:f>
        <x:v>775-867-2060</x:v>
      </x:c>
      <x:c r="BE4" s="2259"/>
      <x:c r="BF4" s="2259"/>
      <x:c r="BG4" s="444"/>
      <x:c r="BH4" s="321"/>
      <x:c r="CA4" s="302"/>
      <x:c r="CB4" s="292"/>
      <x:c r="CC4" s="292"/>
      <x:c r="CD4" s="292"/>
      <x:c r="CE4" s="292"/>
      <x:c r="CF4" s="292"/>
      <x:c r="CG4" s="292"/>
      <x:c r="CH4" s="292"/>
      <x:c r="CI4" s="292"/>
      <x:c r="CJ4" s="292"/>
      <x:c r="CK4" s="292"/>
      <x:c r="CL4" s="305"/>
      <x:c r="CM4" s="292"/>
      <x:c r="CN4" s="292"/>
      <x:c r="CO4" s="293"/>
      <x:c r="CP4" s="293"/>
      <x:c r="CQ4" s="293"/>
      <x:c r="CR4" s="293"/>
      <x:c r="CS4" s="293"/>
      <x:c r="CT4" s="293"/>
      <x:c r="CU4" s="293"/>
      <x:c r="CV4" s="293"/>
      <x:c r="CW4" s="293"/>
      <x:c r="CX4" s="287"/>
      <x:c r="CY4" s="293"/>
      <x:c r="CZ4" s="293"/>
      <x:c r="DA4" s="292"/>
      <x:c r="DB4" s="292"/>
      <x:c r="DC4" s="292"/>
      <x:c r="DD4" s="292"/>
      <x:c r="DE4" s="292"/>
      <x:c r="DF4" s="292"/>
      <x:c r="DG4" s="292"/>
      <x:c r="DH4" s="292"/>
      <x:c r="DI4" s="292"/>
      <x:c r="DJ4" s="294"/>
      <x:c r="DK4" s="294"/>
      <x:c r="DL4" s="294"/>
      <x:c r="DM4" s="294"/>
      <x:c r="DN4" s="294"/>
      <x:c r="DO4" s="294"/>
      <x:c r="DP4" s="294"/>
      <x:c r="DQ4" s="287"/>
      <x:c r="DR4" s="287"/>
      <x:c r="DS4" s="287"/>
      <x:c r="DT4" s="287"/>
      <x:c r="DU4" s="287"/>
      <x:c r="DV4" s="287"/>
      <x:c r="DW4" s="287"/>
      <x:c r="DX4" s="287"/>
      <x:c r="DY4" s="287"/>
      <x:c r="DZ4" s="287"/>
      <x:c r="EA4" s="287"/>
      <x:c r="EB4" s="287"/>
      <x:c r="EC4" s="292"/>
      <x:c r="ED4" s="292"/>
      <x:c r="EE4" s="292"/>
      <x:c r="EF4" s="292"/>
      <x:c r="EG4" s="292"/>
      <x:c r="EH4" s="292"/>
      <x:c r="EI4" s="292"/>
      <x:c r="EJ4" s="292"/>
      <x:c r="EK4" s="292"/>
      <x:c r="EL4" s="294"/>
      <x:c r="EM4" s="287"/>
      <x:c r="EN4" s="1178"/>
      <x:c r="EO4" s="1176"/>
      <x:c r="EP4" s="1176"/>
      <x:c r="EQ4" s="287"/>
      <x:c r="ER4" s="287"/>
      <x:c r="ES4" s="287"/>
      <x:c r="ET4" s="287"/>
      <x:c r="EU4" s="1176"/>
      <x:c r="EW4" s="371" t="s">
        <x:v>475</x:v>
      </x:c>
      <x:c r="EX4" s="372">
        <x:v>1.125</x:v>
      </x:c>
      <x:c r="EY4" s="372">
        <x:f>'Job Info.'!N15/2</x:f>
        <x:v>1.5</x:v>
      </x:c>
      <x:c r="EZ4" s="373">
        <x:f>'Job Info.'!H15</x:f>
        <x:v>7.5</x:v>
      </x:c>
      <x:c r="FA4" s="374">
        <x:f>'Job Info.'!J15</x:f>
        <x:v>6</x:v>
      </x:c>
      <x:c r="FB4" s="374">
        <x:f>'Job Info.'!I15</x:f>
        <x:v>4</x:v>
      </x:c>
      <x:c r="FC4" s="374">
        <x:f>'Job Info.'!K15</x:f>
        <x:v>5</x:v>
      </x:c>
      <x:c r="FD4" s="375">
        <x:f>'Job Info.'!M15</x:f>
        <x:v>0.8125</x:v>
      </x:c>
      <x:c r="FE4" s="374">
        <x:f>'Job Info.'!L15</x:f>
        <x:v>1.5</x:v>
      </x:c>
      <x:c r="FF4" s="374">
        <x:f>'Job Info.'!O15</x:f>
        <x:v>5</x:v>
      </x:c>
      <x:c r="FG4" s="993">
        <x:v>0</x:v>
      </x:c>
      <x:c r="FH4" s="993">
        <x:v>7.125</x:v>
      </x:c>
      <x:c r="FI4" s="994">
        <x:v>17.125</x:v>
      </x:c>
      <x:c r="FJ4" s="296"/>
      <x:c r="FK4" s="296"/>
      <x:c r="FL4" s="296"/>
      <x:c r="FM4" s="296"/>
      <x:c r="FN4" s="296"/>
      <x:c r="FO4" s="296"/>
      <x:c r="FP4" s="296"/>
      <x:c r="FQ4" s="296"/>
      <x:c r="FR4" s="296"/>
      <x:c r="FS4" s="296"/>
      <x:c r="FT4" s="296"/>
      <x:c r="FU4" s="295"/>
      <x:c r="FV4" s="295"/>
      <x:c r="FW4" s="139"/>
      <x:c r="FX4" s="139"/>
      <x:c r="FY4" s="139"/>
      <x:c r="FZ4" s="295"/>
      <x:c r="GA4" s="288"/>
      <x:c r="GB4" s="288"/>
      <x:c r="GC4" s="288"/>
      <x:c r="GD4" s="288"/>
      <x:c r="GE4" s="288"/>
      <x:c r="GF4" s="288"/>
      <x:c r="GG4" s="288"/>
      <x:c r="GH4" s="288"/>
      <x:c r="GI4" s="288"/>
      <x:c r="GJ4" s="288"/>
      <x:c r="GK4" s="295"/>
      <x:c r="GL4" s="298"/>
      <x:c r="GM4" s="298"/>
      <x:c r="GN4" s="298"/>
      <x:c r="GO4" s="298"/>
      <x:c r="GZ4" s="298"/>
      <x:c r="HA4" s="2461" t="s">
        <x:v>637</x:v>
      </x:c>
      <x:c r="HB4" s="2580" t="s">
        <x:v>131</x:v>
      </x:c>
      <x:c r="HC4" s="2582" t="s">
        <x:v>515</x:v>
      </x:c>
      <x:c r="HD4" s="2584" t="s">
        <x:v>516</x:v>
      </x:c>
      <x:c r="HE4" s="2585"/>
      <x:c r="HF4" s="2578" t="s">
        <x:v>651</x:v>
      </x:c>
      <x:c r="HG4" s="2455" t="s">
        <x:v>635</x:v>
      </x:c>
      <x:c r="HH4" s="2456"/>
      <x:c r="HI4" s="2455" t="s">
        <x:v>636</x:v>
      </x:c>
      <x:c r="HJ4" s="2456"/>
      <x:c r="HK4" s="2459" t="s">
        <x:v>525</x:v>
      </x:c>
      <x:c r="HL4" s="2463" t="s">
        <x:v>652</x:v>
      </x:c>
      <x:c r="HM4" s="2578" t="s">
        <x:v>651</x:v>
      </x:c>
      <x:c r="HN4" s="2455" t="s">
        <x:v>635</x:v>
      </x:c>
      <x:c r="HO4" s="2456"/>
      <x:c r="HP4" s="2455" t="s">
        <x:v>636</x:v>
      </x:c>
      <x:c r="HQ4" s="2456"/>
      <x:c r="HR4" s="2459" t="s">
        <x:v>525</x:v>
      </x:c>
      <x:c r="HS4" s="2463" t="s">
        <x:v>652</x:v>
      </x:c>
      <x:c r="HT4" s="2641" t="s">
        <x:v>591</x:v>
      </x:c>
      <x:c r="HU4" s="2467" t="s">
        <x:v>517</x:v>
      </x:c>
      <x:c r="HV4" s="2468"/>
      <x:c r="HW4" s="2469" t="s">
        <x:v>1203</x:v>
      </x:c>
      <x:c r="HX4" s="2469" t="s">
        <x:v>518</x:v>
      </x:c>
      <x:c r="HY4" s="2635" t="s">
        <x:v>677</x:v>
      </x:c>
      <x:c r="HZ4" s="2637" t="s">
        <x:v>678</x:v>
      </x:c>
      <x:c r="IA4" s="2632" t="s">
        <x:v>847</x:v>
      </x:c>
      <x:c r="IB4" s="2632"/>
      <x:c r="IC4" s="2573" t="s">
        <x:v>1064</x:v>
      </x:c>
      <x:c r="ID4" s="2573"/>
      <x:c r="IE4" s="291"/>
      <x:c r="IF4" s="2356" t="s">
        <x:v>1108</x:v>
      </x:c>
      <x:c r="IG4" s="2358" t="s">
        <x:v>32</x:v>
      </x:c>
      <x:c r="IH4" s="2359"/>
      <x:c r="II4" s="2362" t="s">
        <x:v>34</x:v>
      </x:c>
      <x:c r="IJ4" s="2364" t="s">
        <x:v>526</x:v>
      </x:c>
      <x:c r="IK4" s="2365"/>
      <x:c r="IL4" s="2334" t="s">
        <x:v>640</x:v>
      </x:c>
      <x:c r="IM4" s="2334" t="s">
        <x:v>641</x:v>
      </x:c>
      <x:c r="IN4" s="2365" t="s">
        <x:v>642</x:v>
      </x:c>
      <x:c r="IO4" s="2365" t="s">
        <x:v>643</x:v>
      </x:c>
      <x:c r="IP4" s="2365" t="s">
        <x:v>644</x:v>
      </x:c>
      <x:c r="IQ4" s="2368" t="s">
        <x:v>645</x:v>
      </x:c>
      <x:c r="IR4" s="2369"/>
      <x:c r="IS4" s="2370" t="s">
        <x:v>638</x:v>
      </x:c>
      <x:c r="IT4" s="2371"/>
      <x:c r="IU4" s="2362" t="s">
        <x:v>649</x:v>
      </x:c>
      <x:c r="IV4" s="2372" t="s">
        <x:v>639</x:v>
      </x:c>
      <x:c r="IW4" s="2370" t="s">
        <x:v>638</x:v>
      </x:c>
      <x:c r="IX4" s="2371"/>
      <x:c r="IY4" s="2362" t="s">
        <x:v>649</x:v>
      </x:c>
      <x:c r="IZ4" s="2372" t="s">
        <x:v>639</x:v>
      </x:c>
      <x:c r="JA4" s="2370" t="s">
        <x:v>638</x:v>
      </x:c>
      <x:c r="JB4" s="2371"/>
      <x:c r="JC4" s="2362" t="s">
        <x:v>649</x:v>
      </x:c>
      <x:c r="JD4" s="2372" t="s">
        <x:v>639</x:v>
      </x:c>
      <x:c r="JE4" s="2370" t="s">
        <x:v>638</x:v>
      </x:c>
      <x:c r="JF4" s="2371"/>
      <x:c r="JG4" s="2362" t="s">
        <x:v>649</x:v>
      </x:c>
      <x:c r="JH4" s="2332" t="s">
        <x:v>639</x:v>
      </x:c>
      <x:c r="JK4" s="2332" t="s">
        <x:v>1208</x:v>
      </x:c>
    </x:row>
    <x:row r="5" spans="1:276" s="289" customFormat="1" ht="12.95" customHeight="1" thickTop="1" thickBot="1" x14ac:dyDescent="0.25">
      <x:c r="A5" s="2426" t="str">
        <x:f ca="1">'Job Info.'!D11</x:f>
        <x:v>8200 Woolery Way | Fallon, NV 89406 | www.newmill.com</x:v>
      </x:c>
      <x:c r="B5" s="2427"/>
      <x:c r="C5" s="2427"/>
      <x:c r="D5" s="2427"/>
      <x:c r="E5" s="2427"/>
      <x:c r="F5" s="2427"/>
      <x:c r="G5" s="2427"/>
      <x:c r="H5" s="2427"/>
      <x:c r="I5" s="2427"/>
      <x:c r="J5" s="2427"/>
      <x:c r="K5" s="2427"/>
      <x:c r="L5" s="2427"/>
      <x:c r="M5" s="444"/>
      <x:c r="N5" s="444"/>
      <x:c r="O5" s="444"/>
      <x:c r="P5" s="444"/>
      <x:c r="Q5" s="444"/>
      <x:c r="R5" s="444"/>
      <x:c r="S5" s="444"/>
      <x:c r="T5" s="444"/>
      <x:c r="U5" s="444"/>
      <x:c r="V5" s="444"/>
      <x:c r="W5" s="444"/>
      <x:c r="X5" s="444"/>
      <x:c r="Y5" s="1399"/>
      <x:c r="Z5" s="1399"/>
      <x:c r="AA5" s="444"/>
      <x:c r="AB5" s="2450" t="str">
        <x:f ca="1">'Job Info.'!D11</x:f>
        <x:v>8200 Woolery Way | Fallon, NV 89406 | www.newmill.com</x:v>
      </x:c>
      <x:c r="AC5" s="2450"/>
      <x:c r="AD5" s="2450"/>
      <x:c r="AE5" s="2450"/>
      <x:c r="AF5" s="2450"/>
      <x:c r="AG5" s="2450"/>
      <x:c r="AH5" s="2450"/>
      <x:c r="AI5" s="2450"/>
      <x:c r="AJ5" s="2450"/>
      <x:c r="AK5" s="2450"/>
      <x:c r="AL5" s="2450"/>
      <x:c r="AM5" s="2450"/>
      <x:c r="AN5" s="2450"/>
      <x:c r="AO5" s="2450"/>
      <x:c r="AP5" s="2450"/>
      <x:c r="AQ5" s="2450"/>
      <x:c r="AR5" s="444"/>
      <x:c r="AS5" s="444"/>
      <x:c r="AT5" s="444"/>
      <x:c r="AU5" s="444"/>
      <x:c r="AV5" s="444"/>
      <x:c r="AW5" s="444"/>
      <x:c r="AX5" s="444"/>
      <x:c r="AY5" s="444"/>
      <x:c r="AZ5" s="444"/>
      <x:c r="BA5" s="444"/>
      <x:c r="BB5" s="444"/>
      <x:c r="BC5" s="444"/>
      <x:c r="BD5" s="444"/>
      <x:c r="BE5" s="444"/>
      <x:c r="BF5" s="444"/>
      <x:c r="BG5" s="444"/>
      <x:c r="BH5" s="321"/>
      <x:c r="CA5" s="302"/>
      <x:c r="CB5" s="292"/>
      <x:c r="CC5" s="292"/>
      <x:c r="CD5" s="292"/>
      <x:c r="CE5" s="292"/>
      <x:c r="CF5" s="292"/>
      <x:c r="CG5" s="292"/>
      <x:c r="CH5" s="292"/>
      <x:c r="CI5" s="292"/>
      <x:c r="CJ5" s="292"/>
      <x:c r="CK5" s="292"/>
      <x:c r="CL5" s="306"/>
      <x:c r="CM5" s="292"/>
      <x:c r="CN5" s="292"/>
      <x:c r="CO5" s="293"/>
      <x:c r="CP5" s="293"/>
      <x:c r="CQ5" s="293"/>
      <x:c r="CR5" s="293"/>
      <x:c r="CS5" s="293"/>
      <x:c r="CT5" s="293"/>
      <x:c r="CU5" s="293"/>
      <x:c r="CV5" s="293"/>
      <x:c r="CW5" s="293"/>
      <x:c r="CX5" s="287"/>
      <x:c r="CY5" s="293"/>
      <x:c r="CZ5" s="293"/>
      <x:c r="DA5" s="292"/>
      <x:c r="DB5" s="292"/>
      <x:c r="DC5" s="292"/>
      <x:c r="DD5" s="292"/>
      <x:c r="DE5" s="292"/>
      <x:c r="DF5" s="292"/>
      <x:c r="DG5" s="292"/>
      <x:c r="DH5" s="292"/>
      <x:c r="DI5" s="292"/>
      <x:c r="DJ5" s="294"/>
      <x:c r="DK5" s="294"/>
      <x:c r="DL5" s="294"/>
      <x:c r="DM5" s="294"/>
      <x:c r="DN5" s="294"/>
      <x:c r="DO5" s="294"/>
      <x:c r="DP5" s="294"/>
      <x:c r="DQ5" s="287"/>
      <x:c r="DR5" s="287"/>
      <x:c r="DS5" s="287"/>
      <x:c r="DT5" s="287"/>
      <x:c r="DU5" s="287"/>
      <x:c r="DV5" s="287"/>
      <x:c r="DW5" s="287"/>
      <x:c r="DX5" s="287"/>
      <x:c r="DY5" s="287"/>
      <x:c r="DZ5" s="287"/>
      <x:c r="EA5" s="287"/>
      <x:c r="EB5" s="287"/>
      <x:c r="EC5" s="292"/>
      <x:c r="ED5" s="292"/>
      <x:c r="EE5" s="292"/>
      <x:c r="EF5" s="292"/>
      <x:c r="EG5" s="292"/>
      <x:c r="EH5" s="292"/>
      <x:c r="EI5" s="292"/>
      <x:c r="EJ5" s="292"/>
      <x:c r="EK5" s="292"/>
      <x:c r="EL5" s="294"/>
      <x:c r="EM5" s="287"/>
      <x:c r="EN5" s="1178"/>
      <x:c r="EO5" s="1176"/>
      <x:c r="EP5" s="1176"/>
      <x:c r="EQ5" s="1176"/>
      <x:c r="ER5" s="1179"/>
      <x:c r="ES5" s="1179"/>
      <x:c r="ET5" s="1179"/>
      <x:c r="EU5" s="1179"/>
      <x:c r="EW5" s="1291" t="s">
        <x:v>1177</x:v>
      </x:c>
      <x:c r="EX5" s="1292">
        <x:f ca="1">OFFSET('Job Info.'!AI3,'Job Info.'!P34,1)</x:f>
        <x:v>1.1499999999999999</x:v>
      </x:c>
      <x:c r="EY5" s="377"/>
      <x:c r="EZ5" s="377"/>
      <x:c r="FA5" s="360"/>
      <x:c r="FB5" s="359"/>
      <x:c r="FC5" s="359"/>
      <x:c r="FD5" s="360"/>
      <x:c r="FE5" s="360"/>
      <x:c r="FF5" s="360"/>
      <x:c r="FG5" s="995">
        <x:v>4.5</x:v>
      </x:c>
      <x:c r="FH5" s="995">
        <x:v>5</x:v>
      </x:c>
      <x:c r="FI5" s="996">
        <x:v>6</x:v>
      </x:c>
      <x:c r="FJ5" s="296"/>
      <x:c r="FK5" s="296"/>
      <x:c r="FL5" s="298"/>
      <x:c r="FM5" s="308"/>
      <x:c r="FN5" s="308"/>
      <x:c r="FO5" s="308"/>
      <x:c r="FP5" s="309"/>
      <x:c r="FQ5" s="310"/>
      <x:c r="FR5" s="308"/>
      <x:c r="FS5" s="308"/>
      <x:c r="FT5" s="308"/>
      <x:c r="FU5" s="295"/>
      <x:c r="FV5" s="295"/>
      <x:c r="FW5" s="139"/>
      <x:c r="FX5" s="139"/>
      <x:c r="FY5" s="139"/>
      <x:c r="FZ5" s="295"/>
      <x:c r="GA5" s="288"/>
      <x:c r="GB5" s="288"/>
      <x:c r="GC5" s="288"/>
      <x:c r="GD5" s="288"/>
      <x:c r="GE5" s="288"/>
      <x:c r="GF5" s="288"/>
      <x:c r="GG5" s="288"/>
      <x:c r="GH5" s="288"/>
      <x:c r="GI5" s="288"/>
      <x:c r="GJ5" s="288"/>
      <x:c r="GK5" s="295"/>
      <x:c r="GL5" s="298"/>
      <x:c r="GM5" s="298"/>
      <x:c r="GN5" s="298"/>
      <x:c r="GO5" s="298"/>
      <x:c r="GZ5" s="298"/>
      <x:c r="HA5" s="2462"/>
      <x:c r="HB5" s="2581"/>
      <x:c r="HC5" s="2583"/>
      <x:c r="HD5" s="2586"/>
      <x:c r="HE5" s="2587"/>
      <x:c r="HF5" s="2579"/>
      <x:c r="HG5" s="2457"/>
      <x:c r="HH5" s="2458"/>
      <x:c r="HI5" s="2457"/>
      <x:c r="HJ5" s="2458"/>
      <x:c r="HK5" s="2460"/>
      <x:c r="HL5" s="2464"/>
      <x:c r="HM5" s="2579"/>
      <x:c r="HN5" s="2457"/>
      <x:c r="HO5" s="2458"/>
      <x:c r="HP5" s="2457"/>
      <x:c r="HQ5" s="2458"/>
      <x:c r="HR5" s="2460"/>
      <x:c r="HS5" s="2464"/>
      <x:c r="HT5" s="2587"/>
      <x:c r="HU5" s="159" t="s">
        <x:v>455</x:v>
      </x:c>
      <x:c r="HV5" s="160" t="s">
        <x:v>592</x:v>
      </x:c>
      <x:c r="HW5" s="2470"/>
      <x:c r="HX5" s="2470"/>
      <x:c r="HY5" s="2636"/>
      <x:c r="HZ5" s="2638"/>
      <x:c r="IA5" s="1041" t="s">
        <x:v>646</x:v>
      </x:c>
      <x:c r="IB5" s="1042" t="s">
        <x:v>647</x:v>
      </x:c>
      <x:c r="IC5" s="594" t="s">
        <x:v>646</x:v>
      </x:c>
      <x:c r="ID5" s="595" t="s">
        <x:v>647</x:v>
      </x:c>
      <x:c r="IE5" s="291"/>
      <x:c r="IF5" s="2357"/>
      <x:c r="IG5" s="2360"/>
      <x:c r="IH5" s="2361"/>
      <x:c r="II5" s="2363"/>
      <x:c r="IJ5" s="2366"/>
      <x:c r="IK5" s="2367"/>
      <x:c r="IL5" s="2335"/>
      <x:c r="IM5" s="2335"/>
      <x:c r="IN5" s="2367"/>
      <x:c r="IO5" s="2367"/>
      <x:c r="IP5" s="2367"/>
      <x:c r="IQ5" s="634" t="s">
        <x:v>646</x:v>
      </x:c>
      <x:c r="IR5" s="635" t="s">
        <x:v>647</x:v>
      </x:c>
      <x:c r="IS5" s="669" t="s">
        <x:v>674</x:v>
      </x:c>
      <x:c r="IT5" s="670" t="s">
        <x:v>648</x:v>
      </x:c>
      <x:c r="IU5" s="2363"/>
      <x:c r="IV5" s="2364"/>
      <x:c r="IW5" s="669" t="s">
        <x:v>674</x:v>
      </x:c>
      <x:c r="IX5" s="670" t="s">
        <x:v>648</x:v>
      </x:c>
      <x:c r="IY5" s="2363"/>
      <x:c r="IZ5" s="2364"/>
      <x:c r="JA5" s="669" t="s">
        <x:v>674</x:v>
      </x:c>
      <x:c r="JB5" s="670" t="s">
        <x:v>648</x:v>
      </x:c>
      <x:c r="JC5" s="2363"/>
      <x:c r="JD5" s="2364"/>
      <x:c r="JE5" s="669" t="s">
        <x:v>674</x:v>
      </x:c>
      <x:c r="JF5" s="670" t="s">
        <x:v>648</x:v>
      </x:c>
      <x:c r="JG5" s="2363"/>
      <x:c r="JH5" s="2333"/>
      <x:c r="JK5" s="2333"/>
    </x:row>
    <x:row r="6" spans="1:276" s="289" customFormat="1" ht="12.95" customHeight="1" thickTop="1" x14ac:dyDescent="0.2">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837"/>
      <x:c r="V6" s="2423" t="s">
        <x:v>20</x:v>
      </x:c>
      <x:c r="W6" s="2423"/>
      <x:c r="X6" s="2300">
        <x:f>IF(ISBLANK('Job Info.'!D8),"",'Job Info.'!D8)</x:f>
        <x:v>43406</x:v>
      </x:c>
      <x:c r="Y6" s="2300"/>
      <x:c r="Z6" s="1399"/>
      <x:c r="AA6" s="444"/>
      <x:c r="AB6" s="444"/>
      <x:c r="AC6" s="444"/>
      <x:c r="AD6" s="444"/>
      <x:c r="AE6" s="444"/>
      <x:c r="AF6" s="444"/>
      <x:c r="AG6" s="444"/>
      <x:c r="AH6" s="444"/>
      <x:c r="AI6" s="444"/>
      <x:c r="AJ6" s="444"/>
      <x:c r="AK6" s="444"/>
      <x:c r="AL6" s="444"/>
      <x:c r="AM6" s="444"/>
      <x:c r="AN6" s="444"/>
      <x:c r="AO6" s="444"/>
      <x:c r="AP6" s="444"/>
      <x:c r="AQ6" s="444"/>
      <x:c r="AR6" s="444"/>
      <x:c r="AS6" s="444"/>
      <x:c r="AT6" s="444"/>
      <x:c r="AU6" s="444"/>
      <x:c r="AV6" s="444"/>
      <x:c r="AW6" s="444"/>
      <x:c r="AX6" s="444"/>
      <x:c r="AY6" s="444"/>
      <x:c r="AZ6" s="2424" t="s">
        <x:v>20</x:v>
      </x:c>
      <x:c r="BA6" s="2424"/>
      <x:c r="BB6" s="2300">
        <x:f>X6</x:f>
        <x:v>43406</x:v>
      </x:c>
      <x:c r="BC6" s="2300"/>
      <x:c r="BD6" s="2300"/>
      <x:c r="BE6" s="1400"/>
      <x:c r="BF6" s="444"/>
      <x:c r="BG6" s="444"/>
      <x:c r="BH6" s="321"/>
      <x:c r="BI6" s="1392" t="s">
        <x:v>1180</x:v>
      </x:c>
      <x:c r="CA6" s="302"/>
      <x:c r="CB6" s="292"/>
      <x:c r="CC6" s="292"/>
      <x:c r="CD6" s="292"/>
      <x:c r="CE6" s="292"/>
      <x:c r="CF6" s="292"/>
      <x:c r="CG6" s="292"/>
      <x:c r="CH6" s="292"/>
      <x:c r="CI6" s="292"/>
      <x:c r="CJ6" s="292"/>
      <x:c r="CK6" s="292"/>
      <x:c r="CL6" s="292"/>
      <x:c r="CM6" s="292"/>
      <x:c r="CN6" s="292"/>
      <x:c r="CO6" s="292"/>
      <x:c r="CP6" s="292"/>
      <x:c r="CQ6" s="292"/>
      <x:c r="CR6" s="292"/>
      <x:c r="CS6" s="292"/>
      <x:c r="CT6" s="292"/>
      <x:c r="CU6" s="292"/>
      <x:c r="CV6" s="292"/>
      <x:c r="CW6" s="292"/>
      <x:c r="CX6" s="287"/>
      <x:c r="CY6" s="292"/>
      <x:c r="CZ6" s="292"/>
      <x:c r="DA6" s="292"/>
      <x:c r="DB6" s="292"/>
      <x:c r="DC6" s="292"/>
      <x:c r="DD6" s="292"/>
      <x:c r="DE6" s="292"/>
      <x:c r="DF6" s="292"/>
      <x:c r="DG6" s="292"/>
      <x:c r="DH6" s="2477" t="s">
        <x:v>680</x:v>
      </x:c>
      <x:c r="DI6" s="2588"/>
      <x:c r="DJ6" s="2588"/>
      <x:c r="DK6" s="2588"/>
      <x:c r="DL6" s="2588"/>
      <x:c r="DM6" s="2588"/>
      <x:c r="DN6" s="2588"/>
      <x:c r="DO6" s="2588"/>
      <x:c r="DP6" s="2588"/>
      <x:c r="DQ6" s="2588"/>
      <x:c r="DR6" s="2588"/>
      <x:c r="DS6" s="2588"/>
      <x:c r="DT6" s="2588"/>
      <x:c r="DU6" s="2588"/>
      <x:c r="DV6" s="2588"/>
      <x:c r="DW6" s="2588"/>
      <x:c r="DX6" s="2588"/>
      <x:c r="DY6" s="2588"/>
      <x:c r="DZ6" s="2588"/>
      <x:c r="EA6" s="2588"/>
      <x:c r="EB6" s="2588"/>
      <x:c r="EC6" s="2588"/>
      <x:c r="ED6" s="2588"/>
      <x:c r="EE6" s="2588"/>
      <x:c r="EF6" s="2588"/>
      <x:c r="EG6" s="2588"/>
      <x:c r="EH6" s="2588"/>
      <x:c r="EI6" s="2588"/>
      <x:c r="EJ6" s="2588"/>
      <x:c r="EK6" s="2589"/>
      <x:c r="EL6" s="294"/>
      <x:c r="EM6" s="294"/>
      <x:c r="EN6" s="294"/>
      <x:c r="EO6" s="1179"/>
      <x:c r="EP6" s="1179"/>
      <x:c r="EQ6" s="1179"/>
      <x:c r="ER6" s="1179"/>
      <x:c r="ES6" s="1179"/>
      <x:c r="ET6" s="1180"/>
      <x:c r="EU6" s="1176"/>
      <x:c r="EV6" s="359"/>
      <x:c r="EW6" s="359"/>
      <x:c r="EX6" s="360"/>
      <x:c r="EY6" s="360"/>
      <x:c r="EZ6" s="360"/>
      <x:c r="FA6" s="360"/>
      <x:c r="FB6" s="360"/>
      <x:c r="FC6" s="360"/>
      <x:c r="FD6" s="378"/>
      <x:c r="FE6" s="296"/>
      <x:c r="FF6" s="296"/>
      <x:c r="FG6" s="296"/>
      <x:c r="FH6" s="296"/>
      <x:c r="FI6" s="296"/>
      <x:c r="FJ6" s="296"/>
      <x:c r="FK6" s="296"/>
      <x:c r="FL6" s="311"/>
      <x:c r="FM6" s="308"/>
      <x:c r="FN6" s="308"/>
      <x:c r="FO6" s="308"/>
      <x:c r="FP6" s="309"/>
      <x:c r="FQ6" s="310"/>
      <x:c r="FR6" s="308"/>
      <x:c r="FS6" s="308"/>
      <x:c r="FT6" s="308"/>
      <x:c r="FU6" s="295"/>
      <x:c r="FV6" s="295"/>
      <x:c r="FW6" s="139"/>
      <x:c r="FX6" s="139"/>
      <x:c r="FY6" s="139"/>
      <x:c r="FZ6" s="295"/>
      <x:c r="GA6" s="288"/>
      <x:c r="GB6" s="288"/>
      <x:c r="GC6" s="288"/>
      <x:c r="GD6" s="288"/>
      <x:c r="GE6" s="288"/>
      <x:c r="GF6" s="288"/>
      <x:c r="GG6" s="288"/>
      <x:c r="GH6" s="288"/>
      <x:c r="GI6" s="288"/>
      <x:c r="GJ6" s="288"/>
      <x:c r="GK6" s="295"/>
      <x:c r="GL6" s="298"/>
      <x:c r="GM6" s="298"/>
      <x:c r="GN6" s="298"/>
      <x:c r="GO6" s="298"/>
      <x:c r="GZ6" s="298"/>
      <x:c r="ID6" s="1162" t="s">
        <x:v>1205</x:v>
      </x:c>
      <x:c r="IE6" s="315">
        <x:v>112</x:v>
      </x:c>
      <x:c r="IF6" s="315">
        <x:v>113</x:v>
      </x:c>
      <x:c r="IG6" s="315">
        <x:f t="shared" ref="IG6:JH7" si="0">IF6+1</x:f>
        <x:v>114</x:v>
      </x:c>
      <x:c r="IH6" s="315">
        <x:f t="shared" si="0"/>
        <x:v>115</x:v>
      </x:c>
      <x:c r="II6" s="315">
        <x:f t="shared" si="0"/>
        <x:v>116</x:v>
      </x:c>
      <x:c r="IJ6" s="315">
        <x:f t="shared" si="0"/>
        <x:v>117</x:v>
      </x:c>
      <x:c r="IK6" s="315">
        <x:f t="shared" si="0"/>
        <x:v>118</x:v>
      </x:c>
      <x:c r="IL6" s="315">
        <x:f t="shared" si="0"/>
        <x:v>119</x:v>
      </x:c>
      <x:c r="IM6" s="315">
        <x:f t="shared" si="0"/>
        <x:v>120</x:v>
      </x:c>
      <x:c r="IN6" s="315">
        <x:f t="shared" si="0"/>
        <x:v>121</x:v>
      </x:c>
      <x:c r="IO6" s="315">
        <x:f t="shared" si="0"/>
        <x:v>122</x:v>
      </x:c>
      <x:c r="IP6" s="315">
        <x:f t="shared" si="0"/>
        <x:v>123</x:v>
      </x:c>
      <x:c r="IQ6" s="315">
        <x:f t="shared" si="0"/>
        <x:v>124</x:v>
      </x:c>
      <x:c r="IR6" s="315">
        <x:f t="shared" si="0"/>
        <x:v>125</x:v>
      </x:c>
      <x:c r="IS6" s="315">
        <x:f t="shared" si="0"/>
        <x:v>126</x:v>
      </x:c>
      <x:c r="IT6" s="315">
        <x:f t="shared" si="0"/>
        <x:v>127</x:v>
      </x:c>
      <x:c r="IU6" s="315">
        <x:f t="shared" si="0"/>
        <x:v>128</x:v>
      </x:c>
      <x:c r="IV6" s="315">
        <x:f t="shared" si="0"/>
        <x:v>129</x:v>
      </x:c>
      <x:c r="IW6" s="315">
        <x:f t="shared" si="0"/>
        <x:v>130</x:v>
      </x:c>
      <x:c r="IX6" s="315">
        <x:f t="shared" si="0"/>
        <x:v>131</x:v>
      </x:c>
      <x:c r="IY6" s="315">
        <x:f t="shared" si="0"/>
        <x:v>132</x:v>
      </x:c>
      <x:c r="IZ6" s="315">
        <x:f t="shared" si="0"/>
        <x:v>133</x:v>
      </x:c>
      <x:c r="JA6" s="315">
        <x:f t="shared" si="0"/>
        <x:v>134</x:v>
      </x:c>
      <x:c r="JB6" s="315">
        <x:f t="shared" si="0"/>
        <x:v>135</x:v>
      </x:c>
      <x:c r="JC6" s="315">
        <x:f t="shared" si="0"/>
        <x:v>136</x:v>
      </x:c>
      <x:c r="JD6" s="315">
        <x:f t="shared" si="0"/>
        <x:v>137</x:v>
      </x:c>
      <x:c r="JE6" s="315">
        <x:f t="shared" si="0"/>
        <x:v>138</x:v>
      </x:c>
      <x:c r="JF6" s="315">
        <x:f t="shared" si="0"/>
        <x:v>139</x:v>
      </x:c>
      <x:c r="JG6" s="315">
        <x:f t="shared" si="0"/>
        <x:v>140</x:v>
      </x:c>
      <x:c r="JH6" s="315">
        <x:f t="shared" si="0"/>
        <x:v>141</x:v>
      </x:c>
      <x:c r="JI6" s="315"/>
      <x:c r="JJ6" s="315"/>
      <x:c r="JK6" s="315"/>
    </x:row>
    <x:row r="7" spans="1:276" s="139" customFormat="1" ht="12.95" customHeight="1" x14ac:dyDescent="0.2">
      <x:c r="A7" s="1401" t="s">
        <x:v>37</x:v>
      </x:c>
      <x:c r="B7" s="473"/>
      <x:c r="C7" s="473"/>
      <x:c r="D7" s="444"/>
      <x:c r="E7" s="444"/>
      <x:c r="F7" s="473"/>
      <x:c r="G7" s="473"/>
      <x:c r="H7" s="473"/>
      <x:c r="I7" s="473"/>
      <x:c r="J7" s="473"/>
      <x:c r="K7" s="2424" t="s">
        <x:v>26</x:v>
      </x:c>
      <x:c r="L7" s="2425"/>
      <x:c r="M7" s="2429" t="s">
        <x:v>1951</x:v>
      </x:c>
      <x:c r="N7" s="2430"/>
      <x:c r="O7" s="2430"/>
      <x:c r="P7" s="2430"/>
      <x:c r="Q7" s="2430"/>
      <x:c r="R7" s="2430"/>
      <x:c r="S7" s="2430"/>
      <x:c r="T7" s="1837"/>
      <x:c r="U7" s="1837"/>
      <x:c r="V7" s="2423" t="s">
        <x:v>21</x:v>
      </x:c>
      <x:c r="W7" s="2423"/>
      <x:c r="X7" s="2213" t="str">
        <x:f>CONCATENATE(BI7, " of ",IF(ISBLANK('Job Info.'!D9),"",'Job Info.'!D9))</x:f>
        <x:v>24 of 42</x:v>
      </x:c>
      <x:c r="Y7" s="822"/>
      <x:c r="Z7" s="1399"/>
      <x:c r="AA7" s="444"/>
      <x:c r="AB7" s="1401" t="s">
        <x:v>38</x:v>
      </x:c>
      <x:c r="AC7" s="444"/>
      <x:c r="AD7" s="444"/>
      <x:c r="AE7" s="473"/>
      <x:c r="AF7" s="473"/>
      <x:c r="AG7" s="473"/>
      <x:c r="AH7" s="473"/>
      <x:c r="AI7" s="473"/>
      <x:c r="AJ7" s="473"/>
      <x:c r="AK7" s="473"/>
      <x:c r="AL7" s="473"/>
      <x:c r="AM7" s="444"/>
      <x:c r="AN7" s="444"/>
      <x:c r="AO7" s="444"/>
      <x:c r="AP7" s="473"/>
      <x:c r="AQ7" s="473"/>
      <x:c r="AR7" s="444"/>
      <x:c r="AS7" s="444"/>
      <x:c r="AT7" s="444"/>
      <x:c r="AU7" s="444"/>
      <x:c r="AV7" s="444"/>
      <x:c r="AW7" s="444"/>
      <x:c r="AX7" s="444"/>
      <x:c r="AY7" s="444"/>
      <x:c r="AZ7" s="2423" t="s">
        <x:v>21</x:v>
      </x:c>
      <x:c r="BA7" s="2423"/>
      <x:c r="BB7" s="1419" t="str">
        <x:f>CONCATENATE(IF(ISBLANK(BI7),"",BI7+1), " of ",IF(ISBLANK('Job Info.'!D9),"",'Job Info.'!D9))</x:f>
        <x:v>25 of 42</x:v>
      </x:c>
      <x:c r="BC7" s="822"/>
      <x:c r="BD7" s="822"/>
      <x:c r="BE7" s="444"/>
      <x:c r="BF7" s="444"/>
      <x:c r="BG7" s="444"/>
      <x:c r="BH7" s="322"/>
      <x:c r="BI7" s="1393">
        <x:v>24</x:v>
      </x:c>
      <x:c r="CA7" s="302"/>
      <x:c r="CB7" s="292"/>
      <x:c r="CC7" s="292"/>
      <x:c r="CD7" s="292"/>
      <x:c r="CE7" s="292"/>
      <x:c r="CF7" s="292"/>
      <x:c r="CG7" s="292"/>
      <x:c r="CH7" s="292"/>
      <x:c r="CI7" s="292"/>
      <x:c r="CJ7" s="292"/>
      <x:c r="CK7" s="292"/>
      <x:c r="CL7" s="292"/>
      <x:c r="CM7" s="292"/>
      <x:c r="CN7" s="292"/>
      <x:c r="CO7" s="292"/>
      <x:c r="CP7" s="292"/>
      <x:c r="CQ7" s="292"/>
      <x:c r="CR7" s="292"/>
      <x:c r="CS7" s="292"/>
      <x:c r="CT7" s="292"/>
      <x:c r="CU7" s="292"/>
      <x:c r="CV7" s="292"/>
      <x:c r="CW7" s="292"/>
      <x:c r="CX7" s="288"/>
      <x:c r="CY7" s="292"/>
      <x:c r="CZ7" s="292"/>
      <x:c r="DA7" s="292"/>
      <x:c r="DB7" s="292"/>
      <x:c r="DC7" s="292"/>
      <x:c r="DD7" s="292"/>
      <x:c r="DE7" s="292"/>
      <x:c r="DF7" s="292"/>
      <x:c r="DG7" s="292"/>
      <x:c r="DH7" s="2590"/>
      <x:c r="DI7" s="2591"/>
      <x:c r="DJ7" s="2591"/>
      <x:c r="DK7" s="2591"/>
      <x:c r="DL7" s="2591"/>
      <x:c r="DM7" s="2591"/>
      <x:c r="DN7" s="2591"/>
      <x:c r="DO7" s="2591"/>
      <x:c r="DP7" s="2591"/>
      <x:c r="DQ7" s="2591"/>
      <x:c r="DR7" s="2591"/>
      <x:c r="DS7" s="2591"/>
      <x:c r="DT7" s="2591"/>
      <x:c r="DU7" s="2591"/>
      <x:c r="DV7" s="2591"/>
      <x:c r="DW7" s="2591"/>
      <x:c r="DX7" s="2591"/>
      <x:c r="DY7" s="2591"/>
      <x:c r="DZ7" s="2591"/>
      <x:c r="EA7" s="2591"/>
      <x:c r="EB7" s="2591"/>
      <x:c r="EC7" s="2591"/>
      <x:c r="ED7" s="2591"/>
      <x:c r="EE7" s="2591"/>
      <x:c r="EF7" s="2591"/>
      <x:c r="EG7" s="2591"/>
      <x:c r="EH7" s="2591"/>
      <x:c r="EI7" s="2591"/>
      <x:c r="EJ7" s="2591"/>
      <x:c r="EK7" s="2592"/>
      <x:c r="EL7" s="292"/>
      <x:c r="EM7" s="292"/>
      <x:c r="EN7" s="294"/>
      <x:c r="EO7" s="1180"/>
      <x:c r="EP7" s="1179"/>
      <x:c r="EQ7" s="1179"/>
      <x:c r="ER7" s="1179"/>
      <x:c r="ES7" s="1180"/>
      <x:c r="ET7" s="1180"/>
      <x:c r="EU7" s="1180"/>
      <x:c r="EV7" s="360"/>
      <x:c r="EW7" s="360"/>
      <x:c r="EX7" s="360"/>
      <x:c r="EY7" s="360"/>
      <x:c r="EZ7" s="360"/>
      <x:c r="FA7" s="360"/>
      <x:c r="FB7" s="360"/>
      <x:c r="FC7" s="360"/>
      <x:c r="FD7" s="378"/>
      <x:c r="FE7" s="296"/>
      <x:c r="FF7" s="296"/>
      <x:c r="FG7" s="296"/>
      <x:c r="FH7" s="296"/>
      <x:c r="FI7" s="296"/>
      <x:c r="FJ7" s="296"/>
      <x:c r="FK7" s="296"/>
      <x:c r="FL7" s="311"/>
      <x:c r="FM7" s="308"/>
      <x:c r="FN7" s="308"/>
      <x:c r="FO7" s="308"/>
      <x:c r="FP7" s="309"/>
      <x:c r="FQ7" s="310"/>
      <x:c r="FR7" s="308"/>
      <x:c r="FS7" s="308"/>
      <x:c r="FT7" s="308"/>
      <x:c r="FU7" s="295"/>
      <x:c r="FV7" s="295"/>
      <x:c r="FZ7" s="295"/>
      <x:c r="GA7" s="288"/>
      <x:c r="GB7" s="288"/>
      <x:c r="GC7" s="288"/>
      <x:c r="GD7" s="288"/>
      <x:c r="GE7" s="288"/>
      <x:c r="GF7" s="288"/>
      <x:c r="GG7" s="288"/>
      <x:c r="GH7" s="288"/>
      <x:c r="GI7" s="288"/>
      <x:c r="GJ7" s="288"/>
      <x:c r="GK7" s="295"/>
      <x:c r="GL7" s="298"/>
      <x:c r="GM7" s="298"/>
      <x:c r="GN7" s="298"/>
      <x:c r="GO7" s="298"/>
      <x:c r="GZ7" s="298"/>
      <x:c r="ID7" s="1162" t="s">
        <x:v>1181</x:v>
      </x:c>
      <x:c r="IE7" s="1519">
        <x:v>28</x:v>
      </x:c>
      <x:c r="IF7" s="315">
        <x:v>29</x:v>
      </x:c>
      <x:c r="IG7" s="315">
        <x:f t="shared" si="0"/>
        <x:v>30</x:v>
      </x:c>
      <x:c r="IH7" s="315">
        <x:f t="shared" si="0"/>
        <x:v>31</x:v>
      </x:c>
      <x:c r="II7" s="315">
        <x:f t="shared" si="0"/>
        <x:v>32</x:v>
      </x:c>
      <x:c r="IJ7" s="315">
        <x:f t="shared" si="0"/>
        <x:v>33</x:v>
      </x:c>
      <x:c r="IK7" s="315">
        <x:f t="shared" si="0"/>
        <x:v>34</x:v>
      </x:c>
      <x:c r="IL7" s="315">
        <x:f t="shared" si="0"/>
        <x:v>35</x:v>
      </x:c>
      <x:c r="IM7" s="315">
        <x:f t="shared" si="0"/>
        <x:v>36</x:v>
      </x:c>
      <x:c r="IN7" s="315">
        <x:f t="shared" si="0"/>
        <x:v>37</x:v>
      </x:c>
      <x:c r="IO7" s="315">
        <x:f t="shared" si="0"/>
        <x:v>38</x:v>
      </x:c>
      <x:c r="IP7" s="315">
        <x:f t="shared" si="0"/>
        <x:v>39</x:v>
      </x:c>
      <x:c r="IQ7" s="315">
        <x:f t="shared" si="0"/>
        <x:v>40</x:v>
      </x:c>
      <x:c r="IR7" s="315">
        <x:f t="shared" si="0"/>
        <x:v>41</x:v>
      </x:c>
      <x:c r="IS7" s="315">
        <x:f t="shared" si="0"/>
        <x:v>42</x:v>
      </x:c>
      <x:c r="IT7" s="315">
        <x:f t="shared" si="0"/>
        <x:v>43</x:v>
      </x:c>
      <x:c r="IU7" s="315">
        <x:f t="shared" si="0"/>
        <x:v>44</x:v>
      </x:c>
      <x:c r="IV7" s="315">
        <x:f t="shared" si="0"/>
        <x:v>45</x:v>
      </x:c>
      <x:c r="IW7" s="315">
        <x:f t="shared" si="0"/>
        <x:v>46</x:v>
      </x:c>
      <x:c r="IX7" s="315">
        <x:f t="shared" si="0"/>
        <x:v>47</x:v>
      </x:c>
      <x:c r="IY7" s="315">
        <x:f t="shared" si="0"/>
        <x:v>48</x:v>
      </x:c>
      <x:c r="IZ7" s="315">
        <x:f t="shared" si="0"/>
        <x:v>49</x:v>
      </x:c>
      <x:c r="JA7" s="315">
        <x:f t="shared" si="0"/>
        <x:v>50</x:v>
      </x:c>
      <x:c r="JB7" s="315">
        <x:f t="shared" si="0"/>
        <x:v>51</x:v>
      </x:c>
      <x:c r="JC7" s="315">
        <x:f t="shared" si="0"/>
        <x:v>52</x:v>
      </x:c>
      <x:c r="JD7" s="315">
        <x:f t="shared" si="0"/>
        <x:v>53</x:v>
      </x:c>
      <x:c r="JE7" s="315">
        <x:f t="shared" si="0"/>
        <x:v>54</x:v>
      </x:c>
      <x:c r="JF7" s="315">
        <x:f t="shared" si="0"/>
        <x:v>55</x:v>
      </x:c>
      <x:c r="JG7" s="315">
        <x:f t="shared" si="0"/>
        <x:v>56</x:v>
      </x:c>
      <x:c r="JH7" s="315">
        <x:f t="shared" si="0"/>
        <x:v>57</x:v>
      </x:c>
      <x:c r="JI7" s="315">
        <x:f>JH7+1</x:f>
        <x:v>58</x:v>
      </x:c>
      <x:c r="JJ7" s="315">
        <x:f>JI7+1</x:f>
        <x:v>59</x:v>
      </x:c>
      <x:c r="JK7" s="315"/>
      <x:c r="JL7" s="289"/>
      <x:c r="JM7" s="289"/>
    </x:row>
    <x:row r="8" spans="1:276" s="139" customFormat="1" ht="2.85" customHeight="1" thickBot="1" x14ac:dyDescent="0.25">
      <x:c r="A8" s="2428"/>
      <x:c r="B8" s="2428"/>
      <x:c r="C8" s="2428"/>
      <x:c r="D8" s="2428"/>
      <x:c r="E8" s="2428"/>
      <x:c r="F8" s="2428"/>
      <x:c r="G8" s="2428"/>
      <x:c r="H8" s="2428"/>
      <x:c r="I8" s="2428"/>
      <x:c r="J8" s="2428"/>
      <x:c r="K8" s="2428"/>
      <x:c r="L8" s="2428"/>
      <x:c r="M8" s="2428"/>
      <x:c r="N8" s="2428"/>
      <x:c r="O8" s="2428"/>
      <x:c r="P8" s="2428"/>
      <x:c r="Q8" s="2428"/>
      <x:c r="R8" s="2428"/>
      <x:c r="S8" s="2428"/>
      <x:c r="T8" s="2428"/>
      <x:c r="U8" s="2428"/>
      <x:c r="V8" s="2428"/>
      <x:c r="W8" s="2428"/>
      <x:c r="X8" s="2428"/>
      <x:c r="Y8" s="2428"/>
      <x:c r="Z8" s="2428"/>
      <x:c r="AA8" s="2428"/>
      <x:c r="AB8" s="2428"/>
      <x:c r="AC8" s="2428"/>
      <x:c r="AD8" s="2428"/>
      <x:c r="AE8" s="2428"/>
      <x:c r="AF8" s="2428"/>
      <x:c r="AG8" s="2428"/>
      <x:c r="AH8" s="2428"/>
      <x:c r="AI8" s="2428"/>
      <x:c r="AJ8" s="2428"/>
      <x:c r="AK8" s="2428"/>
      <x:c r="AL8" s="2428"/>
      <x:c r="AM8" s="2428"/>
      <x:c r="AN8" s="2428"/>
      <x:c r="AO8" s="2428"/>
      <x:c r="AP8" s="2428"/>
      <x:c r="AQ8" s="2428"/>
      <x:c r="AR8" s="2428"/>
      <x:c r="AS8" s="2428"/>
      <x:c r="AT8" s="2428"/>
      <x:c r="AU8" s="2428"/>
      <x:c r="AV8" s="2428"/>
      <x:c r="AW8" s="2428"/>
      <x:c r="AX8" s="2428"/>
      <x:c r="AY8" s="2428"/>
      <x:c r="AZ8" s="2428"/>
      <x:c r="BA8" s="2428"/>
      <x:c r="BB8" s="2428"/>
      <x:c r="BC8" s="2428"/>
      <x:c r="BD8" s="2428"/>
      <x:c r="BE8" s="2428"/>
      <x:c r="BF8" s="2428"/>
      <x:c r="BG8" s="2428"/>
      <x:c r="BH8" s="322"/>
      <x:c r="CA8" s="302"/>
      <x:c r="CB8" s="292"/>
      <x:c r="CC8" s="292"/>
      <x:c r="CD8" s="292"/>
      <x:c r="CE8" s="292"/>
      <x:c r="CF8" s="292"/>
      <x:c r="CG8" s="292"/>
      <x:c r="CH8" s="292"/>
      <x:c r="CI8" s="292"/>
      <x:c r="CJ8" s="292"/>
      <x:c r="CK8" s="292"/>
      <x:c r="CL8" s="292"/>
      <x:c r="CM8" s="292"/>
      <x:c r="CN8" s="292"/>
      <x:c r="CO8" s="292"/>
      <x:c r="CP8" s="292"/>
      <x:c r="CQ8" s="292"/>
      <x:c r="CR8" s="292"/>
      <x:c r="CS8" s="292"/>
      <x:c r="CT8" s="292"/>
      <x:c r="CU8" s="292"/>
      <x:c r="CV8" s="292"/>
      <x:c r="CW8" s="292"/>
      <x:c r="CX8" s="288"/>
      <x:c r="CY8" s="292"/>
      <x:c r="CZ8" s="292"/>
      <x:c r="DA8" s="292"/>
      <x:c r="DB8" s="292"/>
      <x:c r="DC8" s="292"/>
      <x:c r="DD8" s="292"/>
      <x:c r="DE8" s="292"/>
      <x:c r="DF8" s="292"/>
      <x:c r="DG8" s="292"/>
      <x:c r="DH8" s="2593"/>
      <x:c r="DI8" s="2594"/>
      <x:c r="DJ8" s="2594"/>
      <x:c r="DK8" s="2594"/>
      <x:c r="DL8" s="2594"/>
      <x:c r="DM8" s="2594"/>
      <x:c r="DN8" s="2594"/>
      <x:c r="DO8" s="2594"/>
      <x:c r="DP8" s="2594"/>
      <x:c r="DQ8" s="2594"/>
      <x:c r="DR8" s="2594"/>
      <x:c r="DS8" s="2594"/>
      <x:c r="DT8" s="2594"/>
      <x:c r="DU8" s="2594"/>
      <x:c r="DV8" s="2594"/>
      <x:c r="DW8" s="2594"/>
      <x:c r="DX8" s="2594"/>
      <x:c r="DY8" s="2594"/>
      <x:c r="DZ8" s="2594"/>
      <x:c r="EA8" s="2594"/>
      <x:c r="EB8" s="2594"/>
      <x:c r="EC8" s="2594"/>
      <x:c r="ED8" s="2594"/>
      <x:c r="EE8" s="2594"/>
      <x:c r="EF8" s="2594"/>
      <x:c r="EG8" s="2594"/>
      <x:c r="EH8" s="2594"/>
      <x:c r="EI8" s="2594"/>
      <x:c r="EJ8" s="2594"/>
      <x:c r="EK8" s="2595"/>
      <x:c r="EL8" s="293"/>
      <x:c r="EM8" s="292"/>
      <x:c r="EN8" s="294"/>
      <x:c r="EO8" s="292"/>
      <x:c r="EP8" s="294"/>
      <x:c r="EQ8" s="294"/>
      <x:c r="ER8" s="294"/>
      <x:c r="ES8" s="292"/>
      <x:c r="ET8" s="292"/>
      <x:c r="EU8" s="292"/>
      <x:c r="EV8" s="296"/>
      <x:c r="EW8" s="296"/>
      <x:c r="EX8" s="296"/>
      <x:c r="EY8" s="296"/>
      <x:c r="EZ8" s="296"/>
      <x:c r="FA8" s="296"/>
      <x:c r="FB8" s="296"/>
      <x:c r="FC8" s="296"/>
      <x:c r="FD8" s="296"/>
      <x:c r="FE8" s="296"/>
      <x:c r="FF8" s="296"/>
      <x:c r="FG8" s="296"/>
      <x:c r="FH8" s="296"/>
      <x:c r="FI8" s="296"/>
      <x:c r="FJ8" s="296"/>
      <x:c r="FK8" s="296"/>
      <x:c r="FL8" s="298"/>
      <x:c r="FM8" s="308"/>
      <x:c r="FN8" s="308"/>
      <x:c r="FO8" s="312"/>
      <x:c r="FP8" s="309"/>
      <x:c r="FQ8" s="310"/>
      <x:c r="FR8" s="308"/>
      <x:c r="FS8" s="308"/>
      <x:c r="FT8" s="308"/>
      <x:c r="FU8" s="295"/>
      <x:c r="FV8" s="295"/>
      <x:c r="FZ8" s="295"/>
      <x:c r="GA8" s="288"/>
      <x:c r="GB8" s="288"/>
      <x:c r="GC8" s="288"/>
      <x:c r="GD8" s="288"/>
      <x:c r="GE8" s="288"/>
      <x:c r="GF8" s="288"/>
      <x:c r="GG8" s="288"/>
      <x:c r="GH8" s="288"/>
      <x:c r="GI8" s="288"/>
      <x:c r="GJ8" s="288"/>
      <x:c r="GK8" s="295"/>
      <x:c r="GL8" s="298"/>
      <x:c r="GM8" s="298"/>
      <x:c r="GN8" s="298"/>
      <x:c r="GO8" s="298"/>
      <x:c r="GZ8" s="298"/>
      <x:c r="JL8" s="289"/>
      <x:c r="JM8" s="289"/>
    </x:row>
    <x:row r="9" spans="1:276" s="139" customFormat="1" ht="12.2" customHeight="1" thickTop="1" x14ac:dyDescent="0.2">
      <x:c r="A9" s="2319" t="s">
        <x:v>1</x:v>
      </x:c>
      <x:c r="B9" s="2239"/>
      <x:c r="C9" s="2225" t="str">
        <x:f>IF(ISBLANK('Job Info.'!D3),"",'Job Info.'!D3)</x:f>
        <x:v>SUNPOINT CROSSING</x:v>
      </x:c>
      <x:c r="D9" s="2225"/>
      <x:c r="E9" s="2225"/>
      <x:c r="F9" s="2225"/>
      <x:c r="G9" s="2225"/>
      <x:c r="H9" s="2225"/>
      <x:c r="I9" s="2225"/>
      <x:c r="J9" s="2225"/>
      <x:c r="K9" s="2225"/>
      <x:c r="L9" s="2225"/>
      <x:c r="M9" s="2225"/>
      <x:c r="N9" s="2225"/>
      <x:c r="O9" s="2225"/>
      <x:c r="P9" s="2226"/>
      <x:c r="Q9" s="2319" t="s">
        <x:v>2</x:v>
      </x:c>
      <x:c r="R9" s="2239"/>
      <x:c r="S9" s="2239"/>
      <x:c r="T9" s="2225" t="str">
        <x:f>IF(ISBLANK('Job Info.'!D5),"",'Job Info.'!D5)</x:f>
        <x:v>9118-0062</x:v>
      </x:c>
      <x:c r="U9" s="2225"/>
      <x:c r="V9" s="2225"/>
      <x:c r="W9" s="2225"/>
      <x:c r="X9" s="2225"/>
      <x:c r="Y9" s="2225"/>
      <x:c r="Z9" s="2225"/>
      <x:c r="AA9" s="2226"/>
      <x:c r="AB9" s="2319" t="s">
        <x:v>1</x:v>
      </x:c>
      <x:c r="AC9" s="2239"/>
      <x:c r="AD9" s="2239"/>
      <x:c r="AE9" s="2225" t="str">
        <x:f>C9</x:f>
        <x:v>SUNPOINT CROSSING</x:v>
      </x:c>
      <x:c r="AF9" s="2225"/>
      <x:c r="AG9" s="2225"/>
      <x:c r="AH9" s="2225"/>
      <x:c r="AI9" s="2225"/>
      <x:c r="AJ9" s="2225"/>
      <x:c r="AK9" s="2225"/>
      <x:c r="AL9" s="2225"/>
      <x:c r="AM9" s="2225"/>
      <x:c r="AN9" s="2225"/>
      <x:c r="AO9" s="2225"/>
      <x:c r="AP9" s="2225"/>
      <x:c r="AQ9" s="2225"/>
      <x:c r="AR9" s="2225"/>
      <x:c r="AS9" s="2225"/>
      <x:c r="AT9" s="2226"/>
      <x:c r="AU9" s="2319" t="s">
        <x:v>2</x:v>
      </x:c>
      <x:c r="AV9" s="2239"/>
      <x:c r="AW9" s="2239"/>
      <x:c r="AX9" s="2225" t="str">
        <x:f>T9</x:f>
        <x:v>9118-0062</x:v>
      </x:c>
      <x:c r="AY9" s="2225"/>
      <x:c r="AZ9" s="2225"/>
      <x:c r="BA9" s="2225"/>
      <x:c r="BB9" s="2225"/>
      <x:c r="BC9" s="2225"/>
      <x:c r="BD9" s="2225"/>
      <x:c r="BE9" s="2225"/>
      <x:c r="BF9" s="2225"/>
      <x:c r="BG9" s="2226"/>
      <x:c r="BH9" s="322"/>
      <x:c r="CA9" s="302"/>
      <x:c r="CB9" s="292"/>
      <x:c r="CC9" s="292"/>
      <x:c r="CD9" s="292"/>
      <x:c r="CE9" s="292"/>
      <x:c r="CF9" s="292"/>
      <x:c r="CG9" s="292"/>
      <x:c r="CH9" s="292"/>
      <x:c r="CI9" s="292"/>
      <x:c r="CJ9" s="292"/>
      <x:c r="CK9" s="292"/>
      <x:c r="CL9" s="292"/>
      <x:c r="CM9" s="292"/>
      <x:c r="CN9" s="292"/>
      <x:c r="CO9" s="292"/>
      <x:c r="CP9" s="292"/>
      <x:c r="CQ9" s="292"/>
      <x:c r="CR9" s="292"/>
      <x:c r="CS9" s="292"/>
      <x:c r="CT9" s="292"/>
      <x:c r="CU9" s="292"/>
      <x:c r="CV9" s="292"/>
      <x:c r="CW9" s="292"/>
      <x:c r="CX9" s="288"/>
      <x:c r="CY9" s="292"/>
      <x:c r="CZ9" s="292"/>
      <x:c r="DA9" s="292"/>
      <x:c r="DB9" s="292"/>
      <x:c r="DC9" s="292"/>
      <x:c r="DD9" s="292"/>
      <x:c r="DE9" s="292"/>
      <x:c r="DF9" s="292"/>
      <x:c r="DG9" s="292"/>
      <x:c r="DH9" s="2381" t="s">
        <x:v>653</x:v>
      </x:c>
      <x:c r="DI9" s="2596" t="s">
        <x:v>681</x:v>
      </x:c>
      <x:c r="DJ9" s="2597"/>
      <x:c r="DK9" s="2597"/>
      <x:c r="DL9" s="2597"/>
      <x:c r="DM9" s="2597"/>
      <x:c r="DN9" s="2598"/>
      <x:c r="DO9" s="2378" t="s">
        <x:v>640</x:v>
      </x:c>
      <x:c r="DP9" s="2602" t="s">
        <x:v>682</x:v>
      </x:c>
      <x:c r="DQ9" s="2565"/>
      <x:c r="DR9" s="2565"/>
      <x:c r="DS9" s="2565"/>
      <x:c r="DT9" s="2565"/>
      <x:c r="DU9" s="2565"/>
      <x:c r="DV9" s="2605" t="s">
        <x:v>650</x:v>
      </x:c>
      <x:c r="DW9" s="2565"/>
      <x:c r="DX9" s="2565"/>
      <x:c r="DY9" s="2565"/>
      <x:c r="DZ9" s="2565"/>
      <x:c r="EA9" s="2565"/>
      <x:c r="EB9" s="2565"/>
      <x:c r="EC9" s="2565"/>
      <x:c r="ED9" s="2565"/>
      <x:c r="EE9" s="2565"/>
      <x:c r="EF9" s="2565"/>
      <x:c r="EG9" s="2565"/>
      <x:c r="EH9" s="2565"/>
      <x:c r="EI9" s="2565"/>
      <x:c r="EJ9" s="2565"/>
      <x:c r="EK9" s="2566"/>
      <x:c r="EL9" s="293"/>
      <x:c r="EM9" s="292"/>
      <x:c r="EN9" s="294"/>
      <x:c r="EO9" s="292"/>
      <x:c r="EP9" s="294"/>
      <x:c r="EQ9" s="288"/>
      <x:c r="ER9" s="288"/>
      <x:c r="ES9" s="288"/>
      <x:c r="ET9" s="288"/>
      <x:c r="EU9" s="292"/>
      <x:c r="EV9" s="296"/>
      <x:c r="EW9" s="296"/>
      <x:c r="EX9" s="296"/>
      <x:c r="EY9" s="296"/>
      <x:c r="EZ9" s="296"/>
      <x:c r="FA9" s="296"/>
      <x:c r="FB9" s="296"/>
      <x:c r="FC9" s="296"/>
      <x:c r="FD9" s="296"/>
      <x:c r="FE9" s="296"/>
      <x:c r="FG9" s="296"/>
      <x:c r="FH9" s="296"/>
      <x:c r="FI9" s="296"/>
      <x:c r="FJ9" s="296"/>
      <x:c r="FK9" s="296"/>
      <x:c r="FL9" s="311"/>
      <x:c r="FM9" s="304"/>
      <x:c r="FN9" s="304"/>
      <x:c r="FO9" s="304"/>
      <x:c r="FP9" s="313"/>
      <x:c r="FQ9" s="314"/>
      <x:c r="FR9" s="304"/>
      <x:c r="FS9" s="304"/>
      <x:c r="FT9" s="304"/>
      <x:c r="FU9" s="295"/>
      <x:c r="FV9" s="295"/>
      <x:c r="FZ9" s="295"/>
      <x:c r="GA9" s="288"/>
      <x:c r="GB9" s="288"/>
      <x:c r="GC9" s="288"/>
      <x:c r="GD9" s="288"/>
      <x:c r="GE9" s="288"/>
      <x:c r="GF9" s="288"/>
      <x:c r="GG9" s="288"/>
      <x:c r="GH9" s="288"/>
      <x:c r="GI9" s="288"/>
      <x:c r="GJ9" s="288"/>
      <x:c r="GK9" s="295"/>
      <x:c r="GL9" s="298"/>
      <x:c r="GM9" s="298"/>
      <x:c r="GN9" s="298"/>
      <x:c r="GO9" s="298"/>
      <x:c r="GZ9" s="298"/>
      <x:c r="ID9" s="1162" t="s">
        <x:v>1204</x:v>
      </x:c>
      <x:c r="IE9" s="315">
        <x:v>1</x:v>
      </x:c>
      <x:c r="IF9" s="315">
        <x:f>1+ID21</x:f>
        <x:v>31</x:v>
      </x:c>
      <x:c r="IG9" s="315">
        <x:f t="shared" ref="IG9:JH10" si="1">IF9+1</x:f>
        <x:v>32</x:v>
      </x:c>
      <x:c r="IH9" s="315">
        <x:f t="shared" si="1"/>
        <x:v>33</x:v>
      </x:c>
      <x:c r="II9" s="315">
        <x:f t="shared" si="1"/>
        <x:v>34</x:v>
      </x:c>
      <x:c r="IJ9" s="315">
        <x:f t="shared" si="1"/>
        <x:v>35</x:v>
      </x:c>
      <x:c r="IK9" s="315">
        <x:f t="shared" si="1"/>
        <x:v>36</x:v>
      </x:c>
      <x:c r="IL9" s="315">
        <x:f t="shared" si="1"/>
        <x:v>37</x:v>
      </x:c>
      <x:c r="IM9" s="315">
        <x:f t="shared" si="1"/>
        <x:v>38</x:v>
      </x:c>
      <x:c r="IN9" s="315">
        <x:f t="shared" si="1"/>
        <x:v>39</x:v>
      </x:c>
      <x:c r="IO9" s="315">
        <x:f t="shared" si="1"/>
        <x:v>40</x:v>
      </x:c>
      <x:c r="IP9" s="315">
        <x:f t="shared" si="1"/>
        <x:v>41</x:v>
      </x:c>
      <x:c r="IQ9" s="315">
        <x:f t="shared" si="1"/>
        <x:v>42</x:v>
      </x:c>
      <x:c r="IR9" s="315">
        <x:f t="shared" si="1"/>
        <x:v>43</x:v>
      </x:c>
      <x:c r="IS9" s="315">
        <x:f t="shared" si="1"/>
        <x:v>44</x:v>
      </x:c>
      <x:c r="IT9" s="315">
        <x:f t="shared" si="1"/>
        <x:v>45</x:v>
      </x:c>
      <x:c r="IU9" s="315">
        <x:f t="shared" si="1"/>
        <x:v>46</x:v>
      </x:c>
      <x:c r="IV9" s="315">
        <x:f t="shared" si="1"/>
        <x:v>47</x:v>
      </x:c>
      <x:c r="IW9" s="315">
        <x:f t="shared" si="1"/>
        <x:v>48</x:v>
      </x:c>
      <x:c r="IX9" s="315">
        <x:f t="shared" si="1"/>
        <x:v>49</x:v>
      </x:c>
      <x:c r="IY9" s="315">
        <x:f t="shared" si="1"/>
        <x:v>50</x:v>
      </x:c>
      <x:c r="IZ9" s="315">
        <x:f t="shared" si="1"/>
        <x:v>51</x:v>
      </x:c>
      <x:c r="JA9" s="315">
        <x:f t="shared" si="1"/>
        <x:v>52</x:v>
      </x:c>
      <x:c r="JB9" s="315">
        <x:f t="shared" si="1"/>
        <x:v>53</x:v>
      </x:c>
      <x:c r="JC9" s="315">
        <x:f t="shared" si="1"/>
        <x:v>54</x:v>
      </x:c>
      <x:c r="JD9" s="315">
        <x:f t="shared" si="1"/>
        <x:v>55</x:v>
      </x:c>
      <x:c r="JE9" s="315">
        <x:f t="shared" si="1"/>
        <x:v>56</x:v>
      </x:c>
      <x:c r="JF9" s="315">
        <x:f t="shared" si="1"/>
        <x:v>57</x:v>
      </x:c>
      <x:c r="JG9" s="315">
        <x:f t="shared" si="1"/>
        <x:v>58</x:v>
      </x:c>
      <x:c r="JH9" s="315">
        <x:f t="shared" si="1"/>
        <x:v>59</x:v>
      </x:c>
      <x:c r="JI9" s="315"/>
      <x:c r="JJ9" s="315"/>
      <x:c r="JK9" s="315">
        <x:v>62</x:v>
      </x:c>
      <x:c r="JL9" s="289"/>
      <x:c r="JM9" s="289"/>
    </x:row>
    <x:row r="10" spans="1:276" s="139" customFormat="1" ht="12.2" customHeight="1" x14ac:dyDescent="0.2">
      <x:c r="A10" s="2319" t="s">
        <x:v>3</x:v>
      </x:c>
      <x:c r="B10" s="2239"/>
      <x:c r="C10" s="2225" t="str">
        <x:f>IF(ISBLANK('Job Info.'!D4),"",'Job Info.'!D4)</x:f>
        <x:v>LAS VEGAS, NV</x:v>
      </x:c>
      <x:c r="D10" s="2225"/>
      <x:c r="E10" s="2225"/>
      <x:c r="F10" s="2225"/>
      <x:c r="G10" s="2225"/>
      <x:c r="H10" s="2225"/>
      <x:c r="I10" s="2225"/>
      <x:c r="J10" s="2225"/>
      <x:c r="K10" s="2225"/>
      <x:c r="L10" s="2225"/>
      <x:c r="M10" s="2225"/>
      <x:c r="N10" s="2225"/>
      <x:c r="O10" s="2225"/>
      <x:c r="P10" s="2226"/>
      <x:c r="Q10" s="2319" t="s">
        <x:v>22</x:v>
      </x:c>
      <x:c r="R10" s="2239"/>
      <x:c r="S10" s="2239"/>
      <x:c r="T10" s="2225" t="str">
        <x:f>IF(ISBLANK('Job Info.'!D6),"",'Job Info.'!D6)</x:f>
        <x:v>CJA</x:v>
      </x:c>
      <x:c r="U10" s="2225"/>
      <x:c r="V10" s="2225"/>
      <x:c r="W10" s="2226"/>
      <x:c r="X10" s="2319" t="s">
        <x:v>23</x:v>
      </x:c>
      <x:c r="Y10" s="2239"/>
      <x:c r="Z10" s="2225" t="str">
        <x:f>IF(ISBLANK('Job Info.'!D7),"",'Job Info.'!D7)</x:f>
        <x:v>LS</x:v>
      </x:c>
      <x:c r="AA10" s="2226"/>
      <x:c r="AB10" s="2319" t="s">
        <x:v>3</x:v>
      </x:c>
      <x:c r="AC10" s="2239"/>
      <x:c r="AD10" s="2239"/>
      <x:c r="AE10" s="2225" t="str">
        <x:f>C10</x:f>
        <x:v>LAS VEGAS, NV</x:v>
      </x:c>
      <x:c r="AF10" s="2225"/>
      <x:c r="AG10" s="2225"/>
      <x:c r="AH10" s="2225"/>
      <x:c r="AI10" s="2225"/>
      <x:c r="AJ10" s="2225"/>
      <x:c r="AK10" s="2225"/>
      <x:c r="AL10" s="2225"/>
      <x:c r="AM10" s="2225"/>
      <x:c r="AN10" s="2225"/>
      <x:c r="AO10" s="2225"/>
      <x:c r="AP10" s="2225"/>
      <x:c r="AQ10" s="2225"/>
      <x:c r="AR10" s="2225"/>
      <x:c r="AS10" s="2225"/>
      <x:c r="AT10" s="2226"/>
      <x:c r="AU10" s="2319" t="s">
        <x:v>22</x:v>
      </x:c>
      <x:c r="AV10" s="2239"/>
      <x:c r="AW10" s="2239"/>
      <x:c r="AX10" s="2225" t="str">
        <x:f>T10</x:f>
        <x:v>CJA</x:v>
      </x:c>
      <x:c r="AY10" s="2225"/>
      <x:c r="AZ10" s="2225"/>
      <x:c r="BA10" s="2226"/>
      <x:c r="BB10" s="2319" t="s">
        <x:v>23</x:v>
      </x:c>
      <x:c r="BC10" s="2239"/>
      <x:c r="BD10" s="2239"/>
      <x:c r="BE10" s="2225" t="str">
        <x:f>Z10</x:f>
        <x:v>LS</x:v>
      </x:c>
      <x:c r="BF10" s="2225"/>
      <x:c r="BG10" s="2226"/>
      <x:c r="BH10" s="322"/>
      <x:c r="CA10" s="302"/>
      <x:c r="CB10" s="292"/>
      <x:c r="CC10" s="292"/>
      <x:c r="CD10" s="292"/>
      <x:c r="CE10" s="292"/>
      <x:c r="CF10" s="292"/>
      <x:c r="CG10" s="292"/>
      <x:c r="CH10" s="292"/>
      <x:c r="CI10" s="292"/>
      <x:c r="CJ10" s="292"/>
      <x:c r="CK10" s="292"/>
      <x:c r="CL10" s="292"/>
      <x:c r="CM10" s="292"/>
      <x:c r="CN10" s="292"/>
      <x:c r="CO10" s="292"/>
      <x:c r="CP10" s="292"/>
      <x:c r="CQ10" s="292"/>
      <x:c r="CR10" s="292"/>
      <x:c r="CS10" s="292"/>
      <x:c r="CT10" s="292"/>
      <x:c r="CU10" s="292"/>
      <x:c r="CV10" s="292"/>
      <x:c r="CW10" s="292"/>
      <x:c r="CX10" s="288"/>
      <x:c r="CY10" s="292"/>
      <x:c r="CZ10" s="288"/>
      <x:c r="DA10" s="288"/>
      <x:c r="DB10" s="288"/>
      <x:c r="DC10" s="288"/>
      <x:c r="DD10" s="288"/>
      <x:c r="DE10" s="288"/>
      <x:c r="DF10" s="288"/>
      <x:c r="DG10" s="288"/>
      <x:c r="DH10" s="2382"/>
      <x:c r="DI10" s="2599"/>
      <x:c r="DJ10" s="2600"/>
      <x:c r="DK10" s="2600"/>
      <x:c r="DL10" s="2600"/>
      <x:c r="DM10" s="2600"/>
      <x:c r="DN10" s="2601"/>
      <x:c r="DO10" s="2379"/>
      <x:c r="DP10" s="2568"/>
      <x:c r="DQ10" s="2568"/>
      <x:c r="DR10" s="2568"/>
      <x:c r="DS10" s="2568"/>
      <x:c r="DT10" s="2568"/>
      <x:c r="DU10" s="2568"/>
      <x:c r="DV10" s="2567"/>
      <x:c r="DW10" s="2568"/>
      <x:c r="DX10" s="2568"/>
      <x:c r="DY10" s="2568"/>
      <x:c r="DZ10" s="2568"/>
      <x:c r="EA10" s="2568"/>
      <x:c r="EB10" s="2568"/>
      <x:c r="EC10" s="2568"/>
      <x:c r="ED10" s="2568"/>
      <x:c r="EE10" s="2568"/>
      <x:c r="EF10" s="2568"/>
      <x:c r="EG10" s="2568"/>
      <x:c r="EH10" s="2568"/>
      <x:c r="EI10" s="2568"/>
      <x:c r="EJ10" s="2568"/>
      <x:c r="EK10" s="2569"/>
      <x:c r="EL10" s="287"/>
      <x:c r="EM10" s="287"/>
      <x:c r="EN10" s="1178"/>
      <x:c r="EO10" s="288"/>
      <x:c r="EP10" s="288"/>
      <x:c r="EQ10" s="288"/>
      <x:c r="ER10" s="288"/>
      <x:c r="ES10" s="288"/>
      <x:c r="ET10" s="288"/>
      <x:c r="EU10" s="288"/>
      <x:c r="FV10" s="295"/>
      <x:c r="FZ10" s="295"/>
      <x:c r="GA10" s="288"/>
      <x:c r="GB10" s="288"/>
      <x:c r="GC10" s="288"/>
      <x:c r="GD10" s="288"/>
      <x:c r="GE10" s="288"/>
      <x:c r="GF10" s="288"/>
      <x:c r="GG10" s="288"/>
      <x:c r="GH10" s="288"/>
      <x:c r="GI10" s="288"/>
      <x:c r="GJ10" s="288"/>
      <x:c r="GK10" s="295"/>
      <x:c r="GL10" s="298"/>
      <x:c r="GM10" s="298"/>
      <x:c r="GN10" s="298"/>
      <x:c r="GO10" s="298"/>
      <x:c r="GZ10" s="298"/>
      <x:c r="ID10" s="1162" t="s">
        <x:v>1181</x:v>
      </x:c>
      <x:c r="IE10" s="315">
        <x:v>1</x:v>
      </x:c>
      <x:c r="IF10" s="315">
        <x:v>31</x:v>
      </x:c>
      <x:c r="IG10" s="315">
        <x:f t="shared" si="1"/>
        <x:v>32</x:v>
      </x:c>
      <x:c r="IH10" s="315">
        <x:f t="shared" si="1"/>
        <x:v>33</x:v>
      </x:c>
      <x:c r="II10" s="315">
        <x:f t="shared" si="1"/>
        <x:v>34</x:v>
      </x:c>
      <x:c r="IJ10" s="315">
        <x:f t="shared" si="1"/>
        <x:v>35</x:v>
      </x:c>
      <x:c r="IK10" s="315">
        <x:f t="shared" si="1"/>
        <x:v>36</x:v>
      </x:c>
      <x:c r="IL10" s="315">
        <x:f t="shared" si="1"/>
        <x:v>37</x:v>
      </x:c>
      <x:c r="IM10" s="315">
        <x:f t="shared" si="1"/>
        <x:v>38</x:v>
      </x:c>
      <x:c r="IN10" s="315">
        <x:f t="shared" si="1"/>
        <x:v>39</x:v>
      </x:c>
      <x:c r="IO10" s="315">
        <x:f t="shared" si="1"/>
        <x:v>40</x:v>
      </x:c>
      <x:c r="IP10" s="315">
        <x:f t="shared" si="1"/>
        <x:v>41</x:v>
      </x:c>
      <x:c r="IQ10" s="315">
        <x:f t="shared" si="1"/>
        <x:v>42</x:v>
      </x:c>
      <x:c r="IR10" s="315">
        <x:f t="shared" si="1"/>
        <x:v>43</x:v>
      </x:c>
      <x:c r="IS10" s="315">
        <x:f t="shared" si="1"/>
        <x:v>44</x:v>
      </x:c>
      <x:c r="IT10" s="315">
        <x:f t="shared" si="1"/>
        <x:v>45</x:v>
      </x:c>
      <x:c r="IU10" s="315">
        <x:f t="shared" si="1"/>
        <x:v>46</x:v>
      </x:c>
      <x:c r="IV10" s="315">
        <x:f t="shared" si="1"/>
        <x:v>47</x:v>
      </x:c>
      <x:c r="IW10" s="315">
        <x:f t="shared" si="1"/>
        <x:v>48</x:v>
      </x:c>
      <x:c r="IX10" s="315">
        <x:f t="shared" si="1"/>
        <x:v>49</x:v>
      </x:c>
      <x:c r="IY10" s="315">
        <x:f t="shared" si="1"/>
        <x:v>50</x:v>
      </x:c>
      <x:c r="IZ10" s="315">
        <x:f t="shared" si="1"/>
        <x:v>51</x:v>
      </x:c>
      <x:c r="JA10" s="315">
        <x:f t="shared" si="1"/>
        <x:v>52</x:v>
      </x:c>
      <x:c r="JB10" s="315">
        <x:f t="shared" si="1"/>
        <x:v>53</x:v>
      </x:c>
      <x:c r="JC10" s="315">
        <x:f t="shared" si="1"/>
        <x:v>54</x:v>
      </x:c>
      <x:c r="JD10" s="315">
        <x:f t="shared" si="1"/>
        <x:v>55</x:v>
      </x:c>
      <x:c r="JE10" s="315">
        <x:f t="shared" si="1"/>
        <x:v>56</x:v>
      </x:c>
      <x:c r="JF10" s="315">
        <x:f t="shared" si="1"/>
        <x:v>57</x:v>
      </x:c>
      <x:c r="JG10" s="315">
        <x:f t="shared" si="1"/>
        <x:v>58</x:v>
      </x:c>
      <x:c r="JH10" s="315">
        <x:f t="shared" si="1"/>
        <x:v>59</x:v>
      </x:c>
      <x:c r="JI10" s="315">
        <x:f t="shared" ref="JI10:JK10" si="2">JH10+1</x:f>
        <x:v>60</x:v>
      </x:c>
      <x:c r="JJ10" s="315">
        <x:f t="shared" si="2"/>
        <x:v>61</x:v>
      </x:c>
      <x:c r="JK10" s="315">
        <x:f t="shared" si="2"/>
        <x:v>62</x:v>
      </x:c>
      <x:c r="JL10" s="289"/>
      <x:c r="JM10" s="289"/>
    </x:row>
    <x:row r="11" spans="1:276" ht="3.95" customHeight="1" thickBot="1" x14ac:dyDescent="0.25">
      <x:c r="A11" s="2486"/>
      <x:c r="B11" s="2486"/>
      <x:c r="C11" s="2486"/>
      <x:c r="D11" s="2486"/>
      <x:c r="E11" s="2486"/>
      <x:c r="F11" s="2486"/>
      <x:c r="G11" s="2486"/>
      <x:c r="H11" s="2486"/>
      <x:c r="I11" s="2486"/>
      <x:c r="J11" s="2486"/>
      <x:c r="K11" s="2486"/>
      <x:c r="L11" s="2486"/>
      <x:c r="M11" s="2486"/>
      <x:c r="N11" s="2486"/>
      <x:c r="O11" s="2486"/>
      <x:c r="P11" s="2486"/>
      <x:c r="Q11" s="2486"/>
      <x:c r="R11" s="2486"/>
      <x:c r="S11" s="2486"/>
      <x:c r="T11" s="2486"/>
      <x:c r="U11" s="2486"/>
      <x:c r="V11" s="2486"/>
      <x:c r="W11" s="2486"/>
      <x:c r="X11" s="2486"/>
      <x:c r="Y11" s="2486"/>
      <x:c r="Z11" s="2486"/>
      <x:c r="AA11" s="2486"/>
      <x:c r="AB11" s="1436"/>
      <x:c r="AC11" s="1436"/>
      <x:c r="AD11" s="1436"/>
      <x:c r="AE11" s="1436"/>
      <x:c r="AF11" s="1436"/>
      <x:c r="AG11" s="1436"/>
      <x:c r="AH11" s="1436"/>
      <x:c r="AI11" s="1436"/>
      <x:c r="AJ11" s="1436"/>
      <x:c r="AK11" s="1436"/>
      <x:c r="AL11" s="1436"/>
      <x:c r="AM11" s="1436"/>
      <x:c r="AN11" s="1436"/>
      <x:c r="AO11" s="1436"/>
      <x:c r="AP11" s="1436"/>
      <x:c r="AQ11" s="1436"/>
      <x:c r="AR11" s="1436"/>
      <x:c r="AS11" s="1436"/>
      <x:c r="AT11" s="1436"/>
      <x:c r="AU11" s="1436"/>
      <x:c r="AV11" s="1436"/>
      <x:c r="AW11" s="1436"/>
      <x:c r="AX11" s="1436"/>
      <x:c r="AY11" s="1436"/>
      <x:c r="AZ11" s="1436"/>
      <x:c r="BA11" s="1436"/>
      <x:c r="BB11" s="1436"/>
      <x:c r="BC11" s="1436"/>
      <x:c r="BD11" s="1436"/>
      <x:c r="BE11" s="1436"/>
      <x:c r="BF11" s="1436"/>
      <x:c r="BG11" s="1436"/>
      <x:c r="BH11" s="322"/>
      <x:c r="BJ11" s="139"/>
      <x:c r="BK11" s="139"/>
      <x:c r="BL11" s="139"/>
      <x:c r="BM11" s="139"/>
      <x:c r="BN11" s="139"/>
      <x:c r="BO11" s="139"/>
      <x:c r="CA11" s="138"/>
      <x:c r="CB11" s="237"/>
      <x:c r="CC11" s="237"/>
      <x:c r="CD11" s="237"/>
      <x:c r="CE11" s="237"/>
      <x:c r="CF11" s="237"/>
      <x:c r="CG11" s="237"/>
      <x:c r="CH11" s="237"/>
      <x:c r="CI11" s="237"/>
      <x:c r="CJ11" s="237"/>
      <x:c r="CK11" s="237"/>
      <x:c r="CL11" s="237"/>
      <x:c r="CM11" s="237"/>
      <x:c r="CN11" s="237"/>
      <x:c r="CO11" s="237"/>
      <x:c r="CP11" s="237"/>
      <x:c r="CQ11" s="237"/>
      <x:c r="CR11" s="237"/>
      <x:c r="CS11" s="237"/>
      <x:c r="CT11" s="237"/>
      <x:c r="CU11" s="237"/>
      <x:c r="CV11" s="237"/>
      <x:c r="CW11" s="237"/>
      <x:c r="CX11" s="173"/>
      <x:c r="CY11" s="237"/>
      <x:c r="CZ11" s="173"/>
      <x:c r="DA11" s="173"/>
      <x:c r="DB11" s="173"/>
      <x:c r="DC11" s="173"/>
      <x:c r="DD11" s="173"/>
      <x:c r="DE11" s="173"/>
      <x:c r="DF11" s="173"/>
      <x:c r="DG11" s="173"/>
      <x:c r="DH11" s="2382"/>
      <x:c r="DI11" s="2599"/>
      <x:c r="DJ11" s="2600"/>
      <x:c r="DK11" s="2600"/>
      <x:c r="DL11" s="2600"/>
      <x:c r="DM11" s="2600"/>
      <x:c r="DN11" s="2601"/>
      <x:c r="DO11" s="2379"/>
      <x:c r="DP11" s="2568"/>
      <x:c r="DQ11" s="2568"/>
      <x:c r="DR11" s="2568"/>
      <x:c r="DS11" s="2568"/>
      <x:c r="DT11" s="2568"/>
      <x:c r="DU11" s="2568"/>
      <x:c r="DV11" s="2567"/>
      <x:c r="DW11" s="2568"/>
      <x:c r="DX11" s="2568"/>
      <x:c r="DY11" s="2568"/>
      <x:c r="DZ11" s="2568"/>
      <x:c r="EA11" s="2568"/>
      <x:c r="EB11" s="2568"/>
      <x:c r="EC11" s="2568"/>
      <x:c r="ED11" s="2568"/>
      <x:c r="EE11" s="2568"/>
      <x:c r="EF11" s="2568"/>
      <x:c r="EG11" s="2568"/>
      <x:c r="EH11" s="2568"/>
      <x:c r="EI11" s="2568"/>
      <x:c r="EJ11" s="2568"/>
      <x:c r="EK11" s="2569"/>
      <x:c r="EL11" s="653"/>
      <x:c r="EM11" s="653"/>
      <x:c r="EN11" s="1181"/>
      <x:c r="EO11" s="173"/>
      <x:c r="EP11" s="173"/>
      <x:c r="EQ11" s="173"/>
      <x:c r="ER11" s="173"/>
      <x:c r="ES11" s="173"/>
      <x:c r="ET11" s="173"/>
      <x:c r="EU11" s="173"/>
      <x:c r="FV11" s="2"/>
      <x:c r="FW11" s="139"/>
      <x:c r="FX11" s="139"/>
      <x:c r="FY11" s="139"/>
      <x:c r="FZ11" s="2"/>
      <x:c r="GA11" s="173"/>
      <x:c r="GB11" s="173"/>
      <x:c r="GC11" s="173"/>
      <x:c r="GD11" s="173"/>
      <x:c r="GE11" s="173"/>
      <x:c r="GF11" s="173"/>
      <x:c r="GG11" s="173"/>
      <x:c r="GH11" s="173"/>
      <x:c r="GI11" s="173"/>
      <x:c r="GJ11" s="173"/>
      <x:c r="GK11" s="2"/>
      <x:c r="GL11" s="171"/>
      <x:c r="GM11" s="171"/>
      <x:c r="GN11" s="171"/>
      <x:c r="GO11" s="171"/>
      <x:c r="GZ11" s="171"/>
      <x:c r="HA11" s="161"/>
      <x:c r="HB11" s="161"/>
      <x:c r="HC11" s="161"/>
      <x:c r="HD11" s="161"/>
      <x:c r="HE11" s="161"/>
      <x:c r="HF11" s="161"/>
      <x:c r="HG11" s="161"/>
      <x:c r="HH11" s="161"/>
      <x:c r="HI11" s="161"/>
      <x:c r="HM11" s="162"/>
      <x:c r="HN11" s="163"/>
      <x:c r="ID11" s="172"/>
      <x:c r="IE11" s="172"/>
      <x:c r="IF11" s="172"/>
      <x:c r="IG11" s="172"/>
      <x:c r="IH11" s="172"/>
      <x:c r="II11" s="172"/>
      <x:c r="IJ11" s="172"/>
      <x:c r="IK11" s="172"/>
      <x:c r="IL11" s="172"/>
      <x:c r="JL11" s="289"/>
      <x:c r="JM11" s="289"/>
    </x:row>
    <x:row r="12" spans="1:276" ht="12" customHeight="1" thickBot="1" x14ac:dyDescent="0.25">
      <x:c r="A12" s="1403"/>
      <x:c r="B12" s="1403"/>
      <x:c r="C12" s="1403"/>
      <x:c r="D12" s="1403"/>
      <x:c r="E12" s="1403"/>
      <x:c r="F12" s="1403"/>
      <x:c r="G12" s="1403"/>
      <x:c r="H12" s="1403"/>
      <x:c r="I12" s="1403"/>
      <x:c r="J12" s="1403"/>
      <x:c r="K12" s="1403"/>
      <x:c r="L12" s="1403"/>
      <x:c r="M12" s="1403"/>
      <x:c r="N12" s="1403"/>
      <x:c r="O12" s="1403"/>
      <x:c r="P12" s="1403"/>
      <x:c r="Q12" s="1403"/>
      <x:c r="R12" s="1403"/>
      <x:c r="S12" s="1403"/>
      <x:c r="T12" s="1403"/>
      <x:c r="U12" s="1403"/>
      <x:c r="V12" s="1403"/>
      <x:c r="W12" s="1403"/>
      <x:c r="X12" s="1403"/>
      <x:c r="Y12" s="1403"/>
      <x:c r="Z12" s="1403"/>
      <x:c r="AA12" s="1403"/>
      <x:c r="AB12" s="2453" t="s">
        <x:v>40</x:v>
      </x:c>
      <x:c r="AC12" s="2336" t="s">
        <x:v>63</x:v>
      </x:c>
      <x:c r="AD12" s="2338" t="s">
        <x:v>32</x:v>
      </x:c>
      <x:c r="AE12" s="2339"/>
      <x:c r="AF12" s="2342" t="s">
        <x:v>34</x:v>
      </x:c>
      <x:c r="AG12" s="2343"/>
      <x:c r="AH12" s="2344"/>
      <x:c r="AI12" s="2338" t="s">
        <x:v>35</x:v>
      </x:c>
      <x:c r="AJ12" s="2339"/>
      <x:c r="AK12" s="2345" t="s">
        <x:v>64</x:v>
      </x:c>
      <x:c r="AL12" s="2347" t="s">
        <x:v>778</x:v>
      </x:c>
      <x:c r="AM12" s="2348"/>
      <x:c r="AN12" s="2348"/>
      <x:c r="AO12" s="2348"/>
      <x:c r="AP12" s="2348"/>
      <x:c r="AQ12" s="2349"/>
      <x:c r="AR12" s="2343" t="s">
        <x:v>83</x:v>
      </x:c>
      <x:c r="AS12" s="2343"/>
      <x:c r="AT12" s="2343"/>
      <x:c r="AU12" s="2343"/>
      <x:c r="AV12" s="2343"/>
      <x:c r="AW12" s="2343"/>
      <x:c r="AX12" s="2343"/>
      <x:c r="AY12" s="2343"/>
      <x:c r="AZ12" s="2343"/>
      <x:c r="BA12" s="2343"/>
      <x:c r="BB12" s="2343"/>
      <x:c r="BC12" s="2343"/>
      <x:c r="BD12" s="2343"/>
      <x:c r="BE12" s="2343"/>
      <x:c r="BF12" s="2343"/>
      <x:c r="BG12" s="2350"/>
      <x:c r="BH12" s="322"/>
      <x:c r="BJ12" s="139"/>
      <x:c r="BK12" s="139"/>
      <x:c r="BL12" s="139"/>
      <x:c r="BM12" s="139"/>
      <x:c r="BN12" s="139"/>
      <x:c r="BO12" s="139"/>
      <x:c r="BW12" s="2398" t="s">
        <x:v>671</x:v>
      </x:c>
      <x:c r="BX12" s="2399"/>
      <x:c r="BY12" s="2399"/>
      <x:c r="BZ12" s="2400"/>
      <x:c r="CA12" s="138"/>
      <x:c r="CB12" s="237"/>
      <x:c r="CC12" s="237"/>
      <x:c r="CD12" s="237"/>
      <x:c r="CE12" s="237"/>
      <x:c r="CF12" s="237"/>
      <x:c r="CG12" s="237"/>
      <x:c r="CH12" s="237"/>
      <x:c r="CI12" s="237"/>
      <x:c r="CJ12" s="237"/>
      <x:c r="CK12" s="237"/>
      <x:c r="CL12" s="237"/>
      <x:c r="CM12" s="237"/>
      <x:c r="CN12" s="237"/>
      <x:c r="CO12" s="237"/>
      <x:c r="CP12" s="237"/>
      <x:c r="CQ12" s="237"/>
      <x:c r="CR12" s="237"/>
      <x:c r="CS12" s="237"/>
      <x:c r="CT12" s="237"/>
      <x:c r="CU12" s="237"/>
      <x:c r="CV12" s="237"/>
      <x:c r="CW12" s="237"/>
      <x:c r="CX12" s="173"/>
      <x:c r="CY12" s="237"/>
      <x:c r="CZ12" s="173"/>
      <x:c r="DA12" s="173"/>
      <x:c r="DB12" s="173"/>
      <x:c r="DC12" s="173"/>
      <x:c r="DD12" s="173"/>
      <x:c r="DE12" s="173"/>
      <x:c r="DF12" s="173"/>
      <x:c r="DG12" s="173"/>
      <x:c r="DH12" s="2382"/>
      <x:c r="DI12" s="2356" t="s">
        <x:v>1108</x:v>
      </x:c>
      <x:c r="DJ12" s="2358" t="s">
        <x:v>32</x:v>
      </x:c>
      <x:c r="DK12" s="2359"/>
      <x:c r="DL12" s="2362" t="s">
        <x:v>34</x:v>
      </x:c>
      <x:c r="DM12" s="2364" t="s">
        <x:v>526</x:v>
      </x:c>
      <x:c r="DN12" s="2365"/>
      <x:c r="DO12" s="2379"/>
      <x:c r="DP12" s="2334" t="s">
        <x:v>641</x:v>
      </x:c>
      <x:c r="DQ12" s="2365" t="s">
        <x:v>642</x:v>
      </x:c>
      <x:c r="DR12" s="2365" t="s">
        <x:v>643</x:v>
      </x:c>
      <x:c r="DS12" s="2365" t="s">
        <x:v>644</x:v>
      </x:c>
      <x:c r="DT12" s="2368" t="s">
        <x:v>645</x:v>
      </x:c>
      <x:c r="DU12" s="2369"/>
      <x:c r="DV12" s="2370" t="s">
        <x:v>638</x:v>
      </x:c>
      <x:c r="DW12" s="2371"/>
      <x:c r="DX12" s="2362" t="s">
        <x:v>649</x:v>
      </x:c>
      <x:c r="DY12" s="2372" t="s">
        <x:v>639</x:v>
      </x:c>
      <x:c r="DZ12" s="2370" t="s">
        <x:v>638</x:v>
      </x:c>
      <x:c r="EA12" s="2371"/>
      <x:c r="EB12" s="2362" t="s">
        <x:v>649</x:v>
      </x:c>
      <x:c r="EC12" s="2372" t="s">
        <x:v>639</x:v>
      </x:c>
      <x:c r="ED12" s="2370" t="s">
        <x:v>638</x:v>
      </x:c>
      <x:c r="EE12" s="2371"/>
      <x:c r="EF12" s="2362" t="s">
        <x:v>649</x:v>
      </x:c>
      <x:c r="EG12" s="2372" t="s">
        <x:v>639</x:v>
      </x:c>
      <x:c r="EH12" s="2370" t="s">
        <x:v>638</x:v>
      </x:c>
      <x:c r="EI12" s="2371"/>
      <x:c r="EJ12" s="2362" t="s">
        <x:v>649</x:v>
      </x:c>
      <x:c r="EK12" s="2332" t="s">
        <x:v>639</x:v>
      </x:c>
      <x:c r="EL12" s="653"/>
      <x:c r="EM12" s="2384"/>
      <x:c r="EN12" s="1181"/>
      <x:c r="EO12" s="173"/>
      <x:c r="EP12" s="173"/>
      <x:c r="EQ12" s="173"/>
      <x:c r="ER12" s="173"/>
      <x:c r="ES12" s="173"/>
      <x:c r="ET12" s="173"/>
      <x:c r="EU12" s="173"/>
      <x:c r="FV12" s="2"/>
      <x:c r="FW12" s="139"/>
      <x:c r="FX12" s="139"/>
      <x:c r="FY12" s="139"/>
      <x:c r="FZ12" s="2"/>
      <x:c r="GA12" s="173"/>
      <x:c r="GB12" s="173"/>
      <x:c r="GC12" s="173"/>
      <x:c r="GD12" s="173"/>
      <x:c r="GE12" s="173"/>
      <x:c r="GF12" s="173"/>
      <x:c r="GG12" s="173"/>
      <x:c r="GH12" s="173"/>
      <x:c r="GI12" s="173"/>
      <x:c r="GJ12" s="173"/>
      <x:c r="GK12" s="2"/>
      <x:c r="GL12" s="171"/>
      <x:c r="GM12" s="171"/>
      <x:c r="GN12" s="171"/>
      <x:c r="GO12" s="171"/>
      <x:c r="GZ12" s="171"/>
      <x:c r="HA12" s="161"/>
      <x:c r="HB12" s="161"/>
      <x:c r="HC12" s="161"/>
      <x:c r="HD12" s="161"/>
      <x:c r="HE12" s="161"/>
      <x:c r="HF12" s="161"/>
      <x:c r="HG12" s="161"/>
      <x:c r="HH12" s="161"/>
      <x:c r="HI12" s="161"/>
      <x:c r="HM12" s="162"/>
      <x:c r="HN12" s="163"/>
      <x:c r="ID12" s="172"/>
      <x:c r="IE12" s="2562" t="s">
        <x:v>673</x:v>
      </x:c>
      <x:c r="IF12" s="2465" t="s">
        <x:v>1209</x:v>
      </x:c>
      <x:c r="IG12" s="2465" t="s">
        <x:v>1210</x:v>
      </x:c>
      <x:c r="IH12" s="2465" t="s">
        <x:v>1211</x:v>
      </x:c>
      <x:c r="II12" s="2465" t="s">
        <x:v>1212</x:v>
      </x:c>
      <x:c r="IJ12" s="2465" t="s">
        <x:v>1214</x:v>
      </x:c>
      <x:c r="IK12" s="2465" t="s">
        <x:v>1213</x:v>
      </x:c>
      <x:c r="IL12" s="2465" t="str">
        <x:f>IF($HA$1,"Load (Kip)","Panel ""B"" Feet")</x:f>
        <x:v>Panel "B" Feet</x:v>
      </x:c>
      <x:c r="IM12" s="2465" t="str">
        <x:f>IF($HA$1,"OSHA N/F/B","Panel ""B"" Inch")</x:f>
        <x:v>Panel "B" Inch</x:v>
      </x:c>
      <x:c r="IN12" s="2465" t="str">
        <x:f>IF($HA$1,"Girder TC Ga","Load (Kip)")</x:f>
        <x:v>Load (Kip)</x:v>
      </x:c>
      <x:c r="IO12" s="2465" t="str">
        <x:f>IF($HA$1,"Jst Hole (x/16)","OSHA N/F/B")</x:f>
        <x:v>OSHA N/F/B</x:v>
      </x:c>
      <x:c r="IP12" s="2465" t="str">
        <x:f>IF($HA$1,"Joist Gage","Girder TC Gage")</x:f>
        <x:v>Girder TC Gage</x:v>
      </x:c>
      <x:c r="IQ12" s="2465" t="str">
        <x:f>IF($HA$1,"TC Hole L","Girder TC Hole (x/16)")</x:f>
        <x:v>Girder TC Hole (x/16)</x:v>
      </x:c>
      <x:c r="IR12" s="2465" t="str">
        <x:f>IF($HA$1,"TC Hole R","Joist Gage")</x:f>
        <x:v>Joist Gage</x:v>
      </x:c>
      <x:c r="IS12" s="2465" t="str">
        <x:f>IF($HA$1,"Add Jst#1 Feet","TCHoleL")</x:f>
        <x:v>TCHoleL</x:v>
      </x:c>
      <x:c r="IT12" s="2465" t="str">
        <x:f>IF($HA$1,"Add Jst#1 Inch","TC Hole R")</x:f>
        <x:v>TC Hole R</x:v>
      </x:c>
      <x:c r="IU12" s="2465" t="str">
        <x:f>IF($HA$1,"Add Jst#1 Load","Add Jst#1 Feet")</x:f>
        <x:v>Add Jst#1 Feet</x:v>
      </x:c>
      <x:c r="IV12" s="2465" t="str">
        <x:f>IF($HA$1,"Add Jst#1 Bolt N/F/B","Add Jst#1 inch")</x:f>
        <x:v>Add Jst#1 inch</x:v>
      </x:c>
      <x:c r="IW12" s="2465" t="str">
        <x:f>IF($HA$1,"Add Jst#2 Feet","Add Jst#1 Load")</x:f>
        <x:v>Add Jst#1 Load</x:v>
      </x:c>
      <x:c r="IX12" s="2465" t="str">
        <x:f>IF($HA$1,"Add Jst#2 Inch","Add Jst#1 Bolt N/F/B")</x:f>
        <x:v>Add Jst#1 Bolt N/F/B</x:v>
      </x:c>
      <x:c r="IY12" s="2465" t="str">
        <x:f>IF($HA$1,"Add Jst#2 Load","Add Jst#2 Feet")</x:f>
        <x:v>Add Jst#2 Feet</x:v>
      </x:c>
      <x:c r="IZ12" s="2465" t="str">
        <x:f>IF($HA$1,"Add Jst#2 Bolt N/F/B","Add Jst#2 inch")</x:f>
        <x:v>Add Jst#2 inch</x:v>
      </x:c>
      <x:c r="JA12" s="2465" t="str">
        <x:f>IF($HA$1,"Add Jst#3 Feet","Add Jst#2 Load")</x:f>
        <x:v>Add Jst#2 Load</x:v>
      </x:c>
      <x:c r="JB12" s="2465" t="str">
        <x:f>IF($HA$1,"Add Jst#3 Inch","Add Jst#2 Bolt N/F/B")</x:f>
        <x:v>Add Jst#2 Bolt N/F/B</x:v>
      </x:c>
      <x:c r="JC12" s="2465" t="str">
        <x:f>IF($HA$1,"Add Jst#3 Load","Add Jst#3 Feet")</x:f>
        <x:v>Add Jst#3 Feet</x:v>
      </x:c>
      <x:c r="JD12" s="2465" t="str">
        <x:f>IF($HA$1,"Add Jst#3 Bolt N/F/B","Add Jst#3 inch")</x:f>
        <x:v>Add Jst#3 inch</x:v>
      </x:c>
      <x:c r="JE12" s="2465" t="str">
        <x:f>IF($HA$1,"Add Jst#4 Feet","Add Jst#3 Load")</x:f>
        <x:v>Add Jst#3 Load</x:v>
      </x:c>
      <x:c r="JF12" s="2465" t="str">
        <x:f>IF($HA$1,"Add Jst#4 Inch","Add Jst#3 Bolt N/F/B")</x:f>
        <x:v>Add Jst#3 Bolt N/F/B</x:v>
      </x:c>
      <x:c r="JG12" s="2465" t="str">
        <x:f>IF($HA$1,"Add Jst#4 Load","Add Jst#4 Feet")</x:f>
        <x:v>Add Jst#4 Feet</x:v>
      </x:c>
      <x:c r="JH12" s="2465" t="str">
        <x:f>IF($HA$1,"Add Jst#4 Bolt N/F/B","Add Jst#4 inch")</x:f>
        <x:v>Add Jst#4 inch</x:v>
      </x:c>
      <x:c r="JI12" s="2465" t="str">
        <x:f>IF($HA$1,"-","Add Jst#4 Load")</x:f>
        <x:v>Add Jst#4 Load</x:v>
      </x:c>
      <x:c r="JJ12" s="2465" t="str">
        <x:f>IF($HA$1,"-","Add Jst#4 Bolt N/F/B")</x:f>
        <x:v>Add Jst#4 Bolt N/F/B</x:v>
      </x:c>
      <x:c r="JK12" s="2642" t="str">
        <x:f>IF($HA$1,"# Rows Req'd","# Rows Req'd")</x:f>
        <x:v># Rows Req'd</x:v>
      </x:c>
      <x:c r="JL12" s="2644" t="s">
        <x:v>1216</x:v>
      </x:c>
      <x:c r="JM12" s="289"/>
    </x:row>
    <x:row r="13" spans="1:276" ht="21" customHeight="1" thickTop="1" thickBot="1" x14ac:dyDescent="0.25">
      <x:c r="A13" s="1403"/>
      <x:c r="B13" s="1403"/>
      <x:c r="C13" s="1403"/>
      <x:c r="D13" s="1403"/>
      <x:c r="E13" s="1403"/>
      <x:c r="F13" s="1403"/>
      <x:c r="G13" s="1403"/>
      <x:c r="H13" s="1403"/>
      <x:c r="I13" s="1403"/>
      <x:c r="J13" s="1403"/>
      <x:c r="K13" s="1403"/>
      <x:c r="L13" s="1403"/>
      <x:c r="M13" s="1403"/>
      <x:c r="N13" s="1403"/>
      <x:c r="O13" s="1403"/>
      <x:c r="P13" s="1403"/>
      <x:c r="Q13" s="1403"/>
      <x:c r="R13" s="1403"/>
      <x:c r="S13" s="1403"/>
      <x:c r="T13" s="1403"/>
      <x:c r="U13" s="1403"/>
      <x:c r="V13" s="1403"/>
      <x:c r="W13" s="1403"/>
      <x:c r="X13" s="1403"/>
      <x:c r="Y13" s="1403"/>
      <x:c r="Z13" s="1403"/>
      <x:c r="AA13" s="1403"/>
      <x:c r="AB13" s="2454"/>
      <x:c r="AC13" s="2337"/>
      <x:c r="AD13" s="2340"/>
      <x:c r="AE13" s="2341"/>
      <x:c r="AF13" s="1839" t="s">
        <x:v>33</x:v>
      </x:c>
      <x:c r="AG13" s="2351" t="s">
        <x:v>16</x:v>
      </x:c>
      <x:c r="AH13" s="2352"/>
      <x:c r="AI13" s="2340"/>
      <x:c r="AJ13" s="2341"/>
      <x:c r="AK13" s="2346"/>
      <x:c r="AL13" s="1439" t="s">
        <x:v>779</x:v>
      </x:c>
      <x:c r="AM13" s="1840" t="s">
        <x:v>776</x:v>
      </x:c>
      <x:c r="AN13" s="1840" t="s">
        <x:v>777</x:v>
      </x:c>
      <x:c r="AO13" s="1843" t="s">
        <x:v>61</x:v>
      </x:c>
      <x:c r="AP13" s="1842" t="s">
        <x:v>780</x:v>
      </x:c>
      <x:c r="AQ13" s="1440" t="s">
        <x:v>781</x:v>
      </x:c>
      <x:c r="AR13" s="2353" t="s">
        <x:v>59</x:v>
      </x:c>
      <x:c r="AS13" s="2352"/>
      <x:c r="AT13" s="1441" t="s">
        <x:v>64</x:v>
      </x:c>
      <x:c r="AU13" s="1442" t="s">
        <x:v>60</x:v>
      </x:c>
      <x:c r="AV13" s="2354" t="s">
        <x:v>59</x:v>
      </x:c>
      <x:c r="AW13" s="2355"/>
      <x:c r="AX13" s="1441" t="s">
        <x:v>64</x:v>
      </x:c>
      <x:c r="AY13" s="1442" t="s">
        <x:v>60</x:v>
      </x:c>
      <x:c r="AZ13" s="2354" t="s">
        <x:v>59</x:v>
      </x:c>
      <x:c r="BA13" s="2355"/>
      <x:c r="BB13" s="1441" t="s">
        <x:v>64</x:v>
      </x:c>
      <x:c r="BC13" s="1442" t="s">
        <x:v>60</x:v>
      </x:c>
      <x:c r="BD13" s="2354" t="s">
        <x:v>59</x:v>
      </x:c>
      <x:c r="BE13" s="2355"/>
      <x:c r="BF13" s="1441" t="s">
        <x:v>64</x:v>
      </x:c>
      <x:c r="BG13" s="1442" t="s">
        <x:v>60</x:v>
      </x:c>
      <x:c r="BH13" s="322"/>
      <x:c r="BJ13" s="139"/>
      <x:c r="BK13" s="139"/>
      <x:c r="BL13" s="139"/>
      <x:c r="BM13" s="139"/>
      <x:c r="BN13" s="139"/>
      <x:c r="BW13" s="441" t="s">
        <x:v>672</x:v>
      </x:c>
      <x:c r="BX13" s="442" t="s">
        <x:v>673</x:v>
      </x:c>
      <x:c r="BY13" s="442" t="s">
        <x:v>171</x:v>
      </x:c>
      <x:c r="BZ13" s="441" t="s">
        <x:v>830</x:v>
      </x:c>
      <x:c r="CB13" s="237"/>
      <x:c r="CC13" s="237"/>
      <x:c r="CD13" s="237"/>
      <x:c r="CE13" s="237"/>
      <x:c r="CF13" s="237"/>
      <x:c r="CG13" s="237"/>
      <x:c r="CH13" s="237"/>
      <x:c r="CI13" s="237"/>
      <x:c r="CJ13" s="237"/>
      <x:c r="CK13" s="237"/>
      <x:c r="CL13" s="237"/>
      <x:c r="CM13" s="237"/>
      <x:c r="CN13" s="237"/>
      <x:c r="CO13" s="237"/>
      <x:c r="CP13" s="237"/>
      <x:c r="CQ13" s="237"/>
      <x:c r="CR13" s="237"/>
      <x:c r="CS13" s="237"/>
      <x:c r="CT13" s="237"/>
      <x:c r="CU13" s="237"/>
      <x:c r="CV13" s="237"/>
      <x:c r="CW13" s="237"/>
      <x:c r="CX13" s="173"/>
      <x:c r="CY13" s="237"/>
      <x:c r="CZ13" s="173"/>
      <x:c r="DA13" s="173"/>
      <x:c r="DB13" s="173"/>
      <x:c r="DC13" s="173"/>
      <x:c r="DD13" s="173"/>
      <x:c r="DE13" s="173"/>
      <x:c r="DF13" s="173"/>
      <x:c r="DG13" s="173"/>
      <x:c r="DH13" s="2383"/>
      <x:c r="DI13" s="2357"/>
      <x:c r="DJ13" s="2360"/>
      <x:c r="DK13" s="2361"/>
      <x:c r="DL13" s="2363"/>
      <x:c r="DM13" s="2366"/>
      <x:c r="DN13" s="2367"/>
      <x:c r="DO13" s="2380"/>
      <x:c r="DP13" s="2335"/>
      <x:c r="DQ13" s="2367"/>
      <x:c r="DR13" s="2367"/>
      <x:c r="DS13" s="2367"/>
      <x:c r="DT13" s="634" t="s">
        <x:v>646</x:v>
      </x:c>
      <x:c r="DU13" s="635" t="s">
        <x:v>647</x:v>
      </x:c>
      <x:c r="DV13" s="669" t="s">
        <x:v>674</x:v>
      </x:c>
      <x:c r="DW13" s="670" t="s">
        <x:v>648</x:v>
      </x:c>
      <x:c r="DX13" s="2363"/>
      <x:c r="DY13" s="2364"/>
      <x:c r="DZ13" s="669" t="s">
        <x:v>674</x:v>
      </x:c>
      <x:c r="EA13" s="670" t="s">
        <x:v>648</x:v>
      </x:c>
      <x:c r="EB13" s="2363"/>
      <x:c r="EC13" s="2364"/>
      <x:c r="ED13" s="669" t="s">
        <x:v>674</x:v>
      </x:c>
      <x:c r="EE13" s="670" t="s">
        <x:v>648</x:v>
      </x:c>
      <x:c r="EF13" s="2363"/>
      <x:c r="EG13" s="2364"/>
      <x:c r="EH13" s="669" t="s">
        <x:v>674</x:v>
      </x:c>
      <x:c r="EI13" s="670" t="s">
        <x:v>648</x:v>
      </x:c>
      <x:c r="EJ13" s="2363"/>
      <x:c r="EK13" s="2333"/>
      <x:c r="EL13" s="653"/>
      <x:c r="EM13" s="2384"/>
      <x:c r="EN13" s="1181"/>
      <x:c r="EO13" s="173"/>
      <x:c r="EP13" s="173"/>
      <x:c r="EQ13" s="173"/>
      <x:c r="ER13" s="173"/>
      <x:c r="ES13" s="173"/>
      <x:c r="ET13" s="173"/>
      <x:c r="EU13" s="173"/>
      <x:c r="EX13" s="442" t="s">
        <x:v>673</x:v>
      </x:c>
      <x:c r="EY13" s="1195" t="s">
        <x:v>1107</x:v>
      </x:c>
      <x:c r="EZ13" s="1198" t="s">
        <x:v>1109</x:v>
      </x:c>
      <x:c r="FA13" s="165" t="s">
        <x:v>1145</x:v>
      </x:c>
      <x:c r="FB13" s="1215" t="s">
        <x:v>177</x:v>
      </x:c>
      <x:c r="FC13" s="1215" t="s">
        <x:v>32</x:v>
      </x:c>
      <x:c r="FD13" s="1215" t="s">
        <x:v>34</x:v>
      </x:c>
      <x:c r="FE13" s="1215" t="s">
        <x:v>35</x:v>
      </x:c>
      <x:c r="FF13" s="1216" t="s">
        <x:v>1146</x:v>
      </x:c>
      <x:c r="FN13" s="1816" t="s">
        <x:v>1147</x:v>
      </x:c>
      <x:c r="FO13" s="1817" t="s">
        <x:v>1255</x:v>
      </x:c>
      <x:c r="FP13" s="1195" t="s">
        <x:v>1147</x:v>
      </x:c>
      <x:c r="FQ13" s="1817" t="s">
        <x:v>1256</x:v>
      </x:c>
      <x:c r="FX13" s="236"/>
      <x:c r="FZ13" s="2"/>
      <x:c r="GA13" s="173"/>
      <x:c r="GB13" s="173"/>
      <x:c r="GC13" s="173"/>
      <x:c r="GD13" s="173"/>
      <x:c r="GE13" s="173"/>
      <x:c r="GF13" s="173"/>
      <x:c r="GG13" s="173"/>
      <x:c r="GH13" s="173"/>
      <x:c r="GI13" s="173"/>
      <x:c r="GJ13" s="173"/>
      <x:c r="GK13" s="2"/>
      <x:c r="GO13" s="171"/>
      <x:c r="GZ13" s="171"/>
      <x:c r="HA13" s="161"/>
      <x:c r="HB13" s="161"/>
      <x:c r="HC13" s="161"/>
      <x:c r="HD13" s="161"/>
      <x:c r="HE13" s="161"/>
      <x:c r="HF13" s="161"/>
      <x:c r="HG13" s="161"/>
      <x:c r="HH13" s="161"/>
      <x:c r="HI13" s="161"/>
      <x:c r="HM13" s="162"/>
      <x:c r="HN13" s="163"/>
      <x:c r="ID13" s="172"/>
      <x:c r="IE13" s="2563"/>
      <x:c r="IF13" s="2466"/>
      <x:c r="IG13" s="2466"/>
      <x:c r="IH13" s="2466"/>
      <x:c r="II13" s="2466"/>
      <x:c r="IJ13" s="2466"/>
      <x:c r="IK13" s="2466"/>
      <x:c r="IL13" s="2466"/>
      <x:c r="IM13" s="2466"/>
      <x:c r="IN13" s="2466"/>
      <x:c r="IO13" s="2466"/>
      <x:c r="IP13" s="2466"/>
      <x:c r="IQ13" s="2466"/>
      <x:c r="IR13" s="2466"/>
      <x:c r="IS13" s="2466"/>
      <x:c r="IT13" s="2466"/>
      <x:c r="IU13" s="2466"/>
      <x:c r="IV13" s="2466"/>
      <x:c r="IW13" s="2466"/>
      <x:c r="IX13" s="2466"/>
      <x:c r="IY13" s="2466"/>
      <x:c r="IZ13" s="2466"/>
      <x:c r="JA13" s="2466"/>
      <x:c r="JB13" s="2466"/>
      <x:c r="JC13" s="2466"/>
      <x:c r="JD13" s="2466"/>
      <x:c r="JE13" s="2466"/>
      <x:c r="JF13" s="2466"/>
      <x:c r="JG13" s="2466"/>
      <x:c r="JH13" s="2466"/>
      <x:c r="JI13" s="2466"/>
      <x:c r="JJ13" s="2466"/>
      <x:c r="JK13" s="2643"/>
      <x:c r="JL13" s="2645"/>
      <x:c r="JM13" s="289"/>
    </x:row>
    <x:row r="14" spans="1:276" ht="12.6" customHeight="1" thickTop="1" thickBot="1" x14ac:dyDescent="0.3">
      <x:c r="A14" s="1403"/>
      <x:c r="B14" s="1403"/>
      <x:c r="C14" s="1403"/>
      <x:c r="D14" s="1403"/>
      <x:c r="E14" s="1403"/>
      <x:c r="F14" s="1403"/>
      <x:c r="G14" s="1403"/>
      <x:c r="H14" s="1403"/>
      <x:c r="I14" s="1403"/>
      <x:c r="J14" s="1403"/>
      <x:c r="K14" s="1403"/>
      <x:c r="L14" s="1403"/>
      <x:c r="M14" s="1403"/>
      <x:c r="N14" s="1403"/>
      <x:c r="O14" s="1403"/>
      <x:c r="P14" s="1403"/>
      <x:c r="Q14" s="1403"/>
      <x:c r="R14" s="1403"/>
      <x:c r="S14" s="1403"/>
      <x:c r="T14" s="1403"/>
      <x:c r="U14" s="1403"/>
      <x:c r="V14" s="1403"/>
      <x:c r="W14" s="1403"/>
      <x:c r="X14" s="1403"/>
      <x:c r="Y14" s="1403"/>
      <x:c r="Z14" s="1403"/>
      <x:c r="AA14" s="1403"/>
      <x:c r="AB14" s="2106" t="s">
        <x:v>1263</x:v>
      </x:c>
      <x:c r="AC14" s="2107" t="s">
        <x:v>34</x:v>
      </x:c>
      <x:c r="AD14" s="2108">
        <x:v>6</x:v>
      </x:c>
      <x:c r="AE14" s="2109">
        <x:v>2.375</x:v>
      </x:c>
      <x:c r="AF14" s="2107">
        <x:v>5</x:v>
      </x:c>
      <x:c r="AG14" s="2108">
        <x:v>7</x:v>
      </x:c>
      <x:c r="AH14" s="2109">
        <x:v>2</x:v>
      </x:c>
      <x:c r="AI14" s="2108">
        <x:v>7</x:v>
      </x:c>
      <x:c r="AJ14" s="2109">
        <x:v>0.125</x:v>
      </x:c>
      <x:c r="AK14" s="2110" t="str">
        <x:f>IF(ISBLANK(DO14),"",DO14)</x:f>
        <x:v/>
      </x:c>
      <x:c r="AL14" s="2111" t="str">
        <x:f>IF(ISBLANK(DP14),"",DP14)</x:f>
        <x:v/>
      </x:c>
      <x:c r="AM14" s="2112">
        <x:v>5</x:v>
      </x:c>
      <x:c r="AN14" s="2107">
        <x:v>13</x:v>
      </x:c>
      <x:c r="AO14" s="2113">
        <x:v>4</x:v>
      </x:c>
      <x:c r="AP14" s="2114" t="str">
        <x:f t="shared" ref="AP14:AQ45" si="3">IF(OR(GD54="",GD54=0),"",GD54)</x:f>
        <x:v/>
      </x:c>
      <x:c r="AQ14" s="2115">
        <x:v>1.75</x:v>
      </x:c>
      <x:c r="AR14" s="2116" t="str">
        <x:f t="shared" ref="AR14:AR45" si="4">IF(GF54="","",IF(ISTEXT(GF54),"P",TRUNC(GF54/12)))</x:f>
        <x:v/>
      </x:c>
      <x:c r="AS14" s="2109" t="str">
        <x:f t="shared" ref="AS14:AS45" si="5">IF(GF54="","",IF(AR14="P",GF54,GF54-(AR14*12)))</x:f>
        <x:v/>
      </x:c>
      <x:c r="AT14" s="2117" t="str">
        <x:f>IF(ISBLANK(DX14),"",DX14)</x:f>
        <x:v/>
      </x:c>
      <x:c r="AU14" s="2118" t="str">
        <x:f>IF(ISBLANK(DY14),"",DY14)</x:f>
        <x:v/>
      </x:c>
      <x:c r="AV14" s="2119" t="str">
        <x:f t="shared" ref="AV14:AV45" si="6">IF(GG54="","",IF(ISTEXT(GG54),"P",TRUNC(GG54/12)))</x:f>
        <x:v/>
      </x:c>
      <x:c r="AW14" s="2109" t="str">
        <x:f t="shared" ref="AW14:AW45" si="7">IF(GG54="","",IF(AV14="P",GG54,GG54-(AV14*12)))</x:f>
        <x:v/>
      </x:c>
      <x:c r="AX14" s="2117" t="str">
        <x:f>IF(ISBLANK(EB14),"",EB14)</x:f>
        <x:v/>
      </x:c>
      <x:c r="AY14" s="2118" t="str">
        <x:f>IF(ISBLANK(EC14),"",EC14)</x:f>
        <x:v/>
      </x:c>
      <x:c r="AZ14" s="2119" t="str">
        <x:f t="shared" ref="AZ14:AZ45" si="8">IF(GH54="","",IF(ISTEXT(GH54),"P",TRUNC(GH54/12)))</x:f>
        <x:v/>
      </x:c>
      <x:c r="BA14" s="2109" t="str">
        <x:f t="shared" ref="BA14:BA45" si="9">IF(GH54="","",IF(AZ14="P",GH54,GH54-(AZ14*12)))</x:f>
        <x:v/>
      </x:c>
      <x:c r="BB14" s="2117" t="str">
        <x:f>IF(ISBLANK(EF14),"",EF14)</x:f>
        <x:v/>
      </x:c>
      <x:c r="BC14" s="2118" t="str">
        <x:f>IF(ISBLANK(EG14),"",EG14)</x:f>
        <x:v/>
      </x:c>
      <x:c r="BD14" s="2119" t="str">
        <x:f t="shared" ref="BD14:BD45" si="10">IF(GI54="","",IF(ISTEXT(GI54),"P",TRUNC(GI54/12)))</x:f>
        <x:v/>
      </x:c>
      <x:c r="BE14" s="2109" t="str">
        <x:f t="shared" ref="BE14:BE45" si="11">IF(GI54="","",IF(BD14="P",GI54,GI54-(BD14*12)))</x:f>
        <x:v/>
      </x:c>
      <x:c r="BF14" s="2117" t="str">
        <x:f>IF(ISBLANK(EJ14),"",EJ14)</x:f>
        <x:v/>
      </x:c>
      <x:c r="BG14" s="2120" t="str">
        <x:f>IF(ISBLANK(EK14),"",EK14)</x:f>
        <x:v/>
      </x:c>
      <x:c r="BH14" s="322"/>
      <x:c r="BJ14" s="178"/>
      <x:c r="BK14" s="171"/>
      <x:c r="BL14" s="2000"/>
      <x:c r="BW14" s="1253">
        <x:f>IF(AB14="",0,1)+IF(AC14="",0,1)+IF(AD14="",0,1)+IF(AE14="",0,1)+IF(AF14="",0,1)+IF(AG14="",0,1)+IF(AH14="",0,1)+IF(AI14="",0,1)+IF(AJ14="",0,1)+IF(AK14="",0,1)+IF(AL14="",0,1)+IF(AM14="",0,1)+IF(AN14="",0,1)+IF(AO14="",0,1)+IF(AP14="",0,1)+IF(AQ14="",0,1)+IF(AR14="",0,1)+IF(AS14="",0,1)+IF(AT14="",0,1)+IF(AU14="",0,1)+IF(AV14="",0,1)+IF(AW14="",0,1)+IF(AX14="",0,1)+IF(AY14="",0,1)+IF(AZ14="",0,1)+IF(BA14="",0,1)+IF(BB14="",0,1)+IF(BC14="",0,1)+IF(BD14="",0,1)+IF(BE14="",0,1)+IF(BF14="",0,1)+IF(BG14="",0,1)</x:f>
        <x:v>13</x:v>
      </x:c>
      <x:c r="BX14" s="1257" t="str">
        <x:f>AB14</x:f>
        <x:v>G1</x:v>
      </x:c>
      <x:c r="BY14" s="1254" t="b">
        <x:f>IF(ISERROR(VLOOKUP(BX14,$BJ$14:$BL$45,3,FALSE)),FALSE,VLOOKUP(BX14,$BJ$14:$BL$45,3,FALSE))</x:f>
        <x:v>0</x:v>
      </x:c>
      <x:c r="BZ14" s="1255" t="b">
        <x:f>IF($BK$1,IF(BX14="",FALSE,IF(ISERROR(VLOOKUP(BX14,$A$28:$B$45,2,FALSE)),FALSE,IF(VLOOKUP(BX14,$A$28:$B$45,2,FALSE)=0,TRUE,FALSE))))</x:f>
        <x:v>0</x:v>
      </x:c>
      <x:c r="CB14" s="237"/>
      <x:c r="CC14" s="237"/>
      <x:c r="CD14" s="237"/>
      <x:c r="CE14" s="237"/>
      <x:c r="CF14" s="237"/>
      <x:c r="CG14" s="173"/>
      <x:c r="CH14" s="173"/>
      <x:c r="CI14" s="173"/>
      <x:c r="CJ14" s="173"/>
      <x:c r="CK14" s="173"/>
      <x:c r="CL14" s="173"/>
      <x:c r="CM14" s="237"/>
      <x:c r="CN14" s="237"/>
      <x:c r="CO14" s="237"/>
      <x:c r="CP14" s="237"/>
      <x:c r="CQ14" s="237"/>
      <x:c r="CR14" s="237"/>
      <x:c r="CS14" s="237"/>
      <x:c r="CT14" s="237"/>
      <x:c r="CU14" s="237"/>
      <x:c r="CV14" s="237"/>
      <x:c r="CW14" s="237"/>
      <x:c r="CX14" s="173"/>
      <x:c r="CY14" s="237"/>
      <x:c r="CZ14" s="173"/>
      <x:c r="DA14" s="173"/>
      <x:c r="DB14" s="173"/>
      <x:c r="DC14" s="173"/>
      <x:c r="DD14" s="173"/>
      <x:c r="DE14" s="173"/>
      <x:c r="DF14" s="173"/>
      <x:c r="DG14" s="173"/>
      <x:c r="DH14" s="842"/>
      <x:c r="DI14" s="830"/>
      <x:c r="DJ14" s="868"/>
      <x:c r="DK14" s="869"/>
      <x:c r="DL14" s="831"/>
      <x:c r="DM14" s="870"/>
      <x:c r="DN14" s="871"/>
      <x:c r="DO14" s="832"/>
      <x:c r="DP14" s="833"/>
      <x:c r="DQ14" s="834"/>
      <x:c r="DR14" s="834"/>
      <x:c r="DS14" s="835"/>
      <x:c r="DT14" s="947"/>
      <x:c r="DU14" s="948"/>
      <x:c r="DV14" s="849"/>
      <x:c r="DW14" s="850"/>
      <x:c r="DX14" s="839"/>
      <x:c r="DY14" s="840"/>
      <x:c r="DZ14" s="849"/>
      <x:c r="EA14" s="838"/>
      <x:c r="EB14" s="839"/>
      <x:c r="EC14" s="840"/>
      <x:c r="ED14" s="849"/>
      <x:c r="EE14" s="838"/>
      <x:c r="EF14" s="839"/>
      <x:c r="EG14" s="840"/>
      <x:c r="EH14" s="849"/>
      <x:c r="EI14" s="838"/>
      <x:c r="EJ14" s="839"/>
      <x:c r="EK14" s="841"/>
      <x:c r="EL14" s="1182"/>
      <x:c r="EM14" s="1267"/>
      <x:c r="EN14" s="1181"/>
      <x:c r="EO14" s="173"/>
      <x:c r="EP14" s="173"/>
      <x:c r="EQ14" s="173"/>
      <x:c r="ER14" s="173"/>
      <x:c r="ES14" s="173"/>
      <x:c r="ET14" s="173"/>
      <x:c r="EU14" s="173"/>
      <x:c r="EX14" s="1194" t="str">
        <x:f>CONCATENATE(BX14,AC14)</x:f>
        <x:v>G1N</x:v>
      </x:c>
      <x:c r="EY14" s="1196" t="b">
        <x:f t="shared" ref="EY14:EY45" ca="1" si="12">IF(OR(ISBLANK(AB14),AB14=""),"",VLOOKUP(LEFT(EX14,LEN(EX14)-1),$BJ$28:$BO$45,6,FALSE)=SUMIF($EX$14:$EX$45,EX14,$AF$14:$AF$45)+2)</x:f>
        <x:v>1</x:v>
      </x:c>
      <x:c r="EZ14" s="1196">
        <x:f>IF(AB14="","",IF(VLOOKUP(BX14,$A$28:$F$45,6,FALSE)="",0,HLOOKUP(VLOOKUP(BX14,$A$28:$F$45,6,FALSE),$FG$4:$FI$5,2,TRUE)))</x:f>
        <x:v>5</x:v>
      </x:c>
      <x:c r="FA14" s="1217" t="b">
        <x:f>IF(FB15="","",FB14=FF14)</x:f>
        <x:v>1</x:v>
      </x:c>
      <x:c r="FB14" s="1218">
        <x: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x:f>
        <x:v>588.5</x:v>
      </x:c>
      <x:c r="FC14" s="1218">
        <x:f t="shared" ref="FC14:FC45" si="13">IF(ISNUMBER(AD14),AD14,0)*12+IF(ISNUMBER(AE14),AE14,0)</x:f>
        <x:v>74.375</x:v>
      </x:c>
      <x:c r="FD14" s="1218">
        <x:f t="shared" ref="FD14:FD45" si="14">IF(ISNUMBER(AF14),AF14,0)*(IF(ISNUMBER(AG14),AG14,0)*12+IF(ISNUMBER(AH14),AH14,0))</x:f>
        <x:v>430</x:v>
      </x:c>
      <x:c r="FE14" s="1218">
        <x:f t="shared" ref="FE14:FE45" si="15">IF(ISNUMBER(AI14),AI14,0)*12+IF(ISNUMBER(AJ14),AJ14,0)</x:f>
        <x:v>84.125</x:v>
      </x:c>
      <x:c r="FF14" s="1218">
        <x:f>SUM(FC14:FE14)+IF(FE14=0,FF15,0)</x:f>
        <x:v>588.5</x:v>
      </x:c>
      <x:c r="FN14" s="969"/>
      <x:c r="FO14" s="969"/>
      <x:c r="FP14" s="969" t="b">
        <x:v>0</x:v>
      </x:c>
      <x:c r="FQ14" s="969" t="b">
        <x:f>NOT(ISERROR(VLOOKUP(AB14,$A$28:$A$45,1,FALSE)))</x:f>
        <x:v>1</x:v>
      </x:c>
      <x:c r="FX14" s="236"/>
      <x:c r="FZ14" s="2"/>
      <x:c r="GA14" s="173"/>
      <x:c r="GB14" s="173"/>
      <x:c r="GC14" s="173"/>
      <x:c r="GD14" s="173"/>
      <x:c r="GE14" s="173"/>
      <x:c r="GF14" s="173"/>
      <x:c r="GG14" s="173"/>
      <x:c r="GH14" s="173"/>
      <x:c r="GI14" s="173"/>
      <x:c r="GJ14" s="173"/>
      <x:c r="GK14" s="2"/>
      <x:c r="GO14" s="171"/>
      <x:c r="GZ14" s="171"/>
      <x:c r="HA14" s="161"/>
      <x:c r="HB14" s="161"/>
      <x:c r="HC14" s="161"/>
      <x:c r="HD14" s="161"/>
      <x:c r="HE14" s="161"/>
      <x:c r="HF14" s="161"/>
      <x:c r="HG14" s="161"/>
      <x:c r="HH14" s="161"/>
      <x:c r="HI14" s="161"/>
      <x:c r="HM14" s="162"/>
      <x:c r="HN14" s="163"/>
      <x:c r="ID14" s="1001"/>
      <x:c r="IE14" s="1627" t="s">
        <x:v>1263</x:v>
      </x:c>
      <x:c r="IF14" s="1628" t="s">
        <x:v>34</x:v>
      </x:c>
      <x:c r="IG14" s="1629">
        <x:v>6</x:v>
      </x:c>
      <x:c r="IH14" s="1630">
        <x:v>2.375</x:v>
      </x:c>
      <x:c r="II14" s="1628">
        <x:v>5</x:v>
      </x:c>
      <x:c r="IJ14" s="1629">
        <x:v>7</x:v>
      </x:c>
      <x:c r="IK14" s="1630">
        <x:v>2</x:v>
      </x:c>
      <x:c r="IL14" s="1628">
        <x:v>7</x:v>
      </x:c>
      <x:c r="IM14" s="1628">
        <x:v>0.125</x:v>
      </x:c>
      <x:c r="IN14" s="1628" t="s">
        <x:v>117</x:v>
      </x:c>
      <x:c r="IO14" s="1628" t="s">
        <x:v>117</x:v>
      </x:c>
      <x:c r="IP14" s="1628">
        <x:v>5</x:v>
      </x:c>
      <x:c r="IQ14" s="1628">
        <x:v>13</x:v>
      </x:c>
      <x:c r="IR14" s="1628">
        <x:v>4</x:v>
      </x:c>
      <x:c r="IS14" s="1629" t="s">
        <x:v>117</x:v>
      </x:c>
      <x:c r="IT14" s="1630">
        <x:v>1.75</x:v>
      </x:c>
      <x:c r="IU14" s="1628" t="s">
        <x:v>117</x:v>
      </x:c>
      <x:c r="IV14" s="1628" t="s">
        <x:v>117</x:v>
      </x:c>
      <x:c r="IW14" s="1629" t="s">
        <x:v>117</x:v>
      </x:c>
      <x:c r="IX14" s="1630" t="s">
        <x:v>117</x:v>
      </x:c>
      <x:c r="IY14" s="1628" t="s">
        <x:v>117</x:v>
      </x:c>
      <x:c r="IZ14" s="1628" t="s">
        <x:v>117</x:v>
      </x:c>
      <x:c r="JA14" s="1629" t="s">
        <x:v>117</x:v>
      </x:c>
      <x:c r="JB14" s="1630" t="s">
        <x:v>117</x:v>
      </x:c>
      <x:c r="JC14" s="1628" t="s">
        <x:v>117</x:v>
      </x:c>
      <x:c r="JD14" s="1628" t="s">
        <x:v>117</x:v>
      </x:c>
      <x:c r="JE14" s="1629" t="s">
        <x:v>117</x:v>
      </x:c>
      <x:c r="JF14" s="1630" t="s">
        <x:v>117</x:v>
      </x:c>
      <x:c r="JG14" s="1628" t="s">
        <x:v>117</x:v>
      </x:c>
      <x:c r="JH14" s="1628" t="s">
        <x:v>117</x:v>
      </x:c>
      <x:c r="JI14" s="1628" t="s">
        <x:v>117</x:v>
      </x:c>
      <x:c r="JJ14" s="1631" t="s">
        <x:v>117</x:v>
      </x:c>
      <x:c r="JK14" s="1628">
        <x:v>1</x:v>
      </x:c>
      <x:c r="JL14" s="1520">
        <x:f>IF(JK14="",0,1)</x:f>
        <x:v>1</x:v>
      </x:c>
      <x:c r="JM14" s="289"/>
    </x:row>
    <x:row r="15" spans="1:276" ht="12.6" customHeight="1" thickTop="1" x14ac:dyDescent="0.25">
      <x:c r="A15" s="1403"/>
      <x:c r="B15" s="1403"/>
      <x:c r="C15" s="1403"/>
      <x:c r="D15" s="1403"/>
      <x:c r="E15" s="1403"/>
      <x:c r="F15" s="1403"/>
      <x:c r="G15" s="1403"/>
      <x:c r="H15" s="1403"/>
      <x:c r="I15" s="1403"/>
      <x:c r="J15" s="1403"/>
      <x:c r="K15" s="1403"/>
      <x:c r="L15" s="1403"/>
      <x:c r="M15" s="1403"/>
      <x:c r="N15" s="1403"/>
      <x:c r="O15" s="1403"/>
      <x:c r="P15" s="1403"/>
      <x:c r="Q15" s="1403"/>
      <x:c r="R15" s="1403"/>
      <x:c r="S15" s="1403"/>
      <x:c r="T15" s="1403"/>
      <x:c r="U15" s="1403"/>
      <x:c r="V15" s="1403"/>
      <x:c r="W15" s="1403"/>
      <x:c r="X15" s="1403"/>
      <x:c r="Y15" s="1403"/>
      <x:c r="Z15" s="1403"/>
      <x:c r="AA15" s="1403"/>
      <x:c r="AB15" s="1264" t="s">
        <x:v>1265</x:v>
      </x:c>
      <x:c r="AC15" s="1260" t="s">
        <x:v>34</x:v>
      </x:c>
      <x:c r="AD15" s="1261">
        <x:v>6</x:v>
      </x:c>
      <x:c r="AE15" s="1262">
        <x:v>10</x:v>
      </x:c>
      <x:c r="AF15" s="1260">
        <x:v>5</x:v>
      </x:c>
      <x:c r="AG15" s="1261">
        <x:v>7</x:v>
      </x:c>
      <x:c r="AH15" s="1262">
        <x:v>2</x:v>
      </x:c>
      <x:c r="AI15" s="1261">
        <x:v>7</x:v>
      </x:c>
      <x:c r="AJ15" s="1262">
        <x:v>0</x:v>
      </x:c>
      <x:c r="AK15" s="1599" t="str">
        <x:f t="shared" ref="AK15:AO30" si="16">IF(ISBLANK(DO15),"",DO15)</x:f>
        <x:v/>
      </x:c>
      <x:c r="AL15" s="1600" t="str">
        <x:f t="shared" si="16"/>
        <x:v/>
      </x:c>
      <x:c r="AM15" s="1601">
        <x:v>5</x:v>
      </x:c>
      <x:c r="AN15" s="1260">
        <x:v>13</x:v>
      </x:c>
      <x:c r="AO15" s="1409">
        <x:v>4</x:v>
      </x:c>
      <x:c r="AP15" s="1327">
        <x:v>1.75</x:v>
      </x:c>
      <x:c r="AQ15" s="1602">
        <x:v>1.75</x:v>
      </x:c>
      <x:c r="AR15" s="1263" t="str">
        <x:f t="shared" si="4"/>
        <x:v/>
      </x:c>
      <x:c r="AS15" s="1262" t="str">
        <x:f t="shared" si="5"/>
        <x:v/>
      </x:c>
      <x:c r="AT15" s="1603" t="str">
        <x:f t="shared" ref="AT15:AU30" si="17">IF(ISBLANK(DX15),"",DX15)</x:f>
        <x:v/>
      </x:c>
      <x:c r="AU15" s="1410" t="str">
        <x:f t="shared" si="17"/>
        <x:v/>
      </x:c>
      <x:c r="AV15" s="1328" t="str">
        <x:f t="shared" si="6"/>
        <x:v/>
      </x:c>
      <x:c r="AW15" s="1262" t="str">
        <x:f t="shared" si="7"/>
        <x:v/>
      </x:c>
      <x:c r="AX15" s="1603" t="str">
        <x:f t="shared" ref="AX15:AY30" si="18">IF(ISBLANK(EB15),"",EB15)</x:f>
        <x:v/>
      </x:c>
      <x:c r="AY15" s="1410" t="str">
        <x:f t="shared" si="18"/>
        <x:v/>
      </x:c>
      <x:c r="AZ15" s="1328" t="str">
        <x:f t="shared" si="8"/>
        <x:v/>
      </x:c>
      <x:c r="BA15" s="1262" t="str">
        <x:f t="shared" si="9"/>
        <x:v/>
      </x:c>
      <x:c r="BB15" s="1603" t="str">
        <x:f t="shared" ref="BB15:BC30" si="19">IF(ISBLANK(EF15),"",EF15)</x:f>
        <x:v/>
      </x:c>
      <x:c r="BC15" s="1410" t="str">
        <x:f t="shared" si="19"/>
        <x:v/>
      </x:c>
      <x:c r="BD15" s="1328" t="str">
        <x:f t="shared" si="10"/>
        <x:v/>
      </x:c>
      <x:c r="BE15" s="1262" t="str">
        <x:f t="shared" si="11"/>
        <x:v/>
      </x:c>
      <x:c r="BF15" s="1603" t="str">
        <x:f t="shared" ref="BF15:BG30" si="20">IF(ISBLANK(EJ15),"",EJ15)</x:f>
        <x:v/>
      </x:c>
      <x:c r="BG15" s="1410" t="str">
        <x:f t="shared" si="20"/>
        <x:v/>
      </x:c>
      <x:c r="BH15" s="322"/>
      <x:c r="BJ15" s="178"/>
      <x:c r="BK15" s="171"/>
      <x:c r="BL15" s="2000"/>
      <x:c r="BW15" s="1253">
        <x:f t="shared" ref="BW15:BW45" si="21">IF(AB15="",0,1)+IF(AC15="",0,1)+IF(AD15="",0,1)+IF(AE15="",0,1)+IF(AF15="",0,1)+IF(AG15="",0,1)+IF(AH15="",0,1)+IF(AI15="",0,1)+IF(AJ15="",0,1)+IF(AK15="",0,1)+IF(AL15="",0,1)+IF(AM15="",0,1)+IF(AN15="",0,1)+IF(AO15="",0,1)+IF(AP15="",0,1)+IF(AQ15="",0,1)+IF(AR15="",0,1)+IF(AS15="",0,1)+IF(AT15="",0,1)+IF(AU15="",0,1)+IF(AV15="",0,1)+IF(AW15="",0,1)+IF(AX15="",0,1)+IF(AY15="",0,1)+IF(AZ15="",0,1)+IF(BA15="",0,1)+IF(BB15="",0,1)+IF(BC15="",0,1)+IF(BD15="",0,1)+IF(BE15="",0,1)+IF(BF15="",0,1)+IF(BG15="",0,1)</x:f>
        <x:v>14</x:v>
      </x:c>
      <x:c r="BX15" s="1254" t="str">
        <x:f>IF(AND(AB15="",BW15&gt;0),BX14,IF(ISBLANK(AB15),"",AB15))</x:f>
        <x:v>G2</x:v>
      </x:c>
      <x:c r="BY15" s="1254" t="b">
        <x:f t="shared" ref="BY15:BY45" si="22">IF(ISERROR(VLOOKUP(BX15,$BJ$14:$BL$45,3,FALSE)),FALSE,VLOOKUP(BX15,$BJ$14:$BL$45,3,FALSE))</x:f>
        <x:v>0</x:v>
      </x:c>
      <x:c r="BZ15" s="1255" t="b">
        <x:f>IF($BK$1,IF(BX15="",FALSE,IF(ISERROR(VLOOKUP(BX15,$A$28:$B$45,2,FALSE)),FALSE,IF(VLOOKUP(BX15,$A$28:$B$45,2,FALSE)=0,TRUE,FALSE))))</x:f>
        <x:v>0</x:v>
      </x:c>
      <x:c r="CB15" s="237"/>
      <x:c r="CC15" s="237"/>
      <x:c r="CD15" s="237"/>
      <x:c r="CE15" s="237"/>
      <x:c r="CF15" s="237"/>
      <x:c r="CG15" s="173"/>
      <x:c r="CH15" s="173"/>
      <x:c r="CI15" s="173"/>
      <x:c r="CJ15" s="173"/>
      <x:c r="CK15" s="173"/>
      <x:c r="CL15" s="173"/>
      <x:c r="CM15" s="237"/>
      <x:c r="CN15" s="237"/>
      <x:c r="CO15" s="237"/>
      <x:c r="CP15" s="237"/>
      <x:c r="CQ15" s="237"/>
      <x:c r="CR15" s="237"/>
      <x:c r="CS15" s="237"/>
      <x:c r="CT15" s="237"/>
      <x:c r="CU15" s="237"/>
      <x:c r="CV15" s="237"/>
      <x:c r="CW15" s="237"/>
      <x:c r="CX15" s="173"/>
      <x:c r="CY15" s="237"/>
      <x:c r="CZ15" s="173"/>
      <x:c r="DA15" s="173"/>
      <x:c r="DB15" s="173"/>
      <x:c r="DC15" s="173"/>
      <x:c r="DD15" s="173"/>
      <x:c r="DE15" s="173"/>
      <x:c r="DF15" s="173"/>
      <x:c r="DG15" s="173"/>
      <x:c r="DH15" s="842"/>
      <x:c r="DI15" s="843"/>
      <x:c r="DJ15" s="872"/>
      <x:c r="DK15" s="873"/>
      <x:c r="DL15" s="844"/>
      <x:c r="DM15" s="874"/>
      <x:c r="DN15" s="875"/>
      <x:c r="DO15" s="845"/>
      <x:c r="DP15" s="846"/>
      <x:c r="DQ15" s="847"/>
      <x:c r="DR15" s="847"/>
      <x:c r="DS15" s="848"/>
      <x:c r="DT15" s="836"/>
      <x:c r="DU15" s="837"/>
      <x:c r="DV15" s="849"/>
      <x:c r="DW15" s="850"/>
      <x:c r="DX15" s="851"/>
      <x:c r="DY15" s="852"/>
      <x:c r="DZ15" s="849"/>
      <x:c r="EA15" s="850"/>
      <x:c r="EB15" s="851"/>
      <x:c r="EC15" s="852"/>
      <x:c r="ED15" s="849"/>
      <x:c r="EE15" s="850"/>
      <x:c r="EF15" s="851"/>
      <x:c r="EG15" s="852"/>
      <x:c r="EH15" s="849"/>
      <x:c r="EI15" s="850"/>
      <x:c r="EJ15" s="851"/>
      <x:c r="EK15" s="853"/>
      <x:c r="EL15" s="1182"/>
      <x:c r="EM15" s="1267"/>
      <x:c r="EN15" s="1183"/>
      <x:c r="EO15" s="1184"/>
      <x:c r="EP15" s="173"/>
      <x:c r="EQ15" s="173"/>
      <x:c r="ER15" s="173"/>
      <x:c r="ES15" s="173"/>
      <x:c r="ET15" s="173"/>
      <x:c r="EU15" s="173"/>
      <x:c r="EX15" s="1194" t="str">
        <x:f t="shared" ref="EX15:EX45" si="23">IF(AND(AC15="",BX15=BX14),EX14,CONCATENATE(BX15,AC15))</x:f>
        <x:v>G2N</x:v>
      </x:c>
      <x:c r="EY15" s="1196" t="b">
        <x:f t="shared" ca="1" si="12"/>
        <x:v>1</x:v>
      </x:c>
      <x:c r="EZ15" s="1196">
        <x:f t="shared" ref="EZ15:EZ45" si="24">IF(AB15="","",IF(VLOOKUP(BX15,$A$28:$F$45,6,FALSE)="",0,HLOOKUP(VLOOKUP(BX15,$A$28:$F$45,6,FALSE),$FG$4:$FI$5,2,TRUE)))</x:f>
        <x:v>5</x:v>
      </x:c>
      <x:c r="FA15" s="1217" t="b">
        <x:f>IF(FB15="","",IF(FC15=0,FA14,FB15=FF15))</x:f>
        <x:v>1</x:v>
      </x:c>
      <x:c r="FB15" s="1218">
        <x:f t="shared" ref="FB15:FB45" si="2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x:f>
        <x:v>596</x:v>
      </x:c>
      <x:c r="FC15" s="1218">
        <x:f t="shared" si="13"/>
        <x:v>82</x:v>
      </x:c>
      <x:c r="FD15" s="1218">
        <x:f t="shared" si="14"/>
        <x:v>430</x:v>
      </x:c>
      <x:c r="FE15" s="1218">
        <x:f t="shared" si="15"/>
        <x:v>84</x:v>
      </x:c>
      <x:c r="FF15" s="1218">
        <x:f t="shared" ref="FF15:FF45" si="26">SUM(FC15:FE15)+IF(FE15=0,FF16,0)</x:f>
        <x:v>596</x:v>
      </x:c>
      <x:c r="FN15" s="969"/>
      <x:c r="FO15" s="969"/>
      <x:c r="FP15" s="969" t="b">
        <x:v>0</x:v>
      </x:c>
      <x:c r="FQ15" s="969" t="b">
        <x:f t="shared" ref="FQ15:FQ45" si="27">NOT(ISERROR(VLOOKUP(AB15,$A$28:$A$45,1,FALSE)))</x:f>
        <x:v>1</x:v>
      </x:c>
      <x:c r="FX15" s="236"/>
      <x:c r="FZ15" s="2"/>
      <x:c r="GA15" s="173"/>
      <x:c r="GB15" s="173"/>
      <x:c r="GC15" s="173"/>
      <x:c r="GD15" s="173"/>
      <x:c r="GE15" s="173"/>
      <x:c r="GF15" s="173"/>
      <x:c r="GG15" s="173"/>
      <x:c r="GH15" s="173"/>
      <x:c r="GI15" s="173"/>
      <x:c r="GJ15" s="173"/>
      <x:c r="GK15" s="2"/>
      <x:c r="GO15" s="171"/>
      <x:c r="GZ15" s="171"/>
      <x:c r="HA15" s="2564" t="s">
        <x:v>662</x:v>
      </x:c>
      <x:c r="HB15" s="2565"/>
      <x:c r="HC15" s="2565"/>
      <x:c r="HD15" s="2565"/>
      <x:c r="HE15" s="2565"/>
      <x:c r="HF15" s="2565"/>
      <x:c r="HG15" s="2565"/>
      <x:c r="HH15" s="2565"/>
      <x:c r="HI15" s="2565"/>
      <x:c r="HJ15" s="2565"/>
      <x:c r="HK15" s="2565"/>
      <x:c r="HL15" s="2565"/>
      <x:c r="HM15" s="2565"/>
      <x:c r="HN15" s="2565"/>
      <x:c r="HO15" s="2565"/>
      <x:c r="HP15" s="2565"/>
      <x:c r="HQ15" s="2565"/>
      <x:c r="HR15" s="2565"/>
      <x:c r="HS15" s="2565"/>
      <x:c r="HT15" s="2565"/>
      <x:c r="HU15" s="2565"/>
      <x:c r="HV15" s="2565"/>
      <x:c r="HW15" s="2565"/>
      <x:c r="HX15" s="2566"/>
      <x:c r="ID15" s="1002"/>
      <x:c r="IE15" s="1612" t="s">
        <x:v>1265</x:v>
      </x:c>
      <x:c r="IF15" s="1613" t="s">
        <x:v>34</x:v>
      </x:c>
      <x:c r="IG15" s="1614">
        <x:v>6</x:v>
      </x:c>
      <x:c r="IH15" s="1615">
        <x:v>10</x:v>
      </x:c>
      <x:c r="II15" s="1613">
        <x:v>5</x:v>
      </x:c>
      <x:c r="IJ15" s="1614">
        <x:v>7</x:v>
      </x:c>
      <x:c r="IK15" s="1615">
        <x:v>2</x:v>
      </x:c>
      <x:c r="IL15" s="1613">
        <x:v>7</x:v>
      </x:c>
      <x:c r="IM15" s="1613">
        <x:v>0</x:v>
      </x:c>
      <x:c r="IN15" s="1613" t="s">
        <x:v>117</x:v>
      </x:c>
      <x:c r="IO15" s="1613" t="s">
        <x:v>117</x:v>
      </x:c>
      <x:c r="IP15" s="1613">
        <x:v>5</x:v>
      </x:c>
      <x:c r="IQ15" s="1613">
        <x:v>13</x:v>
      </x:c>
      <x:c r="IR15" s="1613">
        <x:v>4</x:v>
      </x:c>
      <x:c r="IS15" s="1614">
        <x:v>1.75</x:v>
      </x:c>
      <x:c r="IT15" s="1615">
        <x:v>1.75</x:v>
      </x:c>
      <x:c r="IU15" s="1613" t="s">
        <x:v>117</x:v>
      </x:c>
      <x:c r="IV15" s="1613" t="s">
        <x:v>117</x:v>
      </x:c>
      <x:c r="IW15" s="1614" t="s">
        <x:v>117</x:v>
      </x:c>
      <x:c r="IX15" s="1615" t="s">
        <x:v>117</x:v>
      </x:c>
      <x:c r="IY15" s="1613" t="s">
        <x:v>117</x:v>
      </x:c>
      <x:c r="IZ15" s="1613" t="s">
        <x:v>117</x:v>
      </x:c>
      <x:c r="JA15" s="1614" t="s">
        <x:v>117</x:v>
      </x:c>
      <x:c r="JB15" s="1615" t="s">
        <x:v>117</x:v>
      </x:c>
      <x:c r="JC15" s="1613" t="s">
        <x:v>117</x:v>
      </x:c>
      <x:c r="JD15" s="1613" t="s">
        <x:v>117</x:v>
      </x:c>
      <x:c r="JE15" s="1614" t="s">
        <x:v>117</x:v>
      </x:c>
      <x:c r="JF15" s="1615" t="s">
        <x:v>117</x:v>
      </x:c>
      <x:c r="JG15" s="1613" t="s">
        <x:v>117</x:v>
      </x:c>
      <x:c r="JH15" s="1613" t="s">
        <x:v>117</x:v>
      </x:c>
      <x:c r="JI15" s="1613" t="s">
        <x:v>117</x:v>
      </x:c>
      <x:c r="JJ15" s="1616" t="s">
        <x:v>117</x:v>
      </x:c>
      <x:c r="JK15" s="1613">
        <x:v>1</x:v>
      </x:c>
      <x:c r="JL15" s="1521">
        <x:f ca="1">IF(ISBLANK(JK15),IF(JL14=0,0,IF(VALUE(OFFSET(JK15,JL14*-1,0))&lt;JL14+1,0,JL14+1)),1)</x:f>
        <x:v>1</x:v>
      </x:c>
      <x:c r="JM15" s="289"/>
    </x:row>
    <x:row r="16" spans="1:276" ht="12.6" customHeight="1" x14ac:dyDescent="0.25">
      <x:c r="A16" s="1403"/>
      <x:c r="B16" s="1403"/>
      <x:c r="C16" s="1403"/>
      <x:c r="D16" s="1403"/>
      <x:c r="E16" s="1403"/>
      <x:c r="F16" s="1403"/>
      <x:c r="G16" s="1403"/>
      <x:c r="H16" s="1403"/>
      <x:c r="I16" s="1403"/>
      <x:c r="J16" s="1403"/>
      <x:c r="K16" s="1403"/>
      <x:c r="L16" s="1403"/>
      <x:c r="M16" s="1403"/>
      <x:c r="N16" s="1403"/>
      <x:c r="O16" s="1403"/>
      <x:c r="P16" s="1403"/>
      <x:c r="Q16" s="1403"/>
      <x:c r="R16" s="1403"/>
      <x:c r="S16" s="1403"/>
      <x:c r="T16" s="1403"/>
      <x:c r="U16" s="1403"/>
      <x:c r="V16" s="1403"/>
      <x:c r="W16" s="1403"/>
      <x:c r="X16" s="1403"/>
      <x:c r="Y16" s="1403"/>
      <x:c r="Z16" s="1403"/>
      <x:c r="AA16" s="1403"/>
      <x:c r="AB16" s="1264" t="s">
        <x:v>1266</x:v>
      </x:c>
      <x:c r="AC16" s="1260" t="s">
        <x:v>34</x:v>
      </x:c>
      <x:c r="AD16" s="1261">
        <x:v>7</x:v>
      </x:c>
      <x:c r="AE16" s="1262">
        <x:v>4</x:v>
      </x:c>
      <x:c r="AF16" s="1260">
        <x:v>6</x:v>
      </x:c>
      <x:c r="AG16" s="1261">
        <x:v>7</x:v>
      </x:c>
      <x:c r="AH16" s="1262">
        <x:v>6</x:v>
      </x:c>
      <x:c r="AI16" s="1261">
        <x:v>7</x:v>
      </x:c>
      <x:c r="AJ16" s="1262">
        <x:v>4</x:v>
      </x:c>
      <x:c r="AK16" s="1599" t="str">
        <x:f t="shared" si="16"/>
        <x:v/>
      </x:c>
      <x:c r="AL16" s="1600" t="str">
        <x:f t="shared" si="16"/>
        <x:v/>
      </x:c>
      <x:c r="AM16" s="1601">
        <x:v>5</x:v>
      </x:c>
      <x:c r="AN16" s="1260">
        <x:v>13</x:v>
      </x:c>
      <x:c r="AO16" s="1409">
        <x:v>4</x:v>
      </x:c>
      <x:c r="AP16" s="1327">
        <x:v>1.75</x:v>
      </x:c>
      <x:c r="AQ16" s="1602">
        <x:v>1.75</x:v>
      </x:c>
      <x:c r="AR16" s="1263" t="str">
        <x:f t="shared" si="4"/>
        <x:v/>
      </x:c>
      <x:c r="AS16" s="1262" t="str">
        <x:f t="shared" si="5"/>
        <x:v/>
      </x:c>
      <x:c r="AT16" s="1603" t="str">
        <x:f t="shared" si="17"/>
        <x:v/>
      </x:c>
      <x:c r="AU16" s="1410" t="str">
        <x:f t="shared" si="17"/>
        <x:v/>
      </x:c>
      <x:c r="AV16" s="1328" t="str">
        <x:f t="shared" si="6"/>
        <x:v/>
      </x:c>
      <x:c r="AW16" s="1262" t="str">
        <x:f t="shared" si="7"/>
        <x:v/>
      </x:c>
      <x:c r="AX16" s="1603" t="str">
        <x:f t="shared" si="18"/>
        <x:v/>
      </x:c>
      <x:c r="AY16" s="1410" t="str">
        <x:f t="shared" si="18"/>
        <x:v/>
      </x:c>
      <x:c r="AZ16" s="1328" t="str">
        <x:f t="shared" si="8"/>
        <x:v/>
      </x:c>
      <x:c r="BA16" s="1262" t="str">
        <x:f t="shared" si="9"/>
        <x:v/>
      </x:c>
      <x:c r="BB16" s="1603" t="str">
        <x:f t="shared" si="19"/>
        <x:v/>
      </x:c>
      <x:c r="BC16" s="1410" t="str">
        <x:f t="shared" si="19"/>
        <x:v/>
      </x:c>
      <x:c r="BD16" s="1328" t="str">
        <x:f t="shared" si="10"/>
        <x:v/>
      </x:c>
      <x:c r="BE16" s="1262" t="str">
        <x:f t="shared" si="11"/>
        <x:v/>
      </x:c>
      <x:c r="BF16" s="1603" t="str">
        <x:f t="shared" si="20"/>
        <x:v/>
      </x:c>
      <x:c r="BG16" s="1410" t="str">
        <x:f t="shared" si="20"/>
        <x:v/>
      </x:c>
      <x:c r="BH16" s="322"/>
      <x:c r="BJ16" s="178"/>
      <x:c r="BK16" s="171"/>
      <x:c r="BL16" s="2000"/>
      <x:c r="BW16" s="1253">
        <x:f t="shared" si="21"/>
        <x:v>14</x:v>
      </x:c>
      <x:c r="BX16" s="1254" t="str">
        <x:f t="shared" ref="BX16:BX45" si="28">IF(AND(AB16="",BW16&gt;0),BX15,IF(ISBLANK(AB16),"",AB16))</x:f>
        <x:v>G3</x:v>
      </x:c>
      <x:c r="BY16" s="1254" t="b">
        <x:f t="shared" si="22"/>
        <x:v>0</x:v>
      </x:c>
      <x:c r="BZ16" s="1255" t="b">
        <x:f t="shared" ref="BZ16:BZ45" si="29">IF($BK$1,IF(BX16="",FALSE,IF(ISERROR(VLOOKUP(BX16,$A$28:$B$45,2,FALSE)),FALSE,IF(VLOOKUP(BX16,$A$28:$B$45,2,FALSE)=0,TRUE,FALSE))))</x:f>
        <x:v>0</x:v>
      </x:c>
      <x:c r="CB16" s="237"/>
      <x:c r="CC16" s="237"/>
      <x:c r="CD16" s="237"/>
      <x:c r="CE16" s="237"/>
      <x:c r="CF16" s="237"/>
      <x:c r="CG16" s="237"/>
      <x:c r="CH16" s="238"/>
      <x:c r="CI16" s="238"/>
      <x:c r="CJ16" s="238"/>
      <x:c r="CK16" s="238"/>
      <x:c r="CL16" s="238"/>
      <x:c r="CM16" s="238"/>
      <x:c r="CN16" s="238"/>
      <x:c r="CO16" s="237"/>
      <x:c r="CP16" s="237"/>
      <x:c r="CQ16" s="237"/>
      <x:c r="CR16" s="238"/>
      <x:c r="CS16" s="238"/>
      <x:c r="CT16" s="238"/>
      <x:c r="CU16" s="238"/>
      <x:c r="CV16" s="238"/>
      <x:c r="CW16" s="238"/>
      <x:c r="CX16" s="173"/>
      <x:c r="CY16" s="237"/>
      <x:c r="CZ16" s="173"/>
      <x:c r="DA16" s="173"/>
      <x:c r="DB16" s="173"/>
      <x:c r="DC16" s="173"/>
      <x:c r="DD16" s="173"/>
      <x:c r="DE16" s="173"/>
      <x:c r="DF16" s="173"/>
      <x:c r="DG16" s="173"/>
      <x:c r="DH16" s="842"/>
      <x:c r="DI16" s="843"/>
      <x:c r="DJ16" s="872"/>
      <x:c r="DK16" s="873"/>
      <x:c r="DL16" s="844"/>
      <x:c r="DM16" s="874"/>
      <x:c r="DN16" s="875"/>
      <x:c r="DO16" s="845"/>
      <x:c r="DP16" s="846"/>
      <x:c r="DQ16" s="847"/>
      <x:c r="DR16" s="847"/>
      <x:c r="DS16" s="848"/>
      <x:c r="DT16" s="836"/>
      <x:c r="DU16" s="837"/>
      <x:c r="DV16" s="849"/>
      <x:c r="DW16" s="850"/>
      <x:c r="DX16" s="851"/>
      <x:c r="DY16" s="852"/>
      <x:c r="DZ16" s="849"/>
      <x:c r="EA16" s="850"/>
      <x:c r="EB16" s="851"/>
      <x:c r="EC16" s="852"/>
      <x:c r="ED16" s="849"/>
      <x:c r="EE16" s="850"/>
      <x:c r="EF16" s="851"/>
      <x:c r="EG16" s="852"/>
      <x:c r="EH16" s="849"/>
      <x:c r="EI16" s="850"/>
      <x:c r="EJ16" s="851"/>
      <x:c r="EK16" s="853"/>
      <x:c r="EL16" s="1182"/>
      <x:c r="EM16" s="1267"/>
      <x:c r="EN16" s="1183"/>
      <x:c r="EO16" s="1184"/>
      <x:c r="EP16" s="173"/>
      <x:c r="EQ16" s="173"/>
      <x:c r="ER16" s="173"/>
      <x:c r="ES16" s="173"/>
      <x:c r="ET16" s="173"/>
      <x:c r="EU16" s="173"/>
      <x:c r="EX16" s="1194" t="str">
        <x:f t="shared" si="23"/>
        <x:v>G3N</x:v>
      </x:c>
      <x:c r="EY16" s="1196" t="b">
        <x:f t="shared" ca="1" si="12"/>
        <x:v>1</x:v>
      </x:c>
      <x:c r="EZ16" s="1196">
        <x:f t="shared" si="24"/>
        <x:v>5</x:v>
      </x:c>
      <x:c r="FA16" s="1217" t="b">
        <x:f t="shared" ref="FA16:FA45" si="30">IF(FB16="","",IF(FC16=0,FA15,FB16=FF16))</x:f>
        <x:v>1</x:v>
      </x:c>
      <x:c r="FB16" s="1218">
        <x:f t="shared" si="25"/>
        <x:v>716</x:v>
      </x:c>
      <x:c r="FC16" s="1218">
        <x:f t="shared" si="13"/>
        <x:v>88</x:v>
      </x:c>
      <x:c r="FD16" s="1218">
        <x:f t="shared" si="14"/>
        <x:v>540</x:v>
      </x:c>
      <x:c r="FE16" s="1218">
        <x:f t="shared" si="15"/>
        <x:v>88</x:v>
      </x:c>
      <x:c r="FF16" s="1218">
        <x:f t="shared" si="26"/>
        <x:v>716</x:v>
      </x:c>
      <x:c r="FN16" s="969"/>
      <x:c r="FO16" s="969"/>
      <x:c r="FP16" s="969" t="b">
        <x:v>0</x:v>
      </x:c>
      <x:c r="FQ16" s="969" t="b">
        <x:f t="shared" si="27"/>
        <x:v>1</x:v>
      </x:c>
      <x:c r="FX16" s="236"/>
      <x:c r="FZ16" s="2"/>
      <x:c r="GA16" s="173"/>
      <x:c r="GB16" s="173"/>
      <x:c r="GC16" s="173"/>
      <x:c r="GD16" s="173"/>
      <x:c r="GE16" s="173"/>
      <x:c r="GF16" s="173"/>
      <x:c r="GG16" s="173"/>
      <x:c r="GH16" s="173"/>
      <x:c r="GI16" s="173"/>
      <x:c r="GJ16" s="173"/>
      <x:c r="GK16" s="2"/>
      <x:c r="GN16" s="171"/>
      <x:c r="GO16" s="172"/>
      <x:c r="GZ16" s="172"/>
      <x:c r="HA16" s="2567"/>
      <x:c r="HB16" s="2568"/>
      <x:c r="HC16" s="2568"/>
      <x:c r="HD16" s="2568"/>
      <x:c r="HE16" s="2568"/>
      <x:c r="HF16" s="2568"/>
      <x:c r="HG16" s="2568"/>
      <x:c r="HH16" s="2568"/>
      <x:c r="HI16" s="2568"/>
      <x:c r="HJ16" s="2568"/>
      <x:c r="HK16" s="2568"/>
      <x:c r="HL16" s="2568"/>
      <x:c r="HM16" s="2568"/>
      <x:c r="HN16" s="2568"/>
      <x:c r="HO16" s="2568"/>
      <x:c r="HP16" s="2568"/>
      <x:c r="HQ16" s="2568"/>
      <x:c r="HR16" s="2568"/>
      <x:c r="HS16" s="2568"/>
      <x:c r="HT16" s="2568"/>
      <x:c r="HU16" s="2568"/>
      <x:c r="HV16" s="2568"/>
      <x:c r="HW16" s="2568"/>
      <x:c r="HX16" s="2569"/>
      <x:c r="ID16" s="1002"/>
      <x:c r="IE16" s="1612" t="s">
        <x:v>1266</x:v>
      </x:c>
      <x:c r="IF16" s="1613" t="s">
        <x:v>34</x:v>
      </x:c>
      <x:c r="IG16" s="1614">
        <x:v>7</x:v>
      </x:c>
      <x:c r="IH16" s="1615">
        <x:v>4</x:v>
      </x:c>
      <x:c r="II16" s="1613">
        <x:v>6</x:v>
      </x:c>
      <x:c r="IJ16" s="1614">
        <x:v>7</x:v>
      </x:c>
      <x:c r="IK16" s="1615">
        <x:v>6</x:v>
      </x:c>
      <x:c r="IL16" s="1613">
        <x:v>7</x:v>
      </x:c>
      <x:c r="IM16" s="1613">
        <x:v>4</x:v>
      </x:c>
      <x:c r="IN16" s="1613" t="s">
        <x:v>117</x:v>
      </x:c>
      <x:c r="IO16" s="1613" t="s">
        <x:v>117</x:v>
      </x:c>
      <x:c r="IP16" s="1613">
        <x:v>5</x:v>
      </x:c>
      <x:c r="IQ16" s="1613">
        <x:v>13</x:v>
      </x:c>
      <x:c r="IR16" s="1613">
        <x:v>4</x:v>
      </x:c>
      <x:c r="IS16" s="1614">
        <x:v>1.75</x:v>
      </x:c>
      <x:c r="IT16" s="1615">
        <x:v>1.75</x:v>
      </x:c>
      <x:c r="IU16" s="1613" t="s">
        <x:v>117</x:v>
      </x:c>
      <x:c r="IV16" s="1613" t="s">
        <x:v>117</x:v>
      </x:c>
      <x:c r="IW16" s="1614" t="s">
        <x:v>117</x:v>
      </x:c>
      <x:c r="IX16" s="1615" t="s">
        <x:v>117</x:v>
      </x:c>
      <x:c r="IY16" s="1613" t="s">
        <x:v>117</x:v>
      </x:c>
      <x:c r="IZ16" s="1613" t="s">
        <x:v>117</x:v>
      </x:c>
      <x:c r="JA16" s="1614" t="s">
        <x:v>117</x:v>
      </x:c>
      <x:c r="JB16" s="1615" t="s">
        <x:v>117</x:v>
      </x:c>
      <x:c r="JC16" s="1613" t="s">
        <x:v>117</x:v>
      </x:c>
      <x:c r="JD16" s="1613" t="s">
        <x:v>117</x:v>
      </x:c>
      <x:c r="JE16" s="1614" t="s">
        <x:v>117</x:v>
      </x:c>
      <x:c r="JF16" s="1615" t="s">
        <x:v>117</x:v>
      </x:c>
      <x:c r="JG16" s="1613" t="s">
        <x:v>117</x:v>
      </x:c>
      <x:c r="JH16" s="1613" t="s">
        <x:v>117</x:v>
      </x:c>
      <x:c r="JI16" s="1613" t="s">
        <x:v>117</x:v>
      </x:c>
      <x:c r="JJ16" s="1616" t="s">
        <x:v>117</x:v>
      </x:c>
      <x:c r="JK16" s="1613">
        <x:v>1</x:v>
      </x:c>
      <x:c r="JL16" s="1521">
        <x:f t="shared" ref="JL16:JL45" ca="1" si="31">IF(ISBLANK(JK16),IF(JL15=0,0,IF(VALUE(OFFSET(JK16,JL15*-1,0))&lt;JL15+1,0,JL15+1)),1)</x:f>
        <x:v>1</x:v>
      </x:c>
      <x:c r="JM16" s="171"/>
    </x:row>
    <x:row r="17" spans="1:274" ht="12.6" customHeight="1" thickBot="1" x14ac:dyDescent="0.3">
      <x:c r="A17" s="1403"/>
      <x:c r="B17" s="1403"/>
      <x:c r="C17" s="1403"/>
      <x:c r="D17" s="1403"/>
      <x:c r="E17" s="1403"/>
      <x:c r="F17" s="1403"/>
      <x:c r="G17" s="1403"/>
      <x:c r="H17" s="1403"/>
      <x:c r="I17" s="1403"/>
      <x:c r="J17" s="1403"/>
      <x:c r="K17" s="1403"/>
      <x:c r="L17" s="1403"/>
      <x:c r="M17" s="1403"/>
      <x:c r="N17" s="1403"/>
      <x:c r="O17" s="1403"/>
      <x:c r="P17" s="1403"/>
      <x:c r="Q17" s="1403"/>
      <x:c r="R17" s="1403"/>
      <x:c r="S17" s="1403"/>
      <x:c r="T17" s="1403"/>
      <x:c r="U17" s="1403"/>
      <x:c r="V17" s="1403"/>
      <x:c r="W17" s="1403"/>
      <x:c r="X17" s="1403"/>
      <x:c r="Y17" s="1403"/>
      <x:c r="Z17" s="1403"/>
      <x:c r="AA17" s="1403"/>
      <x:c r="AB17" s="1264" t="s">
        <x:v>1267</x:v>
      </x:c>
      <x:c r="AC17" s="1260" t="s">
        <x:v>34</x:v>
      </x:c>
      <x:c r="AD17" s="1261">
        <x:v>7</x:v>
      </x:c>
      <x:c r="AE17" s="1262">
        <x:v>3.875</x:v>
      </x:c>
      <x:c r="AF17" s="1260">
        <x:v>6</x:v>
      </x:c>
      <x:c r="AG17" s="1261">
        <x:v>7</x:v>
      </x:c>
      <x:c r="AH17" s="1262">
        <x:v>6.125</x:v>
      </x:c>
      <x:c r="AI17" s="1261">
        <x:v>7</x:v>
      </x:c>
      <x:c r="AJ17" s="1262">
        <x:v>3.875</x:v>
      </x:c>
      <x:c r="AK17" s="1599" t="str">
        <x:f t="shared" si="16"/>
        <x:v/>
      </x:c>
      <x:c r="AL17" s="1600" t="str">
        <x:f t="shared" si="16"/>
        <x:v/>
      </x:c>
      <x:c r="AM17" s="1601">
        <x:v>5</x:v>
      </x:c>
      <x:c r="AN17" s="1260">
        <x:v>13</x:v>
      </x:c>
      <x:c r="AO17" s="1409">
        <x:v>4</x:v>
      </x:c>
      <x:c r="AP17" s="1327">
        <x:v>1.75</x:v>
      </x:c>
      <x:c r="AQ17" s="1602">
        <x:v>1.75</x:v>
      </x:c>
      <x:c r="AR17" s="1263" t="str">
        <x:f t="shared" si="4"/>
        <x:v/>
      </x:c>
      <x:c r="AS17" s="1262" t="str">
        <x:f t="shared" si="5"/>
        <x:v/>
      </x:c>
      <x:c r="AT17" s="1603" t="str">
        <x:f t="shared" si="17"/>
        <x:v/>
      </x:c>
      <x:c r="AU17" s="1410" t="str">
        <x:f t="shared" si="17"/>
        <x:v/>
      </x:c>
      <x:c r="AV17" s="1328" t="str">
        <x:f t="shared" si="6"/>
        <x:v/>
      </x:c>
      <x:c r="AW17" s="1262" t="str">
        <x:f t="shared" si="7"/>
        <x:v/>
      </x:c>
      <x:c r="AX17" s="1603" t="str">
        <x:f t="shared" si="18"/>
        <x:v/>
      </x:c>
      <x:c r="AY17" s="1410" t="str">
        <x:f t="shared" si="18"/>
        <x:v/>
      </x:c>
      <x:c r="AZ17" s="1328" t="str">
        <x:f t="shared" si="8"/>
        <x:v/>
      </x:c>
      <x:c r="BA17" s="1262" t="str">
        <x:f t="shared" si="9"/>
        <x:v/>
      </x:c>
      <x:c r="BB17" s="1603" t="str">
        <x:f t="shared" si="19"/>
        <x:v/>
      </x:c>
      <x:c r="BC17" s="1410" t="str">
        <x:f t="shared" si="19"/>
        <x:v/>
      </x:c>
      <x:c r="BD17" s="1328" t="str">
        <x:f t="shared" si="10"/>
        <x:v/>
      </x:c>
      <x:c r="BE17" s="1262" t="str">
        <x:f t="shared" si="11"/>
        <x:v/>
      </x:c>
      <x:c r="BF17" s="1603" t="str">
        <x:f t="shared" si="20"/>
        <x:v/>
      </x:c>
      <x:c r="BG17" s="1410" t="str">
        <x:f t="shared" si="20"/>
        <x:v/>
      </x:c>
      <x:c r="BH17" s="322"/>
      <x:c r="BJ17" s="178"/>
      <x:c r="BK17" s="171"/>
      <x:c r="BL17" s="2000"/>
      <x:c r="BW17" s="1253">
        <x:f t="shared" si="21"/>
        <x:v>14</x:v>
      </x:c>
      <x:c r="BX17" s="1254" t="str">
        <x:f t="shared" si="28"/>
        <x:v>G4</x:v>
      </x:c>
      <x:c r="BY17" s="1254" t="b">
        <x:f t="shared" si="22"/>
        <x:v>0</x:v>
      </x:c>
      <x:c r="BZ17" s="1255" t="b">
        <x:f t="shared" si="29"/>
        <x:v>0</x:v>
      </x:c>
      <x:c r="CB17" s="237"/>
      <x:c r="CC17" s="246"/>
      <x:c r="CD17" s="246"/>
      <x:c r="CE17" s="246"/>
      <x:c r="CF17" s="246"/>
      <x:c r="CG17" s="173"/>
      <x:c r="CH17" s="173"/>
      <x:c r="CI17" s="173"/>
      <x:c r="CJ17" s="173"/>
      <x:c r="CK17" s="173"/>
      <x:c r="CL17" s="173"/>
      <x:c r="CM17" s="173"/>
      <x:c r="CN17" s="173"/>
      <x:c r="CO17" s="173"/>
      <x:c r="CP17" s="173"/>
      <x:c r="CQ17" s="173"/>
      <x:c r="CR17" s="173"/>
      <x:c r="CS17" s="173"/>
      <x:c r="CT17" s="173"/>
      <x:c r="CU17" s="238"/>
      <x:c r="CV17" s="238"/>
      <x:c r="CW17" s="238"/>
      <x:c r="CX17" s="173"/>
      <x:c r="CY17" s="237"/>
      <x:c r="CZ17" s="173"/>
      <x:c r="DA17" s="173"/>
      <x:c r="DB17" s="173"/>
      <x:c r="DC17" s="173"/>
      <x:c r="DD17" s="173"/>
      <x:c r="DE17" s="173"/>
      <x:c r="DF17" s="173"/>
      <x:c r="DG17" s="173"/>
      <x:c r="DH17" s="842"/>
      <x:c r="DI17" s="843"/>
      <x:c r="DJ17" s="872"/>
      <x:c r="DK17" s="873"/>
      <x:c r="DL17" s="844"/>
      <x:c r="DM17" s="874"/>
      <x:c r="DN17" s="875"/>
      <x:c r="DO17" s="845"/>
      <x:c r="DP17" s="846"/>
      <x:c r="DQ17" s="847"/>
      <x:c r="DR17" s="847"/>
      <x:c r="DS17" s="848"/>
      <x:c r="DT17" s="836"/>
      <x:c r="DU17" s="837"/>
      <x:c r="DV17" s="849"/>
      <x:c r="DW17" s="850"/>
      <x:c r="DX17" s="851"/>
      <x:c r="DY17" s="852"/>
      <x:c r="DZ17" s="849"/>
      <x:c r="EA17" s="850"/>
      <x:c r="EB17" s="851"/>
      <x:c r="EC17" s="852"/>
      <x:c r="ED17" s="849"/>
      <x:c r="EE17" s="850"/>
      <x:c r="EF17" s="851"/>
      <x:c r="EG17" s="852"/>
      <x:c r="EH17" s="849"/>
      <x:c r="EI17" s="850"/>
      <x:c r="EJ17" s="851"/>
      <x:c r="EK17" s="853"/>
      <x:c r="EL17" s="1182"/>
      <x:c r="EM17" s="1267"/>
      <x:c r="EN17" s="1183"/>
      <x:c r="EO17" s="1184"/>
      <x:c r="EP17" s="173"/>
      <x:c r="EQ17" s="173"/>
      <x:c r="ER17" s="173"/>
      <x:c r="ES17" s="173"/>
      <x:c r="ET17" s="173"/>
      <x:c r="EU17" s="173"/>
      <x:c r="EX17" s="1194" t="str">
        <x:f t="shared" si="23"/>
        <x:v>G4N</x:v>
      </x:c>
      <x:c r="EY17" s="1196" t="b">
        <x:f t="shared" ca="1" si="12"/>
        <x:v>1</x:v>
      </x:c>
      <x:c r="EZ17" s="1196">
        <x:f t="shared" si="24"/>
        <x:v>5</x:v>
      </x:c>
      <x:c r="FA17" s="1217" t="b">
        <x:f t="shared" si="30"/>
        <x:v>1</x:v>
      </x:c>
      <x:c r="FB17" s="1218">
        <x:f t="shared" si="25"/>
        <x:v>716.5</x:v>
      </x:c>
      <x:c r="FC17" s="1218">
        <x:f t="shared" si="13"/>
        <x:v>87.875</x:v>
      </x:c>
      <x:c r="FD17" s="1218">
        <x:f t="shared" si="14"/>
        <x:v>540.75</x:v>
      </x:c>
      <x:c r="FE17" s="1218">
        <x:f t="shared" si="15"/>
        <x:v>87.875</x:v>
      </x:c>
      <x:c r="FF17" s="1218">
        <x:f t="shared" si="26"/>
        <x:v>716.5</x:v>
      </x:c>
      <x:c r="FN17" s="969"/>
      <x:c r="FO17" s="969"/>
      <x:c r="FP17" s="969" t="b">
        <x:v>0</x:v>
      </x:c>
      <x:c r="FQ17" s="969" t="b">
        <x:f t="shared" si="27"/>
        <x:v>1</x:v>
      </x:c>
      <x:c r="FX17" s="236"/>
      <x:c r="FZ17" s="2"/>
      <x:c r="GA17" s="173"/>
      <x:c r="GB17" s="173"/>
      <x:c r="GC17" s="173"/>
      <x:c r="GD17" s="173"/>
      <x:c r="GE17" s="173"/>
      <x:c r="GF17" s="173"/>
      <x:c r="GG17" s="173"/>
      <x:c r="GH17" s="173"/>
      <x:c r="GI17" s="173"/>
      <x:c r="GJ17" s="173"/>
      <x:c r="GK17" s="2"/>
      <x:c r="HA17" s="2570"/>
      <x:c r="HB17" s="2571"/>
      <x:c r="HC17" s="2571"/>
      <x:c r="HD17" s="2571"/>
      <x:c r="HE17" s="2571"/>
      <x:c r="HF17" s="2571"/>
      <x:c r="HG17" s="2571"/>
      <x:c r="HH17" s="2571"/>
      <x:c r="HI17" s="2571"/>
      <x:c r="HJ17" s="2571"/>
      <x:c r="HK17" s="2571"/>
      <x:c r="HL17" s="2571"/>
      <x:c r="HM17" s="2571"/>
      <x:c r="HN17" s="2571"/>
      <x:c r="HO17" s="2571"/>
      <x:c r="HP17" s="2571"/>
      <x:c r="HQ17" s="2571"/>
      <x:c r="HR17" s="2571"/>
      <x:c r="HS17" s="2571"/>
      <x:c r="HT17" s="2571"/>
      <x:c r="HU17" s="2571"/>
      <x:c r="HV17" s="2571"/>
      <x:c r="HW17" s="2571"/>
      <x:c r="HX17" s="2572"/>
      <x:c r="ID17" s="1002"/>
      <x:c r="IE17" s="1612" t="s">
        <x:v>1267</x:v>
      </x:c>
      <x:c r="IF17" s="1613" t="s">
        <x:v>34</x:v>
      </x:c>
      <x:c r="IG17" s="1614">
        <x:v>7</x:v>
      </x:c>
      <x:c r="IH17" s="1615">
        <x:v>3.875</x:v>
      </x:c>
      <x:c r="II17" s="1613">
        <x:v>6</x:v>
      </x:c>
      <x:c r="IJ17" s="1614">
        <x:v>7</x:v>
      </x:c>
      <x:c r="IK17" s="1615">
        <x:v>6.125</x:v>
      </x:c>
      <x:c r="IL17" s="1613">
        <x:v>7</x:v>
      </x:c>
      <x:c r="IM17" s="1613">
        <x:v>3.875</x:v>
      </x:c>
      <x:c r="IN17" s="1613" t="s">
        <x:v>117</x:v>
      </x:c>
      <x:c r="IO17" s="1613" t="s">
        <x:v>117</x:v>
      </x:c>
      <x:c r="IP17" s="1613">
        <x:v>5</x:v>
      </x:c>
      <x:c r="IQ17" s="1613">
        <x:v>13</x:v>
      </x:c>
      <x:c r="IR17" s="1613">
        <x:v>4</x:v>
      </x:c>
      <x:c r="IS17" s="1614">
        <x:v>1.75</x:v>
      </x:c>
      <x:c r="IT17" s="1615">
        <x:v>1.75</x:v>
      </x:c>
      <x:c r="IU17" s="1613" t="s">
        <x:v>117</x:v>
      </x:c>
      <x:c r="IV17" s="1613" t="s">
        <x:v>117</x:v>
      </x:c>
      <x:c r="IW17" s="1614" t="s">
        <x:v>117</x:v>
      </x:c>
      <x:c r="IX17" s="1615" t="s">
        <x:v>117</x:v>
      </x:c>
      <x:c r="IY17" s="1613" t="s">
        <x:v>117</x:v>
      </x:c>
      <x:c r="IZ17" s="1613" t="s">
        <x:v>117</x:v>
      </x:c>
      <x:c r="JA17" s="1614" t="s">
        <x:v>117</x:v>
      </x:c>
      <x:c r="JB17" s="1615" t="s">
        <x:v>117</x:v>
      </x:c>
      <x:c r="JC17" s="1613" t="s">
        <x:v>117</x:v>
      </x:c>
      <x:c r="JD17" s="1613" t="s">
        <x:v>117</x:v>
      </x:c>
      <x:c r="JE17" s="1614" t="s">
        <x:v>117</x:v>
      </x:c>
      <x:c r="JF17" s="1615" t="s">
        <x:v>117</x:v>
      </x:c>
      <x:c r="JG17" s="1613" t="s">
        <x:v>117</x:v>
      </x:c>
      <x:c r="JH17" s="1613" t="s">
        <x:v>117</x:v>
      </x:c>
      <x:c r="JI17" s="1613" t="s">
        <x:v>117</x:v>
      </x:c>
      <x:c r="JJ17" s="1616" t="s">
        <x:v>117</x:v>
      </x:c>
      <x:c r="JK17" s="1613">
        <x:v>1</x:v>
      </x:c>
      <x:c r="JL17" s="1521">
        <x:f t="shared" ca="1" si="31"/>
        <x:v>1</x:v>
      </x:c>
      <x:c r="JM17" s="171"/>
      <x:c r="JN17" s="163"/>
    </x:row>
    <x:row r="18" spans="1:274" ht="12.6" customHeight="1" thickTop="1" x14ac:dyDescent="0.25">
      <x:c r="A18" s="1403"/>
      <x:c r="B18" s="1403"/>
      <x:c r="C18" s="1403"/>
      <x:c r="D18" s="1403"/>
      <x:c r="E18" s="1403"/>
      <x:c r="F18" s="1403"/>
      <x:c r="G18" s="1403"/>
      <x:c r="H18" s="1403"/>
      <x:c r="I18" s="1403"/>
      <x:c r="J18" s="1403"/>
      <x:c r="K18" s="1403"/>
      <x:c r="L18" s="1403"/>
      <x:c r="M18" s="1403"/>
      <x:c r="N18" s="1403"/>
      <x:c r="O18" s="1403"/>
      <x:c r="P18" s="1403"/>
      <x:c r="Q18" s="1403"/>
      <x:c r="R18" s="1403"/>
      <x:c r="S18" s="1403"/>
      <x:c r="T18" s="1403"/>
      <x:c r="U18" s="1403"/>
      <x:c r="V18" s="1403"/>
      <x:c r="W18" s="1403"/>
      <x:c r="X18" s="1403"/>
      <x:c r="Y18" s="1403"/>
      <x:c r="Z18" s="1403"/>
      <x:c r="AA18" s="1403"/>
      <x:c r="AB18" s="1264" t="s">
        <x:v>1268</x:v>
      </x:c>
      <x:c r="AC18" s="1260" t="s">
        <x:v>1703</x:v>
      </x:c>
      <x:c r="AD18" s="1261">
        <x:v>6</x:v>
      </x:c>
      <x:c r="AE18" s="1262">
        <x:v>8.5</x:v>
      </x:c>
      <x:c r="AF18" s="1260">
        <x:v>6</x:v>
      </x:c>
      <x:c r="AG18" s="1261">
        <x:v>7</x:v>
      </x:c>
      <x:c r="AH18" s="1262">
        <x:v>6</x:v>
      </x:c>
      <x:c r="AI18" s="1261">
        <x:v>7</x:v>
      </x:c>
      <x:c r="AJ18" s="1262">
        <x:v>4.125</x:v>
      </x:c>
      <x:c r="AK18" s="1599" t="str">
        <x:f t="shared" si="16"/>
        <x:v/>
      </x:c>
      <x:c r="AL18" s="1600" t="str">
        <x:f t="shared" si="16"/>
        <x:v/>
      </x:c>
      <x:c r="AM18" s="1601">
        <x:v>5</x:v>
      </x:c>
      <x:c r="AN18" s="1260">
        <x:v>13</x:v>
      </x:c>
      <x:c r="AO18" s="1409">
        <x:v>4</x:v>
      </x:c>
      <x:c r="AP18" s="1327" t="str">
        <x:f t="shared" si="3"/>
        <x:v/>
      </x:c>
      <x:c r="AQ18" s="1602">
        <x:v>1.75</x:v>
      </x:c>
      <x:c r="AR18" s="1263" t="str">
        <x:f t="shared" si="4"/>
        <x:v/>
      </x:c>
      <x:c r="AS18" s="1262" t="str">
        <x:f t="shared" si="5"/>
        <x:v/>
      </x:c>
      <x:c r="AT18" s="1603" t="str">
        <x:f t="shared" si="17"/>
        <x:v/>
      </x:c>
      <x:c r="AU18" s="1410" t="str">
        <x:f t="shared" si="17"/>
        <x:v/>
      </x:c>
      <x:c r="AV18" s="1328" t="str">
        <x:f t="shared" si="6"/>
        <x:v/>
      </x:c>
      <x:c r="AW18" s="1262" t="str">
        <x:f t="shared" si="7"/>
        <x:v/>
      </x:c>
      <x:c r="AX18" s="1603" t="str">
        <x:f t="shared" si="18"/>
        <x:v/>
      </x:c>
      <x:c r="AY18" s="1410" t="str">
        <x:f t="shared" si="18"/>
        <x:v/>
      </x:c>
      <x:c r="AZ18" s="1328" t="str">
        <x:f t="shared" si="8"/>
        <x:v/>
      </x:c>
      <x:c r="BA18" s="1262" t="str">
        <x:f t="shared" si="9"/>
        <x:v/>
      </x:c>
      <x:c r="BB18" s="1603" t="str">
        <x:f t="shared" si="19"/>
        <x:v/>
      </x:c>
      <x:c r="BC18" s="1410" t="str">
        <x:f t="shared" si="19"/>
        <x:v/>
      </x:c>
      <x:c r="BD18" s="1328" t="str">
        <x:f t="shared" si="10"/>
        <x:v/>
      </x:c>
      <x:c r="BE18" s="1262" t="str">
        <x:f t="shared" si="11"/>
        <x:v/>
      </x:c>
      <x:c r="BF18" s="1603" t="str">
        <x:f t="shared" si="20"/>
        <x:v/>
      </x:c>
      <x:c r="BG18" s="1410" t="str">
        <x:f t="shared" si="20"/>
        <x:v/>
      </x:c>
      <x:c r="BH18" s="322"/>
      <x:c r="BJ18" s="178"/>
      <x:c r="BK18" s="171"/>
      <x:c r="BL18" s="2000"/>
      <x:c r="BW18" s="1253">
        <x:f>IF(AB18="",0,1)+IF(AC18="",0,1)+IF(AD18="",0,1)+IF(AE18="",0,1)+IF(AF18="",0,1)+IF(AG18="",0,1)+IF(AH18="",0,1)+IF(AI18="",0,1)+IF(AJ18="",0,1)+IF(AK18="",0,1)+IF(AL18="",0,1)+IF(AM18="",0,1)+IF(AN18="",0,1)+IF(AO18="",0,1)+IF(AP18="",0,1)+IF(AQ18="",0,1)+IF(AR18="",0,1)+IF(AS18="",0,1)+IF(AT18="",0,1)+IF(AU18="",0,1)+IF(AV18="",0,1)+IF(AW18="",0,1)+IF(AX18="",0,1)+IF(AY18="",0,1)+IF(AZ18="",0,1)+IF(BA18="",0,1)+IF(BB18="",0,1)+IF(BC18="",0,1)+IF(BD18="",0,1)+IF(BE18="",0,1)+IF(BF18="",0,1)+IF(BG18="",0,1)</x:f>
        <x:v>13</x:v>
      </x:c>
      <x:c r="BX18" s="1254" t="str">
        <x:f t="shared" si="28"/>
        <x:v>G5</x:v>
      </x:c>
      <x:c r="BY18" s="1254" t="b">
        <x:f t="shared" si="22"/>
        <x:v>0</x:v>
      </x:c>
      <x:c r="BZ18" s="1255" t="b">
        <x:f t="shared" si="29"/>
        <x:v>0</x:v>
      </x:c>
      <x:c r="CB18" s="237"/>
      <x:c r="CC18" s="246"/>
      <x:c r="CD18" s="246"/>
      <x:c r="CE18" s="246"/>
      <x:c r="CF18" s="246"/>
      <x:c r="CG18" s="173"/>
      <x:c r="CH18" s="173"/>
      <x:c r="CI18" s="173"/>
      <x:c r="CJ18" s="173"/>
      <x:c r="CK18" s="173"/>
      <x:c r="CL18" s="173"/>
      <x:c r="CM18" s="173"/>
      <x:c r="CN18" s="173"/>
      <x:c r="CO18" s="173"/>
      <x:c r="CP18" s="173"/>
      <x:c r="CQ18" s="173"/>
      <x:c r="CR18" s="173"/>
      <x:c r="CS18" s="173"/>
      <x:c r="CT18" s="173"/>
      <x:c r="CU18" s="238"/>
      <x:c r="CV18" s="238"/>
      <x:c r="CW18" s="238"/>
      <x:c r="CX18" s="173"/>
      <x:c r="CY18" s="238"/>
      <x:c r="CZ18" s="173"/>
      <x:c r="DA18" s="173"/>
      <x:c r="DB18" s="173"/>
      <x:c r="DC18" s="173"/>
      <x:c r="DD18" s="173"/>
      <x:c r="DE18" s="173"/>
      <x:c r="DF18" s="173"/>
      <x:c r="DG18" s="173"/>
      <x:c r="DH18" s="842"/>
      <x:c r="DI18" s="843"/>
      <x:c r="DJ18" s="872"/>
      <x:c r="DK18" s="873"/>
      <x:c r="DL18" s="844"/>
      <x:c r="DM18" s="874"/>
      <x:c r="DN18" s="875"/>
      <x:c r="DO18" s="845"/>
      <x:c r="DP18" s="846"/>
      <x:c r="DQ18" s="847"/>
      <x:c r="DR18" s="847"/>
      <x:c r="DS18" s="848"/>
      <x:c r="DT18" s="836"/>
      <x:c r="DU18" s="837"/>
      <x:c r="DV18" s="849"/>
      <x:c r="DW18" s="850"/>
      <x:c r="DX18" s="851"/>
      <x:c r="DY18" s="852"/>
      <x:c r="DZ18" s="849"/>
      <x:c r="EA18" s="850"/>
      <x:c r="EB18" s="851"/>
      <x:c r="EC18" s="852"/>
      <x:c r="ED18" s="849"/>
      <x:c r="EE18" s="850"/>
      <x:c r="EF18" s="851"/>
      <x:c r="EG18" s="852"/>
      <x:c r="EH18" s="849"/>
      <x:c r="EI18" s="850"/>
      <x:c r="EJ18" s="851"/>
      <x:c r="EK18" s="853"/>
      <x:c r="EL18" s="1182"/>
      <x:c r="EM18" s="1267"/>
      <x:c r="EN18" s="1183"/>
      <x:c r="EO18" s="1184"/>
      <x:c r="EP18" s="173"/>
      <x:c r="EQ18" s="173"/>
      <x:c r="ER18" s="173"/>
      <x:c r="ES18" s="173"/>
      <x:c r="ET18" s="173"/>
      <x:c r="EU18" s="173"/>
      <x:c r="EX18" s="1194" t="str">
        <x:f t="shared" si="23"/>
        <x:v>G5F</x:v>
      </x:c>
      <x:c r="EY18" s="1196" t="b">
        <x:f t="shared" ca="1" si="12"/>
        <x:v>1</x:v>
      </x:c>
      <x:c r="EZ18" s="1196">
        <x:f t="shared" si="24"/>
        <x:v>5</x:v>
      </x:c>
      <x:c r="FA18" s="1217" t="b">
        <x:f t="shared" si="30"/>
        <x:v>1</x:v>
      </x:c>
      <x:c r="FB18" s="1218">
        <x:f t="shared" si="25"/>
        <x:v>708.625</x:v>
      </x:c>
      <x:c r="FC18" s="1218">
        <x:f t="shared" si="13"/>
        <x:v>80.5</x:v>
      </x:c>
      <x:c r="FD18" s="1218">
        <x:f t="shared" si="14"/>
        <x:v>540</x:v>
      </x:c>
      <x:c r="FE18" s="1218">
        <x:f t="shared" si="15"/>
        <x:v>88.125</x:v>
      </x:c>
      <x:c r="FF18" s="1218">
        <x:f t="shared" si="26"/>
        <x:v>708.625</x:v>
      </x:c>
      <x:c r="FN18" s="969"/>
      <x:c r="FO18" s="969"/>
      <x:c r="FP18" s="969" t="b">
        <x:v>0</x:v>
      </x:c>
      <x:c r="FQ18" s="969" t="b">
        <x:f t="shared" si="27"/>
        <x:v>1</x:v>
      </x:c>
      <x:c r="FX18" s="236"/>
      <x:c r="FZ18" s="2"/>
      <x:c r="GA18" s="173"/>
      <x:c r="GB18" s="173"/>
      <x:c r="GC18" s="173"/>
      <x:c r="GD18" s="173"/>
      <x:c r="GE18" s="173"/>
      <x:c r="GF18" s="173"/>
      <x:c r="GG18" s="173"/>
      <x:c r="GH18" s="173"/>
      <x:c r="GI18" s="173"/>
      <x:c r="GJ18" s="173"/>
      <x:c r="GK18" s="2"/>
      <x:c r="HA18" s="161"/>
      <x:c r="HB18" s="161"/>
      <x:c r="HC18" s="161"/>
      <x:c r="HD18" s="161"/>
      <x:c r="HE18" s="161"/>
      <x:c r="HF18" s="161"/>
      <x:c r="HG18" s="161"/>
      <x:c r="HH18" s="161"/>
      <x:c r="HI18" s="161"/>
      <x:c r="HM18" s="162"/>
      <x:c r="HN18" s="163"/>
      <x:c r="ID18" s="1002"/>
      <x:c r="IE18" s="1612" t="s">
        <x:v>1268</x:v>
      </x:c>
      <x:c r="IF18" s="1613" t="s">
        <x:v>1703</x:v>
      </x:c>
      <x:c r="IG18" s="1614">
        <x:v>6</x:v>
      </x:c>
      <x:c r="IH18" s="1615">
        <x:v>8.5</x:v>
      </x:c>
      <x:c r="II18" s="1613">
        <x:v>6</x:v>
      </x:c>
      <x:c r="IJ18" s="1614">
        <x:v>7</x:v>
      </x:c>
      <x:c r="IK18" s="1615">
        <x:v>6</x:v>
      </x:c>
      <x:c r="IL18" s="1613">
        <x:v>7</x:v>
      </x:c>
      <x:c r="IM18" s="1613">
        <x:v>4.125</x:v>
      </x:c>
      <x:c r="IN18" s="1613" t="s">
        <x:v>117</x:v>
      </x:c>
      <x:c r="IO18" s="1613" t="s">
        <x:v>117</x:v>
      </x:c>
      <x:c r="IP18" s="1613">
        <x:v>5</x:v>
      </x:c>
      <x:c r="IQ18" s="1613">
        <x:v>13</x:v>
      </x:c>
      <x:c r="IR18" s="1613">
        <x:v>4</x:v>
      </x:c>
      <x:c r="IS18" s="1614" t="s">
        <x:v>117</x:v>
      </x:c>
      <x:c r="IT18" s="1615">
        <x:v>1.75</x:v>
      </x:c>
      <x:c r="IU18" s="1613" t="s">
        <x:v>117</x:v>
      </x:c>
      <x:c r="IV18" s="1613" t="s">
        <x:v>117</x:v>
      </x:c>
      <x:c r="IW18" s="1614" t="s">
        <x:v>117</x:v>
      </x:c>
      <x:c r="IX18" s="1615" t="s">
        <x:v>117</x:v>
      </x:c>
      <x:c r="IY18" s="1613" t="s">
        <x:v>117</x:v>
      </x:c>
      <x:c r="IZ18" s="1613" t="s">
        <x:v>117</x:v>
      </x:c>
      <x:c r="JA18" s="1614" t="s">
        <x:v>117</x:v>
      </x:c>
      <x:c r="JB18" s="1615" t="s">
        <x:v>117</x:v>
      </x:c>
      <x:c r="JC18" s="1613" t="s">
        <x:v>117</x:v>
      </x:c>
      <x:c r="JD18" s="1613" t="s">
        <x:v>117</x:v>
      </x:c>
      <x:c r="JE18" s="1614" t="s">
        <x:v>117</x:v>
      </x:c>
      <x:c r="JF18" s="1615" t="s">
        <x:v>117</x:v>
      </x:c>
      <x:c r="JG18" s="1613" t="s">
        <x:v>117</x:v>
      </x:c>
      <x:c r="JH18" s="1613" t="s">
        <x:v>117</x:v>
      </x:c>
      <x:c r="JI18" s="1613" t="s">
        <x:v>117</x:v>
      </x:c>
      <x:c r="JJ18" s="1616" t="s">
        <x:v>117</x:v>
      </x:c>
      <x:c r="JK18" s="1613">
        <x:v>1</x:v>
      </x:c>
      <x:c r="JL18" s="1521">
        <x:f t="shared" ca="1" si="31"/>
        <x:v>1</x:v>
      </x:c>
      <x:c r="JM18" s="171"/>
      <x:c r="JN18" s="163"/>
    </x:row>
    <x:row r="19" spans="1:274" ht="12.6" customHeight="1" x14ac:dyDescent="0.25">
      <x:c r="A19" s="1403"/>
      <x:c r="B19" s="1403"/>
      <x:c r="C19" s="1403"/>
      <x:c r="D19" s="1403"/>
      <x:c r="E19" s="1403"/>
      <x:c r="F19" s="1403"/>
      <x:c r="G19" s="1403"/>
      <x:c r="H19" s="1403"/>
      <x:c r="I19" s="1403"/>
      <x:c r="J19" s="1403"/>
      <x:c r="K19" s="1403"/>
      <x:c r="L19" s="1403"/>
      <x:c r="M19" s="1403"/>
      <x:c r="N19" s="1403"/>
      <x:c r="O19" s="1403"/>
      <x:c r="P19" s="1403"/>
      <x:c r="Q19" s="1403"/>
      <x:c r="R19" s="1403"/>
      <x:c r="S19" s="1403"/>
      <x:c r="T19" s="1403"/>
      <x:c r="U19" s="1403"/>
      <x:c r="V19" s="1403"/>
      <x:c r="W19" s="1403"/>
      <x:c r="X19" s="1403"/>
      <x:c r="Y19" s="1403"/>
      <x:c r="Z19" s="1403"/>
      <x:c r="AA19" s="1403"/>
      <x:c r="AB19" s="1264" t="s">
        <x:v>1269</x:v>
      </x:c>
      <x:c r="AC19" s="1260" t="s">
        <x:v>35</x:v>
      </x:c>
      <x:c r="AD19" s="1261">
        <x:v>7</x:v>
      </x:c>
      <x:c r="AE19" s="1262">
        <x:v>6</x:v>
      </x:c>
      <x:c r="AF19" s="1260">
        <x:v>5</x:v>
      </x:c>
      <x:c r="AG19" s="1261">
        <x:v>8</x:v>
      </x:c>
      <x:c r="AH19" s="1262">
        <x:v>0</x:v>
      </x:c>
      <x:c r="AI19" s="1261">
        <x:v>3</x:v>
      </x:c>
      <x:c r="AJ19" s="1262">
        <x:v>10</x:v>
      </x:c>
      <x:c r="AK19" s="1599" t="str">
        <x:f t="shared" si="16"/>
        <x:v/>
      </x:c>
      <x:c r="AL19" s="1600" t="str">
        <x:f t="shared" si="16"/>
        <x:v/>
      </x:c>
      <x:c r="AM19" s="1601">
        <x:v>5</x:v>
      </x:c>
      <x:c r="AN19" s="1260">
        <x:v>13</x:v>
      </x:c>
      <x:c r="AO19" s="1409">
        <x:v>4</x:v>
      </x:c>
      <x:c r="AP19" s="1327" t="str">
        <x:f t="shared" si="3"/>
        <x:v/>
      </x:c>
      <x:c r="AQ19" s="1602" t="str">
        <x:f t="shared" si="3"/>
        <x:v/>
      </x:c>
      <x:c r="AR19" s="1263" t="s">
        <x:v>1061</x:v>
      </x:c>
      <x:c r="AS19" s="1262" t="s">
        <x:v>1955</x:v>
      </x:c>
      <x:c r="AT19" s="1603" t="str">
        <x:f t="shared" si="17"/>
        <x:v/>
      </x:c>
      <x:c r="AU19" s="1410" t="s">
        <x:v>35</x:v>
      </x:c>
      <x:c r="AV19" s="1328" t="str">
        <x:f t="shared" si="6"/>
        <x:v/>
      </x:c>
      <x:c r="AW19" s="1262" t="str">
        <x:f t="shared" si="7"/>
        <x:v/>
      </x:c>
      <x:c r="AX19" s="1603" t="str">
        <x:f t="shared" si="18"/>
        <x:v/>
      </x:c>
      <x:c r="AY19" s="1410" t="str">
        <x:f t="shared" si="18"/>
        <x:v/>
      </x:c>
      <x:c r="AZ19" s="1328" t="str">
        <x:f t="shared" si="8"/>
        <x:v/>
      </x:c>
      <x:c r="BA19" s="1262" t="str">
        <x:f t="shared" si="9"/>
        <x:v/>
      </x:c>
      <x:c r="BB19" s="1603" t="str">
        <x:f t="shared" si="19"/>
        <x:v/>
      </x:c>
      <x:c r="BC19" s="1410" t="str">
        <x:f t="shared" si="19"/>
        <x:v/>
      </x:c>
      <x:c r="BD19" s="1328" t="str">
        <x:f t="shared" si="10"/>
        <x:v/>
      </x:c>
      <x:c r="BE19" s="1262" t="str">
        <x:f t="shared" si="11"/>
        <x:v/>
      </x:c>
      <x:c r="BF19" s="1603" t="str">
        <x:f t="shared" si="20"/>
        <x:v/>
      </x:c>
      <x:c r="BG19" s="1410" t="str">
        <x:f t="shared" si="20"/>
        <x:v/>
      </x:c>
      <x:c r="BH19" s="322"/>
      <x:c r="BJ19" s="178"/>
      <x:c r="BK19" s="171"/>
      <x:c r="BL19" s="2000"/>
      <x:c r="BW19" s="1253">
        <x:f t="shared" si="21"/>
        <x:v>15</x:v>
      </x:c>
      <x:c r="BX19" s="1254" t="str">
        <x:f t="shared" si="28"/>
        <x:v>G6</x:v>
      </x:c>
      <x:c r="BY19" s="1254" t="b">
        <x:f t="shared" si="22"/>
        <x:v>0</x:v>
      </x:c>
      <x:c r="BZ19" s="1255" t="b">
        <x:f t="shared" si="29"/>
        <x:v>0</x:v>
      </x:c>
      <x:c r="CB19" s="238"/>
      <x:c r="CC19" s="245"/>
      <x:c r="CD19" s="245"/>
      <x:c r="CE19" s="245"/>
      <x:c r="CF19" s="245"/>
      <x:c r="CG19" s="245"/>
      <x:c r="CH19" s="245"/>
      <x:c r="CI19" s="247"/>
      <x:c r="CJ19" s="247"/>
      <x:c r="CK19" s="247"/>
      <x:c r="CL19" s="247"/>
      <x:c r="CM19" s="247"/>
      <x:c r="CN19" s="247"/>
      <x:c r="CO19" s="247"/>
      <x:c r="CP19" s="245"/>
      <x:c r="CQ19" s="245"/>
      <x:c r="CR19" s="248"/>
      <x:c r="CS19" s="245"/>
      <x:c r="CT19" s="245"/>
      <x:c r="CU19" s="245"/>
      <x:c r="CV19" s="245"/>
      <x:c r="CW19" s="245"/>
      <x:c r="CX19" s="173"/>
      <x:c r="CY19" s="238"/>
      <x:c r="CZ19" s="173"/>
      <x:c r="DA19" s="173"/>
      <x:c r="DB19" s="173"/>
      <x:c r="DC19" s="173"/>
      <x:c r="DD19" s="173"/>
      <x:c r="DE19" s="173"/>
      <x:c r="DF19" s="173"/>
      <x:c r="DG19" s="173"/>
      <x:c r="DH19" s="842"/>
      <x:c r="DI19" s="843"/>
      <x:c r="DJ19" s="872"/>
      <x:c r="DK19" s="873"/>
      <x:c r="DL19" s="844"/>
      <x:c r="DM19" s="874"/>
      <x:c r="DN19" s="875"/>
      <x:c r="DO19" s="845"/>
      <x:c r="DP19" s="846"/>
      <x:c r="DQ19" s="847"/>
      <x:c r="DR19" s="847"/>
      <x:c r="DS19" s="848"/>
      <x:c r="DT19" s="836"/>
      <x:c r="DU19" s="837"/>
      <x:c r="DV19" s="849"/>
      <x:c r="DW19" s="850"/>
      <x:c r="DX19" s="851"/>
      <x:c r="DY19" s="852"/>
      <x:c r="DZ19" s="849"/>
      <x:c r="EA19" s="850"/>
      <x:c r="EB19" s="851"/>
      <x:c r="EC19" s="852"/>
      <x:c r="ED19" s="849"/>
      <x:c r="EE19" s="850"/>
      <x:c r="EF19" s="851"/>
      <x:c r="EG19" s="852"/>
      <x:c r="EH19" s="849"/>
      <x:c r="EI19" s="850"/>
      <x:c r="EJ19" s="851"/>
      <x:c r="EK19" s="853"/>
      <x:c r="EL19" s="1182"/>
      <x:c r="EM19" s="1267"/>
      <x:c r="EN19" s="1183"/>
      <x:c r="EO19" s="1184"/>
      <x:c r="EP19" s="173"/>
      <x:c r="EQ19" s="173"/>
      <x:c r="ER19" s="173"/>
      <x:c r="ES19" s="173"/>
      <x:c r="ET19" s="173"/>
      <x:c r="EU19" s="173"/>
      <x:c r="EX19" s="1194" t="str">
        <x:f t="shared" si="23"/>
        <x:v>G6B</x:v>
      </x:c>
      <x:c r="EY19" s="1196" t="b">
        <x:f t="shared" ca="1" si="12"/>
        <x:v>1</x:v>
      </x:c>
      <x:c r="EZ19" s="1196">
        <x:f t="shared" si="24"/>
        <x:v>5</x:v>
      </x:c>
      <x:c r="FA19" s="1217" t="b">
        <x:f t="shared" si="30"/>
        <x:v>1</x:v>
      </x:c>
      <x:c r="FB19" s="1218">
        <x:f t="shared" si="25"/>
        <x:v>616</x:v>
      </x:c>
      <x:c r="FC19" s="1218">
        <x:f t="shared" si="13"/>
        <x:v>90</x:v>
      </x:c>
      <x:c r="FD19" s="1218">
        <x:f t="shared" si="14"/>
        <x:v>480</x:v>
      </x:c>
      <x:c r="FE19" s="1218">
        <x:f t="shared" si="15"/>
        <x:v>46</x:v>
      </x:c>
      <x:c r="FF19" s="1218">
        <x:f t="shared" si="26"/>
        <x:v>616</x:v>
      </x:c>
      <x:c r="FN19" s="969"/>
      <x:c r="FO19" s="969"/>
      <x:c r="FP19" s="969" t="b">
        <x:v>0</x:v>
      </x:c>
      <x:c r="FQ19" s="969" t="b">
        <x:f t="shared" si="27"/>
        <x:v>1</x:v>
      </x:c>
      <x:c r="FX19" s="236"/>
      <x:c r="FZ19" s="2"/>
      <x:c r="GA19" s="173"/>
      <x:c r="GB19" s="173"/>
      <x:c r="GC19" s="173"/>
      <x:c r="GD19" s="173"/>
      <x:c r="GE19" s="173"/>
      <x:c r="GF19" s="173"/>
      <x:c r="GG19" s="173"/>
      <x:c r="GH19" s="173"/>
      <x:c r="GI19" s="173"/>
      <x:c r="GJ19" s="173"/>
      <x:c r="GK19" s="2"/>
      <x:c r="GL19" s="171"/>
      <x:c r="GM19" s="171"/>
      <x:c r="GZ19" s="1515" t="s">
        <x:v>1205</x:v>
      </x:c>
      <x:c r="HA19" s="1516">
        <x:v>80</x:v>
      </x:c>
      <x:c r="HB19" s="1516">
        <x:f t="shared" ref="HB19:ID22" si="32">HA19+1</x:f>
        <x:v>81</x:v>
      </x:c>
      <x:c r="HC19" s="1516">
        <x:f t="shared" si="32"/>
        <x:v>82</x:v>
      </x:c>
      <x:c r="HD19" s="1516">
        <x:f t="shared" si="32"/>
        <x:v>83</x:v>
      </x:c>
      <x:c r="HE19" s="1516">
        <x:f t="shared" si="32"/>
        <x:v>84</x:v>
      </x:c>
      <x:c r="HF19" s="1516">
        <x:f t="shared" si="32"/>
        <x:v>85</x:v>
      </x:c>
      <x:c r="HG19" s="1516">
        <x:f t="shared" si="32"/>
        <x:v>86</x:v>
      </x:c>
      <x:c r="HH19" s="1516">
        <x:f t="shared" si="32"/>
        <x:v>87</x:v>
      </x:c>
      <x:c r="HI19" s="1516">
        <x:f t="shared" si="32"/>
        <x:v>88</x:v>
      </x:c>
      <x:c r="HJ19" s="1516">
        <x:f t="shared" si="32"/>
        <x:v>89</x:v>
      </x:c>
      <x:c r="HK19" s="1516">
        <x:f t="shared" si="32"/>
        <x:v>90</x:v>
      </x:c>
      <x:c r="HL19" s="1516">
        <x:f t="shared" si="32"/>
        <x:v>91</x:v>
      </x:c>
      <x:c r="HM19" s="1516">
        <x:f t="shared" si="32"/>
        <x:v>92</x:v>
      </x:c>
      <x:c r="HN19" s="1516">
        <x:f t="shared" si="32"/>
        <x:v>93</x:v>
      </x:c>
      <x:c r="HO19" s="1516">
        <x:f t="shared" si="32"/>
        <x:v>94</x:v>
      </x:c>
      <x:c r="HP19" s="1516">
        <x:f t="shared" si="32"/>
        <x:v>95</x:v>
      </x:c>
      <x:c r="HQ19" s="1516">
        <x:f t="shared" si="32"/>
        <x:v>96</x:v>
      </x:c>
      <x:c r="HR19" s="1516">
        <x:f t="shared" si="32"/>
        <x:v>97</x:v>
      </x:c>
      <x:c r="HS19" s="1516">
        <x:f t="shared" si="32"/>
        <x:v>98</x:v>
      </x:c>
      <x:c r="HT19" s="1516">
        <x:f t="shared" si="32"/>
        <x:v>99</x:v>
      </x:c>
      <x:c r="HU19" s="1516">
        <x:f t="shared" si="32"/>
        <x:v>100</x:v>
      </x:c>
      <x:c r="HV19" s="1516">
        <x:f t="shared" si="32"/>
        <x:v>101</x:v>
      </x:c>
      <x:c r="HW19" s="1516">
        <x:f t="shared" si="32"/>
        <x:v>102</x:v>
      </x:c>
      <x:c r="HX19" s="1516">
        <x:f t="shared" si="32"/>
        <x:v>103</x:v>
      </x:c>
      <x:c r="HY19" s="1516">
        <x:f t="shared" si="32"/>
        <x:v>104</x:v>
      </x:c>
      <x:c r="HZ19" s="1516">
        <x:f t="shared" si="32"/>
        <x:v>105</x:v>
      </x:c>
      <x:c r="IA19" s="1516">
        <x:f t="shared" si="32"/>
        <x:v>106</x:v>
      </x:c>
      <x:c r="IB19" s="1516">
        <x:f t="shared" si="32"/>
        <x:v>107</x:v>
      </x:c>
      <x:c r="IC19" s="1516">
        <x:f t="shared" si="32"/>
        <x:v>108</x:v>
      </x:c>
      <x:c r="ID19" s="1516">
        <x:f t="shared" si="32"/>
        <x:v>109</x:v>
      </x:c>
      <x:c r="IE19" s="1612" t="s">
        <x:v>1269</x:v>
      </x:c>
      <x:c r="IF19" s="1613" t="s">
        <x:v>35</x:v>
      </x:c>
      <x:c r="IG19" s="1614">
        <x:v>7</x:v>
      </x:c>
      <x:c r="IH19" s="1615">
        <x:v>6</x:v>
      </x:c>
      <x:c r="II19" s="1613">
        <x:v>5</x:v>
      </x:c>
      <x:c r="IJ19" s="1614">
        <x:v>8</x:v>
      </x:c>
      <x:c r="IK19" s="1615">
        <x:v>0</x:v>
      </x:c>
      <x:c r="IL19" s="1613">
        <x:v>3</x:v>
      </x:c>
      <x:c r="IM19" s="1613">
        <x:v>10</x:v>
      </x:c>
      <x:c r="IN19" s="1613" t="s">
        <x:v>117</x:v>
      </x:c>
      <x:c r="IO19" s="1613" t="s">
        <x:v>117</x:v>
      </x:c>
      <x:c r="IP19" s="1613">
        <x:v>5</x:v>
      </x:c>
      <x:c r="IQ19" s="1613">
        <x:v>13</x:v>
      </x:c>
      <x:c r="IR19" s="1613">
        <x:v>4</x:v>
      </x:c>
      <x:c r="IS19" s="1614" t="s">
        <x:v>117</x:v>
      </x:c>
      <x:c r="IT19" s="1615" t="s">
        <x:v>117</x:v>
      </x:c>
      <x:c r="IU19" s="1613" t="s">
        <x:v>1061</x:v>
      </x:c>
      <x:c r="IV19" s="1613" t="s">
        <x:v>1955</x:v>
      </x:c>
      <x:c r="IW19" s="1614" t="s">
        <x:v>117</x:v>
      </x:c>
      <x:c r="IX19" s="1615" t="s">
        <x:v>35</x:v>
      </x:c>
      <x:c r="IY19" s="1613" t="s">
        <x:v>117</x:v>
      </x:c>
      <x:c r="IZ19" s="1613" t="s">
        <x:v>117</x:v>
      </x:c>
      <x:c r="JA19" s="1614" t="s">
        <x:v>117</x:v>
      </x:c>
      <x:c r="JB19" s="1615" t="s">
        <x:v>117</x:v>
      </x:c>
      <x:c r="JC19" s="1613" t="s">
        <x:v>117</x:v>
      </x:c>
      <x:c r="JD19" s="1613" t="s">
        <x:v>117</x:v>
      </x:c>
      <x:c r="JE19" s="1614" t="s">
        <x:v>117</x:v>
      </x:c>
      <x:c r="JF19" s="1615" t="s">
        <x:v>117</x:v>
      </x:c>
      <x:c r="JG19" s="1613" t="s">
        <x:v>117</x:v>
      </x:c>
      <x:c r="JH19" s="1613" t="s">
        <x:v>117</x:v>
      </x:c>
      <x:c r="JI19" s="1613" t="s">
        <x:v>117</x:v>
      </x:c>
      <x:c r="JJ19" s="1616" t="s">
        <x:v>117</x:v>
      </x:c>
      <x:c r="JK19" s="1613">
        <x:v>1</x:v>
      </x:c>
      <x:c r="JL19" s="1521">
        <x:f t="shared" ca="1" si="31"/>
        <x:v>1</x:v>
      </x:c>
      <x:c r="JM19" s="171"/>
    </x:row>
    <x:row r="20" spans="1:274" ht="12.6" customHeight="1" x14ac:dyDescent="0.25">
      <x:c r="A20" s="1403"/>
      <x:c r="B20" s="1403"/>
      <x:c r="C20" s="1403"/>
      <x:c r="D20" s="1403"/>
      <x:c r="E20" s="1403"/>
      <x:c r="F20" s="1403"/>
      <x:c r="G20" s="1403"/>
      <x:c r="H20" s="1403"/>
      <x:c r="I20" s="1403"/>
      <x:c r="J20" s="1403"/>
      <x:c r="K20" s="1403"/>
      <x:c r="L20" s="1403"/>
      <x:c r="M20" s="1403"/>
      <x:c r="N20" s="1403"/>
      <x:c r="O20" s="1403"/>
      <x:c r="P20" s="1403"/>
      <x:c r="Q20" s="1403"/>
      <x:c r="R20" s="1403"/>
      <x:c r="S20" s="1403"/>
      <x:c r="T20" s="1403"/>
      <x:c r="U20" s="1403"/>
      <x:c r="V20" s="1403"/>
      <x:c r="W20" s="1403"/>
      <x:c r="X20" s="1403"/>
      <x:c r="Y20" s="1403"/>
      <x:c r="Z20" s="1403"/>
      <x:c r="AA20" s="1403"/>
      <x:c r="AB20" s="1264" t="s">
        <x:v>1270</x:v>
      </x:c>
      <x:c r="AC20" s="1260" t="s">
        <x:v>35</x:v>
      </x:c>
      <x:c r="AD20" s="1261">
        <x:v>3</x:v>
      </x:c>
      <x:c r="AE20" s="1262">
        <x:v>10</x:v>
      </x:c>
      <x:c r="AF20" s="1260">
        <x:v>5</x:v>
      </x:c>
      <x:c r="AG20" s="1261">
        <x:v>8</x:v>
      </x:c>
      <x:c r="AH20" s="1262">
        <x:v>0</x:v>
      </x:c>
      <x:c r="AI20" s="1261">
        <x:v>7</x:v>
      </x:c>
      <x:c r="AJ20" s="1262">
        <x:v>10</x:v>
      </x:c>
      <x:c r="AK20" s="1599" t="str">
        <x:f t="shared" si="16"/>
        <x:v/>
      </x:c>
      <x:c r="AL20" s="1600" t="str">
        <x:f t="shared" si="16"/>
        <x:v/>
      </x:c>
      <x:c r="AM20" s="1601">
        <x:v>5</x:v>
      </x:c>
      <x:c r="AN20" s="1260">
        <x:v>13</x:v>
      </x:c>
      <x:c r="AO20" s="1409">
        <x:v>4</x:v>
      </x:c>
      <x:c r="AP20" s="1327" t="str">
        <x:f t="shared" si="3"/>
        <x:v/>
      </x:c>
      <x:c r="AQ20" s="1602">
        <x:v>1.75</x:v>
      </x:c>
      <x:c r="AR20" s="1263" t="s">
        <x:v>1061</x:v>
      </x:c>
      <x:c r="AS20" s="1262" t="s">
        <x:v>1956</x:v>
      </x:c>
      <x:c r="AT20" s="1603" t="str">
        <x:f t="shared" si="17"/>
        <x:v/>
      </x:c>
      <x:c r="AU20" s="1410" t="s">
        <x:v>35</x:v>
      </x:c>
      <x:c r="AV20" s="1328" t="str">
        <x:f t="shared" si="6"/>
        <x:v/>
      </x:c>
      <x:c r="AW20" s="1262" t="str">
        <x:f t="shared" si="7"/>
        <x:v/>
      </x:c>
      <x:c r="AX20" s="1603" t="str">
        <x:f t="shared" si="18"/>
        <x:v/>
      </x:c>
      <x:c r="AY20" s="1410" t="str">
        <x:f t="shared" si="18"/>
        <x:v/>
      </x:c>
      <x:c r="AZ20" s="1328" t="str">
        <x:f t="shared" si="8"/>
        <x:v/>
      </x:c>
      <x:c r="BA20" s="1262" t="str">
        <x:f t="shared" si="9"/>
        <x:v/>
      </x:c>
      <x:c r="BB20" s="1603" t="str">
        <x:f t="shared" si="19"/>
        <x:v/>
      </x:c>
      <x:c r="BC20" s="1410" t="str">
        <x:f t="shared" si="19"/>
        <x:v/>
      </x:c>
      <x:c r="BD20" s="1328" t="str">
        <x:f t="shared" si="10"/>
        <x:v/>
      </x:c>
      <x:c r="BE20" s="1262" t="str">
        <x:f t="shared" si="11"/>
        <x:v/>
      </x:c>
      <x:c r="BF20" s="1603" t="str">
        <x:f t="shared" si="20"/>
        <x:v/>
      </x:c>
      <x:c r="BG20" s="1410" t="str">
        <x:f t="shared" si="20"/>
        <x:v/>
      </x:c>
      <x:c r="BH20" s="322"/>
      <x:c r="BJ20" s="178"/>
      <x:c r="BK20" s="171"/>
      <x:c r="BL20" s="2000"/>
      <x:c r="BW20" s="1253">
        <x:f t="shared" si="21"/>
        <x:v>16</x:v>
      </x:c>
      <x:c r="BX20" s="1254" t="str">
        <x:f t="shared" si="28"/>
        <x:v>G7</x:v>
      </x:c>
      <x:c r="BY20" s="1254" t="b">
        <x:f t="shared" si="22"/>
        <x:v>0</x:v>
      </x:c>
      <x:c r="BZ20" s="1255" t="b">
        <x:f t="shared" si="29"/>
        <x:v>0</x:v>
      </x:c>
      <x:c r="CB20" s="238"/>
      <x:c r="CC20" s="245"/>
      <x:c r="CD20" s="245"/>
      <x:c r="CE20" s="245"/>
      <x:c r="CF20" s="245"/>
      <x:c r="CG20" s="245"/>
      <x:c r="CH20" s="245"/>
      <x:c r="CI20" s="247"/>
      <x:c r="CJ20" s="247"/>
      <x:c r="CK20" s="247"/>
      <x:c r="CL20" s="247"/>
      <x:c r="CM20" s="247"/>
      <x:c r="CN20" s="247"/>
      <x:c r="CO20" s="247"/>
      <x:c r="CP20" s="245"/>
      <x:c r="CQ20" s="245"/>
      <x:c r="CR20" s="248"/>
      <x:c r="CS20" s="245"/>
      <x:c r="CT20" s="245"/>
      <x:c r="CU20" s="245"/>
      <x:c r="CV20" s="245"/>
      <x:c r="CW20" s="245"/>
      <x:c r="CX20" s="173"/>
      <x:c r="CY20" s="238"/>
      <x:c r="CZ20" s="173"/>
      <x:c r="DA20" s="173"/>
      <x:c r="DB20" s="173"/>
      <x:c r="DC20" s="173"/>
      <x:c r="DD20" s="173"/>
      <x:c r="DE20" s="173"/>
      <x:c r="DF20" s="173"/>
      <x:c r="DG20" s="173"/>
      <x:c r="DH20" s="842"/>
      <x:c r="DI20" s="843"/>
      <x:c r="DJ20" s="872"/>
      <x:c r="DK20" s="873"/>
      <x:c r="DL20" s="844"/>
      <x:c r="DM20" s="874"/>
      <x:c r="DN20" s="875"/>
      <x:c r="DO20" s="845"/>
      <x:c r="DP20" s="846"/>
      <x:c r="DQ20" s="847"/>
      <x:c r="DR20" s="847"/>
      <x:c r="DS20" s="848"/>
      <x:c r="DT20" s="836"/>
      <x:c r="DU20" s="837"/>
      <x:c r="DV20" s="849"/>
      <x:c r="DW20" s="850"/>
      <x:c r="DX20" s="851"/>
      <x:c r="DY20" s="852"/>
      <x:c r="DZ20" s="849"/>
      <x:c r="EA20" s="850"/>
      <x:c r="EB20" s="851"/>
      <x:c r="EC20" s="852"/>
      <x:c r="ED20" s="849"/>
      <x:c r="EE20" s="850"/>
      <x:c r="EF20" s="851"/>
      <x:c r="EG20" s="852"/>
      <x:c r="EH20" s="849"/>
      <x:c r="EI20" s="850"/>
      <x:c r="EJ20" s="851"/>
      <x:c r="EK20" s="853"/>
      <x:c r="EL20" s="1182"/>
      <x:c r="EM20" s="1267"/>
      <x:c r="EN20" s="1185"/>
      <x:c r="EO20" s="1184"/>
      <x:c r="EP20" s="173"/>
      <x:c r="EQ20" s="173"/>
      <x:c r="ER20" s="173"/>
      <x:c r="ES20" s="173"/>
      <x:c r="ET20" s="173"/>
      <x:c r="EU20" s="173"/>
      <x:c r="EX20" s="1194" t="str">
        <x:f t="shared" si="23"/>
        <x:v>G7B</x:v>
      </x:c>
      <x:c r="EY20" s="1196" t="b">
        <x:f t="shared" ca="1" si="12"/>
        <x:v>1</x:v>
      </x:c>
      <x:c r="EZ20" s="1196">
        <x:f t="shared" si="24"/>
        <x:v>5</x:v>
      </x:c>
      <x:c r="FA20" s="1217" t="b">
        <x:f t="shared" si="30"/>
        <x:v>1</x:v>
      </x:c>
      <x:c r="FB20" s="1218">
        <x:f t="shared" si="25"/>
        <x:v>620</x:v>
      </x:c>
      <x:c r="FC20" s="1218">
        <x:f t="shared" si="13"/>
        <x:v>46</x:v>
      </x:c>
      <x:c r="FD20" s="1218">
        <x:f t="shared" si="14"/>
        <x:v>480</x:v>
      </x:c>
      <x:c r="FE20" s="1218">
        <x:f t="shared" si="15"/>
        <x:v>94</x:v>
      </x:c>
      <x:c r="FF20" s="1218">
        <x:f t="shared" si="26"/>
        <x:v>620</x:v>
      </x:c>
      <x:c r="FN20" s="969"/>
      <x:c r="FO20" s="969"/>
      <x:c r="FP20" s="969" t="b">
        <x:v>0</x:v>
      </x:c>
      <x:c r="FQ20" s="969" t="b">
        <x:f t="shared" si="27"/>
        <x:v>1</x:v>
      </x:c>
      <x:c r="FX20" s="236"/>
      <x:c r="FZ20" s="2"/>
      <x:c r="GA20" s="173"/>
      <x:c r="GB20" s="173"/>
      <x:c r="GC20" s="173"/>
      <x:c r="GD20" s="173"/>
      <x:c r="GE20" s="173"/>
      <x:c r="GF20" s="173"/>
      <x:c r="GG20" s="173"/>
      <x:c r="GH20" s="173"/>
      <x:c r="GI20" s="173"/>
      <x:c r="GJ20" s="173"/>
      <x:c r="GK20" s="2"/>
      <x:c r="GL20" s="171"/>
      <x:c r="GM20" s="171"/>
      <x:c r="GZ20" s="1515" t="s">
        <x:v>1181</x:v>
      </x:c>
      <x:c r="HA20" s="1516">
        <x:v>1</x:v>
      </x:c>
      <x:c r="HB20" s="1516">
        <x:f t="shared" si="32"/>
        <x:v>2</x:v>
      </x:c>
      <x:c r="HC20" s="1516">
        <x:f t="shared" si="32"/>
        <x:v>3</x:v>
      </x:c>
      <x:c r="HD20" s="1516">
        <x:f t="shared" si="32"/>
        <x:v>4</x:v>
      </x:c>
      <x:c r="HE20" s="1516">
        <x:f t="shared" si="32"/>
        <x:v>5</x:v>
      </x:c>
      <x:c r="HF20" s="1516">
        <x:f t="shared" si="32"/>
        <x:v>6</x:v>
      </x:c>
      <x:c r="HG20" s="1516">
        <x:f t="shared" si="32"/>
        <x:v>7</x:v>
      </x:c>
      <x:c r="HH20" s="1516">
        <x:f t="shared" si="32"/>
        <x:v>8</x:v>
      </x:c>
      <x:c r="HI20" s="1516">
        <x:f t="shared" si="32"/>
        <x:v>9</x:v>
      </x:c>
      <x:c r="HJ20" s="1516">
        <x:f t="shared" si="32"/>
        <x:v>10</x:v>
      </x:c>
      <x:c r="HK20" s="1516">
        <x:f t="shared" si="32"/>
        <x:v>11</x:v>
      </x:c>
      <x:c r="HL20" s="1516">
        <x:f t="shared" si="32"/>
        <x:v>12</x:v>
      </x:c>
      <x:c r="HM20" s="1516">
        <x:f t="shared" si="32"/>
        <x:v>13</x:v>
      </x:c>
      <x:c r="HN20" s="1516">
        <x:f t="shared" si="32"/>
        <x:v>14</x:v>
      </x:c>
      <x:c r="HO20" s="1516">
        <x:f t="shared" si="32"/>
        <x:v>15</x:v>
      </x:c>
      <x:c r="HP20" s="1516">
        <x:f t="shared" si="32"/>
        <x:v>16</x:v>
      </x:c>
      <x:c r="HQ20" s="1516">
        <x:f t="shared" si="32"/>
        <x:v>17</x:v>
      </x:c>
      <x:c r="HR20" s="1516">
        <x:f t="shared" si="32"/>
        <x:v>18</x:v>
      </x:c>
      <x:c r="HS20" s="1516">
        <x:f t="shared" si="32"/>
        <x:v>19</x:v>
      </x:c>
      <x:c r="HT20" s="1516">
        <x:f t="shared" si="32"/>
        <x:v>20</x:v>
      </x:c>
      <x:c r="HU20" s="1516">
        <x:f t="shared" si="32"/>
        <x:v>21</x:v>
      </x:c>
      <x:c r="HV20" s="1516">
        <x:f t="shared" si="32"/>
        <x:v>22</x:v>
      </x:c>
      <x:c r="HW20" s="1516">
        <x:f t="shared" si="32"/>
        <x:v>23</x:v>
      </x:c>
      <x:c r="HX20" s="1516">
        <x:f t="shared" si="32"/>
        <x:v>24</x:v>
      </x:c>
      <x:c r="HY20" s="1516">
        <x:f t="shared" si="32"/>
        <x:v>25</x:v>
      </x:c>
      <x:c r="HZ20" s="1516">
        <x:f t="shared" si="32"/>
        <x:v>26</x:v>
      </x:c>
      <x:c r="IA20" s="1517" t="s">
        <x:v>1215</x:v>
      </x:c>
      <x:c r="IB20" s="1516">
        <x:v>27</x:v>
      </x:c>
      <x:c r="IC20" s="1516"/>
      <x:c r="ID20" s="1516"/>
      <x:c r="IE20" s="1612" t="s">
        <x:v>1270</x:v>
      </x:c>
      <x:c r="IF20" s="1613" t="s">
        <x:v>35</x:v>
      </x:c>
      <x:c r="IG20" s="1614">
        <x:v>3</x:v>
      </x:c>
      <x:c r="IH20" s="1615">
        <x:v>10</x:v>
      </x:c>
      <x:c r="II20" s="1613">
        <x:v>5</x:v>
      </x:c>
      <x:c r="IJ20" s="1614">
        <x:v>8</x:v>
      </x:c>
      <x:c r="IK20" s="1615">
        <x:v>0</x:v>
      </x:c>
      <x:c r="IL20" s="1613">
        <x:v>7</x:v>
      </x:c>
      <x:c r="IM20" s="1613">
        <x:v>10</x:v>
      </x:c>
      <x:c r="IN20" s="1613" t="s">
        <x:v>117</x:v>
      </x:c>
      <x:c r="IO20" s="1613" t="s">
        <x:v>117</x:v>
      </x:c>
      <x:c r="IP20" s="1613">
        <x:v>5</x:v>
      </x:c>
      <x:c r="IQ20" s="1613">
        <x:v>13</x:v>
      </x:c>
      <x:c r="IR20" s="1613">
        <x:v>4</x:v>
      </x:c>
      <x:c r="IS20" s="1614" t="s">
        <x:v>117</x:v>
      </x:c>
      <x:c r="IT20" s="1615">
        <x:v>1.75</x:v>
      </x:c>
      <x:c r="IU20" s="1613" t="s">
        <x:v>1061</x:v>
      </x:c>
      <x:c r="IV20" s="1613" t="s">
        <x:v>1956</x:v>
      </x:c>
      <x:c r="IW20" s="1614" t="s">
        <x:v>117</x:v>
      </x:c>
      <x:c r="IX20" s="1615" t="s">
        <x:v>35</x:v>
      </x:c>
      <x:c r="IY20" s="1613" t="s">
        <x:v>117</x:v>
      </x:c>
      <x:c r="IZ20" s="1613" t="s">
        <x:v>117</x:v>
      </x:c>
      <x:c r="JA20" s="1614" t="s">
        <x:v>117</x:v>
      </x:c>
      <x:c r="JB20" s="1615" t="s">
        <x:v>117</x:v>
      </x:c>
      <x:c r="JC20" s="1613" t="s">
        <x:v>117</x:v>
      </x:c>
      <x:c r="JD20" s="1613" t="s">
        <x:v>117</x:v>
      </x:c>
      <x:c r="JE20" s="1614" t="s">
        <x:v>117</x:v>
      </x:c>
      <x:c r="JF20" s="1615" t="s">
        <x:v>117</x:v>
      </x:c>
      <x:c r="JG20" s="1613" t="s">
        <x:v>117</x:v>
      </x:c>
      <x:c r="JH20" s="1613" t="s">
        <x:v>117</x:v>
      </x:c>
      <x:c r="JI20" s="1613" t="s">
        <x:v>117</x:v>
      </x:c>
      <x:c r="JJ20" s="1616" t="s">
        <x:v>117</x:v>
      </x:c>
      <x:c r="JK20" s="1613">
        <x:v>1</x:v>
      </x:c>
      <x:c r="JL20" s="1521">
        <x:f t="shared" ca="1" si="31"/>
        <x:v>1</x:v>
      </x:c>
      <x:c r="JM20" s="171"/>
    </x:row>
    <x:row r="21" spans="1:274" ht="12.6" customHeight="1" thickBot="1" x14ac:dyDescent="0.3">
      <x:c r="A21" s="1403"/>
      <x:c r="B21" s="1403"/>
      <x:c r="C21" s="1403"/>
      <x:c r="D21" s="1403"/>
      <x:c r="E21" s="1403"/>
      <x:c r="F21" s="1403"/>
      <x:c r="G21" s="1403"/>
      <x:c r="H21" s="1403"/>
      <x:c r="I21" s="1403"/>
      <x:c r="J21" s="1403"/>
      <x:c r="K21" s="1403"/>
      <x:c r="L21" s="1403"/>
      <x:c r="M21" s="1403"/>
      <x:c r="N21" s="1403"/>
      <x:c r="O21" s="1403"/>
      <x:c r="P21" s="1403"/>
      <x:c r="Q21" s="1403"/>
      <x:c r="R21" s="1403"/>
      <x:c r="S21" s="1403"/>
      <x:c r="T21" s="1403"/>
      <x:c r="U21" s="1403"/>
      <x:c r="V21" s="1403"/>
      <x:c r="W21" s="1403"/>
      <x:c r="X21" s="1403"/>
      <x:c r="Y21" s="1403"/>
      <x:c r="Z21" s="1403"/>
      <x:c r="AA21" s="1403"/>
      <x:c r="AB21" s="1264" t="s">
        <x:v>1271</x:v>
      </x:c>
      <x:c r="AC21" s="1260" t="s">
        <x:v>35</x:v>
      </x:c>
      <x:c r="AD21" s="1261">
        <x:v>3</x:v>
      </x:c>
      <x:c r="AE21" s="1262">
        <x:v>10</x:v>
      </x:c>
      <x:c r="AF21" s="1260">
        <x:v>5</x:v>
      </x:c>
      <x:c r="AG21" s="1261">
        <x:v>8</x:v>
      </x:c>
      <x:c r="AH21" s="1262">
        <x:v>0</x:v>
      </x:c>
      <x:c r="AI21" s="1261">
        <x:v>7</x:v>
      </x:c>
      <x:c r="AJ21" s="1262">
        <x:v>10</x:v>
      </x:c>
      <x:c r="AK21" s="1599" t="str">
        <x:f t="shared" si="16"/>
        <x:v/>
      </x:c>
      <x:c r="AL21" s="1600" t="str">
        <x:f t="shared" si="16"/>
        <x:v/>
      </x:c>
      <x:c r="AM21" s="1601">
        <x:v>5</x:v>
      </x:c>
      <x:c r="AN21" s="1260">
        <x:v>13</x:v>
      </x:c>
      <x:c r="AO21" s="1409">
        <x:v>4</x:v>
      </x:c>
      <x:c r="AP21" s="1327" t="str">
        <x:f t="shared" si="3"/>
        <x:v/>
      </x:c>
      <x:c r="AQ21" s="1602">
        <x:v>1.75</x:v>
      </x:c>
      <x:c r="AR21" s="1263" t="s">
        <x:v>1061</x:v>
      </x:c>
      <x:c r="AS21" s="1262" t="s">
        <x:v>1956</x:v>
      </x:c>
      <x:c r="AT21" s="1603" t="str">
        <x:f t="shared" si="17"/>
        <x:v/>
      </x:c>
      <x:c r="AU21" s="1410" t="s">
        <x:v>35</x:v>
      </x:c>
      <x:c r="AV21" s="2121">
        <x:v>51</x:v>
      </x:c>
      <x:c r="AW21" s="2122">
        <x:v>0</x:v>
      </x:c>
      <x:c r="AX21" s="1603" t="str">
        <x:f t="shared" si="18"/>
        <x:v/>
      </x:c>
      <x:c r="AY21" s="2123" t="s">
        <x:v>35</x:v>
      </x:c>
      <x:c r="AZ21" s="1328" t="str">
        <x:f t="shared" si="8"/>
        <x:v/>
      </x:c>
      <x:c r="BA21" s="1262" t="str">
        <x:f t="shared" si="9"/>
        <x:v/>
      </x:c>
      <x:c r="BB21" s="1603" t="str">
        <x:f t="shared" si="19"/>
        <x:v/>
      </x:c>
      <x:c r="BC21" s="1410" t="str">
        <x:f t="shared" si="19"/>
        <x:v/>
      </x:c>
      <x:c r="BD21" s="1328" t="str">
        <x:f t="shared" si="10"/>
        <x:v/>
      </x:c>
      <x:c r="BE21" s="1262" t="str">
        <x:f t="shared" si="11"/>
        <x:v/>
      </x:c>
      <x:c r="BF21" s="1603" t="str">
        <x:f t="shared" si="20"/>
        <x:v/>
      </x:c>
      <x:c r="BG21" s="1410" t="str">
        <x:f t="shared" si="20"/>
        <x:v/>
      </x:c>
      <x:c r="BH21" s="322"/>
      <x:c r="BJ21" s="178"/>
      <x:c r="BK21" s="171"/>
      <x:c r="BL21" s="2000"/>
      <x:c r="BW21" s="1253">
        <x:f t="shared" si="21"/>
        <x:v>19</x:v>
      </x:c>
      <x:c r="BX21" s="1254" t="str">
        <x:f t="shared" si="28"/>
        <x:v>G8</x:v>
      </x:c>
      <x:c r="BY21" s="1254" t="b">
        <x:f t="shared" si="22"/>
        <x:v>0</x:v>
      </x:c>
      <x:c r="BZ21" s="1255" t="b">
        <x:f t="shared" si="29"/>
        <x:v>0</x:v>
      </x:c>
      <x:c r="CB21" s="173"/>
      <x:c r="CC21" s="173"/>
      <x:c r="CD21" s="173"/>
      <x:c r="CE21" s="173"/>
      <x:c r="CF21" s="173"/>
      <x:c r="CG21" s="173"/>
      <x:c r="CH21" s="173"/>
      <x:c r="CI21" s="173"/>
      <x:c r="CJ21" s="173"/>
      <x:c r="CK21" s="173"/>
      <x:c r="CL21" s="173"/>
      <x:c r="CM21" s="173"/>
      <x:c r="CN21" s="173"/>
      <x:c r="CO21" s="173"/>
      <x:c r="CP21" s="173"/>
      <x:c r="CQ21" s="173"/>
      <x:c r="CR21" s="173"/>
      <x:c r="CS21" s="173"/>
      <x:c r="CT21" s="173"/>
      <x:c r="CU21" s="173"/>
      <x:c r="CV21" s="173"/>
      <x:c r="CW21" s="173"/>
      <x:c r="CX21" s="173"/>
      <x:c r="CY21" s="173"/>
      <x:c r="CZ21" s="173"/>
      <x:c r="DA21" s="173"/>
      <x:c r="DB21" s="173"/>
      <x:c r="DC21" s="173"/>
      <x:c r="DD21" s="173"/>
      <x:c r="DE21" s="173"/>
      <x:c r="DF21" s="173"/>
      <x:c r="DG21" s="173"/>
      <x:c r="DH21" s="842"/>
      <x:c r="DI21" s="843"/>
      <x:c r="DJ21" s="872"/>
      <x:c r="DK21" s="873"/>
      <x:c r="DL21" s="844"/>
      <x:c r="DM21" s="874"/>
      <x:c r="DN21" s="875"/>
      <x:c r="DO21" s="845"/>
      <x:c r="DP21" s="846"/>
      <x:c r="DQ21" s="847"/>
      <x:c r="DR21" s="847"/>
      <x:c r="DS21" s="848"/>
      <x:c r="DT21" s="836"/>
      <x:c r="DU21" s="837"/>
      <x:c r="DV21" s="849"/>
      <x:c r="DW21" s="850"/>
      <x:c r="DX21" s="851"/>
      <x:c r="DY21" s="852"/>
      <x:c r="DZ21" s="849"/>
      <x:c r="EA21" s="850"/>
      <x:c r="EB21" s="851"/>
      <x:c r="EC21" s="852"/>
      <x:c r="ED21" s="849"/>
      <x:c r="EE21" s="850"/>
      <x:c r="EF21" s="851"/>
      <x:c r="EG21" s="852"/>
      <x:c r="EH21" s="849"/>
      <x:c r="EI21" s="850"/>
      <x:c r="EJ21" s="851"/>
      <x:c r="EK21" s="853"/>
      <x:c r="EL21" s="653"/>
      <x:c r="EM21" s="1267"/>
      <x:c r="EN21" s="1183"/>
      <x:c r="EO21" s="1184"/>
      <x:c r="EP21" s="173"/>
      <x:c r="EQ21" s="173"/>
      <x:c r="ER21" s="173"/>
      <x:c r="ES21" s="173"/>
      <x:c r="ET21" s="173"/>
      <x:c r="EU21" s="173"/>
      <x:c r="EX21" s="1194" t="str">
        <x:f t="shared" si="23"/>
        <x:v>G8B</x:v>
      </x:c>
      <x:c r="EY21" s="1196" t="b">
        <x:f t="shared" ca="1" si="12"/>
        <x:v>1</x:v>
      </x:c>
      <x:c r="EZ21" s="1196">
        <x:f t="shared" si="24"/>
        <x:v>5</x:v>
      </x:c>
      <x:c r="FA21" s="1217" t="b">
        <x:f t="shared" si="30"/>
        <x:v>1</x:v>
      </x:c>
      <x:c r="FB21" s="1218">
        <x:f t="shared" si="25"/>
        <x:v>620</x:v>
      </x:c>
      <x:c r="FC21" s="1218">
        <x:f t="shared" si="13"/>
        <x:v>46</x:v>
      </x:c>
      <x:c r="FD21" s="1218">
        <x:f t="shared" si="14"/>
        <x:v>480</x:v>
      </x:c>
      <x:c r="FE21" s="1218">
        <x:f t="shared" si="15"/>
        <x:v>94</x:v>
      </x:c>
      <x:c r="FF21" s="1218">
        <x:f t="shared" si="26"/>
        <x:v>620</x:v>
      </x:c>
      <x:c r="FN21" s="969"/>
      <x:c r="FO21" s="969"/>
      <x:c r="FP21" s="969" t="b">
        <x:v>0</x:v>
      </x:c>
      <x:c r="FQ21" s="969" t="b">
        <x:f t="shared" si="27"/>
        <x:v>1</x:v>
      </x:c>
      <x:c r="FX21" s="971"/>
      <x:c r="FZ21" s="26"/>
      <x:c r="GA21" s="173"/>
      <x:c r="GB21" s="173"/>
      <x:c r="GC21" s="173"/>
      <x:c r="GD21" s="173"/>
      <x:c r="GE21" s="173"/>
      <x:c r="GF21" s="173"/>
      <x:c r="GG21" s="173"/>
      <x:c r="GH21" s="173"/>
      <x:c r="GI21" s="173"/>
      <x:c r="GJ21" s="173"/>
      <x:c r="GK21" s="26"/>
      <x:c r="GL21" s="171"/>
      <x:c r="GM21" s="171"/>
      <x:c r="GZ21" s="1515" t="s">
        <x:v>1204</x:v>
      </x:c>
      <x:c r="HA21" s="1516">
        <x:v>1</x:v>
      </x:c>
      <x:c r="HB21" s="1516">
        <x:f>HA21+1</x:f>
        <x:v>2</x:v>
      </x:c>
      <x:c r="HC21" s="1516">
        <x:f t="shared" si="32"/>
        <x:v>3</x:v>
      </x:c>
      <x:c r="HD21" s="1516">
        <x:f t="shared" si="32"/>
        <x:v>4</x:v>
      </x:c>
      <x:c r="HE21" s="1516">
        <x:f t="shared" si="32"/>
        <x:v>5</x:v>
      </x:c>
      <x:c r="HF21" s="1516">
        <x:f t="shared" si="32"/>
        <x:v>6</x:v>
      </x:c>
      <x:c r="HG21" s="1516">
        <x:f t="shared" si="32"/>
        <x:v>7</x:v>
      </x:c>
      <x:c r="HH21" s="1516">
        <x:f t="shared" si="32"/>
        <x:v>8</x:v>
      </x:c>
      <x:c r="HI21" s="1516">
        <x:f t="shared" si="32"/>
        <x:v>9</x:v>
      </x:c>
      <x:c r="HJ21" s="1516">
        <x:f t="shared" si="32"/>
        <x:v>10</x:v>
      </x:c>
      <x:c r="HK21" s="1516">
        <x:f t="shared" si="32"/>
        <x:v>11</x:v>
      </x:c>
      <x:c r="HL21" s="1516">
        <x:f t="shared" si="32"/>
        <x:v>12</x:v>
      </x:c>
      <x:c r="HM21" s="1516">
        <x:f t="shared" si="32"/>
        <x:v>13</x:v>
      </x:c>
      <x:c r="HN21" s="1516">
        <x:f t="shared" si="32"/>
        <x:v>14</x:v>
      </x:c>
      <x:c r="HO21" s="1516">
        <x:f t="shared" si="32"/>
        <x:v>15</x:v>
      </x:c>
      <x:c r="HP21" s="1516">
        <x:f t="shared" si="32"/>
        <x:v>16</x:v>
      </x:c>
      <x:c r="HQ21" s="1516">
        <x:f t="shared" si="32"/>
        <x:v>17</x:v>
      </x:c>
      <x:c r="HR21" s="1516">
        <x:f t="shared" si="32"/>
        <x:v>18</x:v>
      </x:c>
      <x:c r="HS21" s="1516">
        <x:f t="shared" si="32"/>
        <x:v>19</x:v>
      </x:c>
      <x:c r="HT21" s="1516">
        <x:f t="shared" si="32"/>
        <x:v>20</x:v>
      </x:c>
      <x:c r="HU21" s="1516">
        <x:f t="shared" si="32"/>
        <x:v>21</x:v>
      </x:c>
      <x:c r="HV21" s="1516">
        <x:f t="shared" si="32"/>
        <x:v>22</x:v>
      </x:c>
      <x:c r="HW21" s="1516">
        <x:f t="shared" si="32"/>
        <x:v>23</x:v>
      </x:c>
      <x:c r="HX21" s="1516">
        <x:f t="shared" si="32"/>
        <x:v>24</x:v>
      </x:c>
      <x:c r="HY21" s="1516">
        <x:f t="shared" si="32"/>
        <x:v>25</x:v>
      </x:c>
      <x:c r="HZ21" s="1516">
        <x:f t="shared" si="32"/>
        <x:v>26</x:v>
      </x:c>
      <x:c r="IA21" s="1518">
        <x:f t="shared" si="32"/>
        <x:v>27</x:v>
      </x:c>
      <x:c r="IB21" s="1518">
        <x:f t="shared" si="32"/>
        <x:v>28</x:v>
      </x:c>
      <x:c r="IC21" s="1518">
        <x:f t="shared" si="32"/>
        <x:v>29</x:v>
      </x:c>
      <x:c r="ID21" s="1518">
        <x:f t="shared" si="32"/>
        <x:v>30</x:v>
      </x:c>
      <x:c r="IE21" s="1612" t="s">
        <x:v>1271</x:v>
      </x:c>
      <x:c r="IF21" s="1613" t="s">
        <x:v>35</x:v>
      </x:c>
      <x:c r="IG21" s="1614">
        <x:v>3</x:v>
      </x:c>
      <x:c r="IH21" s="1615">
        <x:v>10</x:v>
      </x:c>
      <x:c r="II21" s="1613">
        <x:v>5</x:v>
      </x:c>
      <x:c r="IJ21" s="1614">
        <x:v>8</x:v>
      </x:c>
      <x:c r="IK21" s="1615">
        <x:v>0</x:v>
      </x:c>
      <x:c r="IL21" s="1613">
        <x:v>7</x:v>
      </x:c>
      <x:c r="IM21" s="1613">
        <x:v>10</x:v>
      </x:c>
      <x:c r="IN21" s="1613" t="s">
        <x:v>117</x:v>
      </x:c>
      <x:c r="IO21" s="1613" t="s">
        <x:v>117</x:v>
      </x:c>
      <x:c r="IP21" s="1613">
        <x:v>5</x:v>
      </x:c>
      <x:c r="IQ21" s="1613">
        <x:v>13</x:v>
      </x:c>
      <x:c r="IR21" s="1613">
        <x:v>4</x:v>
      </x:c>
      <x:c r="IS21" s="1614" t="s">
        <x:v>117</x:v>
      </x:c>
      <x:c r="IT21" s="1615">
        <x:v>1.75</x:v>
      </x:c>
      <x:c r="IU21" s="1613" t="s">
        <x:v>1061</x:v>
      </x:c>
      <x:c r="IV21" s="1613" t="s">
        <x:v>1956</x:v>
      </x:c>
      <x:c r="IW21" s="1614" t="s">
        <x:v>117</x:v>
      </x:c>
      <x:c r="IX21" s="1615" t="s">
        <x:v>35</x:v>
      </x:c>
      <x:c r="IY21" s="1613" t="s">
        <x:v>117</x:v>
      </x:c>
      <x:c r="IZ21" s="1613" t="s">
        <x:v>117</x:v>
      </x:c>
      <x:c r="JA21" s="1614" t="s">
        <x:v>117</x:v>
      </x:c>
      <x:c r="JB21" s="1615" t="s">
        <x:v>117</x:v>
      </x:c>
      <x:c r="JC21" s="1613" t="s">
        <x:v>117</x:v>
      </x:c>
      <x:c r="JD21" s="1613" t="s">
        <x:v>117</x:v>
      </x:c>
      <x:c r="JE21" s="1614" t="s">
        <x:v>117</x:v>
      </x:c>
      <x:c r="JF21" s="1615" t="s">
        <x:v>117</x:v>
      </x:c>
      <x:c r="JG21" s="1613" t="s">
        <x:v>117</x:v>
      </x:c>
      <x:c r="JH21" s="1613" t="s">
        <x:v>117</x:v>
      </x:c>
      <x:c r="JI21" s="1613" t="s">
        <x:v>117</x:v>
      </x:c>
      <x:c r="JJ21" s="1616" t="s">
        <x:v>117</x:v>
      </x:c>
      <x:c r="JK21" s="1613">
        <x:v>1</x:v>
      </x:c>
      <x:c r="JL21" s="1521">
        <x:f t="shared" ca="1" si="31"/>
        <x:v>1</x:v>
      </x:c>
      <x:c r="JM21" s="171"/>
    </x:row>
    <x:row r="22" spans="1:274" ht="12.6" customHeight="1" thickTop="1" x14ac:dyDescent="0.25">
      <x:c r="A22" s="1403"/>
      <x:c r="B22" s="1403"/>
      <x:c r="C22" s="1403"/>
      <x:c r="D22" s="1403"/>
      <x:c r="E22" s="1403"/>
      <x:c r="F22" s="1403"/>
      <x:c r="G22" s="1403"/>
      <x:c r="H22" s="1403"/>
      <x:c r="I22" s="1403"/>
      <x:c r="J22" s="1403"/>
      <x:c r="K22" s="1403"/>
      <x:c r="L22" s="1403"/>
      <x:c r="M22" s="1403"/>
      <x:c r="N22" s="1403"/>
      <x:c r="O22" s="1403"/>
      <x:c r="P22" s="1403"/>
      <x:c r="Q22" s="1403"/>
      <x:c r="R22" s="1403"/>
      <x:c r="S22" s="1403"/>
      <x:c r="T22" s="1403"/>
      <x:c r="U22" s="1403"/>
      <x:c r="V22" s="1403"/>
      <x:c r="W22" s="1403"/>
      <x:c r="X22" s="1403"/>
      <x:c r="Y22" s="1403"/>
      <x:c r="Z22" s="1403"/>
      <x:c r="AA22" s="1403"/>
      <x:c r="AB22" s="1264" t="s">
        <x:v>1272</x:v>
      </x:c>
      <x:c r="AC22" s="1260" t="s">
        <x:v>35</x:v>
      </x:c>
      <x:c r="AD22" s="1261">
        <x:v>3</x:v>
      </x:c>
      <x:c r="AE22" s="1262">
        <x:v>10</x:v>
      </x:c>
      <x:c r="AF22" s="1260">
        <x:v>5</x:v>
      </x:c>
      <x:c r="AG22" s="1261">
        <x:v>8</x:v>
      </x:c>
      <x:c r="AH22" s="1262">
        <x:v>0</x:v>
      </x:c>
      <x:c r="AI22" s="1261">
        <x:v>7</x:v>
      </x:c>
      <x:c r="AJ22" s="1262">
        <x:v>10</x:v>
      </x:c>
      <x:c r="AK22" s="1599" t="str">
        <x:f t="shared" si="16"/>
        <x:v/>
      </x:c>
      <x:c r="AL22" s="1600" t="str">
        <x:f t="shared" si="16"/>
        <x:v/>
      </x:c>
      <x:c r="AM22" s="1601">
        <x:v>5</x:v>
      </x:c>
      <x:c r="AN22" s="1260">
        <x:v>13</x:v>
      </x:c>
      <x:c r="AO22" s="1409">
        <x:v>4</x:v>
      </x:c>
      <x:c r="AP22" s="1327" t="str">
        <x:f t="shared" si="3"/>
        <x:v/>
      </x:c>
      <x:c r="AQ22" s="1602">
        <x:v>1.75</x:v>
      </x:c>
      <x:c r="AR22" s="1263" t="s">
        <x:v>1061</x:v>
      </x:c>
      <x:c r="AS22" s="1262" t="s">
        <x:v>1956</x:v>
      </x:c>
      <x:c r="AT22" s="1603" t="str">
        <x:f t="shared" si="17"/>
        <x:v/>
      </x:c>
      <x:c r="AU22" s="1410" t="s">
        <x:v>35</x:v>
      </x:c>
      <x:c r="AV22" s="1328" t="str">
        <x:f t="shared" si="6"/>
        <x:v/>
      </x:c>
      <x:c r="AW22" s="1262" t="str">
        <x:f t="shared" si="7"/>
        <x:v/>
      </x:c>
      <x:c r="AX22" s="1603" t="str">
        <x:f t="shared" si="18"/>
        <x:v/>
      </x:c>
      <x:c r="AY22" s="1410" t="str">
        <x:f t="shared" si="18"/>
        <x:v/>
      </x:c>
      <x:c r="AZ22" s="1328" t="str">
        <x:f t="shared" si="8"/>
        <x:v/>
      </x:c>
      <x:c r="BA22" s="1262" t="str">
        <x:f t="shared" si="9"/>
        <x:v/>
      </x:c>
      <x:c r="BB22" s="1603" t="str">
        <x:f t="shared" si="19"/>
        <x:v/>
      </x:c>
      <x:c r="BC22" s="1410" t="str">
        <x:f t="shared" si="19"/>
        <x:v/>
      </x:c>
      <x:c r="BD22" s="1328" t="str">
        <x:f t="shared" si="10"/>
        <x:v/>
      </x:c>
      <x:c r="BE22" s="1262" t="str">
        <x:f t="shared" si="11"/>
        <x:v/>
      </x:c>
      <x:c r="BF22" s="1603" t="str">
        <x:f t="shared" si="20"/>
        <x:v/>
      </x:c>
      <x:c r="BG22" s="1410" t="str">
        <x:f t="shared" si="20"/>
        <x:v/>
      </x:c>
      <x:c r="BH22" s="322"/>
      <x:c r="BJ22" s="178"/>
      <x:c r="BK22" s="171"/>
      <x:c r="BL22" s="2000"/>
      <x:c r="BW22" s="1253">
        <x:f t="shared" si="21"/>
        <x:v>16</x:v>
      </x:c>
      <x:c r="BX22" s="1254" t="str">
        <x:f t="shared" si="28"/>
        <x:v>G9</x:v>
      </x:c>
      <x:c r="BY22" s="1254" t="b">
        <x:f t="shared" si="22"/>
        <x:v>0</x:v>
      </x:c>
      <x:c r="BZ22" s="1255" t="b">
        <x:f t="shared" si="29"/>
        <x:v>0</x:v>
      </x:c>
      <x:c r="CB22" s="2477" t="s">
        <x:v>679</x:v>
      </x:c>
      <x:c r="CC22" s="2478"/>
      <x:c r="CD22" s="2478"/>
      <x:c r="CE22" s="2478"/>
      <x:c r="CF22" s="2478"/>
      <x:c r="CG22" s="2478"/>
      <x:c r="CH22" s="2478"/>
      <x:c r="CI22" s="2478"/>
      <x:c r="CJ22" s="2478"/>
      <x:c r="CK22" s="2478"/>
      <x:c r="CL22" s="2478"/>
      <x:c r="CM22" s="2478"/>
      <x:c r="CN22" s="2478"/>
      <x:c r="CO22" s="2478"/>
      <x:c r="CP22" s="2478"/>
      <x:c r="CQ22" s="2478"/>
      <x:c r="CR22" s="2478"/>
      <x:c r="CS22" s="2478"/>
      <x:c r="CT22" s="2478"/>
      <x:c r="CU22" s="2478"/>
      <x:c r="CV22" s="2478"/>
      <x:c r="CW22" s="2478"/>
      <x:c r="CX22" s="2478"/>
      <x:c r="CY22" s="2479"/>
      <x:c r="CZ22" s="173"/>
      <x:c r="DA22" s="173"/>
      <x:c r="DB22" s="173"/>
      <x:c r="DC22" s="173"/>
      <x:c r="DD22" s="173"/>
      <x:c r="DE22" s="173"/>
      <x:c r="DF22" s="173"/>
      <x:c r="DG22" s="173"/>
      <x:c r="DH22" s="842"/>
      <x:c r="DI22" s="843"/>
      <x:c r="DJ22" s="872"/>
      <x:c r="DK22" s="873"/>
      <x:c r="DL22" s="844"/>
      <x:c r="DM22" s="874"/>
      <x:c r="DN22" s="875"/>
      <x:c r="DO22" s="845"/>
      <x:c r="DP22" s="846"/>
      <x:c r="DQ22" s="847"/>
      <x:c r="DR22" s="847"/>
      <x:c r="DS22" s="848"/>
      <x:c r="DT22" s="836"/>
      <x:c r="DU22" s="837"/>
      <x:c r="DV22" s="849"/>
      <x:c r="DW22" s="850"/>
      <x:c r="DX22" s="851"/>
      <x:c r="DY22" s="852"/>
      <x:c r="DZ22" s="849"/>
      <x:c r="EA22" s="850"/>
      <x:c r="EB22" s="851"/>
      <x:c r="EC22" s="852"/>
      <x:c r="ED22" s="849"/>
      <x:c r="EE22" s="850"/>
      <x:c r="EF22" s="851"/>
      <x:c r="EG22" s="852"/>
      <x:c r="EH22" s="849"/>
      <x:c r="EI22" s="850"/>
      <x:c r="EJ22" s="851"/>
      <x:c r="EK22" s="853"/>
      <x:c r="EL22" s="653"/>
      <x:c r="EM22" s="1267"/>
      <x:c r="EN22" s="1183"/>
      <x:c r="EO22" s="1184"/>
      <x:c r="EP22" s="173"/>
      <x:c r="EQ22" s="173"/>
      <x:c r="ER22" s="173"/>
      <x:c r="ES22" s="173"/>
      <x:c r="ET22" s="173"/>
      <x:c r="EU22" s="173"/>
      <x:c r="EX22" s="1194" t="str">
        <x:f t="shared" si="23"/>
        <x:v>G9B</x:v>
      </x:c>
      <x:c r="EY22" s="1196" t="b">
        <x:f t="shared" ca="1" si="12"/>
        <x:v>1</x:v>
      </x:c>
      <x:c r="EZ22" s="1196">
        <x:f t="shared" si="24"/>
        <x:v>5</x:v>
      </x:c>
      <x:c r="FA22" s="1217" t="b">
        <x:f t="shared" si="30"/>
        <x:v>1</x:v>
      </x:c>
      <x:c r="FB22" s="1218">
        <x:f t="shared" si="25"/>
        <x:v>620</x:v>
      </x:c>
      <x:c r="FC22" s="1218">
        <x:f t="shared" si="13"/>
        <x:v>46</x:v>
      </x:c>
      <x:c r="FD22" s="1218">
        <x:f t="shared" si="14"/>
        <x:v>480</x:v>
      </x:c>
      <x:c r="FE22" s="1218">
        <x:f t="shared" si="15"/>
        <x:v>94</x:v>
      </x:c>
      <x:c r="FF22" s="1218">
        <x:f t="shared" si="26"/>
        <x:v>620</x:v>
      </x:c>
      <x:c r="FN22" s="969"/>
      <x:c r="FO22" s="969"/>
      <x:c r="FP22" s="969" t="b">
        <x:v>0</x:v>
      </x:c>
      <x:c r="FQ22" s="969" t="b">
        <x:f t="shared" si="27"/>
        <x:v>1</x:v>
      </x:c>
      <x:c r="FX22" s="971"/>
      <x:c r="FZ22" s="26"/>
      <x:c r="GA22" s="173"/>
      <x:c r="GB22" s="173"/>
      <x:c r="GC22" s="173"/>
      <x:c r="GD22" s="173"/>
      <x:c r="GE22" s="173"/>
      <x:c r="GF22" s="173"/>
      <x:c r="GG22" s="173"/>
      <x:c r="GH22" s="173"/>
      <x:c r="GI22" s="173"/>
      <x:c r="GJ22" s="173"/>
      <x:c r="GK22" s="26"/>
      <x:c r="GL22" s="171"/>
      <x:c r="GM22" s="171"/>
      <x:c r="GZ22" s="1515" t="s">
        <x:v>1181</x:v>
      </x:c>
      <x:c r="HA22" s="1516">
        <x:v>1</x:v>
      </x:c>
      <x:c r="HB22" s="1516">
        <x:f>HA22+1</x:f>
        <x:v>2</x:v>
      </x:c>
      <x:c r="HC22" s="1516">
        <x:f>HB22+1</x:f>
        <x:v>3</x:v>
      </x:c>
      <x:c r="HD22" s="1516">
        <x:f t="shared" si="32"/>
        <x:v>4</x:v>
      </x:c>
      <x:c r="HE22" s="1516">
        <x:f t="shared" si="32"/>
        <x:v>5</x:v>
      </x:c>
      <x:c r="HF22" s="1516">
        <x:f t="shared" si="32"/>
        <x:v>6</x:v>
      </x:c>
      <x:c r="HG22" s="1516">
        <x:f t="shared" si="32"/>
        <x:v>7</x:v>
      </x:c>
      <x:c r="HH22" s="1516">
        <x:f t="shared" si="32"/>
        <x:v>8</x:v>
      </x:c>
      <x:c r="HI22" s="1516">
        <x:f t="shared" si="32"/>
        <x:v>9</x:v>
      </x:c>
      <x:c r="HJ22" s="1516">
        <x:f t="shared" si="32"/>
        <x:v>10</x:v>
      </x:c>
      <x:c r="HK22" s="1516">
        <x:f t="shared" si="32"/>
        <x:v>11</x:v>
      </x:c>
      <x:c r="HL22" s="1516">
        <x:f t="shared" si="32"/>
        <x:v>12</x:v>
      </x:c>
      <x:c r="HM22" s="1516">
        <x:f t="shared" si="32"/>
        <x:v>13</x:v>
      </x:c>
      <x:c r="HN22" s="1516">
        <x:f t="shared" si="32"/>
        <x:v>14</x:v>
      </x:c>
      <x:c r="HO22" s="1516">
        <x:f t="shared" si="32"/>
        <x:v>15</x:v>
      </x:c>
      <x:c r="HP22" s="1516">
        <x:f t="shared" si="32"/>
        <x:v>16</x:v>
      </x:c>
      <x:c r="HQ22" s="1516">
        <x:f t="shared" si="32"/>
        <x:v>17</x:v>
      </x:c>
      <x:c r="HR22" s="1516">
        <x:f t="shared" si="32"/>
        <x:v>18</x:v>
      </x:c>
      <x:c r="HS22" s="1516">
        <x:f t="shared" si="32"/>
        <x:v>19</x:v>
      </x:c>
      <x:c r="HT22" s="1516">
        <x:f t="shared" si="32"/>
        <x:v>20</x:v>
      </x:c>
      <x:c r="HU22" s="1516">
        <x:f t="shared" si="32"/>
        <x:v>21</x:v>
      </x:c>
      <x:c r="HV22" s="1516">
        <x:f t="shared" si="32"/>
        <x:v>22</x:v>
      </x:c>
      <x:c r="HW22" s="1516">
        <x:f t="shared" si="32"/>
        <x:v>23</x:v>
      </x:c>
      <x:c r="HX22" s="1516">
        <x:f t="shared" si="32"/>
        <x:v>24</x:v>
      </x:c>
      <x:c r="HY22" s="1516">
        <x:f>HX22+1</x:f>
        <x:v>25</x:v>
      </x:c>
      <x:c r="HZ22" s="1516">
        <x:f>HY22+1</x:f>
        <x:v>26</x:v>
      </x:c>
      <x:c r="IA22" s="1516">
        <x:f>HZ22+1</x:f>
        <x:v>27</x:v>
      </x:c>
      <x:c r="IB22" s="1516">
        <x:f>IA22+1</x:f>
        <x:v>28</x:v>
      </x:c>
      <x:c r="IC22" s="1516"/>
      <x:c r="ID22" s="1516"/>
      <x:c r="IE22" s="1612" t="s">
        <x:v>1272</x:v>
      </x:c>
      <x:c r="IF22" s="1613" t="s">
        <x:v>35</x:v>
      </x:c>
      <x:c r="IG22" s="1614">
        <x:v>3</x:v>
      </x:c>
      <x:c r="IH22" s="1615">
        <x:v>10</x:v>
      </x:c>
      <x:c r="II22" s="1613">
        <x:v>5</x:v>
      </x:c>
      <x:c r="IJ22" s="1614">
        <x:v>8</x:v>
      </x:c>
      <x:c r="IK22" s="1615">
        <x:v>0</x:v>
      </x:c>
      <x:c r="IL22" s="1613">
        <x:v>7</x:v>
      </x:c>
      <x:c r="IM22" s="1613">
        <x:v>10</x:v>
      </x:c>
      <x:c r="IN22" s="1613" t="s">
        <x:v>117</x:v>
      </x:c>
      <x:c r="IO22" s="1613" t="s">
        <x:v>117</x:v>
      </x:c>
      <x:c r="IP22" s="1613">
        <x:v>5</x:v>
      </x:c>
      <x:c r="IQ22" s="1613">
        <x:v>13</x:v>
      </x:c>
      <x:c r="IR22" s="1613">
        <x:v>4</x:v>
      </x:c>
      <x:c r="IS22" s="1614" t="s">
        <x:v>117</x:v>
      </x:c>
      <x:c r="IT22" s="1615">
        <x:v>1.75</x:v>
      </x:c>
      <x:c r="IU22" s="1613" t="s">
        <x:v>1061</x:v>
      </x:c>
      <x:c r="IV22" s="1613" t="s">
        <x:v>1956</x:v>
      </x:c>
      <x:c r="IW22" s="1614" t="s">
        <x:v>117</x:v>
      </x:c>
      <x:c r="IX22" s="1615" t="s">
        <x:v>35</x:v>
      </x:c>
      <x:c r="IY22" s="1613" t="s">
        <x:v>117</x:v>
      </x:c>
      <x:c r="IZ22" s="1613" t="s">
        <x:v>117</x:v>
      </x:c>
      <x:c r="JA22" s="1614" t="s">
        <x:v>117</x:v>
      </x:c>
      <x:c r="JB22" s="1615" t="s">
        <x:v>117</x:v>
      </x:c>
      <x:c r="JC22" s="1613" t="s">
        <x:v>117</x:v>
      </x:c>
      <x:c r="JD22" s="1613" t="s">
        <x:v>117</x:v>
      </x:c>
      <x:c r="JE22" s="1614" t="s">
        <x:v>117</x:v>
      </x:c>
      <x:c r="JF22" s="1615" t="s">
        <x:v>117</x:v>
      </x:c>
      <x:c r="JG22" s="1613" t="s">
        <x:v>117</x:v>
      </x:c>
      <x:c r="JH22" s="1613" t="s">
        <x:v>117</x:v>
      </x:c>
      <x:c r="JI22" s="1613" t="s">
        <x:v>117</x:v>
      </x:c>
      <x:c r="JJ22" s="1616" t="s">
        <x:v>117</x:v>
      </x:c>
      <x:c r="JK22" s="1613">
        <x:v>1</x:v>
      </x:c>
      <x:c r="JL22" s="1521">
        <x:f t="shared" ca="1" si="31"/>
        <x:v>1</x:v>
      </x:c>
      <x:c r="JM22" s="171"/>
    </x:row>
    <x:row r="23" spans="1:274" ht="12.6" customHeight="1" thickBot="1" x14ac:dyDescent="0.3">
      <x:c r="A23" s="1403"/>
      <x:c r="B23" s="1403"/>
      <x:c r="C23" s="1403"/>
      <x:c r="D23" s="1403"/>
      <x:c r="E23" s="1403"/>
      <x:c r="F23" s="1403"/>
      <x:c r="G23" s="1403"/>
      <x:c r="H23" s="1403"/>
      <x:c r="I23" s="1403"/>
      <x:c r="J23" s="1403"/>
      <x:c r="K23" s="1403"/>
      <x:c r="L23" s="1403"/>
      <x:c r="M23" s="1403"/>
      <x:c r="N23" s="1403"/>
      <x:c r="O23" s="1403"/>
      <x:c r="P23" s="1403"/>
      <x:c r="Q23" s="1403"/>
      <x:c r="R23" s="1403"/>
      <x:c r="S23" s="1403"/>
      <x:c r="T23" s="1403"/>
      <x:c r="U23" s="1403"/>
      <x:c r="V23" s="1403"/>
      <x:c r="W23" s="1403"/>
      <x:c r="X23" s="1403"/>
      <x:c r="Y23" s="1403"/>
      <x:c r="Z23" s="1403"/>
      <x:c r="AA23" s="1403"/>
      <x:c r="AB23" s="1264" t="s">
        <x:v>1273</x:v>
      </x:c>
      <x:c r="AC23" s="1260" t="s">
        <x:v>35</x:v>
      </x:c>
      <x:c r="AD23" s="1261">
        <x:v>3</x:v>
      </x:c>
      <x:c r="AE23" s="1262">
        <x:v>10</x:v>
      </x:c>
      <x:c r="AF23" s="1260">
        <x:v>5</x:v>
      </x:c>
      <x:c r="AG23" s="1261">
        <x:v>8</x:v>
      </x:c>
      <x:c r="AH23" s="1262">
        <x:v>0</x:v>
      </x:c>
      <x:c r="AI23" s="1261">
        <x:v>7</x:v>
      </x:c>
      <x:c r="AJ23" s="1262">
        <x:v>10</x:v>
      </x:c>
      <x:c r="AK23" s="1599" t="str">
        <x:f t="shared" si="16"/>
        <x:v/>
      </x:c>
      <x:c r="AL23" s="1600" t="str">
        <x:f t="shared" si="16"/>
        <x:v/>
      </x:c>
      <x:c r="AM23" s="1601">
        <x:v>5</x:v>
      </x:c>
      <x:c r="AN23" s="1260">
        <x:v>13</x:v>
      </x:c>
      <x:c r="AO23" s="1409">
        <x:v>4</x:v>
      </x:c>
      <x:c r="AP23" s="1327" t="str">
        <x:f t="shared" si="3"/>
        <x:v/>
      </x:c>
      <x:c r="AQ23" s="1602">
        <x:v>1.75</x:v>
      </x:c>
      <x:c r="AR23" s="1263" t="s">
        <x:v>1061</x:v>
      </x:c>
      <x:c r="AS23" s="1262" t="s">
        <x:v>1956</x:v>
      </x:c>
      <x:c r="AT23" s="1603" t="str">
        <x:f t="shared" si="17"/>
        <x:v/>
      </x:c>
      <x:c r="AU23" s="1410" t="s">
        <x:v>35</x:v>
      </x:c>
      <x:c r="AV23" s="1328" t="str">
        <x:f t="shared" si="6"/>
        <x:v/>
      </x:c>
      <x:c r="AW23" s="1262" t="str">
        <x:f t="shared" si="7"/>
        <x:v/>
      </x:c>
      <x:c r="AX23" s="1603" t="str">
        <x:f t="shared" si="18"/>
        <x:v/>
      </x:c>
      <x:c r="AY23" s="1410" t="str">
        <x:f t="shared" si="18"/>
        <x:v/>
      </x:c>
      <x:c r="AZ23" s="1328" t="str">
        <x:f t="shared" si="8"/>
        <x:v/>
      </x:c>
      <x:c r="BA23" s="1262" t="str">
        <x:f t="shared" si="9"/>
        <x:v/>
      </x:c>
      <x:c r="BB23" s="1603" t="str">
        <x:f t="shared" si="19"/>
        <x:v/>
      </x:c>
      <x:c r="BC23" s="1410" t="str">
        <x:f t="shared" si="19"/>
        <x:v/>
      </x:c>
      <x:c r="BD23" s="1328" t="str">
        <x:f t="shared" si="10"/>
        <x:v/>
      </x:c>
      <x:c r="BE23" s="1262" t="str">
        <x:f t="shared" si="11"/>
        <x:v/>
      </x:c>
      <x:c r="BF23" s="1603" t="str">
        <x:f t="shared" si="20"/>
        <x:v/>
      </x:c>
      <x:c r="BG23" s="1410" t="str">
        <x:f t="shared" si="20"/>
        <x:v/>
      </x:c>
      <x:c r="BH23" s="322"/>
      <x:c r="BJ23" s="178"/>
      <x:c r="BK23" s="171"/>
      <x:c r="BL23" s="2000"/>
      <x:c r="BW23" s="1253">
        <x:f t="shared" si="21"/>
        <x:v>16</x:v>
      </x:c>
      <x:c r="BX23" s="1254" t="str">
        <x:f t="shared" si="28"/>
        <x:v>G10</x:v>
      </x:c>
      <x:c r="BY23" s="1254" t="b">
        <x:f t="shared" si="22"/>
        <x:v>0</x:v>
      </x:c>
      <x:c r="BZ23" s="1255" t="b">
        <x:f t="shared" si="29"/>
        <x:v>0</x:v>
      </x:c>
      <x:c r="CB23" s="2480"/>
      <x:c r="CC23" s="2481"/>
      <x:c r="CD23" s="2481"/>
      <x:c r="CE23" s="2481"/>
      <x:c r="CF23" s="2481"/>
      <x:c r="CG23" s="2482"/>
      <x:c r="CH23" s="2482"/>
      <x:c r="CI23" s="2482"/>
      <x:c r="CJ23" s="2482"/>
      <x:c r="CK23" s="2482"/>
      <x:c r="CL23" s="2482"/>
      <x:c r="CM23" s="2482"/>
      <x:c r="CN23" s="2482"/>
      <x:c r="CO23" s="2482"/>
      <x:c r="CP23" s="2482"/>
      <x:c r="CQ23" s="2482"/>
      <x:c r="CR23" s="2482"/>
      <x:c r="CS23" s="2482"/>
      <x:c r="CT23" s="2482"/>
      <x:c r="CU23" s="2481"/>
      <x:c r="CV23" s="2482"/>
      <x:c r="CW23" s="2482"/>
      <x:c r="CX23" s="2481"/>
      <x:c r="CY23" s="2483"/>
      <x:c r="CZ23" s="173"/>
      <x:c r="DA23" s="173"/>
      <x:c r="DB23" s="173"/>
      <x:c r="DC23" s="173"/>
      <x:c r="DD23" s="173"/>
      <x:c r="DE23" s="173"/>
      <x:c r="DF23" s="173"/>
      <x:c r="DG23" s="173"/>
      <x:c r="DH23" s="842"/>
      <x:c r="DI23" s="843"/>
      <x:c r="DJ23" s="872"/>
      <x:c r="DK23" s="873"/>
      <x:c r="DL23" s="844"/>
      <x:c r="DM23" s="874"/>
      <x:c r="DN23" s="875"/>
      <x:c r="DO23" s="845"/>
      <x:c r="DP23" s="846"/>
      <x:c r="DQ23" s="847"/>
      <x:c r="DR23" s="847"/>
      <x:c r="DS23" s="848"/>
      <x:c r="DT23" s="836"/>
      <x:c r="DU23" s="837"/>
      <x:c r="DV23" s="849"/>
      <x:c r="DW23" s="850"/>
      <x:c r="DX23" s="851"/>
      <x:c r="DY23" s="852"/>
      <x:c r="DZ23" s="849"/>
      <x:c r="EA23" s="850"/>
      <x:c r="EB23" s="851"/>
      <x:c r="EC23" s="852"/>
      <x:c r="ED23" s="849"/>
      <x:c r="EE23" s="850"/>
      <x:c r="EF23" s="851"/>
      <x:c r="EG23" s="852"/>
      <x:c r="EH23" s="849"/>
      <x:c r="EI23" s="850"/>
      <x:c r="EJ23" s="851"/>
      <x:c r="EK23" s="853"/>
      <x:c r="EL23" s="173"/>
      <x:c r="EM23" s="173"/>
      <x:c r="EN23" s="173"/>
      <x:c r="EO23" s="173"/>
      <x:c r="EP23" s="173"/>
      <x:c r="EQ23" s="173"/>
      <x:c r="ER23" s="173"/>
      <x:c r="ES23" s="173"/>
      <x:c r="ET23" s="173"/>
      <x:c r="EU23" s="173"/>
      <x:c r="EX23" s="1194" t="str">
        <x:f t="shared" si="23"/>
        <x:v>G10B</x:v>
      </x:c>
      <x:c r="EY23" s="1196" t="b">
        <x:f t="shared" ca="1" si="12"/>
        <x:v>1</x:v>
      </x:c>
      <x:c r="EZ23" s="1196">
        <x:f t="shared" si="24"/>
        <x:v>5</x:v>
      </x:c>
      <x:c r="FA23" s="1217" t="b">
        <x:f t="shared" si="30"/>
        <x:v>1</x:v>
      </x:c>
      <x:c r="FB23" s="1218">
        <x:f t="shared" si="25"/>
        <x:v>620</x:v>
      </x:c>
      <x:c r="FC23" s="1218">
        <x:f t="shared" si="13"/>
        <x:v>46</x:v>
      </x:c>
      <x:c r="FD23" s="1218">
        <x:f t="shared" si="14"/>
        <x:v>480</x:v>
      </x:c>
      <x:c r="FE23" s="1218">
        <x:f t="shared" si="15"/>
        <x:v>94</x:v>
      </x:c>
      <x:c r="FF23" s="1218">
        <x:f t="shared" si="26"/>
        <x:v>620</x:v>
      </x:c>
      <x:c r="FN23" s="969"/>
      <x:c r="FO23" s="969"/>
      <x:c r="FP23" s="969" t="b">
        <x:v>0</x:v>
      </x:c>
      <x:c r="FQ23" s="969" t="b">
        <x:f t="shared" si="27"/>
        <x:v>1</x:v>
      </x:c>
      <x:c r="FX23" s="236"/>
      <x:c r="FZ23" s="2"/>
      <x:c r="GA23" s="173"/>
      <x:c r="GB23" s="173"/>
      <x:c r="GC23" s="173"/>
      <x:c r="GD23" s="173"/>
      <x:c r="GE23" s="173"/>
      <x:c r="GF23" s="173"/>
      <x:c r="GG23" s="173"/>
      <x:c r="GH23" s="173"/>
      <x:c r="GI23" s="173"/>
      <x:c r="GJ23" s="173"/>
      <x:c r="GK23" s="2"/>
      <x:c r="GL23" s="171"/>
      <x:c r="GM23" s="171"/>
      <x:c r="ID23" s="1002"/>
      <x:c r="IE23" s="1612" t="s">
        <x:v>1273</x:v>
      </x:c>
      <x:c r="IF23" s="1613" t="s">
        <x:v>35</x:v>
      </x:c>
      <x:c r="IG23" s="1614">
        <x:v>3</x:v>
      </x:c>
      <x:c r="IH23" s="1615">
        <x:v>10</x:v>
      </x:c>
      <x:c r="II23" s="1613">
        <x:v>5</x:v>
      </x:c>
      <x:c r="IJ23" s="1614">
        <x:v>8</x:v>
      </x:c>
      <x:c r="IK23" s="1615">
        <x:v>0</x:v>
      </x:c>
      <x:c r="IL23" s="1613">
        <x:v>7</x:v>
      </x:c>
      <x:c r="IM23" s="1613">
        <x:v>10</x:v>
      </x:c>
      <x:c r="IN23" s="1613" t="s">
        <x:v>117</x:v>
      </x:c>
      <x:c r="IO23" s="1613" t="s">
        <x:v>117</x:v>
      </x:c>
      <x:c r="IP23" s="1613">
        <x:v>5</x:v>
      </x:c>
      <x:c r="IQ23" s="1613">
        <x:v>13</x:v>
      </x:c>
      <x:c r="IR23" s="1613">
        <x:v>4</x:v>
      </x:c>
      <x:c r="IS23" s="1614" t="s">
        <x:v>117</x:v>
      </x:c>
      <x:c r="IT23" s="1615">
        <x:v>1.75</x:v>
      </x:c>
      <x:c r="IU23" s="1613" t="s">
        <x:v>1061</x:v>
      </x:c>
      <x:c r="IV23" s="1613" t="s">
        <x:v>1956</x:v>
      </x:c>
      <x:c r="IW23" s="1614" t="s">
        <x:v>117</x:v>
      </x:c>
      <x:c r="IX23" s="1615" t="s">
        <x:v>35</x:v>
      </x:c>
      <x:c r="IY23" s="1613" t="s">
        <x:v>117</x:v>
      </x:c>
      <x:c r="IZ23" s="1613" t="s">
        <x:v>117</x:v>
      </x:c>
      <x:c r="JA23" s="1614" t="s">
        <x:v>117</x:v>
      </x:c>
      <x:c r="JB23" s="1615" t="s">
        <x:v>117</x:v>
      </x:c>
      <x:c r="JC23" s="1613" t="s">
        <x:v>117</x:v>
      </x:c>
      <x:c r="JD23" s="1613" t="s">
        <x:v>117</x:v>
      </x:c>
      <x:c r="JE23" s="1614" t="s">
        <x:v>117</x:v>
      </x:c>
      <x:c r="JF23" s="1615" t="s">
        <x:v>117</x:v>
      </x:c>
      <x:c r="JG23" s="1613" t="s">
        <x:v>117</x:v>
      </x:c>
      <x:c r="JH23" s="1613" t="s">
        <x:v>117</x:v>
      </x:c>
      <x:c r="JI23" s="1613" t="s">
        <x:v>117</x:v>
      </x:c>
      <x:c r="JJ23" s="1616" t="s">
        <x:v>117</x:v>
      </x:c>
      <x:c r="JK23" s="1613">
        <x:v>1</x:v>
      </x:c>
      <x:c r="JL23" s="1521">
        <x:f t="shared" ca="1" si="31"/>
        <x:v>1</x:v>
      </x:c>
      <x:c r="JM23" s="171"/>
    </x:row>
    <x:row r="24" spans="1:274" ht="12.6" customHeight="1" thickTop="1" thickBot="1" x14ac:dyDescent="0.3">
      <x:c r="A24" s="1403"/>
      <x:c r="B24" s="1403"/>
      <x:c r="C24" s="1403"/>
      <x:c r="D24" s="1403"/>
      <x:c r="E24" s="1403"/>
      <x:c r="F24" s="1403"/>
      <x:c r="G24" s="1403"/>
      <x:c r="H24" s="1403"/>
      <x:c r="I24" s="1403"/>
      <x:c r="J24" s="1403"/>
      <x:c r="K24" s="1403"/>
      <x:c r="L24" s="1403"/>
      <x:c r="M24" s="1403"/>
      <x:c r="N24" s="1403"/>
      <x:c r="O24" s="1403"/>
      <x:c r="P24" s="1403"/>
      <x:c r="Q24" s="1403"/>
      <x:c r="R24" s="1403"/>
      <x:c r="S24" s="1403"/>
      <x:c r="T24" s="1403"/>
      <x:c r="U24" s="1403"/>
      <x:c r="V24" s="1403"/>
      <x:c r="W24" s="1404" t="s">
        <x:v>62</x:v>
      </x:c>
      <x:c r="X24" s="2452">
        <x:f>B48+B49</x:f>
        <x:v>152</x:v>
      </x:c>
      <x:c r="Y24" s="2452"/>
      <x:c r="Z24" s="1403"/>
      <x:c r="AA24" s="1403"/>
      <x:c r="AB24" s="1264" t="s">
        <x:v>1274</x:v>
      </x:c>
      <x:c r="AC24" s="1260" t="s">
        <x:v>34</x:v>
      </x:c>
      <x:c r="AD24" s="1261">
        <x:v>7</x:v>
      </x:c>
      <x:c r="AE24" s="1262">
        <x:v>3.875</x:v>
      </x:c>
      <x:c r="AF24" s="1260">
        <x:v>6</x:v>
      </x:c>
      <x:c r="AG24" s="1261">
        <x:v>7</x:v>
      </x:c>
      <x:c r="AH24" s="1262">
        <x:v>6.125</x:v>
      </x:c>
      <x:c r="AI24" s="1261">
        <x:v>7</x:v>
      </x:c>
      <x:c r="AJ24" s="1262">
        <x:v>3.875</x:v>
      </x:c>
      <x:c r="AK24" s="1599" t="str">
        <x:f t="shared" si="16"/>
        <x:v/>
      </x:c>
      <x:c r="AL24" s="1600" t="str">
        <x:f t="shared" si="16"/>
        <x:v/>
      </x:c>
      <x:c r="AM24" s="1601">
        <x:v>5</x:v>
      </x:c>
      <x:c r="AN24" s="1260">
        <x:v>13</x:v>
      </x:c>
      <x:c r="AO24" s="1409">
        <x:v>4</x:v>
      </x:c>
      <x:c r="AP24" s="1327">
        <x:v>1.75</x:v>
      </x:c>
      <x:c r="AQ24" s="1602">
        <x:v>1.75</x:v>
      </x:c>
      <x:c r="AR24" s="1263" t="str">
        <x:f t="shared" si="4"/>
        <x:v/>
      </x:c>
      <x:c r="AS24" s="1262" t="str">
        <x:f t="shared" si="5"/>
        <x:v/>
      </x:c>
      <x:c r="AT24" s="1603" t="str">
        <x:f t="shared" si="17"/>
        <x:v/>
      </x:c>
      <x:c r="AU24" s="1410" t="str">
        <x:f t="shared" si="17"/>
        <x:v/>
      </x:c>
      <x:c r="AV24" s="1328" t="str">
        <x:f t="shared" si="6"/>
        <x:v/>
      </x:c>
      <x:c r="AW24" s="1262" t="str">
        <x:f t="shared" si="7"/>
        <x:v/>
      </x:c>
      <x:c r="AX24" s="1603" t="str">
        <x:f t="shared" si="18"/>
        <x:v/>
      </x:c>
      <x:c r="AY24" s="1410" t="str">
        <x:f t="shared" si="18"/>
        <x:v/>
      </x:c>
      <x:c r="AZ24" s="1328" t="str">
        <x:f t="shared" si="8"/>
        <x:v/>
      </x:c>
      <x:c r="BA24" s="1262" t="str">
        <x:f t="shared" si="9"/>
        <x:v/>
      </x:c>
      <x:c r="BB24" s="1603" t="str">
        <x:f t="shared" si="19"/>
        <x:v/>
      </x:c>
      <x:c r="BC24" s="1410" t="str">
        <x:f t="shared" si="19"/>
        <x:v/>
      </x:c>
      <x:c r="BD24" s="1328" t="str">
        <x:f t="shared" si="10"/>
        <x:v/>
      </x:c>
      <x:c r="BE24" s="1262" t="str">
        <x:f t="shared" si="11"/>
        <x:v/>
      </x:c>
      <x:c r="BF24" s="1603" t="str">
        <x:f t="shared" si="20"/>
        <x:v/>
      </x:c>
      <x:c r="BG24" s="1410" t="str">
        <x:f t="shared" si="20"/>
        <x:v/>
      </x:c>
      <x:c r="BH24" s="322"/>
      <x:c r="BJ24" s="178"/>
      <x:c r="BK24" s="171"/>
      <x:c r="BL24" s="2000"/>
      <x:c r="BW24" s="1253">
        <x:f t="shared" si="21"/>
        <x:v>14</x:v>
      </x:c>
      <x:c r="BX24" s="1254" t="str">
        <x:f t="shared" si="28"/>
        <x:v>G11</x:v>
      </x:c>
      <x:c r="BY24" s="1254" t="b">
        <x:f t="shared" si="22"/>
        <x:v>0</x:v>
      </x:c>
      <x:c r="BZ24" s="1255" t="b">
        <x:f t="shared" si="29"/>
        <x:v>0</x:v>
      </x:c>
      <x:c r="CB24" s="624"/>
      <x:c r="CC24" s="625"/>
      <x:c r="CD24" s="625"/>
      <x:c r="CE24" s="625"/>
      <x:c r="CF24" s="626"/>
      <x:c r="CG24" s="2413" t="s">
        <x:v>506</x:v>
      </x:c>
      <x:c r="CH24" s="2414"/>
      <x:c r="CI24" s="2414"/>
      <x:c r="CJ24" s="2414"/>
      <x:c r="CK24" s="2414"/>
      <x:c r="CL24" s="2414"/>
      <x:c r="CM24" s="2415"/>
      <x:c r="CN24" s="2413" t="s">
        <x:v>507</x:v>
      </x:c>
      <x:c r="CO24" s="2414"/>
      <x:c r="CP24" s="2414"/>
      <x:c r="CQ24" s="2414"/>
      <x:c r="CR24" s="2414"/>
      <x:c r="CS24" s="2414"/>
      <x:c r="CT24" s="2415"/>
      <x:c r="CU24" s="631"/>
      <x:c r="CV24" s="180"/>
      <x:c r="CW24" s="652"/>
      <x:c r="CX24" s="624"/>
      <x:c r="CY24" s="626"/>
      <x:c r="CZ24" s="470" t="s">
        <x:v>719</x:v>
      </x:c>
      <x:c r="DA24" s="2373"/>
      <x:c r="DB24" s="2374"/>
      <x:c r="DC24" s="2374"/>
      <x:c r="DD24" s="2374"/>
      <x:c r="DE24" s="173"/>
      <x:c r="DF24" s="173"/>
      <x:c r="DG24" s="173"/>
      <x:c r="DH24" s="842"/>
      <x:c r="DI24" s="843"/>
      <x:c r="DJ24" s="872"/>
      <x:c r="DK24" s="873"/>
      <x:c r="DL24" s="844"/>
      <x:c r="DM24" s="874"/>
      <x:c r="DN24" s="875"/>
      <x:c r="DO24" s="845"/>
      <x:c r="DP24" s="846"/>
      <x:c r="DQ24" s="847"/>
      <x:c r="DR24" s="847"/>
      <x:c r="DS24" s="848"/>
      <x:c r="DT24" s="836"/>
      <x:c r="DU24" s="837"/>
      <x:c r="DV24" s="849"/>
      <x:c r="DW24" s="850"/>
      <x:c r="DX24" s="851"/>
      <x:c r="DY24" s="852"/>
      <x:c r="DZ24" s="849"/>
      <x:c r="EA24" s="850"/>
      <x:c r="EB24" s="851"/>
      <x:c r="EC24" s="852"/>
      <x:c r="ED24" s="849"/>
      <x:c r="EE24" s="850"/>
      <x:c r="EF24" s="851"/>
      <x:c r="EG24" s="852"/>
      <x:c r="EH24" s="849"/>
      <x:c r="EI24" s="850"/>
      <x:c r="EJ24" s="851"/>
      <x:c r="EK24" s="853"/>
      <x:c r="EL24" s="173"/>
      <x:c r="EM24" s="173"/>
      <x:c r="EN24" s="1186"/>
      <x:c r="EO24" s="173"/>
      <x:c r="EP24" s="173"/>
      <x:c r="EQ24" s="173"/>
      <x:c r="ER24" s="2471" t="s">
        <x:v>655</x:v>
      </x:c>
      <x:c r="ES24" s="2472"/>
      <x:c r="ET24" s="2608" t="s">
        <x:v>519</x:v>
      </x:c>
      <x:c r="EU24" s="2611" t="s">
        <x:v>520</x:v>
      </x:c>
      <x:c r="EX24" s="1194" t="str">
        <x:f t="shared" si="23"/>
        <x:v>G11N</x:v>
      </x:c>
      <x:c r="EY24" s="1196" t="b">
        <x:f t="shared" ca="1" si="12"/>
        <x:v>1</x:v>
      </x:c>
      <x:c r="EZ24" s="1196">
        <x:f t="shared" si="24"/>
        <x:v>5</x:v>
      </x:c>
      <x:c r="FA24" s="1217" t="b">
        <x:f t="shared" si="30"/>
        <x:v>1</x:v>
      </x:c>
      <x:c r="FB24" s="1218">
        <x:f t="shared" si="25"/>
        <x:v>716.5</x:v>
      </x:c>
      <x:c r="FC24" s="1218">
        <x:f t="shared" si="13"/>
        <x:v>87.875</x:v>
      </x:c>
      <x:c r="FD24" s="1218">
        <x:f t="shared" si="14"/>
        <x:v>540.75</x:v>
      </x:c>
      <x:c r="FE24" s="1218">
        <x:f t="shared" si="15"/>
        <x:v>87.875</x:v>
      </x:c>
      <x:c r="FF24" s="1218">
        <x:f t="shared" si="26"/>
        <x:v>716.5</x:v>
      </x:c>
      <x:c r="FN24" s="969"/>
      <x:c r="FO24" s="969"/>
      <x:c r="FP24" s="969" t="b">
        <x:v>0</x:v>
      </x:c>
      <x:c r="FQ24" s="969" t="b">
        <x:f t="shared" si="27"/>
        <x:v>1</x:v>
      </x:c>
      <x:c r="FX24" s="236"/>
      <x:c r="FZ24" s="2"/>
      <x:c r="GA24" s="173"/>
      <x:c r="GB24" s="173"/>
      <x:c r="GC24" s="173"/>
      <x:c r="GD24" s="173"/>
      <x:c r="GE24" s="173"/>
      <x:c r="GF24" s="173"/>
      <x:c r="GG24" s="173"/>
      <x:c r="GH24" s="173"/>
      <x:c r="GI24" s="173"/>
      <x:c r="GJ24" s="173"/>
      <x:c r="GK24" s="2"/>
      <x:c r="ID24" s="1002"/>
      <x:c r="IE24" s="1612" t="s">
        <x:v>1274</x:v>
      </x:c>
      <x:c r="IF24" s="1613" t="s">
        <x:v>34</x:v>
      </x:c>
      <x:c r="IG24" s="1614">
        <x:v>7</x:v>
      </x:c>
      <x:c r="IH24" s="1615">
        <x:v>3.875</x:v>
      </x:c>
      <x:c r="II24" s="1613">
        <x:v>6</x:v>
      </x:c>
      <x:c r="IJ24" s="1614">
        <x:v>7</x:v>
      </x:c>
      <x:c r="IK24" s="1615">
        <x:v>6.125</x:v>
      </x:c>
      <x:c r="IL24" s="1613">
        <x:v>7</x:v>
      </x:c>
      <x:c r="IM24" s="1613">
        <x:v>3.875</x:v>
      </x:c>
      <x:c r="IN24" s="1613" t="s">
        <x:v>117</x:v>
      </x:c>
      <x:c r="IO24" s="1613" t="s">
        <x:v>117</x:v>
      </x:c>
      <x:c r="IP24" s="1613">
        <x:v>5</x:v>
      </x:c>
      <x:c r="IQ24" s="1613">
        <x:v>13</x:v>
      </x:c>
      <x:c r="IR24" s="1613">
        <x:v>4</x:v>
      </x:c>
      <x:c r="IS24" s="1614">
        <x:v>1.75</x:v>
      </x:c>
      <x:c r="IT24" s="1615">
        <x:v>1.75</x:v>
      </x:c>
      <x:c r="IU24" s="1613" t="s">
        <x:v>117</x:v>
      </x:c>
      <x:c r="IV24" s="1613" t="s">
        <x:v>117</x:v>
      </x:c>
      <x:c r="IW24" s="1614" t="s">
        <x:v>117</x:v>
      </x:c>
      <x:c r="IX24" s="1615" t="s">
        <x:v>117</x:v>
      </x:c>
      <x:c r="IY24" s="1613" t="s">
        <x:v>117</x:v>
      </x:c>
      <x:c r="IZ24" s="1613" t="s">
        <x:v>117</x:v>
      </x:c>
      <x:c r="JA24" s="1614" t="s">
        <x:v>117</x:v>
      </x:c>
      <x:c r="JB24" s="1615" t="s">
        <x:v>117</x:v>
      </x:c>
      <x:c r="JC24" s="1613" t="s">
        <x:v>117</x:v>
      </x:c>
      <x:c r="JD24" s="1613" t="s">
        <x:v>117</x:v>
      </x:c>
      <x:c r="JE24" s="1614" t="s">
        <x:v>117</x:v>
      </x:c>
      <x:c r="JF24" s="1615" t="s">
        <x:v>117</x:v>
      </x:c>
      <x:c r="JG24" s="1613" t="s">
        <x:v>117</x:v>
      </x:c>
      <x:c r="JH24" s="1613" t="s">
        <x:v>117</x:v>
      </x:c>
      <x:c r="JI24" s="1613" t="s">
        <x:v>117</x:v>
      </x:c>
      <x:c r="JJ24" s="1616" t="s">
        <x:v>117</x:v>
      </x:c>
      <x:c r="JK24" s="1613">
        <x:v>1</x:v>
      </x:c>
      <x:c r="JL24" s="1521">
        <x:f t="shared" ca="1" si="31"/>
        <x:v>1</x:v>
      </x:c>
      <x:c r="JM24" s="171"/>
    </x:row>
    <x:row r="25" spans="1:274" ht="12.6" customHeight="1" thickTop="1" thickBot="1" x14ac:dyDescent="0.3">
      <x:c r="A25" s="1403"/>
      <x:c r="B25" s="1403"/>
      <x:c r="C25" s="1403"/>
      <x:c r="D25" s="1403"/>
      <x:c r="E25" s="1403"/>
      <x:c r="F25" s="1403"/>
      <x:c r="G25" s="1403"/>
      <x:c r="H25" s="1403"/>
      <x:c r="I25" s="1403"/>
      <x:c r="J25" s="1403"/>
      <x:c r="K25" s="1403"/>
      <x:c r="L25" s="1403"/>
      <x:c r="M25" s="1403"/>
      <x:c r="N25" s="1403"/>
      <x:c r="O25" s="1403"/>
      <x:c r="P25" s="1403"/>
      <x:c r="Q25" s="1403"/>
      <x:c r="R25" s="1403"/>
      <x:c r="S25" s="1403"/>
      <x:c r="T25" s="1403"/>
      <x:c r="U25" s="1403"/>
      <x:c r="V25" s="1403"/>
      <x:c r="W25" s="1403"/>
      <x:c r="X25" s="1403"/>
      <x:c r="Y25" s="1403"/>
      <x:c r="Z25" s="1403"/>
      <x:c r="AA25" s="1403"/>
      <x:c r="AB25" s="1264" t="s">
        <x:v>1275</x:v>
      </x:c>
      <x:c r="AC25" s="1260" t="s">
        <x:v>34</x:v>
      </x:c>
      <x:c r="AD25" s="1261">
        <x:v>7</x:v>
      </x:c>
      <x:c r="AE25" s="1262">
        <x:v>4</x:v>
      </x:c>
      <x:c r="AF25" s="1260">
        <x:v>6</x:v>
      </x:c>
      <x:c r="AG25" s="1261">
        <x:v>7</x:v>
      </x:c>
      <x:c r="AH25" s="1262">
        <x:v>6</x:v>
      </x:c>
      <x:c r="AI25" s="1261">
        <x:v>7</x:v>
      </x:c>
      <x:c r="AJ25" s="1262">
        <x:v>4</x:v>
      </x:c>
      <x:c r="AK25" s="1599" t="str">
        <x:f t="shared" si="16"/>
        <x:v/>
      </x:c>
      <x:c r="AL25" s="1600" t="str">
        <x:f t="shared" si="16"/>
        <x:v/>
      </x:c>
      <x:c r="AM25" s="1601">
        <x:v>5</x:v>
      </x:c>
      <x:c r="AN25" s="1260">
        <x:v>13</x:v>
      </x:c>
      <x:c r="AO25" s="1409">
        <x:v>4</x:v>
      </x:c>
      <x:c r="AP25" s="1327">
        <x:v>1.75</x:v>
      </x:c>
      <x:c r="AQ25" s="1602">
        <x:v>1.75</x:v>
      </x:c>
      <x:c r="AR25" s="1263" t="str">
        <x:f t="shared" si="4"/>
        <x:v/>
      </x:c>
      <x:c r="AS25" s="1262" t="str">
        <x:f t="shared" si="5"/>
        <x:v/>
      </x:c>
      <x:c r="AT25" s="1603" t="str">
        <x:f t="shared" si="17"/>
        <x:v/>
      </x:c>
      <x:c r="AU25" s="1410" t="str">
        <x:f t="shared" si="17"/>
        <x:v/>
      </x:c>
      <x:c r="AV25" s="1328" t="str">
        <x:f t="shared" si="6"/>
        <x:v/>
      </x:c>
      <x:c r="AW25" s="1262" t="str">
        <x:f t="shared" si="7"/>
        <x:v/>
      </x:c>
      <x:c r="AX25" s="1603" t="str">
        <x:f t="shared" si="18"/>
        <x:v/>
      </x:c>
      <x:c r="AY25" s="1410" t="str">
        <x:f t="shared" si="18"/>
        <x:v/>
      </x:c>
      <x:c r="AZ25" s="1328" t="str">
        <x:f t="shared" si="8"/>
        <x:v/>
      </x:c>
      <x:c r="BA25" s="1262" t="str">
        <x:f t="shared" si="9"/>
        <x:v/>
      </x:c>
      <x:c r="BB25" s="1603" t="str">
        <x:f t="shared" si="19"/>
        <x:v/>
      </x:c>
      <x:c r="BC25" s="1410" t="str">
        <x:f t="shared" si="19"/>
        <x:v/>
      </x:c>
      <x:c r="BD25" s="1328" t="str">
        <x:f t="shared" si="10"/>
        <x:v/>
      </x:c>
      <x:c r="BE25" s="1262" t="str">
        <x:f t="shared" si="11"/>
        <x:v/>
      </x:c>
      <x:c r="BF25" s="1603" t="str">
        <x:f t="shared" si="20"/>
        <x:v/>
      </x:c>
      <x:c r="BG25" s="1410" t="str">
        <x:f t="shared" si="20"/>
        <x:v/>
      </x:c>
      <x:c r="BH25" s="322"/>
      <x:c r="BJ25" s="178"/>
      <x:c r="BK25" s="171"/>
      <x:c r="BL25" s="2000"/>
      <x:c r="BW25" s="1253">
        <x:f t="shared" si="21"/>
        <x:v>14</x:v>
      </x:c>
      <x:c r="BX25" s="1254" t="str">
        <x:f t="shared" si="28"/>
        <x:v>G12</x:v>
      </x:c>
      <x:c r="BY25" s="1254" t="b">
        <x:f t="shared" si="22"/>
        <x:v>0</x:v>
      </x:c>
      <x:c r="BZ25" s="1255" t="b">
        <x:f t="shared" si="29"/>
        <x:v>0</x:v>
      </x:c>
      <x:c r="CB25" s="627"/>
      <x:c r="CC25" s="628"/>
      <x:c r="CD25" s="628"/>
      <x:c r="CE25" s="629"/>
      <x:c r="CF25" s="630"/>
      <x:c r="CG25" s="2416"/>
      <x:c r="CH25" s="2417"/>
      <x:c r="CI25" s="2417"/>
      <x:c r="CJ25" s="2417"/>
      <x:c r="CK25" s="2417"/>
      <x:c r="CL25" s="2417"/>
      <x:c r="CM25" s="2418"/>
      <x:c r="CN25" s="2416"/>
      <x:c r="CO25" s="2417"/>
      <x:c r="CP25" s="2417"/>
      <x:c r="CQ25" s="2417"/>
      <x:c r="CR25" s="2417"/>
      <x:c r="CS25" s="2417"/>
      <x:c r="CT25" s="2418"/>
      <x:c r="CU25" s="632"/>
      <x:c r="CV25" s="181"/>
      <x:c r="CW25" s="182"/>
      <x:c r="CX25" s="637"/>
      <x:c r="CY25" s="638"/>
      <x:c r="CZ25" s="2633" t="s">
        <x:v>1103</x:v>
      </x:c>
      <x:c r="DA25" s="2634"/>
      <x:c r="DB25" s="173"/>
      <x:c r="DC25" s="173"/>
      <x:c r="DD25" s="173"/>
      <x:c r="DE25" s="173"/>
      <x:c r="DF25" s="173"/>
      <x:c r="DG25" s="173"/>
      <x:c r="DH25" s="842"/>
      <x:c r="DI25" s="843"/>
      <x:c r="DJ25" s="872"/>
      <x:c r="DK25" s="873"/>
      <x:c r="DL25" s="844"/>
      <x:c r="DM25" s="874"/>
      <x:c r="DN25" s="875"/>
      <x:c r="DO25" s="845"/>
      <x:c r="DP25" s="846"/>
      <x:c r="DQ25" s="847"/>
      <x:c r="DR25" s="847"/>
      <x:c r="DS25" s="848"/>
      <x:c r="DT25" s="836"/>
      <x:c r="DU25" s="837"/>
      <x:c r="DV25" s="849"/>
      <x:c r="DW25" s="850"/>
      <x:c r="DX25" s="851"/>
      <x:c r="DY25" s="852"/>
      <x:c r="DZ25" s="849"/>
      <x:c r="EA25" s="850"/>
      <x:c r="EB25" s="851"/>
      <x:c r="EC25" s="852"/>
      <x:c r="ED25" s="849"/>
      <x:c r="EE25" s="850"/>
      <x:c r="EF25" s="851"/>
      <x:c r="EG25" s="852"/>
      <x:c r="EH25" s="849"/>
      <x:c r="EI25" s="850"/>
      <x:c r="EJ25" s="851"/>
      <x:c r="EK25" s="853"/>
      <x:c r="EL25" s="173"/>
      <x:c r="EM25" s="173"/>
      <x:c r="EN25" s="1186"/>
      <x:c r="EO25" s="173"/>
      <x:c r="EP25" s="173"/>
      <x:c r="EQ25" s="173"/>
      <x:c r="ER25" s="2473"/>
      <x:c r="ES25" s="2474"/>
      <x:c r="ET25" s="2609"/>
      <x:c r="EU25" s="2612"/>
      <x:c r="EX25" s="1194" t="str">
        <x:f t="shared" si="23"/>
        <x:v>G12N</x:v>
      </x:c>
      <x:c r="EY25" s="1196" t="b">
        <x:f t="shared" ca="1" si="12"/>
        <x:v>1</x:v>
      </x:c>
      <x:c r="EZ25" s="1196">
        <x:f t="shared" si="24"/>
        <x:v>5</x:v>
      </x:c>
      <x:c r="FA25" s="1217" t="b">
        <x:f t="shared" si="30"/>
        <x:v>1</x:v>
      </x:c>
      <x:c r="FB25" s="1218">
        <x:f t="shared" si="25"/>
        <x:v>716</x:v>
      </x:c>
      <x:c r="FC25" s="1218">
        <x:f t="shared" si="13"/>
        <x:v>88</x:v>
      </x:c>
      <x:c r="FD25" s="1218">
        <x:f t="shared" si="14"/>
        <x:v>540</x:v>
      </x:c>
      <x:c r="FE25" s="1218">
        <x:f t="shared" si="15"/>
        <x:v>88</x:v>
      </x:c>
      <x:c r="FF25" s="1218">
        <x:f t="shared" si="26"/>
        <x:v>716</x:v>
      </x:c>
      <x:c r="FN25" s="969"/>
      <x:c r="FO25" s="969"/>
      <x:c r="FP25" s="969" t="b">
        <x:v>0</x:v>
      </x:c>
      <x:c r="FQ25" s="969" t="b">
        <x:f t="shared" si="27"/>
        <x:v>1</x:v>
      </x:c>
      <x:c r="FX25" s="236"/>
      <x:c r="FZ25" s="2"/>
      <x:c r="GA25" s="2639" t="s">
        <x:v>1188</x:v>
      </x:c>
      <x:c r="GB25" s="2639"/>
      <x:c r="GC25" s="2639"/>
      <x:c r="GD25" s="2639"/>
      <x:c r="GE25" s="2639"/>
      <x:c r="GF25" s="2639"/>
      <x:c r="GG25" s="2640"/>
      <x:c r="GH25" s="2640"/>
      <x:c r="GI25" s="2640"/>
      <x:c r="GJ25" s="2640"/>
      <x:c r="GK25" s="2"/>
      <x:c r="ID25" s="1002"/>
      <x:c r="IE25" s="1612" t="s">
        <x:v>1275</x:v>
      </x:c>
      <x:c r="IF25" s="1613" t="s">
        <x:v>34</x:v>
      </x:c>
      <x:c r="IG25" s="1614">
        <x:v>7</x:v>
      </x:c>
      <x:c r="IH25" s="1615">
        <x:v>4</x:v>
      </x:c>
      <x:c r="II25" s="1613">
        <x:v>6</x:v>
      </x:c>
      <x:c r="IJ25" s="1614">
        <x:v>7</x:v>
      </x:c>
      <x:c r="IK25" s="1615">
        <x:v>6</x:v>
      </x:c>
      <x:c r="IL25" s="1613">
        <x:v>7</x:v>
      </x:c>
      <x:c r="IM25" s="1613">
        <x:v>4</x:v>
      </x:c>
      <x:c r="IN25" s="1613" t="s">
        <x:v>117</x:v>
      </x:c>
      <x:c r="IO25" s="1613" t="s">
        <x:v>117</x:v>
      </x:c>
      <x:c r="IP25" s="1613">
        <x:v>5</x:v>
      </x:c>
      <x:c r="IQ25" s="1613">
        <x:v>13</x:v>
      </x:c>
      <x:c r="IR25" s="1613">
        <x:v>4</x:v>
      </x:c>
      <x:c r="IS25" s="1614">
        <x:v>1.75</x:v>
      </x:c>
      <x:c r="IT25" s="1615">
        <x:v>1.75</x:v>
      </x:c>
      <x:c r="IU25" s="1613" t="s">
        <x:v>117</x:v>
      </x:c>
      <x:c r="IV25" s="1613" t="s">
        <x:v>117</x:v>
      </x:c>
      <x:c r="IW25" s="1614" t="s">
        <x:v>117</x:v>
      </x:c>
      <x:c r="IX25" s="1615" t="s">
        <x:v>117</x:v>
      </x:c>
      <x:c r="IY25" s="1613" t="s">
        <x:v>117</x:v>
      </x:c>
      <x:c r="IZ25" s="1613" t="s">
        <x:v>117</x:v>
      </x:c>
      <x:c r="JA25" s="1614" t="s">
        <x:v>117</x:v>
      </x:c>
      <x:c r="JB25" s="1615" t="s">
        <x:v>117</x:v>
      </x:c>
      <x:c r="JC25" s="1613" t="s">
        <x:v>117</x:v>
      </x:c>
      <x:c r="JD25" s="1613" t="s">
        <x:v>117</x:v>
      </x:c>
      <x:c r="JE25" s="1614" t="s">
        <x:v>117</x:v>
      </x:c>
      <x:c r="JF25" s="1615" t="s">
        <x:v>117</x:v>
      </x:c>
      <x:c r="JG25" s="1613" t="s">
        <x:v>117</x:v>
      </x:c>
      <x:c r="JH25" s="1613" t="s">
        <x:v>117</x:v>
      </x:c>
      <x:c r="JI25" s="1613" t="s">
        <x:v>117</x:v>
      </x:c>
      <x:c r="JJ25" s="1616" t="s">
        <x:v>117</x:v>
      </x:c>
      <x:c r="JK25" s="1613">
        <x:v>1</x:v>
      </x:c>
      <x:c r="JL25" s="1521">
        <x:f t="shared" ca="1" si="31"/>
        <x:v>1</x:v>
      </x:c>
      <x:c r="JM25" s="171"/>
    </x:row>
    <x:row r="26" spans="1:274" ht="12.6" customHeight="1" thickTop="1" thickBot="1" x14ac:dyDescent="0.3">
      <x:c r="A26" s="2434" t="s">
        <x:v>40</x:v>
      </x:c>
      <x:c r="B26" s="2435" t="s">
        <x:v>131</x:v>
      </x:c>
      <x:c r="C26" s="2435" t="s">
        <x:v>31</x:v>
      </x:c>
      <x:c r="D26" s="2435" t="s">
        <x:v>25</x:v>
      </x:c>
      <x:c r="E26" s="2439"/>
      <x:c r="F26" s="2445" t="s">
        <x:v>89</x:v>
      </x:c>
      <x:c r="G26" s="2344" t="s">
        <x:v>9</x:v>
      </x:c>
      <x:c r="H26" s="2443"/>
      <x:c r="I26" s="2443"/>
      <x:c r="J26" s="2443" t="s">
        <x:v>10</x:v>
      </x:c>
      <x:c r="K26" s="2443"/>
      <x:c r="L26" s="2342"/>
      <x:c r="M26" s="2437" t="s">
        <x:v>11</x:v>
      </x:c>
      <x:c r="N26" s="2438"/>
      <x:c r="O26" s="2440" t="s">
        <x:v>12</x:v>
      </x:c>
      <x:c r="P26" s="2441"/>
      <x:c r="Q26" s="2441" t="s">
        <x:v>13</x:v>
      </x:c>
      <x:c r="R26" s="2451"/>
      <x:c r="S26" s="2442" t="s">
        <x:v>14</x:v>
      </x:c>
      <x:c r="T26" s="2443"/>
      <x:c r="U26" s="2443"/>
      <x:c r="V26" s="2443"/>
      <x:c r="W26" s="2444"/>
      <x:c r="X26" s="2344" t="s">
        <x:v>112</x:v>
      </x:c>
      <x:c r="Y26" s="2342"/>
      <x:c r="Z26" s="1437" t="s">
        <x:v>15</x:v>
      </x:c>
      <x:c r="AA26" s="2496" t="s">
        <x:v>982</x:v>
      </x:c>
      <x:c r="AB26" s="1264" t="s">
        <x:v>1276</x:v>
      </x:c>
      <x:c r="AC26" s="1260" t="s">
        <x:v>34</x:v>
      </x:c>
      <x:c r="AD26" s="1261">
        <x:v>7</x:v>
      </x:c>
      <x:c r="AE26" s="1262">
        <x:v>0</x:v>
      </x:c>
      <x:c r="AF26" s="1260">
        <x:v>5</x:v>
      </x:c>
      <x:c r="AG26" s="1261">
        <x:v>7</x:v>
      </x:c>
      <x:c r="AH26" s="1262">
        <x:v>2</x:v>
      </x:c>
      <x:c r="AI26" s="1261">
        <x:v>6</x:v>
      </x:c>
      <x:c r="AJ26" s="1262">
        <x:v>10</x:v>
      </x:c>
      <x:c r="AK26" s="1599" t="str">
        <x:f t="shared" si="16"/>
        <x:v/>
      </x:c>
      <x:c r="AL26" s="1600" t="str">
        <x:f t="shared" si="16"/>
        <x:v/>
      </x:c>
      <x:c r="AM26" s="1601">
        <x:v>5</x:v>
      </x:c>
      <x:c r="AN26" s="1260">
        <x:v>13</x:v>
      </x:c>
      <x:c r="AO26" s="1409">
        <x:v>4</x:v>
      </x:c>
      <x:c r="AP26" s="1327">
        <x:v>1.75</x:v>
      </x:c>
      <x:c r="AQ26" s="1602">
        <x:v>1.75</x:v>
      </x:c>
      <x:c r="AR26" s="1263" t="str">
        <x:f t="shared" si="4"/>
        <x:v/>
      </x:c>
      <x:c r="AS26" s="1262" t="str">
        <x:f t="shared" si="5"/>
        <x:v/>
      </x:c>
      <x:c r="AT26" s="1603" t="str">
        <x:f t="shared" si="17"/>
        <x:v/>
      </x:c>
      <x:c r="AU26" s="1410" t="str">
        <x:f t="shared" si="17"/>
        <x:v/>
      </x:c>
      <x:c r="AV26" s="1328" t="str">
        <x:f t="shared" si="6"/>
        <x:v/>
      </x:c>
      <x:c r="AW26" s="1262" t="str">
        <x:f t="shared" si="7"/>
        <x:v/>
      </x:c>
      <x:c r="AX26" s="1603" t="str">
        <x:f t="shared" si="18"/>
        <x:v/>
      </x:c>
      <x:c r="AY26" s="1410" t="str">
        <x:f t="shared" si="18"/>
        <x:v/>
      </x:c>
      <x:c r="AZ26" s="1328" t="str">
        <x:f t="shared" si="8"/>
        <x:v/>
      </x:c>
      <x:c r="BA26" s="1262" t="str">
        <x:f t="shared" si="9"/>
        <x:v/>
      </x:c>
      <x:c r="BB26" s="1603" t="str">
        <x:f t="shared" si="19"/>
        <x:v/>
      </x:c>
      <x:c r="BC26" s="1410" t="str">
        <x:f t="shared" si="19"/>
        <x:v/>
      </x:c>
      <x:c r="BD26" s="1328" t="str">
        <x:f t="shared" si="10"/>
        <x:v/>
      </x:c>
      <x:c r="BE26" s="1262" t="str">
        <x:f t="shared" si="11"/>
        <x:v/>
      </x:c>
      <x:c r="BF26" s="1603" t="str">
        <x:f t="shared" si="20"/>
        <x:v/>
      </x:c>
      <x:c r="BG26" s="1410" t="str">
        <x:f t="shared" si="20"/>
        <x:v/>
      </x:c>
      <x:c r="BH26" s="322"/>
      <x:c r="BJ26" s="178"/>
      <x:c r="BK26" s="171"/>
      <x:c r="BL26" s="2000"/>
      <x:c r="BW26" s="1253">
        <x:f t="shared" si="21"/>
        <x:v>14</x:v>
      </x:c>
      <x:c r="BX26" s="1254" t="str">
        <x:f t="shared" si="28"/>
        <x:v>G13</x:v>
      </x:c>
      <x:c r="BY26" s="1254" t="b">
        <x:f t="shared" si="22"/>
        <x:v>0</x:v>
      </x:c>
      <x:c r="BZ26" s="1255" t="b">
        <x:f t="shared" si="29"/>
        <x:v>0</x:v>
      </x:c>
      <x:c r="CB26" s="2505" t="s">
        <x:v>653</x:v>
      </x:c>
      <x:c r="CC26" s="2487" t="s">
        <x:v>131</x:v>
      </x:c>
      <x:c r="CD26" s="2507" t="s">
        <x:v>515</x:v>
      </x:c>
      <x:c r="CE26" s="2419" t="s">
        <x:v>516</x:v>
      </x:c>
      <x:c r="CF26" s="2420"/>
      <x:c r="CG26" s="2616" t="s">
        <x:v>579</x:v>
      </x:c>
      <x:c r="CH26" s="2618" t="s">
        <x:v>635</x:v>
      </x:c>
      <x:c r="CI26" s="2619"/>
      <x:c r="CJ26" s="2618" t="s">
        <x:v>636</x:v>
      </x:c>
      <x:c r="CK26" s="2619"/>
      <x:c r="CL26" s="2484" t="s">
        <x:v>525</x:v>
      </x:c>
      <x:c r="CM26" s="2626" t="s">
        <x:v>832</x:v>
      </x:c>
      <x:c r="CN26" s="2616" t="s">
        <x:v>579</x:v>
      </x:c>
      <x:c r="CO26" s="2618" t="s">
        <x:v>635</x:v>
      </x:c>
      <x:c r="CP26" s="2619"/>
      <x:c r="CQ26" s="2618" t="s">
        <x:v>636</x:v>
      </x:c>
      <x:c r="CR26" s="2619"/>
      <x:c r="CS26" s="2484" t="s">
        <x:v>525</x:v>
      </x:c>
      <x:c r="CT26" s="2626" t="s">
        <x:v>832</x:v>
      </x:c>
      <x:c r="CU26" s="2614" t="s">
        <x:v>848</x:v>
      </x:c>
      <x:c r="CV26" s="2411"/>
      <x:c r="CW26" s="2412"/>
      <x:c r="CX26" s="2623" t="s">
        <x:v>981</x:v>
      </x:c>
      <x:c r="CY26" s="2625" t="s">
        <x:v>518</x:v>
      </x:c>
      <x:c r="CZ26" s="2635" t="s">
        <x:v>677</x:v>
      </x:c>
      <x:c r="DA26" s="2637" t="s">
        <x:v>678</x:v>
      </x:c>
      <x:c r="DB26" s="2632" t="s">
        <x:v>847</x:v>
      </x:c>
      <x:c r="DC26" s="2632"/>
      <x:c r="DD26" s="2573" t="s">
        <x:v>1064</x:v>
      </x:c>
      <x:c r="DE26" s="2573"/>
      <x:c r="DF26" s="173"/>
      <x:c r="DG26" s="173"/>
      <x:c r="DH26" s="842"/>
      <x:c r="DI26" s="843"/>
      <x:c r="DJ26" s="872"/>
      <x:c r="DK26" s="873"/>
      <x:c r="DL26" s="844"/>
      <x:c r="DM26" s="874"/>
      <x:c r="DN26" s="875"/>
      <x:c r="DO26" s="845"/>
      <x:c r="DP26" s="846"/>
      <x:c r="DQ26" s="847"/>
      <x:c r="DR26" s="847"/>
      <x:c r="DS26" s="848"/>
      <x:c r="DT26" s="836"/>
      <x:c r="DU26" s="837"/>
      <x:c r="DV26" s="849"/>
      <x:c r="DW26" s="850"/>
      <x:c r="DX26" s="851"/>
      <x:c r="DY26" s="852"/>
      <x:c r="DZ26" s="849"/>
      <x:c r="EA26" s="850"/>
      <x:c r="EB26" s="851"/>
      <x:c r="EC26" s="852"/>
      <x:c r="ED26" s="849"/>
      <x:c r="EE26" s="850"/>
      <x:c r="EF26" s="851"/>
      <x:c r="EG26" s="852"/>
      <x:c r="EH26" s="849"/>
      <x:c r="EI26" s="850"/>
      <x:c r="EJ26" s="851"/>
      <x:c r="EK26" s="853"/>
      <x:c r="EL26" s="2630" t="s">
        <x:v>628</x:v>
      </x:c>
      <x:c r="EM26" s="2631"/>
      <x:c r="EN26" s="2631"/>
      <x:c r="EO26" s="2628" t="s">
        <x:v>629</x:v>
      </x:c>
      <x:c r="EP26" s="2621" t="s">
        <x:v>827</x:v>
      </x:c>
      <x:c r="EQ26" s="2622"/>
      <x:c r="ER26" s="2475"/>
      <x:c r="ES26" s="2476"/>
      <x:c r="ET26" s="2609"/>
      <x:c r="EU26" s="2612"/>
      <x:c r="EX26" s="1194" t="str">
        <x:f t="shared" si="23"/>
        <x:v>G13N</x:v>
      </x:c>
      <x:c r="EY26" s="1196" t="b">
        <x:f t="shared" ca="1" si="12"/>
        <x:v>1</x:v>
      </x:c>
      <x:c r="EZ26" s="1196">
        <x:f t="shared" si="24"/>
        <x:v>5</x:v>
      </x:c>
      <x:c r="FA26" s="1217" t="b">
        <x:f t="shared" si="30"/>
        <x:v>1</x:v>
      </x:c>
      <x:c r="FB26" s="1218">
        <x:f t="shared" si="25"/>
        <x:v>596</x:v>
      </x:c>
      <x:c r="FC26" s="1218">
        <x:f t="shared" si="13"/>
        <x:v>84</x:v>
      </x:c>
      <x:c r="FD26" s="1218">
        <x:f t="shared" si="14"/>
        <x:v>430</x:v>
      </x:c>
      <x:c r="FE26" s="1218">
        <x:f t="shared" si="15"/>
        <x:v>82</x:v>
      </x:c>
      <x:c r="FF26" s="1218">
        <x:f t="shared" si="26"/>
        <x:v>596</x:v>
      </x:c>
      <x:c r="FN26" s="969"/>
      <x:c r="FO26" s="969"/>
      <x:c r="FP26" s="969" t="b">
        <x:v>0</x:v>
      </x:c>
      <x:c r="FQ26" s="969" t="b">
        <x:f t="shared" si="27"/>
        <x:v>1</x:v>
      </x:c>
      <x:c r="FX26" s="236"/>
      <x:c r="FZ26" s="2"/>
      <x:c r="GA26" s="2498" t="s">
        <x:v>749</x:v>
      </x:c>
      <x:c r="GB26" s="2499"/>
      <x:c r="GC26" s="2498" t="s">
        <x:v>597</x:v>
      </x:c>
      <x:c r="GD26" s="2499"/>
      <x:c r="GE26" s="2500" t="s">
        <x:v>752</x:v>
      </x:c>
      <x:c r="GF26" s="2502" t="s">
        <x:v>673</x:v>
      </x:c>
      <x:c r="GG26" s="2498" t="s">
        <x:v>1190</x:v>
      </x:c>
      <x:c r="GH26" s="2499"/>
      <x:c r="GI26" s="2498" t="s">
        <x:v>1189</x:v>
      </x:c>
      <x:c r="GJ26" s="2499"/>
      <x:c r="GK26" s="2491" t="s">
        <x:v>753</x:v>
      </x:c>
      <x:c r="GL26" s="2491" t="s">
        <x:v>754</x:v>
      </x:c>
      <x:c r="GM26" s="2491" t="s">
        <x:v>755</x:v>
      </x:c>
      <x:c r="GZ26" s="183"/>
      <x:c r="HA26" s="2574" t="s">
        <x:v>673</x:v>
      </x:c>
      <x:c r="HB26" s="2493" t="s">
        <x:v>1182</x:v>
      </x:c>
      <x:c r="HC26" s="2493" t="s">
        <x:v>1207</x:v>
      </x:c>
      <x:c r="HD26" s="2493" t="str">
        <x:f>IF($HA$1,"Bay Length","Overall Length")</x:f>
        <x:v>Overall Length</x:v>
      </x:c>
      <x:c r="HE26" s="2561"/>
      <x:c r="HF26" s="2493" t="str">
        <x:f>IF($HA$1,"L Sect #","TC Width")</x:f>
        <x:v>TC Width</x:v>
      </x:c>
      <x:c r="HG26" s="2495" t="str">
        <x:f>IF($HA$1,"L Min Sup Wid","TCXL Feet")</x:f>
        <x:v>TCXL Feet</x:v>
      </x:c>
      <x:c r="HH26" s="2495" t="str">
        <x:f>IF($HA$1,"L Max Sup Wid","TCXL Inch")</x:f>
        <x:v>TCXL Inch</x:v>
      </x:c>
      <x:c r="HI26" s="2495" t="str">
        <x:f>IF($HA$1,"L Min Flg Ga","TCXL Type")</x:f>
        <x:v>TCXL Type</x:v>
      </x:c>
      <x:c r="HJ26" s="2495" t="str">
        <x:f>IF($HA$1,"L Max Flg Ga","TCXR Feet")</x:f>
        <x:v>TCXR Feet</x:v>
      </x:c>
      <x:c r="HK26" s="2495" t="str">
        <x:f>IF($HA$1,"L Skew","TCXR Inch")</x:f>
        <x:v>TCXR Inch</x:v>
      </x:c>
      <x:c r="HL26" s="2495" t="str">
        <x:f>IF($HA$1,"L Brg Slp","TCXR Type")</x:f>
        <x:v>TCXR Type</x:v>
      </x:c>
      <x:c r="HM26" s="2493" t="str">
        <x:f>IF($HA$1,"R Sect #","BDL")</x:f>
        <x:v>BDL</x:v>
      </x:c>
      <x:c r="HN26" s="2495" t="str">
        <x:f>IF($HA$1,"R Min Sup Wid","BDR")</x:f>
        <x:v>BDR</x:v>
      </x:c>
      <x:c r="HO26" s="2495" t="str">
        <x:f>IF($HA$1,"R Max Sup Wid","BCXL Feet")</x:f>
        <x:v>BCXL Feet</x:v>
      </x:c>
      <x:c r="HP26" s="2495" t="str">
        <x:f>IF($HA$1,"R Min Flg Ga","BCXL Inch")</x:f>
        <x:v>BCXL Inch</x:v>
      </x:c>
      <x:c r="HQ26" s="2495" t="str">
        <x:f>IF($HA$1,"R Max Flg Ga","BCXR Feet")</x:f>
        <x:v>BCXR Feet</x:v>
      </x:c>
      <x:c r="HR26" s="2495" t="str">
        <x:f>IF($HA$1,"R Skew","BCXR Inch")</x:f>
        <x:v>BCXR Inch</x:v>
      </x:c>
      <x:c r="HS26" s="2495" t="str">
        <x:f>IF($HA$1,"R Brg Slp","HL Feet")</x:f>
        <x:v>HL Feet</x:v>
      </x:c>
      <x:c r="HT26" s="2495" t="str">
        <x:f>IF($HA$1,"TC Slope","HL Inch")</x:f>
        <x:v>HL Inch</x:v>
      </x:c>
      <x:c r="HU26" s="2495" t="str">
        <x:f>IF($HA$1,"Load Notes","HR Feet")</x:f>
        <x:v>HR Feet</x:v>
      </x:c>
      <x:c r="HV26" s="2495" t="str">
        <x:f>IF($HA$1,"Spcl Notes","HR Inch")</x:f>
        <x:v>HR Inch</x:v>
      </x:c>
      <x:c r="HW26" s="2495" t="str">
        <x:f>IF($HA$1,"# KB","Slot Ga")</x:f>
        <x:v>Slot Ga</x:v>
      </x:c>
      <x:c r="HX26" s="2495" t="str">
        <x:f>IF($HA$1,"TC Width","L Seat Slp")</x:f>
        <x:v>L Seat Slp</x:v>
      </x:c>
      <x:c r="HY26" s="2495" t="str">
        <x:f>IF($HA$1,"TCL Override","R Seat Slp")</x:f>
        <x:v>R Seat Slp</x:v>
      </x:c>
      <x:c r="HZ26" s="2495" t="str">
        <x:f>IF($HA$1,"TCR Override","Load Notes")</x:f>
        <x:v>Load Notes</x:v>
      </x:c>
      <x:c r="IA26" s="2495" t="str">
        <x:f>IF($HA$1,"L-BL Override","Spcl Notes")</x:f>
        <x:v>Spcl Notes</x:v>
      </x:c>
      <x:c r="IB26" s="2576" t="str">
        <x:f>IF($HA$1,"R-BL Override","# KB")</x:f>
        <x:v># KB</x:v>
      </x:c>
      <x:c r="IC26" s="2495" t="str">
        <x:f>IF($HA$1,"BDL Override","-")</x:f>
        <x:v>-</x:v>
      </x:c>
      <x:c r="ID26" s="2559" t="str">
        <x:f>IF($HA$1,"BDR Override","-")</x:f>
        <x:v>-</x:v>
      </x:c>
      <x:c r="IE26" s="1612" t="s">
        <x:v>1276</x:v>
      </x:c>
      <x:c r="IF26" s="1613" t="s">
        <x:v>34</x:v>
      </x:c>
      <x:c r="IG26" s="1614">
        <x:v>7</x:v>
      </x:c>
      <x:c r="IH26" s="1615">
        <x:v>0</x:v>
      </x:c>
      <x:c r="II26" s="1613">
        <x:v>5</x:v>
      </x:c>
      <x:c r="IJ26" s="1614">
        <x:v>7</x:v>
      </x:c>
      <x:c r="IK26" s="1615">
        <x:v>2</x:v>
      </x:c>
      <x:c r="IL26" s="1613">
        <x:v>6</x:v>
      </x:c>
      <x:c r="IM26" s="1613">
        <x:v>10</x:v>
      </x:c>
      <x:c r="IN26" s="1613" t="s">
        <x:v>117</x:v>
      </x:c>
      <x:c r="IO26" s="1613" t="s">
        <x:v>117</x:v>
      </x:c>
      <x:c r="IP26" s="1613">
        <x:v>5</x:v>
      </x:c>
      <x:c r="IQ26" s="1613">
        <x:v>13</x:v>
      </x:c>
      <x:c r="IR26" s="1613">
        <x:v>4</x:v>
      </x:c>
      <x:c r="IS26" s="1614">
        <x:v>1.75</x:v>
      </x:c>
      <x:c r="IT26" s="1615">
        <x:v>1.75</x:v>
      </x:c>
      <x:c r="IU26" s="1613" t="s">
        <x:v>117</x:v>
      </x:c>
      <x:c r="IV26" s="1613" t="s">
        <x:v>117</x:v>
      </x:c>
      <x:c r="IW26" s="1614" t="s">
        <x:v>117</x:v>
      </x:c>
      <x:c r="IX26" s="1615" t="s">
        <x:v>117</x:v>
      </x:c>
      <x:c r="IY26" s="1613" t="s">
        <x:v>117</x:v>
      </x:c>
      <x:c r="IZ26" s="1613" t="s">
        <x:v>117</x:v>
      </x:c>
      <x:c r="JA26" s="1614" t="s">
        <x:v>117</x:v>
      </x:c>
      <x:c r="JB26" s="1615" t="s">
        <x:v>117</x:v>
      </x:c>
      <x:c r="JC26" s="1613" t="s">
        <x:v>117</x:v>
      </x:c>
      <x:c r="JD26" s="1613" t="s">
        <x:v>117</x:v>
      </x:c>
      <x:c r="JE26" s="1614" t="s">
        <x:v>117</x:v>
      </x:c>
      <x:c r="JF26" s="1615" t="s">
        <x:v>117</x:v>
      </x:c>
      <x:c r="JG26" s="1613" t="s">
        <x:v>117</x:v>
      </x:c>
      <x:c r="JH26" s="1613" t="s">
        <x:v>117</x:v>
      </x:c>
      <x:c r="JI26" s="1613" t="s">
        <x:v>117</x:v>
      </x:c>
      <x:c r="JJ26" s="1616" t="s">
        <x:v>117</x:v>
      </x:c>
      <x:c r="JK26" s="1613">
        <x:v>1</x:v>
      </x:c>
      <x:c r="JL26" s="1521">
        <x:f t="shared" ca="1" si="31"/>
        <x:v>1</x:v>
      </x:c>
      <x:c r="JM26" s="171"/>
    </x:row>
    <x:row r="27" spans="1:274" ht="12.6" customHeight="1" thickTop="1" thickBot="1" x14ac:dyDescent="0.3">
      <x:c r="A27" s="2434"/>
      <x:c r="B27" s="2435"/>
      <x:c r="C27" s="2435"/>
      <x:c r="D27" s="2435"/>
      <x:c r="E27" s="2439"/>
      <x:c r="F27" s="2445"/>
      <x:c r="G27" s="2352" t="s">
        <x:v>16</x:v>
      </x:c>
      <x:c r="H27" s="2436"/>
      <x:c r="I27" s="1839" t="s">
        <x:v>773</x:v>
      </x:c>
      <x:c r="J27" s="2436" t="s">
        <x:v>16</x:v>
      </x:c>
      <x:c r="K27" s="2436"/>
      <x:c r="L27" s="1832" t="s">
        <x:v>773</x:v>
      </x:c>
      <x:c r="M27" s="1834" t="s">
        <x:v>18</x:v>
      </x:c>
      <x:c r="N27" s="549" t="s">
        <x:v>19</x:v>
      </x:c>
      <x:c r="O27" s="2440"/>
      <x:c r="P27" s="2441"/>
      <x:c r="Q27" s="2441"/>
      <x:c r="R27" s="2451"/>
      <x:c r="S27" s="2355" t="s">
        <x:v>81</x:v>
      </x:c>
      <x:c r="T27" s="2436"/>
      <x:c r="U27" s="2436" t="s">
        <x:v>82</x:v>
      </x:c>
      <x:c r="V27" s="2436"/>
      <x:c r="W27" s="549" t="s">
        <x:v>27</x:v>
      </x:c>
      <x:c r="X27" s="1833" t="s">
        <x:v>113</x:v>
      </x:c>
      <x:c r="Y27" s="1832" t="s">
        <x:v>114</x:v>
      </x:c>
      <x:c r="Z27" s="1438" t="s">
        <x:v>58</x:v>
      </x:c>
      <x:c r="AA27" s="2497"/>
      <x:c r="AB27" s="1264" t="s">
        <x:v>1277</x:v>
      </x:c>
      <x:c r="AC27" s="1260" t="s">
        <x:v>35</x:v>
      </x:c>
      <x:c r="AD27" s="1261">
        <x:v>3</x:v>
      </x:c>
      <x:c r="AE27" s="1262">
        <x:v>10</x:v>
      </x:c>
      <x:c r="AF27" s="1260">
        <x:v>5</x:v>
      </x:c>
      <x:c r="AG27" s="1261">
        <x:v>8</x:v>
      </x:c>
      <x:c r="AH27" s="1262">
        <x:v>0</x:v>
      </x:c>
      <x:c r="AI27" s="1261">
        <x:v>7</x:v>
      </x:c>
      <x:c r="AJ27" s="1262">
        <x:v>10</x:v>
      </x:c>
      <x:c r="AK27" s="1599" t="str">
        <x:f t="shared" si="16"/>
        <x:v/>
      </x:c>
      <x:c r="AL27" s="1600" t="str">
        <x:f t="shared" si="16"/>
        <x:v/>
      </x:c>
      <x:c r="AM27" s="1601">
        <x:v>5</x:v>
      </x:c>
      <x:c r="AN27" s="1260">
        <x:v>13</x:v>
      </x:c>
      <x:c r="AO27" s="1409">
        <x:v>4</x:v>
      </x:c>
      <x:c r="AP27" s="1327" t="str">
        <x:f t="shared" si="3"/>
        <x:v/>
      </x:c>
      <x:c r="AQ27" s="1602">
        <x:v>1.75</x:v>
      </x:c>
      <x:c r="AR27" s="1263" t="s">
        <x:v>1061</x:v>
      </x:c>
      <x:c r="AS27" s="1262" t="s">
        <x:v>1956</x:v>
      </x:c>
      <x:c r="AT27" s="1603" t="str">
        <x:f t="shared" si="17"/>
        <x:v/>
      </x:c>
      <x:c r="AU27" s="1410" t="s">
        <x:v>35</x:v>
      </x:c>
      <x:c r="AV27" s="1328" t="str">
        <x:f t="shared" si="6"/>
        <x:v/>
      </x:c>
      <x:c r="AW27" s="1262" t="str">
        <x:f t="shared" si="7"/>
        <x:v/>
      </x:c>
      <x:c r="AX27" s="1603" t="str">
        <x:f t="shared" si="18"/>
        <x:v/>
      </x:c>
      <x:c r="AY27" s="1410" t="str">
        <x:f t="shared" si="18"/>
        <x:v/>
      </x:c>
      <x:c r="AZ27" s="1328" t="str">
        <x:f t="shared" si="8"/>
        <x:v/>
      </x:c>
      <x:c r="BA27" s="1262" t="str">
        <x:f t="shared" si="9"/>
        <x:v/>
      </x:c>
      <x:c r="BB27" s="1603" t="str">
        <x:f t="shared" si="19"/>
        <x:v/>
      </x:c>
      <x:c r="BC27" s="1410" t="str">
        <x:f t="shared" si="19"/>
        <x:v/>
      </x:c>
      <x:c r="BD27" s="1328" t="str">
        <x:f t="shared" si="10"/>
        <x:v/>
      </x:c>
      <x:c r="BE27" s="1262" t="str">
        <x:f t="shared" si="11"/>
        <x:v/>
      </x:c>
      <x:c r="BF27" s="1603" t="str">
        <x:f t="shared" si="20"/>
        <x:v/>
      </x:c>
      <x:c r="BG27" s="1410" t="str">
        <x:f t="shared" si="20"/>
        <x:v/>
      </x:c>
      <x:c r="BH27" s="322"/>
      <x:c r="BJ27" s="622" t="s">
        <x:v>673</x:v>
      </x:c>
      <x:c r="BK27" s="623" t="s">
        <x:v>830</x:v>
      </x:c>
      <x:c r="BL27" s="2001" t="s">
        <x:v>171</x:v>
      </x:c>
      <x:c r="BM27" s="440" t="s">
        <x:v>172</x:v>
      </x:c>
      <x:c r="BN27" s="440" t="s">
        <x:v>173</x:v>
      </x:c>
      <x:c r="BO27" s="440" t="s">
        <x:v>454</x:v>
      </x:c>
      <x:c r="BP27" s="440" t="s">
        <x:v>455</x:v>
      </x:c>
      <x:c r="BQ27" s="440" t="s">
        <x:v>456</x:v>
      </x:c>
      <x:c r="BR27" s="440" t="s">
        <x:v>180</x:v>
      </x:c>
      <x:c r="BS27" s="440" t="s">
        <x:v>177</x:v>
      </x:c>
      <x:c r="BT27" s="440" t="s">
        <x:v>175</x:v>
      </x:c>
      <x:c r="BU27" s="440" t="s">
        <x:v>178</x:v>
      </x:c>
      <x:c r="BV27" s="440" t="s">
        <x:v>179</x:v>
      </x:c>
      <x:c r="BW27" s="1253">
        <x:f t="shared" si="21"/>
        <x:v>16</x:v>
      </x:c>
      <x:c r="BX27" s="1254" t="str">
        <x:f t="shared" si="28"/>
        <x:v>G14</x:v>
      </x:c>
      <x:c r="BY27" s="1254" t="b">
        <x:f t="shared" si="22"/>
        <x:v>0</x:v>
      </x:c>
      <x:c r="BZ27" s="1255" t="b">
        <x:f t="shared" si="29"/>
        <x:v>0</x:v>
      </x:c>
      <x:c r="CB27" s="2506"/>
      <x:c r="CC27" s="2485"/>
      <x:c r="CD27" s="2508"/>
      <x:c r="CE27" s="2421"/>
      <x:c r="CF27" s="2422"/>
      <x:c r="CG27" s="2617"/>
      <x:c r="CH27" s="2508"/>
      <x:c r="CI27" s="2620"/>
      <x:c r="CJ27" s="2508"/>
      <x:c r="CK27" s="2620"/>
      <x:c r="CL27" s="2485"/>
      <x:c r="CM27" s="2627"/>
      <x:c r="CN27" s="2617"/>
      <x:c r="CO27" s="2508"/>
      <x:c r="CP27" s="2620"/>
      <x:c r="CQ27" s="2508"/>
      <x:c r="CR27" s="2620"/>
      <x:c r="CS27" s="2485"/>
      <x:c r="CT27" s="2627"/>
      <x:c r="CU27" s="2615"/>
      <x:c r="CV27" s="515" t="s">
        <x:v>455</x:v>
      </x:c>
      <x:c r="CW27" s="516" t="s">
        <x:v>592</x:v>
      </x:c>
      <x:c r="CX27" s="2624"/>
      <x:c r="CY27" s="2624"/>
      <x:c r="CZ27" s="2636"/>
      <x:c r="DA27" s="2638"/>
      <x:c r="DB27" s="1041" t="s">
        <x:v>646</x:v>
      </x:c>
      <x:c r="DC27" s="1042" t="s">
        <x:v>647</x:v>
      </x:c>
      <x:c r="DD27" s="594" t="s">
        <x:v>646</x:v>
      </x:c>
      <x:c r="DE27" s="595" t="s">
        <x:v>647</x:v>
      </x:c>
      <x:c r="DF27" s="173"/>
      <x:c r="DG27" s="173"/>
      <x:c r="DH27" s="842"/>
      <x:c r="DI27" s="843"/>
      <x:c r="DJ27" s="872"/>
      <x:c r="DK27" s="873"/>
      <x:c r="DL27" s="844"/>
      <x:c r="DM27" s="874"/>
      <x:c r="DN27" s="875"/>
      <x:c r="DO27" s="845"/>
      <x:c r="DP27" s="846"/>
      <x:c r="DQ27" s="847"/>
      <x:c r="DR27" s="847"/>
      <x:c r="DS27" s="848"/>
      <x:c r="DT27" s="836"/>
      <x:c r="DU27" s="837"/>
      <x:c r="DV27" s="849"/>
      <x:c r="DW27" s="850"/>
      <x:c r="DX27" s="851"/>
      <x:c r="DY27" s="852"/>
      <x:c r="DZ27" s="849"/>
      <x:c r="EA27" s="850"/>
      <x:c r="EB27" s="851"/>
      <x:c r="EC27" s="852"/>
      <x:c r="ED27" s="849"/>
      <x:c r="EE27" s="850"/>
      <x:c r="EF27" s="851"/>
      <x:c r="EG27" s="852"/>
      <x:c r="EH27" s="849"/>
      <x:c r="EI27" s="850"/>
      <x:c r="EJ27" s="851"/>
      <x:c r="EK27" s="853"/>
      <x:c r="EL27" s="636" t="s">
        <x:v>625</x:v>
      </x:c>
      <x:c r="EM27" s="517" t="s">
        <x:v>626</x:v>
      </x:c>
      <x:c r="EN27" s="518" t="s">
        <x:v>627</x:v>
      </x:c>
      <x:c r="EO27" s="2629"/>
      <x:c r="EP27" s="658" t="s">
        <x:v>646</x:v>
      </x:c>
      <x:c r="EQ27" s="659" t="s">
        <x:v>647</x:v>
      </x:c>
      <x:c r="ER27" s="660" t="s">
        <x:v>557</x:v>
      </x:c>
      <x:c r="ES27" s="661" t="s">
        <x:v>170</x:v>
      </x:c>
      <x:c r="ET27" s="2610"/>
      <x:c r="EU27" s="2613"/>
      <x:c r="EX27" s="1194" t="str">
        <x:f t="shared" si="23"/>
        <x:v>G14B</x:v>
      </x:c>
      <x:c r="EY27" s="1196" t="b">
        <x:f t="shared" ca="1" si="12"/>
        <x:v>1</x:v>
      </x:c>
      <x:c r="EZ27" s="1196">
        <x:f t="shared" si="24"/>
        <x:v>5</x:v>
      </x:c>
      <x:c r="FA27" s="1217" t="b">
        <x:f t="shared" si="30"/>
        <x:v>1</x:v>
      </x:c>
      <x:c r="FB27" s="1218">
        <x:f t="shared" si="25"/>
        <x:v>620</x:v>
      </x:c>
      <x:c r="FC27" s="1218">
        <x:f t="shared" si="13"/>
        <x:v>46</x:v>
      </x:c>
      <x:c r="FD27" s="1218">
        <x:f t="shared" si="14"/>
        <x:v>480</x:v>
      </x:c>
      <x:c r="FE27" s="1218">
        <x:f t="shared" si="15"/>
        <x:v>94</x:v>
      </x:c>
      <x:c r="FF27" s="1218">
        <x:f t="shared" si="26"/>
        <x:v>620</x:v>
      </x:c>
      <x:c r="FN27" s="969"/>
      <x:c r="FO27" s="969"/>
      <x:c r="FP27" s="969" t="b">
        <x:v>0</x:v>
      </x:c>
      <x:c r="FQ27" s="969" t="b">
        <x:f t="shared" si="27"/>
        <x:v>1</x:v>
      </x:c>
      <x:c r="FX27" s="236"/>
      <x:c r="FZ27" s="2"/>
      <x:c r="GA27" s="664" t="s">
        <x:v>750</x:v>
      </x:c>
      <x:c r="GB27" s="665" t="s">
        <x:v>751</x:v>
      </x:c>
      <x:c r="GC27" s="664" t="s">
        <x:v>646</x:v>
      </x:c>
      <x:c r="GD27" s="665" t="s">
        <x:v>647</x:v>
      </x:c>
      <x:c r="GE27" s="2501"/>
      <x:c r="GF27" s="2501"/>
      <x:c r="GG27" s="664" t="s">
        <x:v>750</x:v>
      </x:c>
      <x:c r="GH27" s="665" t="s">
        <x:v>751</x:v>
      </x:c>
      <x:c r="GI27" s="664" t="s">
        <x:v>750</x:v>
      </x:c>
      <x:c r="GJ27" s="665" t="s">
        <x:v>751</x:v>
      </x:c>
      <x:c r="GK27" s="2492"/>
      <x:c r="GL27" s="2492"/>
      <x:c r="GM27" s="2492"/>
      <x:c r="GZ27" s="183"/>
      <x:c r="HA27" s="2575"/>
      <x:c r="HB27" s="2494"/>
      <x:c r="HC27" s="2494"/>
      <x:c r="HD27" s="2494"/>
      <x:c r="HE27" s="2494"/>
      <x:c r="HF27" s="2494"/>
      <x:c r="HG27" s="2494"/>
      <x:c r="HH27" s="2494"/>
      <x:c r="HI27" s="2494"/>
      <x:c r="HJ27" s="2494"/>
      <x:c r="HK27" s="2494"/>
      <x:c r="HL27" s="2494"/>
      <x:c r="HM27" s="2494"/>
      <x:c r="HN27" s="2494"/>
      <x:c r="HO27" s="2494"/>
      <x:c r="HP27" s="2494"/>
      <x:c r="HQ27" s="2494"/>
      <x:c r="HR27" s="2494"/>
      <x:c r="HS27" s="2494"/>
      <x:c r="HT27" s="2494"/>
      <x:c r="HU27" s="2494"/>
      <x:c r="HV27" s="2494"/>
      <x:c r="HW27" s="2494"/>
      <x:c r="HX27" s="2494"/>
      <x:c r="HY27" s="2494"/>
      <x:c r="HZ27" s="2494"/>
      <x:c r="IA27" s="2494"/>
      <x:c r="IB27" s="2577"/>
      <x:c r="IC27" s="2494"/>
      <x:c r="ID27" s="2560"/>
      <x:c r="IE27" s="1612" t="s">
        <x:v>1277</x:v>
      </x:c>
      <x:c r="IF27" s="1613" t="s">
        <x:v>35</x:v>
      </x:c>
      <x:c r="IG27" s="1614">
        <x:v>3</x:v>
      </x:c>
      <x:c r="IH27" s="1615">
        <x:v>10</x:v>
      </x:c>
      <x:c r="II27" s="1613">
        <x:v>5</x:v>
      </x:c>
      <x:c r="IJ27" s="1614">
        <x:v>8</x:v>
      </x:c>
      <x:c r="IK27" s="1615">
        <x:v>0</x:v>
      </x:c>
      <x:c r="IL27" s="1613">
        <x:v>7</x:v>
      </x:c>
      <x:c r="IM27" s="1613">
        <x:v>10</x:v>
      </x:c>
      <x:c r="IN27" s="1613" t="s">
        <x:v>117</x:v>
      </x:c>
      <x:c r="IO27" s="1613" t="s">
        <x:v>117</x:v>
      </x:c>
      <x:c r="IP27" s="1613">
        <x:v>5</x:v>
      </x:c>
      <x:c r="IQ27" s="1613">
        <x:v>13</x:v>
      </x:c>
      <x:c r="IR27" s="1613">
        <x:v>4</x:v>
      </x:c>
      <x:c r="IS27" s="1614" t="s">
        <x:v>117</x:v>
      </x:c>
      <x:c r="IT27" s="1615">
        <x:v>1.75</x:v>
      </x:c>
      <x:c r="IU27" s="1613" t="s">
        <x:v>1061</x:v>
      </x:c>
      <x:c r="IV27" s="1613" t="s">
        <x:v>1956</x:v>
      </x:c>
      <x:c r="IW27" s="1614" t="s">
        <x:v>117</x:v>
      </x:c>
      <x:c r="IX27" s="1615" t="s">
        <x:v>35</x:v>
      </x:c>
      <x:c r="IY27" s="1613" t="s">
        <x:v>117</x:v>
      </x:c>
      <x:c r="IZ27" s="1613" t="s">
        <x:v>117</x:v>
      </x:c>
      <x:c r="JA27" s="1614" t="s">
        <x:v>117</x:v>
      </x:c>
      <x:c r="JB27" s="1615" t="s">
        <x:v>117</x:v>
      </x:c>
      <x:c r="JC27" s="1613" t="s">
        <x:v>117</x:v>
      </x:c>
      <x:c r="JD27" s="1613" t="s">
        <x:v>117</x:v>
      </x:c>
      <x:c r="JE27" s="1614" t="s">
        <x:v>117</x:v>
      </x:c>
      <x:c r="JF27" s="1615" t="s">
        <x:v>117</x:v>
      </x:c>
      <x:c r="JG27" s="1613" t="s">
        <x:v>117</x:v>
      </x:c>
      <x:c r="JH27" s="1613" t="s">
        <x:v>117</x:v>
      </x:c>
      <x:c r="JI27" s="1613" t="s">
        <x:v>117</x:v>
      </x:c>
      <x:c r="JJ27" s="1616" t="s">
        <x:v>117</x:v>
      </x:c>
      <x:c r="JK27" s="1613">
        <x:v>1</x:v>
      </x:c>
      <x:c r="JL27" s="1521">
        <x:f t="shared" ca="1" si="31"/>
        <x:v>1</x:v>
      </x:c>
      <x:c r="JM27" s="171"/>
    </x:row>
    <x:row r="28" spans="1:274" ht="12.6" customHeight="1" thickTop="1" x14ac:dyDescent="0.3">
      <x:c r="A28" s="2073" t="s">
        <x:v>1263</x:v>
      </x:c>
      <x:c r="B28" s="2074">
        <x:v>0</x:v>
      </x:c>
      <x:c r="C28" s="2075" t="s">
        <x:v>1952</x:v>
      </x:c>
      <x:c r="D28" s="2076">
        <x:v>49</x:v>
      </x:c>
      <x:c r="E28" s="2077">
        <x:v>2.25</x:v>
      </x:c>
      <x:c r="F28" s="2078">
        <x:v>11.125</x:v>
      </x:c>
      <x:c r="G28" s="2079" t="str">
        <x:f t="shared" ref="G28:G44" si="33">IF(DD68=0,"",TRUNC(DD68/12))</x:f>
        <x:v/>
      </x:c>
      <x:c r="H28" s="2080" t="str">
        <x:f t="shared" ref="H28:H44" si="34">IF(DD68=0,"",DD68-(G28*12))</x:f>
        <x:v/>
      </x:c>
      <x:c r="I28" s="2081" t="str">
        <x:f t="shared" ref="I28:I44" si="35">IF(DD68=0,"",CE68)</x:f>
        <x:v/>
      </x:c>
      <x:c r="J28" s="2076">
        <x:v>0</x:v>
      </x:c>
      <x:c r="K28" s="2080">
        <x:v>1.75</x:v>
      </x:c>
      <x:c r="L28" s="2082" t="s">
        <x:v>114</x:v>
      </x:c>
      <x:c r="M28" s="2083">
        <x:v>7.5</x:v>
      </x:c>
      <x:c r="N28" s="2084">
        <x:v>7.5</x:v>
      </x:c>
      <x:c r="O28" s="2079">
        <x:v>-9.9999999999999995E-8</x:v>
      </x:c>
      <x:c r="P28" s="2080">
        <x:v>-0.125</x:v>
      </x:c>
      <x:c r="Q28" s="2076">
        <x:v>0</x:v>
      </x:c>
      <x:c r="R28" s="2077">
        <x:v>8.5</x:v>
      </x:c>
      <x:c r="S28" s="2085">
        <x:v>0</x:v>
      </x:c>
      <x:c r="T28" s="2080">
        <x:v>4</x:v>
      </x:c>
      <x:c r="U28" s="2076">
        <x:v>0</x:v>
      </x:c>
      <x:c r="V28" s="2080">
        <x:v>6.25</x:v>
      </x:c>
      <x:c r="W28" s="2084">
        <x:v>5</x:v>
      </x:c>
      <x:c r="X28" s="2086">
        <x:v>0.38595006347862898</x:v>
      </x:c>
      <x:c r="Y28" s="2087">
        <x:v>-0.38595006347862898</x:v>
      </x:c>
      <x:c r="Z28" s="2088" t="s">
        <x:v>2023</x:v>
      </x:c>
      <x:c r="AA28" s="2089" t="str">
        <x:f t="shared" ref="AA28:AA44" si="36">IF(ISBLANK(CX28),"",CX28)</x:f>
        <x:v/>
      </x:c>
      <x:c r="AB28" s="1264" t="s">
        <x:v>1278</x:v>
      </x:c>
      <x:c r="AC28" s="1260" t="s">
        <x:v>35</x:v>
      </x:c>
      <x:c r="AD28" s="1261">
        <x:v>3</x:v>
      </x:c>
      <x:c r="AE28" s="1262">
        <x:v>10</x:v>
      </x:c>
      <x:c r="AF28" s="1260">
        <x:v>5</x:v>
      </x:c>
      <x:c r="AG28" s="1261">
        <x:v>8</x:v>
      </x:c>
      <x:c r="AH28" s="1262">
        <x:v>0</x:v>
      </x:c>
      <x:c r="AI28" s="1261">
        <x:v>7</x:v>
      </x:c>
      <x:c r="AJ28" s="1262">
        <x:v>10</x:v>
      </x:c>
      <x:c r="AK28" s="1599" t="str">
        <x:f t="shared" si="16"/>
        <x:v/>
      </x:c>
      <x:c r="AL28" s="1600" t="str">
        <x:f t="shared" si="16"/>
        <x:v/>
      </x:c>
      <x:c r="AM28" s="1601">
        <x:v>5</x:v>
      </x:c>
      <x:c r="AN28" s="1260">
        <x:v>13</x:v>
      </x:c>
      <x:c r="AO28" s="1409">
        <x:v>4</x:v>
      </x:c>
      <x:c r="AP28" s="1327" t="str">
        <x:f t="shared" si="3"/>
        <x:v/>
      </x:c>
      <x:c r="AQ28" s="1602">
        <x:v>1.75</x:v>
      </x:c>
      <x:c r="AR28" s="1263" t="s">
        <x:v>1061</x:v>
      </x:c>
      <x:c r="AS28" s="1262" t="s">
        <x:v>1956</x:v>
      </x:c>
      <x:c r="AT28" s="1603" t="str">
        <x:f t="shared" si="17"/>
        <x:v/>
      </x:c>
      <x:c r="AU28" s="1410" t="s">
        <x:v>35</x:v>
      </x:c>
      <x:c r="AV28" s="1328" t="str">
        <x:f t="shared" si="6"/>
        <x:v/>
      </x:c>
      <x:c r="AW28" s="1262" t="str">
        <x:f t="shared" si="7"/>
        <x:v/>
      </x:c>
      <x:c r="AX28" s="1603" t="str">
        <x:f t="shared" si="18"/>
        <x:v/>
      </x:c>
      <x:c r="AY28" s="1410" t="str">
        <x:f t="shared" si="18"/>
        <x:v/>
      </x:c>
      <x:c r="AZ28" s="1328" t="str">
        <x:f t="shared" si="8"/>
        <x:v/>
      </x:c>
      <x:c r="BA28" s="1262" t="str">
        <x:f t="shared" si="9"/>
        <x:v/>
      </x:c>
      <x:c r="BB28" s="1603" t="str">
        <x:f t="shared" si="19"/>
        <x:v/>
      </x:c>
      <x:c r="BC28" s="1410" t="str">
        <x:f t="shared" si="19"/>
        <x:v/>
      </x:c>
      <x:c r="BD28" s="1328" t="str">
        <x:f t="shared" si="10"/>
        <x:v/>
      </x:c>
      <x:c r="BE28" s="1262" t="str">
        <x:f t="shared" si="11"/>
        <x:v/>
      </x:c>
      <x:c r="BF28" s="1603" t="str">
        <x:f t="shared" si="20"/>
        <x:v/>
      </x:c>
      <x:c r="BG28" s="1410" t="str">
        <x:f t="shared" si="20"/>
        <x:v/>
      </x:c>
      <x:c r="BH28" s="322"/>
      <x:c r="BJ28" s="1258" t="str">
        <x:f>IF(OR(ISBLANK(A28),A28=""),"",A28)</x:f>
        <x:v>G1</x:v>
      </x:c>
      <x:c r="BK28" s="1250" t="b">
        <x:f>IF($BK$1,IF(AND(BJ28&lt;&gt;"",OR(B28=0,B28="")),TRUE,FALSE),FALSE)</x:f>
        <x:v>0</x:v>
      </x:c>
      <x:c r="BL28" s="2002" t="b">
        <x:v>0</x:v>
      </x:c>
      <x:c r="BM28" s="1251">
        <x:f>IF(C28="",0,VALUE(IF(BN28="","",LEFT(C28,SEARCH(BN28,C28)-1))))</x:f>
        <x:v>54</x:v>
      </x:c>
      <x:c r="BN28" s="1251" t="str">
        <x:f>IF(C28="",0,IF(NOT(ISERROR(SEARCH("VG",C28))),"VG",IF(NOT(ISERROR(SEARCH("BG",C28))),"BG",IF(NOT(ISERROR(SEARCH("G",C28))),"G"))))</x:f>
        <x:v>G</x:v>
      </x:c>
      <x:c r="BO28" s="1251">
        <x:f>IF(C28="",0,VALUE(MID(C28,SEARCH(BN28,C28)+LEN(BN28),SEARCH("N",C28)-SEARCH(BN28,C28)-LEN(BN28))))</x:f>
        <x:v>7</x:v>
      </x:c>
      <x:c r="BP28" s="1251">
        <x:f>IF(ISERROR(SEARCH("F",C28)),IF(C28="",0,VALUE(MID(C28,SEARCH("N",C28)+1,SEARCH("K",C28)-SEARCH("N",C28)-1))),IF(C28="",0,VALUE(MID(C28,SEARCH("N",C28)+1,SEARCH("F",C28)-SEARCH("N",C28)-1))))</x:f>
        <x:v>6.5</x:v>
      </x:c>
      <x:c r="BQ28" s="1251">
        <x:f>IF(ISERROR(SEARCH("F",C28)),IF(C28="",0,IF(SEARCH("K",C28)=LEN(C28),0,VALUE(MID(C28,SEARCH("K",C28)+1,LEN(C28))))),IF(C28="",0,IF(SEARCH("F",C28)=LEN(C28),0,VALUE(MID(C28,SEARCH("F",C28)+1,LEN(C28))))))</x:f>
        <x:v>2.1</x:v>
      </x:c>
      <x:c r="BR28" s="1251" t="b">
        <x:f>IF(OR(ISERROR(BM28),ISERROR(BN28),ISERROR(BO28),ISERROR(BP28),ISERROR(BQ28)),FALSE,TRUE)</x:f>
        <x:v>1</x:v>
      </x:c>
      <x:c r="BS28" s="1252">
        <x:f>6+IF(LEFT(I28,1)="R",IF(ISNUMBER(G28),G28*12,0)+IF(ISNUMBER(H28),H28,0),0)</x:f>
        <x:v>6</x:v>
      </x:c>
      <x:c r="BT28" s="1252" t="str">
        <x:f>IF(IF(ISNUMBER(S28),S28*12,0)+IF(ISNUMBER(T28),T28,0)&gt;0,IF(AND(IF(ISNUMBER(S28),S28*12,0)+IF(ISNUMBER(T28),T28,0)&gt;=1.25,IF(ISNUMBER(S28),S28*12,0)+IF(ISNUMBER(T28),T28,0)&lt;=(BS28-1.25)+IF(I28="X",2,0)),"Yes","No"),"No")</x:f>
        <x:v>Yes</x:v>
      </x:c>
      <x:c r="BU28" s="1252">
        <x:f>6+IF(LEFT(L28,1)="R",IF(ISNUMBER(J28),J28*12,0)+IF(ISNUMBER(K28),K28,0),0)</x:f>
        <x:v>7.75</x:v>
      </x:c>
      <x:c r="BV28" s="1252" t="str">
        <x:f>IF(IF(ISNUMBER(U28),U28*12,0)+IF(ISNUMBER(V28),V28,0)&gt;0,IF(AND(IF(ISNUMBER(U28),U28*12,0)+IF(ISNUMBER(V28),V28,0)&gt;=1.25,IF(ISNUMBER(U28),U28*12,0)+IF(ISNUMBER(V28),V28,0)&lt;=(BU28-1.25)+IF(L28="X",2,0)),"Yes","No"),"No")</x:f>
        <x:v>Yes</x:v>
      </x:c>
      <x:c r="BW28" s="1253">
        <x:f t="shared" si="21"/>
        <x:v>16</x:v>
      </x:c>
      <x:c r="BX28" s="1254" t="str">
        <x:f t="shared" si="28"/>
        <x:v>G15</x:v>
      </x:c>
      <x:c r="BY28" s="1254" t="b">
        <x:f t="shared" si="22"/>
        <x:v>0</x:v>
      </x:c>
      <x:c r="BZ28" s="1255" t="b">
        <x:f t="shared" si="29"/>
        <x:v>0</x:v>
      </x:c>
      <x:c r="CB28" s="829"/>
      <x:c r="CC28" s="893"/>
      <x:c r="CD28" s="880"/>
      <x:c r="CE28" s="881"/>
      <x:c r="CF28" s="882"/>
      <x:c r="CG28" s="896"/>
      <x:c r="CH28" s="897"/>
      <x:c r="CI28" s="898"/>
      <x:c r="CJ28" s="897"/>
      <x:c r="CK28" s="898"/>
      <x:c r="CL28" s="899"/>
      <x:c r="CM28" s="943"/>
      <x:c r="CN28" s="896"/>
      <x:c r="CO28" s="897"/>
      <x:c r="CP28" s="898"/>
      <x:c r="CQ28" s="897"/>
      <x:c r="CR28" s="898"/>
      <x:c r="CS28" s="899"/>
      <x:c r="CT28" s="943"/>
      <x:c r="CU28" s="900"/>
      <x:c r="CV28" s="1212"/>
      <x:c r="CW28" s="1213"/>
      <x:c r="CX28" s="913"/>
      <x:c r="CY28" s="914"/>
      <x:c r="CZ28" s="932"/>
      <x:c r="DA28" s="933"/>
      <x:c r="DB28" s="922"/>
      <x:c r="DC28" s="923"/>
      <x:c r="DD28" s="1149"/>
      <x:c r="DE28" s="1150"/>
      <x:c r="DF28" s="173"/>
      <x:c r="DG28" s="173"/>
      <x:c r="DH28" s="842"/>
      <x:c r="DI28" s="843"/>
      <x:c r="DJ28" s="872"/>
      <x:c r="DK28" s="873"/>
      <x:c r="DL28" s="844"/>
      <x:c r="DM28" s="874"/>
      <x:c r="DN28" s="875"/>
      <x:c r="DO28" s="845"/>
      <x:c r="DP28" s="846"/>
      <x:c r="DQ28" s="847"/>
      <x:c r="DR28" s="847"/>
      <x:c r="DS28" s="848"/>
      <x:c r="DT28" s="836"/>
      <x:c r="DU28" s="837"/>
      <x:c r="DV28" s="849"/>
      <x:c r="DW28" s="850"/>
      <x:c r="DX28" s="851"/>
      <x:c r="DY28" s="852"/>
      <x:c r="DZ28" s="849"/>
      <x:c r="EA28" s="850"/>
      <x:c r="EB28" s="851"/>
      <x:c r="EC28" s="852"/>
      <x:c r="ED28" s="849"/>
      <x:c r="EE28" s="850"/>
      <x:c r="EF28" s="851"/>
      <x:c r="EG28" s="852"/>
      <x:c r="EH28" s="849"/>
      <x:c r="EI28" s="850"/>
      <x:c r="EJ28" s="851"/>
      <x:c r="EK28" s="853"/>
      <x:c r="EL28" s="804" t="str">
        <x:f t="shared" ref="EL28:EL45" si="37">IF(DQ68=DR68,"",CONCATENATE(IF(CL28&lt;0,"NS ","FS "),IF(DR68="ERR","Slot Only",CONCATENATE("Slot @ ",DQ68))))</x:f>
        <x:v/>
      </x:c>
      <x:c r="EM28" s="805" t="str">
        <x:f t="shared" ref="EM28:EM45" si="38">IF(DX68=DY68,"",CONCATENATE(IF(CS28&lt;0,"FS ","NS "),IF(DY68="ERR","Slot Only",CONCATENATE("Slot @ ",DX68))))</x:f>
        <x:v/>
      </x:c>
      <x:c r="EN28" s="806" t="str">
        <x:f t="shared" ref="EN28:EN45" si="39">IF(EC68="","",IF(CI68&lt;&gt;EC68,CONCATENATE("LE slots @ ",CI68," Ga."),IF(CR68&lt;&gt;EC68,CONCATENATE("RE slots @ ",CR68," Ga."),"")))</x:f>
        <x:v/>
      </x:c>
      <x:c r="EO28" s="1043" t="str">
        <x:f t="shared" ref="EO28:EO45" si="40">IF(AND(ER28&lt;&gt;"",CL28&lt;&gt;"",ES28&lt;&gt;"",CS28&lt;&gt;""),"BE",IF(AND(ER28&lt;&gt;"",CL28&lt;&gt;""),"LE",IF(AND(ES28&lt;&gt;"",CS28&lt;&gt;""),"RE","")))</x:f>
        <x:v/>
      </x:c>
      <x:c r="EP28" s="1164" t="str">
        <x:f>IF(ISBLANK(DB28),"",DB68+IF(DB28&gt;0,0,ABS(DB28)))</x:f>
        <x:v/>
      </x:c>
      <x:c r="EQ28" s="1165" t="str">
        <x:f>IF(ISBLANK(DC28),"",DH68+IF(DC28&gt;0,0,ABS(DC28)))</x:f>
        <x:v/>
      </x:c>
      <x:c r="ER28" s="957" t="str">
        <x:f t="shared" ref="ER28:ER45" si="41">IF(CG28="","",IF($FB$4&gt;EV68,EV68,""))</x:f>
        <x:v/>
      </x:c>
      <x:c r="ES28" s="958" t="str">
        <x:f t="shared" ref="ES28:ES45" si="42">IF(CN28="","",IF($FB$4&gt;EW68,EW68,""))</x:f>
        <x:v/>
      </x:c>
      <x:c r="ET28" s="959" t="str">
        <x:f t="shared" ref="ET28:ET45" si="43">IF(CC68="","",IF(ABS(EM68)&lt;ABS($FA$2),$EZ$4,CEILING($EZ$4/COS(EL68)+0.375+IF(CC68="M",IF(EL68&gt;0,(DB68-DC68)/12,0),IF(EL68&gt;0,0,(DB68-CD68)/12))*ABS(EM68),0.125)))</x:f>
        <x:v/>
      </x:c>
      <x:c r="EU28" s="960" t="str">
        <x:f t="shared" ref="EU28:EU45" si="44">IF(CL68="","",IF(ABS(ER68)&lt;ABS($FA$2),$EZ$4,CEILING($EZ$4/COS(EQ68)+0.375+IF(CL68="M",IF(EQ68&lt;0,(DH68-DI68)/12,0),IF(EQ68&lt;0,0,(DH68-CM68)/12))*ABS(ER68),0.125)))</x:f>
        <x:v/>
      </x:c>
      <x:c r="EX28" s="1194" t="str">
        <x:f t="shared" si="23"/>
        <x:v>G15B</x:v>
      </x:c>
      <x:c r="EY28" s="1196" t="b">
        <x:f t="shared" ca="1" si="12"/>
        <x:v>1</x:v>
      </x:c>
      <x:c r="EZ28" s="1196">
        <x:f t="shared" si="24"/>
        <x:v>5</x:v>
      </x:c>
      <x:c r="FA28" s="1217" t="b">
        <x:f t="shared" si="30"/>
        <x:v>1</x:v>
      </x:c>
      <x:c r="FB28" s="1218">
        <x:f t="shared" si="25"/>
        <x:v>620</x:v>
      </x:c>
      <x:c r="FC28" s="1218">
        <x:f t="shared" si="13"/>
        <x:v>46</x:v>
      </x:c>
      <x:c r="FD28" s="1218">
        <x:f t="shared" si="14"/>
        <x:v>480</x:v>
      </x:c>
      <x:c r="FE28" s="1218">
        <x:f t="shared" si="15"/>
        <x:v>94</x:v>
      </x:c>
      <x:c r="FF28" s="1218">
        <x:f t="shared" si="26"/>
        <x:v>620</x:v>
      </x:c>
      <x:c r="FN28" s="1256" t="b">
        <x:v>0</x:v>
      </x:c>
      <x:c r="FO28" s="969" t="b">
        <x:f>NOT(ISERROR(VLOOKUP(A28,$AB$14:$AB$45,1,FALSE)))</x:f>
        <x:v>1</x:v>
      </x:c>
      <x:c r="FP28" s="969" t="b">
        <x:v>0</x:v>
      </x:c>
      <x:c r="FQ28" s="969" t="b">
        <x:f t="shared" si="27"/>
        <x:v>1</x:v>
      </x:c>
      <x:c r="FX28" s="236"/>
      <x:c r="FZ28" s="2"/>
      <x:c r="GA28" s="1935">
        <x:v>49</x:v>
      </x:c>
      <x:c r="GB28" s="1936">
        <x:v>2.75</x:v>
      </x:c>
      <x:c r="GC28" s="1937">
        <x:v>-1</x:v>
      </x:c>
      <x:c r="GD28" s="1938">
        <x:v>-0.25</x:v>
      </x:c>
      <x:c r="GE28" s="1939">
        <x:v>0.38595006347862898</x:v>
      </x:c>
      <x:c r="GF28" s="1940" t="str">
        <x:f t="shared" ref="GF28:GF45" si="45">IF(A28=0,"",A28)</x:f>
        <x:v>G1</x:v>
      </x:c>
      <x:c r="GG28" s="1457"/>
      <x:c r="GH28" s="1458"/>
      <x:c r="GI28" s="1457"/>
      <x:c r="GJ28" s="1458"/>
      <x:c r="GK28" s="326">
        <x:f t="shared" ref="GK28:GK45" si="46">IF(D28="",0,D28*12+E28)</x:f>
        <x:v>590.25</x:v>
      </x:c>
      <x:c r="GL28" s="326">
        <x:f t="shared" ref="GL28:GL45" si="47">(GA28*12+GB28+GC28+GD28)/COS(ATAN(ABS(GE28/12)))</x:f>
        <x:v>589.80481847581621</x:v>
      </x:c>
      <x:c r="GM28" s="327">
        <x:f>IF(ABS(GK28-GL28)&gt;='Job Info.'!$L$22,ABS(GK28-GL28),0)</x:f>
        <x:v>0.44518152418379486</x:v>
      </x:c>
      <x:c r="GZ28" s="179"/>
      <x:c r="HA28" s="1606" t="s">
        <x:v>1263</x:v>
      </x:c>
      <x:c r="HB28" s="1607">
        <x:v>2</x:v>
      </x:c>
      <x:c r="HC28" s="1607" t="s">
        <x:v>1952</x:v>
      </x:c>
      <x:c r="HD28" s="1608">
        <x:v>49</x:v>
      </x:c>
      <x:c r="HE28" s="1609">
        <x:v>2.25</x:v>
      </x:c>
      <x:c r="HF28" s="1607">
        <x:v>11.125</x:v>
      </x:c>
      <x:c r="HG28" s="1607" t="s">
        <x:v>117</x:v>
      </x:c>
      <x:c r="HH28" s="1607" t="s">
        <x:v>117</x:v>
      </x:c>
      <x:c r="HI28" s="1607" t="s">
        <x:v>117</x:v>
      </x:c>
      <x:c r="HJ28" s="1607">
        <x:v>0</x:v>
      </x:c>
      <x:c r="HK28" s="1607">
        <x:v>1.75</x:v>
      </x:c>
      <x:c r="HL28" s="1607" t="s">
        <x:v>114</x:v>
      </x:c>
      <x:c r="HM28" s="1607">
        <x:v>7.5</x:v>
      </x:c>
      <x:c r="HN28" s="1607">
        <x:v>7.5</x:v>
      </x:c>
      <x:c r="HO28" s="1607">
        <x:v>-9.9999999999999995E-8</x:v>
      </x:c>
      <x:c r="HP28" s="1607">
        <x:v>-0.125</x:v>
      </x:c>
      <x:c r="HQ28" s="1607">
        <x:v>0</x:v>
      </x:c>
      <x:c r="HR28" s="1607">
        <x:v>8.5</x:v>
      </x:c>
      <x:c r="HS28" s="1607">
        <x:v>0</x:v>
      </x:c>
      <x:c r="HT28" s="1607">
        <x:v>4</x:v>
      </x:c>
      <x:c r="HU28" s="1607">
        <x:v>0</x:v>
      </x:c>
      <x:c r="HV28" s="1607">
        <x:v>6.25</x:v>
      </x:c>
      <x:c r="HW28" s="1607">
        <x:v>5</x:v>
      </x:c>
      <x:c r="HX28" s="1607">
        <x:v>0.38595006347862898</x:v>
      </x:c>
      <x:c r="HY28" s="1610">
        <x:v>-0.38595006347862898</x:v>
      </x:c>
      <x:c r="HZ28" s="1610" t="s">
        <x:v>2023</x:v>
      </x:c>
      <x:c r="IA28" s="1610" t="s">
        <x:v>117</x:v>
      </x:c>
      <x:c r="IB28" s="1610"/>
      <x:c r="IC28" s="1610"/>
      <x:c r="ID28" s="1611"/>
      <x:c r="IE28" s="1612" t="s">
        <x:v>1278</x:v>
      </x:c>
      <x:c r="IF28" s="1613" t="s">
        <x:v>35</x:v>
      </x:c>
      <x:c r="IG28" s="1614">
        <x:v>3</x:v>
      </x:c>
      <x:c r="IH28" s="1615">
        <x:v>10</x:v>
      </x:c>
      <x:c r="II28" s="1613">
        <x:v>5</x:v>
      </x:c>
      <x:c r="IJ28" s="1614">
        <x:v>8</x:v>
      </x:c>
      <x:c r="IK28" s="1615">
        <x:v>0</x:v>
      </x:c>
      <x:c r="IL28" s="1613">
        <x:v>7</x:v>
      </x:c>
      <x:c r="IM28" s="1613">
        <x:v>10</x:v>
      </x:c>
      <x:c r="IN28" s="1613" t="s">
        <x:v>117</x:v>
      </x:c>
      <x:c r="IO28" s="1613" t="s">
        <x:v>117</x:v>
      </x:c>
      <x:c r="IP28" s="1613">
        <x:v>5</x:v>
      </x:c>
      <x:c r="IQ28" s="1613">
        <x:v>13</x:v>
      </x:c>
      <x:c r="IR28" s="1613">
        <x:v>4</x:v>
      </x:c>
      <x:c r="IS28" s="1614" t="s">
        <x:v>117</x:v>
      </x:c>
      <x:c r="IT28" s="1615">
        <x:v>1.75</x:v>
      </x:c>
      <x:c r="IU28" s="1613" t="s">
        <x:v>1061</x:v>
      </x:c>
      <x:c r="IV28" s="1613" t="s">
        <x:v>1956</x:v>
      </x:c>
      <x:c r="IW28" s="1614" t="s">
        <x:v>117</x:v>
      </x:c>
      <x:c r="IX28" s="1615" t="s">
        <x:v>35</x:v>
      </x:c>
      <x:c r="IY28" s="1613" t="s">
        <x:v>117</x:v>
      </x:c>
      <x:c r="IZ28" s="1613" t="s">
        <x:v>117</x:v>
      </x:c>
      <x:c r="JA28" s="1614" t="s">
        <x:v>117</x:v>
      </x:c>
      <x:c r="JB28" s="1615" t="s">
        <x:v>117</x:v>
      </x:c>
      <x:c r="JC28" s="1613" t="s">
        <x:v>117</x:v>
      </x:c>
      <x:c r="JD28" s="1613" t="s">
        <x:v>117</x:v>
      </x:c>
      <x:c r="JE28" s="1614" t="s">
        <x:v>117</x:v>
      </x:c>
      <x:c r="JF28" s="1615" t="s">
        <x:v>117</x:v>
      </x:c>
      <x:c r="JG28" s="1613" t="s">
        <x:v>117</x:v>
      </x:c>
      <x:c r="JH28" s="1613" t="s">
        <x:v>117</x:v>
      </x:c>
      <x:c r="JI28" s="1613" t="s">
        <x:v>117</x:v>
      </x:c>
      <x:c r="JJ28" s="1616" t="s">
        <x:v>117</x:v>
      </x:c>
      <x:c r="JK28" s="1613">
        <x:v>1</x:v>
      </x:c>
      <x:c r="JL28" s="1521">
        <x:f t="shared" ca="1" si="31"/>
        <x:v>1</x:v>
      </x:c>
      <x:c r="JM28" s="171"/>
    </x:row>
    <x:row r="29" spans="1:274" ht="12.6" customHeight="1" x14ac:dyDescent="0.25">
      <x:c r="A29" s="1583" t="s">
        <x:v>1265</x:v>
      </x:c>
      <x:c r="B29" s="1584">
        <x:v>0</x:v>
      </x:c>
      <x:c r="C29" s="1585" t="s">
        <x:v>1952</x:v>
      </x:c>
      <x:c r="D29" s="1586">
        <x:v>49</x:v>
      </x:c>
      <x:c r="E29" s="1587">
        <x:v>11.5</x:v>
      </x:c>
      <x:c r="F29" s="1588">
        <x:v>11.125</x:v>
      </x:c>
      <x:c r="G29" s="1589">
        <x:v>0</x:v>
      </x:c>
      <x:c r="H29" s="1590">
        <x:v>1.75</x:v>
      </x:c>
      <x:c r="I29" s="1591" t="s">
        <x:v>114</x:v>
      </x:c>
      <x:c r="J29" s="1586">
        <x:v>0</x:v>
      </x:c>
      <x:c r="K29" s="1590">
        <x:v>1.75</x:v>
      </x:c>
      <x:c r="L29" s="1592" t="s">
        <x:v>114</x:v>
      </x:c>
      <x:c r="M29" s="1593">
        <x:v>7.5</x:v>
      </x:c>
      <x:c r="N29" s="1594">
        <x:v>7.5</x:v>
      </x:c>
      <x:c r="O29" s="1589">
        <x:v>0</x:v>
      </x:c>
      <x:c r="P29" s="1590">
        <x:v>5.75</x:v>
      </x:c>
      <x:c r="Q29" s="1586">
        <x:v>0</x:v>
      </x:c>
      <x:c r="R29" s="1587">
        <x:v>7.875</x:v>
      </x:c>
      <x:c r="S29" s="1595">
        <x:v>0</x:v>
      </x:c>
      <x:c r="T29" s="1590">
        <x:v>6.25</x:v>
      </x:c>
      <x:c r="U29" s="1586">
        <x:v>0</x:v>
      </x:c>
      <x:c r="V29" s="1590">
        <x:v>6.25</x:v>
      </x:c>
      <x:c r="W29" s="1594">
        <x:v>5</x:v>
      </x:c>
      <x:c r="X29" s="1596" t="str">
        <x:f t="shared" ref="X29:X44" si="48">IF(EN69="","",EN69)</x:f>
        <x:v/>
      </x:c>
      <x:c r="Y29" s="1597" t="str">
        <x:f t="shared" ref="Y29:Y44" si="49">IF(ES69="","",ES69)</x:f>
        <x:v/>
      </x:c>
      <x:c r="Z29" s="2088" t="s">
        <x:v>2024</x:v>
      </x:c>
      <x:c r="AA29" s="1598" t="str">
        <x:f t="shared" si="36"/>
        <x:v/>
      </x:c>
      <x:c r="AB29" s="1264" t="s">
        <x:v>1279</x:v>
      </x:c>
      <x:c r="AC29" s="1260" t="s">
        <x:v>35</x:v>
      </x:c>
      <x:c r="AD29" s="1261">
        <x:v>5</x:v>
      </x:c>
      <x:c r="AE29" s="1262">
        <x:v>6.375</x:v>
      </x:c>
      <x:c r="AF29" s="1260">
        <x:v>6</x:v>
      </x:c>
      <x:c r="AG29" s="1261">
        <x:v>8</x:v>
      </x:c>
      <x:c r="AH29" s="1262">
        <x:v>0</x:v>
      </x:c>
      <x:c r="AI29" s="1261">
        <x:v>5</x:v>
      </x:c>
      <x:c r="AJ29" s="1262">
        <x:v>5.375</x:v>
      </x:c>
      <x:c r="AK29" s="1599" t="str">
        <x:f t="shared" si="16"/>
        <x:v/>
      </x:c>
      <x:c r="AL29" s="1600" t="str">
        <x:f t="shared" si="16"/>
        <x:v/>
      </x:c>
      <x:c r="AM29" s="1601">
        <x:v>5</x:v>
      </x:c>
      <x:c r="AN29" s="1260">
        <x:v>13</x:v>
      </x:c>
      <x:c r="AO29" s="1409">
        <x:v>4</x:v>
      </x:c>
      <x:c r="AP29" s="1327" t="str">
        <x:f t="shared" si="3"/>
        <x:v/>
      </x:c>
      <x:c r="AQ29" s="1602">
        <x:v>1.75</x:v>
      </x:c>
      <x:c r="AR29" s="2157">
        <x:v>58</x:v>
      </x:c>
      <x:c r="AS29" s="2122">
        <x:v>2</x:v>
      </x:c>
      <x:c r="AT29" s="1603" t="str">
        <x:f t="shared" si="17"/>
        <x:v/>
      </x:c>
      <x:c r="AU29" s="2123" t="s">
        <x:v>1703</x:v>
      </x:c>
      <x:c r="AV29" s="1328" t="str">
        <x:f t="shared" si="6"/>
        <x:v/>
      </x:c>
      <x:c r="AW29" s="1262" t="str">
        <x:f t="shared" si="7"/>
        <x:v/>
      </x:c>
      <x:c r="AX29" s="1603" t="str">
        <x:f t="shared" si="18"/>
        <x:v/>
      </x:c>
      <x:c r="AY29" s="1410" t="str">
        <x:f t="shared" si="18"/>
        <x:v/>
      </x:c>
      <x:c r="AZ29" s="1328" t="str">
        <x:f t="shared" si="8"/>
        <x:v/>
      </x:c>
      <x:c r="BA29" s="1262" t="str">
        <x:f t="shared" si="9"/>
        <x:v/>
      </x:c>
      <x:c r="BB29" s="1603" t="str">
        <x:f t="shared" si="19"/>
        <x:v/>
      </x:c>
      <x:c r="BC29" s="1410" t="str">
        <x:f t="shared" si="19"/>
        <x:v/>
      </x:c>
      <x:c r="BD29" s="1328" t="str">
        <x:f t="shared" si="10"/>
        <x:v/>
      </x:c>
      <x:c r="BE29" s="1262" t="str">
        <x:f t="shared" si="11"/>
        <x:v/>
      </x:c>
      <x:c r="BF29" s="1603" t="str">
        <x:f t="shared" si="20"/>
        <x:v/>
      </x:c>
      <x:c r="BG29" s="1410" t="str">
        <x:f t="shared" si="20"/>
        <x:v/>
      </x:c>
      <x:c r="BH29" s="322"/>
      <x:c r="BJ29" s="1258" t="str">
        <x:f>IF(AND(OR(ISBLANK(A29),A29=""),Z29&lt;&gt;""),BJ28,IF(OR(ISBLANK(A29),A29=""),"",A29))</x:f>
        <x:v>G2</x:v>
      </x:c>
      <x:c r="BK29" s="1256" t="b">
        <x:f>IF($BK$1,IF(BJ29=BJ28,BK28,IF(AND(BJ29&lt;&gt;"",OR(B29=0,B29="")),TRUE,FALSE)),FALSE)</x:f>
        <x:v>0</x:v>
      </x:c>
      <x:c r="BL29" s="2002" t="b">
        <x:v>0</x:v>
      </x:c>
      <x:c r="BM29" s="1251">
        <x:f t="shared" ref="BM29:BM45" si="50">IF(C29="",0,VALUE(IF(BN29="","",LEFT(C29,SEARCH(BN29,C29)-1))))</x:f>
        <x:v>54</x:v>
      </x:c>
      <x:c r="BN29" s="1251" t="str">
        <x:f t="shared" ref="BN29:BN45" si="51">IF(C29="",0,IF(NOT(ISERROR(SEARCH("VG",C29))),"VG",IF(NOT(ISERROR(SEARCH("BG",C29))),"BG",IF(NOT(ISERROR(SEARCH("G",C29))),"G"))))</x:f>
        <x:v>G</x:v>
      </x:c>
      <x:c r="BO29" s="1251">
        <x:f t="shared" ref="BO29:BO45" si="52">IF(C29="",0,VALUE(MID(C29,SEARCH(BN29,C29)+LEN(BN29),SEARCH("N",C29)-SEARCH(BN29,C29)-LEN(BN29))))</x:f>
        <x:v>7</x:v>
      </x:c>
      <x:c r="BP29" s="1251">
        <x:f t="shared" ref="BP29:BP45" si="53">IF(ISERROR(SEARCH("F",C29)),IF(C29="",0,VALUE(MID(C29,SEARCH("N",C29)+1,SEARCH("K",C29)-SEARCH("N",C29)-1))),IF(C29="",0,VALUE(MID(C29,SEARCH("N",C29)+1,SEARCH("F",C29)-SEARCH("N",C29)-1))))</x:f>
        <x:v>6.5</x:v>
      </x:c>
      <x:c r="BQ29" s="1251">
        <x:f t="shared" ref="BQ29:BQ45" si="54">IF(ISERROR(SEARCH("F",C29)),IF(C29="",0,IF(SEARCH("K",C29)=LEN(C29),0,VALUE(MID(C29,SEARCH("K",C29)+1,LEN(C29))))),IF(C29="",0,IF(SEARCH("F",C29)=LEN(C29),0,VALUE(MID(C29,SEARCH("F",C29)+1,LEN(C29))))))</x:f>
        <x:v>2.1</x:v>
      </x:c>
      <x:c r="BR29" s="1251" t="b">
        <x:f t="shared" ref="BR29:BR45" si="55">IF(OR(ISERROR(BM29),ISERROR(BN29),ISERROR(BO29),ISERROR(BP29),ISERROR(BQ29)),FALSE,TRUE)</x:f>
        <x:v>1</x:v>
      </x:c>
      <x:c r="BS29" s="1252">
        <x:f t="shared" ref="BS29:BS45" si="56">6+IF(LEFT(I29,1)="R",IF(ISNUMBER(G29),G29*12,0)+IF(ISNUMBER(H29),H29,0),0)</x:f>
        <x:v>7.75</x:v>
      </x:c>
      <x:c r="BT29" s="1252" t="str">
        <x:f t="shared" ref="BT29:BT45" si="57">IF(IF(ISNUMBER(S29),S29*12,0)+IF(ISNUMBER(T29),T29,0)&gt;0,IF(AND(IF(ISNUMBER(S29),S29*12,0)+IF(ISNUMBER(T29),T29,0)&gt;=1.25,IF(ISNUMBER(S29),S29*12,0)+IF(ISNUMBER(T29),T29,0)&lt;=(BS29-1.25)+IF(I29="X",2,0)),"Yes","No"),"No")</x:f>
        <x:v>Yes</x:v>
      </x:c>
      <x:c r="BU29" s="1252">
        <x:f t="shared" ref="BU29:BU45" si="58">6+IF(LEFT(L29,1)="R",IF(ISNUMBER(J29),J29*12,0)+IF(ISNUMBER(K29),K29,0),0)</x:f>
        <x:v>7.75</x:v>
      </x:c>
      <x:c r="BV29" s="1252" t="str">
        <x:f t="shared" ref="BV29:BV45" si="59">IF(IF(ISNUMBER(U29),U29*12,0)+IF(ISNUMBER(V29),V29,0)&gt;0,IF(AND(IF(ISNUMBER(U29),U29*12,0)+IF(ISNUMBER(V29),V29,0)&gt;=1.25,IF(ISNUMBER(U29),U29*12,0)+IF(ISNUMBER(V29),V29,0)&lt;=(BU29-1.25)+IF(L29="X",2,0)),"Yes","No"),"No")</x:f>
        <x:v>Yes</x:v>
      </x:c>
      <x:c r="BW29" s="1253">
        <x:f t="shared" si="21"/>
        <x:v>16</x:v>
      </x:c>
      <x:c r="BX29" s="1254" t="str">
        <x:f t="shared" si="28"/>
        <x:v>G16</x:v>
      </x:c>
      <x:c r="BY29" s="1254" t="b">
        <x:f t="shared" si="22"/>
        <x:v>0</x:v>
      </x:c>
      <x:c r="BZ29" s="1255" t="b">
        <x:f t="shared" si="29"/>
        <x:v>0</x:v>
      </x:c>
      <x:c r="CB29" s="842"/>
      <x:c r="CC29" s="894"/>
      <x:c r="CD29" s="883"/>
      <x:c r="CE29" s="884"/>
      <x:c r="CF29" s="885"/>
      <x:c r="CG29" s="901"/>
      <x:c r="CH29" s="902"/>
      <x:c r="CI29" s="903"/>
      <x:c r="CJ29" s="902"/>
      <x:c r="CK29" s="903"/>
      <x:c r="CL29" s="904"/>
      <x:c r="CM29" s="944"/>
      <x:c r="CN29" s="901"/>
      <x:c r="CO29" s="902"/>
      <x:c r="CP29" s="903"/>
      <x:c r="CQ29" s="902"/>
      <x:c r="CR29" s="903"/>
      <x:c r="CS29" s="904"/>
      <x:c r="CT29" s="944"/>
      <x:c r="CU29" s="906"/>
      <x:c r="CV29" s="886"/>
      <x:c r="CW29" s="887"/>
      <x:c r="CX29" s="915"/>
      <x:c r="CY29" s="916"/>
      <x:c r="CZ29" s="932"/>
      <x:c r="DA29" s="933"/>
      <x:c r="DB29" s="932"/>
      <x:c r="DC29" s="933"/>
      <x:c r="DD29" s="1149"/>
      <x:c r="DE29" s="1150"/>
      <x:c r="DF29" s="173"/>
      <x:c r="DG29" s="173"/>
      <x:c r="DH29" s="842"/>
      <x:c r="DI29" s="843"/>
      <x:c r="DJ29" s="872"/>
      <x:c r="DK29" s="873"/>
      <x:c r="DL29" s="844"/>
      <x:c r="DM29" s="874"/>
      <x:c r="DN29" s="875"/>
      <x:c r="DO29" s="845"/>
      <x:c r="DP29" s="846"/>
      <x:c r="DQ29" s="847"/>
      <x:c r="DR29" s="847"/>
      <x:c r="DS29" s="848"/>
      <x:c r="DT29" s="836"/>
      <x:c r="DU29" s="837"/>
      <x:c r="DV29" s="849"/>
      <x:c r="DW29" s="850"/>
      <x:c r="DX29" s="851"/>
      <x:c r="DY29" s="852"/>
      <x:c r="DZ29" s="849"/>
      <x:c r="EA29" s="850"/>
      <x:c r="EB29" s="851"/>
      <x:c r="EC29" s="852"/>
      <x:c r="ED29" s="849"/>
      <x:c r="EE29" s="850"/>
      <x:c r="EF29" s="851"/>
      <x:c r="EG29" s="852"/>
      <x:c r="EH29" s="849"/>
      <x:c r="EI29" s="850"/>
      <x:c r="EJ29" s="851"/>
      <x:c r="EK29" s="853"/>
      <x:c r="EL29" s="807" t="str">
        <x:f t="shared" si="37"/>
        <x:v/>
      </x:c>
      <x:c r="EM29" s="808" t="str">
        <x:f t="shared" si="38"/>
        <x:v/>
      </x:c>
      <x:c r="EN29" s="809" t="str">
        <x:f t="shared" si="39"/>
        <x:v/>
      </x:c>
      <x:c r="EO29" s="1044" t="str">
        <x:f t="shared" si="40"/>
        <x:v/>
      </x:c>
      <x:c r="EP29" s="1166" t="str">
        <x:f>IF(ISBLANK(DB29),"",DB69+IF(DB29&gt;0,0,ABS(DB29)))</x:f>
        <x:v/>
      </x:c>
      <x:c r="EQ29" s="1167" t="str">
        <x:f>IF(ISBLANK(DC29),"",DH69+IF(DC29&gt;0,0,ABS(DC29)))</x:f>
        <x:v/>
      </x:c>
      <x:c r="ER29" s="961" t="str">
        <x:f t="shared" si="41"/>
        <x:v/>
      </x:c>
      <x:c r="ES29" s="962" t="str">
        <x:f t="shared" si="42"/>
        <x:v/>
      </x:c>
      <x:c r="ET29" s="963" t="str">
        <x:f t="shared" si="43"/>
        <x:v/>
      </x:c>
      <x:c r="EU29" s="964" t="str">
        <x:f t="shared" si="44"/>
        <x:v/>
      </x:c>
      <x:c r="EX29" s="1194" t="str">
        <x:f t="shared" si="23"/>
        <x:v>G16B</x:v>
      </x:c>
      <x:c r="EY29" s="1196" t="b">
        <x:f t="shared" ca="1" si="12"/>
        <x:v>1</x:v>
      </x:c>
      <x:c r="EZ29" s="1196">
        <x:f t="shared" si="24"/>
        <x:v>5</x:v>
      </x:c>
      <x:c r="FA29" s="1217" t="b">
        <x:f t="shared" si="30"/>
        <x:v>1</x:v>
      </x:c>
      <x:c r="FB29" s="1218">
        <x:f t="shared" si="25"/>
        <x:v>707.75</x:v>
      </x:c>
      <x:c r="FC29" s="1218">
        <x:f t="shared" si="13"/>
        <x:v>66.375</x:v>
      </x:c>
      <x:c r="FD29" s="1218">
        <x:f t="shared" si="14"/>
        <x:v>576</x:v>
      </x:c>
      <x:c r="FE29" s="1218">
        <x:f t="shared" si="15"/>
        <x:v>65.375</x:v>
      </x:c>
      <x:c r="FF29" s="1218">
        <x:f t="shared" si="26"/>
        <x:v>707.75</x:v>
      </x:c>
      <x:c r="FN29" s="1256" t="b">
        <x:v>0</x:v>
      </x:c>
      <x:c r="FO29" s="969" t="b">
        <x:f t="shared" ref="FO29:FO45" si="60">NOT(ISERROR(VLOOKUP(A29,$AB$14:$AB$45,1,FALSE)))</x:f>
        <x:v>1</x:v>
      </x:c>
      <x:c r="FP29" s="969" t="b">
        <x:v>0</x:v>
      </x:c>
      <x:c r="FQ29" s="969" t="b">
        <x:f t="shared" si="27"/>
        <x:v>1</x:v>
      </x:c>
      <x:c r="FX29" s="236"/>
      <x:c r="FZ29" s="2"/>
      <x:c r="GA29" s="1935">
        <x:v>50</x:v>
      </x:c>
      <x:c r="GB29" s="1936">
        <x:v>0</x:v>
      </x:c>
      <x:c r="GC29" s="1937">
        <x:v>-0.25</x:v>
      </x:c>
      <x:c r="GD29" s="1938">
        <x:v>-0.25</x:v>
      </x:c>
      <x:c r="GE29" s="1939">
        <x:v>0.26</x:v>
      </x:c>
      <x:c r="GF29" s="1940" t="str">
        <x:f t="shared" si="45"/>
        <x:v>G2</x:v>
      </x:c>
      <x:c r="GG29" s="1457"/>
      <x:c r="GH29" s="1459"/>
      <x:c r="GI29" s="1457"/>
      <x:c r="GJ29" s="1459"/>
      <x:c r="GK29" s="326">
        <x:f t="shared" si="46"/>
        <x:v>599.5</x:v>
      </x:c>
      <x:c r="GL29" s="326">
        <x:f t="shared" si="47"/>
        <x:v>599.6406994615146</x:v>
      </x:c>
      <x:c r="GM29" s="327">
        <x:f>IF(ABS(GK29-GL29)&gt;='Job Info.'!$L$22,ABS(GK29-GL29),0)</x:f>
        <x:v>0</x:v>
      </x:c>
      <x:c r="HA29" s="1612" t="s">
        <x:v>1265</x:v>
      </x:c>
      <x:c r="HB29" s="1613">
        <x:v>1</x:v>
      </x:c>
      <x:c r="HC29" s="1613" t="s">
        <x:v>1952</x:v>
      </x:c>
      <x:c r="HD29" s="1614">
        <x:v>49</x:v>
      </x:c>
      <x:c r="HE29" s="1615">
        <x:v>11.5</x:v>
      </x:c>
      <x:c r="HF29" s="1613">
        <x:v>11.125</x:v>
      </x:c>
      <x:c r="HG29" s="1613">
        <x:v>0</x:v>
      </x:c>
      <x:c r="HH29" s="1613">
        <x:v>1.75</x:v>
      </x:c>
      <x:c r="HI29" s="1613" t="s">
        <x:v>114</x:v>
      </x:c>
      <x:c r="HJ29" s="1613">
        <x:v>0</x:v>
      </x:c>
      <x:c r="HK29" s="1613">
        <x:v>1.75</x:v>
      </x:c>
      <x:c r="HL29" s="1613" t="s">
        <x:v>114</x:v>
      </x:c>
      <x:c r="HM29" s="1613">
        <x:v>7.5</x:v>
      </x:c>
      <x:c r="HN29" s="1613">
        <x:v>7.5</x:v>
      </x:c>
      <x:c r="HO29" s="1613">
        <x:v>0</x:v>
      </x:c>
      <x:c r="HP29" s="1613">
        <x:v>5.75</x:v>
      </x:c>
      <x:c r="HQ29" s="1613">
        <x:v>0</x:v>
      </x:c>
      <x:c r="HR29" s="1613">
        <x:v>7.875</x:v>
      </x:c>
      <x:c r="HS29" s="1613">
        <x:v>0</x:v>
      </x:c>
      <x:c r="HT29" s="1613">
        <x:v>6.25</x:v>
      </x:c>
      <x:c r="HU29" s="1613">
        <x:v>0</x:v>
      </x:c>
      <x:c r="HV29" s="1613">
        <x:v>6.25</x:v>
      </x:c>
      <x:c r="HW29" s="1613">
        <x:v>5</x:v>
      </x:c>
      <x:c r="HX29" s="1613" t="s">
        <x:v>117</x:v>
      </x:c>
      <x:c r="HY29" s="1617" t="s">
        <x:v>117</x:v>
      </x:c>
      <x:c r="HZ29" s="1617" t="s">
        <x:v>2024</x:v>
      </x:c>
      <x:c r="IA29" s="1617" t="s">
        <x:v>117</x:v>
      </x:c>
      <x:c r="IB29" s="1617"/>
      <x:c r="IC29" s="1617"/>
      <x:c r="ID29" s="1618"/>
      <x:c r="IE29" s="1612" t="s">
        <x:v>1279</x:v>
      </x:c>
      <x:c r="IF29" s="1613" t="s">
        <x:v>35</x:v>
      </x:c>
      <x:c r="IG29" s="1614">
        <x:v>5</x:v>
      </x:c>
      <x:c r="IH29" s="1615">
        <x:v>6.375</x:v>
      </x:c>
      <x:c r="II29" s="1613">
        <x:v>6</x:v>
      </x:c>
      <x:c r="IJ29" s="1614">
        <x:v>8</x:v>
      </x:c>
      <x:c r="IK29" s="1615">
        <x:v>0</x:v>
      </x:c>
      <x:c r="IL29" s="1613">
        <x:v>5</x:v>
      </x:c>
      <x:c r="IM29" s="1613">
        <x:v>5.375</x:v>
      </x:c>
      <x:c r="IN29" s="1613" t="s">
        <x:v>117</x:v>
      </x:c>
      <x:c r="IO29" s="1613" t="s">
        <x:v>117</x:v>
      </x:c>
      <x:c r="IP29" s="1613">
        <x:v>5</x:v>
      </x:c>
      <x:c r="IQ29" s="1613">
        <x:v>13</x:v>
      </x:c>
      <x:c r="IR29" s="1613">
        <x:v>4</x:v>
      </x:c>
      <x:c r="IS29" s="1614" t="s">
        <x:v>117</x:v>
      </x:c>
      <x:c r="IT29" s="1615">
        <x:v>1.75</x:v>
      </x:c>
      <x:c r="IU29" s="1613" t="s">
        <x:v>117</x:v>
      </x:c>
      <x:c r="IV29" s="1613" t="s">
        <x:v>117</x:v>
      </x:c>
      <x:c r="IW29" s="1614" t="s">
        <x:v>117</x:v>
      </x:c>
      <x:c r="IX29" s="1615" t="s">
        <x:v>117</x:v>
      </x:c>
      <x:c r="IY29" s="1613" t="s">
        <x:v>117</x:v>
      </x:c>
      <x:c r="IZ29" s="1613" t="s">
        <x:v>117</x:v>
      </x:c>
      <x:c r="JA29" s="1614" t="s">
        <x:v>117</x:v>
      </x:c>
      <x:c r="JB29" s="1615" t="s">
        <x:v>117</x:v>
      </x:c>
      <x:c r="JC29" s="1613" t="s">
        <x:v>117</x:v>
      </x:c>
      <x:c r="JD29" s="1613" t="s">
        <x:v>117</x:v>
      </x:c>
      <x:c r="JE29" s="1614" t="s">
        <x:v>117</x:v>
      </x:c>
      <x:c r="JF29" s="1615" t="s">
        <x:v>117</x:v>
      </x:c>
      <x:c r="JG29" s="1613" t="s">
        <x:v>117</x:v>
      </x:c>
      <x:c r="JH29" s="1613" t="s">
        <x:v>117</x:v>
      </x:c>
      <x:c r="JI29" s="1613" t="s">
        <x:v>117</x:v>
      </x:c>
      <x:c r="JJ29" s="1616" t="s">
        <x:v>117</x:v>
      </x:c>
      <x:c r="JK29" s="1613">
        <x:v>1</x:v>
      </x:c>
      <x:c r="JL29" s="1521">
        <x:f t="shared" ca="1" si="31"/>
        <x:v>1</x:v>
      </x:c>
      <x:c r="JM29" s="171"/>
    </x:row>
    <x:row r="30" spans="1:274" s="183" customFormat="1" ht="12.6" customHeight="1" x14ac:dyDescent="0.25">
      <x:c r="A30" s="1583" t="s">
        <x:v>1266</x:v>
      </x:c>
      <x:c r="B30" s="1584">
        <x:v>0</x:v>
      </x:c>
      <x:c r="C30" s="1585" t="s">
        <x:v>1953</x:v>
      </x:c>
      <x:c r="D30" s="1586">
        <x:v>59</x:v>
      </x:c>
      <x:c r="E30" s="1587">
        <x:v>11.5</x:v>
      </x:c>
      <x:c r="F30" s="1588">
        <x:v>11.125</x:v>
      </x:c>
      <x:c r="G30" s="1589">
        <x:v>0</x:v>
      </x:c>
      <x:c r="H30" s="1590">
        <x:v>1.75</x:v>
      </x:c>
      <x:c r="I30" s="1591" t="s">
        <x:v>114</x:v>
      </x:c>
      <x:c r="J30" s="1586">
        <x:v>0</x:v>
      </x:c>
      <x:c r="K30" s="1590">
        <x:v>1.75</x:v>
      </x:c>
      <x:c r="L30" s="1592" t="s">
        <x:v>114</x:v>
      </x:c>
      <x:c r="M30" s="1593">
        <x:v>7.5</x:v>
      </x:c>
      <x:c r="N30" s="1594">
        <x:v>7.5</x:v>
      </x:c>
      <x:c r="O30" s="1589">
        <x:v>0</x:v>
      </x:c>
      <x:c r="P30" s="1590">
        <x:v>5.75</x:v>
      </x:c>
      <x:c r="Q30" s="1586">
        <x:v>0</x:v>
      </x:c>
      <x:c r="R30" s="1587">
        <x:v>7.875</x:v>
      </x:c>
      <x:c r="S30" s="1595">
        <x:v>0</x:v>
      </x:c>
      <x:c r="T30" s="1590">
        <x:v>6.25</x:v>
      </x:c>
      <x:c r="U30" s="1586">
        <x:v>0</x:v>
      </x:c>
      <x:c r="V30" s="1590">
        <x:v>6.25</x:v>
      </x:c>
      <x:c r="W30" s="1594">
        <x:v>5</x:v>
      </x:c>
      <x:c r="X30" s="1596" t="str">
        <x:f t="shared" si="48"/>
        <x:v/>
      </x:c>
      <x:c r="Y30" s="1597" t="str">
        <x:f t="shared" si="49"/>
        <x:v/>
      </x:c>
      <x:c r="Z30" s="2088" t="s">
        <x:v>2024</x:v>
      </x:c>
      <x:c r="AA30" s="1598" t="str">
        <x:f t="shared" si="36"/>
        <x:v/>
      </x:c>
      <x:c r="AB30" s="1264" t="str">
        <x:f t="shared" ref="AB30:AC30" si="61">IF(ISBLANK(DH30),"",DH30)</x:f>
        <x:v/>
      </x:c>
      <x:c r="AC30" s="1260" t="str">
        <x:f t="shared" si="61"/>
        <x:v/>
      </x:c>
      <x:c r="AD30" s="1261" t="str">
        <x:f t="shared" ref="AD30:AD45" ca="1" si="62">IF(ISERROR(FV70),"",IF(FV70="","",TRUNC(FV70/12)))</x:f>
        <x:v/>
      </x:c>
      <x:c r="AE30" s="1262" t="str">
        <x:f t="shared" ref="AE30:AE45" ca="1" si="63">IF(ISERROR(FV70),"",IF(FV70="","",FV70-(AD30*12)))</x:f>
        <x:v/>
      </x:c>
      <x:c r="AF30" s="1260" t="str">
        <x:f t="shared" ref="AF30:AF45" ca="1" si="64">IF(ISERROR(FO70),"",IF(FO70="","",FO70))</x:f>
        <x:v/>
      </x:c>
      <x:c r="AG30" s="1261" t="str">
        <x:f t="shared" ref="AG30:AG45" ca="1" si="65">IF(ISERROR(FX70),"",IF(FX70="","",TRUNC(FX70/12)))</x:f>
        <x:v/>
      </x:c>
      <x:c r="AH30" s="1262" t="str">
        <x:f t="shared" ref="AH30:AH45" ca="1" si="66">IF(ISERROR(FX70),"",IF(FX70="","",FX70-(AG30*12)))</x:f>
        <x:v/>
      </x:c>
      <x:c r="AI30" s="1261" t="str">
        <x:f t="shared" ref="AI30:AI45" ca="1" si="67">IF(ISERROR(FZ70),"",IF(FZ70="","",TRUNC(FZ70/12)))</x:f>
        <x:v/>
      </x:c>
      <x:c r="AJ30" s="1262" t="str">
        <x:f t="shared" ref="AJ30:AJ45" ca="1" si="68">IF(ISERROR(FZ70),"",IF(FZ70="","",FZ70-(AI30*12)))</x:f>
        <x:v/>
      </x:c>
      <x:c r="AK30" s="1599" t="str">
        <x:f t="shared" si="16"/>
        <x:v/>
      </x:c>
      <x:c r="AL30" s="1600" t="str">
        <x:f t="shared" si="16"/>
        <x:v/>
      </x:c>
      <x:c r="AM30" s="1601" t="str">
        <x:f t="shared" si="16"/>
        <x:v/>
      </x:c>
      <x:c r="AN30" s="1260" t="str">
        <x:f t="shared" si="16"/>
        <x:v/>
      </x:c>
      <x:c r="AO30" s="1409" t="str">
        <x:f t="shared" si="16"/>
        <x:v/>
      </x:c>
      <x:c r="AP30" s="1327" t="str">
        <x:f t="shared" si="3"/>
        <x:v/>
      </x:c>
      <x:c r="AQ30" s="1602" t="str">
        <x:f t="shared" si="3"/>
        <x:v/>
      </x:c>
      <x:c r="AR30" s="1263" t="str">
        <x:f t="shared" si="4"/>
        <x:v/>
      </x:c>
      <x:c r="AS30" s="1262" t="str">
        <x:f t="shared" si="5"/>
        <x:v/>
      </x:c>
      <x:c r="AT30" s="1603" t="str">
        <x:f t="shared" si="17"/>
        <x:v/>
      </x:c>
      <x:c r="AU30" s="1410" t="str">
        <x:f t="shared" si="17"/>
        <x:v/>
      </x:c>
      <x:c r="AV30" s="1328" t="str">
        <x:f t="shared" si="6"/>
        <x:v/>
      </x:c>
      <x:c r="AW30" s="1262" t="str">
        <x:f t="shared" si="7"/>
        <x:v/>
      </x:c>
      <x:c r="AX30" s="1603" t="str">
        <x:f t="shared" si="18"/>
        <x:v/>
      </x:c>
      <x:c r="AY30" s="1410" t="str">
        <x:f t="shared" si="18"/>
        <x:v/>
      </x:c>
      <x:c r="AZ30" s="1328" t="str">
        <x:f t="shared" si="8"/>
        <x:v/>
      </x:c>
      <x:c r="BA30" s="1262" t="str">
        <x:f t="shared" si="9"/>
        <x:v/>
      </x:c>
      <x:c r="BB30" s="1603" t="str">
        <x:f t="shared" si="19"/>
        <x:v/>
      </x:c>
      <x:c r="BC30" s="1410" t="str">
        <x:f t="shared" si="19"/>
        <x:v/>
      </x:c>
      <x:c r="BD30" s="1328" t="str">
        <x:f t="shared" si="10"/>
        <x:v/>
      </x:c>
      <x:c r="BE30" s="1262" t="str">
        <x:f t="shared" si="11"/>
        <x:v/>
      </x:c>
      <x:c r="BF30" s="1603" t="str">
        <x:f t="shared" si="20"/>
        <x:v/>
      </x:c>
      <x:c r="BG30" s="1410" t="str">
        <x:f t="shared" si="20"/>
        <x:v/>
      </x:c>
      <x:c r="BH30" s="323"/>
      <x:c r="BJ30" s="1258" t="str">
        <x:f t="shared" ref="BJ30:BJ45" si="69">IF(AND(OR(ISBLANK(A30),A30=""),Z30&lt;&gt;""),BJ29,IF(OR(ISBLANK(A30),A30=""),"",A30))</x:f>
        <x:v>G3</x:v>
      </x:c>
      <x:c r="BK30" s="1256" t="b">
        <x:f>IF($BK$1,IF(BJ30=BJ29,BK29,IF(AND(BJ30&lt;&gt;"",OR(B30=0,B30="")),TRUE,FALSE)),FALSE)</x:f>
        <x:v>0</x:v>
      </x:c>
      <x:c r="BL30" s="2002" t="b">
        <x:v>0</x:v>
      </x:c>
      <x:c r="BM30" s="1251">
        <x:f t="shared" si="50"/>
        <x:v>54</x:v>
      </x:c>
      <x:c r="BN30" s="1251" t="str">
        <x:f t="shared" si="51"/>
        <x:v>G</x:v>
      </x:c>
      <x:c r="BO30" s="1251">
        <x:f t="shared" si="52"/>
        <x:v>8</x:v>
      </x:c>
      <x:c r="BP30" s="1251">
        <x:f t="shared" si="53"/>
        <x:v>6.5</x:v>
      </x:c>
      <x:c r="BQ30" s="1251">
        <x:f t="shared" si="54"/>
        <x:v>2.1</x:v>
      </x:c>
      <x:c r="BR30" s="1251" t="b">
        <x:f t="shared" si="55"/>
        <x:v>1</x:v>
      </x:c>
      <x:c r="BS30" s="1252">
        <x:f t="shared" si="56"/>
        <x:v>7.75</x:v>
      </x:c>
      <x:c r="BT30" s="1252" t="str">
        <x:f t="shared" si="57"/>
        <x:v>Yes</x:v>
      </x:c>
      <x:c r="BU30" s="1252">
        <x:f t="shared" si="58"/>
        <x:v>7.75</x:v>
      </x:c>
      <x:c r="BV30" s="1252" t="str">
        <x:f t="shared" si="59"/>
        <x:v>Yes</x:v>
      </x:c>
      <x:c r="BW30" s="1253">
        <x:f t="shared" ca="1" si="21"/>
        <x:v>0</x:v>
      </x:c>
      <x:c r="BX30" s="1254" t="str">
        <x:f t="shared" ca="1" si="28"/>
        <x:v/>
      </x:c>
      <x:c r="BY30" s="1254" t="b">
        <x:f t="shared" ca="1" si="22"/>
        <x:v>0</x:v>
      </x:c>
      <x:c r="BZ30" s="1255" t="b">
        <x:f t="shared" si="29"/>
        <x:v>0</x:v>
      </x:c>
      <x:c r="CB30" s="842"/>
      <x:c r="CC30" s="894"/>
      <x:c r="CD30" s="883"/>
      <x:c r="CE30" s="884"/>
      <x:c r="CF30" s="885"/>
      <x:c r="CG30" s="901"/>
      <x:c r="CH30" s="902"/>
      <x:c r="CI30" s="903"/>
      <x:c r="CJ30" s="902"/>
      <x:c r="CK30" s="903"/>
      <x:c r="CL30" s="904"/>
      <x:c r="CM30" s="944"/>
      <x:c r="CN30" s="901"/>
      <x:c r="CO30" s="902"/>
      <x:c r="CP30" s="903"/>
      <x:c r="CQ30" s="902"/>
      <x:c r="CR30" s="903"/>
      <x:c r="CS30" s="904"/>
      <x:c r="CT30" s="944"/>
      <x:c r="CU30" s="906"/>
      <x:c r="CV30" s="886"/>
      <x:c r="CW30" s="887"/>
      <x:c r="CX30" s="915"/>
      <x:c r="CY30" s="916"/>
      <x:c r="CZ30" s="932"/>
      <x:c r="DA30" s="933"/>
      <x:c r="DB30" s="932"/>
      <x:c r="DC30" s="933"/>
      <x:c r="DD30" s="1149"/>
      <x:c r="DE30" s="1150"/>
      <x:c r="DF30" s="173"/>
      <x:c r="DG30" s="173"/>
      <x:c r="DH30" s="842"/>
      <x:c r="DI30" s="843"/>
      <x:c r="DJ30" s="872"/>
      <x:c r="DK30" s="873"/>
      <x:c r="DL30" s="844"/>
      <x:c r="DM30" s="874"/>
      <x:c r="DN30" s="875"/>
      <x:c r="DO30" s="845"/>
      <x:c r="DP30" s="846"/>
      <x:c r="DQ30" s="847"/>
      <x:c r="DR30" s="847"/>
      <x:c r="DS30" s="848"/>
      <x:c r="DT30" s="836"/>
      <x:c r="DU30" s="837"/>
      <x:c r="DV30" s="849"/>
      <x:c r="DW30" s="850"/>
      <x:c r="DX30" s="851"/>
      <x:c r="DY30" s="852"/>
      <x:c r="DZ30" s="849"/>
      <x:c r="EA30" s="850"/>
      <x:c r="EB30" s="851"/>
      <x:c r="EC30" s="852"/>
      <x:c r="ED30" s="849"/>
      <x:c r="EE30" s="850"/>
      <x:c r="EF30" s="851"/>
      <x:c r="EG30" s="852"/>
      <x:c r="EH30" s="849"/>
      <x:c r="EI30" s="850"/>
      <x:c r="EJ30" s="851"/>
      <x:c r="EK30" s="853"/>
      <x:c r="EL30" s="807" t="str">
        <x:f t="shared" si="37"/>
        <x:v/>
      </x:c>
      <x:c r="EM30" s="808" t="str">
        <x:f t="shared" si="38"/>
        <x:v/>
      </x:c>
      <x:c r="EN30" s="809" t="str">
        <x:f t="shared" si="39"/>
        <x:v/>
      </x:c>
      <x:c r="EO30" s="1044" t="str">
        <x:f t="shared" si="40"/>
        <x:v/>
      </x:c>
      <x:c r="EP30" s="1168" t="str">
        <x:f>IF(ISBLANK(DB30),"",DB70+IF(DB30&gt;0,0,ABS(DB30)))</x:f>
        <x:v/>
      </x:c>
      <x:c r="EQ30" s="1169" t="str">
        <x:f>IF(ISBLANK(DC30),"",DH70+IF(DC30&gt;0,0,ABS(DC30)))</x:f>
        <x:v/>
      </x:c>
      <x:c r="ER30" s="961" t="str">
        <x:f t="shared" si="41"/>
        <x:v/>
      </x:c>
      <x:c r="ES30" s="962" t="str">
        <x:f t="shared" si="42"/>
        <x:v/>
      </x:c>
      <x:c r="ET30" s="963" t="str">
        <x:f t="shared" si="43"/>
        <x:v/>
      </x:c>
      <x:c r="EU30" s="964" t="str">
        <x:f t="shared" si="44"/>
        <x:v/>
      </x:c>
      <x:c r="EX30" s="1194" t="str">
        <x:f t="shared" ca="1" si="23"/>
        <x:v/>
      </x:c>
      <x:c r="EY30" s="1196" t="str">
        <x:f t="shared" si="12"/>
        <x:v/>
      </x:c>
      <x:c r="EZ30" s="1196" t="str">
        <x:f t="shared" si="24"/>
        <x:v/>
      </x:c>
      <x:c r="FA30" s="1217" t="str">
        <x:f t="shared" ca="1" si="30"/>
        <x:v/>
      </x:c>
      <x:c r="FB30" s="1218" t="str">
        <x:f t="shared" ca="1" si="25"/>
        <x:v/>
      </x:c>
      <x:c r="FC30" s="1218">
        <x:f t="shared" ca="1" si="13"/>
        <x:v>0</x:v>
      </x:c>
      <x:c r="FD30" s="1218">
        <x:f t="shared" ca="1" si="14"/>
        <x:v>0</x:v>
      </x:c>
      <x:c r="FE30" s="1218">
        <x:f t="shared" ca="1" si="15"/>
        <x:v>0</x:v>
      </x:c>
      <x:c r="FF30" s="1218">
        <x:f t="shared" ca="1" si="26"/>
        <x:v>0</x:v>
      </x:c>
      <x:c r="FN30" s="1256" t="b">
        <x:v>0</x:v>
      </x:c>
      <x:c r="FO30" s="970" t="b">
        <x:f t="shared" si="60"/>
        <x:v>1</x:v>
      </x:c>
      <x:c r="FP30" s="969" t="b">
        <x:v>0</x:v>
      </x:c>
      <x:c r="FQ30" s="970" t="b">
        <x:f t="shared" si="27"/>
        <x:v>1</x:v>
      </x:c>
      <x:c r="FX30" s="236"/>
      <x:c r="FZ30" s="2"/>
      <x:c r="GA30" s="1935">
        <x:v>60</x:v>
      </x:c>
      <x:c r="GB30" s="1936">
        <x:v>0</x:v>
      </x:c>
      <x:c r="GC30" s="1937">
        <x:v>-0.25</x:v>
      </x:c>
      <x:c r="GD30" s="1938">
        <x:v>-0.25</x:v>
      </x:c>
      <x:c r="GE30" s="1939">
        <x:v>0.25</x:v>
      </x:c>
      <x:c r="GF30" s="1940" t="str">
        <x:f t="shared" si="45"/>
        <x:v>G3</x:v>
      </x:c>
      <x:c r="GG30" s="1457"/>
      <x:c r="GH30" s="1459"/>
      <x:c r="GI30" s="1457"/>
      <x:c r="GJ30" s="1459"/>
      <x:c r="GK30" s="326">
        <x:f t="shared" si="46"/>
        <x:v>719.5</x:v>
      </x:c>
      <x:c r="GL30" s="326">
        <x:f t="shared" si="47"/>
        <x:v>719.65612455429505</x:v>
      </x:c>
      <x:c r="GM30" s="327">
        <x:f>IF(ABS(GK30-GL30)&gt;='Job Info.'!$L$22,ABS(GK30-GL30),0)</x:f>
        <x:v>0</x:v>
      </x:c>
      <x:c r="GZ30" s="161"/>
      <x:c r="HA30" s="1612" t="s">
        <x:v>1266</x:v>
      </x:c>
      <x:c r="HB30" s="1613">
        <x:v>1</x:v>
      </x:c>
      <x:c r="HC30" s="1613" t="s">
        <x:v>1953</x:v>
      </x:c>
      <x:c r="HD30" s="1614">
        <x:v>59</x:v>
      </x:c>
      <x:c r="HE30" s="1615">
        <x:v>11.5</x:v>
      </x:c>
      <x:c r="HF30" s="1613">
        <x:v>11.125</x:v>
      </x:c>
      <x:c r="HG30" s="1613">
        <x:v>0</x:v>
      </x:c>
      <x:c r="HH30" s="1613">
        <x:v>1.75</x:v>
      </x:c>
      <x:c r="HI30" s="1613" t="s">
        <x:v>114</x:v>
      </x:c>
      <x:c r="HJ30" s="1613">
        <x:v>0</x:v>
      </x:c>
      <x:c r="HK30" s="1613">
        <x:v>1.75</x:v>
      </x:c>
      <x:c r="HL30" s="1613" t="s">
        <x:v>114</x:v>
      </x:c>
      <x:c r="HM30" s="1613">
        <x:v>7.5</x:v>
      </x:c>
      <x:c r="HN30" s="1613">
        <x:v>7.5</x:v>
      </x:c>
      <x:c r="HO30" s="1613">
        <x:v>0</x:v>
      </x:c>
      <x:c r="HP30" s="1613">
        <x:v>5.75</x:v>
      </x:c>
      <x:c r="HQ30" s="1613">
        <x:v>0</x:v>
      </x:c>
      <x:c r="HR30" s="1613">
        <x:v>7.875</x:v>
      </x:c>
      <x:c r="HS30" s="1613">
        <x:v>0</x:v>
      </x:c>
      <x:c r="HT30" s="1613">
        <x:v>6.25</x:v>
      </x:c>
      <x:c r="HU30" s="1613">
        <x:v>0</x:v>
      </x:c>
      <x:c r="HV30" s="1613">
        <x:v>6.25</x:v>
      </x:c>
      <x:c r="HW30" s="1613">
        <x:v>5</x:v>
      </x:c>
      <x:c r="HX30" s="1613" t="s">
        <x:v>117</x:v>
      </x:c>
      <x:c r="HY30" s="1619" t="s">
        <x:v>117</x:v>
      </x:c>
      <x:c r="HZ30" s="1619" t="s">
        <x:v>2024</x:v>
      </x:c>
      <x:c r="IA30" s="1619" t="s">
        <x:v>117</x:v>
      </x:c>
      <x:c r="IB30" s="1619"/>
      <x:c r="IC30" s="1619"/>
      <x:c r="ID30" s="1618"/>
      <x:c r="IE30" s="1612"/>
      <x:c r="IF30" s="1613"/>
      <x:c r="IG30" s="1614"/>
      <x:c r="IH30" s="1615"/>
      <x:c r="II30" s="1613"/>
      <x:c r="IJ30" s="1614"/>
      <x:c r="IK30" s="1615"/>
      <x:c r="IL30" s="1613"/>
      <x:c r="IM30" s="1613"/>
      <x:c r="IN30" s="1613"/>
      <x:c r="IO30" s="1613"/>
      <x:c r="IP30" s="1613"/>
      <x:c r="IQ30" s="1613"/>
      <x:c r="IR30" s="1613"/>
      <x:c r="IS30" s="1614"/>
      <x:c r="IT30" s="1615"/>
      <x:c r="IU30" s="1613"/>
      <x:c r="IV30" s="1613"/>
      <x:c r="IW30" s="1614"/>
      <x:c r="IX30" s="1615"/>
      <x:c r="IY30" s="1613"/>
      <x:c r="IZ30" s="1613"/>
      <x:c r="JA30" s="1614"/>
      <x:c r="JB30" s="1615"/>
      <x:c r="JC30" s="1613"/>
      <x:c r="JD30" s="1613"/>
      <x:c r="JE30" s="1614"/>
      <x:c r="JF30" s="1615"/>
      <x:c r="JG30" s="1613"/>
      <x:c r="JH30" s="1613"/>
      <x:c r="JI30" s="1613"/>
      <x:c r="JJ30" s="1619"/>
      <x:c r="JK30" s="1613"/>
      <x:c r="JL30" s="1521">
        <x:f t="shared" ca="1" si="31"/>
        <x:v>0</x:v>
      </x:c>
      <x:c r="JM30" s="1493"/>
    </x:row>
    <x:row r="31" spans="1:274" s="183" customFormat="1" ht="12.6" customHeight="1" x14ac:dyDescent="0.25">
      <x:c r="A31" s="1583" t="s">
        <x:v>1267</x:v>
      </x:c>
      <x:c r="B31" s="1584">
        <x:v>0</x:v>
      </x:c>
      <x:c r="C31" s="1585" t="s">
        <x:v>1953</x:v>
      </x:c>
      <x:c r="D31" s="1586">
        <x:v>60</x:v>
      </x:c>
      <x:c r="E31" s="1587">
        <x:v>0</x:v>
      </x:c>
      <x:c r="F31" s="1588">
        <x:v>11.125</x:v>
      </x:c>
      <x:c r="G31" s="1589">
        <x:v>0</x:v>
      </x:c>
      <x:c r="H31" s="1590">
        <x:v>1.75</x:v>
      </x:c>
      <x:c r="I31" s="1591" t="s">
        <x:v>114</x:v>
      </x:c>
      <x:c r="J31" s="1586">
        <x:v>0</x:v>
      </x:c>
      <x:c r="K31" s="1590">
        <x:v>1.75</x:v>
      </x:c>
      <x:c r="L31" s="1592" t="s">
        <x:v>114</x:v>
      </x:c>
      <x:c r="M31" s="1593">
        <x:v>7.5</x:v>
      </x:c>
      <x:c r="N31" s="1594">
        <x:v>7.5</x:v>
      </x:c>
      <x:c r="O31" s="1589">
        <x:v>0</x:v>
      </x:c>
      <x:c r="P31" s="1590">
        <x:v>8.875</x:v>
      </x:c>
      <x:c r="Q31" s="1586">
        <x:v>0</x:v>
      </x:c>
      <x:c r="R31" s="1587">
        <x:v>4.875</x:v>
      </x:c>
      <x:c r="S31" s="1595">
        <x:v>0</x:v>
      </x:c>
      <x:c r="T31" s="1590">
        <x:v>6.25</x:v>
      </x:c>
      <x:c r="U31" s="1586">
        <x:v>0</x:v>
      </x:c>
      <x:c r="V31" s="1590">
        <x:v>6.25</x:v>
      </x:c>
      <x:c r="W31" s="1594">
        <x:v>5</x:v>
      </x:c>
      <x:c r="X31" s="1596">
        <x:v>-0.46666666666666701</x:v>
      </x:c>
      <x:c r="Y31" s="1597">
        <x:v>0.46666666666666701</x:v>
      </x:c>
      <x:c r="Z31" s="2088" t="s">
        <x:v>2024</x:v>
      </x:c>
      <x:c r="AA31" s="1598" t="str">
        <x:f t="shared" si="36"/>
        <x:v/>
      </x:c>
      <x:c r="AB31" s="1264" t="str">
        <x:f t="shared" ref="AB31:AC45" si="70">IF(ISBLANK(DH31),"",DH31)</x:f>
        <x:v/>
      </x:c>
      <x:c r="AC31" s="1260" t="str">
        <x:f t="shared" si="70"/>
        <x:v/>
      </x:c>
      <x:c r="AD31" s="1261" t="str">
        <x:f t="shared" ca="1" si="62"/>
        <x:v/>
      </x:c>
      <x:c r="AE31" s="1262" t="str">
        <x:f t="shared" ca="1" si="63"/>
        <x:v/>
      </x:c>
      <x:c r="AF31" s="1260" t="str">
        <x:f t="shared" ca="1" si="64"/>
        <x:v/>
      </x:c>
      <x:c r="AG31" s="1261" t="str">
        <x:f t="shared" ca="1" si="65"/>
        <x:v/>
      </x:c>
      <x:c r="AH31" s="1262" t="str">
        <x:f t="shared" ca="1" si="66"/>
        <x:v/>
      </x:c>
      <x:c r="AI31" s="1261" t="str">
        <x:f t="shared" ca="1" si="67"/>
        <x:v/>
      </x:c>
      <x:c r="AJ31" s="1262" t="str">
        <x:f t="shared" ca="1" si="68"/>
        <x:v/>
      </x:c>
      <x:c r="AK31" s="1599" t="str">
        <x:f t="shared" ref="AK31:AO45" si="71">IF(ISBLANK(DO31),"",DO31)</x:f>
        <x:v/>
      </x:c>
      <x:c r="AL31" s="1600" t="str">
        <x:f t="shared" si="71"/>
        <x:v/>
      </x:c>
      <x:c r="AM31" s="1601" t="str">
        <x:f t="shared" si="71"/>
        <x:v/>
      </x:c>
      <x:c r="AN31" s="1260" t="str">
        <x:f t="shared" si="71"/>
        <x:v/>
      </x:c>
      <x:c r="AO31" s="1409" t="str">
        <x:f t="shared" si="71"/>
        <x:v/>
      </x:c>
      <x:c r="AP31" s="1327" t="str">
        <x:f t="shared" si="3"/>
        <x:v/>
      </x:c>
      <x:c r="AQ31" s="1602" t="str">
        <x:f t="shared" si="3"/>
        <x:v/>
      </x:c>
      <x:c r="AR31" s="1263" t="str">
        <x:f t="shared" si="4"/>
        <x:v/>
      </x:c>
      <x:c r="AS31" s="1262" t="str">
        <x:f t="shared" si="5"/>
        <x:v/>
      </x:c>
      <x:c r="AT31" s="1603" t="str">
        <x:f t="shared" ref="AT31:AU45" si="72">IF(ISBLANK(DX31),"",DX31)</x:f>
        <x:v/>
      </x:c>
      <x:c r="AU31" s="1410" t="str">
        <x:f t="shared" si="72"/>
        <x:v/>
      </x:c>
      <x:c r="AV31" s="1328" t="str">
        <x:f t="shared" si="6"/>
        <x:v/>
      </x:c>
      <x:c r="AW31" s="1262" t="str">
        <x:f t="shared" si="7"/>
        <x:v/>
      </x:c>
      <x:c r="AX31" s="1603" t="str">
        <x:f t="shared" ref="AX31:AY45" si="73">IF(ISBLANK(EB31),"",EB31)</x:f>
        <x:v/>
      </x:c>
      <x:c r="AY31" s="1410" t="str">
        <x:f t="shared" si="73"/>
        <x:v/>
      </x:c>
      <x:c r="AZ31" s="1328" t="str">
        <x:f t="shared" si="8"/>
        <x:v/>
      </x:c>
      <x:c r="BA31" s="1262" t="str">
        <x:f t="shared" si="9"/>
        <x:v/>
      </x:c>
      <x:c r="BB31" s="1603" t="str">
        <x:f t="shared" ref="BB31:BC45" si="74">IF(ISBLANK(EF31),"",EF31)</x:f>
        <x:v/>
      </x:c>
      <x:c r="BC31" s="1410" t="str">
        <x:f t="shared" si="74"/>
        <x:v/>
      </x:c>
      <x:c r="BD31" s="1328" t="str">
        <x:f t="shared" si="10"/>
        <x:v/>
      </x:c>
      <x:c r="BE31" s="1262" t="str">
        <x:f t="shared" si="11"/>
        <x:v/>
      </x:c>
      <x:c r="BF31" s="1603" t="str">
        <x:f t="shared" ref="BF31:BG45" si="75">IF(ISBLANK(EJ31),"",EJ31)</x:f>
        <x:v/>
      </x:c>
      <x:c r="BG31" s="1410" t="str">
        <x:f t="shared" si="75"/>
        <x:v/>
      </x:c>
      <x:c r="BH31" s="323"/>
      <x:c r="BJ31" s="1258" t="str">
        <x:f t="shared" si="69"/>
        <x:v>G4</x:v>
      </x:c>
      <x:c r="BK31" s="1256" t="b">
        <x:f t="shared" ref="BK31:BK45" si="76">IF($BK$1,IF(BJ31=BJ30,BK30,IF(AND(BJ31&lt;&gt;"",OR(B31=0,B31="")),TRUE,FALSE)),FALSE)</x:f>
        <x:v>0</x:v>
      </x:c>
      <x:c r="BL31" s="2002" t="b">
        <x:v>0</x:v>
      </x:c>
      <x:c r="BM31" s="1251">
        <x:f t="shared" si="50"/>
        <x:v>54</x:v>
      </x:c>
      <x:c r="BN31" s="1251" t="str">
        <x:f t="shared" si="51"/>
        <x:v>G</x:v>
      </x:c>
      <x:c r="BO31" s="1251">
        <x:f t="shared" si="52"/>
        <x:v>8</x:v>
      </x:c>
      <x:c r="BP31" s="1251">
        <x:f t="shared" si="53"/>
        <x:v>6.5</x:v>
      </x:c>
      <x:c r="BQ31" s="1251">
        <x:f t="shared" si="54"/>
        <x:v>2.1</x:v>
      </x:c>
      <x:c r="BR31" s="1251" t="b">
        <x:f t="shared" si="55"/>
        <x:v>1</x:v>
      </x:c>
      <x:c r="BS31" s="1252">
        <x:f t="shared" si="56"/>
        <x:v>7.75</x:v>
      </x:c>
      <x:c r="BT31" s="1252" t="str">
        <x:f t="shared" si="57"/>
        <x:v>Yes</x:v>
      </x:c>
      <x:c r="BU31" s="1252">
        <x:f t="shared" si="58"/>
        <x:v>7.75</x:v>
      </x:c>
      <x:c r="BV31" s="1252" t="str">
        <x:f t="shared" si="59"/>
        <x:v>Yes</x:v>
      </x:c>
      <x:c r="BW31" s="1253">
        <x:f t="shared" ca="1" si="21"/>
        <x:v>0</x:v>
      </x:c>
      <x:c r="BX31" s="1254" t="str">
        <x:f t="shared" ca="1" si="28"/>
        <x:v/>
      </x:c>
      <x:c r="BY31" s="1254" t="b">
        <x:f t="shared" ca="1" si="22"/>
        <x:v>0</x:v>
      </x:c>
      <x:c r="BZ31" s="1255" t="b">
        <x:f t="shared" si="29"/>
        <x:v>0</x:v>
      </x:c>
      <x:c r="CB31" s="842"/>
      <x:c r="CC31" s="894"/>
      <x:c r="CD31" s="883"/>
      <x:c r="CE31" s="884"/>
      <x:c r="CF31" s="885"/>
      <x:c r="CG31" s="901"/>
      <x:c r="CH31" s="902"/>
      <x:c r="CI31" s="903"/>
      <x:c r="CJ31" s="902"/>
      <x:c r="CK31" s="903"/>
      <x:c r="CL31" s="904"/>
      <x:c r="CM31" s="944"/>
      <x:c r="CN31" s="901"/>
      <x:c r="CO31" s="902"/>
      <x:c r="CP31" s="903"/>
      <x:c r="CQ31" s="902"/>
      <x:c r="CR31" s="903"/>
      <x:c r="CS31" s="904"/>
      <x:c r="CT31" s="944"/>
      <x:c r="CU31" s="906"/>
      <x:c r="CV31" s="886"/>
      <x:c r="CW31" s="887"/>
      <x:c r="CX31" s="915"/>
      <x:c r="CY31" s="916"/>
      <x:c r="CZ31" s="932"/>
      <x:c r="DA31" s="933"/>
      <x:c r="DB31" s="932"/>
      <x:c r="DC31" s="933"/>
      <x:c r="DD31" s="1149"/>
      <x:c r="DE31" s="1150"/>
      <x:c r="DF31" s="173"/>
      <x:c r="DG31" s="173"/>
      <x:c r="DH31" s="842"/>
      <x:c r="DI31" s="843"/>
      <x:c r="DJ31" s="872"/>
      <x:c r="DK31" s="873"/>
      <x:c r="DL31" s="844"/>
      <x:c r="DM31" s="874"/>
      <x:c r="DN31" s="875"/>
      <x:c r="DO31" s="845"/>
      <x:c r="DP31" s="846"/>
      <x:c r="DQ31" s="847"/>
      <x:c r="DR31" s="847"/>
      <x:c r="DS31" s="848"/>
      <x:c r="DT31" s="836"/>
      <x:c r="DU31" s="837"/>
      <x:c r="DV31" s="849"/>
      <x:c r="DW31" s="850"/>
      <x:c r="DX31" s="851"/>
      <x:c r="DY31" s="852"/>
      <x:c r="DZ31" s="849"/>
      <x:c r="EA31" s="850"/>
      <x:c r="EB31" s="851"/>
      <x:c r="EC31" s="852"/>
      <x:c r="ED31" s="849"/>
      <x:c r="EE31" s="850"/>
      <x:c r="EF31" s="851"/>
      <x:c r="EG31" s="852"/>
      <x:c r="EH31" s="849"/>
      <x:c r="EI31" s="850"/>
      <x:c r="EJ31" s="851"/>
      <x:c r="EK31" s="853"/>
      <x:c r="EL31" s="807" t="str">
        <x:f t="shared" si="37"/>
        <x:v/>
      </x:c>
      <x:c r="EM31" s="808" t="str">
        <x:f t="shared" si="38"/>
        <x:v/>
      </x:c>
      <x:c r="EN31" s="809" t="str">
        <x:f t="shared" si="39"/>
        <x:v/>
      </x:c>
      <x:c r="EO31" s="1044" t="str">
        <x:f t="shared" si="40"/>
        <x:v/>
      </x:c>
      <x:c r="EP31" s="1168" t="str">
        <x:f t="shared" ref="EP31:EP45" si="77">IF(ISBLANK(DB31),"",DB71+IF(DB31&gt;0,0,ABS(DB31)))</x:f>
        <x:v/>
      </x:c>
      <x:c r="EQ31" s="1169" t="str">
        <x:f t="shared" ref="EQ31:EQ45" si="78">IF(ISBLANK(DC31),"",DH71+IF(DC31&gt;0,0,ABS(DC31)))</x:f>
        <x:v/>
      </x:c>
      <x:c r="ER31" s="961" t="str">
        <x:f t="shared" si="41"/>
        <x:v/>
      </x:c>
      <x:c r="ES31" s="962" t="str">
        <x:f t="shared" si="42"/>
        <x:v/>
      </x:c>
      <x:c r="ET31" s="963" t="str">
        <x:f t="shared" si="43"/>
        <x:v/>
      </x:c>
      <x:c r="EU31" s="964" t="str">
        <x:f t="shared" si="44"/>
        <x:v/>
      </x:c>
      <x:c r="EX31" s="1194" t="str">
        <x:f t="shared" ca="1" si="23"/>
        <x:v/>
      </x:c>
      <x:c r="EY31" s="1196" t="str">
        <x:f t="shared" si="12"/>
        <x:v/>
      </x:c>
      <x:c r="EZ31" s="1196" t="str">
        <x:f t="shared" si="24"/>
        <x:v/>
      </x:c>
      <x:c r="FA31" s="1217" t="str">
        <x:f t="shared" ca="1" si="30"/>
        <x:v/>
      </x:c>
      <x:c r="FB31" s="1218" t="str">
        <x:f t="shared" ca="1" si="25"/>
        <x:v/>
      </x:c>
      <x:c r="FC31" s="1218">
        <x:f t="shared" ca="1" si="13"/>
        <x:v>0</x:v>
      </x:c>
      <x:c r="FD31" s="1218">
        <x:f t="shared" ca="1" si="14"/>
        <x:v>0</x:v>
      </x:c>
      <x:c r="FE31" s="1218">
        <x:f t="shared" ca="1" si="15"/>
        <x:v>0</x:v>
      </x:c>
      <x:c r="FF31" s="1218">
        <x:f t="shared" ca="1" si="26"/>
        <x:v>0</x:v>
      </x:c>
      <x:c r="FN31" s="1256" t="b">
        <x:v>0</x:v>
      </x:c>
      <x:c r="FO31" s="970" t="b">
        <x:f t="shared" si="60"/>
        <x:v>1</x:v>
      </x:c>
      <x:c r="FP31" s="969" t="b">
        <x:v>0</x:v>
      </x:c>
      <x:c r="FQ31" s="970" t="b">
        <x:f t="shared" si="27"/>
        <x:v>1</x:v>
      </x:c>
      <x:c r="FX31" s="236"/>
      <x:c r="FZ31" s="2"/>
      <x:c r="GA31" s="1935">
        <x:v>60</x:v>
      </x:c>
      <x:c r="GB31" s="1936">
        <x:v>0</x:v>
      </x:c>
      <x:c r="GC31" s="1937">
        <x:v>-0.25</x:v>
      </x:c>
      <x:c r="GD31" s="1938">
        <x:v>-0.25</x:v>
      </x:c>
      <x:c r="GE31" s="1939">
        <x:v>-0.46666666666666701</x:v>
      </x:c>
      <x:c r="GF31" s="1940" t="str">
        <x:f t="shared" si="45"/>
        <x:v>G4</x:v>
      </x:c>
      <x:c r="GG31" s="1457"/>
      <x:c r="GH31" s="1459"/>
      <x:c r="GI31" s="1457"/>
      <x:c r="GJ31" s="1459"/>
      <x:c r="GK31" s="326">
        <x:f t="shared" si="46"/>
        <x:v>720</x:v>
      </x:c>
      <x:c r="GL31" s="326">
        <x:f t="shared" si="47"/>
        <x:v>720.04386080932431</x:v>
      </x:c>
      <x:c r="GM31" s="327">
        <x:f>IF(ABS(GK31-GL31)&gt;='Job Info.'!$L$22,ABS(GK31-GL31),0)</x:f>
        <x:v>0</x:v>
      </x:c>
      <x:c r="GZ31" s="161"/>
      <x:c r="HA31" s="1612" t="s">
        <x:v>1267</x:v>
      </x:c>
      <x:c r="HB31" s="1613">
        <x:v>1</x:v>
      </x:c>
      <x:c r="HC31" s="1613" t="s">
        <x:v>1953</x:v>
      </x:c>
      <x:c r="HD31" s="1614">
        <x:v>60</x:v>
      </x:c>
      <x:c r="HE31" s="1615">
        <x:v>0</x:v>
      </x:c>
      <x:c r="HF31" s="1613">
        <x:v>11.125</x:v>
      </x:c>
      <x:c r="HG31" s="1613">
        <x:v>0</x:v>
      </x:c>
      <x:c r="HH31" s="1613">
        <x:v>1.75</x:v>
      </x:c>
      <x:c r="HI31" s="1613" t="s">
        <x:v>114</x:v>
      </x:c>
      <x:c r="HJ31" s="1613">
        <x:v>0</x:v>
      </x:c>
      <x:c r="HK31" s="1613">
        <x:v>1.75</x:v>
      </x:c>
      <x:c r="HL31" s="1613" t="s">
        <x:v>114</x:v>
      </x:c>
      <x:c r="HM31" s="1613">
        <x:v>7.5</x:v>
      </x:c>
      <x:c r="HN31" s="1613">
        <x:v>7.5</x:v>
      </x:c>
      <x:c r="HO31" s="1613">
        <x:v>0</x:v>
      </x:c>
      <x:c r="HP31" s="1613">
        <x:v>8.875</x:v>
      </x:c>
      <x:c r="HQ31" s="1613">
        <x:v>0</x:v>
      </x:c>
      <x:c r="HR31" s="1613">
        <x:v>4.875</x:v>
      </x:c>
      <x:c r="HS31" s="1613">
        <x:v>0</x:v>
      </x:c>
      <x:c r="HT31" s="1613">
        <x:v>6.25</x:v>
      </x:c>
      <x:c r="HU31" s="1613">
        <x:v>0</x:v>
      </x:c>
      <x:c r="HV31" s="1613">
        <x:v>6.25</x:v>
      </x:c>
      <x:c r="HW31" s="1613">
        <x:v>5</x:v>
      </x:c>
      <x:c r="HX31" s="1613">
        <x:v>-0.46666666666666701</x:v>
      </x:c>
      <x:c r="HY31" s="1619">
        <x:v>0.46666666666666701</x:v>
      </x:c>
      <x:c r="HZ31" s="1619" t="s">
        <x:v>2024</x:v>
      </x:c>
      <x:c r="IA31" s="1619" t="s">
        <x:v>117</x:v>
      </x:c>
      <x:c r="IB31" s="1619"/>
      <x:c r="IC31" s="1619"/>
      <x:c r="ID31" s="1618"/>
      <x:c r="IE31" s="1612"/>
      <x:c r="IF31" s="1613"/>
      <x:c r="IG31" s="1614"/>
      <x:c r="IH31" s="1615"/>
      <x:c r="II31" s="1613"/>
      <x:c r="IJ31" s="1614"/>
      <x:c r="IK31" s="1615"/>
      <x:c r="IL31" s="1613"/>
      <x:c r="IM31" s="1613"/>
      <x:c r="IN31" s="1613"/>
      <x:c r="IO31" s="1613"/>
      <x:c r="IP31" s="1613"/>
      <x:c r="IQ31" s="1613"/>
      <x:c r="IR31" s="1613"/>
      <x:c r="IS31" s="1614"/>
      <x:c r="IT31" s="1615"/>
      <x:c r="IU31" s="1613"/>
      <x:c r="IV31" s="1613"/>
      <x:c r="IW31" s="1614"/>
      <x:c r="IX31" s="1615"/>
      <x:c r="IY31" s="1613"/>
      <x:c r="IZ31" s="1613"/>
      <x:c r="JA31" s="1614"/>
      <x:c r="JB31" s="1615"/>
      <x:c r="JC31" s="1613"/>
      <x:c r="JD31" s="1613"/>
      <x:c r="JE31" s="1614"/>
      <x:c r="JF31" s="1615"/>
      <x:c r="JG31" s="1613"/>
      <x:c r="JH31" s="1613"/>
      <x:c r="JI31" s="1613"/>
      <x:c r="JJ31" s="1619"/>
      <x:c r="JK31" s="1613"/>
      <x:c r="JL31" s="1521">
        <x:f t="shared" ca="1" si="31"/>
        <x:v>0</x:v>
      </x:c>
      <x:c r="JM31" s="1493"/>
    </x:row>
    <x:row r="32" spans="1:274" ht="12.6" customHeight="1" x14ac:dyDescent="0.25">
      <x:c r="A32" s="1583" t="s">
        <x:v>1268</x:v>
      </x:c>
      <x:c r="B32" s="1584">
        <x:v>0</x:v>
      </x:c>
      <x:c r="C32" s="1585" t="s">
        <x:v>1953</x:v>
      </x:c>
      <x:c r="D32" s="1586">
        <x:v>59</x:v>
      </x:c>
      <x:c r="E32" s="1587">
        <x:v>2.375</x:v>
      </x:c>
      <x:c r="F32" s="1588">
        <x:v>11.125</x:v>
      </x:c>
      <x:c r="G32" s="1589" t="str">
        <x:f t="shared" si="33"/>
        <x:v/>
      </x:c>
      <x:c r="H32" s="1590" t="str">
        <x:f t="shared" si="34"/>
        <x:v/>
      </x:c>
      <x:c r="I32" s="1591" t="str">
        <x:f t="shared" si="35"/>
        <x:v/>
      </x:c>
      <x:c r="J32" s="1586">
        <x:v>0</x:v>
      </x:c>
      <x:c r="K32" s="1590">
        <x:v>1.75</x:v>
      </x:c>
      <x:c r="L32" s="1592" t="s">
        <x:v>114</x:v>
      </x:c>
      <x:c r="M32" s="1593">
        <x:v>7.5</x:v>
      </x:c>
      <x:c r="N32" s="1594">
        <x:v>7.5</x:v>
      </x:c>
      <x:c r="O32" s="1589">
        <x:v>0</x:v>
      </x:c>
      <x:c r="P32" s="1590">
        <x:v>0</x:v>
      </x:c>
      <x:c r="Q32" s="1586">
        <x:v>0</x:v>
      </x:c>
      <x:c r="R32" s="1587">
        <x:v>8.375</x:v>
      </x:c>
      <x:c r="S32" s="1595">
        <x:v>0</x:v>
      </x:c>
      <x:c r="T32" s="1590">
        <x:v>4</x:v>
      </x:c>
      <x:c r="U32" s="1586">
        <x:v>0</x:v>
      </x:c>
      <x:c r="V32" s="1590">
        <x:v>6.25</x:v>
      </x:c>
      <x:c r="W32" s="1594">
        <x:v>5</x:v>
      </x:c>
      <x:c r="X32" s="1596" t="str">
        <x:f t="shared" si="48"/>
        <x:v/>
      </x:c>
      <x:c r="Y32" s="1597" t="str">
        <x:f t="shared" si="49"/>
        <x:v/>
      </x:c>
      <x:c r="Z32" s="2088" t="s">
        <x:v>2025</x:v>
      </x:c>
      <x:c r="AA32" s="1598" t="str">
        <x:f t="shared" si="36"/>
        <x:v/>
      </x:c>
      <x:c r="AB32" s="1264" t="str">
        <x:f t="shared" si="70"/>
        <x:v/>
      </x:c>
      <x:c r="AC32" s="1260" t="str">
        <x:f t="shared" si="70"/>
        <x:v/>
      </x:c>
      <x:c r="AD32" s="1261" t="str">
        <x:f t="shared" ca="1" si="62"/>
        <x:v/>
      </x:c>
      <x:c r="AE32" s="1262" t="str">
        <x:f t="shared" ca="1" si="63"/>
        <x:v/>
      </x:c>
      <x:c r="AF32" s="1260" t="str">
        <x:f t="shared" ca="1" si="64"/>
        <x:v/>
      </x:c>
      <x:c r="AG32" s="1261" t="str">
        <x:f t="shared" ca="1" si="65"/>
        <x:v/>
      </x:c>
      <x:c r="AH32" s="1262" t="str">
        <x:f t="shared" ca="1" si="66"/>
        <x:v/>
      </x:c>
      <x:c r="AI32" s="1261" t="str">
        <x:f t="shared" ca="1" si="67"/>
        <x:v/>
      </x:c>
      <x:c r="AJ32" s="1262" t="str">
        <x:f t="shared" ca="1" si="68"/>
        <x:v/>
      </x:c>
      <x:c r="AK32" s="1599" t="str">
        <x:f t="shared" si="71"/>
        <x:v/>
      </x:c>
      <x:c r="AL32" s="1600" t="str">
        <x:f t="shared" si="71"/>
        <x:v/>
      </x:c>
      <x:c r="AM32" s="1601" t="str">
        <x:f t="shared" si="71"/>
        <x:v/>
      </x:c>
      <x:c r="AN32" s="1260" t="str">
        <x:f t="shared" si="71"/>
        <x:v/>
      </x:c>
      <x:c r="AO32" s="1409" t="str">
        <x:f t="shared" si="71"/>
        <x:v/>
      </x:c>
      <x:c r="AP32" s="1327" t="str">
        <x:f t="shared" si="3"/>
        <x:v/>
      </x:c>
      <x:c r="AQ32" s="1602" t="str">
        <x:f t="shared" si="3"/>
        <x:v/>
      </x:c>
      <x:c r="AR32" s="1263" t="str">
        <x:f t="shared" si="4"/>
        <x:v/>
      </x:c>
      <x:c r="AS32" s="1262" t="str">
        <x:f t="shared" si="5"/>
        <x:v/>
      </x:c>
      <x:c r="AT32" s="1603" t="str">
        <x:f t="shared" si="72"/>
        <x:v/>
      </x:c>
      <x:c r="AU32" s="1410" t="str">
        <x:f t="shared" si="72"/>
        <x:v/>
      </x:c>
      <x:c r="AV32" s="1328" t="str">
        <x:f t="shared" si="6"/>
        <x:v/>
      </x:c>
      <x:c r="AW32" s="1262" t="str">
        <x:f t="shared" si="7"/>
        <x:v/>
      </x:c>
      <x:c r="AX32" s="1603" t="str">
        <x:f t="shared" si="73"/>
        <x:v/>
      </x:c>
      <x:c r="AY32" s="1410" t="str">
        <x:f t="shared" si="73"/>
        <x:v/>
      </x:c>
      <x:c r="AZ32" s="1328" t="str">
        <x:f t="shared" si="8"/>
        <x:v/>
      </x:c>
      <x:c r="BA32" s="1262" t="str">
        <x:f t="shared" si="9"/>
        <x:v/>
      </x:c>
      <x:c r="BB32" s="1603" t="str">
        <x:f t="shared" si="74"/>
        <x:v/>
      </x:c>
      <x:c r="BC32" s="1410" t="str">
        <x:f t="shared" si="74"/>
        <x:v/>
      </x:c>
      <x:c r="BD32" s="1328" t="str">
        <x:f t="shared" si="10"/>
        <x:v/>
      </x:c>
      <x:c r="BE32" s="1262" t="str">
        <x:f t="shared" si="11"/>
        <x:v/>
      </x:c>
      <x:c r="BF32" s="1603" t="str">
        <x:f t="shared" si="75"/>
        <x:v/>
      </x:c>
      <x:c r="BG32" s="1410" t="str">
        <x:f t="shared" si="75"/>
        <x:v/>
      </x:c>
      <x:c r="BH32" s="322"/>
      <x:c r="BJ32" s="1258" t="str">
        <x:f t="shared" si="69"/>
        <x:v>G5</x:v>
      </x:c>
      <x:c r="BK32" s="1256" t="b">
        <x:f t="shared" si="76"/>
        <x:v>0</x:v>
      </x:c>
      <x:c r="BL32" s="2002" t="b">
        <x:v>0</x:v>
      </x:c>
      <x:c r="BM32" s="1251">
        <x:f t="shared" si="50"/>
        <x:v>54</x:v>
      </x:c>
      <x:c r="BN32" s="1251" t="str">
        <x:f t="shared" si="51"/>
        <x:v>G</x:v>
      </x:c>
      <x:c r="BO32" s="1251">
        <x:f t="shared" si="52"/>
        <x:v>8</x:v>
      </x:c>
      <x:c r="BP32" s="1251">
        <x:f t="shared" si="53"/>
        <x:v>6.5</x:v>
      </x:c>
      <x:c r="BQ32" s="1251">
        <x:f t="shared" si="54"/>
        <x:v>2.1</x:v>
      </x:c>
      <x:c r="BR32" s="1251" t="b">
        <x:f t="shared" si="55"/>
        <x:v>1</x:v>
      </x:c>
      <x:c r="BS32" s="1252">
        <x:f t="shared" si="56"/>
        <x:v>6</x:v>
      </x:c>
      <x:c r="BT32" s="1252" t="str">
        <x:f t="shared" si="57"/>
        <x:v>Yes</x:v>
      </x:c>
      <x:c r="BU32" s="1252">
        <x:f t="shared" si="58"/>
        <x:v>7.75</x:v>
      </x:c>
      <x:c r="BV32" s="1252" t="str">
        <x:f t="shared" si="59"/>
        <x:v>Yes</x:v>
      </x:c>
      <x:c r="BW32" s="1253">
        <x:f t="shared" ca="1" si="21"/>
        <x:v>0</x:v>
      </x:c>
      <x:c r="BX32" s="1254" t="str">
        <x:f t="shared" ca="1" si="28"/>
        <x:v/>
      </x:c>
      <x:c r="BY32" s="1254" t="b">
        <x:f t="shared" ca="1" si="22"/>
        <x:v>0</x:v>
      </x:c>
      <x:c r="BZ32" s="1255" t="b">
        <x:f t="shared" si="29"/>
        <x:v>0</x:v>
      </x:c>
      <x:c r="CB32" s="842"/>
      <x:c r="CC32" s="894"/>
      <x:c r="CD32" s="883"/>
      <x:c r="CE32" s="884"/>
      <x:c r="CF32" s="885"/>
      <x:c r="CG32" s="901"/>
      <x:c r="CH32" s="902"/>
      <x:c r="CI32" s="903"/>
      <x:c r="CJ32" s="902"/>
      <x:c r="CK32" s="903"/>
      <x:c r="CL32" s="904"/>
      <x:c r="CM32" s="905"/>
      <x:c r="CN32" s="901"/>
      <x:c r="CO32" s="902"/>
      <x:c r="CP32" s="903"/>
      <x:c r="CQ32" s="902"/>
      <x:c r="CR32" s="903"/>
      <x:c r="CS32" s="904"/>
      <x:c r="CT32" s="905"/>
      <x:c r="CU32" s="906"/>
      <x:c r="CV32" s="886"/>
      <x:c r="CW32" s="887"/>
      <x:c r="CX32" s="915"/>
      <x:c r="CY32" s="916"/>
      <x:c r="CZ32" s="932"/>
      <x:c r="DA32" s="933"/>
      <x:c r="DB32" s="932"/>
      <x:c r="DC32" s="933"/>
      <x:c r="DD32" s="1149"/>
      <x:c r="DE32" s="1150"/>
      <x:c r="DF32" s="173"/>
      <x:c r="DG32" s="173"/>
      <x:c r="DH32" s="949"/>
      <x:c r="DI32" s="843"/>
      <x:c r="DJ32" s="872"/>
      <x:c r="DK32" s="873"/>
      <x:c r="DL32" s="844"/>
      <x:c r="DM32" s="874"/>
      <x:c r="DN32" s="875"/>
      <x:c r="DO32" s="845"/>
      <x:c r="DP32" s="846"/>
      <x:c r="DQ32" s="847"/>
      <x:c r="DR32" s="847"/>
      <x:c r="DS32" s="848"/>
      <x:c r="DT32" s="836"/>
      <x:c r="DU32" s="837"/>
      <x:c r="DV32" s="849"/>
      <x:c r="DW32" s="850"/>
      <x:c r="DX32" s="851"/>
      <x:c r="DY32" s="852"/>
      <x:c r="DZ32" s="849"/>
      <x:c r="EA32" s="850"/>
      <x:c r="EB32" s="851"/>
      <x:c r="EC32" s="852"/>
      <x:c r="ED32" s="849"/>
      <x:c r="EE32" s="850"/>
      <x:c r="EF32" s="851"/>
      <x:c r="EG32" s="852"/>
      <x:c r="EH32" s="849"/>
      <x:c r="EI32" s="850"/>
      <x:c r="EJ32" s="851"/>
      <x:c r="EK32" s="853"/>
      <x:c r="EL32" s="807" t="str">
        <x:f t="shared" si="37"/>
        <x:v/>
      </x:c>
      <x:c r="EM32" s="808" t="str">
        <x:f t="shared" si="38"/>
        <x:v/>
      </x:c>
      <x:c r="EN32" s="809" t="str">
        <x:f t="shared" si="39"/>
        <x:v/>
      </x:c>
      <x:c r="EO32" s="1044" t="str">
        <x:f t="shared" si="40"/>
        <x:v/>
      </x:c>
      <x:c r="EP32" s="1166" t="str">
        <x:f t="shared" si="77"/>
        <x:v/>
      </x:c>
      <x:c r="EQ32" s="1167" t="str">
        <x:f t="shared" si="78"/>
        <x:v/>
      </x:c>
      <x:c r="ER32" s="961" t="str">
        <x:f t="shared" si="41"/>
        <x:v/>
      </x:c>
      <x:c r="ES32" s="962" t="str">
        <x:f t="shared" si="42"/>
        <x:v/>
      </x:c>
      <x:c r="ET32" s="963" t="str">
        <x:f t="shared" si="43"/>
        <x:v/>
      </x:c>
      <x:c r="EU32" s="964" t="str">
        <x:f t="shared" si="44"/>
        <x:v/>
      </x:c>
      <x:c r="EX32" s="1194" t="str">
        <x:f t="shared" ca="1" si="23"/>
        <x:v/>
      </x:c>
      <x:c r="EY32" s="1196" t="str">
        <x:f t="shared" si="12"/>
        <x:v/>
      </x:c>
      <x:c r="EZ32" s="1196" t="str">
        <x:f t="shared" si="24"/>
        <x:v/>
      </x:c>
      <x:c r="FA32" s="1217" t="str">
        <x:f t="shared" ca="1" si="30"/>
        <x:v/>
      </x:c>
      <x:c r="FB32" s="1218" t="str">
        <x:f t="shared" ca="1" si="25"/>
        <x:v/>
      </x:c>
      <x:c r="FC32" s="1218">
        <x:f t="shared" ca="1" si="13"/>
        <x:v>0</x:v>
      </x:c>
      <x:c r="FD32" s="1218">
        <x:f t="shared" ca="1" si="14"/>
        <x:v>0</x:v>
      </x:c>
      <x:c r="FE32" s="1218">
        <x:f t="shared" ca="1" si="15"/>
        <x:v>0</x:v>
      </x:c>
      <x:c r="FF32" s="1218">
        <x:f t="shared" ca="1" si="26"/>
        <x:v>0</x:v>
      </x:c>
      <x:c r="FN32" s="1256" t="b">
        <x:v>0</x:v>
      </x:c>
      <x:c r="FO32" s="969" t="b">
        <x:f t="shared" si="60"/>
        <x:v>1</x:v>
      </x:c>
      <x:c r="FP32" s="969" t="b">
        <x:v>0</x:v>
      </x:c>
      <x:c r="FQ32" s="969" t="b">
        <x:f t="shared" si="27"/>
        <x:v>1</x:v>
      </x:c>
      <x:c r="FX32" s="236"/>
      <x:c r="FZ32" s="2"/>
      <x:c r="GA32" s="1935">
        <x:v>59</x:v>
      </x:c>
      <x:c r="GB32" s="1936">
        <x:v>2.75</x:v>
      </x:c>
      <x:c r="GC32" s="1937">
        <x:v>-1</x:v>
      </x:c>
      <x:c r="GD32" s="1938">
        <x:v>-0.25</x:v>
      </x:c>
      <x:c r="GE32" s="1939">
        <x:v>0.37143862117481502</x:v>
      </x:c>
      <x:c r="GF32" s="1940" t="str">
        <x:f t="shared" si="45"/>
        <x:v>G5</x:v>
      </x:c>
      <x:c r="GG32" s="1457"/>
      <x:c r="GH32" s="1459"/>
      <x:c r="GI32" s="1457"/>
      <x:c r="GJ32" s="1459"/>
      <x:c r="GK32" s="326">
        <x:f t="shared" si="46"/>
        <x:v>710.375</x:v>
      </x:c>
      <x:c r="GL32" s="326">
        <x:f t="shared" si="47"/>
        <x:v>709.83980521665603</x:v>
      </x:c>
      <x:c r="GM32" s="327">
        <x:f>IF(ABS(GK32-GL32)&gt;='Job Info.'!$L$22,ABS(GK32-GL32),0)</x:f>
        <x:v>0.53519478334396808</x:v>
      </x:c>
      <x:c r="HA32" s="1612" t="s">
        <x:v>1268</x:v>
      </x:c>
      <x:c r="HB32" s="1613">
        <x:v>2</x:v>
      </x:c>
      <x:c r="HC32" s="1613" t="s">
        <x:v>1953</x:v>
      </x:c>
      <x:c r="HD32" s="1614">
        <x:v>59</x:v>
      </x:c>
      <x:c r="HE32" s="1615">
        <x:v>2.375</x:v>
      </x:c>
      <x:c r="HF32" s="1613">
        <x:v>11.125</x:v>
      </x:c>
      <x:c r="HG32" s="1613" t="s">
        <x:v>117</x:v>
      </x:c>
      <x:c r="HH32" s="1613" t="s">
        <x:v>117</x:v>
      </x:c>
      <x:c r="HI32" s="1613" t="s">
        <x:v>117</x:v>
      </x:c>
      <x:c r="HJ32" s="1613">
        <x:v>0</x:v>
      </x:c>
      <x:c r="HK32" s="1613">
        <x:v>1.75</x:v>
      </x:c>
      <x:c r="HL32" s="1613" t="s">
        <x:v>114</x:v>
      </x:c>
      <x:c r="HM32" s="1613">
        <x:v>7.5</x:v>
      </x:c>
      <x:c r="HN32" s="1613">
        <x:v>7.5</x:v>
      </x:c>
      <x:c r="HO32" s="1613">
        <x:v>0</x:v>
      </x:c>
      <x:c r="HP32" s="1613">
        <x:v>0</x:v>
      </x:c>
      <x:c r="HQ32" s="1613">
        <x:v>0</x:v>
      </x:c>
      <x:c r="HR32" s="1613">
        <x:v>8.375</x:v>
      </x:c>
      <x:c r="HS32" s="1613">
        <x:v>0</x:v>
      </x:c>
      <x:c r="HT32" s="1613">
        <x:v>4</x:v>
      </x:c>
      <x:c r="HU32" s="1613">
        <x:v>0</x:v>
      </x:c>
      <x:c r="HV32" s="1613">
        <x:v>6.25</x:v>
      </x:c>
      <x:c r="HW32" s="1613">
        <x:v>5</x:v>
      </x:c>
      <x:c r="HX32" s="1613" t="s">
        <x:v>117</x:v>
      </x:c>
      <x:c r="HY32" s="1617" t="s">
        <x:v>117</x:v>
      </x:c>
      <x:c r="HZ32" s="1617" t="s">
        <x:v>2025</x:v>
      </x:c>
      <x:c r="IA32" s="1617" t="s">
        <x:v>117</x:v>
      </x:c>
      <x:c r="IB32" s="1617"/>
      <x:c r="IC32" s="1617"/>
      <x:c r="ID32" s="1618"/>
      <x:c r="IE32" s="1612"/>
      <x:c r="IF32" s="1613"/>
      <x:c r="IG32" s="1614"/>
      <x:c r="IH32" s="1615"/>
      <x:c r="II32" s="1613"/>
      <x:c r="IJ32" s="1614"/>
      <x:c r="IK32" s="1615"/>
      <x:c r="IL32" s="1613"/>
      <x:c r="IM32" s="1613"/>
      <x:c r="IN32" s="1613"/>
      <x:c r="IO32" s="1613"/>
      <x:c r="IP32" s="1613"/>
      <x:c r="IQ32" s="1613"/>
      <x:c r="IR32" s="1613"/>
      <x:c r="IS32" s="1614"/>
      <x:c r="IT32" s="1615"/>
      <x:c r="IU32" s="1613"/>
      <x:c r="IV32" s="1613"/>
      <x:c r="IW32" s="1614"/>
      <x:c r="IX32" s="1615"/>
      <x:c r="IY32" s="1613"/>
      <x:c r="IZ32" s="1613"/>
      <x:c r="JA32" s="1614"/>
      <x:c r="JB32" s="1615"/>
      <x:c r="JC32" s="1613"/>
      <x:c r="JD32" s="1613"/>
      <x:c r="JE32" s="1614"/>
      <x:c r="JF32" s="1615"/>
      <x:c r="JG32" s="1613"/>
      <x:c r="JH32" s="1613"/>
      <x:c r="JI32" s="1613"/>
      <x:c r="JJ32" s="1616"/>
      <x:c r="JK32" s="1613"/>
      <x:c r="JL32" s="1521">
        <x:f t="shared" ca="1" si="31"/>
        <x:v>0</x:v>
      </x:c>
      <x:c r="JM32" s="171"/>
    </x:row>
    <x:row r="33" spans="1:273" ht="12.6" customHeight="1" x14ac:dyDescent="0.25">
      <x:c r="A33" s="1583" t="s">
        <x:v>1269</x:v>
      </x:c>
      <x:c r="B33" s="1584">
        <x:v>0</x:v>
      </x:c>
      <x:c r="C33" s="1585" t="s">
        <x:v>1954</x:v>
      </x:c>
      <x:c r="D33" s="1586">
        <x:v>51</x:v>
      </x:c>
      <x:c r="E33" s="1587">
        <x:v>5.75</x:v>
      </x:c>
      <x:c r="F33" s="1588">
        <x:v>11.125</x:v>
      </x:c>
      <x:c r="G33" s="1589" t="str">
        <x:f t="shared" si="33"/>
        <x:v/>
      </x:c>
      <x:c r="H33" s="1590" t="str">
        <x:f t="shared" si="34"/>
        <x:v/>
      </x:c>
      <x:c r="I33" s="1591" t="str">
        <x:f t="shared" si="35"/>
        <x:v/>
      </x:c>
      <x:c r="J33" s="1586">
        <x:v>0</x:v>
      </x:c>
      <x:c r="K33" s="1590">
        <x:v>1.75</x:v>
      </x:c>
      <x:c r="L33" s="1592" t="s">
        <x:v>114</x:v>
      </x:c>
      <x:c r="M33" s="1593">
        <x:v>7.5</x:v>
      </x:c>
      <x:c r="N33" s="1594">
        <x:v>7.5</x:v>
      </x:c>
      <x:c r="O33" s="1589">
        <x:v>0</x:v>
      </x:c>
      <x:c r="P33" s="1590">
        <x:v>1</x:v>
      </x:c>
      <x:c r="Q33" s="1586">
        <x:v>0</x:v>
      </x:c>
      <x:c r="R33" s="1587">
        <x:v>6.75</x:v>
      </x:c>
      <x:c r="S33" s="1595">
        <x:v>0</x:v>
      </x:c>
      <x:c r="T33" s="1590">
        <x:v>2</x:v>
      </x:c>
      <x:c r="U33" s="1586">
        <x:v>0</x:v>
      </x:c>
      <x:c r="V33" s="1590">
        <x:v>6.25</x:v>
      </x:c>
      <x:c r="W33" s="1594">
        <x:v>5</x:v>
      </x:c>
      <x:c r="X33" s="1596" t="str">
        <x:f t="shared" si="48"/>
        <x:v/>
      </x:c>
      <x:c r="Y33" s="1597" t="str">
        <x:f t="shared" si="49"/>
        <x:v/>
      </x:c>
      <x:c r="Z33" s="2088" t="s">
        <x:v>2026</x:v>
      </x:c>
      <x:c r="AA33" s="1598" t="str">
        <x:f t="shared" si="36"/>
        <x:v/>
      </x:c>
      <x:c r="AB33" s="1264" t="str">
        <x:f t="shared" si="70"/>
        <x:v/>
      </x:c>
      <x:c r="AC33" s="1260" t="str">
        <x:f t="shared" si="70"/>
        <x:v/>
      </x:c>
      <x:c r="AD33" s="1261" t="str">
        <x:f t="shared" ca="1" si="62"/>
        <x:v/>
      </x:c>
      <x:c r="AE33" s="1262" t="str">
        <x:f t="shared" ca="1" si="63"/>
        <x:v/>
      </x:c>
      <x:c r="AF33" s="1260" t="str">
        <x:f t="shared" ca="1" si="64"/>
        <x:v/>
      </x:c>
      <x:c r="AG33" s="1261" t="str">
        <x:f t="shared" ca="1" si="65"/>
        <x:v/>
      </x:c>
      <x:c r="AH33" s="1262" t="str">
        <x:f t="shared" ca="1" si="66"/>
        <x:v/>
      </x:c>
      <x:c r="AI33" s="1261" t="str">
        <x:f t="shared" ca="1" si="67"/>
        <x:v/>
      </x:c>
      <x:c r="AJ33" s="1262" t="str">
        <x:f t="shared" ca="1" si="68"/>
        <x:v/>
      </x:c>
      <x:c r="AK33" s="1599" t="str">
        <x:f t="shared" si="71"/>
        <x:v/>
      </x:c>
      <x:c r="AL33" s="1600" t="str">
        <x:f t="shared" si="71"/>
        <x:v/>
      </x:c>
      <x:c r="AM33" s="1601" t="str">
        <x:f t="shared" si="71"/>
        <x:v/>
      </x:c>
      <x:c r="AN33" s="1260" t="str">
        <x:f t="shared" si="71"/>
        <x:v/>
      </x:c>
      <x:c r="AO33" s="1409" t="str">
        <x:f t="shared" si="71"/>
        <x:v/>
      </x:c>
      <x:c r="AP33" s="1327" t="str">
        <x:f t="shared" si="3"/>
        <x:v/>
      </x:c>
      <x:c r="AQ33" s="1602" t="str">
        <x:f t="shared" si="3"/>
        <x:v/>
      </x:c>
      <x:c r="AR33" s="1263" t="str">
        <x:f t="shared" si="4"/>
        <x:v/>
      </x:c>
      <x:c r="AS33" s="1262" t="str">
        <x:f t="shared" si="5"/>
        <x:v/>
      </x:c>
      <x:c r="AT33" s="1603" t="str">
        <x:f t="shared" si="72"/>
        <x:v/>
      </x:c>
      <x:c r="AU33" s="1410" t="str">
        <x:f t="shared" si="72"/>
        <x:v/>
      </x:c>
      <x:c r="AV33" s="1328" t="str">
        <x:f t="shared" si="6"/>
        <x:v/>
      </x:c>
      <x:c r="AW33" s="1262" t="str">
        <x:f t="shared" si="7"/>
        <x:v/>
      </x:c>
      <x:c r="AX33" s="1603" t="str">
        <x:f t="shared" si="73"/>
        <x:v/>
      </x:c>
      <x:c r="AY33" s="1410" t="str">
        <x:f t="shared" si="73"/>
        <x:v/>
      </x:c>
      <x:c r="AZ33" s="1328" t="str">
        <x:f t="shared" si="8"/>
        <x:v/>
      </x:c>
      <x:c r="BA33" s="1262" t="str">
        <x:f t="shared" si="9"/>
        <x:v/>
      </x:c>
      <x:c r="BB33" s="1603" t="str">
        <x:f t="shared" si="74"/>
        <x:v/>
      </x:c>
      <x:c r="BC33" s="1410" t="str">
        <x:f t="shared" si="74"/>
        <x:v/>
      </x:c>
      <x:c r="BD33" s="1328" t="str">
        <x:f t="shared" si="10"/>
        <x:v/>
      </x:c>
      <x:c r="BE33" s="1262" t="str">
        <x:f t="shared" si="11"/>
        <x:v/>
      </x:c>
      <x:c r="BF33" s="1603" t="str">
        <x:f t="shared" si="75"/>
        <x:v/>
      </x:c>
      <x:c r="BG33" s="1410" t="str">
        <x:f t="shared" si="75"/>
        <x:v/>
      </x:c>
      <x:c r="BH33" s="322"/>
      <x:c r="BJ33" s="1258" t="str">
        <x:f t="shared" si="69"/>
        <x:v>G6</x:v>
      </x:c>
      <x:c r="BK33" s="1256" t="b">
        <x:f t="shared" si="76"/>
        <x:v>0</x:v>
      </x:c>
      <x:c r="BL33" s="2002" t="b">
        <x:v>0</x:v>
      </x:c>
      <x:c r="BM33" s="1251">
        <x:f t="shared" si="50"/>
        <x:v>54</x:v>
      </x:c>
      <x:c r="BN33" s="1251" t="str">
        <x:f t="shared" si="51"/>
        <x:v>G</x:v>
      </x:c>
      <x:c r="BO33" s="1251">
        <x:f t="shared" si="52"/>
        <x:v>7</x:v>
      </x:c>
      <x:c r="BP33" s="1251">
        <x:f t="shared" si="53"/>
        <x:v>13.4</x:v>
      </x:c>
      <x:c r="BQ33" s="1251">
        <x:f t="shared" si="54"/>
        <x:v>3.9</x:v>
      </x:c>
      <x:c r="BR33" s="1251" t="b">
        <x:f t="shared" si="55"/>
        <x:v>1</x:v>
      </x:c>
      <x:c r="BS33" s="1252">
        <x:f t="shared" si="56"/>
        <x:v>6</x:v>
      </x:c>
      <x:c r="BT33" s="1252" t="str">
        <x:f t="shared" si="57"/>
        <x:v>Yes</x:v>
      </x:c>
      <x:c r="BU33" s="1252">
        <x:f t="shared" si="58"/>
        <x:v>7.75</x:v>
      </x:c>
      <x:c r="BV33" s="1252" t="str">
        <x:f t="shared" si="59"/>
        <x:v>Yes</x:v>
      </x:c>
      <x:c r="BW33" s="1253">
        <x:f t="shared" ca="1" si="21"/>
        <x:v>0</x:v>
      </x:c>
      <x:c r="BX33" s="1254" t="str">
        <x:f t="shared" ca="1" si="28"/>
        <x:v/>
      </x:c>
      <x:c r="BY33" s="1254" t="b">
        <x:f t="shared" ca="1" si="22"/>
        <x:v>0</x:v>
      </x:c>
      <x:c r="BZ33" s="1255" t="b">
        <x:f t="shared" si="29"/>
        <x:v>0</x:v>
      </x:c>
      <x:c r="CB33" s="842"/>
      <x:c r="CC33" s="894"/>
      <x:c r="CD33" s="883"/>
      <x:c r="CE33" s="884"/>
      <x:c r="CF33" s="885"/>
      <x:c r="CG33" s="901"/>
      <x:c r="CH33" s="902"/>
      <x:c r="CI33" s="903"/>
      <x:c r="CJ33" s="902"/>
      <x:c r="CK33" s="903"/>
      <x:c r="CL33" s="904"/>
      <x:c r="CM33" s="944"/>
      <x:c r="CN33" s="901"/>
      <x:c r="CO33" s="902"/>
      <x:c r="CP33" s="903"/>
      <x:c r="CQ33" s="902"/>
      <x:c r="CR33" s="903"/>
      <x:c r="CS33" s="904"/>
      <x:c r="CT33" s="944"/>
      <x:c r="CU33" s="906"/>
      <x:c r="CV33" s="886"/>
      <x:c r="CW33" s="887"/>
      <x:c r="CX33" s="915"/>
      <x:c r="CY33" s="916"/>
      <x:c r="CZ33" s="932"/>
      <x:c r="DA33" s="933"/>
      <x:c r="DB33" s="932"/>
      <x:c r="DC33" s="933"/>
      <x:c r="DD33" s="1149"/>
      <x:c r="DE33" s="1150"/>
      <x:c r="DF33" s="173"/>
      <x:c r="DG33" s="173"/>
      <x:c r="DH33" s="842"/>
      <x:c r="DI33" s="843"/>
      <x:c r="DJ33" s="872"/>
      <x:c r="DK33" s="873"/>
      <x:c r="DL33" s="844"/>
      <x:c r="DM33" s="874"/>
      <x:c r="DN33" s="875"/>
      <x:c r="DO33" s="845"/>
      <x:c r="DP33" s="846"/>
      <x:c r="DQ33" s="847"/>
      <x:c r="DR33" s="847"/>
      <x:c r="DS33" s="848"/>
      <x:c r="DT33" s="836"/>
      <x:c r="DU33" s="837"/>
      <x:c r="DV33" s="849"/>
      <x:c r="DW33" s="850"/>
      <x:c r="DX33" s="851"/>
      <x:c r="DY33" s="852"/>
      <x:c r="DZ33" s="849"/>
      <x:c r="EA33" s="850"/>
      <x:c r="EB33" s="851"/>
      <x:c r="EC33" s="852"/>
      <x:c r="ED33" s="849"/>
      <x:c r="EE33" s="850"/>
      <x:c r="EF33" s="851"/>
      <x:c r="EG33" s="852"/>
      <x:c r="EH33" s="849"/>
      <x:c r="EI33" s="850"/>
      <x:c r="EJ33" s="851"/>
      <x:c r="EK33" s="853"/>
      <x:c r="EL33" s="807" t="str">
        <x:f t="shared" si="37"/>
        <x:v/>
      </x:c>
      <x:c r="EM33" s="808" t="str">
        <x:f t="shared" si="38"/>
        <x:v/>
      </x:c>
      <x:c r="EN33" s="809" t="str">
        <x:f t="shared" si="39"/>
        <x:v/>
      </x:c>
      <x:c r="EO33" s="1044" t="str">
        <x:f t="shared" si="40"/>
        <x:v/>
      </x:c>
      <x:c r="EP33" s="1166" t="str">
        <x:f t="shared" si="77"/>
        <x:v/>
      </x:c>
      <x:c r="EQ33" s="1167" t="str">
        <x:f t="shared" si="78"/>
        <x:v/>
      </x:c>
      <x:c r="ER33" s="961" t="str">
        <x:f t="shared" si="41"/>
        <x:v/>
      </x:c>
      <x:c r="ES33" s="962" t="str">
        <x:f t="shared" si="42"/>
        <x:v/>
      </x:c>
      <x:c r="ET33" s="963" t="str">
        <x:f t="shared" si="43"/>
        <x:v/>
      </x:c>
      <x:c r="EU33" s="964" t="str">
        <x:f t="shared" si="44"/>
        <x:v/>
      </x:c>
      <x:c r="EX33" s="1194" t="str">
        <x:f t="shared" ca="1" si="23"/>
        <x:v/>
      </x:c>
      <x:c r="EY33" s="1196" t="str">
        <x:f t="shared" si="12"/>
        <x:v/>
      </x:c>
      <x:c r="EZ33" s="1196" t="str">
        <x:f t="shared" si="24"/>
        <x:v/>
      </x:c>
      <x:c r="FA33" s="1217" t="str">
        <x:f t="shared" ca="1" si="30"/>
        <x:v/>
      </x:c>
      <x:c r="FB33" s="1218" t="str">
        <x:f t="shared" ca="1" si="25"/>
        <x:v/>
      </x:c>
      <x:c r="FC33" s="1218">
        <x:f t="shared" ca="1" si="13"/>
        <x:v>0</x:v>
      </x:c>
      <x:c r="FD33" s="1218">
        <x:f t="shared" ca="1" si="14"/>
        <x:v>0</x:v>
      </x:c>
      <x:c r="FE33" s="1218">
        <x:f t="shared" ca="1" si="15"/>
        <x:v>0</x:v>
      </x:c>
      <x:c r="FF33" s="1218">
        <x:f t="shared" ca="1" si="26"/>
        <x:v>0</x:v>
      </x:c>
      <x:c r="FN33" s="1256" t="b">
        <x:v>0</x:v>
      </x:c>
      <x:c r="FO33" s="969" t="b">
        <x:f t="shared" si="60"/>
        <x:v>1</x:v>
      </x:c>
      <x:c r="FP33" s="969" t="b">
        <x:v>0</x:v>
      </x:c>
      <x:c r="FQ33" s="969" t="b">
        <x:f t="shared" si="27"/>
        <x:v>1</x:v>
      </x:c>
      <x:c r="FX33" s="236"/>
      <x:c r="FZ33" s="2"/>
      <x:c r="GA33" s="1935">
        <x:v>52</x:v>
      </x:c>
      <x:c r="GB33" s="1936">
        <x:v>0</x:v>
      </x:c>
      <x:c r="GC33" s="1937">
        <x:v>-6</x:v>
      </x:c>
      <x:c r="GD33" s="1938">
        <x:v>-0.25</x:v>
      </x:c>
      <x:c r="GE33" s="1939">
        <x:f t="shared" ref="GE33:GE45" si="79">IF(GF33="","",IF(ISBLANK(CU33),IF(X33=Y33,0,MAX(ABS(X33),ABS(Y33))*IF(X33&lt;0,-1,1)),CU33))</x:f>
        <x:v>0</x:v>
      </x:c>
      <x:c r="GF33" s="1940" t="str">
        <x:f t="shared" si="45"/>
        <x:v>G6</x:v>
      </x:c>
      <x:c r="GG33" s="1457"/>
      <x:c r="GH33" s="1459"/>
      <x:c r="GI33" s="1457"/>
      <x:c r="GJ33" s="1459"/>
      <x:c r="GK33" s="326">
        <x:f t="shared" si="46"/>
        <x:v>617.75</x:v>
      </x:c>
      <x:c r="GL33" s="326">
        <x:f t="shared" si="47"/>
        <x:v>617.75</x:v>
      </x:c>
      <x:c r="GM33" s="327">
        <x:f>IF(ABS(GK33-GL33)&gt;='Job Info.'!$L$22,ABS(GK33-GL33),0)</x:f>
        <x:v>0</x:v>
      </x:c>
      <x:c r="HA33" s="1612" t="s">
        <x:v>1269</x:v>
      </x:c>
      <x:c r="HB33" s="1613">
        <x:v>8</x:v>
      </x:c>
      <x:c r="HC33" s="1613" t="s">
        <x:v>1954</x:v>
      </x:c>
      <x:c r="HD33" s="1614">
        <x:v>51</x:v>
      </x:c>
      <x:c r="HE33" s="1615">
        <x:v>5.75</x:v>
      </x:c>
      <x:c r="HF33" s="1613">
        <x:v>11.125</x:v>
      </x:c>
      <x:c r="HG33" s="1613" t="s">
        <x:v>117</x:v>
      </x:c>
      <x:c r="HH33" s="1613" t="s">
        <x:v>117</x:v>
      </x:c>
      <x:c r="HI33" s="1613" t="s">
        <x:v>117</x:v>
      </x:c>
      <x:c r="HJ33" s="1613">
        <x:v>0</x:v>
      </x:c>
      <x:c r="HK33" s="1613">
        <x:v>1.75</x:v>
      </x:c>
      <x:c r="HL33" s="1613" t="s">
        <x:v>114</x:v>
      </x:c>
      <x:c r="HM33" s="1613">
        <x:v>7.5</x:v>
      </x:c>
      <x:c r="HN33" s="1613">
        <x:v>7.5</x:v>
      </x:c>
      <x:c r="HO33" s="1613">
        <x:v>0</x:v>
      </x:c>
      <x:c r="HP33" s="1613">
        <x:v>1</x:v>
      </x:c>
      <x:c r="HQ33" s="1613">
        <x:v>0</x:v>
      </x:c>
      <x:c r="HR33" s="1613">
        <x:v>6.75</x:v>
      </x:c>
      <x:c r="HS33" s="1613">
        <x:v>0</x:v>
      </x:c>
      <x:c r="HT33" s="1613">
        <x:v>2</x:v>
      </x:c>
      <x:c r="HU33" s="1613">
        <x:v>0</x:v>
      </x:c>
      <x:c r="HV33" s="1613">
        <x:v>6.25</x:v>
      </x:c>
      <x:c r="HW33" s="1613">
        <x:v>5</x:v>
      </x:c>
      <x:c r="HX33" s="1613" t="s">
        <x:v>117</x:v>
      </x:c>
      <x:c r="HY33" s="1617" t="s">
        <x:v>117</x:v>
      </x:c>
      <x:c r="HZ33" s="1617" t="s">
        <x:v>2026</x:v>
      </x:c>
      <x:c r="IA33" s="1617" t="s">
        <x:v>117</x:v>
      </x:c>
      <x:c r="IB33" s="1617"/>
      <x:c r="IC33" s="1617"/>
      <x:c r="ID33" s="1618"/>
      <x:c r="IE33" s="1612"/>
      <x:c r="IF33" s="1613"/>
      <x:c r="IG33" s="1614"/>
      <x:c r="IH33" s="1615"/>
      <x:c r="II33" s="1613"/>
      <x:c r="IJ33" s="1614"/>
      <x:c r="IK33" s="1615"/>
      <x:c r="IL33" s="1613"/>
      <x:c r="IM33" s="1613"/>
      <x:c r="IN33" s="1613"/>
      <x:c r="IO33" s="1613"/>
      <x:c r="IP33" s="1613"/>
      <x:c r="IQ33" s="1613"/>
      <x:c r="IR33" s="1613"/>
      <x:c r="IS33" s="1614"/>
      <x:c r="IT33" s="1615"/>
      <x:c r="IU33" s="1613"/>
      <x:c r="IV33" s="1613"/>
      <x:c r="IW33" s="1614"/>
      <x:c r="IX33" s="1615"/>
      <x:c r="IY33" s="1613"/>
      <x:c r="IZ33" s="1613"/>
      <x:c r="JA33" s="1614"/>
      <x:c r="JB33" s="1615"/>
      <x:c r="JC33" s="1613"/>
      <x:c r="JD33" s="1613"/>
      <x:c r="JE33" s="1614"/>
      <x:c r="JF33" s="1615"/>
      <x:c r="JG33" s="1613"/>
      <x:c r="JH33" s="1613"/>
      <x:c r="JI33" s="1613"/>
      <x:c r="JJ33" s="1616"/>
      <x:c r="JK33" s="1613"/>
      <x:c r="JL33" s="1521">
        <x:f t="shared" ca="1" si="31"/>
        <x:v>0</x:v>
      </x:c>
      <x:c r="JM33" s="171"/>
    </x:row>
    <x:row r="34" spans="1:273" ht="12.6" customHeight="1" x14ac:dyDescent="0.25">
      <x:c r="A34" s="1583" t="s">
        <x:v>1270</x:v>
      </x:c>
      <x:c r="B34" s="1584">
        <x:v>0</x:v>
      </x:c>
      <x:c r="C34" s="1585" t="s">
        <x:v>1954</x:v>
      </x:c>
      <x:c r="D34" s="1586">
        <x:v>51</x:v>
      </x:c>
      <x:c r="E34" s="1587">
        <x:v>11.5</x:v>
      </x:c>
      <x:c r="F34" s="1588">
        <x:v>11.125</x:v>
      </x:c>
      <x:c r="G34" s="1589">
        <x:v>0</x:v>
      </x:c>
      <x:c r="H34" s="1590">
        <x:v>1.75</x:v>
      </x:c>
      <x:c r="I34" s="1591" t="s">
        <x:v>114</x:v>
      </x:c>
      <x:c r="J34" s="1586">
        <x:v>0</x:v>
      </x:c>
      <x:c r="K34" s="1590">
        <x:v>1.75</x:v>
      </x:c>
      <x:c r="L34" s="1592" t="s">
        <x:v>114</x:v>
      </x:c>
      <x:c r="M34" s="1593">
        <x:v>7.5</x:v>
      </x:c>
      <x:c r="N34" s="1594">
        <x:v>7.5</x:v>
      </x:c>
      <x:c r="O34" s="1589">
        <x:v>0</x:v>
      </x:c>
      <x:c r="P34" s="1590">
        <x:v>6.75</x:v>
      </x:c>
      <x:c r="Q34" s="1586">
        <x:v>0</x:v>
      </x:c>
      <x:c r="R34" s="1587">
        <x:v>6.75</x:v>
      </x:c>
      <x:c r="S34" s="1595">
        <x:v>0</x:v>
      </x:c>
      <x:c r="T34" s="1590">
        <x:v>6.25</x:v>
      </x:c>
      <x:c r="U34" s="1586">
        <x:v>0</x:v>
      </x:c>
      <x:c r="V34" s="1590">
        <x:v>6.25</x:v>
      </x:c>
      <x:c r="W34" s="1594">
        <x:v>5</x:v>
      </x:c>
      <x:c r="X34" s="1596" t="str">
        <x:f t="shared" si="48"/>
        <x:v/>
      </x:c>
      <x:c r="Y34" s="1597" t="str">
        <x:f t="shared" si="49"/>
        <x:v/>
      </x:c>
      <x:c r="Z34" s="2088" t="s">
        <x:v>2027</x:v>
      </x:c>
      <x:c r="AA34" s="1598" t="str">
        <x:f t="shared" si="36"/>
        <x:v/>
      </x:c>
      <x:c r="AB34" s="1264" t="str">
        <x:f t="shared" si="70"/>
        <x:v/>
      </x:c>
      <x:c r="AC34" s="1260" t="str">
        <x:f t="shared" si="70"/>
        <x:v/>
      </x:c>
      <x:c r="AD34" s="1261" t="str">
        <x:f t="shared" ca="1" si="62"/>
        <x:v/>
      </x:c>
      <x:c r="AE34" s="1262" t="str">
        <x:f t="shared" ca="1" si="63"/>
        <x:v/>
      </x:c>
      <x:c r="AF34" s="1260" t="str">
        <x:f t="shared" ca="1" si="64"/>
        <x:v/>
      </x:c>
      <x:c r="AG34" s="1261" t="str">
        <x:f t="shared" ca="1" si="65"/>
        <x:v/>
      </x:c>
      <x:c r="AH34" s="1262" t="str">
        <x:f t="shared" ca="1" si="66"/>
        <x:v/>
      </x:c>
      <x:c r="AI34" s="1261" t="str">
        <x:f t="shared" ca="1" si="67"/>
        <x:v/>
      </x:c>
      <x:c r="AJ34" s="1262" t="str">
        <x:f t="shared" ca="1" si="68"/>
        <x:v/>
      </x:c>
      <x:c r="AK34" s="1599" t="str">
        <x:f t="shared" si="71"/>
        <x:v/>
      </x:c>
      <x:c r="AL34" s="1600" t="str">
        <x:f t="shared" si="71"/>
        <x:v/>
      </x:c>
      <x:c r="AM34" s="1601" t="str">
        <x:f t="shared" si="71"/>
        <x:v/>
      </x:c>
      <x:c r="AN34" s="1260" t="str">
        <x:f t="shared" si="71"/>
        <x:v/>
      </x:c>
      <x:c r="AO34" s="1409" t="str">
        <x:f t="shared" si="71"/>
        <x:v/>
      </x:c>
      <x:c r="AP34" s="1327" t="str">
        <x:f t="shared" si="3"/>
        <x:v/>
      </x:c>
      <x:c r="AQ34" s="1602" t="str">
        <x:f t="shared" si="3"/>
        <x:v/>
      </x:c>
      <x:c r="AR34" s="1263" t="str">
        <x:f t="shared" si="4"/>
        <x:v/>
      </x:c>
      <x:c r="AS34" s="1262" t="str">
        <x:f t="shared" si="5"/>
        <x:v/>
      </x:c>
      <x:c r="AT34" s="1603" t="str">
        <x:f t="shared" si="72"/>
        <x:v/>
      </x:c>
      <x:c r="AU34" s="1410" t="str">
        <x:f t="shared" si="72"/>
        <x:v/>
      </x:c>
      <x:c r="AV34" s="1328" t="str">
        <x:f t="shared" si="6"/>
        <x:v/>
      </x:c>
      <x:c r="AW34" s="1262" t="str">
        <x:f t="shared" si="7"/>
        <x:v/>
      </x:c>
      <x:c r="AX34" s="1603" t="str">
        <x:f t="shared" si="73"/>
        <x:v/>
      </x:c>
      <x:c r="AY34" s="1410" t="str">
        <x:f t="shared" si="73"/>
        <x:v/>
      </x:c>
      <x:c r="AZ34" s="1328" t="str">
        <x:f t="shared" si="8"/>
        <x:v/>
      </x:c>
      <x:c r="BA34" s="1262" t="str">
        <x:f t="shared" si="9"/>
        <x:v/>
      </x:c>
      <x:c r="BB34" s="1603" t="str">
        <x:f t="shared" si="74"/>
        <x:v/>
      </x:c>
      <x:c r="BC34" s="1410" t="str">
        <x:f t="shared" si="74"/>
        <x:v/>
      </x:c>
      <x:c r="BD34" s="1328" t="str">
        <x:f t="shared" si="10"/>
        <x:v/>
      </x:c>
      <x:c r="BE34" s="1262" t="str">
        <x:f t="shared" si="11"/>
        <x:v/>
      </x:c>
      <x:c r="BF34" s="1603" t="str">
        <x:f t="shared" si="75"/>
        <x:v/>
      </x:c>
      <x:c r="BG34" s="1410" t="str">
        <x:f t="shared" si="75"/>
        <x:v/>
      </x:c>
      <x:c r="BH34" s="322"/>
      <x:c r="BJ34" s="1258" t="str">
        <x:f t="shared" si="69"/>
        <x:v>G7</x:v>
      </x:c>
      <x:c r="BK34" s="1256" t="b">
        <x:f t="shared" si="76"/>
        <x:v>0</x:v>
      </x:c>
      <x:c r="BL34" s="2002" t="b">
        <x:v>0</x:v>
      </x:c>
      <x:c r="BM34" s="1251">
        <x:f t="shared" si="50"/>
        <x:v>54</x:v>
      </x:c>
      <x:c r="BN34" s="1251" t="str">
        <x:f t="shared" si="51"/>
        <x:v>G</x:v>
      </x:c>
      <x:c r="BO34" s="1251">
        <x:f t="shared" si="52"/>
        <x:v>7</x:v>
      </x:c>
      <x:c r="BP34" s="1251">
        <x:f t="shared" si="53"/>
        <x:v>13.4</x:v>
      </x:c>
      <x:c r="BQ34" s="1251">
        <x:f t="shared" si="54"/>
        <x:v>3.9</x:v>
      </x:c>
      <x:c r="BR34" s="1251" t="b">
        <x:f t="shared" si="55"/>
        <x:v>1</x:v>
      </x:c>
      <x:c r="BS34" s="1252">
        <x:f t="shared" si="56"/>
        <x:v>7.75</x:v>
      </x:c>
      <x:c r="BT34" s="1252" t="str">
        <x:f t="shared" si="57"/>
        <x:v>Yes</x:v>
      </x:c>
      <x:c r="BU34" s="1252">
        <x:f t="shared" si="58"/>
        <x:v>7.75</x:v>
      </x:c>
      <x:c r="BV34" s="1252" t="str">
        <x:f t="shared" si="59"/>
        <x:v>Yes</x:v>
      </x:c>
      <x:c r="BW34" s="1253">
        <x:f t="shared" ca="1" si="21"/>
        <x:v>0</x:v>
      </x:c>
      <x:c r="BX34" s="1254" t="str">
        <x:f t="shared" ca="1" si="28"/>
        <x:v/>
      </x:c>
      <x:c r="BY34" s="1254" t="b">
        <x:f t="shared" ca="1" si="22"/>
        <x:v>0</x:v>
      </x:c>
      <x:c r="BZ34" s="1255" t="b">
        <x:f t="shared" si="29"/>
        <x:v>0</x:v>
      </x:c>
      <x:c r="CB34" s="842"/>
      <x:c r="CC34" s="894"/>
      <x:c r="CD34" s="883"/>
      <x:c r="CE34" s="884"/>
      <x:c r="CF34" s="885"/>
      <x:c r="CG34" s="901"/>
      <x:c r="CH34" s="902"/>
      <x:c r="CI34" s="903"/>
      <x:c r="CJ34" s="902"/>
      <x:c r="CK34" s="903"/>
      <x:c r="CL34" s="904"/>
      <x:c r="CM34" s="944"/>
      <x:c r="CN34" s="901"/>
      <x:c r="CO34" s="902"/>
      <x:c r="CP34" s="903"/>
      <x:c r="CQ34" s="902"/>
      <x:c r="CR34" s="903"/>
      <x:c r="CS34" s="904"/>
      <x:c r="CT34" s="944"/>
      <x:c r="CU34" s="906"/>
      <x:c r="CV34" s="886"/>
      <x:c r="CW34" s="887"/>
      <x:c r="CX34" s="915"/>
      <x:c r="CY34" s="916"/>
      <x:c r="CZ34" s="932"/>
      <x:c r="DA34" s="933"/>
      <x:c r="DB34" s="932"/>
      <x:c r="DC34" s="933"/>
      <x:c r="DD34" s="1149"/>
      <x:c r="DE34" s="1150"/>
      <x:c r="DF34" s="173"/>
      <x:c r="DG34" s="173"/>
      <x:c r="DH34" s="842"/>
      <x:c r="DI34" s="843"/>
      <x:c r="DJ34" s="872"/>
      <x:c r="DK34" s="873"/>
      <x:c r="DL34" s="844"/>
      <x:c r="DM34" s="874"/>
      <x:c r="DN34" s="875"/>
      <x:c r="DO34" s="845"/>
      <x:c r="DP34" s="846"/>
      <x:c r="DQ34" s="847"/>
      <x:c r="DR34" s="847"/>
      <x:c r="DS34" s="848"/>
      <x:c r="DT34" s="836"/>
      <x:c r="DU34" s="837"/>
      <x:c r="DV34" s="849"/>
      <x:c r="DW34" s="850"/>
      <x:c r="DX34" s="851"/>
      <x:c r="DY34" s="852"/>
      <x:c r="DZ34" s="849"/>
      <x:c r="EA34" s="850"/>
      <x:c r="EB34" s="851"/>
      <x:c r="EC34" s="852"/>
      <x:c r="ED34" s="849"/>
      <x:c r="EE34" s="850"/>
      <x:c r="EF34" s="851"/>
      <x:c r="EG34" s="852"/>
      <x:c r="EH34" s="849"/>
      <x:c r="EI34" s="850"/>
      <x:c r="EJ34" s="851"/>
      <x:c r="EK34" s="853"/>
      <x:c r="EL34" s="807" t="str">
        <x:f t="shared" si="37"/>
        <x:v/>
      </x:c>
      <x:c r="EM34" s="808" t="str">
        <x:f t="shared" si="38"/>
        <x:v/>
      </x:c>
      <x:c r="EN34" s="809" t="str">
        <x:f t="shared" si="39"/>
        <x:v/>
      </x:c>
      <x:c r="EO34" s="1044" t="str">
        <x:f t="shared" si="40"/>
        <x:v/>
      </x:c>
      <x:c r="EP34" s="1166" t="str">
        <x:f t="shared" si="77"/>
        <x:v/>
      </x:c>
      <x:c r="EQ34" s="1167" t="str">
        <x:f t="shared" si="78"/>
        <x:v/>
      </x:c>
      <x:c r="ER34" s="961" t="str">
        <x:f t="shared" si="41"/>
        <x:v/>
      </x:c>
      <x:c r="ES34" s="962" t="str">
        <x:f t="shared" si="42"/>
        <x:v/>
      </x:c>
      <x:c r="ET34" s="963" t="str">
        <x:f t="shared" si="43"/>
        <x:v/>
      </x:c>
      <x:c r="EU34" s="964" t="str">
        <x:f t="shared" si="44"/>
        <x:v/>
      </x:c>
      <x:c r="EX34" s="1194" t="str">
        <x:f t="shared" ca="1" si="23"/>
        <x:v/>
      </x:c>
      <x:c r="EY34" s="1196" t="str">
        <x:f t="shared" si="12"/>
        <x:v/>
      </x:c>
      <x:c r="EZ34" s="1196" t="str">
        <x:f t="shared" si="24"/>
        <x:v/>
      </x:c>
      <x:c r="FA34" s="1217" t="str">
        <x:f t="shared" ca="1" si="30"/>
        <x:v/>
      </x:c>
      <x:c r="FB34" s="1218" t="str">
        <x:f t="shared" ca="1" si="25"/>
        <x:v/>
      </x:c>
      <x:c r="FC34" s="1218">
        <x:f t="shared" ca="1" si="13"/>
        <x:v>0</x:v>
      </x:c>
      <x:c r="FD34" s="1218">
        <x:f t="shared" ca="1" si="14"/>
        <x:v>0</x:v>
      </x:c>
      <x:c r="FE34" s="1218">
        <x:f t="shared" ca="1" si="15"/>
        <x:v>0</x:v>
      </x:c>
      <x:c r="FF34" s="1218">
        <x:f t="shared" ca="1" si="26"/>
        <x:v>0</x:v>
      </x:c>
      <x:c r="FN34" s="1256" t="b">
        <x:v>0</x:v>
      </x:c>
      <x:c r="FO34" s="969" t="b">
        <x:f t="shared" si="60"/>
        <x:v>1</x:v>
      </x:c>
      <x:c r="FP34" s="969" t="b">
        <x:v>0</x:v>
      </x:c>
      <x:c r="FQ34" s="969" t="b">
        <x:f t="shared" si="27"/>
        <x:v>1</x:v>
      </x:c>
      <x:c r="FX34" s="236"/>
      <x:c r="FZ34" s="2"/>
      <x:c r="GA34" s="1935">
        <x:v>52</x:v>
      </x:c>
      <x:c r="GB34" s="1936">
        <x:v>0</x:v>
      </x:c>
      <x:c r="GC34" s="1937">
        <x:v>-0.25</x:v>
      </x:c>
      <x:c r="GD34" s="1938">
        <x:v>-0.25</x:v>
      </x:c>
      <x:c r="GE34" s="1939">
        <x:f t="shared" si="79"/>
        <x:v>0</x:v>
      </x:c>
      <x:c r="GF34" s="1940" t="str">
        <x:f t="shared" si="45"/>
        <x:v>G7</x:v>
      </x:c>
      <x:c r="GG34" s="1457"/>
      <x:c r="GH34" s="1459"/>
      <x:c r="GI34" s="1457"/>
      <x:c r="GJ34" s="1459"/>
      <x:c r="GK34" s="326">
        <x:f t="shared" si="46"/>
        <x:v>623.5</x:v>
      </x:c>
      <x:c r="GL34" s="326">
        <x:f t="shared" si="47"/>
        <x:v>623.5</x:v>
      </x:c>
      <x:c r="GM34" s="327">
        <x:f>IF(ABS(GK34-GL34)&gt;='Job Info.'!$L$22,ABS(GK34-GL34),0)</x:f>
        <x:v>0</x:v>
      </x:c>
      <x:c r="HA34" s="1612" t="s">
        <x:v>1270</x:v>
      </x:c>
      <x:c r="HB34" s="1613">
        <x:v>8</x:v>
      </x:c>
      <x:c r="HC34" s="1613" t="s">
        <x:v>1954</x:v>
      </x:c>
      <x:c r="HD34" s="1614">
        <x:v>51</x:v>
      </x:c>
      <x:c r="HE34" s="1615">
        <x:v>11.5</x:v>
      </x:c>
      <x:c r="HF34" s="1613">
        <x:v>11.125</x:v>
      </x:c>
      <x:c r="HG34" s="1613">
        <x:v>0</x:v>
      </x:c>
      <x:c r="HH34" s="1613">
        <x:v>1.75</x:v>
      </x:c>
      <x:c r="HI34" s="1613" t="s">
        <x:v>114</x:v>
      </x:c>
      <x:c r="HJ34" s="1613">
        <x:v>0</x:v>
      </x:c>
      <x:c r="HK34" s="1613">
        <x:v>1.75</x:v>
      </x:c>
      <x:c r="HL34" s="1613" t="s">
        <x:v>114</x:v>
      </x:c>
      <x:c r="HM34" s="1613">
        <x:v>7.5</x:v>
      </x:c>
      <x:c r="HN34" s="1613">
        <x:v>7.5</x:v>
      </x:c>
      <x:c r="HO34" s="1613">
        <x:v>0</x:v>
      </x:c>
      <x:c r="HP34" s="1613">
        <x:v>6.75</x:v>
      </x:c>
      <x:c r="HQ34" s="1613">
        <x:v>0</x:v>
      </x:c>
      <x:c r="HR34" s="1613">
        <x:v>6.75</x:v>
      </x:c>
      <x:c r="HS34" s="1613">
        <x:v>0</x:v>
      </x:c>
      <x:c r="HT34" s="1613">
        <x:v>6.25</x:v>
      </x:c>
      <x:c r="HU34" s="1613">
        <x:v>0</x:v>
      </x:c>
      <x:c r="HV34" s="1613">
        <x:v>6.25</x:v>
      </x:c>
      <x:c r="HW34" s="1613">
        <x:v>5</x:v>
      </x:c>
      <x:c r="HX34" s="1613" t="s">
        <x:v>117</x:v>
      </x:c>
      <x:c r="HY34" s="1617" t="s">
        <x:v>117</x:v>
      </x:c>
      <x:c r="HZ34" s="1617" t="s">
        <x:v>2027</x:v>
      </x:c>
      <x:c r="IA34" s="1617" t="s">
        <x:v>117</x:v>
      </x:c>
      <x:c r="IB34" s="1617"/>
      <x:c r="IC34" s="1617"/>
      <x:c r="ID34" s="1618"/>
      <x:c r="IE34" s="1612"/>
      <x:c r="IF34" s="1613"/>
      <x:c r="IG34" s="1614"/>
      <x:c r="IH34" s="1615"/>
      <x:c r="II34" s="1613"/>
      <x:c r="IJ34" s="1614"/>
      <x:c r="IK34" s="1615"/>
      <x:c r="IL34" s="1613"/>
      <x:c r="IM34" s="1613"/>
      <x:c r="IN34" s="1613"/>
      <x:c r="IO34" s="1613"/>
      <x:c r="IP34" s="1613"/>
      <x:c r="IQ34" s="1613"/>
      <x:c r="IR34" s="1613"/>
      <x:c r="IS34" s="1614"/>
      <x:c r="IT34" s="1615"/>
      <x:c r="IU34" s="1613"/>
      <x:c r="IV34" s="1613"/>
      <x:c r="IW34" s="1614"/>
      <x:c r="IX34" s="1615"/>
      <x:c r="IY34" s="1613"/>
      <x:c r="IZ34" s="1613"/>
      <x:c r="JA34" s="1614"/>
      <x:c r="JB34" s="1615"/>
      <x:c r="JC34" s="1613"/>
      <x:c r="JD34" s="1613"/>
      <x:c r="JE34" s="1614"/>
      <x:c r="JF34" s="1615"/>
      <x:c r="JG34" s="1613"/>
      <x:c r="JH34" s="1613"/>
      <x:c r="JI34" s="1613"/>
      <x:c r="JJ34" s="1616"/>
      <x:c r="JK34" s="1613"/>
      <x:c r="JL34" s="1521">
        <x:f t="shared" ca="1" si="31"/>
        <x:v>0</x:v>
      </x:c>
      <x:c r="JM34" s="171"/>
    </x:row>
    <x:row r="35" spans="1:273" ht="12.6" customHeight="1" x14ac:dyDescent="0.25">
      <x:c r="A35" s="1583" t="s">
        <x:v>1271</x:v>
      </x:c>
      <x:c r="B35" s="1584">
        <x:v>40</x:v>
      </x:c>
      <x:c r="C35" s="1585" t="s">
        <x:v>1954</x:v>
      </x:c>
      <x:c r="D35" s="1586">
        <x:v>51</x:v>
      </x:c>
      <x:c r="E35" s="1587">
        <x:v>11.5</x:v>
      </x:c>
      <x:c r="F35" s="1588">
        <x:v>11.125</x:v>
      </x:c>
      <x:c r="G35" s="1589">
        <x:v>0</x:v>
      </x:c>
      <x:c r="H35" s="1590">
        <x:v>1.75</x:v>
      </x:c>
      <x:c r="I35" s="1591" t="s">
        <x:v>114</x:v>
      </x:c>
      <x:c r="J35" s="1586">
        <x:v>0</x:v>
      </x:c>
      <x:c r="K35" s="1590">
        <x:v>1.75</x:v>
      </x:c>
      <x:c r="L35" s="1592" t="s">
        <x:v>114</x:v>
      </x:c>
      <x:c r="M35" s="1593">
        <x:v>7.5</x:v>
      </x:c>
      <x:c r="N35" s="1594">
        <x:v>7.5</x:v>
      </x:c>
      <x:c r="O35" s="1589">
        <x:v>0</x:v>
      </x:c>
      <x:c r="P35" s="1590">
        <x:v>6.75</x:v>
      </x:c>
      <x:c r="Q35" s="1586">
        <x:v>0</x:v>
      </x:c>
      <x:c r="R35" s="1587">
        <x:v>6.75</x:v>
      </x:c>
      <x:c r="S35" s="1595">
        <x:v>0</x:v>
      </x:c>
      <x:c r="T35" s="1590">
        <x:v>6.25</x:v>
      </x:c>
      <x:c r="U35" s="1586">
        <x:v>0</x:v>
      </x:c>
      <x:c r="V35" s="1590">
        <x:v>6.25</x:v>
      </x:c>
      <x:c r="W35" s="1594">
        <x:v>5</x:v>
      </x:c>
      <x:c r="X35" s="1596" t="str">
        <x:f t="shared" si="48"/>
        <x:v/>
      </x:c>
      <x:c r="Y35" s="1597" t="str">
        <x:f t="shared" si="49"/>
        <x:v/>
      </x:c>
      <x:c r="Z35" s="2210" t="s">
        <x:v>2301</x:v>
      </x:c>
      <x:c r="AA35" s="1598" t="str">
        <x:f t="shared" si="36"/>
        <x:v/>
      </x:c>
      <x:c r="AB35" s="1264" t="str">
        <x:f t="shared" si="70"/>
        <x:v/>
      </x:c>
      <x:c r="AC35" s="1260" t="str">
        <x:f t="shared" si="70"/>
        <x:v/>
      </x:c>
      <x:c r="AD35" s="1261" t="str">
        <x:f t="shared" ca="1" si="62"/>
        <x:v/>
      </x:c>
      <x:c r="AE35" s="1262" t="str">
        <x:f t="shared" ca="1" si="63"/>
        <x:v/>
      </x:c>
      <x:c r="AF35" s="1260" t="str">
        <x:f t="shared" ca="1" si="64"/>
        <x:v/>
      </x:c>
      <x:c r="AG35" s="1261" t="str">
        <x:f t="shared" ca="1" si="65"/>
        <x:v/>
      </x:c>
      <x:c r="AH35" s="1262" t="str">
        <x:f t="shared" ca="1" si="66"/>
        <x:v/>
      </x:c>
      <x:c r="AI35" s="1261" t="str">
        <x:f t="shared" ca="1" si="67"/>
        <x:v/>
      </x:c>
      <x:c r="AJ35" s="1262" t="str">
        <x:f t="shared" ca="1" si="68"/>
        <x:v/>
      </x:c>
      <x:c r="AK35" s="1599" t="str">
        <x:f t="shared" si="71"/>
        <x:v/>
      </x:c>
      <x:c r="AL35" s="1600" t="str">
        <x:f t="shared" si="71"/>
        <x:v/>
      </x:c>
      <x:c r="AM35" s="1601" t="str">
        <x:f t="shared" si="71"/>
        <x:v/>
      </x:c>
      <x:c r="AN35" s="1260" t="str">
        <x:f t="shared" si="71"/>
        <x:v/>
      </x:c>
      <x:c r="AO35" s="1409" t="str">
        <x:f t="shared" si="71"/>
        <x:v/>
      </x:c>
      <x:c r="AP35" s="1327" t="str">
        <x:f t="shared" si="3"/>
        <x:v/>
      </x:c>
      <x:c r="AQ35" s="1602" t="str">
        <x:f t="shared" si="3"/>
        <x:v/>
      </x:c>
      <x:c r="AR35" s="1263" t="str">
        <x:f t="shared" si="4"/>
        <x:v/>
      </x:c>
      <x:c r="AS35" s="1262" t="str">
        <x:f t="shared" si="5"/>
        <x:v/>
      </x:c>
      <x:c r="AT35" s="1603" t="str">
        <x:f t="shared" si="72"/>
        <x:v/>
      </x:c>
      <x:c r="AU35" s="1410" t="str">
        <x:f t="shared" si="72"/>
        <x:v/>
      </x:c>
      <x:c r="AV35" s="1328" t="str">
        <x:f t="shared" si="6"/>
        <x:v/>
      </x:c>
      <x:c r="AW35" s="1262" t="str">
        <x:f t="shared" si="7"/>
        <x:v/>
      </x:c>
      <x:c r="AX35" s="1603" t="str">
        <x:f t="shared" si="73"/>
        <x:v/>
      </x:c>
      <x:c r="AY35" s="1410" t="str">
        <x:f t="shared" si="73"/>
        <x:v/>
      </x:c>
      <x:c r="AZ35" s="1328" t="str">
        <x:f t="shared" si="8"/>
        <x:v/>
      </x:c>
      <x:c r="BA35" s="1262" t="str">
        <x:f t="shared" si="9"/>
        <x:v/>
      </x:c>
      <x:c r="BB35" s="1603" t="str">
        <x:f t="shared" si="74"/>
        <x:v/>
      </x:c>
      <x:c r="BC35" s="1410" t="str">
        <x:f t="shared" si="74"/>
        <x:v/>
      </x:c>
      <x:c r="BD35" s="1328" t="str">
        <x:f t="shared" si="10"/>
        <x:v/>
      </x:c>
      <x:c r="BE35" s="1262" t="str">
        <x:f t="shared" si="11"/>
        <x:v/>
      </x:c>
      <x:c r="BF35" s="1603" t="str">
        <x:f t="shared" si="75"/>
        <x:v/>
      </x:c>
      <x:c r="BG35" s="1410" t="str">
        <x:f t="shared" si="75"/>
        <x:v/>
      </x:c>
      <x:c r="BH35" s="322"/>
      <x:c r="BJ35" s="1258" t="str">
        <x:f t="shared" si="69"/>
        <x:v>G8</x:v>
      </x:c>
      <x:c r="BK35" s="1256" t="b">
        <x:f t="shared" si="76"/>
        <x:v>0</x:v>
      </x:c>
      <x:c r="BL35" s="2002" t="b">
        <x:v>0</x:v>
      </x:c>
      <x:c r="BM35" s="1251">
        <x:f t="shared" si="50"/>
        <x:v>54</x:v>
      </x:c>
      <x:c r="BN35" s="1251" t="str">
        <x:f t="shared" si="51"/>
        <x:v>G</x:v>
      </x:c>
      <x:c r="BO35" s="1251">
        <x:f t="shared" si="52"/>
        <x:v>7</x:v>
      </x:c>
      <x:c r="BP35" s="1251">
        <x:f t="shared" si="53"/>
        <x:v>13.4</x:v>
      </x:c>
      <x:c r="BQ35" s="1251">
        <x:f t="shared" si="54"/>
        <x:v>3.9</x:v>
      </x:c>
      <x:c r="BR35" s="1251" t="b">
        <x:f t="shared" si="55"/>
        <x:v>1</x:v>
      </x:c>
      <x:c r="BS35" s="1252">
        <x:f t="shared" si="56"/>
        <x:v>7.75</x:v>
      </x:c>
      <x:c r="BT35" s="1252" t="str">
        <x:f t="shared" si="57"/>
        <x:v>Yes</x:v>
      </x:c>
      <x:c r="BU35" s="1252">
        <x:f t="shared" si="58"/>
        <x:v>7.75</x:v>
      </x:c>
      <x:c r="BV35" s="1252" t="str">
        <x:f t="shared" si="59"/>
        <x:v>Yes</x:v>
      </x:c>
      <x:c r="BW35" s="1253">
        <x:f t="shared" ca="1" si="21"/>
        <x:v>0</x:v>
      </x:c>
      <x:c r="BX35" s="1254" t="str">
        <x:f t="shared" ca="1" si="28"/>
        <x:v/>
      </x:c>
      <x:c r="BY35" s="1254" t="b">
        <x:f t="shared" ca="1" si="22"/>
        <x:v>0</x:v>
      </x:c>
      <x:c r="BZ35" s="1255" t="b">
        <x:f t="shared" si="29"/>
        <x:v>0</x:v>
      </x:c>
      <x:c r="CB35" s="842"/>
      <x:c r="CC35" s="894"/>
      <x:c r="CD35" s="883"/>
      <x:c r="CE35" s="884"/>
      <x:c r="CF35" s="885"/>
      <x:c r="CG35" s="901"/>
      <x:c r="CH35" s="902"/>
      <x:c r="CI35" s="903"/>
      <x:c r="CJ35" s="902"/>
      <x:c r="CK35" s="903"/>
      <x:c r="CL35" s="904"/>
      <x:c r="CM35" s="944"/>
      <x:c r="CN35" s="901"/>
      <x:c r="CO35" s="902"/>
      <x:c r="CP35" s="903"/>
      <x:c r="CQ35" s="902"/>
      <x:c r="CR35" s="903"/>
      <x:c r="CS35" s="904"/>
      <x:c r="CT35" s="944"/>
      <x:c r="CU35" s="906"/>
      <x:c r="CV35" s="886"/>
      <x:c r="CW35" s="887"/>
      <x:c r="CX35" s="915"/>
      <x:c r="CY35" s="916"/>
      <x:c r="CZ35" s="932"/>
      <x:c r="DA35" s="933"/>
      <x:c r="DB35" s="932"/>
      <x:c r="DC35" s="933"/>
      <x:c r="DD35" s="1149"/>
      <x:c r="DE35" s="1150"/>
      <x:c r="DF35" s="173"/>
      <x:c r="DG35" s="173"/>
      <x:c r="DH35" s="842"/>
      <x:c r="DI35" s="843"/>
      <x:c r="DJ35" s="872"/>
      <x:c r="DK35" s="873"/>
      <x:c r="DL35" s="844"/>
      <x:c r="DM35" s="874"/>
      <x:c r="DN35" s="875"/>
      <x:c r="DO35" s="845"/>
      <x:c r="DP35" s="846"/>
      <x:c r="DQ35" s="847"/>
      <x:c r="DR35" s="847"/>
      <x:c r="DS35" s="848"/>
      <x:c r="DT35" s="836"/>
      <x:c r="DU35" s="837"/>
      <x:c r="DV35" s="849"/>
      <x:c r="DW35" s="850"/>
      <x:c r="DX35" s="851"/>
      <x:c r="DY35" s="852"/>
      <x:c r="DZ35" s="849"/>
      <x:c r="EA35" s="850"/>
      <x:c r="EB35" s="851"/>
      <x:c r="EC35" s="852"/>
      <x:c r="ED35" s="849"/>
      <x:c r="EE35" s="850"/>
      <x:c r="EF35" s="851"/>
      <x:c r="EG35" s="852"/>
      <x:c r="EH35" s="849"/>
      <x:c r="EI35" s="850"/>
      <x:c r="EJ35" s="851"/>
      <x:c r="EK35" s="853"/>
      <x:c r="EL35" s="807" t="str">
        <x:f t="shared" si="37"/>
        <x:v/>
      </x:c>
      <x:c r="EM35" s="808" t="str">
        <x:f t="shared" si="38"/>
        <x:v/>
      </x:c>
      <x:c r="EN35" s="809" t="str">
        <x:f t="shared" si="39"/>
        <x:v/>
      </x:c>
      <x:c r="EO35" s="1044" t="str">
        <x:f t="shared" si="40"/>
        <x:v/>
      </x:c>
      <x:c r="EP35" s="1166" t="str">
        <x:f t="shared" si="77"/>
        <x:v/>
      </x:c>
      <x:c r="EQ35" s="1167" t="str">
        <x:f t="shared" si="78"/>
        <x:v/>
      </x:c>
      <x:c r="ER35" s="961" t="str">
        <x:f t="shared" si="41"/>
        <x:v/>
      </x:c>
      <x:c r="ES35" s="962" t="str">
        <x:f t="shared" si="42"/>
        <x:v/>
      </x:c>
      <x:c r="ET35" s="963" t="str">
        <x:f t="shared" si="43"/>
        <x:v/>
      </x:c>
      <x:c r="EU35" s="964" t="str">
        <x:f t="shared" si="44"/>
        <x:v/>
      </x:c>
      <x:c r="EX35" s="1194" t="str">
        <x:f t="shared" ca="1" si="23"/>
        <x:v/>
      </x:c>
      <x:c r="EY35" s="1196" t="str">
        <x:f t="shared" si="12"/>
        <x:v/>
      </x:c>
      <x:c r="EZ35" s="1196" t="str">
        <x:f t="shared" si="24"/>
        <x:v/>
      </x:c>
      <x:c r="FA35" s="1217" t="str">
        <x:f t="shared" ca="1" si="30"/>
        <x:v/>
      </x:c>
      <x:c r="FB35" s="1218" t="str">
        <x:f t="shared" ca="1" si="25"/>
        <x:v/>
      </x:c>
      <x:c r="FC35" s="1218">
        <x:f t="shared" ca="1" si="13"/>
        <x:v>0</x:v>
      </x:c>
      <x:c r="FD35" s="1218">
        <x:f t="shared" ca="1" si="14"/>
        <x:v>0</x:v>
      </x:c>
      <x:c r="FE35" s="1218">
        <x:f t="shared" ca="1" si="15"/>
        <x:v>0</x:v>
      </x:c>
      <x:c r="FF35" s="1218">
        <x:f t="shared" ca="1" si="26"/>
        <x:v>0</x:v>
      </x:c>
      <x:c r="FN35" s="1256" t="b">
        <x:v>0</x:v>
      </x:c>
      <x:c r="FO35" s="969" t="b">
        <x:f t="shared" si="60"/>
        <x:v>1</x:v>
      </x:c>
      <x:c r="FP35" s="969" t="b">
        <x:v>0</x:v>
      </x:c>
      <x:c r="FQ35" s="969" t="b">
        <x:f t="shared" si="27"/>
        <x:v>1</x:v>
      </x:c>
      <x:c r="FX35" s="236"/>
      <x:c r="FZ35" s="2"/>
      <x:c r="GA35" s="1935">
        <x:v>52</x:v>
      </x:c>
      <x:c r="GB35" s="1936">
        <x:v>0</x:v>
      </x:c>
      <x:c r="GC35" s="1937">
        <x:v>-0.25</x:v>
      </x:c>
      <x:c r="GD35" s="1938">
        <x:v>-0.25</x:v>
      </x:c>
      <x:c r="GE35" s="1939">
        <x:f t="shared" si="79"/>
        <x:v>0</x:v>
      </x:c>
      <x:c r="GF35" s="1940" t="str">
        <x:f t="shared" si="45"/>
        <x:v>G8</x:v>
      </x:c>
      <x:c r="GG35" s="1457"/>
      <x:c r="GH35" s="1459"/>
      <x:c r="GI35" s="1457"/>
      <x:c r="GJ35" s="1459"/>
      <x:c r="GK35" s="326">
        <x:f t="shared" si="46"/>
        <x:v>623.5</x:v>
      </x:c>
      <x:c r="GL35" s="326">
        <x:f t="shared" si="47"/>
        <x:v>623.5</x:v>
      </x:c>
      <x:c r="GM35" s="327">
        <x:f>IF(ABS(GK35-GL35)&gt;='Job Info.'!$L$22,ABS(GK35-GL35),0)</x:f>
        <x:v>0</x:v>
      </x:c>
      <x:c r="HA35" s="1612" t="s">
        <x:v>1271</x:v>
      </x:c>
      <x:c r="HB35" s="1613">
        <x:v>56</x:v>
      </x:c>
      <x:c r="HC35" s="1613" t="s">
        <x:v>1954</x:v>
      </x:c>
      <x:c r="HD35" s="1614">
        <x:v>51</x:v>
      </x:c>
      <x:c r="HE35" s="1615">
        <x:v>11.5</x:v>
      </x:c>
      <x:c r="HF35" s="1613">
        <x:v>11.125</x:v>
      </x:c>
      <x:c r="HG35" s="1613">
        <x:v>0</x:v>
      </x:c>
      <x:c r="HH35" s="1613">
        <x:v>1.75</x:v>
      </x:c>
      <x:c r="HI35" s="1613" t="s">
        <x:v>114</x:v>
      </x:c>
      <x:c r="HJ35" s="1613">
        <x:v>0</x:v>
      </x:c>
      <x:c r="HK35" s="1613">
        <x:v>1.75</x:v>
      </x:c>
      <x:c r="HL35" s="1613" t="s">
        <x:v>114</x:v>
      </x:c>
      <x:c r="HM35" s="1613">
        <x:v>7.5</x:v>
      </x:c>
      <x:c r="HN35" s="1613">
        <x:v>7.5</x:v>
      </x:c>
      <x:c r="HO35" s="1613">
        <x:v>0</x:v>
      </x:c>
      <x:c r="HP35" s="1613">
        <x:v>6.75</x:v>
      </x:c>
      <x:c r="HQ35" s="1613">
        <x:v>0</x:v>
      </x:c>
      <x:c r="HR35" s="1613">
        <x:v>6.75</x:v>
      </x:c>
      <x:c r="HS35" s="1613">
        <x:v>0</x:v>
      </x:c>
      <x:c r="HT35" s="1613">
        <x:v>6.25</x:v>
      </x:c>
      <x:c r="HU35" s="1613">
        <x:v>0</x:v>
      </x:c>
      <x:c r="HV35" s="1613">
        <x:v>6.25</x:v>
      </x:c>
      <x:c r="HW35" s="1613">
        <x:v>5</x:v>
      </x:c>
      <x:c r="HX35" s="1613" t="s">
        <x:v>117</x:v>
      </x:c>
      <x:c r="HY35" s="1617" t="s">
        <x:v>117</x:v>
      </x:c>
      <x:c r="HZ35" s="1617" t="s">
        <x:v>2028</x:v>
      </x:c>
      <x:c r="IA35" s="1617" t="s">
        <x:v>117</x:v>
      </x:c>
      <x:c r="IB35" s="1617"/>
      <x:c r="IC35" s="1617"/>
      <x:c r="ID35" s="1618"/>
      <x:c r="IE35" s="1612"/>
      <x:c r="IF35" s="1613"/>
      <x:c r="IG35" s="1614"/>
      <x:c r="IH35" s="1615"/>
      <x:c r="II35" s="1613"/>
      <x:c r="IJ35" s="1614"/>
      <x:c r="IK35" s="1615"/>
      <x:c r="IL35" s="1613"/>
      <x:c r="IM35" s="1613"/>
      <x:c r="IN35" s="1613"/>
      <x:c r="IO35" s="1613"/>
      <x:c r="IP35" s="1613"/>
      <x:c r="IQ35" s="1613"/>
      <x:c r="IR35" s="1613"/>
      <x:c r="IS35" s="1614"/>
      <x:c r="IT35" s="1615"/>
      <x:c r="IU35" s="1613"/>
      <x:c r="IV35" s="1613"/>
      <x:c r="IW35" s="1614"/>
      <x:c r="IX35" s="1615"/>
      <x:c r="IY35" s="1613"/>
      <x:c r="IZ35" s="1613"/>
      <x:c r="JA35" s="1614"/>
      <x:c r="JB35" s="1615"/>
      <x:c r="JC35" s="1613"/>
      <x:c r="JD35" s="1613"/>
      <x:c r="JE35" s="1614"/>
      <x:c r="JF35" s="1615"/>
      <x:c r="JG35" s="1613"/>
      <x:c r="JH35" s="1613"/>
      <x:c r="JI35" s="1613"/>
      <x:c r="JJ35" s="1616"/>
      <x:c r="JK35" s="1613"/>
      <x:c r="JL35" s="1521">
        <x:f t="shared" ca="1" si="31"/>
        <x:v>0</x:v>
      </x:c>
      <x:c r="JM35" s="171"/>
    </x:row>
    <x:row r="36" spans="1:273" ht="12.6" customHeight="1" x14ac:dyDescent="0.25">
      <x:c r="A36" s="1583" t="s">
        <x:v>1272</x:v>
      </x:c>
      <x:c r="B36" s="1584">
        <x:v>0</x:v>
      </x:c>
      <x:c r="C36" s="1585" t="s">
        <x:v>1954</x:v>
      </x:c>
      <x:c r="D36" s="1586">
        <x:v>51</x:v>
      </x:c>
      <x:c r="E36" s="1587">
        <x:v>11.5</x:v>
      </x:c>
      <x:c r="F36" s="1588">
        <x:v>11.125</x:v>
      </x:c>
      <x:c r="G36" s="1589">
        <x:v>0</x:v>
      </x:c>
      <x:c r="H36" s="1590">
        <x:v>1.75</x:v>
      </x:c>
      <x:c r="I36" s="1591" t="s">
        <x:v>114</x:v>
      </x:c>
      <x:c r="J36" s="1586">
        <x:v>0</x:v>
      </x:c>
      <x:c r="K36" s="1590">
        <x:v>1.75</x:v>
      </x:c>
      <x:c r="L36" s="1592" t="s">
        <x:v>114</x:v>
      </x:c>
      <x:c r="M36" s="1593">
        <x:v>7.5</x:v>
      </x:c>
      <x:c r="N36" s="1594">
        <x:v>7.5</x:v>
      </x:c>
      <x:c r="O36" s="1589">
        <x:v>0</x:v>
      </x:c>
      <x:c r="P36" s="1590">
        <x:v>6.75</x:v>
      </x:c>
      <x:c r="Q36" s="1586">
        <x:v>0</x:v>
      </x:c>
      <x:c r="R36" s="1587">
        <x:v>6.75</x:v>
      </x:c>
      <x:c r="S36" s="1595">
        <x:v>0</x:v>
      </x:c>
      <x:c r="T36" s="1590">
        <x:v>6.25</x:v>
      </x:c>
      <x:c r="U36" s="1586">
        <x:v>0</x:v>
      </x:c>
      <x:c r="V36" s="1590">
        <x:v>6.25</x:v>
      </x:c>
      <x:c r="W36" s="1594">
        <x:v>5</x:v>
      </x:c>
      <x:c r="X36" s="1596" t="str">
        <x:f t="shared" si="48"/>
        <x:v/>
      </x:c>
      <x:c r="Y36" s="1597" t="str">
        <x:f t="shared" si="49"/>
        <x:v/>
      </x:c>
      <x:c r="Z36" s="2088" t="s">
        <x:v>2029</x:v>
      </x:c>
      <x:c r="AA36" s="1598" t="str">
        <x:f t="shared" si="36"/>
        <x:v/>
      </x:c>
      <x:c r="AB36" s="1264" t="str">
        <x:f t="shared" si="70"/>
        <x:v/>
      </x:c>
      <x:c r="AC36" s="1260" t="str">
        <x:f t="shared" si="70"/>
        <x:v/>
      </x:c>
      <x:c r="AD36" s="1261" t="str">
        <x:f t="shared" ca="1" si="62"/>
        <x:v/>
      </x:c>
      <x:c r="AE36" s="1262" t="str">
        <x:f t="shared" ca="1" si="63"/>
        <x:v/>
      </x:c>
      <x:c r="AF36" s="1260" t="str">
        <x:f t="shared" ca="1" si="64"/>
        <x:v/>
      </x:c>
      <x:c r="AG36" s="1261" t="str">
        <x:f t="shared" ca="1" si="65"/>
        <x:v/>
      </x:c>
      <x:c r="AH36" s="1262" t="str">
        <x:f t="shared" ca="1" si="66"/>
        <x:v/>
      </x:c>
      <x:c r="AI36" s="1261" t="str">
        <x:f t="shared" ca="1" si="67"/>
        <x:v/>
      </x:c>
      <x:c r="AJ36" s="1262" t="str">
        <x:f t="shared" ca="1" si="68"/>
        <x:v/>
      </x:c>
      <x:c r="AK36" s="1599" t="str">
        <x:f t="shared" si="71"/>
        <x:v/>
      </x:c>
      <x:c r="AL36" s="1600" t="str">
        <x:f t="shared" si="71"/>
        <x:v/>
      </x:c>
      <x:c r="AM36" s="1601" t="str">
        <x:f t="shared" si="71"/>
        <x:v/>
      </x:c>
      <x:c r="AN36" s="1260" t="str">
        <x:f t="shared" si="71"/>
        <x:v/>
      </x:c>
      <x:c r="AO36" s="1409" t="str">
        <x:f t="shared" si="71"/>
        <x:v/>
      </x:c>
      <x:c r="AP36" s="1327" t="str">
        <x:f t="shared" si="3"/>
        <x:v/>
      </x:c>
      <x:c r="AQ36" s="1602" t="str">
        <x:f t="shared" si="3"/>
        <x:v/>
      </x:c>
      <x:c r="AR36" s="1263" t="str">
        <x:f t="shared" si="4"/>
        <x:v/>
      </x:c>
      <x:c r="AS36" s="1262" t="str">
        <x:f t="shared" si="5"/>
        <x:v/>
      </x:c>
      <x:c r="AT36" s="1603" t="str">
        <x:f t="shared" si="72"/>
        <x:v/>
      </x:c>
      <x:c r="AU36" s="1410" t="str">
        <x:f t="shared" si="72"/>
        <x:v/>
      </x:c>
      <x:c r="AV36" s="1328" t="str">
        <x:f t="shared" si="6"/>
        <x:v/>
      </x:c>
      <x:c r="AW36" s="1262" t="str">
        <x:f t="shared" si="7"/>
        <x:v/>
      </x:c>
      <x:c r="AX36" s="1603" t="str">
        <x:f t="shared" si="73"/>
        <x:v/>
      </x:c>
      <x:c r="AY36" s="1410" t="str">
        <x:f t="shared" si="73"/>
        <x:v/>
      </x:c>
      <x:c r="AZ36" s="1328" t="str">
        <x:f t="shared" si="8"/>
        <x:v/>
      </x:c>
      <x:c r="BA36" s="1262" t="str">
        <x:f t="shared" si="9"/>
        <x:v/>
      </x:c>
      <x:c r="BB36" s="1603" t="str">
        <x:f t="shared" si="74"/>
        <x:v/>
      </x:c>
      <x:c r="BC36" s="1410" t="str">
        <x:f t="shared" si="74"/>
        <x:v/>
      </x:c>
      <x:c r="BD36" s="1328" t="str">
        <x:f t="shared" si="10"/>
        <x:v/>
      </x:c>
      <x:c r="BE36" s="1262" t="str">
        <x:f t="shared" si="11"/>
        <x:v/>
      </x:c>
      <x:c r="BF36" s="1603" t="str">
        <x:f t="shared" si="75"/>
        <x:v/>
      </x:c>
      <x:c r="BG36" s="1410" t="str">
        <x:f t="shared" si="75"/>
        <x:v/>
      </x:c>
      <x:c r="BH36" s="322"/>
      <x:c r="BJ36" s="1258" t="str">
        <x:f t="shared" si="69"/>
        <x:v>G9</x:v>
      </x:c>
      <x:c r="BK36" s="1256" t="b">
        <x:f t="shared" si="76"/>
        <x:v>0</x:v>
      </x:c>
      <x:c r="BL36" s="2002" t="b">
        <x:v>0</x:v>
      </x:c>
      <x:c r="BM36" s="1251">
        <x:f t="shared" si="50"/>
        <x:v>54</x:v>
      </x:c>
      <x:c r="BN36" s="1251" t="str">
        <x:f t="shared" si="51"/>
        <x:v>G</x:v>
      </x:c>
      <x:c r="BO36" s="1251">
        <x:f t="shared" si="52"/>
        <x:v>7</x:v>
      </x:c>
      <x:c r="BP36" s="1251">
        <x:f t="shared" si="53"/>
        <x:v>13.4</x:v>
      </x:c>
      <x:c r="BQ36" s="1251">
        <x:f t="shared" si="54"/>
        <x:v>3.9</x:v>
      </x:c>
      <x:c r="BR36" s="1251" t="b">
        <x:f t="shared" si="55"/>
        <x:v>1</x:v>
      </x:c>
      <x:c r="BS36" s="1252">
        <x:f t="shared" si="56"/>
        <x:v>7.75</x:v>
      </x:c>
      <x:c r="BT36" s="1252" t="str">
        <x:f t="shared" si="57"/>
        <x:v>Yes</x:v>
      </x:c>
      <x:c r="BU36" s="1252">
        <x:f t="shared" si="58"/>
        <x:v>7.75</x:v>
      </x:c>
      <x:c r="BV36" s="1252" t="str">
        <x:f t="shared" si="59"/>
        <x:v>Yes</x:v>
      </x:c>
      <x:c r="BW36" s="1253">
        <x:f t="shared" ca="1" si="21"/>
        <x:v>0</x:v>
      </x:c>
      <x:c r="BX36" s="1254" t="str">
        <x:f t="shared" ca="1" si="28"/>
        <x:v/>
      </x:c>
      <x:c r="BY36" s="1254" t="b">
        <x:f t="shared" ca="1" si="22"/>
        <x:v>0</x:v>
      </x:c>
      <x:c r="BZ36" s="1255" t="b">
        <x:f t="shared" si="29"/>
        <x:v>0</x:v>
      </x:c>
      <x:c r="CB36" s="842"/>
      <x:c r="CC36" s="894"/>
      <x:c r="CD36" s="883"/>
      <x:c r="CE36" s="884"/>
      <x:c r="CF36" s="885"/>
      <x:c r="CG36" s="901"/>
      <x:c r="CH36" s="902"/>
      <x:c r="CI36" s="903"/>
      <x:c r="CJ36" s="902"/>
      <x:c r="CK36" s="903"/>
      <x:c r="CL36" s="904"/>
      <x:c r="CM36" s="944"/>
      <x:c r="CN36" s="901"/>
      <x:c r="CO36" s="902"/>
      <x:c r="CP36" s="903"/>
      <x:c r="CQ36" s="902"/>
      <x:c r="CR36" s="903"/>
      <x:c r="CS36" s="904"/>
      <x:c r="CT36" s="944"/>
      <x:c r="CU36" s="906"/>
      <x:c r="CV36" s="886"/>
      <x:c r="CW36" s="887"/>
      <x:c r="CX36" s="915"/>
      <x:c r="CY36" s="916"/>
      <x:c r="CZ36" s="932"/>
      <x:c r="DA36" s="933"/>
      <x:c r="DB36" s="932"/>
      <x:c r="DC36" s="933"/>
      <x:c r="DD36" s="1149"/>
      <x:c r="DE36" s="1150"/>
      <x:c r="DF36" s="173"/>
      <x:c r="DG36" s="173"/>
      <x:c r="DH36" s="842"/>
      <x:c r="DI36" s="843"/>
      <x:c r="DJ36" s="872"/>
      <x:c r="DK36" s="873"/>
      <x:c r="DL36" s="844"/>
      <x:c r="DM36" s="874"/>
      <x:c r="DN36" s="875"/>
      <x:c r="DO36" s="845"/>
      <x:c r="DP36" s="846"/>
      <x:c r="DQ36" s="847"/>
      <x:c r="DR36" s="847"/>
      <x:c r="DS36" s="848"/>
      <x:c r="DT36" s="836"/>
      <x:c r="DU36" s="837"/>
      <x:c r="DV36" s="849"/>
      <x:c r="DW36" s="850"/>
      <x:c r="DX36" s="851"/>
      <x:c r="DY36" s="852"/>
      <x:c r="DZ36" s="849"/>
      <x:c r="EA36" s="850"/>
      <x:c r="EB36" s="851"/>
      <x:c r="EC36" s="852"/>
      <x:c r="ED36" s="849"/>
      <x:c r="EE36" s="850"/>
      <x:c r="EF36" s="851"/>
      <x:c r="EG36" s="852"/>
      <x:c r="EH36" s="849"/>
      <x:c r="EI36" s="850"/>
      <x:c r="EJ36" s="851"/>
      <x:c r="EK36" s="853"/>
      <x:c r="EL36" s="807" t="str">
        <x:f t="shared" si="37"/>
        <x:v/>
      </x:c>
      <x:c r="EM36" s="808" t="str">
        <x:f t="shared" si="38"/>
        <x:v/>
      </x:c>
      <x:c r="EN36" s="809" t="str">
        <x:f t="shared" si="39"/>
        <x:v/>
      </x:c>
      <x:c r="EO36" s="1044" t="str">
        <x:f t="shared" si="40"/>
        <x:v/>
      </x:c>
      <x:c r="EP36" s="1166" t="str">
        <x:f t="shared" si="77"/>
        <x:v/>
      </x:c>
      <x:c r="EQ36" s="1167" t="str">
        <x:f t="shared" si="78"/>
        <x:v/>
      </x:c>
      <x:c r="ER36" s="961" t="str">
        <x:f t="shared" si="41"/>
        <x:v/>
      </x:c>
      <x:c r="ES36" s="962" t="str">
        <x:f t="shared" si="42"/>
        <x:v/>
      </x:c>
      <x:c r="ET36" s="963" t="str">
        <x:f t="shared" si="43"/>
        <x:v/>
      </x:c>
      <x:c r="EU36" s="964" t="str">
        <x:f t="shared" si="44"/>
        <x:v/>
      </x:c>
      <x:c r="EX36" s="1194" t="str">
        <x:f t="shared" ca="1" si="23"/>
        <x:v/>
      </x:c>
      <x:c r="EY36" s="1196" t="str">
        <x:f t="shared" si="12"/>
        <x:v/>
      </x:c>
      <x:c r="EZ36" s="1196" t="str">
        <x:f t="shared" si="24"/>
        <x:v/>
      </x:c>
      <x:c r="FA36" s="1217" t="str">
        <x:f t="shared" ca="1" si="30"/>
        <x:v/>
      </x:c>
      <x:c r="FB36" s="1218" t="str">
        <x:f t="shared" ca="1" si="25"/>
        <x:v/>
      </x:c>
      <x:c r="FC36" s="1218">
        <x:f t="shared" ca="1" si="13"/>
        <x:v>0</x:v>
      </x:c>
      <x:c r="FD36" s="1218">
        <x:f t="shared" ca="1" si="14"/>
        <x:v>0</x:v>
      </x:c>
      <x:c r="FE36" s="1218">
        <x:f t="shared" ca="1" si="15"/>
        <x:v>0</x:v>
      </x:c>
      <x:c r="FF36" s="1218">
        <x:f t="shared" ca="1" si="26"/>
        <x:v>0</x:v>
      </x:c>
      <x:c r="FN36" s="1256" t="b">
        <x:v>0</x:v>
      </x:c>
      <x:c r="FO36" s="969" t="b">
        <x:f t="shared" si="60"/>
        <x:v>1</x:v>
      </x:c>
      <x:c r="FP36" s="969" t="b">
        <x:v>0</x:v>
      </x:c>
      <x:c r="FQ36" s="969" t="b">
        <x:f t="shared" si="27"/>
        <x:v>1</x:v>
      </x:c>
      <x:c r="FX36" s="236"/>
      <x:c r="FZ36" s="2"/>
      <x:c r="GA36" s="1935">
        <x:v>52</x:v>
      </x:c>
      <x:c r="GB36" s="1936">
        <x:v>0</x:v>
      </x:c>
      <x:c r="GC36" s="1937">
        <x:v>-0.25</x:v>
      </x:c>
      <x:c r="GD36" s="1938">
        <x:v>-0.25</x:v>
      </x:c>
      <x:c r="GE36" s="1939">
        <x:f t="shared" si="79"/>
        <x:v>0</x:v>
      </x:c>
      <x:c r="GF36" s="1940" t="str">
        <x:f t="shared" si="45"/>
        <x:v>G9</x:v>
      </x:c>
      <x:c r="GG36" s="1457"/>
      <x:c r="GH36" s="1459"/>
      <x:c r="GI36" s="1457"/>
      <x:c r="GJ36" s="1459"/>
      <x:c r="GK36" s="326">
        <x:f t="shared" si="46"/>
        <x:v>623.5</x:v>
      </x:c>
      <x:c r="GL36" s="326">
        <x:f t="shared" si="47"/>
        <x:v>623.5</x:v>
      </x:c>
      <x:c r="GM36" s="327">
        <x:f>IF(ABS(GK36-GL36)&gt;='Job Info.'!$L$22,ABS(GK36-GL36),0)</x:f>
        <x:v>0</x:v>
      </x:c>
      <x:c r="HA36" s="1612" t="s">
        <x:v>1272</x:v>
      </x:c>
      <x:c r="HB36" s="1613">
        <x:v>4</x:v>
      </x:c>
      <x:c r="HC36" s="1613" t="s">
        <x:v>1954</x:v>
      </x:c>
      <x:c r="HD36" s="1614">
        <x:v>51</x:v>
      </x:c>
      <x:c r="HE36" s="1615">
        <x:v>11.5</x:v>
      </x:c>
      <x:c r="HF36" s="1613">
        <x:v>11.125</x:v>
      </x:c>
      <x:c r="HG36" s="1613">
        <x:v>0</x:v>
      </x:c>
      <x:c r="HH36" s="1613">
        <x:v>1.75</x:v>
      </x:c>
      <x:c r="HI36" s="1613" t="s">
        <x:v>114</x:v>
      </x:c>
      <x:c r="HJ36" s="1613">
        <x:v>0</x:v>
      </x:c>
      <x:c r="HK36" s="1613">
        <x:v>1.75</x:v>
      </x:c>
      <x:c r="HL36" s="1613" t="s">
        <x:v>114</x:v>
      </x:c>
      <x:c r="HM36" s="1613">
        <x:v>7.5</x:v>
      </x:c>
      <x:c r="HN36" s="1613">
        <x:v>7.5</x:v>
      </x:c>
      <x:c r="HO36" s="1613">
        <x:v>0</x:v>
      </x:c>
      <x:c r="HP36" s="1613">
        <x:v>6.75</x:v>
      </x:c>
      <x:c r="HQ36" s="1613">
        <x:v>0</x:v>
      </x:c>
      <x:c r="HR36" s="1613">
        <x:v>6.75</x:v>
      </x:c>
      <x:c r="HS36" s="1613">
        <x:v>0</x:v>
      </x:c>
      <x:c r="HT36" s="1613">
        <x:v>6.25</x:v>
      </x:c>
      <x:c r="HU36" s="1613">
        <x:v>0</x:v>
      </x:c>
      <x:c r="HV36" s="1613">
        <x:v>6.25</x:v>
      </x:c>
      <x:c r="HW36" s="1613">
        <x:v>5</x:v>
      </x:c>
      <x:c r="HX36" s="1613" t="s">
        <x:v>117</x:v>
      </x:c>
      <x:c r="HY36" s="1617" t="s">
        <x:v>117</x:v>
      </x:c>
      <x:c r="HZ36" s="1617" t="s">
        <x:v>2029</x:v>
      </x:c>
      <x:c r="IA36" s="1617" t="s">
        <x:v>117</x:v>
      </x:c>
      <x:c r="IB36" s="1617"/>
      <x:c r="IC36" s="1617"/>
      <x:c r="ID36" s="1618"/>
      <x:c r="IE36" s="1612"/>
      <x:c r="IF36" s="1613"/>
      <x:c r="IG36" s="1614"/>
      <x:c r="IH36" s="1615"/>
      <x:c r="II36" s="1613"/>
      <x:c r="IJ36" s="1614"/>
      <x:c r="IK36" s="1615"/>
      <x:c r="IL36" s="1613"/>
      <x:c r="IM36" s="1613"/>
      <x:c r="IN36" s="1613"/>
      <x:c r="IO36" s="1613"/>
      <x:c r="IP36" s="1613"/>
      <x:c r="IQ36" s="1613"/>
      <x:c r="IR36" s="1613"/>
      <x:c r="IS36" s="1614"/>
      <x:c r="IT36" s="1615"/>
      <x:c r="IU36" s="1613"/>
      <x:c r="IV36" s="1613"/>
      <x:c r="IW36" s="1614"/>
      <x:c r="IX36" s="1615"/>
      <x:c r="IY36" s="1613"/>
      <x:c r="IZ36" s="1613"/>
      <x:c r="JA36" s="1614"/>
      <x:c r="JB36" s="1615"/>
      <x:c r="JC36" s="1613"/>
      <x:c r="JD36" s="1613"/>
      <x:c r="JE36" s="1614"/>
      <x:c r="JF36" s="1615"/>
      <x:c r="JG36" s="1613"/>
      <x:c r="JH36" s="1613"/>
      <x:c r="JI36" s="1613"/>
      <x:c r="JJ36" s="1616"/>
      <x:c r="JK36" s="1613"/>
      <x:c r="JL36" s="1521">
        <x:f t="shared" ca="1" si="31"/>
        <x:v>0</x:v>
      </x:c>
      <x:c r="JM36" s="171"/>
    </x:row>
    <x:row r="37" spans="1:273" ht="12.6" customHeight="1" x14ac:dyDescent="0.25">
      <x:c r="A37" s="1583" t="s">
        <x:v>1273</x:v>
      </x:c>
      <x:c r="B37" s="1584">
        <x:v>0</x:v>
      </x:c>
      <x:c r="C37" s="1585" t="s">
        <x:v>1954</x:v>
      </x:c>
      <x:c r="D37" s="1586">
        <x:v>51</x:v>
      </x:c>
      <x:c r="E37" s="1587">
        <x:v>11.5</x:v>
      </x:c>
      <x:c r="F37" s="1588">
        <x:v>11.125</x:v>
      </x:c>
      <x:c r="G37" s="1589">
        <x:v>0</x:v>
      </x:c>
      <x:c r="H37" s="1590">
        <x:v>1.75</x:v>
      </x:c>
      <x:c r="I37" s="1591" t="s">
        <x:v>114</x:v>
      </x:c>
      <x:c r="J37" s="1586">
        <x:v>0</x:v>
      </x:c>
      <x:c r="K37" s="1590">
        <x:v>1.75</x:v>
      </x:c>
      <x:c r="L37" s="1592" t="s">
        <x:v>114</x:v>
      </x:c>
      <x:c r="M37" s="1593">
        <x:v>7.5</x:v>
      </x:c>
      <x:c r="N37" s="1594">
        <x:v>7.5</x:v>
      </x:c>
      <x:c r="O37" s="1589">
        <x:v>0</x:v>
      </x:c>
      <x:c r="P37" s="1590">
        <x:v>6.75</x:v>
      </x:c>
      <x:c r="Q37" s="1586">
        <x:v>0</x:v>
      </x:c>
      <x:c r="R37" s="1587">
        <x:v>6.75</x:v>
      </x:c>
      <x:c r="S37" s="1595">
        <x:v>0</x:v>
      </x:c>
      <x:c r="T37" s="1590">
        <x:v>6.25</x:v>
      </x:c>
      <x:c r="U37" s="1586">
        <x:v>0</x:v>
      </x:c>
      <x:c r="V37" s="1590">
        <x:v>6.25</x:v>
      </x:c>
      <x:c r="W37" s="1594">
        <x:v>5</x:v>
      </x:c>
      <x:c r="X37" s="1596" t="str">
        <x:f t="shared" si="48"/>
        <x:v/>
      </x:c>
      <x:c r="Y37" s="1597" t="str">
        <x:f t="shared" si="49"/>
        <x:v/>
      </x:c>
      <x:c r="Z37" s="2088" t="s">
        <x:v>2030</x:v>
      </x:c>
      <x:c r="AA37" s="1598" t="str">
        <x:f t="shared" si="36"/>
        <x:v/>
      </x:c>
      <x:c r="AB37" s="1264" t="str">
        <x:f t="shared" si="70"/>
        <x:v/>
      </x:c>
      <x:c r="AC37" s="1260" t="str">
        <x:f t="shared" si="70"/>
        <x:v/>
      </x:c>
      <x:c r="AD37" s="1261" t="str">
        <x:f t="shared" ca="1" si="62"/>
        <x:v/>
      </x:c>
      <x:c r="AE37" s="1262" t="str">
        <x:f t="shared" ca="1" si="63"/>
        <x:v/>
      </x:c>
      <x:c r="AF37" s="1260" t="str">
        <x:f t="shared" ca="1" si="64"/>
        <x:v/>
      </x:c>
      <x:c r="AG37" s="1261" t="str">
        <x:f t="shared" ca="1" si="65"/>
        <x:v/>
      </x:c>
      <x:c r="AH37" s="1262" t="str">
        <x:f t="shared" ca="1" si="66"/>
        <x:v/>
      </x:c>
      <x:c r="AI37" s="1261" t="str">
        <x:f t="shared" ca="1" si="67"/>
        <x:v/>
      </x:c>
      <x:c r="AJ37" s="1262" t="str">
        <x:f t="shared" ca="1" si="68"/>
        <x:v/>
      </x:c>
      <x:c r="AK37" s="1599" t="str">
        <x:f t="shared" si="71"/>
        <x:v/>
      </x:c>
      <x:c r="AL37" s="1600" t="str">
        <x:f t="shared" si="71"/>
        <x:v/>
      </x:c>
      <x:c r="AM37" s="1601" t="str">
        <x:f t="shared" si="71"/>
        <x:v/>
      </x:c>
      <x:c r="AN37" s="1260" t="str">
        <x:f t="shared" si="71"/>
        <x:v/>
      </x:c>
      <x:c r="AO37" s="1409" t="str">
        <x:f t="shared" si="71"/>
        <x:v/>
      </x:c>
      <x:c r="AP37" s="1327" t="str">
        <x:f t="shared" si="3"/>
        <x:v/>
      </x:c>
      <x:c r="AQ37" s="1602" t="str">
        <x:f t="shared" si="3"/>
        <x:v/>
      </x:c>
      <x:c r="AR37" s="1263" t="str">
        <x:f t="shared" si="4"/>
        <x:v/>
      </x:c>
      <x:c r="AS37" s="1262" t="str">
        <x:f t="shared" si="5"/>
        <x:v/>
      </x:c>
      <x:c r="AT37" s="1603" t="str">
        <x:f t="shared" si="72"/>
        <x:v/>
      </x:c>
      <x:c r="AU37" s="1410" t="str">
        <x:f t="shared" si="72"/>
        <x:v/>
      </x:c>
      <x:c r="AV37" s="1328" t="str">
        <x:f t="shared" si="6"/>
        <x:v/>
      </x:c>
      <x:c r="AW37" s="1262" t="str">
        <x:f t="shared" si="7"/>
        <x:v/>
      </x:c>
      <x:c r="AX37" s="1603" t="str">
        <x:f t="shared" si="73"/>
        <x:v/>
      </x:c>
      <x:c r="AY37" s="1410" t="str">
        <x:f t="shared" si="73"/>
        <x:v/>
      </x:c>
      <x:c r="AZ37" s="1328" t="str">
        <x:f t="shared" si="8"/>
        <x:v/>
      </x:c>
      <x:c r="BA37" s="1262" t="str">
        <x:f t="shared" si="9"/>
        <x:v/>
      </x:c>
      <x:c r="BB37" s="1603" t="str">
        <x:f t="shared" si="74"/>
        <x:v/>
      </x:c>
      <x:c r="BC37" s="1410" t="str">
        <x:f t="shared" si="74"/>
        <x:v/>
      </x:c>
      <x:c r="BD37" s="1328" t="str">
        <x:f t="shared" si="10"/>
        <x:v/>
      </x:c>
      <x:c r="BE37" s="1262" t="str">
        <x:f t="shared" si="11"/>
        <x:v/>
      </x:c>
      <x:c r="BF37" s="1603" t="str">
        <x:f t="shared" si="75"/>
        <x:v/>
      </x:c>
      <x:c r="BG37" s="1410" t="str">
        <x:f t="shared" si="75"/>
        <x:v/>
      </x:c>
      <x:c r="BH37" s="322"/>
      <x:c r="BJ37" s="1258" t="str">
        <x:f t="shared" si="69"/>
        <x:v>G10</x:v>
      </x:c>
      <x:c r="BK37" s="1256" t="b">
        <x:f t="shared" si="76"/>
        <x:v>0</x:v>
      </x:c>
      <x:c r="BL37" s="2002" t="b">
        <x:v>0</x:v>
      </x:c>
      <x:c r="BM37" s="1251">
        <x:f t="shared" si="50"/>
        <x:v>54</x:v>
      </x:c>
      <x:c r="BN37" s="1251" t="str">
        <x:f t="shared" si="51"/>
        <x:v>G</x:v>
      </x:c>
      <x:c r="BO37" s="1251">
        <x:f t="shared" si="52"/>
        <x:v>7</x:v>
      </x:c>
      <x:c r="BP37" s="1251">
        <x:f t="shared" si="53"/>
        <x:v>13.4</x:v>
      </x:c>
      <x:c r="BQ37" s="1251">
        <x:f t="shared" si="54"/>
        <x:v>3.9</x:v>
      </x:c>
      <x:c r="BR37" s="1251" t="b">
        <x:f t="shared" si="55"/>
        <x:v>1</x:v>
      </x:c>
      <x:c r="BS37" s="1252">
        <x:f t="shared" si="56"/>
        <x:v>7.75</x:v>
      </x:c>
      <x:c r="BT37" s="1252" t="str">
        <x:f t="shared" si="57"/>
        <x:v>Yes</x:v>
      </x:c>
      <x:c r="BU37" s="1252">
        <x:f t="shared" si="58"/>
        <x:v>7.75</x:v>
      </x:c>
      <x:c r="BV37" s="1252" t="str">
        <x:f t="shared" si="59"/>
        <x:v>Yes</x:v>
      </x:c>
      <x:c r="BW37" s="1253">
        <x:f t="shared" ca="1" si="21"/>
        <x:v>0</x:v>
      </x:c>
      <x:c r="BX37" s="1254" t="str">
        <x:f t="shared" ca="1" si="28"/>
        <x:v/>
      </x:c>
      <x:c r="BY37" s="1254" t="b">
        <x:f t="shared" ca="1" si="22"/>
        <x:v>0</x:v>
      </x:c>
      <x:c r="BZ37" s="1255" t="b">
        <x:f t="shared" si="29"/>
        <x:v>0</x:v>
      </x:c>
      <x:c r="CB37" s="842"/>
      <x:c r="CC37" s="894"/>
      <x:c r="CD37" s="883"/>
      <x:c r="CE37" s="884"/>
      <x:c r="CF37" s="885"/>
      <x:c r="CG37" s="901"/>
      <x:c r="CH37" s="902"/>
      <x:c r="CI37" s="903"/>
      <x:c r="CJ37" s="902"/>
      <x:c r="CK37" s="903"/>
      <x:c r="CL37" s="904"/>
      <x:c r="CM37" s="944"/>
      <x:c r="CN37" s="901"/>
      <x:c r="CO37" s="902"/>
      <x:c r="CP37" s="903"/>
      <x:c r="CQ37" s="902"/>
      <x:c r="CR37" s="903"/>
      <x:c r="CS37" s="904"/>
      <x:c r="CT37" s="944"/>
      <x:c r="CU37" s="906"/>
      <x:c r="CV37" s="886"/>
      <x:c r="CW37" s="887"/>
      <x:c r="CX37" s="915"/>
      <x:c r="CY37" s="916"/>
      <x:c r="CZ37" s="932"/>
      <x:c r="DA37" s="933"/>
      <x:c r="DB37" s="932"/>
      <x:c r="DC37" s="933"/>
      <x:c r="DD37" s="1149"/>
      <x:c r="DE37" s="1150"/>
      <x:c r="DF37" s="173"/>
      <x:c r="DG37" s="173"/>
      <x:c r="DH37" s="842"/>
      <x:c r="DI37" s="843"/>
      <x:c r="DJ37" s="872"/>
      <x:c r="DK37" s="873"/>
      <x:c r="DL37" s="844"/>
      <x:c r="DM37" s="874"/>
      <x:c r="DN37" s="875"/>
      <x:c r="DO37" s="845"/>
      <x:c r="DP37" s="846"/>
      <x:c r="DQ37" s="847"/>
      <x:c r="DR37" s="847"/>
      <x:c r="DS37" s="848"/>
      <x:c r="DT37" s="836"/>
      <x:c r="DU37" s="837"/>
      <x:c r="DV37" s="849"/>
      <x:c r="DW37" s="850"/>
      <x:c r="DX37" s="851"/>
      <x:c r="DY37" s="852"/>
      <x:c r="DZ37" s="849"/>
      <x:c r="EA37" s="850"/>
      <x:c r="EB37" s="851"/>
      <x:c r="EC37" s="852"/>
      <x:c r="ED37" s="849"/>
      <x:c r="EE37" s="850"/>
      <x:c r="EF37" s="851"/>
      <x:c r="EG37" s="852"/>
      <x:c r="EH37" s="849"/>
      <x:c r="EI37" s="850"/>
      <x:c r="EJ37" s="851"/>
      <x:c r="EK37" s="853"/>
      <x:c r="EL37" s="807" t="str">
        <x:f t="shared" si="37"/>
        <x:v/>
      </x:c>
      <x:c r="EM37" s="808" t="str">
        <x:f t="shared" si="38"/>
        <x:v/>
      </x:c>
      <x:c r="EN37" s="809" t="str">
        <x:f t="shared" si="39"/>
        <x:v/>
      </x:c>
      <x:c r="EO37" s="1044" t="str">
        <x:f t="shared" si="40"/>
        <x:v/>
      </x:c>
      <x:c r="EP37" s="1166" t="str">
        <x:f t="shared" si="77"/>
        <x:v/>
      </x:c>
      <x:c r="EQ37" s="1167" t="str">
        <x:f t="shared" si="78"/>
        <x:v/>
      </x:c>
      <x:c r="ER37" s="961" t="str">
        <x:f t="shared" si="41"/>
        <x:v/>
      </x:c>
      <x:c r="ES37" s="962" t="str">
        <x:f t="shared" si="42"/>
        <x:v/>
      </x:c>
      <x:c r="ET37" s="963" t="str">
        <x:f t="shared" si="43"/>
        <x:v/>
      </x:c>
      <x:c r="EU37" s="964" t="str">
        <x:f t="shared" si="44"/>
        <x:v/>
      </x:c>
      <x:c r="EX37" s="1194" t="str">
        <x:f t="shared" ca="1" si="23"/>
        <x:v/>
      </x:c>
      <x:c r="EY37" s="1196" t="str">
        <x:f t="shared" si="12"/>
        <x:v/>
      </x:c>
      <x:c r="EZ37" s="1196" t="str">
        <x:f t="shared" si="24"/>
        <x:v/>
      </x:c>
      <x:c r="FA37" s="1217" t="str">
        <x:f t="shared" ca="1" si="30"/>
        <x:v/>
      </x:c>
      <x:c r="FB37" s="1218" t="str">
        <x:f t="shared" ca="1" si="25"/>
        <x:v/>
      </x:c>
      <x:c r="FC37" s="1218">
        <x:f t="shared" ca="1" si="13"/>
        <x:v>0</x:v>
      </x:c>
      <x:c r="FD37" s="1218">
        <x:f t="shared" ca="1" si="14"/>
        <x:v>0</x:v>
      </x:c>
      <x:c r="FE37" s="1218">
        <x:f t="shared" ca="1" si="15"/>
        <x:v>0</x:v>
      </x:c>
      <x:c r="FF37" s="1218">
        <x:f t="shared" ca="1" si="26"/>
        <x:v>0</x:v>
      </x:c>
      <x:c r="FN37" s="1256" t="b">
        <x:v>0</x:v>
      </x:c>
      <x:c r="FO37" s="969" t="b">
        <x:f t="shared" si="60"/>
        <x:v>1</x:v>
      </x:c>
      <x:c r="FP37" s="969" t="b">
        <x:v>0</x:v>
      </x:c>
      <x:c r="FQ37" s="969" t="b">
        <x:f t="shared" si="27"/>
        <x:v>1</x:v>
      </x:c>
      <x:c r="FX37" s="236"/>
      <x:c r="FZ37" s="2"/>
      <x:c r="GA37" s="1935">
        <x:v>52</x:v>
      </x:c>
      <x:c r="GB37" s="1936">
        <x:v>0</x:v>
      </x:c>
      <x:c r="GC37" s="1937">
        <x:v>-0.25</x:v>
      </x:c>
      <x:c r="GD37" s="1938">
        <x:v>-0.25</x:v>
      </x:c>
      <x:c r="GE37" s="1939">
        <x:f t="shared" si="79"/>
        <x:v>0</x:v>
      </x:c>
      <x:c r="GF37" s="1940" t="str">
        <x:f t="shared" si="45"/>
        <x:v>G10</x:v>
      </x:c>
      <x:c r="GG37" s="1457"/>
      <x:c r="GH37" s="1459"/>
      <x:c r="GI37" s="1457"/>
      <x:c r="GJ37" s="1459"/>
      <x:c r="GK37" s="326">
        <x:f t="shared" si="46"/>
        <x:v>623.5</x:v>
      </x:c>
      <x:c r="GL37" s="326">
        <x:f t="shared" si="47"/>
        <x:v>623.5</x:v>
      </x:c>
      <x:c r="GM37" s="327">
        <x:f>IF(ABS(GK37-GL37)&gt;='Job Info.'!$L$22,ABS(GK37-GL37),0)</x:f>
        <x:v>0</x:v>
      </x:c>
      <x:c r="HA37" s="1612" t="s">
        <x:v>1273</x:v>
      </x:c>
      <x:c r="HB37" s="1613">
        <x:v>4</x:v>
      </x:c>
      <x:c r="HC37" s="1613" t="s">
        <x:v>1954</x:v>
      </x:c>
      <x:c r="HD37" s="1614">
        <x:v>51</x:v>
      </x:c>
      <x:c r="HE37" s="1615">
        <x:v>11.5</x:v>
      </x:c>
      <x:c r="HF37" s="1613">
        <x:v>11.125</x:v>
      </x:c>
      <x:c r="HG37" s="1613">
        <x:v>0</x:v>
      </x:c>
      <x:c r="HH37" s="1613">
        <x:v>1.75</x:v>
      </x:c>
      <x:c r="HI37" s="1613" t="s">
        <x:v>114</x:v>
      </x:c>
      <x:c r="HJ37" s="1613">
        <x:v>0</x:v>
      </x:c>
      <x:c r="HK37" s="1613">
        <x:v>1.75</x:v>
      </x:c>
      <x:c r="HL37" s="1613" t="s">
        <x:v>114</x:v>
      </x:c>
      <x:c r="HM37" s="1613">
        <x:v>7.5</x:v>
      </x:c>
      <x:c r="HN37" s="1613">
        <x:v>7.5</x:v>
      </x:c>
      <x:c r="HO37" s="1613">
        <x:v>0</x:v>
      </x:c>
      <x:c r="HP37" s="1613">
        <x:v>6.75</x:v>
      </x:c>
      <x:c r="HQ37" s="1613">
        <x:v>0</x:v>
      </x:c>
      <x:c r="HR37" s="1613">
        <x:v>6.75</x:v>
      </x:c>
      <x:c r="HS37" s="1613">
        <x:v>0</x:v>
      </x:c>
      <x:c r="HT37" s="1613">
        <x:v>6.25</x:v>
      </x:c>
      <x:c r="HU37" s="1613">
        <x:v>0</x:v>
      </x:c>
      <x:c r="HV37" s="1613">
        <x:v>6.25</x:v>
      </x:c>
      <x:c r="HW37" s="1613">
        <x:v>5</x:v>
      </x:c>
      <x:c r="HX37" s="1613" t="s">
        <x:v>117</x:v>
      </x:c>
      <x:c r="HY37" s="1617" t="s">
        <x:v>117</x:v>
      </x:c>
      <x:c r="HZ37" s="1617" t="s">
        <x:v>2030</x:v>
      </x:c>
      <x:c r="IA37" s="1617" t="s">
        <x:v>117</x:v>
      </x:c>
      <x:c r="IB37" s="1617"/>
      <x:c r="IC37" s="1617"/>
      <x:c r="ID37" s="1618"/>
      <x:c r="IE37" s="1612"/>
      <x:c r="IF37" s="1613"/>
      <x:c r="IG37" s="1614"/>
      <x:c r="IH37" s="1615"/>
      <x:c r="II37" s="1613"/>
      <x:c r="IJ37" s="1614"/>
      <x:c r="IK37" s="1615"/>
      <x:c r="IL37" s="1613"/>
      <x:c r="IM37" s="1613"/>
      <x:c r="IN37" s="1613"/>
      <x:c r="IO37" s="1613"/>
      <x:c r="IP37" s="1613"/>
      <x:c r="IQ37" s="1613"/>
      <x:c r="IR37" s="1613"/>
      <x:c r="IS37" s="1614"/>
      <x:c r="IT37" s="1615"/>
      <x:c r="IU37" s="1613"/>
      <x:c r="IV37" s="1613"/>
      <x:c r="IW37" s="1614"/>
      <x:c r="IX37" s="1615"/>
      <x:c r="IY37" s="1613"/>
      <x:c r="IZ37" s="1613"/>
      <x:c r="JA37" s="1614"/>
      <x:c r="JB37" s="1615"/>
      <x:c r="JC37" s="1613"/>
      <x:c r="JD37" s="1613"/>
      <x:c r="JE37" s="1614"/>
      <x:c r="JF37" s="1615"/>
      <x:c r="JG37" s="1613"/>
      <x:c r="JH37" s="1613"/>
      <x:c r="JI37" s="1613"/>
      <x:c r="JJ37" s="1616"/>
      <x:c r="JK37" s="1613"/>
      <x:c r="JL37" s="1521">
        <x:f t="shared" ca="1" si="31"/>
        <x:v>0</x:v>
      </x:c>
      <x:c r="JM37" s="171"/>
    </x:row>
    <x:row r="38" spans="1:273" ht="12.6" customHeight="1" x14ac:dyDescent="0.25">
      <x:c r="A38" s="1583" t="s">
        <x:v>1274</x:v>
      </x:c>
      <x:c r="B38" s="1584">
        <x:v>0</x:v>
      </x:c>
      <x:c r="C38" s="1585" t="s">
        <x:v>1953</x:v>
      </x:c>
      <x:c r="D38" s="1586">
        <x:v>60</x:v>
      </x:c>
      <x:c r="E38" s="1587">
        <x:v>0</x:v>
      </x:c>
      <x:c r="F38" s="1588">
        <x:v>11.125</x:v>
      </x:c>
      <x:c r="G38" s="1589">
        <x:v>0</x:v>
      </x:c>
      <x:c r="H38" s="1590">
        <x:v>1.75</x:v>
      </x:c>
      <x:c r="I38" s="1591" t="s">
        <x:v>114</x:v>
      </x:c>
      <x:c r="J38" s="1586">
        <x:v>0</x:v>
      </x:c>
      <x:c r="K38" s="1590">
        <x:v>1.75</x:v>
      </x:c>
      <x:c r="L38" s="1592" t="s">
        <x:v>114</x:v>
      </x:c>
      <x:c r="M38" s="1593">
        <x:v>7.5</x:v>
      </x:c>
      <x:c r="N38" s="1594">
        <x:v>7.5</x:v>
      </x:c>
      <x:c r="O38" s="1589">
        <x:v>0</x:v>
      </x:c>
      <x:c r="P38" s="1590">
        <x:v>4.875</x:v>
      </x:c>
      <x:c r="Q38" s="1586">
        <x:v>0</x:v>
      </x:c>
      <x:c r="R38" s="1587">
        <x:v>8.875</x:v>
      </x:c>
      <x:c r="S38" s="1595">
        <x:v>0</x:v>
      </x:c>
      <x:c r="T38" s="1590">
        <x:v>6.25</x:v>
      </x:c>
      <x:c r="U38" s="1586">
        <x:v>0</x:v>
      </x:c>
      <x:c r="V38" s="1590">
        <x:v>6.25</x:v>
      </x:c>
      <x:c r="W38" s="1594">
        <x:v>5</x:v>
      </x:c>
      <x:c r="X38" s="1596">
        <x:v>0.46666666666666701</x:v>
      </x:c>
      <x:c r="Y38" s="1597">
        <x:v>-0.46666666666666701</x:v>
      </x:c>
      <x:c r="Z38" s="2088" t="s">
        <x:v>2024</x:v>
      </x:c>
      <x:c r="AA38" s="1598" t="str">
        <x:f t="shared" si="36"/>
        <x:v/>
      </x:c>
      <x:c r="AB38" s="1264" t="str">
        <x:f t="shared" si="70"/>
        <x:v/>
      </x:c>
      <x:c r="AC38" s="1260" t="str">
        <x:f t="shared" si="70"/>
        <x:v/>
      </x:c>
      <x:c r="AD38" s="1261" t="str">
        <x:f t="shared" ca="1" si="62"/>
        <x:v/>
      </x:c>
      <x:c r="AE38" s="1262" t="str">
        <x:f t="shared" ca="1" si="63"/>
        <x:v/>
      </x:c>
      <x:c r="AF38" s="1260" t="str">
        <x:f t="shared" ca="1" si="64"/>
        <x:v/>
      </x:c>
      <x:c r="AG38" s="1261" t="str">
        <x:f t="shared" ca="1" si="65"/>
        <x:v/>
      </x:c>
      <x:c r="AH38" s="1262" t="str">
        <x:f t="shared" ca="1" si="66"/>
        <x:v/>
      </x:c>
      <x:c r="AI38" s="1261" t="str">
        <x:f t="shared" ca="1" si="67"/>
        <x:v/>
      </x:c>
      <x:c r="AJ38" s="1262" t="str">
        <x:f t="shared" ca="1" si="68"/>
        <x:v/>
      </x:c>
      <x:c r="AK38" s="1599" t="str">
        <x:f t="shared" si="71"/>
        <x:v/>
      </x:c>
      <x:c r="AL38" s="1600" t="str">
        <x:f t="shared" si="71"/>
        <x:v/>
      </x:c>
      <x:c r="AM38" s="1601" t="str">
        <x:f t="shared" si="71"/>
        <x:v/>
      </x:c>
      <x:c r="AN38" s="1260" t="str">
        <x:f t="shared" si="71"/>
        <x:v/>
      </x:c>
      <x:c r="AO38" s="1409" t="str">
        <x:f t="shared" si="71"/>
        <x:v/>
      </x:c>
      <x:c r="AP38" s="1327" t="str">
        <x:f t="shared" si="3"/>
        <x:v/>
      </x:c>
      <x:c r="AQ38" s="1602" t="str">
        <x:f t="shared" si="3"/>
        <x:v/>
      </x:c>
      <x:c r="AR38" s="1263" t="str">
        <x:f t="shared" si="4"/>
        <x:v/>
      </x:c>
      <x:c r="AS38" s="1262" t="str">
        <x:f t="shared" si="5"/>
        <x:v/>
      </x:c>
      <x:c r="AT38" s="1603" t="str">
        <x:f t="shared" si="72"/>
        <x:v/>
      </x:c>
      <x:c r="AU38" s="1410" t="str">
        <x:f t="shared" si="72"/>
        <x:v/>
      </x:c>
      <x:c r="AV38" s="1328" t="str">
        <x:f t="shared" si="6"/>
        <x:v/>
      </x:c>
      <x:c r="AW38" s="1262" t="str">
        <x:f t="shared" si="7"/>
        <x:v/>
      </x:c>
      <x:c r="AX38" s="1603" t="str">
        <x:f t="shared" si="73"/>
        <x:v/>
      </x:c>
      <x:c r="AY38" s="1410" t="str">
        <x:f t="shared" si="73"/>
        <x:v/>
      </x:c>
      <x:c r="AZ38" s="1328" t="str">
        <x:f t="shared" si="8"/>
        <x:v/>
      </x:c>
      <x:c r="BA38" s="1262" t="str">
        <x:f t="shared" si="9"/>
        <x:v/>
      </x:c>
      <x:c r="BB38" s="1603" t="str">
        <x:f t="shared" si="74"/>
        <x:v/>
      </x:c>
      <x:c r="BC38" s="1410" t="str">
        <x:f t="shared" si="74"/>
        <x:v/>
      </x:c>
      <x:c r="BD38" s="1328" t="str">
        <x:f t="shared" si="10"/>
        <x:v/>
      </x:c>
      <x:c r="BE38" s="1262" t="str">
        <x:f t="shared" si="11"/>
        <x:v/>
      </x:c>
      <x:c r="BF38" s="1603" t="str">
        <x:f t="shared" si="75"/>
        <x:v/>
      </x:c>
      <x:c r="BG38" s="1410" t="str">
        <x:f t="shared" si="75"/>
        <x:v/>
      </x:c>
      <x:c r="BH38" s="322"/>
      <x:c r="BJ38" s="1258" t="str">
        <x:f t="shared" si="69"/>
        <x:v>G11</x:v>
      </x:c>
      <x:c r="BK38" s="1256" t="b">
        <x:f t="shared" si="76"/>
        <x:v>0</x:v>
      </x:c>
      <x:c r="BL38" s="2002" t="b">
        <x:v>0</x:v>
      </x:c>
      <x:c r="BM38" s="1251">
        <x:f t="shared" si="50"/>
        <x:v>54</x:v>
      </x:c>
      <x:c r="BN38" s="1251" t="str">
        <x:f t="shared" si="51"/>
        <x:v>G</x:v>
      </x:c>
      <x:c r="BO38" s="1251">
        <x:f t="shared" si="52"/>
        <x:v>8</x:v>
      </x:c>
      <x:c r="BP38" s="1251">
        <x:f t="shared" si="53"/>
        <x:v>6.5</x:v>
      </x:c>
      <x:c r="BQ38" s="1251">
        <x:f t="shared" si="54"/>
        <x:v>2.1</x:v>
      </x:c>
      <x:c r="BR38" s="1251" t="b">
        <x:f t="shared" si="55"/>
        <x:v>1</x:v>
      </x:c>
      <x:c r="BS38" s="1252">
        <x:f t="shared" si="56"/>
        <x:v>7.75</x:v>
      </x:c>
      <x:c r="BT38" s="1252" t="str">
        <x:f t="shared" si="57"/>
        <x:v>Yes</x:v>
      </x:c>
      <x:c r="BU38" s="1252">
        <x:f t="shared" si="58"/>
        <x:v>7.75</x:v>
      </x:c>
      <x:c r="BV38" s="1252" t="str">
        <x:f t="shared" si="59"/>
        <x:v>Yes</x:v>
      </x:c>
      <x:c r="BW38" s="1253">
        <x:f t="shared" ca="1" si="21"/>
        <x:v>0</x:v>
      </x:c>
      <x:c r="BX38" s="1254" t="str">
        <x:f t="shared" ca="1" si="28"/>
        <x:v/>
      </x:c>
      <x:c r="BY38" s="1254" t="b">
        <x:f t="shared" ca="1" si="22"/>
        <x:v>0</x:v>
      </x:c>
      <x:c r="BZ38" s="1255" t="b">
        <x:f t="shared" si="29"/>
        <x:v>0</x:v>
      </x:c>
      <x:c r="CB38" s="842"/>
      <x:c r="CC38" s="894"/>
      <x:c r="CD38" s="883"/>
      <x:c r="CE38" s="884"/>
      <x:c r="CF38" s="885"/>
      <x:c r="CG38" s="901"/>
      <x:c r="CH38" s="902"/>
      <x:c r="CI38" s="903"/>
      <x:c r="CJ38" s="902"/>
      <x:c r="CK38" s="903"/>
      <x:c r="CL38" s="904"/>
      <x:c r="CM38" s="944"/>
      <x:c r="CN38" s="901"/>
      <x:c r="CO38" s="902"/>
      <x:c r="CP38" s="903"/>
      <x:c r="CQ38" s="902"/>
      <x:c r="CR38" s="903"/>
      <x:c r="CS38" s="904"/>
      <x:c r="CT38" s="944"/>
      <x:c r="CU38" s="906"/>
      <x:c r="CV38" s="886"/>
      <x:c r="CW38" s="887"/>
      <x:c r="CX38" s="915"/>
      <x:c r="CY38" s="916"/>
      <x:c r="CZ38" s="932"/>
      <x:c r="DA38" s="933"/>
      <x:c r="DB38" s="932"/>
      <x:c r="DC38" s="933"/>
      <x:c r="DD38" s="1149"/>
      <x:c r="DE38" s="1150"/>
      <x:c r="DF38" s="173"/>
      <x:c r="DG38" s="173"/>
      <x:c r="DH38" s="842"/>
      <x:c r="DI38" s="843"/>
      <x:c r="DJ38" s="872"/>
      <x:c r="DK38" s="873"/>
      <x:c r="DL38" s="844"/>
      <x:c r="DM38" s="874"/>
      <x:c r="DN38" s="875"/>
      <x:c r="DO38" s="845"/>
      <x:c r="DP38" s="846"/>
      <x:c r="DQ38" s="847"/>
      <x:c r="DR38" s="847"/>
      <x:c r="DS38" s="848"/>
      <x:c r="DT38" s="836"/>
      <x:c r="DU38" s="837"/>
      <x:c r="DV38" s="849"/>
      <x:c r="DW38" s="850"/>
      <x:c r="DX38" s="851"/>
      <x:c r="DY38" s="852"/>
      <x:c r="DZ38" s="849"/>
      <x:c r="EA38" s="850"/>
      <x:c r="EB38" s="851"/>
      <x:c r="EC38" s="852"/>
      <x:c r="ED38" s="849"/>
      <x:c r="EE38" s="850"/>
      <x:c r="EF38" s="851"/>
      <x:c r="EG38" s="852"/>
      <x:c r="EH38" s="849"/>
      <x:c r="EI38" s="850"/>
      <x:c r="EJ38" s="851"/>
      <x:c r="EK38" s="853"/>
      <x:c r="EL38" s="807" t="str">
        <x:f t="shared" si="37"/>
        <x:v/>
      </x:c>
      <x:c r="EM38" s="808" t="str">
        <x:f t="shared" si="38"/>
        <x:v/>
      </x:c>
      <x:c r="EN38" s="809" t="str">
        <x:f t="shared" si="39"/>
        <x:v/>
      </x:c>
      <x:c r="EO38" s="1044" t="str">
        <x:f t="shared" si="40"/>
        <x:v/>
      </x:c>
      <x:c r="EP38" s="1166" t="str">
        <x:f t="shared" si="77"/>
        <x:v/>
      </x:c>
      <x:c r="EQ38" s="1167" t="str">
        <x:f t="shared" si="78"/>
        <x:v/>
      </x:c>
      <x:c r="ER38" s="961" t="str">
        <x:f t="shared" si="41"/>
        <x:v/>
      </x:c>
      <x:c r="ES38" s="962" t="str">
        <x:f t="shared" si="42"/>
        <x:v/>
      </x:c>
      <x:c r="ET38" s="963" t="str">
        <x:f t="shared" si="43"/>
        <x:v/>
      </x:c>
      <x:c r="EU38" s="964" t="str">
        <x:f t="shared" si="44"/>
        <x:v/>
      </x:c>
      <x:c r="EX38" s="1194" t="str">
        <x:f t="shared" ca="1" si="23"/>
        <x:v/>
      </x:c>
      <x:c r="EY38" s="1196" t="str">
        <x:f t="shared" si="12"/>
        <x:v/>
      </x:c>
      <x:c r="EZ38" s="1196" t="str">
        <x:f t="shared" si="24"/>
        <x:v/>
      </x:c>
      <x:c r="FA38" s="1217" t="str">
        <x:f t="shared" ca="1" si="30"/>
        <x:v/>
      </x:c>
      <x:c r="FB38" s="1218" t="str">
        <x:f t="shared" ca="1" si="25"/>
        <x:v/>
      </x:c>
      <x:c r="FC38" s="1218">
        <x:f t="shared" ca="1" si="13"/>
        <x:v>0</x:v>
      </x:c>
      <x:c r="FD38" s="1218">
        <x:f t="shared" ca="1" si="14"/>
        <x:v>0</x:v>
      </x:c>
      <x:c r="FE38" s="1218">
        <x:f t="shared" ca="1" si="15"/>
        <x:v>0</x:v>
      </x:c>
      <x:c r="FF38" s="1218">
        <x:f t="shared" ca="1" si="26"/>
        <x:v>0</x:v>
      </x:c>
      <x:c r="FN38" s="1256" t="b">
        <x:v>0</x:v>
      </x:c>
      <x:c r="FO38" s="969" t="b">
        <x:f t="shared" si="60"/>
        <x:v>1</x:v>
      </x:c>
      <x:c r="FP38" s="969" t="b">
        <x:v>0</x:v>
      </x:c>
      <x:c r="FQ38" s="969" t="b">
        <x:f t="shared" si="27"/>
        <x:v>1</x:v>
      </x:c>
      <x:c r="FX38" s="236"/>
      <x:c r="FZ38" s="2"/>
      <x:c r="GA38" s="1935">
        <x:v>60</x:v>
      </x:c>
      <x:c r="GB38" s="1936">
        <x:v>0</x:v>
      </x:c>
      <x:c r="GC38" s="1937">
        <x:v>-0.25</x:v>
      </x:c>
      <x:c r="GD38" s="1938">
        <x:v>-0.25</x:v>
      </x:c>
      <x:c r="GE38" s="1939">
        <x:v>0.46666666666666701</x:v>
      </x:c>
      <x:c r="GF38" s="1940" t="str">
        <x:f t="shared" si="45"/>
        <x:v>G11</x:v>
      </x:c>
      <x:c r="GG38" s="1457"/>
      <x:c r="GH38" s="1459"/>
      <x:c r="GI38" s="1457"/>
      <x:c r="GJ38" s="1459"/>
      <x:c r="GK38" s="326">
        <x:f t="shared" si="46"/>
        <x:v>720</x:v>
      </x:c>
      <x:c r="GL38" s="326">
        <x:f t="shared" si="47"/>
        <x:v>720.04386080932431</x:v>
      </x:c>
      <x:c r="GM38" s="327">
        <x:f>IF(ABS(GK38-GL38)&gt;='Job Info.'!$L$22,ABS(GK38-GL38),0)</x:f>
        <x:v>0</x:v>
      </x:c>
      <x:c r="HA38" s="1612" t="s">
        <x:v>1274</x:v>
      </x:c>
      <x:c r="HB38" s="1613">
        <x:v>1</x:v>
      </x:c>
      <x:c r="HC38" s="1613" t="s">
        <x:v>1953</x:v>
      </x:c>
      <x:c r="HD38" s="1614">
        <x:v>60</x:v>
      </x:c>
      <x:c r="HE38" s="1615">
        <x:v>0</x:v>
      </x:c>
      <x:c r="HF38" s="1613">
        <x:v>11.125</x:v>
      </x:c>
      <x:c r="HG38" s="1613">
        <x:v>0</x:v>
      </x:c>
      <x:c r="HH38" s="1613">
        <x:v>1.75</x:v>
      </x:c>
      <x:c r="HI38" s="1613" t="s">
        <x:v>114</x:v>
      </x:c>
      <x:c r="HJ38" s="1613">
        <x:v>0</x:v>
      </x:c>
      <x:c r="HK38" s="1613">
        <x:v>1.75</x:v>
      </x:c>
      <x:c r="HL38" s="1613" t="s">
        <x:v>114</x:v>
      </x:c>
      <x:c r="HM38" s="1613">
        <x:v>7.5</x:v>
      </x:c>
      <x:c r="HN38" s="1613">
        <x:v>7.5</x:v>
      </x:c>
      <x:c r="HO38" s="1613">
        <x:v>0</x:v>
      </x:c>
      <x:c r="HP38" s="1613">
        <x:v>4.875</x:v>
      </x:c>
      <x:c r="HQ38" s="1613">
        <x:v>0</x:v>
      </x:c>
      <x:c r="HR38" s="1613">
        <x:v>8.875</x:v>
      </x:c>
      <x:c r="HS38" s="1613">
        <x:v>0</x:v>
      </x:c>
      <x:c r="HT38" s="1613">
        <x:v>6.25</x:v>
      </x:c>
      <x:c r="HU38" s="1613">
        <x:v>0</x:v>
      </x:c>
      <x:c r="HV38" s="1613">
        <x:v>6.25</x:v>
      </x:c>
      <x:c r="HW38" s="1613">
        <x:v>5</x:v>
      </x:c>
      <x:c r="HX38" s="1613">
        <x:v>0.46666666666666701</x:v>
      </x:c>
      <x:c r="HY38" s="1617">
        <x:v>-0.46666666666666701</x:v>
      </x:c>
      <x:c r="HZ38" s="1617" t="s">
        <x:v>2024</x:v>
      </x:c>
      <x:c r="IA38" s="1617" t="s">
        <x:v>117</x:v>
      </x:c>
      <x:c r="IB38" s="1617"/>
      <x:c r="IC38" s="1617"/>
      <x:c r="ID38" s="1618"/>
      <x:c r="IE38" s="1612"/>
      <x:c r="IF38" s="1613"/>
      <x:c r="IG38" s="1614"/>
      <x:c r="IH38" s="1615"/>
      <x:c r="II38" s="1613"/>
      <x:c r="IJ38" s="1614"/>
      <x:c r="IK38" s="1615"/>
      <x:c r="IL38" s="1613"/>
      <x:c r="IM38" s="1613"/>
      <x:c r="IN38" s="1613"/>
      <x:c r="IO38" s="1613"/>
      <x:c r="IP38" s="1613"/>
      <x:c r="IQ38" s="1613"/>
      <x:c r="IR38" s="1613"/>
      <x:c r="IS38" s="1614"/>
      <x:c r="IT38" s="1615"/>
      <x:c r="IU38" s="1613"/>
      <x:c r="IV38" s="1613"/>
      <x:c r="IW38" s="1614"/>
      <x:c r="IX38" s="1615"/>
      <x:c r="IY38" s="1613"/>
      <x:c r="IZ38" s="1613"/>
      <x:c r="JA38" s="1614"/>
      <x:c r="JB38" s="1615"/>
      <x:c r="JC38" s="1613"/>
      <x:c r="JD38" s="1613"/>
      <x:c r="JE38" s="1614"/>
      <x:c r="JF38" s="1615"/>
      <x:c r="JG38" s="1613"/>
      <x:c r="JH38" s="1613"/>
      <x:c r="JI38" s="1613"/>
      <x:c r="JJ38" s="1616"/>
      <x:c r="JK38" s="1613"/>
      <x:c r="JL38" s="1521">
        <x:f t="shared" ca="1" si="31"/>
        <x:v>0</x:v>
      </x:c>
      <x:c r="JM38" s="171"/>
    </x:row>
    <x:row r="39" spans="1:273" ht="12.6" customHeight="1" x14ac:dyDescent="0.25">
      <x:c r="A39" s="1583" t="s">
        <x:v>1275</x:v>
      </x:c>
      <x:c r="B39" s="1584">
        <x:v>0</x:v>
      </x:c>
      <x:c r="C39" s="1585" t="s">
        <x:v>1953</x:v>
      </x:c>
      <x:c r="D39" s="1586">
        <x:v>59</x:v>
      </x:c>
      <x:c r="E39" s="1587">
        <x:v>11.5</x:v>
      </x:c>
      <x:c r="F39" s="1588">
        <x:v>11.125</x:v>
      </x:c>
      <x:c r="G39" s="1589">
        <x:v>0</x:v>
      </x:c>
      <x:c r="H39" s="1590">
        <x:v>1.75</x:v>
      </x:c>
      <x:c r="I39" s="1591" t="s">
        <x:v>114</x:v>
      </x:c>
      <x:c r="J39" s="1586">
        <x:v>0</x:v>
      </x:c>
      <x:c r="K39" s="1590">
        <x:v>1.75</x:v>
      </x:c>
      <x:c r="L39" s="1592" t="s">
        <x:v>114</x:v>
      </x:c>
      <x:c r="M39" s="1593">
        <x:v>7.5</x:v>
      </x:c>
      <x:c r="N39" s="1594">
        <x:v>7.5</x:v>
      </x:c>
      <x:c r="O39" s="1589">
        <x:v>0</x:v>
      </x:c>
      <x:c r="P39" s="1590">
        <x:v>7.875</x:v>
      </x:c>
      <x:c r="Q39" s="1586">
        <x:v>0</x:v>
      </x:c>
      <x:c r="R39" s="1587">
        <x:v>5.75</x:v>
      </x:c>
      <x:c r="S39" s="1595">
        <x:v>0</x:v>
      </x:c>
      <x:c r="T39" s="1590">
        <x:v>6.25</x:v>
      </x:c>
      <x:c r="U39" s="1586">
        <x:v>0</x:v>
      </x:c>
      <x:c r="V39" s="1590">
        <x:v>6.25</x:v>
      </x:c>
      <x:c r="W39" s="1594">
        <x:v>5</x:v>
      </x:c>
      <x:c r="X39" s="1596" t="str">
        <x:f t="shared" si="48"/>
        <x:v/>
      </x:c>
      <x:c r="Y39" s="1597" t="str">
        <x:f t="shared" si="49"/>
        <x:v/>
      </x:c>
      <x:c r="Z39" s="2088" t="s">
        <x:v>2024</x:v>
      </x:c>
      <x:c r="AA39" s="1598" t="str">
        <x:f t="shared" si="36"/>
        <x:v/>
      </x:c>
      <x:c r="AB39" s="1264" t="str">
        <x:f t="shared" si="70"/>
        <x:v/>
      </x:c>
      <x:c r="AC39" s="1260" t="str">
        <x:f t="shared" si="70"/>
        <x:v/>
      </x:c>
      <x:c r="AD39" s="1261" t="str">
        <x:f t="shared" ca="1" si="62"/>
        <x:v/>
      </x:c>
      <x:c r="AE39" s="1262" t="str">
        <x:f t="shared" ca="1" si="63"/>
        <x:v/>
      </x:c>
      <x:c r="AF39" s="1260" t="str">
        <x:f t="shared" ca="1" si="64"/>
        <x:v/>
      </x:c>
      <x:c r="AG39" s="1261" t="str">
        <x:f t="shared" ca="1" si="65"/>
        <x:v/>
      </x:c>
      <x:c r="AH39" s="1262" t="str">
        <x:f t="shared" ca="1" si="66"/>
        <x:v/>
      </x:c>
      <x:c r="AI39" s="1261" t="str">
        <x:f t="shared" ca="1" si="67"/>
        <x:v/>
      </x:c>
      <x:c r="AJ39" s="1262" t="str">
        <x:f t="shared" ca="1" si="68"/>
        <x:v/>
      </x:c>
      <x:c r="AK39" s="1599" t="str">
        <x:f t="shared" si="71"/>
        <x:v/>
      </x:c>
      <x:c r="AL39" s="1600" t="str">
        <x:f t="shared" si="71"/>
        <x:v/>
      </x:c>
      <x:c r="AM39" s="1601" t="str">
        <x:f t="shared" si="71"/>
        <x:v/>
      </x:c>
      <x:c r="AN39" s="1260" t="str">
        <x:f t="shared" si="71"/>
        <x:v/>
      </x:c>
      <x:c r="AO39" s="1409" t="str">
        <x:f t="shared" si="71"/>
        <x:v/>
      </x:c>
      <x:c r="AP39" s="1327" t="str">
        <x:f t="shared" si="3"/>
        <x:v/>
      </x:c>
      <x:c r="AQ39" s="1602" t="str">
        <x:f t="shared" si="3"/>
        <x:v/>
      </x:c>
      <x:c r="AR39" s="1263" t="str">
        <x:f t="shared" si="4"/>
        <x:v/>
      </x:c>
      <x:c r="AS39" s="1262" t="str">
        <x:f t="shared" si="5"/>
        <x:v/>
      </x:c>
      <x:c r="AT39" s="1603" t="str">
        <x:f t="shared" si="72"/>
        <x:v/>
      </x:c>
      <x:c r="AU39" s="1410" t="str">
        <x:f t="shared" si="72"/>
        <x:v/>
      </x:c>
      <x:c r="AV39" s="1328" t="str">
        <x:f t="shared" si="6"/>
        <x:v/>
      </x:c>
      <x:c r="AW39" s="1262" t="str">
        <x:f t="shared" si="7"/>
        <x:v/>
      </x:c>
      <x:c r="AX39" s="1603" t="str">
        <x:f t="shared" si="73"/>
        <x:v/>
      </x:c>
      <x:c r="AY39" s="1410" t="str">
        <x:f t="shared" si="73"/>
        <x:v/>
      </x:c>
      <x:c r="AZ39" s="1328" t="str">
        <x:f t="shared" si="8"/>
        <x:v/>
      </x:c>
      <x:c r="BA39" s="1262" t="str">
        <x:f t="shared" si="9"/>
        <x:v/>
      </x:c>
      <x:c r="BB39" s="1603" t="str">
        <x:f t="shared" si="74"/>
        <x:v/>
      </x:c>
      <x:c r="BC39" s="1410" t="str">
        <x:f t="shared" si="74"/>
        <x:v/>
      </x:c>
      <x:c r="BD39" s="1328" t="str">
        <x:f t="shared" si="10"/>
        <x:v/>
      </x:c>
      <x:c r="BE39" s="1262" t="str">
        <x:f t="shared" si="11"/>
        <x:v/>
      </x:c>
      <x:c r="BF39" s="1603" t="str">
        <x:f t="shared" si="75"/>
        <x:v/>
      </x:c>
      <x:c r="BG39" s="1410" t="str">
        <x:f t="shared" si="75"/>
        <x:v/>
      </x:c>
      <x:c r="BH39" s="322"/>
      <x:c r="BJ39" s="1258" t="str">
        <x:f t="shared" si="69"/>
        <x:v>G12</x:v>
      </x:c>
      <x:c r="BK39" s="1256" t="b">
        <x:f t="shared" si="76"/>
        <x:v>0</x:v>
      </x:c>
      <x:c r="BL39" s="2002" t="b">
        <x:v>0</x:v>
      </x:c>
      <x:c r="BM39" s="1251">
        <x:f t="shared" si="50"/>
        <x:v>54</x:v>
      </x:c>
      <x:c r="BN39" s="1251" t="str">
        <x:f t="shared" si="51"/>
        <x:v>G</x:v>
      </x:c>
      <x:c r="BO39" s="1251">
        <x:f t="shared" si="52"/>
        <x:v>8</x:v>
      </x:c>
      <x:c r="BP39" s="1251">
        <x:f t="shared" si="53"/>
        <x:v>6.5</x:v>
      </x:c>
      <x:c r="BQ39" s="1251">
        <x:f t="shared" si="54"/>
        <x:v>2.1</x:v>
      </x:c>
      <x:c r="BR39" s="1251" t="b">
        <x:f t="shared" si="55"/>
        <x:v>1</x:v>
      </x:c>
      <x:c r="BS39" s="1252">
        <x:f t="shared" si="56"/>
        <x:v>7.75</x:v>
      </x:c>
      <x:c r="BT39" s="1252" t="str">
        <x:f t="shared" si="57"/>
        <x:v>Yes</x:v>
      </x:c>
      <x:c r="BU39" s="1252">
        <x:f t="shared" si="58"/>
        <x:v>7.75</x:v>
      </x:c>
      <x:c r="BV39" s="1252" t="str">
        <x:f t="shared" si="59"/>
        <x:v>Yes</x:v>
      </x:c>
      <x:c r="BW39" s="1253">
        <x:f t="shared" ca="1" si="21"/>
        <x:v>0</x:v>
      </x:c>
      <x:c r="BX39" s="1254" t="str">
        <x:f t="shared" ca="1" si="28"/>
        <x:v/>
      </x:c>
      <x:c r="BY39" s="1254" t="b">
        <x:f t="shared" ca="1" si="22"/>
        <x:v>0</x:v>
      </x:c>
      <x:c r="BZ39" s="1255" t="b">
        <x:f t="shared" si="29"/>
        <x:v>0</x:v>
      </x:c>
      <x:c r="CB39" s="842"/>
      <x:c r="CC39" s="894"/>
      <x:c r="CD39" s="883"/>
      <x:c r="CE39" s="884"/>
      <x:c r="CF39" s="885"/>
      <x:c r="CG39" s="901"/>
      <x:c r="CH39" s="902"/>
      <x:c r="CI39" s="903"/>
      <x:c r="CJ39" s="902"/>
      <x:c r="CK39" s="903"/>
      <x:c r="CL39" s="904"/>
      <x:c r="CM39" s="944"/>
      <x:c r="CN39" s="901"/>
      <x:c r="CO39" s="902"/>
      <x:c r="CP39" s="903"/>
      <x:c r="CQ39" s="902"/>
      <x:c r="CR39" s="903"/>
      <x:c r="CS39" s="904"/>
      <x:c r="CT39" s="944"/>
      <x:c r="CU39" s="906"/>
      <x:c r="CV39" s="886"/>
      <x:c r="CW39" s="887"/>
      <x:c r="CX39" s="915"/>
      <x:c r="CY39" s="916"/>
      <x:c r="CZ39" s="932"/>
      <x:c r="DA39" s="933"/>
      <x:c r="DB39" s="932"/>
      <x:c r="DC39" s="933"/>
      <x:c r="DD39" s="1149"/>
      <x:c r="DE39" s="1150"/>
      <x:c r="DF39" s="173"/>
      <x:c r="DG39" s="173"/>
      <x:c r="DH39" s="842"/>
      <x:c r="DI39" s="843"/>
      <x:c r="DJ39" s="872"/>
      <x:c r="DK39" s="873"/>
      <x:c r="DL39" s="844"/>
      <x:c r="DM39" s="874"/>
      <x:c r="DN39" s="875"/>
      <x:c r="DO39" s="845"/>
      <x:c r="DP39" s="846"/>
      <x:c r="DQ39" s="847"/>
      <x:c r="DR39" s="847"/>
      <x:c r="DS39" s="848"/>
      <x:c r="DT39" s="836"/>
      <x:c r="DU39" s="837"/>
      <x:c r="DV39" s="849"/>
      <x:c r="DW39" s="850"/>
      <x:c r="DX39" s="851"/>
      <x:c r="DY39" s="852"/>
      <x:c r="DZ39" s="849"/>
      <x:c r="EA39" s="850"/>
      <x:c r="EB39" s="851"/>
      <x:c r="EC39" s="852"/>
      <x:c r="ED39" s="849"/>
      <x:c r="EE39" s="850"/>
      <x:c r="EF39" s="851"/>
      <x:c r="EG39" s="852"/>
      <x:c r="EH39" s="849"/>
      <x:c r="EI39" s="850"/>
      <x:c r="EJ39" s="851"/>
      <x:c r="EK39" s="853"/>
      <x:c r="EL39" s="807" t="str">
        <x:f t="shared" si="37"/>
        <x:v/>
      </x:c>
      <x:c r="EM39" s="808" t="str">
        <x:f t="shared" si="38"/>
        <x:v/>
      </x:c>
      <x:c r="EN39" s="809" t="str">
        <x:f t="shared" si="39"/>
        <x:v/>
      </x:c>
      <x:c r="EO39" s="1044" t="str">
        <x:f t="shared" si="40"/>
        <x:v/>
      </x:c>
      <x:c r="EP39" s="1166" t="str">
        <x:f t="shared" si="77"/>
        <x:v/>
      </x:c>
      <x:c r="EQ39" s="1167" t="str">
        <x:f t="shared" si="78"/>
        <x:v/>
      </x:c>
      <x:c r="ER39" s="961" t="str">
        <x:f t="shared" si="41"/>
        <x:v/>
      </x:c>
      <x:c r="ES39" s="962" t="str">
        <x:f t="shared" si="42"/>
        <x:v/>
      </x:c>
      <x:c r="ET39" s="963" t="str">
        <x:f t="shared" si="43"/>
        <x:v/>
      </x:c>
      <x:c r="EU39" s="964" t="str">
        <x:f t="shared" si="44"/>
        <x:v/>
      </x:c>
      <x:c r="EX39" s="1194" t="str">
        <x:f t="shared" ca="1" si="23"/>
        <x:v/>
      </x:c>
      <x:c r="EY39" s="1196" t="str">
        <x:f t="shared" si="12"/>
        <x:v/>
      </x:c>
      <x:c r="EZ39" s="1196" t="str">
        <x:f t="shared" si="24"/>
        <x:v/>
      </x:c>
      <x:c r="FA39" s="1217" t="str">
        <x:f t="shared" ca="1" si="30"/>
        <x:v/>
      </x:c>
      <x:c r="FB39" s="1218" t="str">
        <x:f t="shared" ca="1" si="25"/>
        <x:v/>
      </x:c>
      <x:c r="FC39" s="1218">
        <x:f t="shared" ca="1" si="13"/>
        <x:v>0</x:v>
      </x:c>
      <x:c r="FD39" s="1218">
        <x:f t="shared" ca="1" si="14"/>
        <x:v>0</x:v>
      </x:c>
      <x:c r="FE39" s="1218">
        <x:f t="shared" ca="1" si="15"/>
        <x:v>0</x:v>
      </x:c>
      <x:c r="FF39" s="1218">
        <x:f t="shared" ca="1" si="26"/>
        <x:v>0</x:v>
      </x:c>
      <x:c r="FN39" s="1256" t="b">
        <x:v>0</x:v>
      </x:c>
      <x:c r="FO39" s="969" t="b">
        <x:f t="shared" si="60"/>
        <x:v>1</x:v>
      </x:c>
      <x:c r="FP39" s="969" t="b">
        <x:v>0</x:v>
      </x:c>
      <x:c r="FQ39" s="969" t="b">
        <x:f t="shared" si="27"/>
        <x:v>1</x:v>
      </x:c>
      <x:c r="FX39" s="236"/>
      <x:c r="FZ39" s="2"/>
      <x:c r="GA39" s="1935">
        <x:v>60</x:v>
      </x:c>
      <x:c r="GB39" s="1936">
        <x:v>0</x:v>
      </x:c>
      <x:c r="GC39" s="1937">
        <x:v>-0.25</x:v>
      </x:c>
      <x:c r="GD39" s="1938">
        <x:v>-0.25</x:v>
      </x:c>
      <x:c r="GE39" s="1939">
        <x:v>-0.25</x:v>
      </x:c>
      <x:c r="GF39" s="1940" t="str">
        <x:f t="shared" si="45"/>
        <x:v>G12</x:v>
      </x:c>
      <x:c r="GG39" s="1457"/>
      <x:c r="GH39" s="1459"/>
      <x:c r="GI39" s="1457"/>
      <x:c r="GJ39" s="1459"/>
      <x:c r="GK39" s="326">
        <x:f t="shared" si="46"/>
        <x:v>719.5</x:v>
      </x:c>
      <x:c r="GL39" s="326">
        <x:f t="shared" si="47"/>
        <x:v>719.65612455429505</x:v>
      </x:c>
      <x:c r="GM39" s="327">
        <x:f>IF(ABS(GK39-GL39)&gt;='Job Info.'!$L$22,ABS(GK39-GL39),0)</x:f>
        <x:v>0</x:v>
      </x:c>
      <x:c r="HA39" s="1612" t="s">
        <x:v>1275</x:v>
      </x:c>
      <x:c r="HB39" s="1613">
        <x:v>1</x:v>
      </x:c>
      <x:c r="HC39" s="1613" t="s">
        <x:v>1953</x:v>
      </x:c>
      <x:c r="HD39" s="1614">
        <x:v>59</x:v>
      </x:c>
      <x:c r="HE39" s="1615">
        <x:v>11.5</x:v>
      </x:c>
      <x:c r="HF39" s="1613">
        <x:v>11.125</x:v>
      </x:c>
      <x:c r="HG39" s="1613">
        <x:v>0</x:v>
      </x:c>
      <x:c r="HH39" s="1613">
        <x:v>1.75</x:v>
      </x:c>
      <x:c r="HI39" s="1613" t="s">
        <x:v>114</x:v>
      </x:c>
      <x:c r="HJ39" s="1613">
        <x:v>0</x:v>
      </x:c>
      <x:c r="HK39" s="1613">
        <x:v>1.75</x:v>
      </x:c>
      <x:c r="HL39" s="1613" t="s">
        <x:v>114</x:v>
      </x:c>
      <x:c r="HM39" s="1613">
        <x:v>7.5</x:v>
      </x:c>
      <x:c r="HN39" s="1613">
        <x:v>7.5</x:v>
      </x:c>
      <x:c r="HO39" s="1613">
        <x:v>0</x:v>
      </x:c>
      <x:c r="HP39" s="1613">
        <x:v>7.875</x:v>
      </x:c>
      <x:c r="HQ39" s="1613">
        <x:v>0</x:v>
      </x:c>
      <x:c r="HR39" s="1613">
        <x:v>5.75</x:v>
      </x:c>
      <x:c r="HS39" s="1613">
        <x:v>0</x:v>
      </x:c>
      <x:c r="HT39" s="1613">
        <x:v>6.25</x:v>
      </x:c>
      <x:c r="HU39" s="1613">
        <x:v>0</x:v>
      </x:c>
      <x:c r="HV39" s="1613">
        <x:v>6.25</x:v>
      </x:c>
      <x:c r="HW39" s="1613">
        <x:v>5</x:v>
      </x:c>
      <x:c r="HX39" s="1613" t="s">
        <x:v>117</x:v>
      </x:c>
      <x:c r="HY39" s="1617" t="s">
        <x:v>117</x:v>
      </x:c>
      <x:c r="HZ39" s="1617" t="s">
        <x:v>2024</x:v>
      </x:c>
      <x:c r="IA39" s="1617" t="s">
        <x:v>117</x:v>
      </x:c>
      <x:c r="IB39" s="1617"/>
      <x:c r="IC39" s="1617"/>
      <x:c r="ID39" s="1618"/>
      <x:c r="IE39" s="1612"/>
      <x:c r="IF39" s="1613"/>
      <x:c r="IG39" s="1614"/>
      <x:c r="IH39" s="1615"/>
      <x:c r="II39" s="1613"/>
      <x:c r="IJ39" s="1614"/>
      <x:c r="IK39" s="1615"/>
      <x:c r="IL39" s="1613"/>
      <x:c r="IM39" s="1613"/>
      <x:c r="IN39" s="1613"/>
      <x:c r="IO39" s="1613"/>
      <x:c r="IP39" s="1613"/>
      <x:c r="IQ39" s="1613"/>
      <x:c r="IR39" s="1613"/>
      <x:c r="IS39" s="1614"/>
      <x:c r="IT39" s="1615"/>
      <x:c r="IU39" s="1613"/>
      <x:c r="IV39" s="1613"/>
      <x:c r="IW39" s="1614"/>
      <x:c r="IX39" s="1615"/>
      <x:c r="IY39" s="1613"/>
      <x:c r="IZ39" s="1613"/>
      <x:c r="JA39" s="1614"/>
      <x:c r="JB39" s="1615"/>
      <x:c r="JC39" s="1613"/>
      <x:c r="JD39" s="1613"/>
      <x:c r="JE39" s="1614"/>
      <x:c r="JF39" s="1615"/>
      <x:c r="JG39" s="1613"/>
      <x:c r="JH39" s="1613"/>
      <x:c r="JI39" s="1613"/>
      <x:c r="JJ39" s="1616"/>
      <x:c r="JK39" s="1613"/>
      <x:c r="JL39" s="1521">
        <x:f t="shared" ca="1" si="31"/>
        <x:v>0</x:v>
      </x:c>
      <x:c r="JM39" s="171"/>
    </x:row>
    <x:row r="40" spans="1:273" ht="12.6" customHeight="1" x14ac:dyDescent="0.25">
      <x:c r="A40" s="1583" t="s">
        <x:v>1276</x:v>
      </x:c>
      <x:c r="B40" s="1584">
        <x:v>0</x:v>
      </x:c>
      <x:c r="C40" s="1585" t="s">
        <x:v>1952</x:v>
      </x:c>
      <x:c r="D40" s="1586">
        <x:v>49</x:v>
      </x:c>
      <x:c r="E40" s="1587">
        <x:v>11.5</x:v>
      </x:c>
      <x:c r="F40" s="1588">
        <x:v>11.125</x:v>
      </x:c>
      <x:c r="G40" s="1589">
        <x:v>0</x:v>
      </x:c>
      <x:c r="H40" s="1590">
        <x:v>1.75</x:v>
      </x:c>
      <x:c r="I40" s="1591" t="s">
        <x:v>114</x:v>
      </x:c>
      <x:c r="J40" s="1586">
        <x:v>0</x:v>
      </x:c>
      <x:c r="K40" s="1590">
        <x:v>1.75</x:v>
      </x:c>
      <x:c r="L40" s="1592" t="s">
        <x:v>114</x:v>
      </x:c>
      <x:c r="M40" s="1593">
        <x:v>7.5</x:v>
      </x:c>
      <x:c r="N40" s="1594">
        <x:v>7.5</x:v>
      </x:c>
      <x:c r="O40" s="1589">
        <x:v>0</x:v>
      </x:c>
      <x:c r="P40" s="1590">
        <x:v>7.875</x:v>
      </x:c>
      <x:c r="Q40" s="1586">
        <x:v>0</x:v>
      </x:c>
      <x:c r="R40" s="1587">
        <x:v>5.75</x:v>
      </x:c>
      <x:c r="S40" s="1595">
        <x:v>0</x:v>
      </x:c>
      <x:c r="T40" s="1590">
        <x:v>6.25</x:v>
      </x:c>
      <x:c r="U40" s="1586">
        <x:v>0</x:v>
      </x:c>
      <x:c r="V40" s="1590">
        <x:v>6.25</x:v>
      </x:c>
      <x:c r="W40" s="1594">
        <x:v>5</x:v>
      </x:c>
      <x:c r="X40" s="1596" t="str">
        <x:f t="shared" si="48"/>
        <x:v/>
      </x:c>
      <x:c r="Y40" s="1597" t="str">
        <x:f t="shared" si="49"/>
        <x:v/>
      </x:c>
      <x:c r="Z40" s="2088" t="s">
        <x:v>2024</x:v>
      </x:c>
      <x:c r="AA40" s="1598" t="str">
        <x:f t="shared" si="36"/>
        <x:v/>
      </x:c>
      <x:c r="AB40" s="1264" t="str">
        <x:f t="shared" si="70"/>
        <x:v/>
      </x:c>
      <x:c r="AC40" s="1260" t="str">
        <x:f t="shared" si="70"/>
        <x:v/>
      </x:c>
      <x:c r="AD40" s="1261" t="str">
        <x:f t="shared" ca="1" si="62"/>
        <x:v/>
      </x:c>
      <x:c r="AE40" s="1262" t="str">
        <x:f t="shared" ca="1" si="63"/>
        <x:v/>
      </x:c>
      <x:c r="AF40" s="1260" t="str">
        <x:f t="shared" ca="1" si="64"/>
        <x:v/>
      </x:c>
      <x:c r="AG40" s="1261" t="str">
        <x:f t="shared" ca="1" si="65"/>
        <x:v/>
      </x:c>
      <x:c r="AH40" s="1262" t="str">
        <x:f t="shared" ca="1" si="66"/>
        <x:v/>
      </x:c>
      <x:c r="AI40" s="1261" t="str">
        <x:f t="shared" ca="1" si="67"/>
        <x:v/>
      </x:c>
      <x:c r="AJ40" s="1262" t="str">
        <x:f t="shared" ca="1" si="68"/>
        <x:v/>
      </x:c>
      <x:c r="AK40" s="1599" t="str">
        <x:f t="shared" si="71"/>
        <x:v/>
      </x:c>
      <x:c r="AL40" s="1600" t="str">
        <x:f t="shared" si="71"/>
        <x:v/>
      </x:c>
      <x:c r="AM40" s="1601" t="str">
        <x:f t="shared" si="71"/>
        <x:v/>
      </x:c>
      <x:c r="AN40" s="1260" t="str">
        <x:f t="shared" si="71"/>
        <x:v/>
      </x:c>
      <x:c r="AO40" s="1409" t="str">
        <x:f t="shared" si="71"/>
        <x:v/>
      </x:c>
      <x:c r="AP40" s="1327" t="str">
        <x:f t="shared" si="3"/>
        <x:v/>
      </x:c>
      <x:c r="AQ40" s="1602" t="str">
        <x:f t="shared" si="3"/>
        <x:v/>
      </x:c>
      <x:c r="AR40" s="1263" t="str">
        <x:f t="shared" si="4"/>
        <x:v/>
      </x:c>
      <x:c r="AS40" s="1262" t="str">
        <x:f t="shared" si="5"/>
        <x:v/>
      </x:c>
      <x:c r="AT40" s="1603" t="str">
        <x:f t="shared" si="72"/>
        <x:v/>
      </x:c>
      <x:c r="AU40" s="1410" t="str">
        <x:f t="shared" si="72"/>
        <x:v/>
      </x:c>
      <x:c r="AV40" s="1328" t="str">
        <x:f t="shared" si="6"/>
        <x:v/>
      </x:c>
      <x:c r="AW40" s="1262" t="str">
        <x:f t="shared" si="7"/>
        <x:v/>
      </x:c>
      <x:c r="AX40" s="1603" t="str">
        <x:f t="shared" si="73"/>
        <x:v/>
      </x:c>
      <x:c r="AY40" s="1410" t="str">
        <x:f t="shared" si="73"/>
        <x:v/>
      </x:c>
      <x:c r="AZ40" s="1328" t="str">
        <x:f t="shared" si="8"/>
        <x:v/>
      </x:c>
      <x:c r="BA40" s="1262" t="str">
        <x:f t="shared" si="9"/>
        <x:v/>
      </x:c>
      <x:c r="BB40" s="1603" t="str">
        <x:f t="shared" si="74"/>
        <x:v/>
      </x:c>
      <x:c r="BC40" s="1410" t="str">
        <x:f t="shared" si="74"/>
        <x:v/>
      </x:c>
      <x:c r="BD40" s="1328" t="str">
        <x:f t="shared" si="10"/>
        <x:v/>
      </x:c>
      <x:c r="BE40" s="1262" t="str">
        <x:f t="shared" si="11"/>
        <x:v/>
      </x:c>
      <x:c r="BF40" s="1603" t="str">
        <x:f t="shared" si="75"/>
        <x:v/>
      </x:c>
      <x:c r="BG40" s="1410" t="str">
        <x:f t="shared" si="75"/>
        <x:v/>
      </x:c>
      <x:c r="BH40" s="322"/>
      <x:c r="BJ40" s="1258" t="str">
        <x:f t="shared" si="69"/>
        <x:v>G13</x:v>
      </x:c>
      <x:c r="BK40" s="1256" t="b">
        <x:f t="shared" si="76"/>
        <x:v>0</x:v>
      </x:c>
      <x:c r="BL40" s="2002" t="b">
        <x:v>0</x:v>
      </x:c>
      <x:c r="BM40" s="1251">
        <x:f t="shared" si="50"/>
        <x:v>54</x:v>
      </x:c>
      <x:c r="BN40" s="1251" t="str">
        <x:f t="shared" si="51"/>
        <x:v>G</x:v>
      </x:c>
      <x:c r="BO40" s="1251">
        <x:f t="shared" si="52"/>
        <x:v>7</x:v>
      </x:c>
      <x:c r="BP40" s="1251">
        <x:f t="shared" si="53"/>
        <x:v>6.5</x:v>
      </x:c>
      <x:c r="BQ40" s="1251">
        <x:f t="shared" si="54"/>
        <x:v>2.1</x:v>
      </x:c>
      <x:c r="BR40" s="1251" t="b">
        <x:f t="shared" si="55"/>
        <x:v>1</x:v>
      </x:c>
      <x:c r="BS40" s="1252">
        <x:f t="shared" si="56"/>
        <x:v>7.75</x:v>
      </x:c>
      <x:c r="BT40" s="1252" t="str">
        <x:f t="shared" si="57"/>
        <x:v>Yes</x:v>
      </x:c>
      <x:c r="BU40" s="1252">
        <x:f t="shared" si="58"/>
        <x:v>7.75</x:v>
      </x:c>
      <x:c r="BV40" s="1252" t="str">
        <x:f t="shared" si="59"/>
        <x:v>Yes</x:v>
      </x:c>
      <x:c r="BW40" s="1253">
        <x:f t="shared" ca="1" si="21"/>
        <x:v>0</x:v>
      </x:c>
      <x:c r="BX40" s="1254" t="str">
        <x:f t="shared" ca="1" si="28"/>
        <x:v/>
      </x:c>
      <x:c r="BY40" s="1254" t="b">
        <x:f t="shared" ca="1" si="22"/>
        <x:v>0</x:v>
      </x:c>
      <x:c r="BZ40" s="1255" t="b">
        <x:f t="shared" si="29"/>
        <x:v>0</x:v>
      </x:c>
      <x:c r="CB40" s="842"/>
      <x:c r="CC40" s="894"/>
      <x:c r="CD40" s="883"/>
      <x:c r="CE40" s="884"/>
      <x:c r="CF40" s="885"/>
      <x:c r="CG40" s="901"/>
      <x:c r="CH40" s="902"/>
      <x:c r="CI40" s="903"/>
      <x:c r="CJ40" s="902"/>
      <x:c r="CK40" s="903"/>
      <x:c r="CL40" s="904"/>
      <x:c r="CM40" s="944"/>
      <x:c r="CN40" s="901"/>
      <x:c r="CO40" s="902"/>
      <x:c r="CP40" s="903"/>
      <x:c r="CQ40" s="902"/>
      <x:c r="CR40" s="903"/>
      <x:c r="CS40" s="904"/>
      <x:c r="CT40" s="944"/>
      <x:c r="CU40" s="906"/>
      <x:c r="CV40" s="886"/>
      <x:c r="CW40" s="887"/>
      <x:c r="CX40" s="915"/>
      <x:c r="CY40" s="916"/>
      <x:c r="CZ40" s="932"/>
      <x:c r="DA40" s="933"/>
      <x:c r="DB40" s="932"/>
      <x:c r="DC40" s="933"/>
      <x:c r="DD40" s="1149"/>
      <x:c r="DE40" s="1150"/>
      <x:c r="DF40" s="173"/>
      <x:c r="DG40" s="173"/>
      <x:c r="DH40" s="842"/>
      <x:c r="DI40" s="843"/>
      <x:c r="DJ40" s="872"/>
      <x:c r="DK40" s="873"/>
      <x:c r="DL40" s="844"/>
      <x:c r="DM40" s="874"/>
      <x:c r="DN40" s="875"/>
      <x:c r="DO40" s="845"/>
      <x:c r="DP40" s="846"/>
      <x:c r="DQ40" s="847"/>
      <x:c r="DR40" s="847"/>
      <x:c r="DS40" s="848"/>
      <x:c r="DT40" s="836"/>
      <x:c r="DU40" s="837"/>
      <x:c r="DV40" s="849"/>
      <x:c r="DW40" s="850"/>
      <x:c r="DX40" s="851"/>
      <x:c r="DY40" s="852"/>
      <x:c r="DZ40" s="849"/>
      <x:c r="EA40" s="850"/>
      <x:c r="EB40" s="851"/>
      <x:c r="EC40" s="852"/>
      <x:c r="ED40" s="849"/>
      <x:c r="EE40" s="850"/>
      <x:c r="EF40" s="851"/>
      <x:c r="EG40" s="852"/>
      <x:c r="EH40" s="849"/>
      <x:c r="EI40" s="850"/>
      <x:c r="EJ40" s="851"/>
      <x:c r="EK40" s="853"/>
      <x:c r="EL40" s="807" t="str">
        <x:f t="shared" si="37"/>
        <x:v/>
      </x:c>
      <x:c r="EM40" s="808" t="str">
        <x:f t="shared" si="38"/>
        <x:v/>
      </x:c>
      <x:c r="EN40" s="809" t="str">
        <x:f t="shared" si="39"/>
        <x:v/>
      </x:c>
      <x:c r="EO40" s="1044" t="str">
        <x:f t="shared" si="40"/>
        <x:v/>
      </x:c>
      <x:c r="EP40" s="1166" t="str">
        <x:f t="shared" si="77"/>
        <x:v/>
      </x:c>
      <x:c r="EQ40" s="1167" t="str">
        <x:f t="shared" si="78"/>
        <x:v/>
      </x:c>
      <x:c r="ER40" s="961" t="str">
        <x:f t="shared" si="41"/>
        <x:v/>
      </x:c>
      <x:c r="ES40" s="962" t="str">
        <x:f t="shared" si="42"/>
        <x:v/>
      </x:c>
      <x:c r="ET40" s="963" t="str">
        <x:f t="shared" si="43"/>
        <x:v/>
      </x:c>
      <x:c r="EU40" s="964" t="str">
        <x:f t="shared" si="44"/>
        <x:v/>
      </x:c>
      <x:c r="EX40" s="1194" t="str">
        <x:f t="shared" ca="1" si="23"/>
        <x:v/>
      </x:c>
      <x:c r="EY40" s="1196" t="str">
        <x:f t="shared" si="12"/>
        <x:v/>
      </x:c>
      <x:c r="EZ40" s="1196" t="str">
        <x:f t="shared" si="24"/>
        <x:v/>
      </x:c>
      <x:c r="FA40" s="1217" t="str">
        <x:f t="shared" ca="1" si="30"/>
        <x:v/>
      </x:c>
      <x:c r="FB40" s="1218" t="str">
        <x:f t="shared" ca="1" si="25"/>
        <x:v/>
      </x:c>
      <x:c r="FC40" s="1218">
        <x:f t="shared" ca="1" si="13"/>
        <x:v>0</x:v>
      </x:c>
      <x:c r="FD40" s="1218">
        <x:f t="shared" ca="1" si="14"/>
        <x:v>0</x:v>
      </x:c>
      <x:c r="FE40" s="1218">
        <x:f t="shared" ca="1" si="15"/>
        <x:v>0</x:v>
      </x:c>
      <x:c r="FF40" s="1218">
        <x:f t="shared" ca="1" si="26"/>
        <x:v>0</x:v>
      </x:c>
      <x:c r="FN40" s="1256" t="b">
        <x:v>0</x:v>
      </x:c>
      <x:c r="FO40" s="969" t="b">
        <x:f t="shared" si="60"/>
        <x:v>1</x:v>
      </x:c>
      <x:c r="FP40" s="969" t="b">
        <x:v>0</x:v>
      </x:c>
      <x:c r="FQ40" s="969" t="b">
        <x:f t="shared" si="27"/>
        <x:v>1</x:v>
      </x:c>
      <x:c r="FX40" s="236"/>
      <x:c r="FZ40" s="2"/>
      <x:c r="GA40" s="1935">
        <x:v>50</x:v>
      </x:c>
      <x:c r="GB40" s="1936">
        <x:v>0</x:v>
      </x:c>
      <x:c r="GC40" s="1937">
        <x:v>-0.25</x:v>
      </x:c>
      <x:c r="GD40" s="1938">
        <x:v>-0.25</x:v>
      </x:c>
      <x:c r="GE40" s="1939">
        <x:v>-0.26</x:v>
      </x:c>
      <x:c r="GF40" s="1940" t="str">
        <x:f t="shared" si="45"/>
        <x:v>G13</x:v>
      </x:c>
      <x:c r="GG40" s="1457"/>
      <x:c r="GH40" s="1459"/>
      <x:c r="GI40" s="1457"/>
      <x:c r="GJ40" s="1459"/>
      <x:c r="GK40" s="326">
        <x:f t="shared" si="46"/>
        <x:v>599.5</x:v>
      </x:c>
      <x:c r="GL40" s="326">
        <x:f t="shared" si="47"/>
        <x:v>599.6406994615146</x:v>
      </x:c>
      <x:c r="GM40" s="327">
        <x:f>IF(ABS(GK40-GL40)&gt;='Job Info.'!$L$22,ABS(GK40-GL40),0)</x:f>
        <x:v>0</x:v>
      </x:c>
      <x:c r="HA40" s="1612" t="s">
        <x:v>1276</x:v>
      </x:c>
      <x:c r="HB40" s="1613">
        <x:v>1</x:v>
      </x:c>
      <x:c r="HC40" s="1613" t="s">
        <x:v>1952</x:v>
      </x:c>
      <x:c r="HD40" s="1614">
        <x:v>49</x:v>
      </x:c>
      <x:c r="HE40" s="1615">
        <x:v>11.5</x:v>
      </x:c>
      <x:c r="HF40" s="1613">
        <x:v>11.125</x:v>
      </x:c>
      <x:c r="HG40" s="1613">
        <x:v>0</x:v>
      </x:c>
      <x:c r="HH40" s="1613">
        <x:v>1.75</x:v>
      </x:c>
      <x:c r="HI40" s="1613" t="s">
        <x:v>114</x:v>
      </x:c>
      <x:c r="HJ40" s="1613">
        <x:v>0</x:v>
      </x:c>
      <x:c r="HK40" s="1613">
        <x:v>1.75</x:v>
      </x:c>
      <x:c r="HL40" s="1613" t="s">
        <x:v>114</x:v>
      </x:c>
      <x:c r="HM40" s="1613">
        <x:v>7.5</x:v>
      </x:c>
      <x:c r="HN40" s="1613">
        <x:v>7.5</x:v>
      </x:c>
      <x:c r="HO40" s="1613">
        <x:v>0</x:v>
      </x:c>
      <x:c r="HP40" s="1613">
        <x:v>7.875</x:v>
      </x:c>
      <x:c r="HQ40" s="1613">
        <x:v>0</x:v>
      </x:c>
      <x:c r="HR40" s="1613">
        <x:v>5.75</x:v>
      </x:c>
      <x:c r="HS40" s="1613">
        <x:v>0</x:v>
      </x:c>
      <x:c r="HT40" s="1613">
        <x:v>6.25</x:v>
      </x:c>
      <x:c r="HU40" s="1613">
        <x:v>0</x:v>
      </x:c>
      <x:c r="HV40" s="1613">
        <x:v>6.25</x:v>
      </x:c>
      <x:c r="HW40" s="1613">
        <x:v>5</x:v>
      </x:c>
      <x:c r="HX40" s="1613" t="s">
        <x:v>117</x:v>
      </x:c>
      <x:c r="HY40" s="1617" t="s">
        <x:v>117</x:v>
      </x:c>
      <x:c r="HZ40" s="1617" t="s">
        <x:v>2024</x:v>
      </x:c>
      <x:c r="IA40" s="1617" t="s">
        <x:v>117</x:v>
      </x:c>
      <x:c r="IB40" s="1617"/>
      <x:c r="IC40" s="1617"/>
      <x:c r="ID40" s="1618"/>
      <x:c r="IE40" s="1612"/>
      <x:c r="IF40" s="1613"/>
      <x:c r="IG40" s="1614"/>
      <x:c r="IH40" s="1615"/>
      <x:c r="II40" s="1613"/>
      <x:c r="IJ40" s="1614"/>
      <x:c r="IK40" s="1615"/>
      <x:c r="IL40" s="1613"/>
      <x:c r="IM40" s="1613"/>
      <x:c r="IN40" s="1613"/>
      <x:c r="IO40" s="1613"/>
      <x:c r="IP40" s="1613"/>
      <x:c r="IQ40" s="1613"/>
      <x:c r="IR40" s="1613"/>
      <x:c r="IS40" s="1614"/>
      <x:c r="IT40" s="1615"/>
      <x:c r="IU40" s="1613"/>
      <x:c r="IV40" s="1613"/>
      <x:c r="IW40" s="1614"/>
      <x:c r="IX40" s="1615"/>
      <x:c r="IY40" s="1613"/>
      <x:c r="IZ40" s="1613"/>
      <x:c r="JA40" s="1614"/>
      <x:c r="JB40" s="1615"/>
      <x:c r="JC40" s="1613"/>
      <x:c r="JD40" s="1613"/>
      <x:c r="JE40" s="1614"/>
      <x:c r="JF40" s="1615"/>
      <x:c r="JG40" s="1613"/>
      <x:c r="JH40" s="1613"/>
      <x:c r="JI40" s="1613"/>
      <x:c r="JJ40" s="1616"/>
      <x:c r="JK40" s="1613"/>
      <x:c r="JL40" s="1521">
        <x:f t="shared" ca="1" si="31"/>
        <x:v>0</x:v>
      </x:c>
      <x:c r="JM40" s="171"/>
    </x:row>
    <x:row r="41" spans="1:273" ht="12.6" customHeight="1" x14ac:dyDescent="0.25">
      <x:c r="A41" s="1583" t="s">
        <x:v>1277</x:v>
      </x:c>
      <x:c r="B41" s="1584">
        <x:v>0</x:v>
      </x:c>
      <x:c r="C41" s="1585" t="s">
        <x:v>1954</x:v>
      </x:c>
      <x:c r="D41" s="1586">
        <x:v>51</x:v>
      </x:c>
      <x:c r="E41" s="1587">
        <x:v>11.5</x:v>
      </x:c>
      <x:c r="F41" s="1588">
        <x:v>11.125</x:v>
      </x:c>
      <x:c r="G41" s="1589">
        <x:v>0</x:v>
      </x:c>
      <x:c r="H41" s="1590">
        <x:v>1.75</x:v>
      </x:c>
      <x:c r="I41" s="1591" t="s">
        <x:v>114</x:v>
      </x:c>
      <x:c r="J41" s="1586">
        <x:v>0</x:v>
      </x:c>
      <x:c r="K41" s="1590">
        <x:v>1.75</x:v>
      </x:c>
      <x:c r="L41" s="1592" t="s">
        <x:v>114</x:v>
      </x:c>
      <x:c r="M41" s="1593">
        <x:v>7.5</x:v>
      </x:c>
      <x:c r="N41" s="1594">
        <x:v>7.5</x:v>
      </x:c>
      <x:c r="O41" s="1589">
        <x:v>0</x:v>
      </x:c>
      <x:c r="P41" s="1590">
        <x:v>6.75</x:v>
      </x:c>
      <x:c r="Q41" s="1586">
        <x:v>0</x:v>
      </x:c>
      <x:c r="R41" s="1587">
        <x:v>6.75</x:v>
      </x:c>
      <x:c r="S41" s="1595">
        <x:v>0</x:v>
      </x:c>
      <x:c r="T41" s="1590">
        <x:v>6.25</x:v>
      </x:c>
      <x:c r="U41" s="1586">
        <x:v>0</x:v>
      </x:c>
      <x:c r="V41" s="1590">
        <x:v>6.25</x:v>
      </x:c>
      <x:c r="W41" s="1594">
        <x:v>5</x:v>
      </x:c>
      <x:c r="X41" s="1596" t="str">
        <x:f t="shared" si="48"/>
        <x:v/>
      </x:c>
      <x:c r="Y41" s="1597" t="str">
        <x:f t="shared" si="49"/>
        <x:v/>
      </x:c>
      <x:c r="Z41" s="2088" t="s">
        <x:v>2031</x:v>
      </x:c>
      <x:c r="AA41" s="1598" t="str">
        <x:f t="shared" si="36"/>
        <x:v/>
      </x:c>
      <x:c r="AB41" s="1264" t="str">
        <x:f t="shared" si="70"/>
        <x:v/>
      </x:c>
      <x:c r="AC41" s="1260" t="str">
        <x:f t="shared" si="70"/>
        <x:v/>
      </x:c>
      <x:c r="AD41" s="1261" t="str">
        <x:f t="shared" ca="1" si="62"/>
        <x:v/>
      </x:c>
      <x:c r="AE41" s="1262" t="str">
        <x:f t="shared" ca="1" si="63"/>
        <x:v/>
      </x:c>
      <x:c r="AF41" s="1260" t="str">
        <x:f t="shared" ca="1" si="64"/>
        <x:v/>
      </x:c>
      <x:c r="AG41" s="1261" t="str">
        <x:f t="shared" ca="1" si="65"/>
        <x:v/>
      </x:c>
      <x:c r="AH41" s="1262" t="str">
        <x:f t="shared" ca="1" si="66"/>
        <x:v/>
      </x:c>
      <x:c r="AI41" s="1261" t="str">
        <x:f t="shared" ca="1" si="67"/>
        <x:v/>
      </x:c>
      <x:c r="AJ41" s="1262" t="str">
        <x:f t="shared" ca="1" si="68"/>
        <x:v/>
      </x:c>
      <x:c r="AK41" s="1599" t="str">
        <x:f t="shared" si="71"/>
        <x:v/>
      </x:c>
      <x:c r="AL41" s="1600" t="str">
        <x:f t="shared" si="71"/>
        <x:v/>
      </x:c>
      <x:c r="AM41" s="1601" t="str">
        <x:f t="shared" si="71"/>
        <x:v/>
      </x:c>
      <x:c r="AN41" s="1260" t="str">
        <x:f t="shared" si="71"/>
        <x:v/>
      </x:c>
      <x:c r="AO41" s="1409" t="str">
        <x:f t="shared" si="71"/>
        <x:v/>
      </x:c>
      <x:c r="AP41" s="1327" t="str">
        <x:f t="shared" si="3"/>
        <x:v/>
      </x:c>
      <x:c r="AQ41" s="1602" t="str">
        <x:f t="shared" si="3"/>
        <x:v/>
      </x:c>
      <x:c r="AR41" s="1263" t="str">
        <x:f t="shared" si="4"/>
        <x:v/>
      </x:c>
      <x:c r="AS41" s="1262" t="str">
        <x:f t="shared" si="5"/>
        <x:v/>
      </x:c>
      <x:c r="AT41" s="1603" t="str">
        <x:f t="shared" si="72"/>
        <x:v/>
      </x:c>
      <x:c r="AU41" s="1410" t="str">
        <x:f t="shared" si="72"/>
        <x:v/>
      </x:c>
      <x:c r="AV41" s="1328" t="str">
        <x:f t="shared" si="6"/>
        <x:v/>
      </x:c>
      <x:c r="AW41" s="1262" t="str">
        <x:f t="shared" si="7"/>
        <x:v/>
      </x:c>
      <x:c r="AX41" s="1603" t="str">
        <x:f t="shared" si="73"/>
        <x:v/>
      </x:c>
      <x:c r="AY41" s="1410" t="str">
        <x:f t="shared" si="73"/>
        <x:v/>
      </x:c>
      <x:c r="AZ41" s="1328" t="str">
        <x:f t="shared" si="8"/>
        <x:v/>
      </x:c>
      <x:c r="BA41" s="1262" t="str">
        <x:f t="shared" si="9"/>
        <x:v/>
      </x:c>
      <x:c r="BB41" s="1603" t="str">
        <x:f t="shared" si="74"/>
        <x:v/>
      </x:c>
      <x:c r="BC41" s="1410" t="str">
        <x:f t="shared" si="74"/>
        <x:v/>
      </x:c>
      <x:c r="BD41" s="1328" t="str">
        <x:f t="shared" si="10"/>
        <x:v/>
      </x:c>
      <x:c r="BE41" s="1262" t="str">
        <x:f t="shared" si="11"/>
        <x:v/>
      </x:c>
      <x:c r="BF41" s="1603" t="str">
        <x:f t="shared" si="75"/>
        <x:v/>
      </x:c>
      <x:c r="BG41" s="1410" t="str">
        <x:f t="shared" si="75"/>
        <x:v/>
      </x:c>
      <x:c r="BH41" s="322"/>
      <x:c r="BJ41" s="1258" t="str">
        <x:f t="shared" si="69"/>
        <x:v>G14</x:v>
      </x:c>
      <x:c r="BK41" s="1256" t="b">
        <x:f t="shared" si="76"/>
        <x:v>0</x:v>
      </x:c>
      <x:c r="BL41" s="2002" t="b">
        <x:v>0</x:v>
      </x:c>
      <x:c r="BM41" s="1251">
        <x:f t="shared" si="50"/>
        <x:v>54</x:v>
      </x:c>
      <x:c r="BN41" s="1251" t="str">
        <x:f t="shared" si="51"/>
        <x:v>G</x:v>
      </x:c>
      <x:c r="BO41" s="1251">
        <x:f t="shared" si="52"/>
        <x:v>7</x:v>
      </x:c>
      <x:c r="BP41" s="1251">
        <x:f t="shared" si="53"/>
        <x:v>13.4</x:v>
      </x:c>
      <x:c r="BQ41" s="1251">
        <x:f t="shared" si="54"/>
        <x:v>3.9</x:v>
      </x:c>
      <x:c r="BR41" s="1251" t="b">
        <x:f t="shared" si="55"/>
        <x:v>1</x:v>
      </x:c>
      <x:c r="BS41" s="1252">
        <x:f t="shared" si="56"/>
        <x:v>7.75</x:v>
      </x:c>
      <x:c r="BT41" s="1252" t="str">
        <x:f t="shared" si="57"/>
        <x:v>Yes</x:v>
      </x:c>
      <x:c r="BU41" s="1252">
        <x:f t="shared" si="58"/>
        <x:v>7.75</x:v>
      </x:c>
      <x:c r="BV41" s="1252" t="str">
        <x:f t="shared" si="59"/>
        <x:v>Yes</x:v>
      </x:c>
      <x:c r="BW41" s="1253">
        <x:f t="shared" ca="1" si="21"/>
        <x:v>0</x:v>
      </x:c>
      <x:c r="BX41" s="1254" t="str">
        <x:f t="shared" ca="1" si="28"/>
        <x:v/>
      </x:c>
      <x:c r="BY41" s="1254" t="b">
        <x:f t="shared" ca="1" si="22"/>
        <x:v>0</x:v>
      </x:c>
      <x:c r="BZ41" s="1255" t="b">
        <x:f t="shared" si="29"/>
        <x:v>0</x:v>
      </x:c>
      <x:c r="CB41" s="842"/>
      <x:c r="CC41" s="894"/>
      <x:c r="CD41" s="883"/>
      <x:c r="CE41" s="884"/>
      <x:c r="CF41" s="885"/>
      <x:c r="CG41" s="901"/>
      <x:c r="CH41" s="902"/>
      <x:c r="CI41" s="903"/>
      <x:c r="CJ41" s="902"/>
      <x:c r="CK41" s="903"/>
      <x:c r="CL41" s="904"/>
      <x:c r="CM41" s="944"/>
      <x:c r="CN41" s="901"/>
      <x:c r="CO41" s="902"/>
      <x:c r="CP41" s="903"/>
      <x:c r="CQ41" s="902"/>
      <x:c r="CR41" s="903"/>
      <x:c r="CS41" s="904"/>
      <x:c r="CT41" s="944"/>
      <x:c r="CU41" s="906"/>
      <x:c r="CV41" s="886"/>
      <x:c r="CW41" s="887"/>
      <x:c r="CX41" s="915"/>
      <x:c r="CY41" s="916"/>
      <x:c r="CZ41" s="932"/>
      <x:c r="DA41" s="933"/>
      <x:c r="DB41" s="932"/>
      <x:c r="DC41" s="933"/>
      <x:c r="DD41" s="1149"/>
      <x:c r="DE41" s="1150"/>
      <x:c r="DF41" s="173"/>
      <x:c r="DG41" s="173"/>
      <x:c r="DH41" s="842"/>
      <x:c r="DI41" s="843"/>
      <x:c r="DJ41" s="872"/>
      <x:c r="DK41" s="873"/>
      <x:c r="DL41" s="844"/>
      <x:c r="DM41" s="874"/>
      <x:c r="DN41" s="875"/>
      <x:c r="DO41" s="845"/>
      <x:c r="DP41" s="846"/>
      <x:c r="DQ41" s="847"/>
      <x:c r="DR41" s="847"/>
      <x:c r="DS41" s="848"/>
      <x:c r="DT41" s="836"/>
      <x:c r="DU41" s="837"/>
      <x:c r="DV41" s="849"/>
      <x:c r="DW41" s="850"/>
      <x:c r="DX41" s="851"/>
      <x:c r="DY41" s="852"/>
      <x:c r="DZ41" s="849"/>
      <x:c r="EA41" s="850"/>
      <x:c r="EB41" s="851"/>
      <x:c r="EC41" s="852"/>
      <x:c r="ED41" s="849"/>
      <x:c r="EE41" s="850"/>
      <x:c r="EF41" s="851"/>
      <x:c r="EG41" s="852"/>
      <x:c r="EH41" s="849"/>
      <x:c r="EI41" s="850"/>
      <x:c r="EJ41" s="851"/>
      <x:c r="EK41" s="853"/>
      <x:c r="EL41" s="807" t="str">
        <x:f t="shared" si="37"/>
        <x:v/>
      </x:c>
      <x:c r="EM41" s="808" t="str">
        <x:f t="shared" si="38"/>
        <x:v/>
      </x:c>
      <x:c r="EN41" s="809" t="str">
        <x:f t="shared" si="39"/>
        <x:v/>
      </x:c>
      <x:c r="EO41" s="1044" t="str">
        <x:f t="shared" si="40"/>
        <x:v/>
      </x:c>
      <x:c r="EP41" s="1166" t="str">
        <x:f t="shared" si="77"/>
        <x:v/>
      </x:c>
      <x:c r="EQ41" s="1167" t="str">
        <x:f t="shared" si="78"/>
        <x:v/>
      </x:c>
      <x:c r="ER41" s="961" t="str">
        <x:f t="shared" si="41"/>
        <x:v/>
      </x:c>
      <x:c r="ES41" s="962" t="str">
        <x:f t="shared" si="42"/>
        <x:v/>
      </x:c>
      <x:c r="ET41" s="963" t="str">
        <x:f t="shared" si="43"/>
        <x:v/>
      </x:c>
      <x:c r="EU41" s="964" t="str">
        <x:f t="shared" si="44"/>
        <x:v/>
      </x:c>
      <x:c r="EX41" s="1194" t="str">
        <x:f t="shared" ca="1" si="23"/>
        <x:v/>
      </x:c>
      <x:c r="EY41" s="1196" t="str">
        <x:f t="shared" si="12"/>
        <x:v/>
      </x:c>
      <x:c r="EZ41" s="1196" t="str">
        <x:f t="shared" si="24"/>
        <x:v/>
      </x:c>
      <x:c r="FA41" s="1217" t="str">
        <x:f t="shared" ca="1" si="30"/>
        <x:v/>
      </x:c>
      <x:c r="FB41" s="1218" t="str">
        <x:f t="shared" ca="1" si="25"/>
        <x:v/>
      </x:c>
      <x:c r="FC41" s="1218">
        <x:f t="shared" ca="1" si="13"/>
        <x:v>0</x:v>
      </x:c>
      <x:c r="FD41" s="1218">
        <x:f t="shared" ca="1" si="14"/>
        <x:v>0</x:v>
      </x:c>
      <x:c r="FE41" s="1218">
        <x:f t="shared" ca="1" si="15"/>
        <x:v>0</x:v>
      </x:c>
      <x:c r="FF41" s="1218">
        <x:f t="shared" ca="1" si="26"/>
        <x:v>0</x:v>
      </x:c>
      <x:c r="FN41" s="1256" t="b">
        <x:v>0</x:v>
      </x:c>
      <x:c r="FO41" s="969" t="b">
        <x:f t="shared" si="60"/>
        <x:v>1</x:v>
      </x:c>
      <x:c r="FP41" s="969" t="b">
        <x:v>0</x:v>
      </x:c>
      <x:c r="FQ41" s="969" t="b">
        <x:f t="shared" si="27"/>
        <x:v>1</x:v>
      </x:c>
      <x:c r="FX41" s="236"/>
      <x:c r="FZ41" s="2"/>
      <x:c r="GA41" s="1935">
        <x:v>52</x:v>
      </x:c>
      <x:c r="GB41" s="1936">
        <x:v>0</x:v>
      </x:c>
      <x:c r="GC41" s="1937">
        <x:v>-0.25</x:v>
      </x:c>
      <x:c r="GD41" s="1938">
        <x:v>-0.25</x:v>
      </x:c>
      <x:c r="GE41" s="1939">
        <x:f t="shared" si="79"/>
        <x:v>0</x:v>
      </x:c>
      <x:c r="GF41" s="1940" t="str">
        <x:f t="shared" si="45"/>
        <x:v>G14</x:v>
      </x:c>
      <x:c r="GG41" s="1457"/>
      <x:c r="GH41" s="1459"/>
      <x:c r="GI41" s="1457"/>
      <x:c r="GJ41" s="1459"/>
      <x:c r="GK41" s="326">
        <x:f t="shared" si="46"/>
        <x:v>623.5</x:v>
      </x:c>
      <x:c r="GL41" s="326">
        <x:f t="shared" si="47"/>
        <x:v>623.5</x:v>
      </x:c>
      <x:c r="GM41" s="327">
        <x:f>IF(ABS(GK41-GL41)&gt;='Job Info.'!$L$22,ABS(GK41-GL41),0)</x:f>
        <x:v>0</x:v>
      </x:c>
      <x:c r="HA41" s="1612" t="s">
        <x:v>1277</x:v>
      </x:c>
      <x:c r="HB41" s="1613">
        <x:v>4</x:v>
      </x:c>
      <x:c r="HC41" s="1613" t="s">
        <x:v>1954</x:v>
      </x:c>
      <x:c r="HD41" s="1614">
        <x:v>51</x:v>
      </x:c>
      <x:c r="HE41" s="1615">
        <x:v>11.5</x:v>
      </x:c>
      <x:c r="HF41" s="1613">
        <x:v>11.125</x:v>
      </x:c>
      <x:c r="HG41" s="1613">
        <x:v>0</x:v>
      </x:c>
      <x:c r="HH41" s="1613">
        <x:v>1.75</x:v>
      </x:c>
      <x:c r="HI41" s="1613" t="s">
        <x:v>114</x:v>
      </x:c>
      <x:c r="HJ41" s="1613">
        <x:v>0</x:v>
      </x:c>
      <x:c r="HK41" s="1613">
        <x:v>1.75</x:v>
      </x:c>
      <x:c r="HL41" s="1613" t="s">
        <x:v>114</x:v>
      </x:c>
      <x:c r="HM41" s="1613">
        <x:v>7.5</x:v>
      </x:c>
      <x:c r="HN41" s="1613">
        <x:v>7.5</x:v>
      </x:c>
      <x:c r="HO41" s="1613">
        <x:v>0</x:v>
      </x:c>
      <x:c r="HP41" s="1613">
        <x:v>6.75</x:v>
      </x:c>
      <x:c r="HQ41" s="1613">
        <x:v>0</x:v>
      </x:c>
      <x:c r="HR41" s="1613">
        <x:v>6.75</x:v>
      </x:c>
      <x:c r="HS41" s="1613">
        <x:v>0</x:v>
      </x:c>
      <x:c r="HT41" s="1613">
        <x:v>6.25</x:v>
      </x:c>
      <x:c r="HU41" s="1613">
        <x:v>0</x:v>
      </x:c>
      <x:c r="HV41" s="1613">
        <x:v>6.25</x:v>
      </x:c>
      <x:c r="HW41" s="1613">
        <x:v>5</x:v>
      </x:c>
      <x:c r="HX41" s="1613" t="s">
        <x:v>117</x:v>
      </x:c>
      <x:c r="HY41" s="1617" t="s">
        <x:v>117</x:v>
      </x:c>
      <x:c r="HZ41" s="1617" t="s">
        <x:v>2031</x:v>
      </x:c>
      <x:c r="IA41" s="1617" t="s">
        <x:v>117</x:v>
      </x:c>
      <x:c r="IB41" s="1617"/>
      <x:c r="IC41" s="1617"/>
      <x:c r="ID41" s="1618"/>
      <x:c r="IE41" s="1612"/>
      <x:c r="IF41" s="1613"/>
      <x:c r="IG41" s="1614"/>
      <x:c r="IH41" s="1615"/>
      <x:c r="II41" s="1613"/>
      <x:c r="IJ41" s="1614"/>
      <x:c r="IK41" s="1615"/>
      <x:c r="IL41" s="1613"/>
      <x:c r="IM41" s="1613"/>
      <x:c r="IN41" s="1613"/>
      <x:c r="IO41" s="1613"/>
      <x:c r="IP41" s="1613"/>
      <x:c r="IQ41" s="1613"/>
      <x:c r="IR41" s="1613"/>
      <x:c r="IS41" s="1614"/>
      <x:c r="IT41" s="1615"/>
      <x:c r="IU41" s="1613"/>
      <x:c r="IV41" s="1613"/>
      <x:c r="IW41" s="1614"/>
      <x:c r="IX41" s="1615"/>
      <x:c r="IY41" s="1613"/>
      <x:c r="IZ41" s="1613"/>
      <x:c r="JA41" s="1614"/>
      <x:c r="JB41" s="1615"/>
      <x:c r="JC41" s="1613"/>
      <x:c r="JD41" s="1613"/>
      <x:c r="JE41" s="1614"/>
      <x:c r="JF41" s="1615"/>
      <x:c r="JG41" s="1613"/>
      <x:c r="JH41" s="1613"/>
      <x:c r="JI41" s="1613"/>
      <x:c r="JJ41" s="1616"/>
      <x:c r="JK41" s="1613"/>
      <x:c r="JL41" s="1521">
        <x:f t="shared" ca="1" si="31"/>
        <x:v>0</x:v>
      </x:c>
      <x:c r="JM41" s="171"/>
    </x:row>
    <x:row r="42" spans="1:273" ht="12.6" customHeight="1" x14ac:dyDescent="0.25">
      <x:c r="A42" s="1583" t="s">
        <x:v>1278</x:v>
      </x:c>
      <x:c r="B42" s="1584">
        <x:v>0</x:v>
      </x:c>
      <x:c r="C42" s="1585" t="s">
        <x:v>1954</x:v>
      </x:c>
      <x:c r="D42" s="1586">
        <x:v>51</x:v>
      </x:c>
      <x:c r="E42" s="1587">
        <x:v>11.5</x:v>
      </x:c>
      <x:c r="F42" s="1588">
        <x:v>11.125</x:v>
      </x:c>
      <x:c r="G42" s="1589">
        <x:v>0</x:v>
      </x:c>
      <x:c r="H42" s="1590">
        <x:v>1.75</x:v>
      </x:c>
      <x:c r="I42" s="1591" t="s">
        <x:v>114</x:v>
      </x:c>
      <x:c r="J42" s="1586">
        <x:v>0</x:v>
      </x:c>
      <x:c r="K42" s="1590">
        <x:v>1.75</x:v>
      </x:c>
      <x:c r="L42" s="1592" t="s">
        <x:v>114</x:v>
      </x:c>
      <x:c r="M42" s="1593">
        <x:v>7.5</x:v>
      </x:c>
      <x:c r="N42" s="1594">
        <x:v>7.5</x:v>
      </x:c>
      <x:c r="O42" s="1589">
        <x:v>0</x:v>
      </x:c>
      <x:c r="P42" s="1590">
        <x:v>6.75</x:v>
      </x:c>
      <x:c r="Q42" s="1586">
        <x:v>0</x:v>
      </x:c>
      <x:c r="R42" s="1587">
        <x:v>6.75</x:v>
      </x:c>
      <x:c r="S42" s="1595">
        <x:v>0</x:v>
      </x:c>
      <x:c r="T42" s="1590">
        <x:v>6.25</x:v>
      </x:c>
      <x:c r="U42" s="1586">
        <x:v>0</x:v>
      </x:c>
      <x:c r="V42" s="1590">
        <x:v>6.25</x:v>
      </x:c>
      <x:c r="W42" s="1594">
        <x:v>5</x:v>
      </x:c>
      <x:c r="X42" s="1596" t="str">
        <x:f t="shared" si="48"/>
        <x:v/>
      </x:c>
      <x:c r="Y42" s="1597" t="str">
        <x:f t="shared" si="49"/>
        <x:v/>
      </x:c>
      <x:c r="Z42" s="2088" t="s">
        <x:v>2032</x:v>
      </x:c>
      <x:c r="AA42" s="1598" t="str">
        <x:f t="shared" si="36"/>
        <x:v/>
      </x:c>
      <x:c r="AB42" s="1264" t="str">
        <x:f t="shared" si="70"/>
        <x:v/>
      </x:c>
      <x:c r="AC42" s="1260" t="str">
        <x:f t="shared" si="70"/>
        <x:v/>
      </x:c>
      <x:c r="AD42" s="1261" t="str">
        <x:f t="shared" ca="1" si="62"/>
        <x:v/>
      </x:c>
      <x:c r="AE42" s="1262" t="str">
        <x:f t="shared" ca="1" si="63"/>
        <x:v/>
      </x:c>
      <x:c r="AF42" s="1260" t="str">
        <x:f t="shared" ca="1" si="64"/>
        <x:v/>
      </x:c>
      <x:c r="AG42" s="1261" t="str">
        <x:f t="shared" ca="1" si="65"/>
        <x:v/>
      </x:c>
      <x:c r="AH42" s="1262" t="str">
        <x:f t="shared" ca="1" si="66"/>
        <x:v/>
      </x:c>
      <x:c r="AI42" s="1261" t="str">
        <x:f t="shared" ca="1" si="67"/>
        <x:v/>
      </x:c>
      <x:c r="AJ42" s="1262" t="str">
        <x:f t="shared" ca="1" si="68"/>
        <x:v/>
      </x:c>
      <x:c r="AK42" s="1599" t="str">
        <x:f t="shared" si="71"/>
        <x:v/>
      </x:c>
      <x:c r="AL42" s="1600" t="str">
        <x:f t="shared" si="71"/>
        <x:v/>
      </x:c>
      <x:c r="AM42" s="1601" t="str">
        <x:f t="shared" si="71"/>
        <x:v/>
      </x:c>
      <x:c r="AN42" s="1260" t="str">
        <x:f t="shared" si="71"/>
        <x:v/>
      </x:c>
      <x:c r="AO42" s="1409" t="str">
        <x:f t="shared" si="71"/>
        <x:v/>
      </x:c>
      <x:c r="AP42" s="1327" t="str">
        <x:f t="shared" si="3"/>
        <x:v/>
      </x:c>
      <x:c r="AQ42" s="1602" t="str">
        <x:f t="shared" si="3"/>
        <x:v/>
      </x:c>
      <x:c r="AR42" s="1263" t="str">
        <x:f t="shared" si="4"/>
        <x:v/>
      </x:c>
      <x:c r="AS42" s="1262" t="str">
        <x:f t="shared" si="5"/>
        <x:v/>
      </x:c>
      <x:c r="AT42" s="1603" t="str">
        <x:f t="shared" si="72"/>
        <x:v/>
      </x:c>
      <x:c r="AU42" s="1410" t="str">
        <x:f t="shared" si="72"/>
        <x:v/>
      </x:c>
      <x:c r="AV42" s="1328" t="str">
        <x:f t="shared" si="6"/>
        <x:v/>
      </x:c>
      <x:c r="AW42" s="1262" t="str">
        <x:f t="shared" si="7"/>
        <x:v/>
      </x:c>
      <x:c r="AX42" s="1603" t="str">
        <x:f t="shared" si="73"/>
        <x:v/>
      </x:c>
      <x:c r="AY42" s="1410" t="str">
        <x:f t="shared" si="73"/>
        <x:v/>
      </x:c>
      <x:c r="AZ42" s="1328" t="str">
        <x:f t="shared" si="8"/>
        <x:v/>
      </x:c>
      <x:c r="BA42" s="1262" t="str">
        <x:f t="shared" si="9"/>
        <x:v/>
      </x:c>
      <x:c r="BB42" s="1603" t="str">
        <x:f t="shared" si="74"/>
        <x:v/>
      </x:c>
      <x:c r="BC42" s="1410" t="str">
        <x:f t="shared" si="74"/>
        <x:v/>
      </x:c>
      <x:c r="BD42" s="1328" t="str">
        <x:f t="shared" si="10"/>
        <x:v/>
      </x:c>
      <x:c r="BE42" s="1262" t="str">
        <x:f t="shared" si="11"/>
        <x:v/>
      </x:c>
      <x:c r="BF42" s="1603" t="str">
        <x:f t="shared" si="75"/>
        <x:v/>
      </x:c>
      <x:c r="BG42" s="1410" t="str">
        <x:f t="shared" si="75"/>
        <x:v/>
      </x:c>
      <x:c r="BH42" s="322"/>
      <x:c r="BJ42" s="1258" t="str">
        <x:f t="shared" si="69"/>
        <x:v>G15</x:v>
      </x:c>
      <x:c r="BK42" s="1256" t="b">
        <x:f t="shared" si="76"/>
        <x:v>0</x:v>
      </x:c>
      <x:c r="BL42" s="2002" t="b">
        <x:v>0</x:v>
      </x:c>
      <x:c r="BM42" s="1251">
        <x:f t="shared" si="50"/>
        <x:v>54</x:v>
      </x:c>
      <x:c r="BN42" s="1251" t="str">
        <x:f t="shared" si="51"/>
        <x:v>G</x:v>
      </x:c>
      <x:c r="BO42" s="1251">
        <x:f t="shared" si="52"/>
        <x:v>7</x:v>
      </x:c>
      <x:c r="BP42" s="1251">
        <x:f t="shared" si="53"/>
        <x:v>13.4</x:v>
      </x:c>
      <x:c r="BQ42" s="1251">
        <x:f t="shared" si="54"/>
        <x:v>3.9</x:v>
      </x:c>
      <x:c r="BR42" s="1251" t="b">
        <x:f t="shared" si="55"/>
        <x:v>1</x:v>
      </x:c>
      <x:c r="BS42" s="1252">
        <x:f t="shared" si="56"/>
        <x:v>7.75</x:v>
      </x:c>
      <x:c r="BT42" s="1252" t="str">
        <x:f t="shared" si="57"/>
        <x:v>Yes</x:v>
      </x:c>
      <x:c r="BU42" s="1252">
        <x:f t="shared" si="58"/>
        <x:v>7.75</x:v>
      </x:c>
      <x:c r="BV42" s="1252" t="str">
        <x:f t="shared" si="59"/>
        <x:v>Yes</x:v>
      </x:c>
      <x:c r="BW42" s="1253">
        <x:f t="shared" ca="1" si="21"/>
        <x:v>0</x:v>
      </x:c>
      <x:c r="BX42" s="1254" t="str">
        <x:f t="shared" ca="1" si="28"/>
        <x:v/>
      </x:c>
      <x:c r="BY42" s="1254" t="b">
        <x:f t="shared" ca="1" si="22"/>
        <x:v>0</x:v>
      </x:c>
      <x:c r="BZ42" s="1255" t="b">
        <x:f t="shared" si="29"/>
        <x:v>0</x:v>
      </x:c>
      <x:c r="CB42" s="842"/>
      <x:c r="CC42" s="894"/>
      <x:c r="CD42" s="883"/>
      <x:c r="CE42" s="884"/>
      <x:c r="CF42" s="885"/>
      <x:c r="CG42" s="901"/>
      <x:c r="CH42" s="902"/>
      <x:c r="CI42" s="903"/>
      <x:c r="CJ42" s="902"/>
      <x:c r="CK42" s="903"/>
      <x:c r="CL42" s="904"/>
      <x:c r="CM42" s="944"/>
      <x:c r="CN42" s="901"/>
      <x:c r="CO42" s="902"/>
      <x:c r="CP42" s="903"/>
      <x:c r="CQ42" s="902"/>
      <x:c r="CR42" s="903"/>
      <x:c r="CS42" s="904"/>
      <x:c r="CT42" s="944"/>
      <x:c r="CU42" s="906"/>
      <x:c r="CV42" s="886"/>
      <x:c r="CW42" s="887"/>
      <x:c r="CX42" s="915"/>
      <x:c r="CY42" s="916"/>
      <x:c r="CZ42" s="932"/>
      <x:c r="DA42" s="933"/>
      <x:c r="DB42" s="932"/>
      <x:c r="DC42" s="933"/>
      <x:c r="DD42" s="1149"/>
      <x:c r="DE42" s="1150"/>
      <x:c r="DF42" s="173"/>
      <x:c r="DG42" s="173"/>
      <x:c r="DH42" s="842"/>
      <x:c r="DI42" s="843"/>
      <x:c r="DJ42" s="872"/>
      <x:c r="DK42" s="873"/>
      <x:c r="DL42" s="844"/>
      <x:c r="DM42" s="874"/>
      <x:c r="DN42" s="875"/>
      <x:c r="DO42" s="845"/>
      <x:c r="DP42" s="846"/>
      <x:c r="DQ42" s="847"/>
      <x:c r="DR42" s="847"/>
      <x:c r="DS42" s="848"/>
      <x:c r="DT42" s="836"/>
      <x:c r="DU42" s="837"/>
      <x:c r="DV42" s="849"/>
      <x:c r="DW42" s="850"/>
      <x:c r="DX42" s="851"/>
      <x:c r="DY42" s="852"/>
      <x:c r="DZ42" s="849"/>
      <x:c r="EA42" s="850"/>
      <x:c r="EB42" s="851"/>
      <x:c r="EC42" s="852"/>
      <x:c r="ED42" s="849"/>
      <x:c r="EE42" s="850"/>
      <x:c r="EF42" s="851"/>
      <x:c r="EG42" s="852"/>
      <x:c r="EH42" s="849"/>
      <x:c r="EI42" s="850"/>
      <x:c r="EJ42" s="851"/>
      <x:c r="EK42" s="853"/>
      <x:c r="EL42" s="807" t="str">
        <x:f t="shared" si="37"/>
        <x:v/>
      </x:c>
      <x:c r="EM42" s="808" t="str">
        <x:f t="shared" si="38"/>
        <x:v/>
      </x:c>
      <x:c r="EN42" s="809" t="str">
        <x:f t="shared" si="39"/>
        <x:v/>
      </x:c>
      <x:c r="EO42" s="1044" t="str">
        <x:f t="shared" si="40"/>
        <x:v/>
      </x:c>
      <x:c r="EP42" s="1166" t="str">
        <x:f t="shared" si="77"/>
        <x:v/>
      </x:c>
      <x:c r="EQ42" s="1167" t="str">
        <x:f t="shared" si="78"/>
        <x:v/>
      </x:c>
      <x:c r="ER42" s="961" t="str">
        <x:f t="shared" si="41"/>
        <x:v/>
      </x:c>
      <x:c r="ES42" s="962" t="str">
        <x:f t="shared" si="42"/>
        <x:v/>
      </x:c>
      <x:c r="ET42" s="963" t="str">
        <x:f t="shared" si="43"/>
        <x:v/>
      </x:c>
      <x:c r="EU42" s="964" t="str">
        <x:f t="shared" si="44"/>
        <x:v/>
      </x:c>
      <x:c r="EX42" s="1194" t="str">
        <x:f t="shared" ca="1" si="23"/>
        <x:v/>
      </x:c>
      <x:c r="EY42" s="1196" t="str">
        <x:f t="shared" si="12"/>
        <x:v/>
      </x:c>
      <x:c r="EZ42" s="1196" t="str">
        <x:f t="shared" si="24"/>
        <x:v/>
      </x:c>
      <x:c r="FA42" s="1217" t="str">
        <x:f t="shared" ca="1" si="30"/>
        <x:v/>
      </x:c>
      <x:c r="FB42" s="1218" t="str">
        <x:f t="shared" ca="1" si="25"/>
        <x:v/>
      </x:c>
      <x:c r="FC42" s="1218">
        <x:f t="shared" ca="1" si="13"/>
        <x:v>0</x:v>
      </x:c>
      <x:c r="FD42" s="1218">
        <x:f t="shared" ca="1" si="14"/>
        <x:v>0</x:v>
      </x:c>
      <x:c r="FE42" s="1218">
        <x:f t="shared" ca="1" si="15"/>
        <x:v>0</x:v>
      </x:c>
      <x:c r="FF42" s="1218">
        <x:f t="shared" ca="1" si="26"/>
        <x:v>0</x:v>
      </x:c>
      <x:c r="FN42" s="1256" t="b">
        <x:v>0</x:v>
      </x:c>
      <x:c r="FO42" s="969" t="b">
        <x:f t="shared" si="60"/>
        <x:v>1</x:v>
      </x:c>
      <x:c r="FP42" s="969" t="b">
        <x:v>0</x:v>
      </x:c>
      <x:c r="FQ42" s="969" t="b">
        <x:f t="shared" si="27"/>
        <x:v>1</x:v>
      </x:c>
      <x:c r="FX42" s="303"/>
      <x:c r="GA42" s="1935">
        <x:v>52</x:v>
      </x:c>
      <x:c r="GB42" s="1936">
        <x:v>0</x:v>
      </x:c>
      <x:c r="GC42" s="1937">
        <x:v>-0.25</x:v>
      </x:c>
      <x:c r="GD42" s="1938">
        <x:v>-0.25</x:v>
      </x:c>
      <x:c r="GE42" s="1939">
        <x:f t="shared" si="79"/>
        <x:v>0</x:v>
      </x:c>
      <x:c r="GF42" s="1940" t="str">
        <x:f t="shared" si="45"/>
        <x:v>G15</x:v>
      </x:c>
      <x:c r="GG42" s="1457"/>
      <x:c r="GH42" s="1459"/>
      <x:c r="GI42" s="1457"/>
      <x:c r="GJ42" s="1459"/>
      <x:c r="GK42" s="326">
        <x:f t="shared" si="46"/>
        <x:v>623.5</x:v>
      </x:c>
      <x:c r="GL42" s="326">
        <x:f t="shared" si="47"/>
        <x:v>623.5</x:v>
      </x:c>
      <x:c r="GM42" s="327">
        <x:f>IF(ABS(GK42-GL42)&gt;='Job Info.'!$L$22,ABS(GK42-GL42),0)</x:f>
        <x:v>0</x:v>
      </x:c>
      <x:c r="HA42" s="1612" t="s">
        <x:v>1278</x:v>
      </x:c>
      <x:c r="HB42" s="1613">
        <x:v>4</x:v>
      </x:c>
      <x:c r="HC42" s="1613" t="s">
        <x:v>1954</x:v>
      </x:c>
      <x:c r="HD42" s="1614">
        <x:v>51</x:v>
      </x:c>
      <x:c r="HE42" s="1615">
        <x:v>11.5</x:v>
      </x:c>
      <x:c r="HF42" s="1613">
        <x:v>11.125</x:v>
      </x:c>
      <x:c r="HG42" s="1613">
        <x:v>0</x:v>
      </x:c>
      <x:c r="HH42" s="1613">
        <x:v>1.75</x:v>
      </x:c>
      <x:c r="HI42" s="1613" t="s">
        <x:v>114</x:v>
      </x:c>
      <x:c r="HJ42" s="1613">
        <x:v>0</x:v>
      </x:c>
      <x:c r="HK42" s="1613">
        <x:v>1.75</x:v>
      </x:c>
      <x:c r="HL42" s="1613" t="s">
        <x:v>114</x:v>
      </x:c>
      <x:c r="HM42" s="1613">
        <x:v>7.5</x:v>
      </x:c>
      <x:c r="HN42" s="1613">
        <x:v>7.5</x:v>
      </x:c>
      <x:c r="HO42" s="1613">
        <x:v>0</x:v>
      </x:c>
      <x:c r="HP42" s="1613">
        <x:v>6.75</x:v>
      </x:c>
      <x:c r="HQ42" s="1613">
        <x:v>0</x:v>
      </x:c>
      <x:c r="HR42" s="1613">
        <x:v>6.75</x:v>
      </x:c>
      <x:c r="HS42" s="1613">
        <x:v>0</x:v>
      </x:c>
      <x:c r="HT42" s="1613">
        <x:v>6.25</x:v>
      </x:c>
      <x:c r="HU42" s="1613">
        <x:v>0</x:v>
      </x:c>
      <x:c r="HV42" s="1613">
        <x:v>6.25</x:v>
      </x:c>
      <x:c r="HW42" s="1613">
        <x:v>5</x:v>
      </x:c>
      <x:c r="HX42" s="1613" t="s">
        <x:v>117</x:v>
      </x:c>
      <x:c r="HY42" s="1617" t="s">
        <x:v>117</x:v>
      </x:c>
      <x:c r="HZ42" s="1617" t="s">
        <x:v>2032</x:v>
      </x:c>
      <x:c r="IA42" s="1617" t="s">
        <x:v>117</x:v>
      </x:c>
      <x:c r="IB42" s="1617"/>
      <x:c r="IC42" s="1617"/>
      <x:c r="ID42" s="1618"/>
      <x:c r="IE42" s="1612"/>
      <x:c r="IF42" s="1613"/>
      <x:c r="IG42" s="1614"/>
      <x:c r="IH42" s="1615"/>
      <x:c r="II42" s="1613"/>
      <x:c r="IJ42" s="1614"/>
      <x:c r="IK42" s="1615"/>
      <x:c r="IL42" s="1613"/>
      <x:c r="IM42" s="1613"/>
      <x:c r="IN42" s="1613"/>
      <x:c r="IO42" s="1613"/>
      <x:c r="IP42" s="1613"/>
      <x:c r="IQ42" s="1613"/>
      <x:c r="IR42" s="1613"/>
      <x:c r="IS42" s="1614"/>
      <x:c r="IT42" s="1615"/>
      <x:c r="IU42" s="1613"/>
      <x:c r="IV42" s="1613"/>
      <x:c r="IW42" s="1614"/>
      <x:c r="IX42" s="1615"/>
      <x:c r="IY42" s="1613"/>
      <x:c r="IZ42" s="1613"/>
      <x:c r="JA42" s="1614"/>
      <x:c r="JB42" s="1615"/>
      <x:c r="JC42" s="1613"/>
      <x:c r="JD42" s="1613"/>
      <x:c r="JE42" s="1614"/>
      <x:c r="JF42" s="1615"/>
      <x:c r="JG42" s="1613"/>
      <x:c r="JH42" s="1613"/>
      <x:c r="JI42" s="1613"/>
      <x:c r="JJ42" s="1616"/>
      <x:c r="JK42" s="1613"/>
      <x:c r="JL42" s="1521">
        <x:f t="shared" ca="1" si="31"/>
        <x:v>0</x:v>
      </x:c>
      <x:c r="JM42" s="171"/>
    </x:row>
    <x:row r="43" spans="1:273" ht="12.6" customHeight="1" x14ac:dyDescent="0.25">
      <x:c r="A43" s="1583" t="s">
        <x:v>1279</x:v>
      </x:c>
      <x:c r="B43" s="1584">
        <x:v>1</x:v>
      </x:c>
      <x:c r="C43" s="1585" t="s">
        <x:v>1957</x:v>
      </x:c>
      <x:c r="D43" s="1586">
        <x:v>59</x:v>
      </x:c>
      <x:c r="E43" s="1587">
        <x:v>1.5</x:v>
      </x:c>
      <x:c r="F43" s="1588">
        <x:v>11.125</x:v>
      </x:c>
      <x:c r="G43" s="1589" t="str">
        <x:f t="shared" si="33"/>
        <x:v/>
      </x:c>
      <x:c r="H43" s="1590" t="str">
        <x:f t="shared" si="34"/>
        <x:v/>
      </x:c>
      <x:c r="I43" s="1591" t="str">
        <x:f t="shared" si="35"/>
        <x:v/>
      </x:c>
      <x:c r="J43" s="1586">
        <x:v>0</x:v>
      </x:c>
      <x:c r="K43" s="1590">
        <x:v>1.75</x:v>
      </x:c>
      <x:c r="L43" s="1592" t="s">
        <x:v>114</x:v>
      </x:c>
      <x:c r="M43" s="1593">
        <x:v>7.5</x:v>
      </x:c>
      <x:c r="N43" s="1594">
        <x:v>7.5</x:v>
      </x:c>
      <x:c r="O43" s="1589">
        <x:v>-9.9999999999999995E-8</x:v>
      </x:c>
      <x:c r="P43" s="1590">
        <x:v>-0.125</x:v>
      </x:c>
      <x:c r="Q43" s="1586">
        <x:v>0</x:v>
      </x:c>
      <x:c r="R43" s="1587">
        <x:v>8</x:v>
      </x:c>
      <x:c r="S43" s="1595">
        <x:v>0</x:v>
      </x:c>
      <x:c r="T43" s="1590">
        <x:v>3</x:v>
      </x:c>
      <x:c r="U43" s="1586">
        <x:v>0</x:v>
      </x:c>
      <x:c r="V43" s="1590">
        <x:v>6.25</x:v>
      </x:c>
      <x:c r="W43" s="1594">
        <x:v>5</x:v>
      </x:c>
      <x:c r="X43" s="1596" t="str">
        <x:f t="shared" si="48"/>
        <x:v/>
      </x:c>
      <x:c r="Y43" s="1597" t="str">
        <x:f t="shared" si="49"/>
        <x:v/>
      </x:c>
      <x:c r="Z43" s="2210" t="s">
        <x:v>2302</x:v>
      </x:c>
      <x:c r="AA43" s="1598" t="str">
        <x:f t="shared" si="36"/>
        <x:v/>
      </x:c>
      <x:c r="AB43" s="1264" t="str">
        <x:f t="shared" si="70"/>
        <x:v/>
      </x:c>
      <x:c r="AC43" s="1260" t="str">
        <x:f t="shared" si="70"/>
        <x:v/>
      </x:c>
      <x:c r="AD43" s="1261" t="str">
        <x:f t="shared" ca="1" si="62"/>
        <x:v/>
      </x:c>
      <x:c r="AE43" s="1262" t="str">
        <x:f t="shared" ca="1" si="63"/>
        <x:v/>
      </x:c>
      <x:c r="AF43" s="1260" t="str">
        <x:f t="shared" ca="1" si="64"/>
        <x:v/>
      </x:c>
      <x:c r="AG43" s="1261" t="str">
        <x:f t="shared" ca="1" si="65"/>
        <x:v/>
      </x:c>
      <x:c r="AH43" s="1262" t="str">
        <x:f t="shared" ca="1" si="66"/>
        <x:v/>
      </x:c>
      <x:c r="AI43" s="1261" t="str">
        <x:f t="shared" ca="1" si="67"/>
        <x:v/>
      </x:c>
      <x:c r="AJ43" s="1262" t="str">
        <x:f t="shared" ca="1" si="68"/>
        <x:v/>
      </x:c>
      <x:c r="AK43" s="1599" t="str">
        <x:f t="shared" si="71"/>
        <x:v/>
      </x:c>
      <x:c r="AL43" s="1600" t="str">
        <x:f t="shared" si="71"/>
        <x:v/>
      </x:c>
      <x:c r="AM43" s="1601" t="str">
        <x:f t="shared" si="71"/>
        <x:v/>
      </x:c>
      <x:c r="AN43" s="1260" t="str">
        <x:f t="shared" si="71"/>
        <x:v/>
      </x:c>
      <x:c r="AO43" s="1409" t="str">
        <x:f t="shared" si="71"/>
        <x:v/>
      </x:c>
      <x:c r="AP43" s="1327" t="str">
        <x:f t="shared" si="3"/>
        <x:v/>
      </x:c>
      <x:c r="AQ43" s="1602" t="str">
        <x:f t="shared" si="3"/>
        <x:v/>
      </x:c>
      <x:c r="AR43" s="1263" t="str">
        <x:f t="shared" si="4"/>
        <x:v/>
      </x:c>
      <x:c r="AS43" s="1262" t="str">
        <x:f t="shared" si="5"/>
        <x:v/>
      </x:c>
      <x:c r="AT43" s="1603" t="str">
        <x:f t="shared" si="72"/>
        <x:v/>
      </x:c>
      <x:c r="AU43" s="1410" t="str">
        <x:f t="shared" si="72"/>
        <x:v/>
      </x:c>
      <x:c r="AV43" s="1328" t="str">
        <x:f t="shared" si="6"/>
        <x:v/>
      </x:c>
      <x:c r="AW43" s="1262" t="str">
        <x:f t="shared" si="7"/>
        <x:v/>
      </x:c>
      <x:c r="AX43" s="1603" t="str">
        <x:f t="shared" si="73"/>
        <x:v/>
      </x:c>
      <x:c r="AY43" s="1410" t="str">
        <x:f t="shared" si="73"/>
        <x:v/>
      </x:c>
      <x:c r="AZ43" s="1328" t="str">
        <x:f t="shared" si="8"/>
        <x:v/>
      </x:c>
      <x:c r="BA43" s="1262" t="str">
        <x:f t="shared" si="9"/>
        <x:v/>
      </x:c>
      <x:c r="BB43" s="1603" t="str">
        <x:f t="shared" si="74"/>
        <x:v/>
      </x:c>
      <x:c r="BC43" s="1410" t="str">
        <x:f t="shared" si="74"/>
        <x:v/>
      </x:c>
      <x:c r="BD43" s="1328" t="str">
        <x:f t="shared" si="10"/>
        <x:v/>
      </x:c>
      <x:c r="BE43" s="1262" t="str">
        <x:f t="shared" si="11"/>
        <x:v/>
      </x:c>
      <x:c r="BF43" s="1603" t="str">
        <x:f t="shared" si="75"/>
        <x:v/>
      </x:c>
      <x:c r="BG43" s="1410" t="str">
        <x:f t="shared" si="75"/>
        <x:v/>
      </x:c>
      <x:c r="BH43" s="322"/>
      <x:c r="BJ43" s="1258" t="str">
        <x:f t="shared" si="69"/>
        <x:v>G16</x:v>
      </x:c>
      <x:c r="BK43" s="1256" t="b">
        <x:f t="shared" si="76"/>
        <x:v>0</x:v>
      </x:c>
      <x:c r="BL43" s="2002" t="b">
        <x:v>0</x:v>
      </x:c>
      <x:c r="BM43" s="1251">
        <x:f t="shared" si="50"/>
        <x:v>54</x:v>
      </x:c>
      <x:c r="BN43" s="1251" t="str">
        <x:f t="shared" si="51"/>
        <x:v>G</x:v>
      </x:c>
      <x:c r="BO43" s="1251">
        <x:f t="shared" si="52"/>
        <x:v>8</x:v>
      </x:c>
      <x:c r="BP43" s="1251">
        <x:f t="shared" si="53"/>
        <x:v>13.4</x:v>
      </x:c>
      <x:c r="BQ43" s="1251">
        <x:f t="shared" si="54"/>
        <x:v>3.9</x:v>
      </x:c>
      <x:c r="BR43" s="1251" t="b">
        <x:f t="shared" si="55"/>
        <x:v>1</x:v>
      </x:c>
      <x:c r="BS43" s="1252">
        <x:f t="shared" si="56"/>
        <x:v>6</x:v>
      </x:c>
      <x:c r="BT43" s="1252" t="str">
        <x:f t="shared" si="57"/>
        <x:v>Yes</x:v>
      </x:c>
      <x:c r="BU43" s="1252">
        <x:f t="shared" si="58"/>
        <x:v>7.75</x:v>
      </x:c>
      <x:c r="BV43" s="1252" t="str">
        <x:f t="shared" si="59"/>
        <x:v>Yes</x:v>
      </x:c>
      <x:c r="BW43" s="1253">
        <x:f t="shared" ca="1" si="21"/>
        <x:v>0</x:v>
      </x:c>
      <x:c r="BX43" s="1254" t="str">
        <x:f t="shared" ca="1" si="28"/>
        <x:v/>
      </x:c>
      <x:c r="BY43" s="1254" t="b">
        <x:f t="shared" ca="1" si="22"/>
        <x:v>0</x:v>
      </x:c>
      <x:c r="BZ43" s="1255" t="b">
        <x:f t="shared" si="29"/>
        <x:v>0</x:v>
      </x:c>
      <x:c r="CB43" s="842"/>
      <x:c r="CC43" s="894"/>
      <x:c r="CD43" s="883"/>
      <x:c r="CE43" s="884"/>
      <x:c r="CF43" s="885"/>
      <x:c r="CG43" s="901"/>
      <x:c r="CH43" s="902"/>
      <x:c r="CI43" s="903"/>
      <x:c r="CJ43" s="902"/>
      <x:c r="CK43" s="903"/>
      <x:c r="CL43" s="904"/>
      <x:c r="CM43" s="944"/>
      <x:c r="CN43" s="901"/>
      <x:c r="CO43" s="902"/>
      <x:c r="CP43" s="903"/>
      <x:c r="CQ43" s="902"/>
      <x:c r="CR43" s="903"/>
      <x:c r="CS43" s="904"/>
      <x:c r="CT43" s="944"/>
      <x:c r="CU43" s="906"/>
      <x:c r="CV43" s="886"/>
      <x:c r="CW43" s="887"/>
      <x:c r="CX43" s="915"/>
      <x:c r="CY43" s="916"/>
      <x:c r="CZ43" s="932"/>
      <x:c r="DA43" s="933"/>
      <x:c r="DB43" s="932"/>
      <x:c r="DC43" s="933"/>
      <x:c r="DD43" s="1149"/>
      <x:c r="DE43" s="1150"/>
      <x:c r="DF43" s="173"/>
      <x:c r="DG43" s="173"/>
      <x:c r="DH43" s="842"/>
      <x:c r="DI43" s="843"/>
      <x:c r="DJ43" s="872"/>
      <x:c r="DK43" s="873"/>
      <x:c r="DL43" s="844"/>
      <x:c r="DM43" s="874"/>
      <x:c r="DN43" s="875"/>
      <x:c r="DO43" s="845"/>
      <x:c r="DP43" s="846"/>
      <x:c r="DQ43" s="847"/>
      <x:c r="DR43" s="847"/>
      <x:c r="DS43" s="848"/>
      <x:c r="DT43" s="836"/>
      <x:c r="DU43" s="837"/>
      <x:c r="DV43" s="849"/>
      <x:c r="DW43" s="850"/>
      <x:c r="DX43" s="851"/>
      <x:c r="DY43" s="852"/>
      <x:c r="DZ43" s="849"/>
      <x:c r="EA43" s="850"/>
      <x:c r="EB43" s="851"/>
      <x:c r="EC43" s="852"/>
      <x:c r="ED43" s="849"/>
      <x:c r="EE43" s="850"/>
      <x:c r="EF43" s="851"/>
      <x:c r="EG43" s="852"/>
      <x:c r="EH43" s="849"/>
      <x:c r="EI43" s="850"/>
      <x:c r="EJ43" s="851"/>
      <x:c r="EK43" s="853"/>
      <x:c r="EL43" s="807" t="str">
        <x:f t="shared" si="37"/>
        <x:v/>
      </x:c>
      <x:c r="EM43" s="808" t="str">
        <x:f t="shared" si="38"/>
        <x:v/>
      </x:c>
      <x:c r="EN43" s="809" t="str">
        <x:f t="shared" si="39"/>
        <x:v/>
      </x:c>
      <x:c r="EO43" s="1044" t="str">
        <x:f t="shared" si="40"/>
        <x:v/>
      </x:c>
      <x:c r="EP43" s="1166" t="str">
        <x:f t="shared" si="77"/>
        <x:v/>
      </x:c>
      <x:c r="EQ43" s="1167" t="str">
        <x:f t="shared" si="78"/>
        <x:v/>
      </x:c>
      <x:c r="ER43" s="961" t="str">
        <x:f t="shared" si="41"/>
        <x:v/>
      </x:c>
      <x:c r="ES43" s="962" t="str">
        <x:f t="shared" si="42"/>
        <x:v/>
      </x:c>
      <x:c r="ET43" s="963" t="str">
        <x:f t="shared" si="43"/>
        <x:v/>
      </x:c>
      <x:c r="EU43" s="964" t="str">
        <x:f t="shared" si="44"/>
        <x:v/>
      </x:c>
      <x:c r="EX43" s="1194" t="str">
        <x:f t="shared" ca="1" si="23"/>
        <x:v/>
      </x:c>
      <x:c r="EY43" s="1196" t="str">
        <x:f t="shared" si="12"/>
        <x:v/>
      </x:c>
      <x:c r="EZ43" s="1196" t="str">
        <x:f t="shared" si="24"/>
        <x:v/>
      </x:c>
      <x:c r="FA43" s="1217" t="str">
        <x:f t="shared" ca="1" si="30"/>
        <x:v/>
      </x:c>
      <x:c r="FB43" s="1218" t="str">
        <x:f t="shared" ca="1" si="25"/>
        <x:v/>
      </x:c>
      <x:c r="FC43" s="1218">
        <x:f t="shared" ca="1" si="13"/>
        <x:v>0</x:v>
      </x:c>
      <x:c r="FD43" s="1218">
        <x:f t="shared" ca="1" si="14"/>
        <x:v>0</x:v>
      </x:c>
      <x:c r="FE43" s="1218">
        <x:f t="shared" ca="1" si="15"/>
        <x:v>0</x:v>
      </x:c>
      <x:c r="FF43" s="1218">
        <x:f t="shared" ca="1" si="26"/>
        <x:v>0</x:v>
      </x:c>
      <x:c r="FN43" s="1256" t="b">
        <x:v>0</x:v>
      </x:c>
      <x:c r="FO43" s="969" t="b">
        <x:f t="shared" si="60"/>
        <x:v>1</x:v>
      </x:c>
      <x:c r="FP43" s="969" t="b">
        <x:v>0</x:v>
      </x:c>
      <x:c r="FQ43" s="969" t="b">
        <x:f t="shared" si="27"/>
        <x:v>1</x:v>
      </x:c>
      <x:c r="FX43" s="303"/>
      <x:c r="GA43" s="1935">
        <x:v>59</x:v>
      </x:c>
      <x:c r="GB43" s="1936">
        <x:v>2.75</x:v>
      </x:c>
      <x:c r="GC43" s="1937">
        <x:v>-1</x:v>
      </x:c>
      <x:c r="GD43" s="1938">
        <x:v>-0.25</x:v>
      </x:c>
      <x:c r="GE43" s="1939">
        <x:v>0.27989995989141903</x:v>
      </x:c>
      <x:c r="GF43" s="1940" t="str">
        <x:f t="shared" si="45"/>
        <x:v>G16</x:v>
      </x:c>
      <x:c r="GG43" s="1457"/>
      <x:c r="GH43" s="1459"/>
      <x:c r="GI43" s="1457"/>
      <x:c r="GJ43" s="1459"/>
      <x:c r="GK43" s="326">
        <x:f t="shared" si="46"/>
        <x:v>709.5</x:v>
      </x:c>
      <x:c r="GL43" s="326">
        <x:f t="shared" si="47"/>
        <x:v>709.69297743361744</x:v>
      </x:c>
      <x:c r="GM43" s="327">
        <x:f>IF(ABS(GK43-GL43)&gt;='Job Info.'!$L$22,ABS(GK43-GL43),0)</x:f>
        <x:v>0</x:v>
      </x:c>
      <x:c r="HA43" s="1612" t="s">
        <x:v>1279</x:v>
      </x:c>
      <x:c r="HB43" s="1613">
        <x:v>1</x:v>
      </x:c>
      <x:c r="HC43" s="1613" t="s">
        <x:v>1957</x:v>
      </x:c>
      <x:c r="HD43" s="1614">
        <x:v>59</x:v>
      </x:c>
      <x:c r="HE43" s="1615">
        <x:v>1.5</x:v>
      </x:c>
      <x:c r="HF43" s="1613">
        <x:v>11.125</x:v>
      </x:c>
      <x:c r="HG43" s="1613" t="s">
        <x:v>117</x:v>
      </x:c>
      <x:c r="HH43" s="1613" t="s">
        <x:v>117</x:v>
      </x:c>
      <x:c r="HI43" s="1613" t="s">
        <x:v>117</x:v>
      </x:c>
      <x:c r="HJ43" s="1613">
        <x:v>0</x:v>
      </x:c>
      <x:c r="HK43" s="1613">
        <x:v>1.75</x:v>
      </x:c>
      <x:c r="HL43" s="1613" t="s">
        <x:v>114</x:v>
      </x:c>
      <x:c r="HM43" s="1613">
        <x:v>7.5</x:v>
      </x:c>
      <x:c r="HN43" s="1613">
        <x:v>7.5</x:v>
      </x:c>
      <x:c r="HO43" s="1613">
        <x:v>-9.9999999999999995E-8</x:v>
      </x:c>
      <x:c r="HP43" s="1613">
        <x:v>-0.125</x:v>
      </x:c>
      <x:c r="HQ43" s="1613">
        <x:v>0</x:v>
      </x:c>
      <x:c r="HR43" s="1613">
        <x:v>8</x:v>
      </x:c>
      <x:c r="HS43" s="1613">
        <x:v>0</x:v>
      </x:c>
      <x:c r="HT43" s="1613">
        <x:v>3</x:v>
      </x:c>
      <x:c r="HU43" s="1613">
        <x:v>0</x:v>
      </x:c>
      <x:c r="HV43" s="1613">
        <x:v>6.25</x:v>
      </x:c>
      <x:c r="HW43" s="1613">
        <x:v>5</x:v>
      </x:c>
      <x:c r="HX43" s="1613" t="s">
        <x:v>117</x:v>
      </x:c>
      <x:c r="HY43" s="1617" t="s">
        <x:v>117</x:v>
      </x:c>
      <x:c r="HZ43" s="1617" t="s">
        <x:v>2033</x:v>
      </x:c>
      <x:c r="IA43" s="1617" t="s">
        <x:v>117</x:v>
      </x:c>
      <x:c r="IB43" s="1617"/>
      <x:c r="IC43" s="1617"/>
      <x:c r="ID43" s="1618"/>
      <x:c r="IE43" s="1612"/>
      <x:c r="IF43" s="1613"/>
      <x:c r="IG43" s="1614"/>
      <x:c r="IH43" s="1615"/>
      <x:c r="II43" s="1613"/>
      <x:c r="IJ43" s="1614"/>
      <x:c r="IK43" s="1615"/>
      <x:c r="IL43" s="1613"/>
      <x:c r="IM43" s="1613"/>
      <x:c r="IN43" s="1613"/>
      <x:c r="IO43" s="1613"/>
      <x:c r="IP43" s="1613"/>
      <x:c r="IQ43" s="1613"/>
      <x:c r="IR43" s="1613"/>
      <x:c r="IS43" s="1614"/>
      <x:c r="IT43" s="1615"/>
      <x:c r="IU43" s="1613"/>
      <x:c r="IV43" s="1613"/>
      <x:c r="IW43" s="1614"/>
      <x:c r="IX43" s="1615"/>
      <x:c r="IY43" s="1613"/>
      <x:c r="IZ43" s="1613"/>
      <x:c r="JA43" s="1614"/>
      <x:c r="JB43" s="1615"/>
      <x:c r="JC43" s="1613"/>
      <x:c r="JD43" s="1613"/>
      <x:c r="JE43" s="1614"/>
      <x:c r="JF43" s="1615"/>
      <x:c r="JG43" s="1613"/>
      <x:c r="JH43" s="1613"/>
      <x:c r="JI43" s="1613"/>
      <x:c r="JJ43" s="1616"/>
      <x:c r="JK43" s="1613"/>
      <x:c r="JL43" s="1521">
        <x:f t="shared" ca="1" si="31"/>
        <x:v>0</x:v>
      </x:c>
      <x:c r="JM43" s="171"/>
    </x:row>
    <x:row r="44" spans="1:273" ht="12.6" customHeight="1" x14ac:dyDescent="0.25">
      <x:c r="A44" s="1583" t="str">
        <x:f t="shared" ref="A44:C44" si="80">IF(ISBLANK(CB44),"",CB44)</x:f>
        <x:v/>
      </x:c>
      <x:c r="B44" s="1584"/>
      <x:c r="C44" s="1585" t="str">
        <x:f t="shared" si="80"/>
        <x:v/>
      </x:c>
      <x:c r="D44" s="1586" t="str">
        <x:f t="shared" ref="D44" si="81">IF(CV84="","",TRUNC(CV84/12))</x:f>
        <x:v/>
      </x:c>
      <x:c r="E44" s="1587" t="str">
        <x:f t="shared" ref="E44" si="82">IF(CV84="","",CV84-(D44*12))</x:f>
        <x:v/>
      </x:c>
      <x:c r="F44" s="1588" t="str">
        <x:f t="shared" ref="F44" si="83">IF(ISBLANK(CY44),"",CY44)</x:f>
        <x:v/>
      </x:c>
      <x:c r="G44" s="1589" t="str">
        <x:f t="shared" si="33"/>
        <x:v/>
      </x:c>
      <x:c r="H44" s="1590" t="str">
        <x:f t="shared" si="34"/>
        <x:v/>
      </x:c>
      <x:c r="I44" s="1591" t="str">
        <x:f t="shared" si="35"/>
        <x:v/>
      </x:c>
      <x:c r="J44" s="1586" t="str">
        <x:f t="shared" ref="J44" si="84">IF(DJ84=0,"",TRUNC(DJ84/12))</x:f>
        <x:v/>
      </x:c>
      <x:c r="K44" s="1590" t="str">
        <x:f t="shared" ref="K44" si="85">IF(DJ84=0,"",DJ84-(J44*12))</x:f>
        <x:v/>
      </x:c>
      <x:c r="L44" s="1592" t="str">
        <x:f t="shared" ref="L44" si="86">IF(DJ84=0,"",CN84)</x:f>
        <x:v/>
      </x:c>
      <x:c r="M44" s="1593" t="str">
        <x:f t="shared" ref="M44:N45" si="87">IF(CW84="","",CW84)</x:f>
        <x:v/>
      </x:c>
      <x:c r="N44" s="1594" t="str">
        <x:f t="shared" si="87"/>
        <x:v/>
      </x:c>
      <x:c r="O44" s="1589" t="str">
        <x:f t="shared" ref="O44" si="88">IF(DZ84="","",IF(AND(DZ84&gt;-12,DZ84&lt;0),-0.000001,TRUNC(DZ84/12)))</x:f>
        <x:v/>
      </x:c>
      <x:c r="P44" s="1590" t="str">
        <x:f t="shared" ref="P44" si="89">IF(DZ84="","",IF(AND(DZ84&lt;0,DZ84-(O44*12)=0),-0.00001,DZ84-(O44*12)))</x:f>
        <x:v/>
      </x:c>
      <x:c r="Q44" s="1586" t="str">
        <x:f t="shared" ref="Q44" si="90">IF(EA84="","",IF(AND(EA84&gt;-12,EA84&lt;0),-0.000001,TRUNC(EA84/12)))</x:f>
        <x:v/>
      </x:c>
      <x:c r="R44" s="1587" t="str">
        <x:f t="shared" ref="R44" si="91">IF(EA84="","",IF(AND(EA84&lt;0,EA84-(Q44*12)=0),-0.00001,EA84-(Q44*12)))</x:f>
        <x:v/>
      </x:c>
      <x:c r="S44" s="1595" t="str">
        <x:f t="shared" ref="S44" si="92">IF(DR84="","",IF(DR84="ERR",TRUNC(DQ84/12),TRUNC(DR84/12)))</x:f>
        <x:v/>
      </x:c>
      <x:c r="T44" s="1590" t="str">
        <x:f t="shared" ref="T44" si="93">IF(DR84="","",IF(DR84="ERR",DQ84-(S44*12),DR84-(S44*12)))</x:f>
        <x:v/>
      </x:c>
      <x:c r="U44" s="1586" t="str">
        <x:f t="shared" ref="U44" si="94">IF(DY84="","",IF(DY84="ERR",TRUNC(DX84/12),TRUNC(DY84/12)))</x:f>
        <x:v/>
      </x:c>
      <x:c r="V44" s="1590" t="str">
        <x:f t="shared" ref="V44" si="95">IF(DY84="","",IF(DY84="ERR",DX84-(U44*12),DY84-(U44*12)))</x:f>
        <x:v/>
      </x:c>
      <x:c r="W44" s="1594">
        <x:f t="shared" ref="W44" si="96">IF(EC84="",0,EC84)</x:f>
        <x:v>0</x:v>
      </x:c>
      <x:c r="X44" s="1596" t="str">
        <x:f t="shared" si="48"/>
        <x:v/>
      </x:c>
      <x:c r="Y44" s="1597" t="str">
        <x:f t="shared" si="49"/>
        <x:v/>
      </x:c>
      <x:c r="Z44" s="2088"/>
      <x:c r="AA44" s="1598" t="str">
        <x:f t="shared" si="36"/>
        <x:v/>
      </x:c>
      <x:c r="AB44" s="1264" t="str">
        <x:f t="shared" si="70"/>
        <x:v/>
      </x:c>
      <x:c r="AC44" s="1260" t="str">
        <x:f t="shared" si="70"/>
        <x:v/>
      </x:c>
      <x:c r="AD44" s="1261" t="str">
        <x:f t="shared" ca="1" si="62"/>
        <x:v/>
      </x:c>
      <x:c r="AE44" s="1262" t="str">
        <x:f t="shared" ca="1" si="63"/>
        <x:v/>
      </x:c>
      <x:c r="AF44" s="1260" t="str">
        <x:f t="shared" ca="1" si="64"/>
        <x:v/>
      </x:c>
      <x:c r="AG44" s="1261" t="str">
        <x:f t="shared" ca="1" si="65"/>
        <x:v/>
      </x:c>
      <x:c r="AH44" s="1262" t="str">
        <x:f t="shared" ca="1" si="66"/>
        <x:v/>
      </x:c>
      <x:c r="AI44" s="1261" t="str">
        <x:f t="shared" ca="1" si="67"/>
        <x:v/>
      </x:c>
      <x:c r="AJ44" s="1262" t="str">
        <x:f t="shared" ca="1" si="68"/>
        <x:v/>
      </x:c>
      <x:c r="AK44" s="1599" t="str">
        <x:f t="shared" si="71"/>
        <x:v/>
      </x:c>
      <x:c r="AL44" s="1600" t="str">
        <x:f t="shared" si="71"/>
        <x:v/>
      </x:c>
      <x:c r="AM44" s="1601" t="str">
        <x:f t="shared" si="71"/>
        <x:v/>
      </x:c>
      <x:c r="AN44" s="1260" t="str">
        <x:f t="shared" si="71"/>
        <x:v/>
      </x:c>
      <x:c r="AO44" s="1409" t="str">
        <x:f t="shared" si="71"/>
        <x:v/>
      </x:c>
      <x:c r="AP44" s="1327" t="str">
        <x:f t="shared" si="3"/>
        <x:v/>
      </x:c>
      <x:c r="AQ44" s="1602" t="str">
        <x:f t="shared" si="3"/>
        <x:v/>
      </x:c>
      <x:c r="AR44" s="1263" t="str">
        <x:f t="shared" si="4"/>
        <x:v/>
      </x:c>
      <x:c r="AS44" s="1262" t="str">
        <x:f t="shared" si="5"/>
        <x:v/>
      </x:c>
      <x:c r="AT44" s="1603" t="str">
        <x:f t="shared" si="72"/>
        <x:v/>
      </x:c>
      <x:c r="AU44" s="1410" t="str">
        <x:f t="shared" si="72"/>
        <x:v/>
      </x:c>
      <x:c r="AV44" s="1328" t="str">
        <x:f t="shared" si="6"/>
        <x:v/>
      </x:c>
      <x:c r="AW44" s="1262" t="str">
        <x:f t="shared" si="7"/>
        <x:v/>
      </x:c>
      <x:c r="AX44" s="1603" t="str">
        <x:f t="shared" si="73"/>
        <x:v/>
      </x:c>
      <x:c r="AY44" s="1410" t="str">
        <x:f t="shared" si="73"/>
        <x:v/>
      </x:c>
      <x:c r="AZ44" s="1328" t="str">
        <x:f t="shared" si="8"/>
        <x:v/>
      </x:c>
      <x:c r="BA44" s="1262" t="str">
        <x:f t="shared" si="9"/>
        <x:v/>
      </x:c>
      <x:c r="BB44" s="1603" t="str">
        <x:f t="shared" si="74"/>
        <x:v/>
      </x:c>
      <x:c r="BC44" s="1410" t="str">
        <x:f t="shared" si="74"/>
        <x:v/>
      </x:c>
      <x:c r="BD44" s="1328" t="str">
        <x:f t="shared" si="10"/>
        <x:v/>
      </x:c>
      <x:c r="BE44" s="1262" t="str">
        <x:f t="shared" si="11"/>
        <x:v/>
      </x:c>
      <x:c r="BF44" s="1603" t="str">
        <x:f t="shared" si="75"/>
        <x:v/>
      </x:c>
      <x:c r="BG44" s="1410" t="str">
        <x:f t="shared" si="75"/>
        <x:v/>
      </x:c>
      <x:c r="BH44" s="322"/>
      <x:c r="BJ44" s="1258" t="str">
        <x:f t="shared" si="69"/>
        <x:v/>
      </x:c>
      <x:c r="BK44" s="1256" t="b">
        <x:f t="shared" si="76"/>
        <x:v>0</x:v>
      </x:c>
      <x:c r="BL44" s="2002" t="b">
        <x:v>0</x:v>
      </x:c>
      <x:c r="BM44" s="1251">
        <x:f t="shared" si="50"/>
        <x:v>0</x:v>
      </x:c>
      <x:c r="BN44" s="1251">
        <x:f t="shared" si="51"/>
        <x:v>0</x:v>
      </x:c>
      <x:c r="BO44" s="1251">
        <x:f t="shared" si="52"/>
        <x:v>0</x:v>
      </x:c>
      <x:c r="BP44" s="1251">
        <x:f t="shared" si="53"/>
        <x:v>0</x:v>
      </x:c>
      <x:c r="BQ44" s="1251">
        <x:f t="shared" si="54"/>
        <x:v>0</x:v>
      </x:c>
      <x:c r="BR44" s="1251" t="b">
        <x:f t="shared" si="55"/>
        <x:v>1</x:v>
      </x:c>
      <x:c r="BS44" s="1252">
        <x:f t="shared" si="56"/>
        <x:v>6</x:v>
      </x:c>
      <x:c r="BT44" s="1252" t="str">
        <x:f t="shared" si="57"/>
        <x:v>No</x:v>
      </x:c>
      <x:c r="BU44" s="1252">
        <x:f t="shared" si="58"/>
        <x:v>6</x:v>
      </x:c>
      <x:c r="BV44" s="1252" t="str">
        <x:f t="shared" si="59"/>
        <x:v>No</x:v>
      </x:c>
      <x:c r="BW44" s="1253">
        <x:f t="shared" ca="1" si="21"/>
        <x:v>0</x:v>
      </x:c>
      <x:c r="BX44" s="1254" t="str">
        <x:f t="shared" ca="1" si="28"/>
        <x:v/>
      </x:c>
      <x:c r="BY44" s="1254" t="b">
        <x:f t="shared" ca="1" si="22"/>
        <x:v>0</x:v>
      </x:c>
      <x:c r="BZ44" s="1255" t="b">
        <x:f t="shared" si="29"/>
        <x:v>0</x:v>
      </x:c>
      <x:c r="CB44" s="842"/>
      <x:c r="CC44" s="894"/>
      <x:c r="CD44" s="883"/>
      <x:c r="CE44" s="884"/>
      <x:c r="CF44" s="885"/>
      <x:c r="CG44" s="901"/>
      <x:c r="CH44" s="902"/>
      <x:c r="CI44" s="903"/>
      <x:c r="CJ44" s="902"/>
      <x:c r="CK44" s="903"/>
      <x:c r="CL44" s="904"/>
      <x:c r="CM44" s="944"/>
      <x:c r="CN44" s="901"/>
      <x:c r="CO44" s="902"/>
      <x:c r="CP44" s="903"/>
      <x:c r="CQ44" s="902"/>
      <x:c r="CR44" s="903"/>
      <x:c r="CS44" s="904"/>
      <x:c r="CT44" s="944"/>
      <x:c r="CU44" s="906"/>
      <x:c r="CV44" s="886"/>
      <x:c r="CW44" s="887"/>
      <x:c r="CX44" s="915"/>
      <x:c r="CY44" s="916"/>
      <x:c r="CZ44" s="932"/>
      <x:c r="DA44" s="933"/>
      <x:c r="DB44" s="932"/>
      <x:c r="DC44" s="933"/>
      <x:c r="DD44" s="1149"/>
      <x:c r="DE44" s="1150"/>
      <x:c r="DF44" s="173"/>
      <x:c r="DG44" s="173"/>
      <x:c r="DH44" s="946"/>
      <x:c r="DI44" s="843"/>
      <x:c r="DJ44" s="872"/>
      <x:c r="DK44" s="873"/>
      <x:c r="DL44" s="844"/>
      <x:c r="DM44" s="874"/>
      <x:c r="DN44" s="875"/>
      <x:c r="DO44" s="845"/>
      <x:c r="DP44" s="846"/>
      <x:c r="DQ44" s="847"/>
      <x:c r="DR44" s="847"/>
      <x:c r="DS44" s="848"/>
      <x:c r="DT44" s="836"/>
      <x:c r="DU44" s="837"/>
      <x:c r="DV44" s="849"/>
      <x:c r="DW44" s="850"/>
      <x:c r="DX44" s="851"/>
      <x:c r="DY44" s="852"/>
      <x:c r="DZ44" s="849"/>
      <x:c r="EA44" s="850"/>
      <x:c r="EB44" s="851"/>
      <x:c r="EC44" s="852"/>
      <x:c r="ED44" s="849"/>
      <x:c r="EE44" s="850"/>
      <x:c r="EF44" s="851"/>
      <x:c r="EG44" s="852"/>
      <x:c r="EH44" s="849"/>
      <x:c r="EI44" s="850"/>
      <x:c r="EJ44" s="851"/>
      <x:c r="EK44" s="853"/>
      <x:c r="EL44" s="807" t="str">
        <x:f t="shared" si="37"/>
        <x:v/>
      </x:c>
      <x:c r="EM44" s="808" t="str">
        <x:f t="shared" si="38"/>
        <x:v/>
      </x:c>
      <x:c r="EN44" s="809" t="str">
        <x:f t="shared" si="39"/>
        <x:v/>
      </x:c>
      <x:c r="EO44" s="1044" t="str">
        <x:f t="shared" si="40"/>
        <x:v/>
      </x:c>
      <x:c r="EP44" s="1166" t="str">
        <x:f t="shared" si="77"/>
        <x:v/>
      </x:c>
      <x:c r="EQ44" s="1167" t="str">
        <x:f t="shared" si="78"/>
        <x:v/>
      </x:c>
      <x:c r="ER44" s="961" t="str">
        <x:f t="shared" si="41"/>
        <x:v/>
      </x:c>
      <x:c r="ES44" s="962" t="str">
        <x:f t="shared" si="42"/>
        <x:v/>
      </x:c>
      <x:c r="ET44" s="963" t="str">
        <x:f t="shared" si="43"/>
        <x:v/>
      </x:c>
      <x:c r="EU44" s="964" t="str">
        <x:f t="shared" si="44"/>
        <x:v/>
      </x:c>
      <x:c r="EX44" s="1194" t="str">
        <x:f t="shared" ca="1" si="23"/>
        <x:v/>
      </x:c>
      <x:c r="EY44" s="1196" t="str">
        <x:f t="shared" si="12"/>
        <x:v/>
      </x:c>
      <x:c r="EZ44" s="1196" t="str">
        <x:f t="shared" si="24"/>
        <x:v/>
      </x:c>
      <x:c r="FA44" s="1217" t="str">
        <x:f t="shared" ca="1" si="30"/>
        <x:v/>
      </x:c>
      <x:c r="FB44" s="1218" t="str">
        <x:f t="shared" ca="1" si="25"/>
        <x:v/>
      </x:c>
      <x:c r="FC44" s="1218">
        <x:f t="shared" ca="1" si="13"/>
        <x:v>0</x:v>
      </x:c>
      <x:c r="FD44" s="1218">
        <x:f t="shared" ca="1" si="14"/>
        <x:v>0</x:v>
      </x:c>
      <x:c r="FE44" s="1218">
        <x:f t="shared" ca="1" si="15"/>
        <x:v>0</x:v>
      </x:c>
      <x:c r="FF44" s="1218">
        <x:f t="shared" ca="1" si="26"/>
        <x:v>0</x:v>
      </x:c>
      <x:c r="FN44" s="1256" t="b">
        <x:v>0</x:v>
      </x:c>
      <x:c r="FO44" s="969" t="b">
        <x:f t="shared" si="60"/>
        <x:v>1</x:v>
      </x:c>
      <x:c r="FP44" s="969" t="b">
        <x:v>0</x:v>
      </x:c>
      <x:c r="FQ44" s="969" t="b">
        <x:f t="shared" si="27"/>
        <x:v>1</x:v>
      </x:c>
      <x:c r="FX44" s="303"/>
      <x:c r="GA44" s="1935" t="str">
        <x:f t="shared" ref="GA44:GA45" si="97">IF(GF44="","",CE44)</x:f>
        <x:v/>
      </x:c>
      <x:c r="GB44" s="1936" t="str">
        <x:f t="shared" ref="GB44:GB45" si="98">IF(GF44="","",CF44)</x:f>
        <x:v/>
      </x:c>
      <x:c r="GC44" s="1937" t="str">
        <x:f t="shared" ref="GC44:GC45" si="99">IF(GF44="","",IF(CD84="",0,CD84))</x:f>
        <x:v/>
      </x:c>
      <x:c r="GD44" s="1938" t="str">
        <x:f t="shared" ref="GD44:GD45" si="100">IF(GF44="","",IF(CM84="",0,CM84))</x:f>
        <x:v/>
      </x:c>
      <x:c r="GE44" s="1939" t="str">
        <x:f t="shared" si="79"/>
        <x:v/>
      </x:c>
      <x:c r="GF44" s="1940" t="str">
        <x:f t="shared" si="45"/>
        <x:v/>
      </x:c>
      <x:c r="GG44" s="1457"/>
      <x:c r="GH44" s="1459"/>
      <x:c r="GI44" s="1457"/>
      <x:c r="GJ44" s="1459"/>
      <x:c r="GK44" s="326">
        <x:f t="shared" si="46"/>
        <x:v>0</x:v>
      </x:c>
      <x:c r="GL44" s="326" t="e">
        <x:f t="shared" si="47"/>
        <x:v>#VALUE!</x:v>
      </x:c>
      <x:c r="GM44" s="327" t="e">
        <x:f>IF(ABS(GK44-GL44)&gt;='Job Info.'!$L$22,ABS(GK44-GL44),0)</x:f>
        <x:v>#VALUE!</x:v>
      </x:c>
      <x:c r="GN44" s="171"/>
      <x:c r="GO44" s="172"/>
      <x:c r="HA44" s="1612"/>
      <x:c r="HB44" s="1613"/>
      <x:c r="HC44" s="1613"/>
      <x:c r="HD44" s="1614"/>
      <x:c r="HE44" s="1615"/>
      <x:c r="HF44" s="1613"/>
      <x:c r="HG44" s="1613"/>
      <x:c r="HH44" s="1613"/>
      <x:c r="HI44" s="1613"/>
      <x:c r="HJ44" s="1613"/>
      <x:c r="HK44" s="1613"/>
      <x:c r="HL44" s="1613"/>
      <x:c r="HM44" s="1613"/>
      <x:c r="HN44" s="1613"/>
      <x:c r="HO44" s="1613"/>
      <x:c r="HP44" s="1613"/>
      <x:c r="HQ44" s="1613"/>
      <x:c r="HR44" s="1613"/>
      <x:c r="HS44" s="1613"/>
      <x:c r="HT44" s="1613"/>
      <x:c r="HU44" s="1613"/>
      <x:c r="HV44" s="1613"/>
      <x:c r="HW44" s="1613"/>
      <x:c r="HX44" s="1613"/>
      <x:c r="HY44" s="1617"/>
      <x:c r="HZ44" s="1617"/>
      <x:c r="IA44" s="1617"/>
      <x:c r="IB44" s="1617"/>
      <x:c r="IC44" s="1617"/>
      <x:c r="ID44" s="1618"/>
      <x:c r="IE44" s="1612"/>
      <x:c r="IF44" s="1613"/>
      <x:c r="IG44" s="1614"/>
      <x:c r="IH44" s="1615"/>
      <x:c r="II44" s="1613"/>
      <x:c r="IJ44" s="1614"/>
      <x:c r="IK44" s="1615"/>
      <x:c r="IL44" s="1613"/>
      <x:c r="IM44" s="1613"/>
      <x:c r="IN44" s="1613"/>
      <x:c r="IO44" s="1613"/>
      <x:c r="IP44" s="1613"/>
      <x:c r="IQ44" s="1613"/>
      <x:c r="IR44" s="1613"/>
      <x:c r="IS44" s="1614"/>
      <x:c r="IT44" s="1615"/>
      <x:c r="IU44" s="1613"/>
      <x:c r="IV44" s="1613"/>
      <x:c r="IW44" s="1614"/>
      <x:c r="IX44" s="1615"/>
      <x:c r="IY44" s="1613"/>
      <x:c r="IZ44" s="1613"/>
      <x:c r="JA44" s="1614"/>
      <x:c r="JB44" s="1615"/>
      <x:c r="JC44" s="1613"/>
      <x:c r="JD44" s="1613"/>
      <x:c r="JE44" s="1614"/>
      <x:c r="JF44" s="1615"/>
      <x:c r="JG44" s="1613"/>
      <x:c r="JH44" s="1613"/>
      <x:c r="JI44" s="1613"/>
      <x:c r="JJ44" s="1616"/>
      <x:c r="JK44" s="1613"/>
      <x:c r="JL44" s="1521">
        <x:f t="shared" ca="1" si="31"/>
        <x:v>0</x:v>
      </x:c>
      <x:c r="JM44" s="171"/>
    </x:row>
    <x:row r="45" spans="1:273" ht="12.6" customHeight="1" thickBot="1" x14ac:dyDescent="0.35">
      <x:c r="A45" s="2090" t="str">
        <x:f>IF(ISBLANK(CB45),"",CB45)</x:f>
        <x:v/>
      </x:c>
      <x:c r="B45" s="2091"/>
      <x:c r="C45" s="2092" t="str">
        <x:f>IF(ISBLANK(CD45),"",CD45)</x:f>
        <x:v/>
      </x:c>
      <x:c r="D45" s="2093" t="str">
        <x:f>IF(CV85="","",TRUNC(CV85/12))</x:f>
        <x:v/>
      </x:c>
      <x:c r="E45" s="2094" t="str">
        <x:f>IF(CV85="","",CV85-(D45*12))</x:f>
        <x:v/>
      </x:c>
      <x:c r="F45" s="2095" t="str">
        <x:f>IF(ISBLANK(CY45),"",CY45)</x:f>
        <x:v/>
      </x:c>
      <x:c r="G45" s="2096" t="str">
        <x:f>IF(DD85=0,"",TRUNC(DD85/12))</x:f>
        <x:v/>
      </x:c>
      <x:c r="H45" s="2097" t="str">
        <x:f>IF(DD85=0,"",DD85-(G45*12))</x:f>
        <x:v/>
      </x:c>
      <x:c r="I45" s="2098" t="str">
        <x:f>IF(DD85=0,"",CE85)</x:f>
        <x:v/>
      </x:c>
      <x:c r="J45" s="2093" t="str">
        <x:f>IF(DJ85=0,"",TRUNC(DJ85/12))</x:f>
        <x:v/>
      </x:c>
      <x:c r="K45" s="2097" t="str">
        <x:f>IF(DJ85=0,"",DJ85-(J45*12))</x:f>
        <x:v/>
      </x:c>
      <x:c r="L45" s="2099" t="str">
        <x:f>IF(DJ85=0,"",CN85)</x:f>
        <x:v/>
      </x:c>
      <x:c r="M45" s="2100" t="str">
        <x:f t="shared" si="87"/>
        <x:v/>
      </x:c>
      <x:c r="N45" s="2101" t="str">
        <x:f t="shared" si="87"/>
        <x:v/>
      </x:c>
      <x:c r="O45" s="2096" t="str">
        <x:f>IF(DZ85="","",IF(AND(DZ85&gt;-12,DZ85&lt;0),-0.000001,TRUNC(DZ85/12)))</x:f>
        <x:v/>
      </x:c>
      <x:c r="P45" s="2097" t="str">
        <x:f>IF(DZ85="","",IF(AND(DZ85&lt;0,DZ85-(O45*12)=0),-0.00001,DZ85-(O45*12)))</x:f>
        <x:v/>
      </x:c>
      <x:c r="Q45" s="2093" t="str">
        <x:f>IF(EA85="","",IF(AND(EA85&gt;-12,EA85&lt;0),-0.000001,TRUNC(EA85/12)))</x:f>
        <x:v/>
      </x:c>
      <x:c r="R45" s="2094" t="str">
        <x:f>IF(EA85="","",IF(AND(EA85&lt;0,EA85-(Q45*12)=0),-0.00001,EA85-(Q45*12)))</x:f>
        <x:v/>
      </x:c>
      <x:c r="S45" s="2102" t="str">
        <x:f>IF(DR85="","",IF(DR85="ERR",TRUNC(DQ85/12),TRUNC(DR85/12)))</x:f>
        <x:v/>
      </x:c>
      <x:c r="T45" s="2097" t="str">
        <x:f>IF(DR85="","",IF(DR85="ERR",DQ85-(S45*12),DR85-(S45*12)))</x:f>
        <x:v/>
      </x:c>
      <x:c r="U45" s="2093" t="str">
        <x:f>IF(DY85="","",IF(DY85="ERR",TRUNC(DX85/12),TRUNC(DY85/12)))</x:f>
        <x:v/>
      </x:c>
      <x:c r="V45" s="2097" t="str">
        <x:f>IF(DY85="","",IF(DY85="ERR",DX85-(U45*12),DY85-(U45*12)))</x:f>
        <x:v/>
      </x:c>
      <x:c r="W45" s="2101">
        <x:f>IF(EC85="",0,EC85)</x:f>
        <x:v>0</x:v>
      </x:c>
      <x:c r="X45" s="2103" t="str">
        <x:f>IF(EN85="","",EN85)</x:f>
        <x:v/>
      </x:c>
      <x:c r="Y45" s="2104" t="str">
        <x:f>IF(ES85="","",ES85)</x:f>
        <x:v/>
      </x:c>
      <x:c r="Z45" s="2088"/>
      <x:c r="AA45" s="2105" t="str">
        <x:f>IF(ISBLANK(CX45),"",CX45)</x:f>
        <x:v/>
      </x:c>
      <x:c r="AB45" s="2124" t="str">
        <x:f t="shared" si="70"/>
        <x:v/>
      </x:c>
      <x:c r="AC45" s="2125" t="str">
        <x:f t="shared" si="70"/>
        <x:v/>
      </x:c>
      <x:c r="AD45" s="2126" t="str">
        <x:f t="shared" ca="1" si="62"/>
        <x:v/>
      </x:c>
      <x:c r="AE45" s="2127" t="str">
        <x:f t="shared" ca="1" si="63"/>
        <x:v/>
      </x:c>
      <x:c r="AF45" s="2125" t="str">
        <x:f t="shared" ca="1" si="64"/>
        <x:v/>
      </x:c>
      <x:c r="AG45" s="2126" t="str">
        <x:f t="shared" ca="1" si="65"/>
        <x:v/>
      </x:c>
      <x:c r="AH45" s="2127" t="str">
        <x:f t="shared" ca="1" si="66"/>
        <x:v/>
      </x:c>
      <x:c r="AI45" s="2126" t="str">
        <x:f t="shared" ca="1" si="67"/>
        <x:v/>
      </x:c>
      <x:c r="AJ45" s="2127" t="str">
        <x:f t="shared" ca="1" si="68"/>
        <x:v/>
      </x:c>
      <x:c r="AK45" s="2128" t="str">
        <x:f t="shared" si="71"/>
        <x:v/>
      </x:c>
      <x:c r="AL45" s="2129" t="str">
        <x:f t="shared" si="71"/>
        <x:v/>
      </x:c>
      <x:c r="AM45" s="2130" t="str">
        <x:f t="shared" si="71"/>
        <x:v/>
      </x:c>
      <x:c r="AN45" s="2125" t="str">
        <x:f t="shared" si="71"/>
        <x:v/>
      </x:c>
      <x:c r="AO45" s="2131" t="str">
        <x:f t="shared" si="71"/>
        <x:v/>
      </x:c>
      <x:c r="AP45" s="2132" t="str">
        <x:f t="shared" si="3"/>
        <x:v/>
      </x:c>
      <x:c r="AQ45" s="2133" t="str">
        <x:f t="shared" si="3"/>
        <x:v/>
      </x:c>
      <x:c r="AR45" s="2134" t="str">
        <x:f t="shared" si="4"/>
        <x:v/>
      </x:c>
      <x:c r="AS45" s="2127" t="str">
        <x:f t="shared" si="5"/>
        <x:v/>
      </x:c>
      <x:c r="AT45" s="2135" t="str">
        <x:f t="shared" si="72"/>
        <x:v/>
      </x:c>
      <x:c r="AU45" s="2136" t="str">
        <x:f t="shared" si="72"/>
        <x:v/>
      </x:c>
      <x:c r="AV45" s="2137" t="str">
        <x:f t="shared" si="6"/>
        <x:v/>
      </x:c>
      <x:c r="AW45" s="2127" t="str">
        <x:f t="shared" si="7"/>
        <x:v/>
      </x:c>
      <x:c r="AX45" s="2135" t="str">
        <x:f t="shared" si="73"/>
        <x:v/>
      </x:c>
      <x:c r="AY45" s="2136" t="str">
        <x:f t="shared" si="73"/>
        <x:v/>
      </x:c>
      <x:c r="AZ45" s="2137" t="str">
        <x:f t="shared" si="8"/>
        <x:v/>
      </x:c>
      <x:c r="BA45" s="2127" t="str">
        <x:f t="shared" si="9"/>
        <x:v/>
      </x:c>
      <x:c r="BB45" s="2135" t="str">
        <x:f t="shared" si="74"/>
        <x:v/>
      </x:c>
      <x:c r="BC45" s="2136" t="str">
        <x:f t="shared" si="74"/>
        <x:v/>
      </x:c>
      <x:c r="BD45" s="2137" t="str">
        <x:f t="shared" si="10"/>
        <x:v/>
      </x:c>
      <x:c r="BE45" s="2127" t="str">
        <x:f t="shared" si="11"/>
        <x:v/>
      </x:c>
      <x:c r="BF45" s="2135" t="str">
        <x:f t="shared" si="75"/>
        <x:v/>
      </x:c>
      <x:c r="BG45" s="2136" t="str">
        <x:f t="shared" si="75"/>
        <x:v/>
      </x:c>
      <x:c r="BH45" s="322"/>
      <x:c r="BJ45" s="1258" t="str">
        <x:f t="shared" si="69"/>
        <x:v/>
      </x:c>
      <x:c r="BK45" s="1256" t="b">
        <x:f t="shared" si="76"/>
        <x:v>0</x:v>
      </x:c>
      <x:c r="BL45" s="2002" t="b">
        <x:v>0</x:v>
      </x:c>
      <x:c r="BM45" s="1251">
        <x:f t="shared" si="50"/>
        <x:v>0</x:v>
      </x:c>
      <x:c r="BN45" s="1251">
        <x:f t="shared" si="51"/>
        <x:v>0</x:v>
      </x:c>
      <x:c r="BO45" s="1251">
        <x:f t="shared" si="52"/>
        <x:v>0</x:v>
      </x:c>
      <x:c r="BP45" s="1251">
        <x:f t="shared" si="53"/>
        <x:v>0</x:v>
      </x:c>
      <x:c r="BQ45" s="1251">
        <x:f t="shared" si="54"/>
        <x:v>0</x:v>
      </x:c>
      <x:c r="BR45" s="1251" t="b">
        <x:f t="shared" si="55"/>
        <x:v>1</x:v>
      </x:c>
      <x:c r="BS45" s="1252">
        <x:f t="shared" si="56"/>
        <x:v>6</x:v>
      </x:c>
      <x:c r="BT45" s="1252" t="str">
        <x:f t="shared" si="57"/>
        <x:v>No</x:v>
      </x:c>
      <x:c r="BU45" s="1252">
        <x:f t="shared" si="58"/>
        <x:v>6</x:v>
      </x:c>
      <x:c r="BV45" s="1252" t="str">
        <x:f t="shared" si="59"/>
        <x:v>No</x:v>
      </x:c>
      <x:c r="BW45" s="1253">
        <x:f t="shared" ca="1" si="21"/>
        <x:v>0</x:v>
      </x:c>
      <x:c r="BX45" s="1254" t="str">
        <x:f t="shared" ca="1" si="28"/>
        <x:v/>
      </x:c>
      <x:c r="BY45" s="1254" t="b">
        <x:f t="shared" ca="1" si="22"/>
        <x:v>0</x:v>
      </x:c>
      <x:c r="BZ45" s="1255" t="b">
        <x:f t="shared" si="29"/>
        <x:v>0</x:v>
      </x:c>
      <x:c r="CB45" s="854"/>
      <x:c r="CC45" s="895"/>
      <x:c r="CD45" s="888"/>
      <x:c r="CE45" s="889"/>
      <x:c r="CF45" s="890"/>
      <x:c r="CG45" s="907"/>
      <x:c r="CH45" s="908"/>
      <x:c r="CI45" s="909"/>
      <x:c r="CJ45" s="908"/>
      <x:c r="CK45" s="909"/>
      <x:c r="CL45" s="910"/>
      <x:c r="CM45" s="945"/>
      <x:c r="CN45" s="907"/>
      <x:c r="CO45" s="908"/>
      <x:c r="CP45" s="909"/>
      <x:c r="CQ45" s="908"/>
      <x:c r="CR45" s="909"/>
      <x:c r="CS45" s="910"/>
      <x:c r="CT45" s="945"/>
      <x:c r="CU45" s="912"/>
      <x:c r="CV45" s="891"/>
      <x:c r="CW45" s="892"/>
      <x:c r="CX45" s="917"/>
      <x:c r="CY45" s="918"/>
      <x:c r="CZ45" s="939"/>
      <x:c r="DA45" s="940"/>
      <x:c r="DB45" s="939"/>
      <x:c r="DC45" s="940"/>
      <x:c r="DD45" s="1151"/>
      <x:c r="DE45" s="1152"/>
      <x:c r="DF45" s="173"/>
      <x:c r="DG45" s="173"/>
      <x:c r="DH45" s="854"/>
      <x:c r="DI45" s="855"/>
      <x:c r="DJ45" s="876"/>
      <x:c r="DK45" s="877"/>
      <x:c r="DL45" s="856"/>
      <x:c r="DM45" s="878"/>
      <x:c r="DN45" s="879"/>
      <x:c r="DO45" s="857"/>
      <x:c r="DP45" s="858"/>
      <x:c r="DQ45" s="859"/>
      <x:c r="DR45" s="859"/>
      <x:c r="DS45" s="860"/>
      <x:c r="DT45" s="861"/>
      <x:c r="DU45" s="862"/>
      <x:c r="DV45" s="863"/>
      <x:c r="DW45" s="864"/>
      <x:c r="DX45" s="865"/>
      <x:c r="DY45" s="866"/>
      <x:c r="DZ45" s="863"/>
      <x:c r="EA45" s="864"/>
      <x:c r="EB45" s="865"/>
      <x:c r="EC45" s="866"/>
      <x:c r="ED45" s="863"/>
      <x:c r="EE45" s="864"/>
      <x:c r="EF45" s="865"/>
      <x:c r="EG45" s="866"/>
      <x:c r="EH45" s="863"/>
      <x:c r="EI45" s="864"/>
      <x:c r="EJ45" s="865"/>
      <x:c r="EK45" s="867"/>
      <x:c r="EL45" s="810" t="str">
        <x:f t="shared" si="37"/>
        <x:v/>
      </x:c>
      <x:c r="EM45" s="811" t="str">
        <x:f t="shared" si="38"/>
        <x:v/>
      </x:c>
      <x:c r="EN45" s="812" t="str">
        <x:f t="shared" si="39"/>
        <x:v/>
      </x:c>
      <x:c r="EO45" s="1045" t="str">
        <x:f t="shared" si="40"/>
        <x:v/>
      </x:c>
      <x:c r="EP45" s="1170" t="str">
        <x:f t="shared" si="77"/>
        <x:v/>
      </x:c>
      <x:c r="EQ45" s="1171" t="str">
        <x:f t="shared" si="78"/>
        <x:v/>
      </x:c>
      <x:c r="ER45" s="965" t="str">
        <x:f t="shared" si="41"/>
        <x:v/>
      </x:c>
      <x:c r="ES45" s="966" t="str">
        <x:f t="shared" si="42"/>
        <x:v/>
      </x:c>
      <x:c r="ET45" s="967" t="str">
        <x:f t="shared" si="43"/>
        <x:v/>
      </x:c>
      <x:c r="EU45" s="968" t="str">
        <x:f t="shared" si="44"/>
        <x:v/>
      </x:c>
      <x:c r="EX45" s="1194" t="str">
        <x:f t="shared" ca="1" si="23"/>
        <x:v/>
      </x:c>
      <x:c r="EY45" s="1196" t="str">
        <x:f t="shared" si="12"/>
        <x:v/>
      </x:c>
      <x:c r="EZ45" s="1196" t="str">
        <x:f t="shared" si="24"/>
        <x:v/>
      </x:c>
      <x:c r="FA45" s="1217" t="str">
        <x:f t="shared" ca="1" si="30"/>
        <x:v/>
      </x:c>
      <x:c r="FB45" s="1218" t="str">
        <x:f t="shared" ca="1" si="25"/>
        <x:v/>
      </x:c>
      <x:c r="FC45" s="1218">
        <x:f t="shared" ca="1" si="13"/>
        <x:v>0</x:v>
      </x:c>
      <x:c r="FD45" s="1218">
        <x:f t="shared" ca="1" si="14"/>
        <x:v>0</x:v>
      </x:c>
      <x:c r="FE45" s="1218">
        <x:f t="shared" ca="1" si="15"/>
        <x:v>0</x:v>
      </x:c>
      <x:c r="FF45" s="1218">
        <x:f t="shared" ca="1" si="26"/>
        <x:v>0</x:v>
      </x:c>
      <x:c r="FN45" s="1256" t="b">
        <x:v>0</x:v>
      </x:c>
      <x:c r="FO45" s="969" t="b">
        <x:f t="shared" si="60"/>
        <x:v>1</x:v>
      </x:c>
      <x:c r="FP45" s="969" t="b">
        <x:v>0</x:v>
      </x:c>
      <x:c r="FQ45" s="969" t="b">
        <x:f t="shared" si="27"/>
        <x:v>1</x:v>
      </x:c>
      <x:c r="FX45" s="303"/>
      <x:c r="FZ45" s="124"/>
      <x:c r="GA45" s="1935" t="str">
        <x:f t="shared" si="97"/>
        <x:v/>
      </x:c>
      <x:c r="GB45" s="1936" t="str">
        <x:f t="shared" si="98"/>
        <x:v/>
      </x:c>
      <x:c r="GC45" s="1937" t="str">
        <x:f t="shared" si="99"/>
        <x:v/>
      </x:c>
      <x:c r="GD45" s="1938" t="str">
        <x:f t="shared" si="100"/>
        <x:v/>
      </x:c>
      <x:c r="GE45" s="1939" t="str">
        <x:f t="shared" si="79"/>
        <x:v/>
      </x:c>
      <x:c r="GF45" s="1940" t="str">
        <x:f t="shared" si="45"/>
        <x:v/>
      </x:c>
      <x:c r="GG45" s="1460"/>
      <x:c r="GH45" s="1461"/>
      <x:c r="GI45" s="1460"/>
      <x:c r="GJ45" s="1461"/>
      <x:c r="GK45" s="326">
        <x:f t="shared" si="46"/>
        <x:v>0</x:v>
      </x:c>
      <x:c r="GL45" s="326" t="e">
        <x:f t="shared" si="47"/>
        <x:v>#VALUE!</x:v>
      </x:c>
      <x:c r="GM45" s="327" t="e">
        <x:f>IF(ABS(GK45-GL45)&gt;='Job Info.'!$L$22,ABS(GK45-GL45),0)</x:f>
        <x:v>#VALUE!</x:v>
      </x:c>
      <x:c r="GN45" s="171"/>
      <x:c r="GO45" s="171"/>
      <x:c r="GZ45" s="179"/>
      <x:c r="HA45" s="1620"/>
      <x:c r="HB45" s="1621"/>
      <x:c r="HC45" s="1621"/>
      <x:c r="HD45" s="1622"/>
      <x:c r="HE45" s="1623"/>
      <x:c r="HF45" s="1621"/>
      <x:c r="HG45" s="1621"/>
      <x:c r="HH45" s="1621"/>
      <x:c r="HI45" s="1621"/>
      <x:c r="HJ45" s="1621"/>
      <x:c r="HK45" s="1621"/>
      <x:c r="HL45" s="1621"/>
      <x:c r="HM45" s="1621"/>
      <x:c r="HN45" s="1621"/>
      <x:c r="HO45" s="1621"/>
      <x:c r="HP45" s="1621"/>
      <x:c r="HQ45" s="1621"/>
      <x:c r="HR45" s="1621"/>
      <x:c r="HS45" s="1621"/>
      <x:c r="HT45" s="1621"/>
      <x:c r="HU45" s="1621"/>
      <x:c r="HV45" s="1621"/>
      <x:c r="HW45" s="1621"/>
      <x:c r="HX45" s="1621"/>
      <x:c r="HY45" s="1624"/>
      <x:c r="HZ45" s="1624"/>
      <x:c r="IA45" s="1624"/>
      <x:c r="IB45" s="1624"/>
      <x:c r="IC45" s="1624"/>
      <x:c r="ID45" s="1625"/>
      <x:c r="IE45" s="1620"/>
      <x:c r="IF45" s="1621"/>
      <x:c r="IG45" s="1622"/>
      <x:c r="IH45" s="1623"/>
      <x:c r="II45" s="1621"/>
      <x:c r="IJ45" s="1622"/>
      <x:c r="IK45" s="1623"/>
      <x:c r="IL45" s="1621"/>
      <x:c r="IM45" s="1621"/>
      <x:c r="IN45" s="1621"/>
      <x:c r="IO45" s="1621"/>
      <x:c r="IP45" s="1621"/>
      <x:c r="IQ45" s="1621"/>
      <x:c r="IR45" s="1621"/>
      <x:c r="IS45" s="1622"/>
      <x:c r="IT45" s="1623"/>
      <x:c r="IU45" s="1621"/>
      <x:c r="IV45" s="1621"/>
      <x:c r="IW45" s="1622"/>
      <x:c r="IX45" s="1623"/>
      <x:c r="IY45" s="1621"/>
      <x:c r="IZ45" s="1621"/>
      <x:c r="JA45" s="1622"/>
      <x:c r="JB45" s="1623"/>
      <x:c r="JC45" s="1621"/>
      <x:c r="JD45" s="1621"/>
      <x:c r="JE45" s="1622"/>
      <x:c r="JF45" s="1623"/>
      <x:c r="JG45" s="1621"/>
      <x:c r="JH45" s="1621"/>
      <x:c r="JI45" s="1621"/>
      <x:c r="JJ45" s="1626"/>
      <x:c r="JK45" s="1621"/>
      <x:c r="JL45" s="1522">
        <x:f t="shared" ca="1" si="31"/>
        <x:v>0</x:v>
      </x:c>
      <x:c r="JM45" s="171"/>
    </x:row>
    <x:row r="46" spans="1:273" ht="20.100000000000001" customHeight="1" thickTop="1" x14ac:dyDescent="0.2">
      <x:c r="A46" s="319"/>
      <x:c r="B46" s="319"/>
      <x:c r="C46" s="319"/>
      <x:c r="D46" s="319"/>
      <x:c r="E46" s="319"/>
      <x:c r="F46" s="319"/>
      <x:c r="G46" s="319"/>
      <x:c r="H46" s="319"/>
      <x:c r="I46" s="319"/>
      <x:c r="J46" s="319"/>
      <x:c r="K46" s="319"/>
      <x:c r="L46" s="319"/>
      <x:c r="M46" s="319"/>
      <x:c r="N46" s="319"/>
      <x:c r="O46" s="319"/>
      <x:c r="P46" s="319"/>
      <x:c r="Q46" s="319"/>
      <x:c r="R46" s="319"/>
      <x:c r="S46" s="319"/>
      <x:c r="T46" s="319"/>
      <x:c r="U46" s="319"/>
      <x:c r="V46" s="319"/>
      <x:c r="W46" s="319"/>
      <x:c r="X46" s="319"/>
      <x:c r="Y46" s="319"/>
      <x:c r="Z46" s="1463"/>
      <x:c r="AA46" s="319"/>
      <x:c r="AB46" s="319"/>
      <x:c r="AC46" s="319"/>
      <x:c r="AD46" s="319"/>
      <x:c r="AE46" s="319"/>
      <x:c r="AF46" s="319"/>
      <x:c r="AG46" s="319"/>
      <x:c r="AH46" s="319"/>
      <x:c r="AI46" s="319"/>
      <x:c r="AJ46" s="319"/>
      <x:c r="AK46" s="319"/>
      <x:c r="AL46" s="319"/>
      <x:c r="AM46" s="319"/>
      <x:c r="AN46" s="319"/>
      <x:c r="AO46" s="319"/>
      <x:c r="AP46" s="319"/>
      <x:c r="AQ46" s="319"/>
      <x:c r="AR46" s="319"/>
      <x:c r="AS46" s="319"/>
      <x:c r="AT46" s="319"/>
      <x:c r="AU46" s="319"/>
      <x:c r="AV46" s="319"/>
      <x:c r="AW46" s="319"/>
      <x:c r="AX46" s="319"/>
      <x:c r="AY46" s="319"/>
      <x:c r="AZ46" s="319"/>
      <x:c r="BA46" s="319"/>
      <x:c r="BB46" s="319"/>
      <x:c r="BC46" s="319"/>
      <x:c r="BD46" s="319"/>
      <x:c r="BE46" s="319"/>
      <x:c r="BF46" s="319"/>
      <x:c r="BG46" s="319"/>
      <x:c r="BH46" s="320"/>
      <x:c r="CA46" s="138"/>
      <x:c r="CB46" s="125"/>
      <x:c r="CC46" s="125"/>
      <x:c r="CD46" s="125"/>
      <x:c r="CE46" s="125"/>
      <x:c r="CF46" s="125"/>
      <x:c r="CG46" s="125"/>
      <x:c r="CH46" s="125"/>
      <x:c r="CI46" s="125"/>
      <x:c r="CJ46" s="125"/>
      <x:c r="CK46" s="125"/>
      <x:c r="CL46" s="125"/>
      <x:c r="CM46" s="125"/>
      <x:c r="CN46" s="125"/>
      <x:c r="CO46" s="125"/>
      <x:c r="CP46" s="125"/>
      <x:c r="CQ46" s="125"/>
      <x:c r="CR46" s="125"/>
      <x:c r="CS46" s="125"/>
      <x:c r="CT46" s="125"/>
      <x:c r="CU46" s="125"/>
      <x:c r="CV46" s="125"/>
      <x:c r="CW46" s="125"/>
      <x:c r="CX46" s="125"/>
      <x:c r="CY46" s="125"/>
      <x:c r="CZ46" s="125"/>
      <x:c r="DA46" s="125"/>
      <x:c r="DB46" s="122"/>
      <x:c r="DC46" s="122"/>
      <x:c r="DD46" s="122"/>
      <x:c r="DE46" s="122"/>
      <x:c r="DF46" s="122"/>
      <x:c r="DG46" s="122"/>
      <x:c r="DH46" s="170"/>
      <x:c r="DI46" s="170"/>
      <x:c r="DJ46" s="170"/>
      <x:c r="DK46" s="170"/>
      <x:c r="DL46" s="170"/>
      <x:c r="DM46" s="170"/>
      <x:c r="DN46" s="170"/>
      <x:c r="DO46" s="170"/>
      <x:c r="DP46" s="170"/>
      <x:c r="DQ46" s="170"/>
      <x:c r="DR46" s="170"/>
      <x:c r="DS46" s="170"/>
      <x:c r="DT46" s="170"/>
      <x:c r="DU46" s="170"/>
      <x:c r="DV46" s="170"/>
      <x:c r="DW46" s="170"/>
      <x:c r="DX46" s="170"/>
      <x:c r="DY46" s="170"/>
      <x:c r="DZ46" s="170"/>
      <x:c r="EA46" s="170"/>
      <x:c r="EB46" s="170"/>
      <x:c r="EC46" s="170"/>
      <x:c r="ED46" s="170"/>
      <x:c r="EE46" s="170"/>
      <x:c r="EF46" s="170"/>
      <x:c r="EG46" s="170"/>
      <x:c r="EH46" s="170"/>
      <x:c r="EI46" s="170"/>
      <x:c r="EJ46" s="170"/>
      <x:c r="EK46" s="170"/>
      <x:c r="EL46" s="122"/>
      <x:c r="EM46" s="121"/>
      <x:c r="EN46" s="127"/>
      <x:c r="EO46" s="355"/>
      <x:c r="EP46" s="356"/>
      <x:c r="EQ46" s="356"/>
      <x:c r="ER46" s="356"/>
      <x:c r="ES46" s="357"/>
      <x:c r="ET46" s="358"/>
      <x:c r="EU46" s="358"/>
      <x:c r="EV46" s="358"/>
      <x:c r="EW46" s="358"/>
      <x:c r="EX46" s="358"/>
      <x:c r="EY46" s="358"/>
      <x:c r="EZ46" s="358"/>
      <x:c r="FA46" s="358"/>
      <x:c r="FB46" s="358"/>
      <x:c r="FC46" s="358"/>
      <x:c r="FD46" s="355"/>
      <x:c r="FE46" s="355"/>
      <x:c r="FF46" s="355"/>
      <x:c r="FG46" s="355"/>
      <x:c r="FH46" s="355"/>
      <x:c r="FI46" s="355"/>
      <x:c r="FJ46" s="355"/>
      <x:c r="FK46" s="355"/>
      <x:c r="FL46" s="355"/>
      <x:c r="FM46" s="355"/>
      <x:c r="FN46" s="122"/>
      <x:c r="FO46" s="122"/>
      <x:c r="FP46" s="122"/>
      <x:c r="FQ46" s="122"/>
      <x:c r="FR46" s="122"/>
      <x:c r="FS46" s="122"/>
      <x:c r="FT46" s="122"/>
      <x:c r="FU46" s="122"/>
      <x:c r="FV46" s="122"/>
      <x:c r="FW46" s="122"/>
      <x:c r="FX46" s="122"/>
      <x:c r="FY46" s="122"/>
      <x:c r="FZ46" s="124"/>
      <x:c r="GA46" s="164"/>
      <x:c r="GB46" s="1462"/>
      <x:c r="GC46" s="1462"/>
      <x:c r="GD46" s="1462"/>
      <x:c r="GE46" s="1462"/>
      <x:c r="GF46" s="1462"/>
      <x:c r="GG46" s="1462"/>
      <x:c r="GH46" s="1462"/>
      <x:c r="GI46" s="171"/>
      <x:c r="GJ46" s="171"/>
      <x:c r="GK46" s="171"/>
      <x:c r="GL46" s="171"/>
      <x:c r="GM46" s="171"/>
      <x:c r="GN46" s="171"/>
      <x:c r="GO46" s="171"/>
      <x:c r="GZ46" s="171"/>
      <x:c r="HA46" s="171"/>
      <x:c r="HB46" s="171"/>
      <x:c r="HC46" s="171"/>
      <x:c r="HD46" s="171"/>
      <x:c r="HE46" s="171"/>
      <x:c r="HF46" s="171"/>
      <x:c r="HG46" s="171"/>
      <x:c r="HH46" s="171"/>
      <x:c r="HI46" s="161"/>
      <x:c r="HM46" s="162"/>
      <x:c r="HN46" s="163"/>
      <x:c r="ID46" s="172"/>
      <x:c r="IE46" s="172"/>
      <x:c r="IF46" s="172"/>
      <x:c r="IG46" s="172"/>
      <x:c r="IH46" s="172"/>
      <x:c r="II46" s="172"/>
      <x:c r="IJ46" s="172"/>
      <x:c r="IK46" s="172"/>
      <x:c r="IL46" s="172"/>
    </x:row>
    <x:row r="47" spans="1:273" ht="12.75" customHeight="1" x14ac:dyDescent="0.2">
      <x:c r="B47" s="649" t="s">
        <x:v>761</x:v>
      </x:c>
      <x:c r="AL47" s="319"/>
      <x:c r="AM47" s="319"/>
      <x:c r="AN47" s="319"/>
      <x:c r="AO47" s="319"/>
      <x:c r="AP47" s="319"/>
      <x:c r="AQ47" s="319"/>
      <x:c r="CA47" s="138"/>
      <x:c r="CB47" s="125"/>
      <x:c r="CC47" s="125"/>
      <x:c r="CD47" s="125"/>
      <x:c r="CE47" s="125"/>
      <x:c r="CF47" s="125"/>
      <x:c r="CG47" s="125"/>
      <x:c r="CH47" s="125"/>
      <x:c r="CI47" s="125"/>
      <x:c r="CJ47" s="125"/>
      <x:c r="CK47" s="125"/>
      <x:c r="CL47" s="125"/>
      <x:c r="CM47" s="125"/>
      <x:c r="CN47" s="125"/>
      <x:c r="CO47" s="125"/>
      <x:c r="CP47" s="125"/>
      <x:c r="CQ47" s="125"/>
      <x:c r="CR47" s="125"/>
      <x:c r="CS47" s="125"/>
      <x:c r="CT47" s="125"/>
      <x:c r="CU47" s="125"/>
      <x:c r="CV47" s="125"/>
      <x:c r="CW47" s="125"/>
      <x:c r="CX47" s="125"/>
      <x:c r="CY47" s="125"/>
      <x:c r="CZ47" s="125"/>
      <x:c r="DC47" s="434"/>
      <x:c r="DD47" s="434"/>
      <x:c r="DE47" s="434"/>
      <x:c r="DF47" s="434"/>
      <x:c r="DG47" s="360"/>
      <x:c r="DH47" s="360"/>
      <x:c r="EL47" s="122"/>
      <x:c r="EM47" s="122"/>
      <x:c r="EN47" s="124"/>
      <x:c r="EO47" s="122"/>
      <x:c r="EP47" s="123"/>
      <x:c r="EQ47" s="123"/>
      <x:c r="ER47" s="123"/>
      <x:c r="ES47" s="126"/>
      <x:c r="ET47" s="122"/>
      <x:c r="EU47" s="122"/>
      <x:c r="EV47" s="122"/>
      <x:c r="EW47" s="122"/>
      <x:c r="EX47" s="122"/>
      <x:c r="EY47" s="122"/>
      <x:c r="EZ47" s="122"/>
      <x:c r="FA47" s="122"/>
      <x:c r="FB47" s="122"/>
      <x:c r="FC47" s="122"/>
      <x:c r="FD47" s="122"/>
      <x:c r="FE47" s="122"/>
      <x:c r="FF47" s="122"/>
      <x:c r="FG47" s="122"/>
      <x:c r="FH47" s="122"/>
      <x:c r="FI47" s="122"/>
      <x:c r="FJ47" s="122"/>
      <x:c r="FK47" s="122"/>
      <x:c r="FL47" s="122"/>
      <x:c r="FM47" s="122"/>
      <x:c r="FN47" s="122"/>
      <x:c r="FO47" s="122"/>
      <x:c r="FP47" s="122"/>
      <x:c r="FQ47" s="122"/>
      <x:c r="FR47" s="122"/>
      <x:c r="FS47" s="122"/>
      <x:c r="FT47" s="122"/>
      <x:c r="FU47" s="122"/>
      <x:c r="FV47" s="122"/>
      <x:c r="FW47" s="122"/>
      <x:c r="FX47" s="122"/>
      <x:c r="FY47" s="122"/>
      <x:c r="FZ47" s="124"/>
      <x:c r="GA47" s="122"/>
      <x:c r="GB47" s="171"/>
      <x:c r="GC47" s="171"/>
      <x:c r="GD47" s="171"/>
      <x:c r="GE47" s="171"/>
      <x:c r="GF47" s="171"/>
      <x:c r="GG47" s="171"/>
      <x:c r="GH47" s="171"/>
      <x:c r="GI47" s="171"/>
      <x:c r="GJ47" s="171"/>
      <x:c r="GK47" s="171"/>
      <x:c r="GL47" s="171"/>
      <x:c r="GM47" s="171"/>
      <x:c r="GN47" s="171"/>
      <x:c r="GO47" s="171"/>
      <x:c r="GP47" s="171"/>
      <x:c r="GQ47" s="171"/>
      <x:c r="GR47" s="125"/>
      <x:c r="GS47" s="125"/>
      <x:c r="GT47" s="125"/>
      <x:c r="GU47" s="125"/>
      <x:c r="GV47" s="125"/>
      <x:c r="GW47" s="125"/>
      <x:c r="GX47" s="125"/>
      <x:c r="GY47" s="125"/>
      <x:c r="GZ47" s="125"/>
      <x:c r="HA47" s="125"/>
      <x:c r="HB47" s="125"/>
      <x:c r="HC47" s="125"/>
      <x:c r="HD47" s="125"/>
      <x:c r="HE47" s="125"/>
      <x:c r="HF47" s="125"/>
      <x:c r="HG47" s="125"/>
      <x:c r="HH47" s="125"/>
      <x:c r="HI47" s="125"/>
      <x:c r="HJ47" s="125"/>
      <x:c r="HK47" s="125"/>
      <x:c r="HL47" s="125"/>
      <x:c r="HM47" s="125"/>
      <x:c r="HN47" s="125"/>
      <x:c r="HO47" s="125"/>
      <x:c r="HP47" s="170"/>
      <x:c r="HQ47" s="170"/>
      <x:c r="HR47" s="170"/>
      <x:c r="HS47" s="170"/>
      <x:c r="HT47" s="170"/>
      <x:c r="HU47" s="170"/>
      <x:c r="HV47" s="125"/>
      <x:c r="HW47" s="125"/>
      <x:c r="HX47" s="125"/>
      <x:c r="HY47" s="125"/>
      <x:c r="HZ47" s="170"/>
      <x:c r="IA47" s="125"/>
      <x:c r="IB47" s="125"/>
      <x:c r="IC47" s="125"/>
      <x:c r="ID47" s="125"/>
    </x:row>
    <x:row r="48" spans="1:273" ht="12.6" hidden="1" customHeight="1" thickTop="1" thickBot="1" x14ac:dyDescent="0.25">
      <x:c r="B48" s="184">
        <x:f>SUM(B28:B45)</x:f>
        <x:v>41</x:v>
      </x:c>
      <x:c r="CA48" s="138"/>
      <x:c r="CB48" s="125"/>
      <x:c r="CC48" s="125"/>
      <x:c r="CD48" s="125"/>
      <x:c r="CE48" s="125"/>
      <x:c r="CF48" s="125"/>
      <x:c r="CG48" s="125"/>
      <x:c r="CH48" s="125"/>
      <x:c r="CI48" s="125"/>
      <x:c r="CJ48" s="125"/>
      <x:c r="CK48" s="125"/>
      <x:c r="CL48" s="125"/>
      <x:c r="CM48" s="125"/>
      <x:c r="CN48" s="125"/>
      <x:c r="CO48" s="125"/>
      <x:c r="CP48" s="125"/>
      <x:c r="CQ48" s="125"/>
      <x:c r="CR48" s="125"/>
      <x:c r="CS48" s="125"/>
      <x:c r="CT48" s="125"/>
      <x:c r="CU48" s="125"/>
      <x:c r="CV48" s="125"/>
      <x:c r="CW48" s="125"/>
      <x:c r="CX48" s="125"/>
      <x:c r="CY48" s="125"/>
      <x:c r="CZ48" s="125"/>
      <x:c r="DC48" s="434"/>
      <x:c r="DD48" s="434"/>
      <x:c r="DE48" s="434"/>
      <x:c r="DF48" s="434"/>
      <x:c r="EL48" s="122"/>
      <x:c r="EM48" s="122"/>
      <x:c r="EN48" s="124"/>
      <x:c r="EO48" s="122"/>
      <x:c r="EP48" s="123"/>
      <x:c r="EQ48" s="123"/>
      <x:c r="ER48" s="123"/>
      <x:c r="ES48" s="126"/>
      <x:c r="ET48" s="122"/>
      <x:c r="EU48" s="122"/>
      <x:c r="EV48" s="122"/>
      <x:c r="EW48" s="122"/>
      <x:c r="EX48" s="122"/>
      <x:c r="EY48" s="122"/>
      <x:c r="EZ48" s="122"/>
      <x:c r="FA48" s="122"/>
      <x:c r="FB48" s="122"/>
      <x:c r="FC48" s="122"/>
      <x:c r="FD48" s="122"/>
      <x:c r="FE48" s="122"/>
      <x:c r="FF48" s="122"/>
      <x:c r="FG48" s="122"/>
      <x:c r="FH48" s="122"/>
      <x:c r="FI48" s="122"/>
      <x:c r="FJ48" s="122"/>
      <x:c r="FK48" s="122"/>
      <x:c r="FL48" s="122"/>
      <x:c r="FM48" s="122"/>
      <x:c r="FZ48" s="1162" t="s">
        <x:v>1102</x:v>
      </x:c>
      <x:c r="GA48" s="722" t="str">
        <x:f>IF(GF48="","",CE48)</x:f>
        <x:v/>
      </x:c>
      <x:c r="GB48" s="770" t="str">
        <x:f>IF(GF48="","",CF48)</x:f>
        <x:v/>
      </x:c>
      <x:c r="GC48" s="772" t="str">
        <x:f>IF(GF48="","",IF(CD88="",0,CD88))</x:f>
        <x:v/>
      </x:c>
      <x:c r="GD48" s="773" t="str">
        <x:f>IF(GF48="","",IF(CM88="",0,CM88))</x:f>
        <x:v/>
      </x:c>
      <x:c r="GE48" s="771" t="str">
        <x:f>IF(GF48="","",IF(ISBLANK(CU48),IF(X48=Y48,0,MAX(ABS(X48),ABS(Y48))*IF(X48&lt;0,-1,1)),CU48))</x:f>
        <x:v/>
      </x:c>
      <x:c r="GF48" s="723" t="str">
        <x:f>IF(A48=0,"",A48)</x:f>
        <x:v/>
      </x:c>
      <x:c r="GG48" s="1457"/>
      <x:c r="GH48" s="1459"/>
      <x:c r="GI48" s="1457"/>
      <x:c r="GJ48" s="1459"/>
      <x:c r="GK48" s="171"/>
      <x:c r="GL48" s="171"/>
      <x:c r="GM48" s="171"/>
      <x:c r="GN48" s="171"/>
      <x:c r="GO48" s="171"/>
      <x:c r="GP48" s="171"/>
      <x:c r="GQ48" s="171"/>
      <x:c r="GR48" s="194" t="str">
        <x:f>IF(ISERROR(VLOOKUP($CB48,#REF!,HA$21,FALSE)),"",VLOOKUP($CB48,#REF!,HA$21,FALSE))</x:f>
        <x:v/>
      </x:c>
      <x:c r="GS48" s="195" t="str">
        <x:f>IF(ISERROR(VLOOKUP($CB48,#REF!,HB$21,FALSE)),"",IF(VLOOKUP($CB48,#REF!,HB$21,FALSE)="","",VLOOKUP($CB48,#REF!,HB$21,FALSE)))</x:f>
        <x:v/>
      </x:c>
      <x:c r="GT48" s="196" t="str">
        <x:f>IF(ISERROR(VLOOKUP($CB48,#REF!,HC$21,FALSE)),"",IF(VLOOKUP($CB48,#REF!,HC$21,FALSE)="","",VLOOKUP($CB48,#REF!,HC$21,FALSE)))</x:f>
        <x:v/>
      </x:c>
      <x:c r="GU48" s="197" t="str">
        <x:f>IF(ISERROR(VLOOKUP($CB48,#REF!,HD$21,FALSE)),"",IF(VLOOKUP($CB48,#REF!,HD$21,FALSE)="","",VLOOKUP($CB48,#REF!,HD$21,FALSE)))</x:f>
        <x:v/>
      </x:c>
      <x:c r="GV48" s="198" t="str">
        <x:f>IF(ISERROR(VLOOKUP($CB48,#REF!,HE$21,FALSE)),"",IF(VLOOKUP($CB48,#REF!,HE$21,FALSE)="","",VLOOKUP($CB48,#REF!,HE$21,FALSE)))</x:f>
        <x:v/>
      </x:c>
      <x:c r="GW48" s="199" t="str">
        <x:f>IF(ISERROR(VLOOKUP($CB48,#REF!,HF$21,FALSE)),"",IF(VLOOKUP($CB48,#REF!,HF$21,FALSE)="","",VLOOKUP($CB48,#REF!,HF$21,FALSE)))</x:f>
        <x:v/>
      </x:c>
      <x:c r="GX48" s="200" t="str">
        <x:f>IF(ISERROR(VLOOKUP($CB48,#REF!,HG$21,FALSE)),"",IF(VLOOKUP($CB48,#REF!,HG$21,FALSE)="","",VLOOKUP($CB48,#REF!,HG$21,FALSE)))</x:f>
        <x:v/>
      </x:c>
      <x:c r="GY48" s="201" t="str">
        <x:f>IF(ISERROR(VLOOKUP($CB48,#REF!,HH$21,FALSE)),"",IF(VLOOKUP($CB48,#REF!,HH$21,FALSE)="","",VLOOKUP($CB48,#REF!,HH$21,FALSE)))</x:f>
        <x:v/>
      </x:c>
      <x:c r="GZ48" s="200" t="str">
        <x:f>IF(ISERROR(VLOOKUP($CB48,#REF!,HI$21,FALSE)),"",IF(VLOOKUP($CB48,#REF!,HI$21,FALSE)="","",VLOOKUP($CB48,#REF!,HI$21,FALSE)))</x:f>
        <x:v/>
      </x:c>
      <x:c r="HA48" s="201" t="str">
        <x:f>IF(ISERROR(VLOOKUP($CB48,#REF!,HJ$21,FALSE)),"",IF(VLOOKUP($CB48,#REF!,HJ$21,FALSE)="","",VLOOKUP($CB48,#REF!,HJ$21,FALSE)))</x:f>
        <x:v/>
      </x:c>
      <x:c r="HB48" s="202" t="str">
        <x:f>IF(ISERROR(VLOOKUP($CB48,#REF!,HK$21,FALSE)),"",IF(VLOOKUP($CB48,#REF!,HK$21,FALSE)="","",VLOOKUP($CB48,#REF!,HK$21,FALSE)))</x:f>
        <x:v/>
      </x:c>
      <x:c r="HC48" s="203" t="str">
        <x:f>IF(ISERROR(VLOOKUP($CB48,#REF!,HL$21,FALSE)),"",IF(VLOOKUP($CB48,#REF!,HL$21,FALSE)="","",VLOOKUP($CB48,#REF!,HL$21,FALSE)))</x:f>
        <x:v/>
      </x:c>
      <x:c r="HD48" s="199" t="str">
        <x:f>IF(ISERROR(VLOOKUP($CB48,#REF!,HM$21,FALSE)),"",IF(VLOOKUP($CB48,#REF!,HM$21,FALSE)="","",VLOOKUP($CB48,#REF!,HM$21,FALSE)))</x:f>
        <x:v/>
      </x:c>
      <x:c r="HE48" s="200" t="str">
        <x:f>IF(ISERROR(VLOOKUP($CB48,#REF!,HN$21,FALSE)),"",IF(VLOOKUP($CB48,#REF!,HN$21,FALSE)="","",VLOOKUP($CB48,#REF!,HN$21,FALSE)))</x:f>
        <x:v/>
      </x:c>
      <x:c r="HF48" s="201" t="str">
        <x:f>IF(ISERROR(VLOOKUP($CB48,#REF!,HO$21,FALSE)),"",IF(VLOOKUP($CB48,#REF!,HO$21,FALSE)="","",VLOOKUP($CB48,#REF!,HO$21,FALSE)))</x:f>
        <x:v/>
      </x:c>
      <x:c r="HG48" s="200" t="str">
        <x:f>IF(ISERROR(VLOOKUP($CB48,#REF!,HP$21,FALSE)),"",IF(VLOOKUP($CB48,#REF!,HP$21,FALSE)="","",VLOOKUP($CB48,#REF!,HP$21,FALSE)))</x:f>
        <x:v/>
      </x:c>
      <x:c r="HH48" s="201" t="str">
        <x:f>IF(ISERROR(VLOOKUP($CB48,#REF!,HQ$21,FALSE)),"",IF(VLOOKUP($CB48,#REF!,HQ$21,FALSE)="","",VLOOKUP($CB48,#REF!,HQ$21,FALSE)))</x:f>
        <x:v/>
      </x:c>
      <x:c r="HI48" s="202" t="str">
        <x:f>IF(ISERROR(VLOOKUP($CB48,#REF!,HR$21,FALSE)),"",IF(VLOOKUP($CB48,#REF!,HR$21,FALSE)="","",VLOOKUP($CB48,#REF!,HR$21,FALSE)))</x:f>
        <x:v/>
      </x:c>
      <x:c r="HJ48" s="203" t="str">
        <x:f>IF(ISERROR(VLOOKUP($CB48,#REF!,HS$21,FALSE)),"",IF(VLOOKUP($CB48,#REF!,HS$21,FALSE)="","",VLOOKUP($CB48,#REF!,HS$21,FALSE)))</x:f>
        <x:v/>
      </x:c>
      <x:c r="HK48" s="204" t="str">
        <x:f>IF(ISERROR(VLOOKUP($CB48,#REF!,HT$21,FALSE)),"",IF(VLOOKUP($CB48,#REF!,HT$21,FALSE)="","",VLOOKUP($CB48,#REF!,HT$21,FALSE)))</x:f>
        <x:v/>
      </x:c>
      <x:c r="HL48" s="194" t="str">
        <x:f>IF(ISERROR(VLOOKUP($CB48,#REF!,HU$21,FALSE)),"",IF(VLOOKUP($CB48,#REF!,HU$21,FALSE)="","",VLOOKUP($CB48,#REF!,HU$21,FALSE)))</x:f>
        <x:v/>
      </x:c>
      <x:c r="HM48" s="205" t="str">
        <x:f>IF(ISERROR(VLOOKUP($CB48,#REF!,HV$21,FALSE)),"",IF(VLOOKUP($CB48,#REF!,HV$21,FALSE)="","",VLOOKUP($CB48,#REF!,HV$21,FALSE)))</x:f>
        <x:v/>
      </x:c>
      <x:c r="HN48" s="206" t="str">
        <x:f>IF(ISERROR(VLOOKUP($CB48,#REF!,HW$21,FALSE)),"",IF(VLOOKUP($CB48,#REF!,HW$21,FALSE)="","",VLOOKUP($CB48,#REF!,HW$21,FALSE)))</x:f>
        <x:v/>
      </x:c>
      <x:c r="HO48" s="207" t="str">
        <x:f>IF(ISERROR(VLOOKUP($CB48,#REF!,HX$21,FALSE)),"",IF(VLOOKUP($CB48,#REF!,HX$21,FALSE)="","",VLOOKUP($CB48,#REF!,HX$21,FALSE)))</x:f>
        <x:v/>
      </x:c>
      <x:c r="HP48" s="186">
        <x:f>IF(IZ48="",0,1)</x:f>
        <x:v>0</x:v>
      </x:c>
      <x:c r="HQ48" s="186"/>
      <x:c r="HR48" s="186"/>
      <x:c r="HS48" s="186"/>
      <x:c r="HT48" s="186"/>
      <x:c r="HU48" s="186"/>
      <x:c r="HV48" s="194" t="str">
        <x:f ca="1">IF($HP48=0,"",IF(ISBLANK(OFFSET(#REF!,MATCH(OFFSET(#REF!,($HP48-1)*-1,0),#REF!,0)+($HP48-2),IE$9-1)),"",OFFSET(#REF!,MATCH(OFFSET(#REF!,($HP48-1)*-1,0),#REF!,0)+($HP48-2),IE$9-1)))</x:f>
        <x:v/>
      </x:c>
      <x:c r="HW48" s="208" t="str">
        <x:f ca="1">IF($HP48=0,"",IF(ISBLANK(OFFSET(#REF!,MATCH(OFFSET(#REF!,($HP48-1)*-1,0),#REF!,0)+($HP48-2),IF$9-1)),"",OFFSET(#REF!,MATCH(OFFSET(#REF!,($HP48-1)*-1,0),#REF!,0)+($HP48-2),IF$9-1)))</x:f>
        <x:v/>
      </x:c>
      <x:c r="HX48" s="209" t="str">
        <x:f ca="1">IF($HP48=0,"",IF(ISBLANK(OFFSET(#REF!,MATCH(OFFSET(#REF!,($HP48-1)*-1,0),#REF!,0)+($HP48-2),IG$9-1)),"",OFFSET(#REF!,MATCH(OFFSET(#REF!,($HP48-1)*-1,0),#REF!,0)+($HP48-2),IG$9-1)))</x:f>
        <x:v/>
      </x:c>
      <x:c r="HY48" s="210" t="str">
        <x:f ca="1">IF($HP48=0,"",IF(ISBLANK(OFFSET(#REF!,MATCH(OFFSET(#REF!,($HP48-1)*-1,0),#REF!,0)+($HP48-2),IH$9-1)),"",OFFSET(#REF!,MATCH(OFFSET(#REF!,($HP48-1)*-1,0),#REF!,0)+($HP48-2),IH$9-1)))</x:f>
        <x:v/>
      </x:c>
      <x:c r="HZ48" s="677" t="str">
        <x:f ca="1">IF($HP48=0,"",IF(ISBLANK(OFFSET(#REF!,MATCH(OFFSET(#REF!,($HP48-1)*-1,0),#REF!,0)+($HP48-2),II$9-1)),"",OFFSET(#REF!,MATCH(OFFSET(#REF!,($HP48-1)*-1,0),#REF!,0)+($HP48-2),II$9-1)))</x:f>
        <x:v/>
      </x:c>
      <x:c r="IA48" s="212" t="str">
        <x:f ca="1">IF($HP48=0,"",IF(ISBLANK(OFFSET(#REF!,MATCH(OFFSET(#REF!,($HP48-1)*-1,0),#REF!,0)+($HP48-2),IJ$9-1)),"",OFFSET(#REF!,MATCH(OFFSET(#REF!,($HP48-1)*-1,0),#REF!,0)+($HP48-2),IJ$9-1)))</x:f>
        <x:v/>
      </x:c>
      <x:c r="IB48" s="213" t="str">
        <x:f ca="1">IF($HP48=0,"",IF(ISBLANK(OFFSET(#REF!,MATCH(OFFSET(#REF!,($HP48-1)*-1,0),#REF!,0)+($HP48-2),IK$9-1)),"",OFFSET(#REF!,MATCH(OFFSET(#REF!,($HP48-1)*-1,0),#REF!,0)+($HP48-2),IK$9-1)))</x:f>
        <x:v/>
      </x:c>
      <x:c r="IC48" s="214" t="str">
        <x:f ca="1">IF($HP48=0,"",IF(ISBLANK(OFFSET(#REF!,MATCH(OFFSET(#REF!,($HP48-1)*-1,0),#REF!,0)+($HP48-2),IL$9-1)),"",OFFSET(#REF!,MATCH(OFFSET(#REF!,($HP48-1)*-1,0),#REF!,0)+($HP48-2),IL$9-1)))</x:f>
        <x:v/>
      </x:c>
      <x:c r="ID48" s="215" t="str">
        <x:f ca="1">IF($HP48=0,"",IF(ISBLANK(OFFSET(#REF!,MATCH(OFFSET(#REF!,($HP48-1)*-1,0),#REF!,0)+($HP48-2),IM$9-1)),"",OFFSET(#REF!,MATCH(OFFSET(#REF!,($HP48-1)*-1,0),#REF!,0)+($HP48-2),IM$9-1)))</x:f>
        <x:v/>
      </x:c>
    </x:row>
    <x:row r="49" spans="1:222" ht="12.6" hidden="1" customHeight="1" thickBot="1" x14ac:dyDescent="0.25">
      <x:c r="B49" s="283">
        <x:v>111</x:v>
      </x:c>
      <x:c r="C49" s="185"/>
      <x:c r="CI49" s="125"/>
      <x:c r="CJ49" s="125"/>
      <x:c r="CK49" s="125"/>
      <x:c r="CL49" s="125"/>
      <x:c r="CM49" s="125"/>
      <x:c r="CN49" s="125"/>
      <x:c r="CO49" s="125"/>
      <x:c r="DC49" s="434"/>
      <x:c r="DD49" s="434"/>
      <x:c r="DE49" s="434"/>
      <x:c r="DF49" s="434"/>
      <x:c r="GD49" s="171"/>
      <x:c r="GE49" s="171"/>
      <x:c r="GF49" s="171"/>
      <x:c r="GG49" s="171"/>
      <x:c r="GH49" s="171"/>
      <x:c r="GI49" s="171"/>
      <x:c r="GJ49" s="171"/>
      <x:c r="GK49" s="171"/>
      <x:c r="GL49" s="171"/>
      <x:c r="GM49" s="171"/>
      <x:c r="GN49" s="171"/>
      <x:c r="GO49" s="171"/>
      <x:c r="GP49" s="171"/>
      <x:c r="GQ49" s="171"/>
      <x:c r="GR49" s="171"/>
      <x:c r="GS49" s="171"/>
      <x:c r="GT49" s="171"/>
      <x:c r="GU49" s="171"/>
      <x:c r="GV49" s="171"/>
      <x:c r="GW49" s="171"/>
      <x:c r="GX49" s="171"/>
      <x:c r="GY49" s="171"/>
      <x:c r="GZ49" s="171"/>
      <x:c r="HB49" s="174"/>
      <x:c r="HC49" s="174"/>
      <x:c r="HD49" s="175"/>
      <x:c r="HE49" s="176"/>
      <x:c r="HF49" s="174"/>
      <x:c r="HG49" s="174"/>
      <x:c r="HH49" s="174"/>
      <x:c r="HI49" s="174"/>
      <x:c r="HJ49" s="174"/>
      <x:c r="HK49" s="174"/>
      <x:c r="HL49" s="174"/>
      <x:c r="HM49" s="174"/>
      <x:c r="HN49" s="174"/>
    </x:row>
    <x:row r="50" spans="1:222" ht="12.6" hidden="1" customHeight="1" thickBot="1" x14ac:dyDescent="0.25">
      <x:c r="BZ50" s="360"/>
      <x:c r="CA50" s="360"/>
      <x:c r="CB50" s="360"/>
      <x:c r="CC50" s="360"/>
      <x:c r="CD50" s="360"/>
      <x:c r="CE50" s="360"/>
      <x:c r="CF50" s="360"/>
      <x:c r="CG50" s="360"/>
      <x:c r="CH50" s="360"/>
      <x:c r="CI50" s="360"/>
      <x:c r="CJ50" s="360"/>
      <x:c r="CK50" s="360"/>
      <x:c r="CL50" s="360"/>
      <x:c r="CM50" s="360"/>
      <x:c r="CN50" s="360"/>
      <x:c r="CO50" s="360"/>
      <x:c r="CP50" s="360"/>
      <x:c r="CQ50" s="360"/>
      <x:c r="CR50" s="360"/>
      <x:c r="CS50" s="360"/>
      <x:c r="CT50" s="360"/>
      <x:c r="CU50" s="404"/>
      <x:c r="CV50" s="405"/>
      <x:c r="CW50" s="405"/>
      <x:c r="CX50" s="359"/>
      <x:c r="CY50" s="360"/>
      <x:c r="CZ50" s="360"/>
      <x:c r="DA50" s="360"/>
      <x:c r="DB50" s="360"/>
      <x:c r="DC50" s="434"/>
      <x:c r="DD50" s="434"/>
      <x:c r="DE50" s="434"/>
      <x:c r="DF50" s="434"/>
      <x:c r="DG50" s="360"/>
      <x:c r="DH50" s="360"/>
      <x:c r="DI50" s="377"/>
      <x:c r="DJ50" s="377"/>
      <x:c r="DK50" s="377"/>
      <x:c r="DL50" s="360"/>
      <x:c r="DM50" s="360"/>
      <x:c r="DN50" s="359"/>
      <x:c r="DO50" s="360"/>
      <x:c r="DP50" s="360"/>
      <x:c r="DQ50" s="360"/>
      <x:c r="DR50" s="360"/>
      <x:c r="DS50" s="360"/>
      <x:c r="DT50" s="360"/>
      <x:c r="DU50" s="360"/>
      <x:c r="DV50" s="360"/>
      <x:c r="DW50" s="360"/>
      <x:c r="DX50" s="360"/>
      <x:c r="DY50" s="360"/>
      <x:c r="DZ50" s="360"/>
      <x:c r="EA50" s="360"/>
      <x:c r="EB50" s="359"/>
      <x:c r="EC50" s="406"/>
      <x:c r="ED50" s="2385" t="s">
        <x:v>509</x:v>
      </x:c>
      <x:c r="EE50" s="2385" t="s">
        <x:v>562</x:v>
      </x:c>
      <x:c r="EF50" s="2385" t="s">
        <x:v>563</x:v>
      </x:c>
      <x:c r="EG50" s="2385" t="s">
        <x:v>564</x:v>
      </x:c>
      <x:c r="EH50" s="2385" t="s">
        <x:v>565</x:v>
      </x:c>
      <x:c r="EI50" s="2385" t="s">
        <x:v>566</x:v>
      </x:c>
      <x:c r="EJ50" s="2385" t="s">
        <x:v>567</x:v>
      </x:c>
      <x:c r="EK50" s="2385" t="s">
        <x:v>568</x:v>
      </x:c>
      <x:c r="EL50" s="2385" t="s">
        <x:v>510</x:v>
      </x:c>
      <x:c r="EM50" s="2385" t="s">
        <x:v>569</x:v>
      </x:c>
      <x:c r="EN50" s="2385" t="s">
        <x:v>623</x:v>
      </x:c>
      <x:c r="EO50" s="2385" t="s">
        <x:v>511</x:v>
      </x:c>
      <x:c r="EP50" s="2385" t="s">
        <x:v>570</x:v>
      </x:c>
      <x:c r="EQ50" s="2385" t="s">
        <x:v>512</x:v>
      </x:c>
      <x:c r="ER50" s="2385" t="s">
        <x:v>571</x:v>
      </x:c>
      <x:c r="ES50" s="2385" t="s">
        <x:v>624</x:v>
      </x:c>
      <x:c r="ET50" s="2385" t="s">
        <x:v>513</x:v>
      </x:c>
      <x:c r="EU50" s="2385" t="s">
        <x:v>514</x:v>
      </x:c>
      <x:c r="EV50" s="360"/>
      <x:c r="EW50" s="360"/>
      <x:c r="EX50" s="360"/>
      <x:c r="EY50" s="363"/>
      <x:c r="EZ50" s="363"/>
      <x:c r="FA50" s="363"/>
      <x:c r="FB50" s="360"/>
      <x:c r="FC50" s="360"/>
      <x:c r="FD50" s="360"/>
      <x:c r="FG50" s="139"/>
      <x:c r="FH50" s="139"/>
      <x:c r="FI50" s="139"/>
      <x:c r="FJ50" s="139"/>
      <x:c r="FK50" s="139"/>
      <x:c r="FL50" s="139"/>
      <x:c r="FM50" s="139"/>
      <x:c r="FN50" s="2553" t="s">
        <x:v>656</x:v>
      </x:c>
      <x:c r="FO50" s="2554"/>
      <x:c r="FP50" s="2554"/>
      <x:c r="FQ50" s="2554"/>
      <x:c r="FR50" s="2554"/>
      <x:c r="FS50" s="2555"/>
      <x:c r="FT50" s="2519" t="s">
        <x:v>657</x:v>
      </x:c>
      <x:c r="FU50" s="2520"/>
      <x:c r="FV50" s="2520"/>
      <x:c r="FW50" s="2520"/>
      <x:c r="FX50" s="2520"/>
      <x:c r="FY50" s="2520"/>
      <x:c r="FZ50" s="2521"/>
      <x:c r="GA50" s="296"/>
      <x:c r="GB50" s="296"/>
      <x:c r="GC50" s="139"/>
      <x:c r="GD50" s="296"/>
      <x:c r="GE50" s="296"/>
      <x:c r="GF50" s="296"/>
      <x:c r="GG50" s="296"/>
      <x:c r="GH50" s="296"/>
      <x:c r="GI50" s="298"/>
      <x:c r="GJ50" s="304"/>
      <x:c r="GK50" s="171"/>
      <x:c r="GL50" s="171"/>
      <x:c r="GM50" s="171"/>
      <x:c r="GN50" s="171"/>
      <x:c r="GO50" s="171"/>
      <x:c r="GP50" s="171"/>
      <x:c r="GQ50" s="171"/>
      <x:c r="GR50" s="171"/>
      <x:c r="GS50" s="171"/>
      <x:c r="GT50" s="171"/>
      <x:c r="GU50" s="171"/>
      <x:c r="GV50" s="171"/>
      <x:c r="GW50" s="171"/>
      <x:c r="GX50" s="171"/>
      <x:c r="GY50" s="171"/>
      <x:c r="GZ50" s="171"/>
      <x:c r="HB50" s="174"/>
      <x:c r="HC50" s="174"/>
      <x:c r="HD50" s="175"/>
      <x:c r="HE50" s="176"/>
      <x:c r="HF50" s="174"/>
      <x:c r="HG50" s="174"/>
      <x:c r="HH50" s="174"/>
      <x:c r="HI50" s="174"/>
      <x:c r="HJ50" s="174"/>
      <x:c r="HK50" s="174"/>
      <x:c r="HL50" s="174"/>
      <x:c r="HM50" s="174"/>
      <x:c r="HN50" s="174"/>
    </x:row>
    <x:row r="51" spans="1:222" ht="12.6" hidden="1" customHeight="1" thickTop="1" thickBot="1" x14ac:dyDescent="0.25">
      <x:c r="BZ51" s="360"/>
      <x:c r="CA51" s="360"/>
      <x:c r="CB51" s="360"/>
      <x:c r="CC51" s="2408" t="s">
        <x:v>654</x:v>
      </x:c>
      <x:c r="CD51" s="2409"/>
      <x:c r="CE51" s="2409"/>
      <x:c r="CF51" s="2409"/>
      <x:c r="CG51" s="2409"/>
      <x:c r="CH51" s="2409"/>
      <x:c r="CI51" s="2409"/>
      <x:c r="CJ51" s="2409"/>
      <x:c r="CK51" s="2410"/>
      <x:c r="CL51" s="2408" t="s">
        <x:v>507</x:v>
      </x:c>
      <x:c r="CM51" s="2409"/>
      <x:c r="CN51" s="2409"/>
      <x:c r="CO51" s="2409"/>
      <x:c r="CP51" s="2409"/>
      <x:c r="CQ51" s="2409"/>
      <x:c r="CR51" s="2409"/>
      <x:c r="CS51" s="2409"/>
      <x:c r="CT51" s="2410"/>
      <x:c r="CU51" s="407"/>
      <x:c r="CV51" s="408"/>
      <x:c r="CW51" s="408"/>
      <x:c r="CX51" s="408"/>
      <x:c r="CY51" s="408"/>
      <x:c r="CZ51" s="408"/>
      <x:c r="DA51" s="408"/>
      <x:c r="DB51" s="408"/>
      <x:c r="DC51" s="408"/>
      <x:c r="DD51" s="408"/>
      <x:c r="DE51" s="408"/>
      <x:c r="DF51" s="408"/>
      <x:c r="DG51" s="408"/>
      <x:c r="DH51" s="408"/>
      <x:c r="DI51" s="408"/>
      <x:c r="DJ51" s="408"/>
      <x:c r="DK51" s="408"/>
      <x:c r="DL51" s="408"/>
      <x:c r="DM51" s="408"/>
      <x:c r="DN51" s="409"/>
      <x:c r="DO51" s="408"/>
      <x:c r="DP51" s="408"/>
      <x:c r="DQ51" s="408"/>
      <x:c r="DR51" s="408"/>
      <x:c r="DS51" s="408"/>
      <x:c r="DT51" s="408"/>
      <x:c r="DU51" s="408"/>
      <x:c r="DV51" s="408"/>
      <x:c r="DW51" s="408"/>
      <x:c r="DX51" s="408"/>
      <x:c r="DY51" s="408"/>
      <x:c r="DZ51" s="408"/>
      <x:c r="EA51" s="408"/>
      <x:c r="EB51" s="410"/>
      <x:c r="EC51" s="411"/>
      <x:c r="ED51" s="2387"/>
      <x:c r="EE51" s="2386"/>
      <x:c r="EF51" s="2386"/>
      <x:c r="EG51" s="2395"/>
      <x:c r="EH51" s="2386"/>
      <x:c r="EI51" s="2386"/>
      <x:c r="EJ51" s="2386"/>
      <x:c r="EK51" s="2387"/>
      <x:c r="EL51" s="2387"/>
      <x:c r="EM51" s="2387"/>
      <x:c r="EN51" s="2386"/>
      <x:c r="EO51" s="2387"/>
      <x:c r="EP51" s="2407"/>
      <x:c r="EQ51" s="2387"/>
      <x:c r="ER51" s="2387"/>
      <x:c r="ES51" s="2387"/>
      <x:c r="ET51" s="2387"/>
      <x:c r="EU51" s="2407"/>
      <x:c r="EV51" s="360"/>
      <x:c r="EW51" s="360"/>
      <x:c r="EX51" s="2515" t="s">
        <x:v>658</x:v>
      </x:c>
      <x:c r="EY51" s="2606" t="s">
        <x:v>659</x:v>
      </x:c>
      <x:c r="EZ51" s="360"/>
      <x:c r="FA51" s="360"/>
      <x:c r="FB51" s="360"/>
      <x:c r="FC51" s="360"/>
      <x:c r="FD51" s="360"/>
      <x:c r="FF51" s="2603" t="s">
        <x:v>990</x:v>
      </x:c>
      <x:c r="FG51" s="2604"/>
      <x:c r="FH51" s="2604"/>
      <x:c r="FI51" s="2604"/>
      <x:c r="FN51" s="2556"/>
      <x:c r="FO51" s="2557"/>
      <x:c r="FP51" s="2557"/>
      <x:c r="FQ51" s="2557"/>
      <x:c r="FR51" s="2557"/>
      <x:c r="FS51" s="2558"/>
      <x:c r="FT51" s="2522"/>
      <x:c r="FU51" s="2523"/>
      <x:c r="FV51" s="2523"/>
      <x:c r="FW51" s="2523"/>
      <x:c r="FX51" s="2523"/>
      <x:c r="FY51" s="2523"/>
      <x:c r="FZ51" s="2524"/>
      <x:c r="GA51" s="122"/>
      <x:c r="GB51" s="122"/>
      <x:c r="GC51" s="122"/>
      <x:c r="GD51" s="122"/>
      <x:c r="GE51" s="122"/>
      <x:c r="GF51" s="122"/>
      <x:c r="GG51" s="124"/>
      <x:c r="GH51" s="124"/>
      <x:c r="GI51" s="171"/>
      <x:c r="GJ51" s="174"/>
      <x:c r="GK51" s="171"/>
      <x:c r="GL51" s="171"/>
      <x:c r="GM51" s="171"/>
      <x:c r="GN51" s="171"/>
      <x:c r="GO51" s="171"/>
      <x:c r="GP51" s="171"/>
      <x:c r="GQ51" s="171"/>
      <x:c r="GR51" s="171"/>
      <x:c r="GS51" s="171"/>
      <x:c r="GT51" s="171"/>
      <x:c r="GU51" s="171"/>
      <x:c r="GV51" s="171"/>
      <x:c r="GW51" s="171"/>
      <x:c r="GX51" s="171"/>
      <x:c r="GY51" s="171"/>
      <x:c r="GZ51" s="171"/>
      <x:c r="HB51" s="174"/>
      <x:c r="HC51" s="174"/>
      <x:c r="HD51" s="175"/>
      <x:c r="HE51" s="176"/>
      <x:c r="HF51" s="174"/>
      <x:c r="HG51" s="174"/>
      <x:c r="HH51" s="174"/>
      <x:c r="HI51" s="174"/>
      <x:c r="HJ51" s="174"/>
      <x:c r="HK51" s="174"/>
      <x:c r="HL51" s="174"/>
      <x:c r="HM51" s="174"/>
      <x:c r="HN51" s="174"/>
    </x:row>
    <x:row r="52" spans="1:222" ht="24.95" hidden="1" customHeight="1" thickTop="1" thickBot="1" x14ac:dyDescent="0.25">
      <x:c r="BZ52" s="360"/>
      <x:c r="CA52" s="360"/>
      <x:c r="CB52" s="2503" t="s">
        <x:v>653</x:v>
      </x:c>
      <x:c r="CC52" s="2401" t="s">
        <x:v>535</x:v>
      </x:c>
      <x:c r="CD52" s="2403" t="s">
        <x:v>536</x:v>
      </x:c>
      <x:c r="CE52" s="2403" t="s">
        <x:v>537</x:v>
      </x:c>
      <x:c r="CF52" s="2403" t="s">
        <x:v>538</x:v>
      </x:c>
      <x:c r="CG52" s="2403" t="s">
        <x:v>599</x:v>
      </x:c>
      <x:c r="CH52" s="2403" t="s">
        <x:v>539</x:v>
      </x:c>
      <x:c r="CI52" s="2403" t="s">
        <x:v>619</x:v>
      </x:c>
      <x:c r="CJ52" s="2403" t="s">
        <x:v>540</x:v>
      </x:c>
      <x:c r="CK52" s="2405" t="s">
        <x:v>541</x:v>
      </x:c>
      <x:c r="CL52" s="2401" t="s">
        <x:v>535</x:v>
      </x:c>
      <x:c r="CM52" s="2403" t="s">
        <x:v>536</x:v>
      </x:c>
      <x:c r="CN52" s="2403" t="s">
        <x:v>542</x:v>
      </x:c>
      <x:c r="CO52" s="2403" t="s">
        <x:v>538</x:v>
      </x:c>
      <x:c r="CP52" s="2403" t="s">
        <x:v>599</x:v>
      </x:c>
      <x:c r="CQ52" s="2403" t="s">
        <x:v>539</x:v>
      </x:c>
      <x:c r="CR52" s="2403" t="s">
        <x:v>619</x:v>
      </x:c>
      <x:c r="CS52" s="2403" t="s">
        <x:v>540</x:v>
      </x:c>
      <x:c r="CT52" s="2405" t="s">
        <x:v>541</x:v>
      </x:c>
      <x:c r="CU52" s="2510" t="s">
        <x:v>528</x:v>
      </x:c>
      <x:c r="CV52" s="2393" t="s">
        <x:v>543</x:v>
      </x:c>
      <x:c r="CW52" s="2393" t="s">
        <x:v>544</x:v>
      </x:c>
      <x:c r="CX52" s="2391" t="s">
        <x:v>545</x:v>
      </x:c>
      <x:c r="CY52" s="2397" t="s">
        <x:v>582</x:v>
      </x:c>
      <x:c r="CZ52" s="2513" t="s">
        <x:v>1058</x:v>
      </x:c>
      <x:c r="DA52" s="2514"/>
      <x:c r="DB52" s="2397" t="s">
        <x:v>547</x:v>
      </x:c>
      <x:c r="DC52" s="2393" t="s">
        <x:v>550</x:v>
      </x:c>
      <x:c r="DD52" s="2393" t="s">
        <x:v>551</x:v>
      </x:c>
      <x:c r="DE52" s="2397" t="s">
        <x:v>583</x:v>
      </x:c>
      <x:c r="DF52" s="2513" t="s">
        <x:v>1059</x:v>
      </x:c>
      <x:c r="DG52" s="2514"/>
      <x:c r="DH52" s="2393" t="s">
        <x:v>549</x:v>
      </x:c>
      <x:c r="DI52" s="2393" t="s">
        <x:v>552</x:v>
      </x:c>
      <x:c r="DJ52" s="2393" t="s">
        <x:v>553</x:v>
      </x:c>
      <x:c r="DK52" s="2393" t="s">
        <x:v>554</x:v>
      </x:c>
      <x:c r="DL52" s="2393" t="s">
        <x:v>584</x:v>
      </x:c>
      <x:c r="DM52" s="2388" t="s">
        <x:v>585</x:v>
      </x:c>
      <x:c r="DN52" s="2389"/>
      <x:c r="DO52" s="2388" t="s">
        <x:v>586</x:v>
      </x:c>
      <x:c r="DP52" s="2390"/>
      <x:c r="DQ52" s="2391" t="s">
        <x:v>587</x:v>
      </x:c>
      <x:c r="DR52" s="2392"/>
      <x:c r="DS52" s="2393" t="s">
        <x:v>608</x:v>
      </x:c>
      <x:c r="DT52" s="2388" t="s">
        <x:v>588</x:v>
      </x:c>
      <x:c r="DU52" s="2389"/>
      <x:c r="DV52" s="2388" t="s">
        <x:v>589</x:v>
      </x:c>
      <x:c r="DW52" s="2390"/>
      <x:c r="DX52" s="2391" t="s">
        <x:v>590</x:v>
      </x:c>
      <x:c r="DY52" s="2392"/>
      <x:c r="DZ52" s="2393" t="s">
        <x:v>12</x:v>
      </x:c>
      <x:c r="EA52" s="2393" t="s">
        <x:v>13</x:v>
      </x:c>
      <x:c r="EB52" s="2393" t="s">
        <x:v>622</x:v>
      </x:c>
      <x:c r="EC52" s="2393" t="s">
        <x:v>621</x:v>
      </x:c>
      <x:c r="ED52" s="2387"/>
      <x:c r="EE52" s="2386"/>
      <x:c r="EF52" s="2386"/>
      <x:c r="EG52" s="2395"/>
      <x:c r="EH52" s="2386"/>
      <x:c r="EI52" s="2386"/>
      <x:c r="EJ52" s="2386"/>
      <x:c r="EK52" s="2387"/>
      <x:c r="EL52" s="2387"/>
      <x:c r="EM52" s="2387"/>
      <x:c r="EN52" s="2386"/>
      <x:c r="EO52" s="2387"/>
      <x:c r="EP52" s="2407"/>
      <x:c r="EQ52" s="2387"/>
      <x:c r="ER52" s="2387"/>
      <x:c r="ES52" s="2387"/>
      <x:c r="ET52" s="2387"/>
      <x:c r="EU52" s="2407"/>
      <x:c r="EV52" s="2393" t="s">
        <x:v>630</x:v>
      </x:c>
      <x:c r="EW52" s="2393" t="s">
        <x:v>631</x:v>
      </x:c>
      <x:c r="EX52" s="2516"/>
      <x:c r="EY52" s="2606"/>
      <x:c r="EZ52" s="2488" t="s">
        <x:v>555</x:v>
      </x:c>
      <x:c r="FA52" s="2490" t="s">
        <x:v>556</x:v>
      </x:c>
      <x:c r="FB52" s="2517" t="s">
        <x:v>723</x:v>
      </x:c>
      <x:c r="FC52" s="2517" t="s">
        <x:v>724</x:v>
      </x:c>
      <x:c r="FD52" s="2543" t="s">
        <x:v>828</x:v>
      </x:c>
      <x:c r="FE52" s="2544"/>
      <x:c r="FF52" s="296" t="s">
        <x:v>991</x:v>
      </x:c>
      <x:c r="FK52" s="2529" t="s">
        <x:v>831</x:v>
      </x:c>
      <x:c r="FL52" s="2531" t="s">
        <x:v>660</x:v>
      </x:c>
      <x:c r="FM52" s="2533" t="s">
        <x:v>527</x:v>
      </x:c>
      <x:c r="FN52" s="2541" t="s">
        <x:v>529</x:v>
      </x:c>
      <x:c r="FO52" s="2551" t="s">
        <x:v>530</x:v>
      </x:c>
      <x:c r="FP52" s="2537" t="s">
        <x:v>531</x:v>
      </x:c>
      <x:c r="FQ52" s="2537" t="s">
        <x:v>532</x:v>
      </x:c>
      <x:c r="FR52" s="2539" t="s">
        <x:v>533</x:v>
      </x:c>
      <x:c r="FS52" s="2535" t="s">
        <x:v>534</x:v>
      </x:c>
      <x:c r="FT52" s="2527" t="s">
        <x:v>683</x:v>
      </x:c>
      <x:c r="FU52" s="2525" t="s">
        <x:v>521</x:v>
      </x:c>
      <x:c r="FV52" s="2525" t="s">
        <x:v>686</x:v>
      </x:c>
      <x:c r="FW52" s="2525" t="s">
        <x:v>685</x:v>
      </x:c>
      <x:c r="FX52" s="2525" t="s">
        <x:v>522</x:v>
      </x:c>
      <x:c r="FY52" s="2525" t="s">
        <x:v>684</x:v>
      </x:c>
      <x:c r="FZ52" s="2525" t="s">
        <x:v>687</x:v>
      </x:c>
      <x:c r="GA52" s="2525" t="s">
        <x:v>523</x:v>
      </x:c>
      <x:c r="GB52" s="2549" t="s">
        <x:v>524</x:v>
      </x:c>
      <x:c r="GC52" s="2547" t="s">
        <x:v>665</x:v>
      </x:c>
      <x:c r="GD52" s="249"/>
      <x:c r="GE52" s="164"/>
      <x:c r="GF52" s="164"/>
      <x:c r="GG52" s="168"/>
      <x:c r="GH52" s="168"/>
      <x:c r="GI52" s="169"/>
      <x:c r="GJ52" s="2545" t="s">
        <x:v>688</x:v>
      </x:c>
      <x:c r="GK52" s="171"/>
      <x:c r="GL52" s="171"/>
      <x:c r="GM52" s="171"/>
    </x:row>
    <x:row r="53" spans="1:222" ht="12.6" hidden="1" customHeight="1" thickTop="1" thickBot="1" x14ac:dyDescent="0.25">
      <x:c r="BZ53" s="360"/>
      <x:c r="CA53" s="360"/>
      <x:c r="CB53" s="2504"/>
      <x:c r="CC53" s="2402"/>
      <x:c r="CD53" s="2407"/>
      <x:c r="CE53" s="2407"/>
      <x:c r="CF53" s="2404"/>
      <x:c r="CG53" s="2404"/>
      <x:c r="CH53" s="2404"/>
      <x:c r="CI53" s="2404"/>
      <x:c r="CJ53" s="2404"/>
      <x:c r="CK53" s="2406"/>
      <x:c r="CL53" s="2402"/>
      <x:c r="CM53" s="2407"/>
      <x:c r="CN53" s="2407"/>
      <x:c r="CO53" s="2404"/>
      <x:c r="CP53" s="2404"/>
      <x:c r="CQ53" s="2404"/>
      <x:c r="CR53" s="2404"/>
      <x:c r="CS53" s="2404"/>
      <x:c r="CT53" s="2406"/>
      <x:c r="CU53" s="2511"/>
      <x:c r="CV53" s="2394"/>
      <x:c r="CW53" s="2509"/>
      <x:c r="CX53" s="2512"/>
      <x:c r="CY53" s="2387"/>
      <x:c r="CZ53" s="412" t="s">
        <x:v>593</x:v>
      </x:c>
      <x:c r="DA53" s="412" t="s">
        <x:v>594</x:v>
      </x:c>
      <x:c r="DB53" s="2387"/>
      <x:c r="DC53" s="2394"/>
      <x:c r="DD53" s="2394"/>
      <x:c r="DE53" s="2387"/>
      <x:c r="DF53" s="412" t="s">
        <x:v>593</x:v>
      </x:c>
      <x:c r="DG53" s="412" t="s">
        <x:v>594</x:v>
      </x:c>
      <x:c r="DH53" s="2394"/>
      <x:c r="DI53" s="2394"/>
      <x:c r="DJ53" s="2394"/>
      <x:c r="DK53" s="2394"/>
      <x:c r="DL53" s="2394"/>
      <x:c r="DM53" s="413" t="s">
        <x:v>558</x:v>
      </x:c>
      <x:c r="DN53" s="413" t="s">
        <x:v>559</x:v>
      </x:c>
      <x:c r="DO53" s="413" t="s">
        <x:v>558</x:v>
      </x:c>
      <x:c r="DP53" s="413" t="s">
        <x:v>559</x:v>
      </x:c>
      <x:c r="DQ53" s="413" t="s">
        <x:v>558</x:v>
      </x:c>
      <x:c r="DR53" s="413" t="s">
        <x:v>559</x:v>
      </x:c>
      <x:c r="DS53" s="2394"/>
      <x:c r="DT53" s="413" t="s">
        <x:v>558</x:v>
      </x:c>
      <x:c r="DU53" s="413" t="s">
        <x:v>559</x:v>
      </x:c>
      <x:c r="DV53" s="413" t="s">
        <x:v>558</x:v>
      </x:c>
      <x:c r="DW53" s="413" t="s">
        <x:v>559</x:v>
      </x:c>
      <x:c r="DX53" s="413" t="s">
        <x:v>558</x:v>
      </x:c>
      <x:c r="DY53" s="413" t="s">
        <x:v>559</x:v>
      </x:c>
      <x:c r="DZ53" s="2394"/>
      <x:c r="EA53" s="2394"/>
      <x:c r="EB53" s="2396"/>
      <x:c r="EC53" s="2396"/>
      <x:c r="ED53" s="2387"/>
      <x:c r="EE53" s="2386"/>
      <x:c r="EF53" s="2386"/>
      <x:c r="EG53" s="2395"/>
      <x:c r="EH53" s="2386"/>
      <x:c r="EI53" s="2386"/>
      <x:c r="EJ53" s="2386"/>
      <x:c r="EK53" s="2387"/>
      <x:c r="EL53" s="2387"/>
      <x:c r="EM53" s="2387"/>
      <x:c r="EN53" s="2386"/>
      <x:c r="EO53" s="2387"/>
      <x:c r="EP53" s="2407"/>
      <x:c r="EQ53" s="2387"/>
      <x:c r="ER53" s="2387"/>
      <x:c r="ES53" s="2387"/>
      <x:c r="ET53" s="2387"/>
      <x:c r="EU53" s="2407"/>
      <x:c r="EV53" s="2394"/>
      <x:c r="EW53" s="2394"/>
      <x:c r="EX53" s="2516"/>
      <x:c r="EY53" s="2607"/>
      <x:c r="EZ53" s="2489"/>
      <x:c r="FA53" s="2406"/>
      <x:c r="FB53" s="2518"/>
      <x:c r="FC53" s="2518"/>
      <x:c r="FD53" s="610" t="s">
        <x:v>646</x:v>
      </x:c>
      <x:c r="FE53" s="611" t="s">
        <x:v>647</x:v>
      </x:c>
      <x:c r="FF53" s="303" t="s">
        <x:v>992</x:v>
      </x:c>
      <x:c r="FG53" s="303" t="s">
        <x:v>993</x:v>
      </x:c>
      <x:c r="FH53" s="303" t="s">
        <x:v>994</x:v>
      </x:c>
      <x:c r="FI53" s="303" t="s">
        <x:v>995</x:v>
      </x:c>
      <x:c r="FK53" s="2530"/>
      <x:c r="FL53" s="2532"/>
      <x:c r="FM53" s="2534"/>
      <x:c r="FN53" s="2542"/>
      <x:c r="FO53" s="2552"/>
      <x:c r="FP53" s="2538"/>
      <x:c r="FQ53" s="2538"/>
      <x:c r="FR53" s="2540"/>
      <x:c r="FS53" s="2536"/>
      <x:c r="FT53" s="2528"/>
      <x:c r="FU53" s="2526"/>
      <x:c r="FV53" s="2526"/>
      <x:c r="FW53" s="2526"/>
      <x:c r="FX53" s="2526"/>
      <x:c r="FY53" s="2526"/>
      <x:c r="FZ53" s="2526"/>
      <x:c r="GA53" s="2526"/>
      <x:c r="GB53" s="2550"/>
      <x:c r="GC53" s="2548"/>
      <x:c r="GD53" s="250" t="s">
        <x:v>663</x:v>
      </x:c>
      <x:c r="GE53" s="177" t="s">
        <x:v>664</x:v>
      </x:c>
      <x:c r="GF53" s="166" t="s">
        <x:v>667</x:v>
      </x:c>
      <x:c r="GG53" s="166" t="s">
        <x:v>668</x:v>
      </x:c>
      <x:c r="GH53" s="166" t="s">
        <x:v>669</x:v>
      </x:c>
      <x:c r="GI53" s="167" t="s">
        <x:v>670</x:v>
      </x:c>
      <x:c r="GJ53" s="2546"/>
      <x:c r="GK53" s="1156" t="s">
        <x:v>996</x:v>
      </x:c>
      <x:c r="GL53" s="171"/>
      <x:c r="GM53" s="171"/>
    </x:row>
    <x:row r="54" spans="1:222" ht="12.6" hidden="1" customHeight="1" thickTop="1" x14ac:dyDescent="0.2">
      <x:c r="BZ54" s="360"/>
      <x:c r="CA54" s="360"/>
      <x:c r="CB54" s="414"/>
      <x:c r="CC54" s="415"/>
      <x:c r="CD54" s="416"/>
      <x:c r="CE54" s="416"/>
      <x:c r="CF54" s="416"/>
      <x:c r="CG54" s="416"/>
      <x:c r="CH54" s="416"/>
      <x:c r="CI54" s="416"/>
      <x:c r="CJ54" s="416"/>
      <x:c r="CK54" s="417"/>
      <x:c r="CL54" s="415"/>
      <x:c r="CM54" s="416"/>
      <x:c r="CN54" s="416"/>
      <x:c r="CO54" s="416"/>
      <x:c r="CP54" s="416"/>
      <x:c r="CQ54" s="416"/>
      <x:c r="CR54" s="416"/>
      <x:c r="CS54" s="416"/>
      <x:c r="CT54" s="417"/>
      <x:c r="CU54" s="418"/>
      <x:c r="CV54" s="419"/>
      <x:c r="CW54" s="419"/>
      <x:c r="CX54" s="419"/>
      <x:c r="CY54" s="420"/>
      <x:c r="CZ54" s="420"/>
      <x:c r="DA54" s="420"/>
      <x:c r="DB54" s="419"/>
      <x:c r="DC54" s="419"/>
      <x:c r="DD54" s="421"/>
      <x:c r="DE54" s="419"/>
      <x:c r="DF54" s="420"/>
      <x:c r="DG54" s="420"/>
      <x:c r="DH54" s="419"/>
      <x:c r="DI54" s="419"/>
      <x:c r="DJ54" s="421"/>
      <x:c r="DK54" s="419"/>
      <x:c r="DL54" s="419"/>
      <x:c r="DM54" s="419"/>
      <x:c r="DN54" s="419"/>
      <x:c r="DO54" s="419"/>
      <x:c r="DP54" s="419"/>
      <x:c r="DQ54" s="419"/>
      <x:c r="DR54" s="419"/>
      <x:c r="DS54" s="419"/>
      <x:c r="DT54" s="419"/>
      <x:c r="DU54" s="419"/>
      <x:c r="DV54" s="419"/>
      <x:c r="DW54" s="419"/>
      <x:c r="DX54" s="419"/>
      <x:c r="DY54" s="419"/>
      <x:c r="DZ54" s="419"/>
      <x:c r="EA54" s="419"/>
      <x:c r="EB54" s="422"/>
      <x:c r="EC54" s="423"/>
      <x:c r="ED54" s="422"/>
      <x:c r="EE54" s="422"/>
      <x:c r="EF54" s="422"/>
      <x:c r="EG54" s="422"/>
      <x:c r="EH54" s="422"/>
      <x:c r="EI54" s="422"/>
      <x:c r="EJ54" s="422"/>
      <x:c r="EK54" s="420"/>
      <x:c r="EL54" s="420"/>
      <x:c r="EM54" s="420"/>
      <x:c r="EN54" s="420"/>
      <x:c r="EO54" s="419"/>
      <x:c r="EP54" s="420"/>
      <x:c r="EQ54" s="420"/>
      <x:c r="ER54" s="420"/>
      <x:c r="ES54" s="420"/>
      <x:c r="ET54" s="419"/>
      <x:c r="EU54" s="419"/>
      <x:c r="EV54" s="422"/>
      <x:c r="EW54" s="424"/>
      <x:c r="EX54" s="425"/>
      <x:c r="EY54" s="426"/>
      <x:c r="EZ54" s="427"/>
      <x:c r="FA54" s="428"/>
      <x:c r="FB54" s="429"/>
      <x:c r="FC54" s="430"/>
      <x:c r="FD54" s="639"/>
      <x:c r="FE54" s="640"/>
      <x:c r="FF54" s="969" t="b">
        <x:f t="shared" ref="FF54:FF85" si="101">IF(ISERROR(AR14),TRUE,IF(OR(AR14="",ISBLANK(AR14)),FALSE,IF(ISTEXT(AR14),IF(AND(AR14="P",LEFT(AS14,1)="#"),FALSE,TRUE),IF(ISTEXT(AS14),TRUE,FALSE))))</x:f>
        <x:v>0</x:v>
      </x:c>
      <x:c r="FG54" s="969" t="b">
        <x:f t="shared" ref="FG54:FG85" si="102">IF(ISERROR(AV14),TRUE,IF(OR(AV14="",ISBLANK(AV14)),FALSE,IF(ISTEXT(AV14),IF(AND(AV14="P",LEFT(AW14,1)="#"),FALSE,TRUE),IF(ISTEXT(AW14),TRUE,FALSE))))</x:f>
        <x:v>0</x:v>
      </x:c>
      <x:c r="FH54" s="969" t="b">
        <x:f t="shared" ref="FH54:FH85" si="103">IF(ISERROR(AZ14),TRUE,IF(OR(AZ14="",ISBLANK(AZ14)),FALSE,IF(ISTEXT(AZ14),IF(AND(AZ14="P",LEFT(BA14,1)="#"),FALSE,TRUE),IF(ISTEXT(BA14),TRUE,FALSE))))</x:f>
        <x:v>0</x:v>
      </x:c>
      <x:c r="FI54" s="969" t="b">
        <x:f t="shared" ref="FI54:FI85" si="104">IF(ISERROR(BD14),TRUE,IF(OR(BD14="",ISBLANK(BD14)),FALSE,IF(ISTEXT(BD14),IF(AND(BD14="P",LEFT(BE14,1)="#"),FALSE,TRUE),IF(ISTEXT(BE14),TRUE,FALSE))))</x:f>
        <x:v>0</x:v>
      </x:c>
      <x:c r="FJ54" s="1003"/>
      <x:c r="FK54" s="633" t="str">
        <x:f>IF(ISBLANK(DH14),"",DH14)</x:f>
        <x:v/>
      </x:c>
      <x:c r="FL54" s="379" t="e">
        <x:f>VLOOKUP(DH14,$CB$54:$DK$85,36,FALSE)</x:f>
        <x:v>#N/A</x:v>
      </x:c>
      <x:c r="FM54" s="380" t="str">
        <x:f t="shared" ref="FM54:FM85" si="105">IF(ISBLANK(DH15),IF(SUM(DJ15:DN15)=0,"",IF(ISBLANK(DI15),"X","")),"")</x:f>
        <x:v/>
      </x:c>
      <x:c r="FN54" s="328" t="str">
        <x:f>IF(SUM(DJ14:DN14)=0,"",IF(OR(FS54=0,DL14=""),"",CEILING(IF(AND(DJ14="",DK14=""),IF(AND(DM14="",DN14=""),(FS54-FO54*FP54)/2,(DJ14*12+DK14+(DL14*(DM14*12+DN14)))-FO54*FP54),(DJ14*12+DK14))-0.0625,0.125)))</x:f>
        <x:v/>
      </x:c>
      <x:c r="FO54" s="329" t="str">
        <x:f>IF(SUM(DJ14:DN14)=0,"",IF(OR(FS54=0,DL14=""),"",DL14-IF(AND(DJ14="",DK14=""),1,0)-IF(AND(DM14="",DN14="",FM54=""),1,0)))</x:f>
        <x:v/>
      </x:c>
      <x:c r="FP54" s="330" t="str">
        <x:f>IF(SUM(DJ14:DN14)=0,"",IF(OR(FS54=0,DL14=""),"",CEILING(IF(AND(DM14="",DN14=""),IF(DL14=FO54,(FS54-FN54-FQ54)/FO54,(FS54-IF(AND(DJ14="",DK14=""),0,FN54)-IF(FM54="",0,FQ54))/DL14),DM14*12+DN14)-0.0625,0.125)))</x:f>
        <x:v/>
      </x:c>
      <x:c r="FQ54" s="330" t="str">
        <x:f>IF(SUM(DJ14:DN14)=0,"",IF(OR(FS54=0,DL14=""),"",IF(UPPER(FM54)="X",0,FS54-FN54-FO54*FP54)))</x:f>
        <x:v/>
      </x:c>
      <x:c r="FR54" s="381">
        <x:f>IF(FS54="",0,IF(OR(FS54=0,DL14=""),0,FS54-(FN54+FO54*FP54+FQ54)))</x:f>
        <x:v>0</x:v>
      </x:c>
      <x:c r="FS54" s="382" t="str">
        <x:f>IF(SUM(DJ14:DN14)=0,"",VLOOKUP(DH14,CB28:CF45,4,FALSE)*12+VLOOKUP(DH14,CB28:CF45,5,FALSE))</x:f>
        <x:v/>
      </x:c>
      <x:c r="FT54" s="328" t="str">
        <x:f>IF(SUM(DJ14:DN14)=0,"",IF(FU54="","",FL54))</x:f>
        <x:v/>
      </x:c>
      <x:c r="FU54" s="331" t="str">
        <x:f>IF(SUM(DJ14:DN14)=0,"",1)</x:f>
        <x:v/>
      </x:c>
      <x:c r="FV54" s="383" t="str">
        <x:f>IF(FW54="","",CEILING(FW54+GJ54-0.0625,0.125))</x:f>
        <x:v/>
      </x:c>
      <x:c r="FW54" s="332" t="str">
        <x:f>IF(SUM(DJ14:DN14)=0,"",IF(OR(FN54=0,FN54=""),"",(FN54+VLOOKUP(DH14,CB54:CD85,3,FALSE)-VLOOKUP(DH14,CB54:DD85,29,FALSE))/COS(VLOOKUP(DH14,$CB$54:$EU$85,72,FALSE))))</x:f>
        <x:v/>
      </x:c>
      <x:c r="FX54" s="332" t="str">
        <x:f>IF(SUM(DJ14:DN14)=0,"",IF(FO54=0,0,IF(FP54="","",CEILING(FP54/COS(VLOOKUP(FK54,$CB$54:$EU$85,72,FALSE))-0.0625,0.125))))</x:f>
        <x:v/>
      </x:c>
      <x:c r="FY54" s="332" t="str">
        <x:f>IF(SUM(DJ14:DN14)=0,"",IF(OR(FQ54=0,FQ54=""),"",FT54-IF(FW54="",0,FW54)-FO54*FX54))</x:f>
        <x:v/>
      </x:c>
      <x:c r="FZ54" s="332" t="str">
        <x:f>IF(FY54="","",CEILING(FT54-IF(FV54="",0,FV54)-(FO54*FX54)-0.0625,0.125))</x:f>
        <x:v/>
      </x:c>
      <x:c r="GA54" s="332" t="str">
        <x:f>IF(SUM(DJ14:DN14)=0,"",IF(FW54="",0,FW54)+FO54*FX54+IF(FY54="",0,FY54))</x:f>
        <x:v/>
      </x:c>
      <x:c r="GB54" s="333" t="str">
        <x:f ca="1">IF(SUM(DJ14:DN14)=0,"",IF(FY54="","",2+SUM(FO54:OFFSET(FO54,(FU54-1)*-1,0))))</x:f>
        <x:v/>
      </x:c>
      <x:c r="GC54" s="384" t="e">
        <x:f>VLOOKUP(DH14,$CB$54:$CD$85,3,FALSE)</x:f>
        <x:v>#N/A</x:v>
      </x:c>
      <x:c r="GD54" s="385" t="str">
        <x:f t="shared" ref="GD54:GD85" si="106">IF(ISBLANK(DT14),"",MAX(0,DT14+VLOOKUP(FK54,$CB$54:$CD$85,3,FALSE)))</x:f>
        <x:v/>
      </x:c>
      <x:c r="GE54" s="386" t="str">
        <x:f t="shared" ref="GE54:GE85" si="107">IF(ISBLANK(DU14),"",MAX(0,DU14+VLOOKUP(FK54,$CB$54:$CM$85,12,FALSE)))</x:f>
        <x:v/>
      </x:c>
      <x:c r="GF54" s="334" t="str">
        <x:f t="shared" ref="GF54:GF85" si="108">IF(AND(ISBLANK(DV14),ISBLANK(DW14)),"",IF(DV14="P",IF(ISNUMBER(DW14),CONCATENATE("#", DW14),DW14),CEILING((DV14*12+DW14+GC54)/COS(VLOOKUP(FK54,$CB$54:$EU$85,72,FALSE))-0.0625,0.125)))</x:f>
        <x:v/>
      </x:c>
      <x:c r="GG54" s="335" t="str">
        <x:f t="shared" ref="GG54:GG85" si="109">IF(AND(ISBLANK(DZ14),ISBLANK(EA14)),"",IF(DZ14="P",IF(ISNUMBER(EA14),CONCATENATE("#", EA14),EA14),CEILING((DZ14*12+EA14+GC54)/COS(VLOOKUP(FK54,$CB$54:$EU$85,72,FALSE))-0.0625,0.125)))</x:f>
        <x:v/>
      </x:c>
      <x:c r="GH54" s="335" t="str">
        <x:f t="shared" ref="GH54:GH85" si="110">IF(AND(ISBLANK(ED14),ISBLANK(EE14)),"",IF(ED14="P",IF(ISNUMBER(EE14),CONCATENATE("#", EE14),EE14),CEILING((ED14*12+EE14+GC54)/COS(VLOOKUP(FK54,$CB$54:$EU$85,72,FALSE))-0.0625,0.125)))</x:f>
        <x:v/>
      </x:c>
      <x:c r="GI54" s="336" t="str">
        <x:f t="shared" ref="GI54:GI85" si="111">IF(AND(ISBLANK(EH14),ISBLANK(EI14)),"",IF(EH14="P",IF(ISNUMBER(EI14),CONCATENATE("#", EI14),EI14),CEILING((EH14*12+EI14+GC54)/COS(VLOOKUP(FK54,$CB$54:$EU$85,72,FALSE))-0.0625,0.125)))</x:f>
        <x:v/>
      </x:c>
      <x:c r="GJ54" s="387">
        <x:f t="shared" ref="GJ54:GJ84" ca="1" si="112">IF(FY54="",GJ55,(FY54-(FQ54+VLOOKUP(FK54,$CB$54:$EU$85,12,FALSE)-VLOOKUP(FK54,$CB$54:$EU$85,34,FALSE))/COS(VLOOKUP(FK54,$CB$54:$EU$85,72,FALSE)))/2)</x:f>
        <x:v>0</x:v>
      </x:c>
      <x:c r="GK54" s="1157" t="str">
        <x:f ca="1">CONCATENATE(IF(AND(AD14&lt;&gt;"",AE14&lt;&gt;""),IF(AD14*12+AE14&lt;VLOOKUP(BX14,$BJ$28:$BM$45,4,FALSE)/$EX$5,"A",""),""),IF(AND(AI14&lt;&gt;"",AJ14&lt;&gt;""),IF(AI14*12+AJ14&lt;VLOOKUP(BX14,$BJ$28:$BM$45,4,FALSE)/$EX$5,"B",""),""))</x:f>
        <x:v/>
      </x:c>
      <x:c r="GL54" s="171"/>
      <x:c r="GM54" s="171"/>
    </x:row>
    <x:row r="55" spans="1:222" ht="12.6" hidden="1" customHeight="1" x14ac:dyDescent="0.2">
      <x:c r="BZ55" s="360"/>
      <x:c r="CA55" s="360"/>
      <x:c r="CB55" s="414"/>
      <x:c r="CC55" s="415"/>
      <x:c r="CD55" s="416"/>
      <x:c r="CE55" s="416"/>
      <x:c r="CF55" s="416"/>
      <x:c r="CG55" s="416"/>
      <x:c r="CH55" s="416"/>
      <x:c r="CI55" s="416"/>
      <x:c r="CJ55" s="416"/>
      <x:c r="CK55" s="417"/>
      <x:c r="CL55" s="415"/>
      <x:c r="CM55" s="416"/>
      <x:c r="CN55" s="416"/>
      <x:c r="CO55" s="416"/>
      <x:c r="CP55" s="416"/>
      <x:c r="CQ55" s="416"/>
      <x:c r="CR55" s="416"/>
      <x:c r="CS55" s="416"/>
      <x:c r="CT55" s="417"/>
      <x:c r="CU55" s="418"/>
      <x:c r="CV55" s="419"/>
      <x:c r="CW55" s="419"/>
      <x:c r="CX55" s="419"/>
      <x:c r="CY55" s="420"/>
      <x:c r="CZ55" s="420"/>
      <x:c r="DA55" s="420"/>
      <x:c r="DB55" s="419"/>
      <x:c r="DC55" s="419"/>
      <x:c r="DD55" s="421"/>
      <x:c r="DE55" s="419"/>
      <x:c r="DF55" s="420"/>
      <x:c r="DG55" s="420"/>
      <x:c r="DH55" s="419"/>
      <x:c r="DI55" s="419"/>
      <x:c r="DJ55" s="421"/>
      <x:c r="DK55" s="419"/>
      <x:c r="DL55" s="419"/>
      <x:c r="DM55" s="419"/>
      <x:c r="DN55" s="419"/>
      <x:c r="DO55" s="419"/>
      <x:c r="DP55" s="419"/>
      <x:c r="DQ55" s="419"/>
      <x:c r="DR55" s="419"/>
      <x:c r="DS55" s="419"/>
      <x:c r="DT55" s="419"/>
      <x:c r="DU55" s="419"/>
      <x:c r="DV55" s="419"/>
      <x:c r="DW55" s="419"/>
      <x:c r="DX55" s="419"/>
      <x:c r="DY55" s="419"/>
      <x:c r="DZ55" s="419"/>
      <x:c r="EA55" s="419"/>
      <x:c r="EB55" s="422"/>
      <x:c r="EC55" s="423"/>
      <x:c r="ED55" s="422"/>
      <x:c r="EE55" s="422"/>
      <x:c r="EF55" s="422"/>
      <x:c r="EG55" s="422"/>
      <x:c r="EH55" s="422"/>
      <x:c r="EI55" s="422"/>
      <x:c r="EJ55" s="422"/>
      <x:c r="EK55" s="420"/>
      <x:c r="EL55" s="420"/>
      <x:c r="EM55" s="420"/>
      <x:c r="EN55" s="420"/>
      <x:c r="EO55" s="419"/>
      <x:c r="EP55" s="420"/>
      <x:c r="EQ55" s="420"/>
      <x:c r="ER55" s="420"/>
      <x:c r="ES55" s="420"/>
      <x:c r="ET55" s="419"/>
      <x:c r="EU55" s="419"/>
      <x:c r="EV55" s="422"/>
      <x:c r="EW55" s="422"/>
      <x:c r="EX55" s="425"/>
      <x:c r="EY55" s="431"/>
      <x:c r="EZ55" s="415"/>
      <x:c r="FA55" s="428"/>
      <x:c r="FB55" s="432"/>
      <x:c r="FC55" s="433"/>
      <x:c r="FD55" s="641"/>
      <x:c r="FE55" s="642"/>
      <x:c r="FF55" s="969" t="b">
        <x:f t="shared" si="101"/>
        <x:v>0</x:v>
      </x:c>
      <x:c r="FG55" s="969" t="b">
        <x:f t="shared" si="102"/>
        <x:v>0</x:v>
      </x:c>
      <x:c r="FH55" s="969" t="b">
        <x:f t="shared" si="103"/>
        <x:v>0</x:v>
      </x:c>
      <x:c r="FI55" s="1158" t="b">
        <x:f t="shared" si="104"/>
        <x:v>0</x:v>
      </x:c>
      <x:c r="FJ55" s="1161" t="str">
        <x:f t="shared" ref="FJ55:FJ85" si="113">IF(AND(COUNTA(DH15:EK15)&gt;0,FK55=FK54,FK55&lt;&gt;""),"G","")</x:f>
        <x:v/>
      </x:c>
      <x:c r="FK55" s="1160" t="str">
        <x:f t="shared" ref="FK55:FK85" si="114">IF(ISBLANK(DH15),FK54,DH15)</x:f>
        <x:v/>
      </x:c>
      <x:c r="FL55" s="388" t="e">
        <x:f t="shared" ref="FL55:FL85" si="115">IF(ISERROR(VLOOKUP(DH15,$CB$54:$DK$85,36,FALSE)),FL54,VLOOKUP(DH15,$CB$54:$DK$85,36,FALSE))</x:f>
        <x:v>#N/A</x:v>
      </x:c>
      <x:c r="FM55" s="380" t="str">
        <x:f t="shared" si="105"/>
        <x:v/>
      </x:c>
      <x:c r="FN55" s="337" t="str">
        <x:f t="shared" ref="FN55:FN85" ca="1" si="116">IF(OR(FS55=0,DL15=""),"",IF(UPPER(FM54)="X",0,CEILING(IF(AND(DJ15="",DK15=""),IF(UPPER(FM55)="X",FP55,IF(AND(DM15="",DN15=""),(FS55-FO55*FP55)/2,(DJ15*12+DK15+(DL15*(DM15*12+DN15)))-FO55*FP55)),(DJ15*12+DK15))-0.0625,0.125)))</x:f>
        <x:v/>
      </x:c>
      <x:c r="FO55" s="338" t="str">
        <x:f t="shared" ref="FO55:FO85" ca="1" si="117">IF(OR(FS55=0,DL15=""),"",DL15-IF(AND(DJ15="",DK15="",FM54&lt;&gt;"X"),1,0)-IF(AND(DM15="",DN15="",FM55=""),1,0))</x:f>
        <x:v/>
      </x:c>
      <x:c r="FP55" s="339" t="str">
        <x:f t="shared" ref="FP55:FP85" ca="1" si="118">IF(OR(FS55=0,DL15=""),"",CEILING(IF(AND(DM15="",DN15=""),IF(DL15=FO55,(FS55-FN55-FQ55)/FO55,(FS55-IF(AND(DJ15="",DK15=""),0,FN55)-IF(FM55="",0,FQ55))/DL15),DM15*12+DN15)-0.0625,0.125))</x:f>
        <x:v/>
      </x:c>
      <x:c r="FQ55" s="339" t="str">
        <x:f t="shared" ref="FQ55:FQ85" ca="1" si="119">IF(OR(FS55=0,DL15=""),"",IF(UPPER(FM55)="X",0,FS55-FN55-FO55*FP55))</x:f>
        <x:v/>
      </x:c>
      <x:c r="FR55" s="389">
        <x:f t="shared" ref="FR55:FR85" ca="1" si="120">IF(OR(FS55=0,DL15=""),0,FS55-(FN55+FO55*FP55+FQ55))</x:f>
        <x:v>0</x:v>
      </x:c>
      <x:c r="FS55" s="390">
        <x:f t="shared" ref="FS55:FS85" ca="1" si="121">IF(ISBLANK(DH15),IF(FR54=0,IF(OR(DI15="F",DI15="N"),OFFSET(FS54,(-1*(FU54-1)),0),0),FR54),VLOOKUP(DH15,$CB$28:$CF$45,4,FALSE)*12+VLOOKUP(DH15,$CB$28:$CF$45,5,FALSE))</x:f>
        <x:v>0</x:v>
      </x:c>
      <x:c r="FT55" s="337" t="str">
        <x:f ca="1">IF(FU55="","",IF(FU55=1,IF(FL55="",OFFSET(FL55,(-1*FU54),0),FL55),FT54-GA54))</x:f>
        <x:v/>
      </x:c>
      <x:c r="FU55" s="340" t="str">
        <x:f ca="1">IF(FS55=0,"",IF(FR54=0,1,FU54+1))</x:f>
        <x:v/>
      </x:c>
      <x:c r="FV55" s="391" t="str">
        <x:f ca="1">IF(FW55="","",CEILING(FW55+GJ55-0.0625,0.125))</x:f>
        <x:v/>
      </x:c>
      <x:c r="FW55" s="341" t="str">
        <x:f t="shared" ref="FW55:FW85" ca="1" si="122">IF(OR(FN55=0,FN55=""),"",(FN55+VLOOKUP(FK55,$CB$54:$CD$85,3,FALSE)-VLOOKUP(FK55,$CB$54:$DD$85,29,FALSE))/COS(VLOOKUP(FK55,$CB$54:$EU$85,72,FALSE)))</x:f>
        <x:v/>
      </x:c>
      <x:c r="FX55" s="341" t="str">
        <x:f t="shared" ref="FX55:FX85" ca="1" si="123">IF(FO55=0,0,IF(FP55="","",CEILING(FP55/COS(VLOOKUP(FK55,$CB$54:$EU$85,72,FALSE))-0.0625,0.125)))</x:f>
        <x:v/>
      </x:c>
      <x:c r="FY55" s="341" t="str">
        <x:f ca="1">IF(OR(FQ55=0,FQ55=""),"",FT55-IF(FW55="",0,FW55)-FO55*FX55)</x:f>
        <x:v/>
      </x:c>
      <x:c r="FZ55" s="341" t="str">
        <x:f t="shared" ref="FZ55:FZ85" ca="1" si="124">IF(FY55="","",CEILING(FT55-IF(FV55="",0,FV55)-(FO55*FX55)-0.0625,0.125))</x:f>
        <x:v/>
      </x:c>
      <x:c r="GA55" s="341" t="str">
        <x:f ca="1">IF(FP55="","",IF(FW55="",0,FW55)+FO55*FX55+IF(FY55="",0,FY55))</x:f>
        <x:v/>
      </x:c>
      <x:c r="GB55" s="342" t="str">
        <x:f ca="1">IF(FY55="","",2+SUM(FO55:OFFSET(FO55,(FU55-1)*-1,0)))</x:f>
        <x:v/>
      </x:c>
      <x:c r="GC55" s="384" t="e">
        <x:f t="shared" ref="GC55:GC85" si="125">IF(ISERROR(VLOOKUP(DH15,$CB$54:$CD$85,3,FALSE)),GC54,VLOOKUP(DH15,$CB$54:$CD$85,3,FALSE))</x:f>
        <x:v>#N/A</x:v>
      </x:c>
      <x:c r="GD55" s="392" t="str">
        <x:f t="shared" si="106"/>
        <x:v/>
      </x:c>
      <x:c r="GE55" s="393" t="str">
        <x:f t="shared" si="107"/>
        <x:v/>
      </x:c>
      <x:c r="GF55" s="343" t="str">
        <x:f t="shared" si="108"/>
        <x:v/>
      </x:c>
      <x:c r="GG55" s="344" t="str">
        <x:f t="shared" si="109"/>
        <x:v/>
      </x:c>
      <x:c r="GH55" s="344" t="str">
        <x:f t="shared" si="110"/>
        <x:v/>
      </x:c>
      <x:c r="GI55" s="345" t="str">
        <x:f t="shared" si="111"/>
        <x:v/>
      </x:c>
      <x:c r="GJ55" s="394">
        <x:f t="shared" ca="1" si="112"/>
        <x:v>0</x:v>
      </x:c>
      <x:c r="GK55" s="1154" t="str">
        <x:f t="shared" ref="GK55:GK85" ca="1" si="126">CONCATENATE(IF(AND(AD15&lt;&gt;"",AE15&lt;&gt;""),IF(AD15*12+AE15&lt;VLOOKUP(BX15,$BJ$28:$BM$45,4,FALSE)/$EX$5,"A",""),""),IF(AND(AI15&lt;&gt;"",AJ15&lt;&gt;""),IF(AI15*12+AJ15&lt;VLOOKUP(BX15,$BJ$28:$BM$45,4,FALSE)/$EX$5,"B",""),""))</x:f>
        <x:v/>
      </x:c>
      <x:c r="GL55" s="171"/>
      <x:c r="GM55" s="171"/>
    </x:row>
    <x:row r="56" spans="1:222" ht="12.6" hidden="1" customHeight="1" x14ac:dyDescent="0.2">
      <x:c r="BZ56" s="360"/>
      <x:c r="CA56" s="360"/>
      <x:c r="CB56" s="414"/>
      <x:c r="CC56" s="415"/>
      <x:c r="CD56" s="416"/>
      <x:c r="CE56" s="416"/>
      <x:c r="CF56" s="416"/>
      <x:c r="CG56" s="416"/>
      <x:c r="CH56" s="416"/>
      <x:c r="CI56" s="416"/>
      <x:c r="CJ56" s="416"/>
      <x:c r="CK56" s="417"/>
      <x:c r="CL56" s="415"/>
      <x:c r="CM56" s="416"/>
      <x:c r="CN56" s="416"/>
      <x:c r="CO56" s="416"/>
      <x:c r="CP56" s="416"/>
      <x:c r="CQ56" s="416"/>
      <x:c r="CR56" s="416"/>
      <x:c r="CS56" s="416"/>
      <x:c r="CT56" s="417"/>
      <x:c r="CU56" s="418"/>
      <x:c r="CV56" s="419"/>
      <x:c r="CW56" s="419"/>
      <x:c r="CX56" s="419"/>
      <x:c r="CY56" s="420"/>
      <x:c r="CZ56" s="420"/>
      <x:c r="DA56" s="420"/>
      <x:c r="DB56" s="419"/>
      <x:c r="DC56" s="419"/>
      <x:c r="DD56" s="421"/>
      <x:c r="DE56" s="419"/>
      <x:c r="DF56" s="420"/>
      <x:c r="DG56" s="420"/>
      <x:c r="DH56" s="419"/>
      <x:c r="DI56" s="419"/>
      <x:c r="DJ56" s="421"/>
      <x:c r="DK56" s="419"/>
      <x:c r="DL56" s="419"/>
      <x:c r="DM56" s="419"/>
      <x:c r="DN56" s="419"/>
      <x:c r="DO56" s="419"/>
      <x:c r="DP56" s="419"/>
      <x:c r="DQ56" s="419"/>
      <x:c r="DR56" s="419"/>
      <x:c r="DS56" s="419"/>
      <x:c r="DT56" s="419"/>
      <x:c r="DU56" s="419"/>
      <x:c r="DV56" s="419"/>
      <x:c r="DW56" s="419"/>
      <x:c r="DX56" s="419"/>
      <x:c r="DY56" s="419"/>
      <x:c r="DZ56" s="419"/>
      <x:c r="EA56" s="419"/>
      <x:c r="EB56" s="422"/>
      <x:c r="EC56" s="423"/>
      <x:c r="ED56" s="422"/>
      <x:c r="EE56" s="422"/>
      <x:c r="EF56" s="422"/>
      <x:c r="EG56" s="422"/>
      <x:c r="EH56" s="422"/>
      <x:c r="EI56" s="422"/>
      <x:c r="EJ56" s="422"/>
      <x:c r="EK56" s="420"/>
      <x:c r="EL56" s="420"/>
      <x:c r="EM56" s="420"/>
      <x:c r="EN56" s="420"/>
      <x:c r="EO56" s="419"/>
      <x:c r="EP56" s="420"/>
      <x:c r="EQ56" s="420"/>
      <x:c r="ER56" s="420"/>
      <x:c r="ES56" s="420"/>
      <x:c r="ET56" s="419"/>
      <x:c r="EU56" s="419"/>
      <x:c r="EV56" s="422"/>
      <x:c r="EW56" s="422"/>
      <x:c r="EX56" s="425"/>
      <x:c r="EY56" s="431"/>
      <x:c r="EZ56" s="415"/>
      <x:c r="FA56" s="428"/>
      <x:c r="FB56" s="432"/>
      <x:c r="FC56" s="433"/>
      <x:c r="FD56" s="641"/>
      <x:c r="FE56" s="642"/>
      <x:c r="FF56" s="969" t="b">
        <x:f t="shared" si="101"/>
        <x:v>0</x:v>
      </x:c>
      <x:c r="FG56" s="969" t="b">
        <x:f t="shared" si="102"/>
        <x:v>0</x:v>
      </x:c>
      <x:c r="FH56" s="969" t="b">
        <x:f t="shared" si="103"/>
        <x:v>0</x:v>
      </x:c>
      <x:c r="FI56" s="1158" t="b">
        <x:f t="shared" si="104"/>
        <x:v>0</x:v>
      </x:c>
      <x:c r="FJ56" s="1161" t="str">
        <x:f t="shared" si="113"/>
        <x:v/>
      </x:c>
      <x:c r="FK56" s="1160" t="str">
        <x:f t="shared" si="114"/>
        <x:v/>
      </x:c>
      <x:c r="FL56" s="388" t="e">
        <x:f t="shared" si="115"/>
        <x:v>#N/A</x:v>
      </x:c>
      <x:c r="FM56" s="380" t="str">
        <x:f t="shared" si="105"/>
        <x:v/>
      </x:c>
      <x:c r="FN56" s="337" t="str">
        <x:f t="shared" ca="1" si="116"/>
        <x:v/>
      </x:c>
      <x:c r="FO56" s="338" t="str">
        <x:f t="shared" ca="1" si="117"/>
        <x:v/>
      </x:c>
      <x:c r="FP56" s="339" t="str">
        <x:f t="shared" ca="1" si="118"/>
        <x:v/>
      </x:c>
      <x:c r="FQ56" s="339" t="str">
        <x:f t="shared" ca="1" si="119"/>
        <x:v/>
      </x:c>
      <x:c r="FR56" s="389">
        <x:f t="shared" ca="1" si="120"/>
        <x:v>0</x:v>
      </x:c>
      <x:c r="FS56" s="390">
        <x:f t="shared" ca="1" si="121"/>
        <x:v>0</x:v>
      </x:c>
      <x:c r="FT56" s="337" t="str">
        <x:f t="shared" ref="FT56:FT85" ca="1" si="127">IF(FU56="","",IF(FU56=1,IF(FL56="",OFFSET(FL56,(-1*FU55),0),FL56),FT55-GA55))</x:f>
        <x:v/>
      </x:c>
      <x:c r="FU56" s="340" t="str">
        <x:f t="shared" ref="FU56:FU85" ca="1" si="128">IF(FS56=0,"",IF(FR55=0,1,FU55+1))</x:f>
        <x:v/>
      </x:c>
      <x:c r="FV56" s="391" t="str">
        <x:f t="shared" ref="FV56:FV85" ca="1" si="129">IF(FW56="","",CEILING(FW56+GJ56-0.0625,0.125))</x:f>
        <x:v/>
      </x:c>
      <x:c r="FW56" s="341" t="str">
        <x:f t="shared" ca="1" si="122"/>
        <x:v/>
      </x:c>
      <x:c r="FX56" s="341" t="str">
        <x:f t="shared" ca="1" si="123"/>
        <x:v/>
      </x:c>
      <x:c r="FY56" s="341" t="str">
        <x:f t="shared" ref="FY56:FY85" ca="1" si="130">IF(OR(FQ56=0,FQ56=""),"",FT56-IF(FW56="",0,FW56)-FO56*FX56)</x:f>
        <x:v/>
      </x:c>
      <x:c r="FZ56" s="341" t="str">
        <x:f t="shared" ca="1" si="124"/>
        <x:v/>
      </x:c>
      <x:c r="GA56" s="341" t="str">
        <x:f t="shared" ref="GA56:GA85" ca="1" si="131">IF(FP56="","",IF(FW56="",0,FW56)+FO56*FX56+IF(FY56="",0,FY56))</x:f>
        <x:v/>
      </x:c>
      <x:c r="GB56" s="342" t="str">
        <x:f ca="1">IF(FY56="","",2+SUM(FO56:OFFSET(FO56,(FU56-1)*-1,0)))</x:f>
        <x:v/>
      </x:c>
      <x:c r="GC56" s="384" t="e">
        <x:f t="shared" si="125"/>
        <x:v>#N/A</x:v>
      </x:c>
      <x:c r="GD56" s="392" t="str">
        <x:f t="shared" si="106"/>
        <x:v/>
      </x:c>
      <x:c r="GE56" s="393" t="str">
        <x:f t="shared" si="107"/>
        <x:v/>
      </x:c>
      <x:c r="GF56" s="343" t="str">
        <x:f t="shared" si="108"/>
        <x:v/>
      </x:c>
      <x:c r="GG56" s="344" t="str">
        <x:f t="shared" si="109"/>
        <x:v/>
      </x:c>
      <x:c r="GH56" s="344" t="str">
        <x:f t="shared" si="110"/>
        <x:v/>
      </x:c>
      <x:c r="GI56" s="345" t="str">
        <x:f t="shared" si="111"/>
        <x:v/>
      </x:c>
      <x:c r="GJ56" s="394">
        <x:f t="shared" ca="1" si="112"/>
        <x:v>0</x:v>
      </x:c>
      <x:c r="GK56" s="1154" t="str">
        <x:f t="shared" ca="1" si="126"/>
        <x:v/>
      </x:c>
      <x:c r="GL56" s="171"/>
      <x:c r="GM56" s="171"/>
    </x:row>
    <x:row r="57" spans="1:222" ht="12.6" hidden="1" customHeight="1" x14ac:dyDescent="0.2">
      <x:c r="BZ57" s="360"/>
      <x:c r="CA57" s="360"/>
      <x:c r="CB57" s="414"/>
      <x:c r="CC57" s="415"/>
      <x:c r="CD57" s="416"/>
      <x:c r="CE57" s="416"/>
      <x:c r="CF57" s="416"/>
      <x:c r="CG57" s="416"/>
      <x:c r="CH57" s="416"/>
      <x:c r="CI57" s="416"/>
      <x:c r="CJ57" s="416"/>
      <x:c r="CK57" s="417"/>
      <x:c r="CL57" s="415"/>
      <x:c r="CM57" s="416"/>
      <x:c r="CN57" s="416"/>
      <x:c r="CO57" s="416"/>
      <x:c r="CP57" s="416"/>
      <x:c r="CQ57" s="416"/>
      <x:c r="CR57" s="416"/>
      <x:c r="CS57" s="416"/>
      <x:c r="CT57" s="417"/>
      <x:c r="CU57" s="418"/>
      <x:c r="CV57" s="419"/>
      <x:c r="CW57" s="419"/>
      <x:c r="CX57" s="419"/>
      <x:c r="CY57" s="420"/>
      <x:c r="CZ57" s="420"/>
      <x:c r="DA57" s="420"/>
      <x:c r="DB57" s="419"/>
      <x:c r="DC57" s="419"/>
      <x:c r="DD57" s="421"/>
      <x:c r="DE57" s="419"/>
      <x:c r="DF57" s="420"/>
      <x:c r="DG57" s="420"/>
      <x:c r="DH57" s="419"/>
      <x:c r="DI57" s="419"/>
      <x:c r="DJ57" s="421"/>
      <x:c r="DK57" s="419"/>
      <x:c r="DL57" s="419"/>
      <x:c r="DM57" s="419"/>
      <x:c r="DN57" s="419"/>
      <x:c r="DO57" s="419"/>
      <x:c r="DP57" s="419"/>
      <x:c r="DQ57" s="419"/>
      <x:c r="DR57" s="419"/>
      <x:c r="DS57" s="419"/>
      <x:c r="DT57" s="419"/>
      <x:c r="DU57" s="419"/>
      <x:c r="DV57" s="419"/>
      <x:c r="DW57" s="419"/>
      <x:c r="DX57" s="419"/>
      <x:c r="DY57" s="419"/>
      <x:c r="DZ57" s="419"/>
      <x:c r="EA57" s="419"/>
      <x:c r="EB57" s="422"/>
      <x:c r="EC57" s="423"/>
      <x:c r="ED57" s="422"/>
      <x:c r="EE57" s="422"/>
      <x:c r="EF57" s="422"/>
      <x:c r="EG57" s="422"/>
      <x:c r="EH57" s="422"/>
      <x:c r="EI57" s="422"/>
      <x:c r="EJ57" s="422"/>
      <x:c r="EK57" s="420"/>
      <x:c r="EL57" s="420"/>
      <x:c r="EM57" s="420"/>
      <x:c r="EN57" s="420"/>
      <x:c r="EO57" s="419"/>
      <x:c r="EP57" s="420"/>
      <x:c r="EQ57" s="420"/>
      <x:c r="ER57" s="420"/>
      <x:c r="ES57" s="420"/>
      <x:c r="ET57" s="419"/>
      <x:c r="EU57" s="419"/>
      <x:c r="EV57" s="422"/>
      <x:c r="EW57" s="422"/>
      <x:c r="EX57" s="425"/>
      <x:c r="EY57" s="431"/>
      <x:c r="EZ57" s="415"/>
      <x:c r="FA57" s="428"/>
      <x:c r="FB57" s="432"/>
      <x:c r="FC57" s="433"/>
      <x:c r="FD57" s="641"/>
      <x:c r="FE57" s="642"/>
      <x:c r="FF57" s="969" t="b">
        <x:f t="shared" si="101"/>
        <x:v>0</x:v>
      </x:c>
      <x:c r="FG57" s="969" t="b">
        <x:f t="shared" si="102"/>
        <x:v>0</x:v>
      </x:c>
      <x:c r="FH57" s="969" t="b">
        <x:f t="shared" si="103"/>
        <x:v>0</x:v>
      </x:c>
      <x:c r="FI57" s="1158" t="b">
        <x:f t="shared" si="104"/>
        <x:v>0</x:v>
      </x:c>
      <x:c r="FJ57" s="1161" t="str">
        <x:f t="shared" si="113"/>
        <x:v/>
      </x:c>
      <x:c r="FK57" s="1160" t="str">
        <x:f t="shared" si="114"/>
        <x:v/>
      </x:c>
      <x:c r="FL57" s="388" t="e">
        <x:f t="shared" si="115"/>
        <x:v>#N/A</x:v>
      </x:c>
      <x:c r="FM57" s="380" t="str">
        <x:f t="shared" si="105"/>
        <x:v/>
      </x:c>
      <x:c r="FN57" s="337" t="str">
        <x:f t="shared" ca="1" si="116"/>
        <x:v/>
      </x:c>
      <x:c r="FO57" s="338" t="str">
        <x:f t="shared" ca="1" si="117"/>
        <x:v/>
      </x:c>
      <x:c r="FP57" s="339" t="str">
        <x:f t="shared" ca="1" si="118"/>
        <x:v/>
      </x:c>
      <x:c r="FQ57" s="339" t="str">
        <x:f t="shared" ca="1" si="119"/>
        <x:v/>
      </x:c>
      <x:c r="FR57" s="389">
        <x:f t="shared" ca="1" si="120"/>
        <x:v>0</x:v>
      </x:c>
      <x:c r="FS57" s="390">
        <x:f t="shared" ca="1" si="121"/>
        <x:v>0</x:v>
      </x:c>
      <x:c r="FT57" s="337" t="str">
        <x:f t="shared" ca="1" si="127"/>
        <x:v/>
      </x:c>
      <x:c r="FU57" s="340" t="str">
        <x:f t="shared" ca="1" si="128"/>
        <x:v/>
      </x:c>
      <x:c r="FV57" s="391" t="str">
        <x:f t="shared" ca="1" si="129"/>
        <x:v/>
      </x:c>
      <x:c r="FW57" s="341" t="str">
        <x:f t="shared" ca="1" si="122"/>
        <x:v/>
      </x:c>
      <x:c r="FX57" s="341" t="str">
        <x:f t="shared" ca="1" si="123"/>
        <x:v/>
      </x:c>
      <x:c r="FY57" s="341" t="str">
        <x:f t="shared" ca="1" si="130"/>
        <x:v/>
      </x:c>
      <x:c r="FZ57" s="341" t="str">
        <x:f t="shared" ca="1" si="124"/>
        <x:v/>
      </x:c>
      <x:c r="GA57" s="341" t="str">
        <x:f t="shared" ca="1" si="131"/>
        <x:v/>
      </x:c>
      <x:c r="GB57" s="342" t="str">
        <x:f ca="1">IF(FY57="","",2+SUM(FO57:OFFSET(FO57,(FU57-1)*-1,0)))</x:f>
        <x:v/>
      </x:c>
      <x:c r="GC57" s="384" t="e">
        <x:f t="shared" si="125"/>
        <x:v>#N/A</x:v>
      </x:c>
      <x:c r="GD57" s="392" t="str">
        <x:f t="shared" si="106"/>
        <x:v/>
      </x:c>
      <x:c r="GE57" s="393" t="str">
        <x:f t="shared" si="107"/>
        <x:v/>
      </x:c>
      <x:c r="GF57" s="343" t="str">
        <x:f t="shared" si="108"/>
        <x:v/>
      </x:c>
      <x:c r="GG57" s="344" t="str">
        <x:f t="shared" si="109"/>
        <x:v/>
      </x:c>
      <x:c r="GH57" s="344" t="str">
        <x:f t="shared" si="110"/>
        <x:v/>
      </x:c>
      <x:c r="GI57" s="345" t="str">
        <x:f t="shared" si="111"/>
        <x:v/>
      </x:c>
      <x:c r="GJ57" s="394">
        <x:f t="shared" ca="1" si="112"/>
        <x:v>0</x:v>
      </x:c>
      <x:c r="GK57" s="1154" t="str">
        <x:f t="shared" ca="1" si="126"/>
        <x:v/>
      </x:c>
      <x:c r="GL57" s="171"/>
      <x:c r="GM57" s="171"/>
    </x:row>
    <x:row r="58" spans="1:222" ht="12.6" hidden="1" customHeight="1" x14ac:dyDescent="0.2">
      <x:c r="BZ58" s="360"/>
      <x:c r="CA58" s="360"/>
      <x:c r="CB58" s="414"/>
      <x:c r="CC58" s="415"/>
      <x:c r="CD58" s="416"/>
      <x:c r="CE58" s="416"/>
      <x:c r="CF58" s="416"/>
      <x:c r="CG58" s="416"/>
      <x:c r="CH58" s="416"/>
      <x:c r="CI58" s="416"/>
      <x:c r="CJ58" s="416"/>
      <x:c r="CK58" s="417"/>
      <x:c r="CL58" s="415"/>
      <x:c r="CM58" s="416"/>
      <x:c r="CN58" s="416"/>
      <x:c r="CO58" s="416"/>
      <x:c r="CP58" s="416"/>
      <x:c r="CQ58" s="416"/>
      <x:c r="CR58" s="416"/>
      <x:c r="CS58" s="416"/>
      <x:c r="CT58" s="417"/>
      <x:c r="CU58" s="418"/>
      <x:c r="CV58" s="419"/>
      <x:c r="CW58" s="419"/>
      <x:c r="CX58" s="419"/>
      <x:c r="CY58" s="420"/>
      <x:c r="CZ58" s="420"/>
      <x:c r="DA58" s="420"/>
      <x:c r="DB58" s="419"/>
      <x:c r="DC58" s="419"/>
      <x:c r="DD58" s="421"/>
      <x:c r="DE58" s="419"/>
      <x:c r="DF58" s="420"/>
      <x:c r="DG58" s="420"/>
      <x:c r="DH58" s="419"/>
      <x:c r="DI58" s="419"/>
      <x:c r="DJ58" s="421"/>
      <x:c r="DK58" s="419"/>
      <x:c r="DL58" s="419"/>
      <x:c r="DM58" s="419"/>
      <x:c r="DN58" s="419"/>
      <x:c r="DO58" s="419"/>
      <x:c r="DP58" s="419"/>
      <x:c r="DQ58" s="419"/>
      <x:c r="DR58" s="419"/>
      <x:c r="DS58" s="419"/>
      <x:c r="DT58" s="419"/>
      <x:c r="DU58" s="419"/>
      <x:c r="DV58" s="419"/>
      <x:c r="DW58" s="419"/>
      <x:c r="DX58" s="419"/>
      <x:c r="DY58" s="419"/>
      <x:c r="DZ58" s="419"/>
      <x:c r="EA58" s="419"/>
      <x:c r="EB58" s="422"/>
      <x:c r="EC58" s="423"/>
      <x:c r="ED58" s="422"/>
      <x:c r="EE58" s="422"/>
      <x:c r="EF58" s="422"/>
      <x:c r="EG58" s="422"/>
      <x:c r="EH58" s="422"/>
      <x:c r="EI58" s="422"/>
      <x:c r="EJ58" s="422"/>
      <x:c r="EK58" s="420"/>
      <x:c r="EL58" s="420"/>
      <x:c r="EM58" s="420"/>
      <x:c r="EN58" s="420"/>
      <x:c r="EO58" s="419"/>
      <x:c r="EP58" s="420"/>
      <x:c r="EQ58" s="420"/>
      <x:c r="ER58" s="420"/>
      <x:c r="ES58" s="420"/>
      <x:c r="ET58" s="419"/>
      <x:c r="EU58" s="419"/>
      <x:c r="EV58" s="422"/>
      <x:c r="EW58" s="422"/>
      <x:c r="EX58" s="425"/>
      <x:c r="EY58" s="431"/>
      <x:c r="EZ58" s="415"/>
      <x:c r="FA58" s="428"/>
      <x:c r="FB58" s="432"/>
      <x:c r="FC58" s="433"/>
      <x:c r="FD58" s="641"/>
      <x:c r="FE58" s="642"/>
      <x:c r="FF58" s="969" t="b">
        <x:f t="shared" si="101"/>
        <x:v>0</x:v>
      </x:c>
      <x:c r="FG58" s="969" t="b">
        <x:f t="shared" si="102"/>
        <x:v>0</x:v>
      </x:c>
      <x:c r="FH58" s="969" t="b">
        <x:f t="shared" si="103"/>
        <x:v>0</x:v>
      </x:c>
      <x:c r="FI58" s="1158" t="b">
        <x:f t="shared" si="104"/>
        <x:v>0</x:v>
      </x:c>
      <x:c r="FJ58" s="1161" t="str">
        <x:f t="shared" si="113"/>
        <x:v/>
      </x:c>
      <x:c r="FK58" s="1160" t="str">
        <x:f t="shared" si="114"/>
        <x:v/>
      </x:c>
      <x:c r="FL58" s="388" t="e">
        <x:f t="shared" si="115"/>
        <x:v>#N/A</x:v>
      </x:c>
      <x:c r="FM58" s="380" t="str">
        <x:f t="shared" si="105"/>
        <x:v/>
      </x:c>
      <x:c r="FN58" s="337" t="str">
        <x:f t="shared" ca="1" si="116"/>
        <x:v/>
      </x:c>
      <x:c r="FO58" s="338" t="str">
        <x:f t="shared" ca="1" si="117"/>
        <x:v/>
      </x:c>
      <x:c r="FP58" s="339" t="str">
        <x:f t="shared" ca="1" si="118"/>
        <x:v/>
      </x:c>
      <x:c r="FQ58" s="339" t="str">
        <x:f t="shared" ca="1" si="119"/>
        <x:v/>
      </x:c>
      <x:c r="FR58" s="389">
        <x:f t="shared" ca="1" si="120"/>
        <x:v>0</x:v>
      </x:c>
      <x:c r="FS58" s="390">
        <x:f t="shared" ca="1" si="121"/>
        <x:v>0</x:v>
      </x:c>
      <x:c r="FT58" s="337" t="str">
        <x:f t="shared" ca="1" si="127"/>
        <x:v/>
      </x:c>
      <x:c r="FU58" s="340" t="str">
        <x:f t="shared" ca="1" si="128"/>
        <x:v/>
      </x:c>
      <x:c r="FV58" s="391" t="str">
        <x:f t="shared" ca="1" si="129"/>
        <x:v/>
      </x:c>
      <x:c r="FW58" s="341" t="str">
        <x:f t="shared" ca="1" si="122"/>
        <x:v/>
      </x:c>
      <x:c r="FX58" s="341" t="str">
        <x:f t="shared" ca="1" si="123"/>
        <x:v/>
      </x:c>
      <x:c r="FY58" s="341" t="str">
        <x:f t="shared" ca="1" si="130"/>
        <x:v/>
      </x:c>
      <x:c r="FZ58" s="341" t="str">
        <x:f t="shared" ca="1" si="124"/>
        <x:v/>
      </x:c>
      <x:c r="GA58" s="341" t="str">
        <x:f t="shared" ca="1" si="131"/>
        <x:v/>
      </x:c>
      <x:c r="GB58" s="342" t="str">
        <x:f ca="1">IF(FY58="","",2+SUM(FO58:OFFSET(FO58,(FU58-1)*-1,0)))</x:f>
        <x:v/>
      </x:c>
      <x:c r="GC58" s="384" t="e">
        <x:f t="shared" si="125"/>
        <x:v>#N/A</x:v>
      </x:c>
      <x:c r="GD58" s="392" t="str">
        <x:f t="shared" si="106"/>
        <x:v/>
      </x:c>
      <x:c r="GE58" s="393" t="str">
        <x:f t="shared" si="107"/>
        <x:v/>
      </x:c>
      <x:c r="GF58" s="343" t="str">
        <x:f t="shared" si="108"/>
        <x:v/>
      </x:c>
      <x:c r="GG58" s="344" t="str">
        <x:f t="shared" si="109"/>
        <x:v/>
      </x:c>
      <x:c r="GH58" s="344" t="str">
        <x:f t="shared" si="110"/>
        <x:v/>
      </x:c>
      <x:c r="GI58" s="345" t="str">
        <x:f t="shared" si="111"/>
        <x:v/>
      </x:c>
      <x:c r="GJ58" s="394">
        <x:f t="shared" ca="1" si="112"/>
        <x:v>0</x:v>
      </x:c>
      <x:c r="GK58" s="1154" t="str">
        <x:f t="shared" ca="1" si="126"/>
        <x:v/>
      </x:c>
    </x:row>
    <x:row r="59" spans="1:222" ht="12.6" hidden="1" customHeight="1" x14ac:dyDescent="0.2">
      <x:c r="BZ59" s="360"/>
      <x:c r="CA59" s="360"/>
      <x:c r="CB59" s="414"/>
      <x:c r="CC59" s="415"/>
      <x:c r="CD59" s="416"/>
      <x:c r="CE59" s="416"/>
      <x:c r="CF59" s="416"/>
      <x:c r="CG59" s="416"/>
      <x:c r="CH59" s="416"/>
      <x:c r="CI59" s="416"/>
      <x:c r="CJ59" s="416"/>
      <x:c r="CK59" s="417"/>
      <x:c r="CL59" s="415"/>
      <x:c r="CM59" s="416"/>
      <x:c r="CN59" s="416"/>
      <x:c r="CO59" s="416"/>
      <x:c r="CP59" s="416"/>
      <x:c r="CQ59" s="416"/>
      <x:c r="CR59" s="416"/>
      <x:c r="CS59" s="416"/>
      <x:c r="CT59" s="417"/>
      <x:c r="CU59" s="418"/>
      <x:c r="CV59" s="419"/>
      <x:c r="CW59" s="419"/>
      <x:c r="CX59" s="419"/>
      <x:c r="CY59" s="420"/>
      <x:c r="CZ59" s="420"/>
      <x:c r="DA59" s="420"/>
      <x:c r="DB59" s="419"/>
      <x:c r="DC59" s="419"/>
      <x:c r="DD59" s="421"/>
      <x:c r="DE59" s="419"/>
      <x:c r="DF59" s="420"/>
      <x:c r="DG59" s="420"/>
      <x:c r="DH59" s="419"/>
      <x:c r="DI59" s="419"/>
      <x:c r="DJ59" s="421"/>
      <x:c r="DK59" s="419"/>
      <x:c r="DL59" s="419"/>
      <x:c r="DM59" s="419"/>
      <x:c r="DN59" s="419"/>
      <x:c r="DO59" s="419"/>
      <x:c r="DP59" s="419"/>
      <x:c r="DQ59" s="419"/>
      <x:c r="DR59" s="419"/>
      <x:c r="DS59" s="419"/>
      <x:c r="DT59" s="419"/>
      <x:c r="DU59" s="419"/>
      <x:c r="DV59" s="419"/>
      <x:c r="DW59" s="419"/>
      <x:c r="DX59" s="419"/>
      <x:c r="DY59" s="419"/>
      <x:c r="DZ59" s="419"/>
      <x:c r="EA59" s="419"/>
      <x:c r="EB59" s="422"/>
      <x:c r="EC59" s="423"/>
      <x:c r="ED59" s="422"/>
      <x:c r="EE59" s="422"/>
      <x:c r="EF59" s="422"/>
      <x:c r="EG59" s="422"/>
      <x:c r="EH59" s="422"/>
      <x:c r="EI59" s="422"/>
      <x:c r="EJ59" s="422"/>
      <x:c r="EK59" s="420"/>
      <x:c r="EL59" s="420"/>
      <x:c r="EM59" s="420"/>
      <x:c r="EN59" s="420"/>
      <x:c r="EO59" s="419"/>
      <x:c r="EP59" s="420"/>
      <x:c r="EQ59" s="420"/>
      <x:c r="ER59" s="420"/>
      <x:c r="ES59" s="420"/>
      <x:c r="ET59" s="419"/>
      <x:c r="EU59" s="419"/>
      <x:c r="EV59" s="422"/>
      <x:c r="EW59" s="422"/>
      <x:c r="EX59" s="425"/>
      <x:c r="EY59" s="431"/>
      <x:c r="EZ59" s="415"/>
      <x:c r="FA59" s="428"/>
      <x:c r="FB59" s="432"/>
      <x:c r="FC59" s="433"/>
      <x:c r="FD59" s="641"/>
      <x:c r="FE59" s="642"/>
      <x:c r="FF59" s="969" t="b">
        <x:f t="shared" si="101"/>
        <x:v>0</x:v>
      </x:c>
      <x:c r="FG59" s="969" t="b">
        <x:f t="shared" si="102"/>
        <x:v>0</x:v>
      </x:c>
      <x:c r="FH59" s="969" t="b">
        <x:f t="shared" si="103"/>
        <x:v>0</x:v>
      </x:c>
      <x:c r="FI59" s="1158" t="b">
        <x:f t="shared" si="104"/>
        <x:v>0</x:v>
      </x:c>
      <x:c r="FJ59" s="1161" t="str">
        <x:f t="shared" si="113"/>
        <x:v/>
      </x:c>
      <x:c r="FK59" s="1160" t="str">
        <x:f t="shared" si="114"/>
        <x:v/>
      </x:c>
      <x:c r="FL59" s="388" t="e">
        <x:f t="shared" si="115"/>
        <x:v>#N/A</x:v>
      </x:c>
      <x:c r="FM59" s="380" t="str">
        <x:f t="shared" si="105"/>
        <x:v/>
      </x:c>
      <x:c r="FN59" s="337" t="str">
        <x:f t="shared" ca="1" si="116"/>
        <x:v/>
      </x:c>
      <x:c r="FO59" s="338" t="str">
        <x:f t="shared" ca="1" si="117"/>
        <x:v/>
      </x:c>
      <x:c r="FP59" s="339" t="str">
        <x:f t="shared" ca="1" si="118"/>
        <x:v/>
      </x:c>
      <x:c r="FQ59" s="339" t="str">
        <x:f t="shared" ca="1" si="119"/>
        <x:v/>
      </x:c>
      <x:c r="FR59" s="389">
        <x:f t="shared" ca="1" si="120"/>
        <x:v>0</x:v>
      </x:c>
      <x:c r="FS59" s="390">
        <x:f t="shared" ca="1" si="121"/>
        <x:v>0</x:v>
      </x:c>
      <x:c r="FT59" s="337" t="str">
        <x:f t="shared" ca="1" si="127"/>
        <x:v/>
      </x:c>
      <x:c r="FU59" s="340" t="str">
        <x:f t="shared" ca="1" si="128"/>
        <x:v/>
      </x:c>
      <x:c r="FV59" s="391" t="str">
        <x:f t="shared" ca="1" si="129"/>
        <x:v/>
      </x:c>
      <x:c r="FW59" s="341" t="str">
        <x:f t="shared" ca="1" si="122"/>
        <x:v/>
      </x:c>
      <x:c r="FX59" s="341" t="str">
        <x:f t="shared" ca="1" si="123"/>
        <x:v/>
      </x:c>
      <x:c r="FY59" s="341" t="str">
        <x:f t="shared" ca="1" si="130"/>
        <x:v/>
      </x:c>
      <x:c r="FZ59" s="341" t="str">
        <x:f t="shared" ca="1" si="124"/>
        <x:v/>
      </x:c>
      <x:c r="GA59" s="341" t="str">
        <x:f t="shared" ca="1" si="131"/>
        <x:v/>
      </x:c>
      <x:c r="GB59" s="342" t="str">
        <x:f ca="1">IF(FY59="","",2+SUM(FO59:OFFSET(FO59,(FU59-1)*-1,0)))</x:f>
        <x:v/>
      </x:c>
      <x:c r="GC59" s="384" t="e">
        <x:f t="shared" si="125"/>
        <x:v>#N/A</x:v>
      </x:c>
      <x:c r="GD59" s="392" t="str">
        <x:f t="shared" si="106"/>
        <x:v/>
      </x:c>
      <x:c r="GE59" s="393" t="str">
        <x:f t="shared" si="107"/>
        <x:v/>
      </x:c>
      <x:c r="GF59" s="343" t="str">
        <x:f t="shared" si="108"/>
        <x:v/>
      </x:c>
      <x:c r="GG59" s="344" t="str">
        <x:f t="shared" si="109"/>
        <x:v/>
      </x:c>
      <x:c r="GH59" s="344" t="str">
        <x:f t="shared" si="110"/>
        <x:v/>
      </x:c>
      <x:c r="GI59" s="345" t="str">
        <x:f t="shared" si="111"/>
        <x:v/>
      </x:c>
      <x:c r="GJ59" s="394">
        <x:f t="shared" ca="1" si="112"/>
        <x:v>0</x:v>
      </x:c>
      <x:c r="GK59" s="1154" t="str">
        <x:f t="shared" ca="1" si="126"/>
        <x:v>B</x:v>
      </x:c>
    </x:row>
    <x:row r="60" spans="1:222" ht="12.6" hidden="1" customHeight="1" x14ac:dyDescent="0.2">
      <x:c r="A60" s="1128" t="s">
        <x:v>1226</x:v>
      </x:c>
      <x:c r="BZ60" s="360"/>
      <x:c r="CA60" s="360"/>
      <x:c r="CB60" s="414"/>
      <x:c r="CC60" s="415"/>
      <x:c r="CD60" s="416"/>
      <x:c r="CE60" s="416"/>
      <x:c r="CF60" s="416"/>
      <x:c r="CG60" s="416"/>
      <x:c r="CH60" s="416"/>
      <x:c r="CI60" s="416"/>
      <x:c r="CJ60" s="416"/>
      <x:c r="CK60" s="417"/>
      <x:c r="CL60" s="415"/>
      <x:c r="CM60" s="416"/>
      <x:c r="CN60" s="416"/>
      <x:c r="CO60" s="416"/>
      <x:c r="CP60" s="416"/>
      <x:c r="CQ60" s="416"/>
      <x:c r="CR60" s="416"/>
      <x:c r="CS60" s="416"/>
      <x:c r="CT60" s="417"/>
      <x:c r="CU60" s="418"/>
      <x:c r="CV60" s="419"/>
      <x:c r="CW60" s="419"/>
      <x:c r="CX60" s="419"/>
      <x:c r="CY60" s="420"/>
      <x:c r="CZ60" s="420"/>
      <x:c r="DA60" s="420"/>
      <x:c r="DB60" s="419"/>
      <x:c r="DC60" s="419"/>
      <x:c r="DD60" s="421"/>
      <x:c r="DE60" s="419"/>
      <x:c r="DF60" s="420"/>
      <x:c r="DG60" s="420"/>
      <x:c r="DH60" s="419"/>
      <x:c r="DI60" s="419"/>
      <x:c r="DJ60" s="421"/>
      <x:c r="DK60" s="419"/>
      <x:c r="DL60" s="419"/>
      <x:c r="DM60" s="419"/>
      <x:c r="DN60" s="419"/>
      <x:c r="DO60" s="419"/>
      <x:c r="DP60" s="419"/>
      <x:c r="DQ60" s="419"/>
      <x:c r="DR60" s="419"/>
      <x:c r="DS60" s="419"/>
      <x:c r="DT60" s="419"/>
      <x:c r="DU60" s="419"/>
      <x:c r="DV60" s="419"/>
      <x:c r="DW60" s="419"/>
      <x:c r="DX60" s="419"/>
      <x:c r="DY60" s="419"/>
      <x:c r="DZ60" s="419"/>
      <x:c r="EA60" s="419"/>
      <x:c r="EB60" s="422"/>
      <x:c r="EC60" s="423"/>
      <x:c r="ED60" s="422"/>
      <x:c r="EE60" s="422"/>
      <x:c r="EF60" s="422"/>
      <x:c r="EG60" s="422"/>
      <x:c r="EH60" s="422"/>
      <x:c r="EI60" s="422"/>
      <x:c r="EJ60" s="422"/>
      <x:c r="EK60" s="420"/>
      <x:c r="EL60" s="420"/>
      <x:c r="EM60" s="420"/>
      <x:c r="EN60" s="420"/>
      <x:c r="EO60" s="419"/>
      <x:c r="EP60" s="420"/>
      <x:c r="EQ60" s="420"/>
      <x:c r="ER60" s="420"/>
      <x:c r="ES60" s="420"/>
      <x:c r="ET60" s="419"/>
      <x:c r="EU60" s="419"/>
      <x:c r="EV60" s="422"/>
      <x:c r="EW60" s="422"/>
      <x:c r="EX60" s="425"/>
      <x:c r="EY60" s="431"/>
      <x:c r="EZ60" s="415"/>
      <x:c r="FA60" s="428"/>
      <x:c r="FB60" s="432"/>
      <x:c r="FC60" s="433"/>
      <x:c r="FD60" s="641"/>
      <x:c r="FE60" s="642"/>
      <x:c r="FF60" s="969" t="b">
        <x:f t="shared" si="101"/>
        <x:v>0</x:v>
      </x:c>
      <x:c r="FG60" s="969" t="b">
        <x:f t="shared" si="102"/>
        <x:v>0</x:v>
      </x:c>
      <x:c r="FH60" s="969" t="b">
        <x:f t="shared" si="103"/>
        <x:v>0</x:v>
      </x:c>
      <x:c r="FI60" s="1158" t="b">
        <x:f t="shared" si="104"/>
        <x:v>0</x:v>
      </x:c>
      <x:c r="FJ60" s="1161" t="str">
        <x:f t="shared" si="113"/>
        <x:v/>
      </x:c>
      <x:c r="FK60" s="1160" t="str">
        <x:f t="shared" si="114"/>
        <x:v/>
      </x:c>
      <x:c r="FL60" s="388" t="e">
        <x:f t="shared" si="115"/>
        <x:v>#N/A</x:v>
      </x:c>
      <x:c r="FM60" s="380" t="str">
        <x:f t="shared" si="105"/>
        <x:v/>
      </x:c>
      <x:c r="FN60" s="337" t="str">
        <x:f t="shared" ca="1" si="116"/>
        <x:v/>
      </x:c>
      <x:c r="FO60" s="338" t="str">
        <x:f t="shared" ca="1" si="117"/>
        <x:v/>
      </x:c>
      <x:c r="FP60" s="339" t="str">
        <x:f t="shared" ca="1" si="118"/>
        <x:v/>
      </x:c>
      <x:c r="FQ60" s="339" t="str">
        <x:f t="shared" ca="1" si="119"/>
        <x:v/>
      </x:c>
      <x:c r="FR60" s="389">
        <x:f t="shared" ca="1" si="120"/>
        <x:v>0</x:v>
      </x:c>
      <x:c r="FS60" s="390">
        <x:f t="shared" ca="1" si="121"/>
        <x:v>0</x:v>
      </x:c>
      <x:c r="FT60" s="337" t="str">
        <x:f t="shared" ca="1" si="127"/>
        <x:v/>
      </x:c>
      <x:c r="FU60" s="340" t="str">
        <x:f t="shared" ca="1" si="128"/>
        <x:v/>
      </x:c>
      <x:c r="FV60" s="391" t="str">
        <x:f t="shared" ca="1" si="129"/>
        <x:v/>
      </x:c>
      <x:c r="FW60" s="341" t="str">
        <x:f t="shared" ca="1" si="122"/>
        <x:v/>
      </x:c>
      <x:c r="FX60" s="341" t="str">
        <x:f t="shared" ca="1" si="123"/>
        <x:v/>
      </x:c>
      <x:c r="FY60" s="341" t="str">
        <x:f t="shared" ca="1" si="130"/>
        <x:v/>
      </x:c>
      <x:c r="FZ60" s="341" t="str">
        <x:f t="shared" ca="1" si="124"/>
        <x:v/>
      </x:c>
      <x:c r="GA60" s="341" t="str">
        <x:f t="shared" ca="1" si="131"/>
        <x:v/>
      </x:c>
      <x:c r="GB60" s="342" t="str">
        <x:f ca="1">IF(FY60="","",2+SUM(FO60:OFFSET(FO60,(FU60-1)*-1,0)))</x:f>
        <x:v/>
      </x:c>
      <x:c r="GC60" s="384" t="e">
        <x:f t="shared" si="125"/>
        <x:v>#N/A</x:v>
      </x:c>
      <x:c r="GD60" s="392" t="str">
        <x:f t="shared" si="106"/>
        <x:v/>
      </x:c>
      <x:c r="GE60" s="393" t="str">
        <x:f t="shared" si="107"/>
        <x:v/>
      </x:c>
      <x:c r="GF60" s="343" t="str">
        <x:f t="shared" si="108"/>
        <x:v/>
      </x:c>
      <x:c r="GG60" s="344" t="str">
        <x:f t="shared" si="109"/>
        <x:v/>
      </x:c>
      <x:c r="GH60" s="344" t="str">
        <x:f t="shared" si="110"/>
        <x:v/>
      </x:c>
      <x:c r="GI60" s="345" t="str">
        <x:f t="shared" si="111"/>
        <x:v/>
      </x:c>
      <x:c r="GJ60" s="394">
        <x:f t="shared" ca="1" si="112"/>
        <x:v>0</x:v>
      </x:c>
      <x:c r="GK60" s="1154" t="str">
        <x:f t="shared" ca="1" si="126"/>
        <x:v>A</x:v>
      </x:c>
    </x:row>
    <x:row r="61" spans="1:222" ht="12.6" hidden="1" customHeight="1" x14ac:dyDescent="0.2">
      <x:c r="A61" s="1130" t="s">
        <x:v>2022</x:v>
      </x:c>
      <x:c r="BZ61" s="360"/>
      <x:c r="CA61" s="434"/>
      <x:c r="CB61" s="414"/>
      <x:c r="CC61" s="415"/>
      <x:c r="CD61" s="416"/>
      <x:c r="CE61" s="416"/>
      <x:c r="CF61" s="416"/>
      <x:c r="CG61" s="416"/>
      <x:c r="CH61" s="416"/>
      <x:c r="CI61" s="416"/>
      <x:c r="CJ61" s="416"/>
      <x:c r="CK61" s="417"/>
      <x:c r="CL61" s="415"/>
      <x:c r="CM61" s="416"/>
      <x:c r="CN61" s="416"/>
      <x:c r="CO61" s="416"/>
      <x:c r="CP61" s="416"/>
      <x:c r="CQ61" s="416"/>
      <x:c r="CR61" s="416"/>
      <x:c r="CS61" s="416"/>
      <x:c r="CT61" s="417"/>
      <x:c r="CU61" s="418"/>
      <x:c r="CV61" s="419"/>
      <x:c r="CW61" s="419"/>
      <x:c r="CX61" s="419"/>
      <x:c r="CY61" s="420"/>
      <x:c r="CZ61" s="420"/>
      <x:c r="DA61" s="420"/>
      <x:c r="DB61" s="419"/>
      <x:c r="DC61" s="419"/>
      <x:c r="DD61" s="421"/>
      <x:c r="DE61" s="419"/>
      <x:c r="DF61" s="420"/>
      <x:c r="DG61" s="420"/>
      <x:c r="DH61" s="419"/>
      <x:c r="DI61" s="419"/>
      <x:c r="DJ61" s="421"/>
      <x:c r="DK61" s="419"/>
      <x:c r="DL61" s="419"/>
      <x:c r="DM61" s="419"/>
      <x:c r="DN61" s="419"/>
      <x:c r="DO61" s="419"/>
      <x:c r="DP61" s="419"/>
      <x:c r="DQ61" s="419"/>
      <x:c r="DR61" s="419"/>
      <x:c r="DS61" s="419"/>
      <x:c r="DT61" s="419"/>
      <x:c r="DU61" s="419"/>
      <x:c r="DV61" s="419"/>
      <x:c r="DW61" s="419"/>
      <x:c r="DX61" s="419"/>
      <x:c r="DY61" s="419"/>
      <x:c r="DZ61" s="419"/>
      <x:c r="EA61" s="419"/>
      <x:c r="EB61" s="422"/>
      <x:c r="EC61" s="423"/>
      <x:c r="ED61" s="422"/>
      <x:c r="EE61" s="422"/>
      <x:c r="EF61" s="422"/>
      <x:c r="EG61" s="422"/>
      <x:c r="EH61" s="422"/>
      <x:c r="EI61" s="422"/>
      <x:c r="EJ61" s="422"/>
      <x:c r="EK61" s="420"/>
      <x:c r="EL61" s="420"/>
      <x:c r="EM61" s="420"/>
      <x:c r="EN61" s="420"/>
      <x:c r="EO61" s="419"/>
      <x:c r="EP61" s="420"/>
      <x:c r="EQ61" s="420"/>
      <x:c r="ER61" s="420"/>
      <x:c r="ES61" s="420"/>
      <x:c r="ET61" s="419"/>
      <x:c r="EU61" s="419"/>
      <x:c r="EV61" s="422"/>
      <x:c r="EW61" s="422"/>
      <x:c r="EX61" s="425"/>
      <x:c r="EY61" s="431"/>
      <x:c r="EZ61" s="415"/>
      <x:c r="FA61" s="428"/>
      <x:c r="FB61" s="432"/>
      <x:c r="FC61" s="433"/>
      <x:c r="FD61" s="641"/>
      <x:c r="FE61" s="642"/>
      <x:c r="FF61" s="969" t="b">
        <x:f t="shared" si="101"/>
        <x:v>0</x:v>
      </x:c>
      <x:c r="FG61" s="969" t="b">
        <x:f t="shared" si="102"/>
        <x:v>0</x:v>
      </x:c>
      <x:c r="FH61" s="969" t="b">
        <x:f t="shared" si="103"/>
        <x:v>0</x:v>
      </x:c>
      <x:c r="FI61" s="1158" t="b">
        <x:f t="shared" si="104"/>
        <x:v>0</x:v>
      </x:c>
      <x:c r="FJ61" s="1161" t="str">
        <x:f t="shared" si="113"/>
        <x:v/>
      </x:c>
      <x:c r="FK61" s="1160" t="str">
        <x:f t="shared" si="114"/>
        <x:v/>
      </x:c>
      <x:c r="FL61" s="388" t="e">
        <x:f t="shared" si="115"/>
        <x:v>#N/A</x:v>
      </x:c>
      <x:c r="FM61" s="380" t="str">
        <x:f t="shared" si="105"/>
        <x:v/>
      </x:c>
      <x:c r="FN61" s="337" t="str">
        <x:f t="shared" ca="1" si="116"/>
        <x:v/>
      </x:c>
      <x:c r="FO61" s="338" t="str">
        <x:f t="shared" ca="1" si="117"/>
        <x:v/>
      </x:c>
      <x:c r="FP61" s="339" t="str">
        <x:f t="shared" ca="1" si="118"/>
        <x:v/>
      </x:c>
      <x:c r="FQ61" s="339" t="str">
        <x:f t="shared" ca="1" si="119"/>
        <x:v/>
      </x:c>
      <x:c r="FR61" s="389">
        <x:f t="shared" ca="1" si="120"/>
        <x:v>0</x:v>
      </x:c>
      <x:c r="FS61" s="390">
        <x:f t="shared" ca="1" si="121"/>
        <x:v>0</x:v>
      </x:c>
      <x:c r="FT61" s="337" t="str">
        <x:f t="shared" ca="1" si="127"/>
        <x:v/>
      </x:c>
      <x:c r="FU61" s="340" t="str">
        <x:f t="shared" ca="1" si="128"/>
        <x:v/>
      </x:c>
      <x:c r="FV61" s="391" t="str">
        <x:f t="shared" ca="1" si="129"/>
        <x:v/>
      </x:c>
      <x:c r="FW61" s="341" t="str">
        <x:f t="shared" ca="1" si="122"/>
        <x:v/>
      </x:c>
      <x:c r="FX61" s="341" t="str">
        <x:f t="shared" ca="1" si="123"/>
        <x:v/>
      </x:c>
      <x:c r="FY61" s="341" t="str">
        <x:f t="shared" ca="1" si="130"/>
        <x:v/>
      </x:c>
      <x:c r="FZ61" s="341" t="str">
        <x:f t="shared" ca="1" si="124"/>
        <x:v/>
      </x:c>
      <x:c r="GA61" s="341" t="str">
        <x:f t="shared" ca="1" si="131"/>
        <x:v/>
      </x:c>
      <x:c r="GB61" s="342" t="str">
        <x:f ca="1">IF(FY61="","",2+SUM(FO61:OFFSET(FO61,(FU61-1)*-1,0)))</x:f>
        <x:v/>
      </x:c>
      <x:c r="GC61" s="384" t="e">
        <x:f t="shared" si="125"/>
        <x:v>#N/A</x:v>
      </x:c>
      <x:c r="GD61" s="392" t="str">
        <x:f t="shared" si="106"/>
        <x:v/>
      </x:c>
      <x:c r="GE61" s="393" t="str">
        <x:f t="shared" si="107"/>
        <x:v/>
      </x:c>
      <x:c r="GF61" s="343" t="str">
        <x:f t="shared" si="108"/>
        <x:v/>
      </x:c>
      <x:c r="GG61" s="344" t="str">
        <x:f t="shared" si="109"/>
        <x:v/>
      </x:c>
      <x:c r="GH61" s="344" t="str">
        <x:f t="shared" si="110"/>
        <x:v/>
      </x:c>
      <x:c r="GI61" s="345" t="str">
        <x:f t="shared" si="111"/>
        <x:v/>
      </x:c>
      <x:c r="GJ61" s="394">
        <x:f t="shared" ca="1" si="112"/>
        <x:v>0</x:v>
      </x:c>
      <x:c r="GK61" s="1154" t="str">
        <x:f t="shared" ca="1" si="126"/>
        <x:v>A</x:v>
      </x:c>
    </x:row>
    <x:row r="62" spans="1:222" ht="12.6" hidden="1" customHeight="1" x14ac:dyDescent="0.2">
      <x:c r="BZ62" s="360"/>
      <x:c r="CA62" s="434"/>
      <x:c r="CB62" s="414"/>
      <x:c r="CC62" s="415"/>
      <x:c r="CD62" s="416"/>
      <x:c r="CE62" s="416"/>
      <x:c r="CF62" s="416"/>
      <x:c r="CG62" s="416"/>
      <x:c r="CH62" s="416"/>
      <x:c r="CI62" s="416"/>
      <x:c r="CJ62" s="416"/>
      <x:c r="CK62" s="417"/>
      <x:c r="CL62" s="415"/>
      <x:c r="CM62" s="416"/>
      <x:c r="CN62" s="416"/>
      <x:c r="CO62" s="416"/>
      <x:c r="CP62" s="416"/>
      <x:c r="CQ62" s="416"/>
      <x:c r="CR62" s="416"/>
      <x:c r="CS62" s="416"/>
      <x:c r="CT62" s="417"/>
      <x:c r="CU62" s="418"/>
      <x:c r="CV62" s="419"/>
      <x:c r="CW62" s="419"/>
      <x:c r="CX62" s="419"/>
      <x:c r="CY62" s="420"/>
      <x:c r="CZ62" s="420"/>
      <x:c r="DA62" s="420"/>
      <x:c r="DB62" s="419"/>
      <x:c r="DC62" s="419"/>
      <x:c r="DD62" s="421"/>
      <x:c r="DE62" s="419"/>
      <x:c r="DF62" s="420"/>
      <x:c r="DG62" s="420"/>
      <x:c r="DH62" s="419"/>
      <x:c r="DI62" s="419"/>
      <x:c r="DJ62" s="421"/>
      <x:c r="DK62" s="419"/>
      <x:c r="DL62" s="419"/>
      <x:c r="DM62" s="419"/>
      <x:c r="DN62" s="419"/>
      <x:c r="DO62" s="419"/>
      <x:c r="DP62" s="419"/>
      <x:c r="DQ62" s="419"/>
      <x:c r="DR62" s="419"/>
      <x:c r="DS62" s="419"/>
      <x:c r="DT62" s="419"/>
      <x:c r="DU62" s="419"/>
      <x:c r="DV62" s="419"/>
      <x:c r="DW62" s="419"/>
      <x:c r="DX62" s="419"/>
      <x:c r="DY62" s="419"/>
      <x:c r="DZ62" s="419"/>
      <x:c r="EA62" s="419"/>
      <x:c r="EB62" s="422"/>
      <x:c r="EC62" s="423"/>
      <x:c r="ED62" s="422"/>
      <x:c r="EE62" s="422"/>
      <x:c r="EF62" s="422"/>
      <x:c r="EG62" s="422"/>
      <x:c r="EH62" s="422"/>
      <x:c r="EI62" s="422"/>
      <x:c r="EJ62" s="422"/>
      <x:c r="EK62" s="420"/>
      <x:c r="EL62" s="420"/>
      <x:c r="EM62" s="420"/>
      <x:c r="EN62" s="420"/>
      <x:c r="EO62" s="419"/>
      <x:c r="EP62" s="420"/>
      <x:c r="EQ62" s="420"/>
      <x:c r="ER62" s="420"/>
      <x:c r="ES62" s="420"/>
      <x:c r="ET62" s="419"/>
      <x:c r="EU62" s="419"/>
      <x:c r="EV62" s="422"/>
      <x:c r="EW62" s="422"/>
      <x:c r="EX62" s="425"/>
      <x:c r="EY62" s="431"/>
      <x:c r="EZ62" s="415"/>
      <x:c r="FA62" s="428"/>
      <x:c r="FB62" s="432"/>
      <x:c r="FC62" s="433"/>
      <x:c r="FD62" s="641"/>
      <x:c r="FE62" s="642"/>
      <x:c r="FF62" s="969" t="b">
        <x:f t="shared" si="101"/>
        <x:v>0</x:v>
      </x:c>
      <x:c r="FG62" s="969" t="b">
        <x:f t="shared" si="102"/>
        <x:v>0</x:v>
      </x:c>
      <x:c r="FH62" s="969" t="b">
        <x:f t="shared" si="103"/>
        <x:v>0</x:v>
      </x:c>
      <x:c r="FI62" s="1158" t="b">
        <x:f t="shared" si="104"/>
        <x:v>0</x:v>
      </x:c>
      <x:c r="FJ62" s="1161" t="str">
        <x:f t="shared" si="113"/>
        <x:v/>
      </x:c>
      <x:c r="FK62" s="1160" t="str">
        <x:f t="shared" si="114"/>
        <x:v/>
      </x:c>
      <x:c r="FL62" s="388" t="e">
        <x:f t="shared" si="115"/>
        <x:v>#N/A</x:v>
      </x:c>
      <x:c r="FM62" s="380" t="str">
        <x:f t="shared" si="105"/>
        <x:v/>
      </x:c>
      <x:c r="FN62" s="337" t="str">
        <x:f t="shared" ca="1" si="116"/>
        <x:v/>
      </x:c>
      <x:c r="FO62" s="338" t="str">
        <x:f t="shared" ca="1" si="117"/>
        <x:v/>
      </x:c>
      <x:c r="FP62" s="339" t="str">
        <x:f t="shared" ca="1" si="118"/>
        <x:v/>
      </x:c>
      <x:c r="FQ62" s="339" t="str">
        <x:f t="shared" ca="1" si="119"/>
        <x:v/>
      </x:c>
      <x:c r="FR62" s="389">
        <x:f t="shared" ca="1" si="120"/>
        <x:v>0</x:v>
      </x:c>
      <x:c r="FS62" s="390">
        <x:f t="shared" ca="1" si="121"/>
        <x:v>0</x:v>
      </x:c>
      <x:c r="FT62" s="337" t="str">
        <x:f t="shared" ca="1" si="127"/>
        <x:v/>
      </x:c>
      <x:c r="FU62" s="340" t="str">
        <x:f t="shared" ca="1" si="128"/>
        <x:v/>
      </x:c>
      <x:c r="FV62" s="391" t="str">
        <x:f t="shared" ca="1" si="129"/>
        <x:v/>
      </x:c>
      <x:c r="FW62" s="341" t="str">
        <x:f t="shared" ca="1" si="122"/>
        <x:v/>
      </x:c>
      <x:c r="FX62" s="341" t="str">
        <x:f t="shared" ca="1" si="123"/>
        <x:v/>
      </x:c>
      <x:c r="FY62" s="341" t="str">
        <x:f t="shared" ca="1" si="130"/>
        <x:v/>
      </x:c>
      <x:c r="FZ62" s="341" t="str">
        <x:f t="shared" ca="1" si="124"/>
        <x:v/>
      </x:c>
      <x:c r="GA62" s="341" t="str">
        <x:f t="shared" ca="1" si="131"/>
        <x:v/>
      </x:c>
      <x:c r="GB62" s="342" t="str">
        <x:f ca="1">IF(FY62="","",2+SUM(FO62:OFFSET(FO62,(FU62-1)*-1,0)))</x:f>
        <x:v/>
      </x:c>
      <x:c r="GC62" s="384" t="e">
        <x:f t="shared" si="125"/>
        <x:v>#N/A</x:v>
      </x:c>
      <x:c r="GD62" s="392" t="str">
        <x:f t="shared" si="106"/>
        <x:v/>
      </x:c>
      <x:c r="GE62" s="393" t="str">
        <x:f t="shared" si="107"/>
        <x:v/>
      </x:c>
      <x:c r="GF62" s="343" t="str">
        <x:f t="shared" si="108"/>
        <x:v/>
      </x:c>
      <x:c r="GG62" s="344" t="str">
        <x:f t="shared" si="109"/>
        <x:v/>
      </x:c>
      <x:c r="GH62" s="344" t="str">
        <x:f t="shared" si="110"/>
        <x:v/>
      </x:c>
      <x:c r="GI62" s="345" t="str">
        <x:f t="shared" si="111"/>
        <x:v/>
      </x:c>
      <x:c r="GJ62" s="394">
        <x:f t="shared" ca="1" si="112"/>
        <x:v>0</x:v>
      </x:c>
      <x:c r="GK62" s="1154" t="str">
        <x:f t="shared" ca="1" si="126"/>
        <x:v>A</x:v>
      </x:c>
    </x:row>
    <x:row r="63" spans="1:222" ht="12.6" hidden="1" customHeight="1" x14ac:dyDescent="0.2">
      <x:c r="BZ63" s="360"/>
      <x:c r="CA63" s="434"/>
      <x:c r="CB63" s="414"/>
      <x:c r="CC63" s="415"/>
      <x:c r="CD63" s="416"/>
      <x:c r="CE63" s="416"/>
      <x:c r="CF63" s="416"/>
      <x:c r="CG63" s="416"/>
      <x:c r="CH63" s="416"/>
      <x:c r="CI63" s="416"/>
      <x:c r="CJ63" s="416"/>
      <x:c r="CK63" s="417"/>
      <x:c r="CL63" s="415"/>
      <x:c r="CM63" s="416"/>
      <x:c r="CN63" s="416"/>
      <x:c r="CO63" s="416"/>
      <x:c r="CP63" s="416"/>
      <x:c r="CQ63" s="416"/>
      <x:c r="CR63" s="416"/>
      <x:c r="CS63" s="416"/>
      <x:c r="CT63" s="417"/>
      <x:c r="CU63" s="418"/>
      <x:c r="CV63" s="419"/>
      <x:c r="CW63" s="419"/>
      <x:c r="CX63" s="419"/>
      <x:c r="CY63" s="420"/>
      <x:c r="CZ63" s="420"/>
      <x:c r="DA63" s="420"/>
      <x:c r="DB63" s="419"/>
      <x:c r="DC63" s="419"/>
      <x:c r="DD63" s="421"/>
      <x:c r="DE63" s="419"/>
      <x:c r="DF63" s="420"/>
      <x:c r="DG63" s="420"/>
      <x:c r="DH63" s="419"/>
      <x:c r="DI63" s="419"/>
      <x:c r="DJ63" s="421"/>
      <x:c r="DK63" s="419"/>
      <x:c r="DL63" s="419"/>
      <x:c r="DM63" s="419"/>
      <x:c r="DN63" s="419"/>
      <x:c r="DO63" s="419"/>
      <x:c r="DP63" s="419"/>
      <x:c r="DQ63" s="419"/>
      <x:c r="DR63" s="419"/>
      <x:c r="DS63" s="419"/>
      <x:c r="DT63" s="419"/>
      <x:c r="DU63" s="419"/>
      <x:c r="DV63" s="419"/>
      <x:c r="DW63" s="419"/>
      <x:c r="DX63" s="419"/>
      <x:c r="DY63" s="419"/>
      <x:c r="DZ63" s="419"/>
      <x:c r="EA63" s="419"/>
      <x:c r="EB63" s="422"/>
      <x:c r="EC63" s="423"/>
      <x:c r="ED63" s="422"/>
      <x:c r="EE63" s="422"/>
      <x:c r="EF63" s="422"/>
      <x:c r="EG63" s="422"/>
      <x:c r="EH63" s="422"/>
      <x:c r="EI63" s="422"/>
      <x:c r="EJ63" s="422"/>
      <x:c r="EK63" s="420"/>
      <x:c r="EL63" s="420"/>
      <x:c r="EM63" s="420"/>
      <x:c r="EN63" s="420"/>
      <x:c r="EO63" s="419"/>
      <x:c r="EP63" s="420"/>
      <x:c r="EQ63" s="420"/>
      <x:c r="ER63" s="420"/>
      <x:c r="ES63" s="420"/>
      <x:c r="ET63" s="419"/>
      <x:c r="EU63" s="419"/>
      <x:c r="EV63" s="422"/>
      <x:c r="EW63" s="422"/>
      <x:c r="EX63" s="425"/>
      <x:c r="EY63" s="431"/>
      <x:c r="EZ63" s="415"/>
      <x:c r="FA63" s="428"/>
      <x:c r="FB63" s="432"/>
      <x:c r="FC63" s="433"/>
      <x:c r="FD63" s="641"/>
      <x:c r="FE63" s="642"/>
      <x:c r="FF63" s="969" t="b">
        <x:f t="shared" si="101"/>
        <x:v>0</x:v>
      </x:c>
      <x:c r="FG63" s="969" t="b">
        <x:f t="shared" si="102"/>
        <x:v>0</x:v>
      </x:c>
      <x:c r="FH63" s="969" t="b">
        <x:f t="shared" si="103"/>
        <x:v>0</x:v>
      </x:c>
      <x:c r="FI63" s="1158" t="b">
        <x:f t="shared" si="104"/>
        <x:v>0</x:v>
      </x:c>
      <x:c r="FJ63" s="1161" t="str">
        <x:f t="shared" si="113"/>
        <x:v/>
      </x:c>
      <x:c r="FK63" s="1160" t="str">
        <x:f t="shared" si="114"/>
        <x:v/>
      </x:c>
      <x:c r="FL63" s="388" t="e">
        <x:f t="shared" si="115"/>
        <x:v>#N/A</x:v>
      </x:c>
      <x:c r="FM63" s="380" t="str">
        <x:f t="shared" si="105"/>
        <x:v/>
      </x:c>
      <x:c r="FN63" s="337" t="str">
        <x:f t="shared" ca="1" si="116"/>
        <x:v/>
      </x:c>
      <x:c r="FO63" s="338" t="str">
        <x:f t="shared" ca="1" si="117"/>
        <x:v/>
      </x:c>
      <x:c r="FP63" s="339" t="str">
        <x:f t="shared" ca="1" si="118"/>
        <x:v/>
      </x:c>
      <x:c r="FQ63" s="339" t="str">
        <x:f t="shared" ca="1" si="119"/>
        <x:v/>
      </x:c>
      <x:c r="FR63" s="389">
        <x:f t="shared" ca="1" si="120"/>
        <x:v>0</x:v>
      </x:c>
      <x:c r="FS63" s="390">
        <x:f t="shared" ca="1" si="121"/>
        <x:v>0</x:v>
      </x:c>
      <x:c r="FT63" s="337" t="str">
        <x:f t="shared" ca="1" si="127"/>
        <x:v/>
      </x:c>
      <x:c r="FU63" s="340" t="str">
        <x:f t="shared" ca="1" si="128"/>
        <x:v/>
      </x:c>
      <x:c r="FV63" s="391" t="str">
        <x:f t="shared" ca="1" si="129"/>
        <x:v/>
      </x:c>
      <x:c r="FW63" s="341" t="str">
        <x:f t="shared" ca="1" si="122"/>
        <x:v/>
      </x:c>
      <x:c r="FX63" s="341" t="str">
        <x:f t="shared" ca="1" si="123"/>
        <x:v/>
      </x:c>
      <x:c r="FY63" s="341" t="str">
        <x:f t="shared" ca="1" si="130"/>
        <x:v/>
      </x:c>
      <x:c r="FZ63" s="341" t="str">
        <x:f t="shared" ca="1" si="124"/>
        <x:v/>
      </x:c>
      <x:c r="GA63" s="341" t="str">
        <x:f t="shared" ca="1" si="131"/>
        <x:v/>
      </x:c>
      <x:c r="GB63" s="342" t="str">
        <x:f ca="1">IF(FY63="","",2+SUM(FO63:OFFSET(FO63,(FU63-1)*-1,0)))</x:f>
        <x:v/>
      </x:c>
      <x:c r="GC63" s="384" t="e">
        <x:f t="shared" si="125"/>
        <x:v>#N/A</x:v>
      </x:c>
      <x:c r="GD63" s="392" t="str">
        <x:f t="shared" si="106"/>
        <x:v/>
      </x:c>
      <x:c r="GE63" s="393" t="str">
        <x:f t="shared" si="107"/>
        <x:v/>
      </x:c>
      <x:c r="GF63" s="343" t="str">
        <x:f t="shared" si="108"/>
        <x:v/>
      </x:c>
      <x:c r="GG63" s="344" t="str">
        <x:f t="shared" si="109"/>
        <x:v/>
      </x:c>
      <x:c r="GH63" s="344" t="str">
        <x:f t="shared" si="110"/>
        <x:v/>
      </x:c>
      <x:c r="GI63" s="345" t="str">
        <x:f t="shared" si="111"/>
        <x:v/>
      </x:c>
      <x:c r="GJ63" s="394">
        <x:f t="shared" ca="1" si="112"/>
        <x:v>0</x:v>
      </x:c>
      <x:c r="GK63" s="1154" t="str">
        <x:f t="shared" ca="1" si="126"/>
        <x:v>A</x:v>
      </x:c>
    </x:row>
    <x:row r="64" spans="1:222" ht="12.6" hidden="1" customHeight="1" x14ac:dyDescent="0.2">
      <x:c r="BZ64" s="360"/>
      <x:c r="CA64" s="434"/>
      <x:c r="CB64" s="414"/>
      <x:c r="CC64" s="415"/>
      <x:c r="CD64" s="416"/>
      <x:c r="CE64" s="416"/>
      <x:c r="CF64" s="416"/>
      <x:c r="CG64" s="416"/>
      <x:c r="CH64" s="416"/>
      <x:c r="CI64" s="416"/>
      <x:c r="CJ64" s="416"/>
      <x:c r="CK64" s="417"/>
      <x:c r="CL64" s="415"/>
      <x:c r="CM64" s="416"/>
      <x:c r="CN64" s="416"/>
      <x:c r="CO64" s="416"/>
      <x:c r="CP64" s="416"/>
      <x:c r="CQ64" s="416"/>
      <x:c r="CR64" s="416"/>
      <x:c r="CS64" s="416"/>
      <x:c r="CT64" s="417"/>
      <x:c r="CU64" s="418"/>
      <x:c r="CV64" s="419"/>
      <x:c r="CW64" s="419"/>
      <x:c r="CX64" s="419"/>
      <x:c r="CY64" s="420"/>
      <x:c r="CZ64" s="420"/>
      <x:c r="DA64" s="420"/>
      <x:c r="DB64" s="419"/>
      <x:c r="DC64" s="419"/>
      <x:c r="DD64" s="421"/>
      <x:c r="DE64" s="419"/>
      <x:c r="DF64" s="420"/>
      <x:c r="DG64" s="420"/>
      <x:c r="DH64" s="419"/>
      <x:c r="DI64" s="419"/>
      <x:c r="DJ64" s="421"/>
      <x:c r="DK64" s="419"/>
      <x:c r="DL64" s="419"/>
      <x:c r="DM64" s="419"/>
      <x:c r="DN64" s="419"/>
      <x:c r="DO64" s="419"/>
      <x:c r="DP64" s="419"/>
      <x:c r="DQ64" s="419"/>
      <x:c r="DR64" s="419"/>
      <x:c r="DS64" s="419"/>
      <x:c r="DT64" s="419"/>
      <x:c r="DU64" s="419"/>
      <x:c r="DV64" s="419"/>
      <x:c r="DW64" s="419"/>
      <x:c r="DX64" s="419"/>
      <x:c r="DY64" s="419"/>
      <x:c r="DZ64" s="419"/>
      <x:c r="EA64" s="419"/>
      <x:c r="EB64" s="422"/>
      <x:c r="EC64" s="423"/>
      <x:c r="ED64" s="422"/>
      <x:c r="EE64" s="422"/>
      <x:c r="EF64" s="422"/>
      <x:c r="EG64" s="422"/>
      <x:c r="EH64" s="422"/>
      <x:c r="EI64" s="422"/>
      <x:c r="EJ64" s="422"/>
      <x:c r="EK64" s="420"/>
      <x:c r="EL64" s="420"/>
      <x:c r="EM64" s="420"/>
      <x:c r="EN64" s="420"/>
      <x:c r="EO64" s="419"/>
      <x:c r="EP64" s="420"/>
      <x:c r="EQ64" s="420"/>
      <x:c r="ER64" s="420"/>
      <x:c r="ES64" s="420"/>
      <x:c r="ET64" s="419"/>
      <x:c r="EU64" s="419"/>
      <x:c r="EV64" s="422"/>
      <x:c r="EW64" s="422"/>
      <x:c r="EX64" s="425"/>
      <x:c r="EY64" s="431"/>
      <x:c r="EZ64" s="415"/>
      <x:c r="FA64" s="428"/>
      <x:c r="FB64" s="432"/>
      <x:c r="FC64" s="433"/>
      <x:c r="FD64" s="641"/>
      <x:c r="FE64" s="642"/>
      <x:c r="FF64" s="969" t="b">
        <x:f t="shared" si="101"/>
        <x:v>0</x:v>
      </x:c>
      <x:c r="FG64" s="969" t="b">
        <x:f t="shared" si="102"/>
        <x:v>0</x:v>
      </x:c>
      <x:c r="FH64" s="969" t="b">
        <x:f t="shared" si="103"/>
        <x:v>0</x:v>
      </x:c>
      <x:c r="FI64" s="1158" t="b">
        <x:f t="shared" si="104"/>
        <x:v>0</x:v>
      </x:c>
      <x:c r="FJ64" s="1161" t="str">
        <x:f t="shared" si="113"/>
        <x:v/>
      </x:c>
      <x:c r="FK64" s="1160" t="str">
        <x:f t="shared" si="114"/>
        <x:v/>
      </x:c>
      <x:c r="FL64" s="388" t="e">
        <x:f t="shared" si="115"/>
        <x:v>#N/A</x:v>
      </x:c>
      <x:c r="FM64" s="380" t="str">
        <x:f t="shared" si="105"/>
        <x:v/>
      </x:c>
      <x:c r="FN64" s="337" t="str">
        <x:f t="shared" ca="1" si="116"/>
        <x:v/>
      </x:c>
      <x:c r="FO64" s="338" t="str">
        <x:f t="shared" ca="1" si="117"/>
        <x:v/>
      </x:c>
      <x:c r="FP64" s="339" t="str">
        <x:f t="shared" ca="1" si="118"/>
        <x:v/>
      </x:c>
      <x:c r="FQ64" s="339" t="str">
        <x:f t="shared" ca="1" si="119"/>
        <x:v/>
      </x:c>
      <x:c r="FR64" s="389">
        <x:f t="shared" ca="1" si="120"/>
        <x:v>0</x:v>
      </x:c>
      <x:c r="FS64" s="390">
        <x:f t="shared" ca="1" si="121"/>
        <x:v>0</x:v>
      </x:c>
      <x:c r="FT64" s="337" t="str">
        <x:f t="shared" ca="1" si="127"/>
        <x:v/>
      </x:c>
      <x:c r="FU64" s="340" t="str">
        <x:f t="shared" ca="1" si="128"/>
        <x:v/>
      </x:c>
      <x:c r="FV64" s="391" t="str">
        <x:f t="shared" ca="1" si="129"/>
        <x:v/>
      </x:c>
      <x:c r="FW64" s="341" t="str">
        <x:f t="shared" ca="1" si="122"/>
        <x:v/>
      </x:c>
      <x:c r="FX64" s="341" t="str">
        <x:f t="shared" ca="1" si="123"/>
        <x:v/>
      </x:c>
      <x:c r="FY64" s="341" t="str">
        <x:f t="shared" ca="1" si="130"/>
        <x:v/>
      </x:c>
      <x:c r="FZ64" s="341" t="str">
        <x:f t="shared" ca="1" si="124"/>
        <x:v/>
      </x:c>
      <x:c r="GA64" s="341" t="str">
        <x:f t="shared" ca="1" si="131"/>
        <x:v/>
      </x:c>
      <x:c r="GB64" s="342" t="str">
        <x:f ca="1">IF(FY64="","",2+SUM(FO64:OFFSET(FO64,(FU64-1)*-1,0)))</x:f>
        <x:v/>
      </x:c>
      <x:c r="GC64" s="384" t="e">
        <x:f t="shared" si="125"/>
        <x:v>#N/A</x:v>
      </x:c>
      <x:c r="GD64" s="392" t="str">
        <x:f t="shared" si="106"/>
        <x:v/>
      </x:c>
      <x:c r="GE64" s="393" t="str">
        <x:f t="shared" si="107"/>
        <x:v/>
      </x:c>
      <x:c r="GF64" s="343" t="str">
        <x:f t="shared" si="108"/>
        <x:v/>
      </x:c>
      <x:c r="GG64" s="344" t="str">
        <x:f t="shared" si="109"/>
        <x:v/>
      </x:c>
      <x:c r="GH64" s="344" t="str">
        <x:f t="shared" si="110"/>
        <x:v/>
      </x:c>
      <x:c r="GI64" s="345" t="str">
        <x:f t="shared" si="111"/>
        <x:v/>
      </x:c>
      <x:c r="GJ64" s="394">
        <x:f t="shared" ca="1" si="112"/>
        <x:v>0</x:v>
      </x:c>
      <x:c r="GK64" s="1154" t="str">
        <x:f t="shared" ca="1" si="126"/>
        <x:v/>
      </x:c>
    </x:row>
    <x:row r="65" spans="78:193" ht="12.6" hidden="1" customHeight="1" x14ac:dyDescent="0.2">
      <x:c r="BZ65" s="360"/>
      <x:c r="CA65" s="434"/>
      <x:c r="CB65" s="414"/>
      <x:c r="CC65" s="415"/>
      <x:c r="CD65" s="416"/>
      <x:c r="CE65" s="416"/>
      <x:c r="CF65" s="416"/>
      <x:c r="CG65" s="416"/>
      <x:c r="CH65" s="416"/>
      <x:c r="CI65" s="416"/>
      <x:c r="CJ65" s="416"/>
      <x:c r="CK65" s="417"/>
      <x:c r="CL65" s="415"/>
      <x:c r="CM65" s="416"/>
      <x:c r="CN65" s="416"/>
      <x:c r="CO65" s="416"/>
      <x:c r="CP65" s="416"/>
      <x:c r="CQ65" s="416"/>
      <x:c r="CR65" s="416"/>
      <x:c r="CS65" s="416"/>
      <x:c r="CT65" s="417"/>
      <x:c r="CU65" s="418"/>
      <x:c r="CV65" s="419"/>
      <x:c r="CW65" s="419"/>
      <x:c r="CX65" s="419"/>
      <x:c r="CY65" s="420"/>
      <x:c r="CZ65" s="420"/>
      <x:c r="DA65" s="420"/>
      <x:c r="DB65" s="419"/>
      <x:c r="DC65" s="419"/>
      <x:c r="DD65" s="421"/>
      <x:c r="DE65" s="419"/>
      <x:c r="DF65" s="420"/>
      <x:c r="DG65" s="420"/>
      <x:c r="DH65" s="419"/>
      <x:c r="DI65" s="419"/>
      <x:c r="DJ65" s="421"/>
      <x:c r="DK65" s="419"/>
      <x:c r="DL65" s="419"/>
      <x:c r="DM65" s="419"/>
      <x:c r="DN65" s="419"/>
      <x:c r="DO65" s="419"/>
      <x:c r="DP65" s="419"/>
      <x:c r="DQ65" s="419"/>
      <x:c r="DR65" s="419"/>
      <x:c r="DS65" s="419"/>
      <x:c r="DT65" s="419"/>
      <x:c r="DU65" s="419"/>
      <x:c r="DV65" s="419"/>
      <x:c r="DW65" s="419"/>
      <x:c r="DX65" s="419"/>
      <x:c r="DY65" s="419"/>
      <x:c r="DZ65" s="419"/>
      <x:c r="EA65" s="419"/>
      <x:c r="EB65" s="422"/>
      <x:c r="EC65" s="423"/>
      <x:c r="ED65" s="422"/>
      <x:c r="EE65" s="422"/>
      <x:c r="EF65" s="422"/>
      <x:c r="EG65" s="422"/>
      <x:c r="EH65" s="422"/>
      <x:c r="EI65" s="422"/>
      <x:c r="EJ65" s="422"/>
      <x:c r="EK65" s="420"/>
      <x:c r="EL65" s="420"/>
      <x:c r="EM65" s="420"/>
      <x:c r="EN65" s="420"/>
      <x:c r="EO65" s="419"/>
      <x:c r="EP65" s="420"/>
      <x:c r="EQ65" s="420"/>
      <x:c r="ER65" s="420"/>
      <x:c r="ES65" s="420"/>
      <x:c r="ET65" s="419"/>
      <x:c r="EU65" s="419"/>
      <x:c r="EV65" s="422"/>
      <x:c r="EW65" s="422"/>
      <x:c r="EX65" s="425"/>
      <x:c r="EY65" s="431"/>
      <x:c r="EZ65" s="415"/>
      <x:c r="FA65" s="428"/>
      <x:c r="FB65" s="432"/>
      <x:c r="FC65" s="433"/>
      <x:c r="FD65" s="641"/>
      <x:c r="FE65" s="642"/>
      <x:c r="FF65" s="969" t="b">
        <x:f t="shared" si="101"/>
        <x:v>0</x:v>
      </x:c>
      <x:c r="FG65" s="969" t="b">
        <x:f t="shared" si="102"/>
        <x:v>0</x:v>
      </x:c>
      <x:c r="FH65" s="969" t="b">
        <x:f t="shared" si="103"/>
        <x:v>0</x:v>
      </x:c>
      <x:c r="FI65" s="1158" t="b">
        <x:f t="shared" si="104"/>
        <x:v>0</x:v>
      </x:c>
      <x:c r="FJ65" s="1161" t="str">
        <x:f t="shared" si="113"/>
        <x:v/>
      </x:c>
      <x:c r="FK65" s="1160" t="str">
        <x:f t="shared" si="114"/>
        <x:v/>
      </x:c>
      <x:c r="FL65" s="388" t="e">
        <x:f t="shared" si="115"/>
        <x:v>#N/A</x:v>
      </x:c>
      <x:c r="FM65" s="380" t="str">
        <x:f t="shared" si="105"/>
        <x:v/>
      </x:c>
      <x:c r="FN65" s="337" t="str">
        <x:f t="shared" ca="1" si="116"/>
        <x:v/>
      </x:c>
      <x:c r="FO65" s="338" t="str">
        <x:f t="shared" ca="1" si="117"/>
        <x:v/>
      </x:c>
      <x:c r="FP65" s="339" t="str">
        <x:f t="shared" ca="1" si="118"/>
        <x:v/>
      </x:c>
      <x:c r="FQ65" s="339" t="str">
        <x:f t="shared" ca="1" si="119"/>
        <x:v/>
      </x:c>
      <x:c r="FR65" s="389">
        <x:f t="shared" ca="1" si="120"/>
        <x:v>0</x:v>
      </x:c>
      <x:c r="FS65" s="390">
        <x:f t="shared" ca="1" si="121"/>
        <x:v>0</x:v>
      </x:c>
      <x:c r="FT65" s="337" t="str">
        <x:f t="shared" ca="1" si="127"/>
        <x:v/>
      </x:c>
      <x:c r="FU65" s="340" t="str">
        <x:f t="shared" ca="1" si="128"/>
        <x:v/>
      </x:c>
      <x:c r="FV65" s="391" t="str">
        <x:f t="shared" ca="1" si="129"/>
        <x:v/>
      </x:c>
      <x:c r="FW65" s="341" t="str">
        <x:f t="shared" ca="1" si="122"/>
        <x:v/>
      </x:c>
      <x:c r="FX65" s="341" t="str">
        <x:f t="shared" ca="1" si="123"/>
        <x:v/>
      </x:c>
      <x:c r="FY65" s="341" t="str">
        <x:f t="shared" ca="1" si="130"/>
        <x:v/>
      </x:c>
      <x:c r="FZ65" s="341" t="str">
        <x:f t="shared" ca="1" si="124"/>
        <x:v/>
      </x:c>
      <x:c r="GA65" s="341" t="str">
        <x:f t="shared" ca="1" si="131"/>
        <x:v/>
      </x:c>
      <x:c r="GB65" s="342" t="str">
        <x:f ca="1">IF(FY65="","",2+SUM(FO65:OFFSET(FO65,(FU65-1)*-1,0)))</x:f>
        <x:v/>
      </x:c>
      <x:c r="GC65" s="384" t="e">
        <x:f t="shared" si="125"/>
        <x:v>#N/A</x:v>
      </x:c>
      <x:c r="GD65" s="392" t="str">
        <x:f t="shared" si="106"/>
        <x:v/>
      </x:c>
      <x:c r="GE65" s="393" t="str">
        <x:f t="shared" si="107"/>
        <x:v/>
      </x:c>
      <x:c r="GF65" s="343" t="str">
        <x:f t="shared" si="108"/>
        <x:v/>
      </x:c>
      <x:c r="GG65" s="344" t="str">
        <x:f t="shared" si="109"/>
        <x:v/>
      </x:c>
      <x:c r="GH65" s="344" t="str">
        <x:f t="shared" si="110"/>
        <x:v/>
      </x:c>
      <x:c r="GI65" s="345" t="str">
        <x:f t="shared" si="111"/>
        <x:v/>
      </x:c>
      <x:c r="GJ65" s="394">
        <x:f t="shared" ca="1" si="112"/>
        <x:v>0</x:v>
      </x:c>
      <x:c r="GK65" s="1154" t="str">
        <x:f t="shared" ca="1" si="126"/>
        <x:v/>
      </x:c>
    </x:row>
    <x:row r="66" spans="78:193" ht="12.6" hidden="1" customHeight="1" x14ac:dyDescent="0.2">
      <x:c r="BZ66" s="360"/>
      <x:c r="CA66" s="434"/>
      <x:c r="CB66" s="414"/>
      <x:c r="CC66" s="415"/>
      <x:c r="CD66" s="416"/>
      <x:c r="CE66" s="416"/>
      <x:c r="CF66" s="416"/>
      <x:c r="CG66" s="416"/>
      <x:c r="CH66" s="416"/>
      <x:c r="CI66" s="416"/>
      <x:c r="CJ66" s="416"/>
      <x:c r="CK66" s="417"/>
      <x:c r="CL66" s="415"/>
      <x:c r="CM66" s="416"/>
      <x:c r="CN66" s="416"/>
      <x:c r="CO66" s="416"/>
      <x:c r="CP66" s="416"/>
      <x:c r="CQ66" s="416"/>
      <x:c r="CR66" s="416"/>
      <x:c r="CS66" s="416"/>
      <x:c r="CT66" s="417"/>
      <x:c r="CU66" s="418"/>
      <x:c r="CV66" s="419"/>
      <x:c r="CW66" s="419"/>
      <x:c r="CX66" s="419"/>
      <x:c r="CY66" s="420"/>
      <x:c r="CZ66" s="420"/>
      <x:c r="DA66" s="420"/>
      <x:c r="DB66" s="419"/>
      <x:c r="DC66" s="419"/>
      <x:c r="DD66" s="421"/>
      <x:c r="DE66" s="419"/>
      <x:c r="DF66" s="420"/>
      <x:c r="DG66" s="420"/>
      <x:c r="DH66" s="419"/>
      <x:c r="DI66" s="419"/>
      <x:c r="DJ66" s="421"/>
      <x:c r="DK66" s="419"/>
      <x:c r="DL66" s="419"/>
      <x:c r="DM66" s="419"/>
      <x:c r="DN66" s="419"/>
      <x:c r="DO66" s="419"/>
      <x:c r="DP66" s="419"/>
      <x:c r="DQ66" s="419"/>
      <x:c r="DR66" s="419"/>
      <x:c r="DS66" s="419"/>
      <x:c r="DT66" s="419"/>
      <x:c r="DU66" s="419"/>
      <x:c r="DV66" s="419"/>
      <x:c r="DW66" s="419"/>
      <x:c r="DX66" s="419"/>
      <x:c r="DY66" s="419"/>
      <x:c r="DZ66" s="419"/>
      <x:c r="EA66" s="419"/>
      <x:c r="EB66" s="422"/>
      <x:c r="EC66" s="423"/>
      <x:c r="ED66" s="422"/>
      <x:c r="EE66" s="422"/>
      <x:c r="EF66" s="422"/>
      <x:c r="EG66" s="422"/>
      <x:c r="EH66" s="422"/>
      <x:c r="EI66" s="422"/>
      <x:c r="EJ66" s="422"/>
      <x:c r="EK66" s="420"/>
      <x:c r="EL66" s="420"/>
      <x:c r="EM66" s="420"/>
      <x:c r="EN66" s="420"/>
      <x:c r="EO66" s="419"/>
      <x:c r="EP66" s="420"/>
      <x:c r="EQ66" s="420"/>
      <x:c r="ER66" s="420"/>
      <x:c r="ES66" s="420"/>
      <x:c r="ET66" s="419"/>
      <x:c r="EU66" s="419"/>
      <x:c r="EV66" s="422"/>
      <x:c r="EW66" s="422"/>
      <x:c r="EX66" s="425"/>
      <x:c r="EY66" s="431"/>
      <x:c r="EZ66" s="415"/>
      <x:c r="FA66" s="428"/>
      <x:c r="FB66" s="432"/>
      <x:c r="FC66" s="433"/>
      <x:c r="FD66" s="641"/>
      <x:c r="FE66" s="642"/>
      <x:c r="FF66" s="969" t="b">
        <x:f t="shared" si="101"/>
        <x:v>0</x:v>
      </x:c>
      <x:c r="FG66" s="969" t="b">
        <x:f t="shared" si="102"/>
        <x:v>0</x:v>
      </x:c>
      <x:c r="FH66" s="969" t="b">
        <x:f t="shared" si="103"/>
        <x:v>0</x:v>
      </x:c>
      <x:c r="FI66" s="1158" t="b">
        <x:f t="shared" si="104"/>
        <x:v>0</x:v>
      </x:c>
      <x:c r="FJ66" s="1161" t="str">
        <x:f t="shared" si="113"/>
        <x:v/>
      </x:c>
      <x:c r="FK66" s="1160" t="str">
        <x:f t="shared" si="114"/>
        <x:v/>
      </x:c>
      <x:c r="FL66" s="388" t="e">
        <x:f t="shared" si="115"/>
        <x:v>#N/A</x:v>
      </x:c>
      <x:c r="FM66" s="380" t="str">
        <x:f t="shared" si="105"/>
        <x:v/>
      </x:c>
      <x:c r="FN66" s="337" t="str">
        <x:f t="shared" ca="1" si="116"/>
        <x:v/>
      </x:c>
      <x:c r="FO66" s="338" t="str">
        <x:f t="shared" ca="1" si="117"/>
        <x:v/>
      </x:c>
      <x:c r="FP66" s="339" t="str">
        <x:f t="shared" ca="1" si="118"/>
        <x:v/>
      </x:c>
      <x:c r="FQ66" s="339" t="str">
        <x:f t="shared" ca="1" si="119"/>
        <x:v/>
      </x:c>
      <x:c r="FR66" s="389">
        <x:f t="shared" ca="1" si="120"/>
        <x:v>0</x:v>
      </x:c>
      <x:c r="FS66" s="390">
        <x:f t="shared" ca="1" si="121"/>
        <x:v>0</x:v>
      </x:c>
      <x:c r="FT66" s="337" t="str">
        <x:f t="shared" ca="1" si="127"/>
        <x:v/>
      </x:c>
      <x:c r="FU66" s="340" t="str">
        <x:f t="shared" ca="1" si="128"/>
        <x:v/>
      </x:c>
      <x:c r="FV66" s="391" t="str">
        <x:f t="shared" ca="1" si="129"/>
        <x:v/>
      </x:c>
      <x:c r="FW66" s="341" t="str">
        <x:f t="shared" ca="1" si="122"/>
        <x:v/>
      </x:c>
      <x:c r="FX66" s="341" t="str">
        <x:f t="shared" ca="1" si="123"/>
        <x:v/>
      </x:c>
      <x:c r="FY66" s="341" t="str">
        <x:f t="shared" ca="1" si="130"/>
        <x:v/>
      </x:c>
      <x:c r="FZ66" s="341" t="str">
        <x:f t="shared" ca="1" si="124"/>
        <x:v/>
      </x:c>
      <x:c r="GA66" s="341" t="str">
        <x:f t="shared" ca="1" si="131"/>
        <x:v/>
      </x:c>
      <x:c r="GB66" s="342" t="str">
        <x:f ca="1">IF(FY66="","",2+SUM(FO66:OFFSET(FO66,(FU66-1)*-1,0)))</x:f>
        <x:v/>
      </x:c>
      <x:c r="GC66" s="384" t="e">
        <x:f t="shared" si="125"/>
        <x:v>#N/A</x:v>
      </x:c>
      <x:c r="GD66" s="392" t="str">
        <x:f t="shared" si="106"/>
        <x:v/>
      </x:c>
      <x:c r="GE66" s="393" t="str">
        <x:f t="shared" si="107"/>
        <x:v/>
      </x:c>
      <x:c r="GF66" s="343" t="str">
        <x:f t="shared" si="108"/>
        <x:v/>
      </x:c>
      <x:c r="GG66" s="344" t="str">
        <x:f t="shared" si="109"/>
        <x:v/>
      </x:c>
      <x:c r="GH66" s="344" t="str">
        <x:f t="shared" si="110"/>
        <x:v/>
      </x:c>
      <x:c r="GI66" s="345" t="str">
        <x:f t="shared" si="111"/>
        <x:v/>
      </x:c>
      <x:c r="GJ66" s="394">
        <x:f t="shared" ca="1" si="112"/>
        <x:v>0</x:v>
      </x:c>
      <x:c r="GK66" s="1154" t="str">
        <x:f t="shared" ca="1" si="126"/>
        <x:v/>
      </x:c>
    </x:row>
    <x:row r="67" spans="78:193" ht="12.6" hidden="1" customHeight="1" x14ac:dyDescent="0.2">
      <x:c r="BZ67" s="360"/>
      <x:c r="CA67" s="360"/>
      <x:c r="CB67" s="414"/>
      <x:c r="CC67" s="415"/>
      <x:c r="CD67" s="416"/>
      <x:c r="CE67" s="416"/>
      <x:c r="CF67" s="416"/>
      <x:c r="CG67" s="416"/>
      <x:c r="CH67" s="416"/>
      <x:c r="CI67" s="416"/>
      <x:c r="CJ67" s="416"/>
      <x:c r="CK67" s="417"/>
      <x:c r="CL67" s="415"/>
      <x:c r="CM67" s="416"/>
      <x:c r="CN67" s="416"/>
      <x:c r="CO67" s="416"/>
      <x:c r="CP67" s="416"/>
      <x:c r="CQ67" s="416"/>
      <x:c r="CR67" s="416"/>
      <x:c r="CS67" s="416"/>
      <x:c r="CT67" s="417"/>
      <x:c r="CU67" s="418"/>
      <x:c r="CV67" s="419"/>
      <x:c r="CW67" s="419"/>
      <x:c r="CX67" s="419"/>
      <x:c r="CY67" s="420"/>
      <x:c r="CZ67" s="420"/>
      <x:c r="DA67" s="420"/>
      <x:c r="DB67" s="419"/>
      <x:c r="DC67" s="419"/>
      <x:c r="DD67" s="421"/>
      <x:c r="DE67" s="419"/>
      <x:c r="DF67" s="420"/>
      <x:c r="DG67" s="420"/>
      <x:c r="DH67" s="419"/>
      <x:c r="DI67" s="419"/>
      <x:c r="DJ67" s="421"/>
      <x:c r="DK67" s="419"/>
      <x:c r="DL67" s="419"/>
      <x:c r="DM67" s="419"/>
      <x:c r="DN67" s="419"/>
      <x:c r="DO67" s="419"/>
      <x:c r="DP67" s="419"/>
      <x:c r="DQ67" s="419"/>
      <x:c r="DR67" s="419"/>
      <x:c r="DS67" s="419"/>
      <x:c r="DT67" s="419"/>
      <x:c r="DU67" s="419"/>
      <x:c r="DV67" s="419"/>
      <x:c r="DW67" s="419"/>
      <x:c r="DX67" s="419"/>
      <x:c r="DY67" s="419"/>
      <x:c r="DZ67" s="419"/>
      <x:c r="EA67" s="419"/>
      <x:c r="EB67" s="422"/>
      <x:c r="EC67" s="423"/>
      <x:c r="ED67" s="422"/>
      <x:c r="EE67" s="422"/>
      <x:c r="EF67" s="422"/>
      <x:c r="EG67" s="422"/>
      <x:c r="EH67" s="422"/>
      <x:c r="EI67" s="422"/>
      <x:c r="EJ67" s="422"/>
      <x:c r="EK67" s="420"/>
      <x:c r="EL67" s="420"/>
      <x:c r="EM67" s="420"/>
      <x:c r="EN67" s="420"/>
      <x:c r="EO67" s="419"/>
      <x:c r="EP67" s="420"/>
      <x:c r="EQ67" s="420"/>
      <x:c r="ER67" s="420"/>
      <x:c r="ES67" s="420"/>
      <x:c r="ET67" s="419"/>
      <x:c r="EU67" s="419"/>
      <x:c r="EV67" s="422"/>
      <x:c r="EW67" s="422"/>
      <x:c r="EX67" s="425"/>
      <x:c r="EY67" s="431"/>
      <x:c r="EZ67" s="415"/>
      <x:c r="FA67" s="428"/>
      <x:c r="FB67" s="432"/>
      <x:c r="FC67" s="433"/>
      <x:c r="FD67" s="641"/>
      <x:c r="FE67" s="642"/>
      <x:c r="FF67" s="969" t="b">
        <x:f t="shared" si="101"/>
        <x:v>0</x:v>
      </x:c>
      <x:c r="FG67" s="969" t="b">
        <x:f t="shared" si="102"/>
        <x:v>0</x:v>
      </x:c>
      <x:c r="FH67" s="969" t="b">
        <x:f t="shared" si="103"/>
        <x:v>0</x:v>
      </x:c>
      <x:c r="FI67" s="1158" t="b">
        <x:f t="shared" si="104"/>
        <x:v>0</x:v>
      </x:c>
      <x:c r="FJ67" s="1161" t="str">
        <x:f t="shared" si="113"/>
        <x:v/>
      </x:c>
      <x:c r="FK67" s="1160" t="str">
        <x:f t="shared" si="114"/>
        <x:v/>
      </x:c>
      <x:c r="FL67" s="388" t="e">
        <x:f t="shared" si="115"/>
        <x:v>#N/A</x:v>
      </x:c>
      <x:c r="FM67" s="380" t="str">
        <x:f t="shared" si="105"/>
        <x:v/>
      </x:c>
      <x:c r="FN67" s="337" t="str">
        <x:f t="shared" ca="1" si="116"/>
        <x:v/>
      </x:c>
      <x:c r="FO67" s="338" t="str">
        <x:f t="shared" ca="1" si="117"/>
        <x:v/>
      </x:c>
      <x:c r="FP67" s="339" t="str">
        <x:f t="shared" ca="1" si="118"/>
        <x:v/>
      </x:c>
      <x:c r="FQ67" s="339" t="str">
        <x:f t="shared" ca="1" si="119"/>
        <x:v/>
      </x:c>
      <x:c r="FR67" s="389">
        <x:f t="shared" ca="1" si="120"/>
        <x:v>0</x:v>
      </x:c>
      <x:c r="FS67" s="390">
        <x:f t="shared" ca="1" si="121"/>
        <x:v>0</x:v>
      </x:c>
      <x:c r="FT67" s="337" t="str">
        <x:f t="shared" ca="1" si="127"/>
        <x:v/>
      </x:c>
      <x:c r="FU67" s="340" t="str">
        <x:f t="shared" ca="1" si="128"/>
        <x:v/>
      </x:c>
      <x:c r="FV67" s="391" t="str">
        <x:f t="shared" ca="1" si="129"/>
        <x:v/>
      </x:c>
      <x:c r="FW67" s="341" t="str">
        <x:f t="shared" ca="1" si="122"/>
        <x:v/>
      </x:c>
      <x:c r="FX67" s="341" t="str">
        <x:f t="shared" ca="1" si="123"/>
        <x:v/>
      </x:c>
      <x:c r="FY67" s="341" t="str">
        <x:f t="shared" ca="1" si="130"/>
        <x:v/>
      </x:c>
      <x:c r="FZ67" s="341" t="str">
        <x:f t="shared" ca="1" si="124"/>
        <x:v/>
      </x:c>
      <x:c r="GA67" s="341" t="str">
        <x:f t="shared" ca="1" si="131"/>
        <x:v/>
      </x:c>
      <x:c r="GB67" s="342" t="str">
        <x:f ca="1">IF(FY67="","",2+SUM(FO67:OFFSET(FO67,(FU67-1)*-1,0)))</x:f>
        <x:v/>
      </x:c>
      <x:c r="GC67" s="384" t="e">
        <x:f t="shared" si="125"/>
        <x:v>#N/A</x:v>
      </x:c>
      <x:c r="GD67" s="392" t="str">
        <x:f t="shared" si="106"/>
        <x:v/>
      </x:c>
      <x:c r="GE67" s="393" t="str">
        <x:f t="shared" si="107"/>
        <x:v/>
      </x:c>
      <x:c r="GF67" s="343" t="str">
        <x:f t="shared" si="108"/>
        <x:v/>
      </x:c>
      <x:c r="GG67" s="344" t="str">
        <x:f t="shared" si="109"/>
        <x:v/>
      </x:c>
      <x:c r="GH67" s="344" t="str">
        <x:f t="shared" si="110"/>
        <x:v/>
      </x:c>
      <x:c r="GI67" s="345" t="str">
        <x:f t="shared" si="111"/>
        <x:v/>
      </x:c>
      <x:c r="GJ67" s="394">
        <x:f t="shared" ca="1" si="112"/>
        <x:v>0</x:v>
      </x:c>
      <x:c r="GK67" s="1154" t="str">
        <x:f t="shared" ca="1" si="126"/>
        <x:v>A</x:v>
      </x:c>
    </x:row>
    <x:row r="68" spans="78:193" ht="12.6" hidden="1" customHeight="1" x14ac:dyDescent="0.2">
      <x:c r="BZ68" s="360"/>
      <x:c r="CA68" s="360"/>
      <x:c r="CB68" s="435" t="str">
        <x:f t="shared" ref="CB68:CB85" si="132">IF(CB28="","",CB28)</x:f>
        <x:v/>
      </x:c>
      <x:c r="CC68" s="436" t="str">
        <x:f>IF(CG28="","",VLOOKUP(CG28,SectInfo!$B:$N,12,FALSE))</x:f>
        <x:v/>
      </x:c>
      <x:c r="CD68" s="1172" t="str">
        <x:f>IF(ISBLANK(CZ28),IF(CG28="","",VLOOKUP(CG28,SectInfo!$B:$N,13,FALSE)),CZ28)</x:f>
        <x:v/>
      </x:c>
      <x:c r="CE68" s="437" t="str">
        <x:f>IF(CG28="","",IF(VLOOKUP(CG28,SectInfo!$B:$N,5,FALSE)="","R",UPPER(VLOOKUP(CG28,SectInfo!$B:$N,5,FALSE))))</x:f>
        <x:v/>
      </x:c>
      <x:c r="CF68" s="1172" t="str">
        <x:f>IF(ISBLANK(DD28),IF(CG28="","",VLOOKUP(CG28,SectInfo!$B:$N,6,FALSE)),DD28)</x:f>
        <x:v/>
      </x:c>
      <x:c r="CG68" s="437" t="str">
        <x:f>IF(CG28="","",IF(VLOOKUP(CG28,SectInfo!$B:$N,10,FALSE)="","",(VLOOKUP(CG28,SectInfo!$B:$N,10,FALSE)*-1)))</x:f>
        <x:v/>
      </x:c>
      <x:c r="CH68" s="437" t="str">
        <x:f>IF(CG28="","",IF(VLOOKUP(CG28,SectInfo!$B:$N,7,FALSE)="","",(VLOOKUP(CG28,SectInfo!$B:$N,7,FALSE)*-1)))</x:f>
        <x:v/>
      </x:c>
      <x:c r="CI68" s="437" t="str">
        <x:f>IF(CG28="","",IF(VLOOKUP(CG28,SectInfo!$B:$N,8,FALSE)="",$FC$4,(VLOOKUP(CG28,SectInfo!$B:$N,8,FALSE))))</x:f>
        <x:v/>
      </x:c>
      <x:c r="CJ68" s="437" t="str">
        <x:f>IF(CG28="","",VLOOKUP(CG28,SectInfo!$B:$N,9,FALSE))</x:f>
        <x:v/>
      </x:c>
      <x:c r="CK68" s="438">
        <x:f>CM28*-1</x:f>
        <x:v>0</x:v>
      </x:c>
      <x:c r="CL68" s="436" t="str">
        <x:f>IF(CN28="","",VLOOKUP(CN28,SectInfo!$B:$N,12,FALSE))</x:f>
        <x:v/>
      </x:c>
      <x:c r="CM68" s="1172" t="str">
        <x:f>IF(ISBLANK(DA28),IF(CN28="","",VLOOKUP(CN28,SectInfo!$B:$N,13,FALSE)),DA28)</x:f>
        <x:v/>
      </x:c>
      <x:c r="CN68" s="437" t="str">
        <x:f>IF(CN28="","",IF(VLOOKUP(CN28,SectInfo!$B:$N,5,FALSE)="","R",UPPER(VLOOKUP(CN28,SectInfo!$B:$N,5,FALSE))))</x:f>
        <x:v/>
      </x:c>
      <x:c r="CO68" s="1172" t="str">
        <x:f>IF(ISBLANK(DE28),IF(CN28="","",VLOOKUP(CN28,SectInfo!$B:$N,6,FALSE)),DE28)</x:f>
        <x:v/>
      </x:c>
      <x:c r="CP68" s="437" t="str">
        <x:f>IF(CN28="","",IF(VLOOKUP(CN28,SectInfo!$B:$N,10,FALSE)="","",(VLOOKUP(CN28,SectInfo!$B:$N,10,FALSE)*-1)))</x:f>
        <x:v/>
      </x:c>
      <x:c r="CQ68" s="437" t="str">
        <x:f>IF(CN28="","",IF(VLOOKUP(CN28,SectInfo!$B:$N,7,FALSE)="","",(VLOOKUP(CN28,SectInfo!$B:$N,7,FALSE)*-1)))</x:f>
        <x:v/>
      </x:c>
      <x:c r="CR68" s="437" t="str">
        <x:f>IF(CN28="","",IF(VLOOKUP(CN28,SectInfo!$B:$N,8,FALSE)="",$FC$4,(VLOOKUP(CN28,SectInfo!$B:$N,8,FALSE))))</x:f>
        <x:v/>
      </x:c>
      <x:c r="CS68" s="437" t="str">
        <x:f>IF(CN28="","",VLOOKUP(CN28,SectInfo!$B:$N,9,FALSE))</x:f>
        <x:v/>
      </x:c>
      <x:c r="CT68" s="438">
        <x:f>CT28*-1</x:f>
        <x:v>0</x:v>
      </x:c>
      <x:c r="CU68" s="439">
        <x:f t="shared" ref="CU68:CU85" si="133">IF(CU28="",0,ATAN(CU28/12))</x:f>
        <x:v>0</x:v>
      </x:c>
      <x:c r="CV68" s="339" t="str">
        <x:f>IF(OR(CD68="",CE28="",CM68=""),"",CEILING(IF(AND(CE28="",CF28=""),"",((CE28*12+CF28)+CD68+CM68)/COS(EU68))-0.0625,0.125))</x:f>
        <x:v/>
      </x:c>
      <x:c r="CW68" s="339" t="str">
        <x:f t="shared" ref="CW68:CW85" si="134">IF(CF68="","",IF(ABS(EM68)&lt;ABS($FA$2),CF68,IF(EM68=0,CF68,CEILING((CF68+((DC68-CD68)/12)*EM68)-0.0625,0.125))))</x:f>
        <x:v/>
      </x:c>
      <x:c r="CX68" s="1108" t="str">
        <x:f t="shared" ref="CX68:CX85" si="135">IF(CO68="","",IF(ABS(ER68)&lt;ABS($FA$2),CO68,IF(ER68=0,CO68,CEILING((CO68+((DI68-CM68)/12)*ER68)-0.0625,0.125))))</x:f>
        <x:v/>
      </x:c>
      <x:c r="CY68" s="1109">
        <x:f>RADIANS(ABS(CL28))</x:f>
        <x:v>0</x:v>
      </x:c>
      <x:c r="CZ68" s="1109">
        <x:f t="shared" ref="CZ68:CZ85" si="136">MIN(IF(CH28&gt;0,CH28/2,MAX(CI28/2,CJ68)),IF(CI28&gt;0,CI28/2,MAX(CH28/2,CJ68)),IF(CJ68&gt;0,CJ68,MAX(CI28/2,CH28/2)))/IF(OR(CC68="C",AND(CC68="M",$FG$1="N")),1,COS(CY68))</x:f>
        <x:v>0</x:v>
      </x:c>
      <x:c r="DA68" s="1109" t="str">
        <x:f t="shared" ref="DA68:DA85" si="137">IF(CD68="","",IF(CJ68&gt;=0,MAX(CH28/2,CI28/2,CJ68),CJ68)/IF(OR(CC68="C",AND(CC68="M",$FG$1="N")),1,COS(CY68)))</x:f>
        <x:v/>
      </x:c>
      <x:c r="DB68" s="1125" t="str">
        <x:f>IF(CD68="","",CD68+DA68+($EY$4*TAN(CY68)))</x:f>
        <x:v/>
      </x:c>
      <x:c r="DC68" s="1125" t="str">
        <x:f>IF(CD68="","",IF(NOT(ISBLANK(DB28)),CD68-DB28,MAX(IF(AND(CZ68&gt;=$FB$4,DA68&lt;=$FA$4,OR($FA$1=1,$FA$1=4)),CD68,IF(OR($FA$1=3,$FA$1=4),DB68-$FA$4,DB68+MAX(($FA$4-$FB$4)-(DA68-CZ68)-$EY$4/2*TAN(CY68),0)-$FA$4))-EO68,0)))</x:f>
        <x:v/>
      </x:c>
      <x:c r="DD68" s="1110">
        <x:f>IF(CD68="",0,IF(DC68/COS(EU68)&lt;0.0625,0,CEILING(DC68/COS(EU68)-0.03125,0.125)))</x:f>
        <x:v>0</x:v>
      </x:c>
      <x:c r="DE68" s="1108">
        <x:f>RADIANS(ABS(CS28))</x:f>
        <x:v>0</x:v>
      </x:c>
      <x:c r="DF68" s="1109">
        <x:f t="shared" ref="DF68:DF85" si="138">MIN(IF(CO28&gt;0,CO28/2,MAX(CP28/2,CS68)),IF(CP28&gt;0,CP28/2,MAX(CO28/2,CS68)),IF(CS68&gt;0,CS68,MAX(CP28/2,CO28/2)))/IF(OR(CL68="C",AND(CL68="M",$FG$1="N")),1,COS(DE68))</x:f>
        <x:v>0</x:v>
      </x:c>
      <x:c r="DG68" s="1109" t="str">
        <x:f t="shared" ref="DG68:DG85" si="139">IF(CM68="","",IF(CS68&gt;=0,MAX(CO28/2,CP28/2,CS68),CS68)/IF(OR(CL68="C",AND(CL68="M",$FG$1="N")),1,COS(DE68)))</x:f>
        <x:v/>
      </x:c>
      <x:c r="DH68" s="1125" t="str">
        <x:f>IF(CM68="","",CM68+DG68+($EY$4*TAN(DE68)))</x:f>
        <x:v/>
      </x:c>
      <x:c r="DI68" s="1125" t="str">
        <x:f>IF(CM68="","",IF(NOT(ISBLANK(DC28)),CM68-DC28,MAX(IF(AND(DF68&gt;=$FB$4,DG68&lt;=$FA$4,OR($FA$1=1,$FA$1=4)),CM68,IF(OR($FA$1=3,$FA$1=4),DH68-$FA$4,DH68+MAX(($FA$4-$FB$4)-(DG68-DF68)-$EY$4/2*TAN(DE68),0)-$FA$4))-ET68,0)-DC28))</x:f>
        <x:v/>
      </x:c>
      <x:c r="DJ68" s="1110">
        <x:f>IF(CM68="",0,IF(DI68/COS(EU68)&lt;0.0625,0,CEILING(DI68/COS(EU68)-0.03125,0.125)))</x:f>
        <x:v>0</x:v>
      </x:c>
      <x:c r="DK68" s="1108" t="str">
        <x:f>IF(CV68="","",CEILING(CV68-DD68-DJ68-0.0625,0.125))</x:f>
        <x:v/>
      </x:c>
      <x:c r="DL68" s="1108" t="str">
        <x:f>IF(AND(EG68="",CH68=""),"",IF(EG68="ERR","ERR",IF(ISNUMBER(EG68),(EG68/2)*-1,CH68)))</x:f>
        <x:v/>
      </x:c>
      <x:c r="DM68" s="1108" t="str">
        <x:f t="shared" ref="DM68:DM85" si="140">IF(DL68="ERR","ERR",IF(DL68="","",IF(CR68*TAN(CY68)&lt;=($FE$4-($FD$4-0.0625)),CD68-(DL68-EO68)/IF(OR(CC68="C",AND(CC68="M",$FG$1="N")),1,COS(CY68))-IF(MID(CE68,1,1)="R",0,DC68),(ABS(DL68-EO68)/IF(OR(CC68="C",AND(CC68="M",$FG$1="N")),1,COS(CY68))+CD68)-((CR68/2)*TAN(CY68))-IF(MID(CE68,1,1)="R",0,DC68))))</x:f>
        <x:v/>
      </x:c>
      <x:c r="DN68" s="1108" t="str">
        <x:f t="shared" ref="DN68:DN85" si="141">IF(DL68="ERR","ERR",IF(DL68="","",IF(CI68*TAN(CY68)&lt;=($FE$4-($FD$4-0.0625)),CD68-(DL68-EO68)/IF(OR(CC68="C",AND(CC68="M",$FG$1="N")),1,COS(CY68))-IF(MID(CE68,1,1)="R",0,DC68),(ABS(DL68-EO68)/IF(OR(CC68="C",AND(CC68="M",$FG$1="N")),1,COS(CY68))+CD68)+((CI68/2)*TAN(CY68))-IF(MID(CE68,1,1)="R",0,DC68))))</x:f>
        <x:v/>
      </x:c>
      <x:c r="DO68" s="1125" t="str">
        <x:f>IF(ISBLANK(DB28),IF(DM68&lt;0.5+($FD$4-0.0625)/2,"ERR",IF(DM68&lt;0.5+$FE$4/2,($FE$4/2+0.5),IF(DM68&lt;$FA$4+IF(MID(CE68,1,1)="R",DC68+DB28,0)-$FE$4/2-0.5,DM68,IF(DM68&lt;=$FA$4+IF(MID(CE68,1,1)="R",DC68,0)-($FD$4-0.0625)/2-0.5,$FA$4+IF(MID(CE68,1,1)="R",DC68,0)-($FE$4/2+0.5),"ERR")))),DM68)</x:f>
        <x:v>ERR</x:v>
      </x:c>
      <x:c r="DP68" s="1125" t="str">
        <x:f>IF(ISBLANK(DB28),IF(DN68&lt;0.5+($FD$4-0.0625)/2,"ERR",IF(DN68&lt;0.5+$FE$4/2,($FE$4/2+0.5),IF(DN68&lt;$FA$4+IF(MID(CE68,1,1)="R",DC68+DB28,0)-$FE$4/2-0.5,DN68,IF(DN68&lt;=$FA$4+IF(MID(CE68,1,1)="R",DC68,0)-($FD$4-0.0625)/2-0.5,$FA$4+IF(MID(CE68,1,1)="R",DC68,0)-($FE$4/2+0.5),"ERR")))),DN68)</x:f>
        <x:v>ERR</x:v>
      </x:c>
      <x:c r="DQ68" s="1108" t="str">
        <x:f>IF(ISERROR(DM68),"ERR",IF(DM68="","",IF(DO68="ERR","ERR",CEILING(DO68-0.0625,0.125))))</x:f>
        <x:v/>
      </x:c>
      <x:c r="DR68" s="1108" t="str">
        <x:f>IF(ISERROR(DN68),"ERR",IF(DN68="","",IF(DP68="ERR","ERR",CEILING(DP68-0.0625,0.125))))</x:f>
        <x:v/>
      </x:c>
      <x:c r="DS68" s="1108" t="str">
        <x:f>IF(AND(EJ68="",CQ68=""),"",IF(EJ68="ERR","ERR",IF(ISNUMBER(EJ68),(EJ68/2)*-1,CQ68)))</x:f>
        <x:v/>
      </x:c>
      <x:c r="DT68" s="1108" t="str">
        <x:f t="shared" ref="DT68:DT85" si="142">IF(DS68="ERR","ERR",IF(DS68="","",IF(CR68*TAN(DE68)&lt;=($FE$4-($FD$4-0.0625)),CM68-(DS68-ET68)/IF(OR(CL68="C",AND(CL68="M",$FG$1="N")),1,COS(DE68))-IF(MID(CN68,1,1)="R",0,DI68),(ABS(DS68-ET68)/IF(OR(CL68="C",AND(CL68="M",$FG$1="N")),1,COS(DE68))+CM68)-((CR68/2)*TAN(DE68))-IF(MID(CN68,1,1)="R",0,DI68))))</x:f>
        <x:v/>
      </x:c>
      <x:c r="DU68" s="1108" t="str">
        <x:f t="shared" ref="DU68:DU85" si="143">IF(DS68="ERR","ERR",IF(DS68="","",IF(CR68*TAN(DE68)&lt;=($FE$4-($FD$4-0.0625)),CM68-(DS68-ET68)/IF(OR(CL68="C",AND(CL68="M",$FG$1="N")),1,COS(DE68))-IF(MID(CN68,1,1)="R",0,DI68),(ABS(DS68-ET68)/IF(OR(CL68="C",AND(CL68="M",$FG$1="N")),1,COS(DE68))+CM68)+((CR68/2)*TAN(DE68))-IF(MID(CN68,1,1)="R",0,DI68))))</x:f>
        <x:v/>
      </x:c>
      <x:c r="DV68" s="1125" t="str">
        <x:f>IF(ISBLANK(DC28),IF(DT68&lt;0.5+($FD$4-0.0625)/2,"ERR",IF(DT68&lt;0.5+$FE$4/2,($FE$4/2+0.5),IF(DT68&lt;$FA$4+IF(MID(CN68,1,1)="R",DI68+DC28,0)-$FE$4/2-0.5,DT68,IF(DT68&lt;=$FA$4+IF(MID(CN68,1,1)="R",DI68,0)-($FD$4-0.0625)/2-0.5,$FA$4+IF(MID(CN68,1,1)="R",DI68,0)-($FE$4/2+0.5),"ERR")))),DT68)</x:f>
        <x:v>ERR</x:v>
      </x:c>
      <x:c r="DW68" s="1125" t="str">
        <x:f>IF(ISBLANK(DC28),IF(DU68&lt;0.5+($FD$4-0.0625)/2,"ERR",IF(DU68&lt;0.5+$FE$4/2,($FE$4/2+0.5),IF(DU68&lt;$FA$4+IF(MID(CN68,1,1)="R",DI68+DC28,0)-$FE$4/2-0.5,DU68,IF(DU68&lt;=$FA$4+IF(MID(CN68,1,1)="R",DI68,0)-($FD$4-0.0625)/2-0.5,$FA$4+IF(MID(CN68,1,1)="R",DI68,0)-($FE$4/2+0.5),"ERR")))),DU68)</x:f>
        <x:v>ERR</x:v>
      </x:c>
      <x:c r="DX68" s="1108" t="str">
        <x:f>IF(ISERROR(DT68),"ERR",IF(DT68="","",IF(DV68="ERR","ERR",CEILING(DV68-0.0625,0.125))))</x:f>
        <x:v/>
      </x:c>
      <x:c r="DY68" s="1108" t="str">
        <x:f>IF(ISERROR(DU68),"ERR",IF(DU68="","",IF(DW68="ERR","ERR",CEILING(DW68-0.0625,0.125))))</x:f>
        <x:v/>
      </x:c>
      <x:c r="DZ68" s="1108" t="str">
        <x:f>IF(CG68="","",IF((CD68-CG68)/COS(CU68)-FB68&lt;=-0.0625,CEILING((CD68-CG68)/COS(CU68)-FB68+0.0625,-0.125),IF((CD68-CG68)/COS(CU68)-FB68&gt;=0.0625,CEILING((CD68-CG68)/COS(CU68)-FB68-0.0625,0.125),0)))</x:f>
        <x:v/>
      </x:c>
      <x:c r="EA68" s="1108" t="str">
        <x:f>IF(CP68="","",IF((CM68-CP68)/COS(CU68)-FC68&lt;=-0.0625,CEILING((CM68-CP68)/COS(CU68)-FC68+0.0625,-0.125),IF((CM68-CP68)/COS(CU68)-FC68&gt;=0.0625,CEILING((CM68-CP68)/COS(CU68)-FC68-0.0625,0.125),0)))</x:f>
        <x:v/>
      </x:c>
      <x:c r="EB68" s="1111" t="str">
        <x:f t="shared" ref="EB68:EB85" si="144">IF(CD28="","",$FC$4)</x:f>
        <x:v/>
      </x:c>
      <x:c r="EC68" s="1112" t="str">
        <x:f>IF(AND(DR68="",DY68=""),"",IF(OR(CI68=EB68,CR68=EB68),EB68,CI68))</x:f>
        <x:v/>
      </x:c>
      <x:c r="ED68" s="1111" t="str">
        <x:f t="shared" ref="ED68:ED85" si="145">IF(CU28="","",CEILING(($EZ$4/COS(CU68)+$FA$4/12*ABS(CU28)+0.5),0.125))</x:f>
        <x:v/>
      </x:c>
      <x:c r="EE68" s="1111" t="str">
        <x:f>(IF(CC68="B",MIN(CJ28:CK28),""))</x:f>
        <x:v/>
      </x:c>
      <x:c r="EF68" s="1111" t="str">
        <x:f>(IF(CC68="B",MAX(CJ28:CK28),""))</x:f>
        <x:v/>
      </x:c>
      <x:c r="EG68" s="1111" t="str">
        <x:f t="shared" ref="EG68:EG85" si="146">IF(EE68="","",IF((EF68-EE68)/2&lt;=($FE$4-($FD$4-0.0625)),(EE68+EF68)/2,"ERR"))</x:f>
        <x:v/>
      </x:c>
      <x:c r="EH68" s="1111" t="str">
        <x:f>IF(CL68="B",MIN(CQ28:CR28),"")</x:f>
        <x:v/>
      </x:c>
      <x:c r="EI68" s="1111" t="str">
        <x:f>IF(CL68="B",MAX(CQ28:CR28),"")</x:f>
        <x:v/>
      </x:c>
      <x:c r="EJ68" s="1111" t="str">
        <x:f t="shared" ref="EJ68:EJ85" si="147">IF(EH68="","",IF((EI68-EH68)/2&lt;=($FE$4-($FD$4-0.0625)),(EH68+EI68)/2,"ERR"))</x:f>
        <x:v/>
      </x:c>
      <x:c r="EK68" s="1109">
        <x:f>IF(CK68="",0,ATAN(CK68/12))</x:f>
        <x:v>0</x:v>
      </x:c>
      <x:c r="EL68" s="1109">
        <x:f>CU68-EK68</x:f>
        <x:v>0</x:v>
      </x:c>
      <x:c r="EM68" s="1109">
        <x:f t="shared" ref="EM68:EM85" si="148">TAN(EL68)*12</x:f>
        <x:v>0</x:v>
      </x:c>
      <x:c r="EN68" s="1109" t="str">
        <x:f t="shared" ref="EN68:EN85" si="149">IF(ABS(EM68)&lt;$FA$2,"",IF(EM68&gt;0,CEILING(EM68-0.0625,0.125),CEILING(EM68+0.0625,-0.125)))</x:f>
        <x:v/>
      </x:c>
      <x:c r="EO68" s="1108" t="str">
        <x:f>IF(CF68="","",CF68*TAN(EK68))</x:f>
        <x:v/>
      </x:c>
      <x:c r="EP68" s="1109">
        <x:f>IF(CT68="",0,ATAN(CT68/12))</x:f>
        <x:v>0</x:v>
      </x:c>
      <x:c r="EQ68" s="1109">
        <x:f>CU68+EP68</x:f>
        <x:v>0</x:v>
      </x:c>
      <x:c r="ER68" s="1109">
        <x:f t="shared" ref="ER68:ER85" si="150">TAN(EQ68)*-12</x:f>
        <x:v>0</x:v>
      </x:c>
      <x:c r="ES68" s="1109" t="str">
        <x:f t="shared" ref="ES68:ES85" si="151">IF(ABS(ER68)&lt;$FA$2,"",IF(ER68&gt;0,CEILING(ER68-0.0625,0.125),CEILING(ER68+0.0625,-0.125)))</x:f>
        <x:v/>
      </x:c>
      <x:c r="ET68" s="1108" t="str">
        <x:f>IF(CO68="","",CO68*TAN(EP68))</x:f>
        <x:v/>
      </x:c>
      <x:c r="EU68" s="1108">
        <x:f t="shared" ref="EU68:EU85" si="152">IF((CE28*12+CF28)/COS(CU68)-(CE28*12+CF28)&lt;$FE$2,0,CU68)</x:f>
        <x:v>0</x:v>
      </x:c>
      <x:c r="EV68" s="1111" t="e">
        <x:f>MIN(IF(CH28&gt;0,CH28/2,MAX(CI28/2,CJ68)),IF(CI28&gt;0,CI28/2,MAX(CH28/2,CJ68)),IF(CJ68&gt;0,CJ68,MAX(CI28/2,CH28/2)))/COS(CY68)+CD68-DC68</x:f>
        <x:v>#VALUE!</x:v>
      </x:c>
      <x:c r="EW68" s="1111" t="e">
        <x:f>MIN(IF(CO28&gt;0,CO28/2,MAX(CP28/2,CS68)),IF(CP28&gt;0,CP28/2,MAX(CO28/2,CS68)),IF(CS68&gt;0,CS68,MAX(CP28/2,CO28/2)))/COS(DE68)+CM68-DI68</x:f>
        <x:v>#VALUE!</x:v>
      </x:c>
      <x:c r="EX68" s="1199" t="str">
        <x:f>IF(CD28="","",IF(EZ68&lt;1.2,5+$EX$4,IF(EZ68&lt;1.79,6+$EX$4,IF(EZ68&lt;2.3,7+$EX$4,IF(EZ68&lt;3.76,8+$EX$4,IF(EZ68&lt;4.76,10+$EY$4,IF(EZ68&lt;8.45,12+$EY$4,"ERR")))))))</x:f>
        <x:v/>
      </x:c>
      <x:c r="EY68" s="1114">
        <x:f>TRUNC(IF(FA68&lt;1.03,25.667,IF(FA68&lt;1.2,29.667,IF(FA68&lt;1.79,33.583,IF(FA68&lt;2.3,37.75,IF(FA68&lt;3.76,42,IF(FA68&lt;4.76,50.167,IF(FA68&lt;8.45,58.167,"ERR"))))))))</x:f>
        <x:v>25</x:v>
      </x:c>
      <x:c r="EZ68" s="1219">
        <x:f>(0.03*BP28*((CE28+CF28/12)/BO28)*(BO28^2-IF(ISEVEN(BO28),0,1)))/BM28</x:f>
        <x:v>0</x:v>
      </x:c>
      <x:c r="FA68" s="1220">
        <x:f>(0.026*BP28*((CE28+CF28/12)/BO28)*(BO28^2-IF(ISEVEN(BO28),0,1)))/BM28</x:f>
        <x:v>0</x:v>
      </x:c>
      <x:c r="FB68" s="1115" t="str">
        <x:f t="shared" ref="FB68:FB85" si="153">IF(CG68="","",IF(ABS(CU28*((BM28-IF(CU28&gt;0,$FF$4,0))/12))&gt;$CX$2,CU28*((BM28-IF(CU28&gt;0,$FF$4,0))/12),0))</x:f>
        <x:v/>
      </x:c>
      <x:c r="FC68" s="1116" t="str">
        <x:f t="shared" ref="FC68:FC85" si="154">IF(CP68="","",IF(ABS(CU28*((BM28-IF(CU28&lt;0,$FF$4,0))/12))&gt;$CX$2,CU28*((BM28-IF(CU28&lt;0,$FF$4,0))/12)*-1,0))</x:f>
        <x:v/>
      </x:c>
      <x:c r="FD68" s="614">
        <x:f t="shared" ref="FD68:FD85" si="155">IF(CF68="",0,MAX(0,DB68-$FA$4))</x:f>
        <x:v>0</x:v>
      </x:c>
      <x:c r="FE68" s="615">
        <x:f t="shared" ref="FE68:FE85" si="156">IF(CO68="",0,MAX(0,DH68-$FA$4))</x:f>
        <x:v>0</x:v>
      </x:c>
      <x:c r="FF68" s="969" t="b">
        <x:f t="shared" si="101"/>
        <x:v>0</x:v>
      </x:c>
      <x:c r="FG68" s="969" t="b">
        <x:f t="shared" si="102"/>
        <x:v>0</x:v>
      </x:c>
      <x:c r="FH68" s="969" t="b">
        <x:f t="shared" si="103"/>
        <x:v>0</x:v>
      </x:c>
      <x:c r="FI68" s="1158" t="b">
        <x:f t="shared" si="104"/>
        <x:v>0</x:v>
      </x:c>
      <x:c r="FJ68" s="1161" t="str">
        <x:f t="shared" si="113"/>
        <x:v/>
      </x:c>
      <x:c r="FK68" s="1160" t="str">
        <x:f t="shared" si="114"/>
        <x:v/>
      </x:c>
      <x:c r="FL68" s="388" t="e">
        <x:f t="shared" si="115"/>
        <x:v>#N/A</x:v>
      </x:c>
      <x:c r="FM68" s="380" t="str">
        <x:f t="shared" si="105"/>
        <x:v/>
      </x:c>
      <x:c r="FN68" s="337" t="str">
        <x:f t="shared" ca="1" si="116"/>
        <x:v/>
      </x:c>
      <x:c r="FO68" s="338" t="str">
        <x:f t="shared" ca="1" si="117"/>
        <x:v/>
      </x:c>
      <x:c r="FP68" s="339" t="str">
        <x:f t="shared" ca="1" si="118"/>
        <x:v/>
      </x:c>
      <x:c r="FQ68" s="339" t="str">
        <x:f t="shared" ca="1" si="119"/>
        <x:v/>
      </x:c>
      <x:c r="FR68" s="389">
        <x:f t="shared" ca="1" si="120"/>
        <x:v>0</x:v>
      </x:c>
      <x:c r="FS68" s="390">
        <x:f t="shared" ca="1" si="121"/>
        <x:v>0</x:v>
      </x:c>
      <x:c r="FT68" s="337" t="str">
        <x:f t="shared" ca="1" si="127"/>
        <x:v/>
      </x:c>
      <x:c r="FU68" s="340" t="str">
        <x:f t="shared" ca="1" si="128"/>
        <x:v/>
      </x:c>
      <x:c r="FV68" s="391" t="str">
        <x:f t="shared" ca="1" si="129"/>
        <x:v/>
      </x:c>
      <x:c r="FW68" s="341" t="str">
        <x:f t="shared" ca="1" si="122"/>
        <x:v/>
      </x:c>
      <x:c r="FX68" s="341" t="str">
        <x:f t="shared" ca="1" si="123"/>
        <x:v/>
      </x:c>
      <x:c r="FY68" s="341" t="str">
        <x:f t="shared" ca="1" si="130"/>
        <x:v/>
      </x:c>
      <x:c r="FZ68" s="341" t="str">
        <x:f t="shared" ca="1" si="124"/>
        <x:v/>
      </x:c>
      <x:c r="GA68" s="341" t="str">
        <x:f t="shared" ca="1" si="131"/>
        <x:v/>
      </x:c>
      <x:c r="GB68" s="342" t="str">
        <x:f ca="1">IF(FY68="","",2+SUM(FO68:OFFSET(FO68,(FU68-1)*-1,0)))</x:f>
        <x:v/>
      </x:c>
      <x:c r="GC68" s="384" t="e">
        <x:f t="shared" si="125"/>
        <x:v>#N/A</x:v>
      </x:c>
      <x:c r="GD68" s="392" t="str">
        <x:f t="shared" si="106"/>
        <x:v/>
      </x:c>
      <x:c r="GE68" s="393" t="str">
        <x:f t="shared" si="107"/>
        <x:v/>
      </x:c>
      <x:c r="GF68" s="343" t="str">
        <x:f t="shared" si="108"/>
        <x:v/>
      </x:c>
      <x:c r="GG68" s="344" t="str">
        <x:f t="shared" si="109"/>
        <x:v/>
      </x:c>
      <x:c r="GH68" s="344" t="str">
        <x:f t="shared" si="110"/>
        <x:v/>
      </x:c>
      <x:c r="GI68" s="345" t="str">
        <x:f t="shared" si="111"/>
        <x:v/>
      </x:c>
      <x:c r="GJ68" s="394">
        <x:f t="shared" ca="1" si="112"/>
        <x:v>0</x:v>
      </x:c>
      <x:c r="GK68" s="1154" t="str">
        <x:f t="shared" ca="1" si="126"/>
        <x:v>A</x:v>
      </x:c>
    </x:row>
    <x:row r="69" spans="78:193" ht="12.6" hidden="1" customHeight="1" x14ac:dyDescent="0.2">
      <x:c r="BZ69" s="360"/>
      <x:c r="CA69" s="360"/>
      <x:c r="CB69" s="435" t="str">
        <x:f t="shared" si="132"/>
        <x:v/>
      </x:c>
      <x:c r="CC69" s="436" t="str">
        <x:f>IF(CG29="","",VLOOKUP(CG29,SectInfo!$B:$N,12,FALSE))</x:f>
        <x:v/>
      </x:c>
      <x:c r="CD69" s="1172" t="str">
        <x:f>IF(ISBLANK(CZ29),IF(CG29="","",VLOOKUP(CG29,SectInfo!$B:$N,13,FALSE)),CZ29)</x:f>
        <x:v/>
      </x:c>
      <x:c r="CE69" s="437" t="str">
        <x:f>IF(CG29="","",IF(VLOOKUP(CG29,SectInfo!$B:$N,5,FALSE)="","R",UPPER(VLOOKUP(CG29,SectInfo!$B:$N,5,FALSE))))</x:f>
        <x:v/>
      </x:c>
      <x:c r="CF69" s="1172" t="str">
        <x:f>IF(ISBLANK(DD29),IF(CG29="","",VLOOKUP(CG29,SectInfo!$B:$N,6,FALSE)),DD29)</x:f>
        <x:v/>
      </x:c>
      <x:c r="CG69" s="437" t="str">
        <x:f>IF(CG29="","",IF(VLOOKUP(CG29,SectInfo!$B:$N,10,FALSE)="","",(VLOOKUP(CG29,SectInfo!$B:$N,10,FALSE)*-1)))</x:f>
        <x:v/>
      </x:c>
      <x:c r="CH69" s="437" t="str">
        <x:f>IF(CG29="","",IF(VLOOKUP(CG29,SectInfo!$B:$N,7,FALSE)="","",(VLOOKUP(CG29,SectInfo!$B:$N,7,FALSE)*-1)))</x:f>
        <x:v/>
      </x:c>
      <x:c r="CI69" s="437" t="str">
        <x:f>IF(CG29="","",IF(VLOOKUP(CG29,SectInfo!$B:$N,8,FALSE)="",$FC$4,(VLOOKUP(CG29,SectInfo!$B:$N,8,FALSE))))</x:f>
        <x:v/>
      </x:c>
      <x:c r="CJ69" s="437" t="str">
        <x:f>IF(CG29="","",VLOOKUP(CG29,SectInfo!$B:$N,9,FALSE))</x:f>
        <x:v/>
      </x:c>
      <x:c r="CK69" s="438">
        <x:f>CM29*-1</x:f>
        <x:v>0</x:v>
      </x:c>
      <x:c r="CL69" s="436" t="str">
        <x:f>IF(CN29="","",VLOOKUP(CN29,SectInfo!$B:$N,12,FALSE))</x:f>
        <x:v/>
      </x:c>
      <x:c r="CM69" s="1172" t="str">
        <x:f>IF(ISBLANK(DA29),IF(CN29="","",VLOOKUP(CN29,SectInfo!$B:$N,13,FALSE)),DA29)</x:f>
        <x:v/>
      </x:c>
      <x:c r="CN69" s="437" t="str">
        <x:f>IF(CN29="","",IF(VLOOKUP(CN29,SectInfo!$B:$N,5,FALSE)="","R",UPPER(VLOOKUP(CN29,SectInfo!$B:$N,5,FALSE))))</x:f>
        <x:v/>
      </x:c>
      <x:c r="CO69" s="1172" t="str">
        <x:f>IF(ISBLANK(DE29),IF(CN29="","",VLOOKUP(CN29,SectInfo!$B:$N,6,FALSE)),DE29)</x:f>
        <x:v/>
      </x:c>
      <x:c r="CP69" s="437" t="str">
        <x:f>IF(CN29="","",IF(VLOOKUP(CN29,SectInfo!$B:$N,10,FALSE)="","",(VLOOKUP(CN29,SectInfo!$B:$N,10,FALSE)*-1)))</x:f>
        <x:v/>
      </x:c>
      <x:c r="CQ69" s="437" t="str">
        <x:f>IF(CN29="","",IF(VLOOKUP(CN29,SectInfo!$B:$N,7,FALSE)="","",(VLOOKUP(CN29,SectInfo!$B:$N,7,FALSE)*-1)))</x:f>
        <x:v/>
      </x:c>
      <x:c r="CR69" s="437" t="str">
        <x:f>IF(CN29="","",IF(VLOOKUP(CN29,SectInfo!$B:$N,8,FALSE)="",$FC$4,(VLOOKUP(CN29,SectInfo!$B:$N,8,FALSE))))</x:f>
        <x:v/>
      </x:c>
      <x:c r="CS69" s="437" t="str">
        <x:f>IF(CN29="","",VLOOKUP(CN29,SectInfo!$B:$N,9,FALSE))</x:f>
        <x:v/>
      </x:c>
      <x:c r="CT69" s="438">
        <x:f>CT29*-1</x:f>
        <x:v>0</x:v>
      </x:c>
      <x:c r="CU69" s="439">
        <x:f t="shared" si="133"/>
        <x:v>0</x:v>
      </x:c>
      <x:c r="CV69" s="339" t="str">
        <x:f t="shared" ref="CV69:CV85" si="157">IF(OR(CD69="",CE29="",CM69=""),"",CEILING(IF(AND(CE29="",CF29=""),"",((CE29*12+CF29)+CD69+CM69)/COS(EU69))-0.0625,0.125))</x:f>
        <x:v/>
      </x:c>
      <x:c r="CW69" s="339" t="str">
        <x:f t="shared" si="134"/>
        <x:v/>
      </x:c>
      <x:c r="CX69" s="1108" t="str">
        <x:f t="shared" si="135"/>
        <x:v/>
      </x:c>
      <x:c r="CY69" s="1109">
        <x:f t="shared" ref="CY69:CY85" si="158">RADIANS(ABS(CL29))</x:f>
        <x:v>0</x:v>
      </x:c>
      <x:c r="CZ69" s="1109">
        <x:f t="shared" si="136"/>
        <x:v>0</x:v>
      </x:c>
      <x:c r="DA69" s="1109" t="str">
        <x:f t="shared" si="137"/>
        <x:v/>
      </x:c>
      <x:c r="DB69" s="1125" t="str">
        <x:f t="shared" ref="DB69:DB85" si="159">IF(CD69="","",CD69+DA69+($EY$4*TAN(CY69)))</x:f>
        <x:v/>
      </x:c>
      <x:c r="DC69" s="1125" t="str">
        <x:f>IF(CD69="","",IF(NOT(ISBLANK(DB29)),CD69-DB29,MAX(IF(AND(CZ69&gt;=$FB$4,DA69&lt;=$FA$4,OR($FA$1=1,$FA$1=4)),CD69,IF(OR($FA$1=3,$FA$1=4),DB69-$FA$4,DB69+MAX(($FA$4-$FB$4)-(DA69-CZ69)-$EY$4/2*TAN(CY69),0)-$FA$4))-EO69,0)))</x:f>
        <x:v/>
      </x:c>
      <x:c r="DD69" s="1110">
        <x:f t="shared" ref="DD69:DD85" si="160">IF(CD69="",0,IF(DC69/COS(EU69)&lt;0.0625,0,CEILING(DC69/COS(EU69)-0.03125,0.125)))</x:f>
        <x:v>0</x:v>
      </x:c>
      <x:c r="DE69" s="1108">
        <x:f t="shared" ref="DE69:DE85" si="161">RADIANS(ABS(CS29))</x:f>
        <x:v>0</x:v>
      </x:c>
      <x:c r="DF69" s="1109">
        <x:f t="shared" si="138"/>
        <x:v>0</x:v>
      </x:c>
      <x:c r="DG69" s="1109" t="str">
        <x:f t="shared" si="139"/>
        <x:v/>
      </x:c>
      <x:c r="DH69" s="1125" t="str">
        <x:f t="shared" ref="DH69:DH85" si="162">IF(CM69="","",CM69+DG69+($EY$4*TAN(DE69)))</x:f>
        <x:v/>
      </x:c>
      <x:c r="DI69" s="1125" t="str">
        <x:f t="shared" ref="DI69:DI85" si="163">IF(CM69="","",IF(NOT(ISBLANK(DC29)),CM69-DC29,MAX(IF(AND(DF69&gt;=$FB$4,DG69&lt;=$FA$4,OR($FA$1=1,$FA$1=4)),CM69,IF(OR($FA$1=3,$FA$1=4),DH69-$FA$4,DH69+MAX(($FA$4-$FB$4)-(DG69-DF69)-$EY$4/2*TAN(DE69),0)-$FA$4))-ET69,0)-DC29))</x:f>
        <x:v/>
      </x:c>
      <x:c r="DJ69" s="1110">
        <x:f t="shared" ref="DJ69:DJ85" si="164">IF(CM69="",0,IF(DI69/COS(EU69)&lt;0.0625,0,CEILING(DI69/COS(EU69)-0.03125,0.125)))</x:f>
        <x:v>0</x:v>
      </x:c>
      <x:c r="DK69" s="1108" t="str">
        <x:f t="shared" ref="DK69:DK85" si="165">IF(CV69="","",CEILING(CV69-DD69-DJ69-0.0625,0.125))</x:f>
        <x:v/>
      </x:c>
      <x:c r="DL69" s="1108" t="str">
        <x:f t="shared" ref="DL69:DL85" si="166">IF(AND(EG69="",CH69=""),"",IF(EG69="ERR","ERR",IF(ISNUMBER(EG69),(EG69/2)*-1,CH69)))</x:f>
        <x:v/>
      </x:c>
      <x:c r="DM69" s="1108" t="str">
        <x:f t="shared" si="140"/>
        <x:v/>
      </x:c>
      <x:c r="DN69" s="1108" t="str">
        <x:f t="shared" si="141"/>
        <x:v/>
      </x:c>
      <x:c r="DO69" s="1125" t="str">
        <x:f>IF(ISBLANK(DB29),IF(DM69&lt;0.5+($FD$4-0.0625)/2,"ERR",IF(DM69&lt;0.5+$FE$4/2,($FE$4/2+0.5),IF(DM69&lt;$FA$4+IF(MID(CE69,1,1)="R",DC69+DB29,0)-$FE$4/2-0.5,DM69,IF(DM69&lt;=$FA$4+IF(MID(CE69,1,1)="R",DC69,0)-($FD$4-0.0625)/2-0.5,$FA$4+IF(MID(CE69,1,1)="R",DC69,0)-($FE$4/2+0.5),"ERR")))),DM69)</x:f>
        <x:v>ERR</x:v>
      </x:c>
      <x:c r="DP69" s="1125" t="str">
        <x:f>IF(ISBLANK(DB29),IF(DN69&lt;0.5+($FD$4-0.0625)/2,"ERR",IF(DN69&lt;0.5+$FE$4/2,($FE$4/2+0.5),IF(DN69&lt;$FA$4+IF(MID(CE69,1,1)="R",DC69+DB29,0)-$FE$4/2-0.5,DN69,IF(DN69&lt;=$FA$4+IF(MID(CE69,1,1)="R",DC69,0)-($FD$4-0.0625)/2-0.5,$FA$4+IF(MID(CE69,1,1)="R",DC69,0)-($FE$4/2+0.5),"ERR")))),DN69)</x:f>
        <x:v>ERR</x:v>
      </x:c>
      <x:c r="DQ69" s="1108" t="str">
        <x:f t="shared" ref="DQ69:DR85" si="167">IF(ISERROR(DM69),"ERR",IF(DM69="","",IF(DO69="ERR","ERR",CEILING(DO69-0.0625,0.125))))</x:f>
        <x:v/>
      </x:c>
      <x:c r="DR69" s="1108" t="str">
        <x:f t="shared" si="167"/>
        <x:v/>
      </x:c>
      <x:c r="DS69" s="1108" t="str">
        <x:f t="shared" ref="DS69:DS85" si="168">IF(AND(EJ69="",CQ69=""),"",IF(EJ69="ERR","ERR",IF(ISNUMBER(EJ69),(EJ69/2)*-1,CQ69)))</x:f>
        <x:v/>
      </x:c>
      <x:c r="DT69" s="1108" t="str">
        <x:f t="shared" si="142"/>
        <x:v/>
      </x:c>
      <x:c r="DU69" s="1108" t="str">
        <x:f t="shared" si="143"/>
        <x:v/>
      </x:c>
      <x:c r="DV69" s="1125" t="str">
        <x:f>IF(ISBLANK(DC29),IF(DT69&lt;0.5+($FD$4-0.0625)/2,"ERR",IF(DT69&lt;0.5+$FE$4/2,($FE$4/2+0.5),IF(DT69&lt;$FA$4+IF(MID(CN69,1,1)="R",DI69+DC29,0)-$FE$4/2-0.5,DT69,IF(DT69&lt;=$FA$4+IF(MID(CN69,1,1)="R",DI69,0)-($FD$4-0.0625)/2-0.5,$FA$4+IF(MID(CN69,1,1)="R",DI69,0)-($FE$4/2+0.5),"ERR")))),DT69)</x:f>
        <x:v>ERR</x:v>
      </x:c>
      <x:c r="DW69" s="1125" t="str">
        <x:f>IF(ISBLANK(DC29),IF(DU69&lt;0.5+($FD$4-0.0625)/2,"ERR",IF(DU69&lt;0.5+$FE$4/2,($FE$4/2+0.5),IF(DU69&lt;$FA$4+IF(MID(CN69,1,1)="R",DI69+DC29,0)-$FE$4/2-0.5,DU69,IF(DU69&lt;=$FA$4+IF(MID(CN69,1,1)="R",DI69,0)-($FD$4-0.0625)/2-0.5,$FA$4+IF(MID(CN69,1,1)="R",DI69,0)-($FE$4/2+0.5),"ERR")))),DU69)</x:f>
        <x:v>ERR</x:v>
      </x:c>
      <x:c r="DX69" s="1108" t="str">
        <x:f t="shared" ref="DX69:DY85" si="169">IF(ISERROR(DT69),"ERR",IF(DT69="","",IF(DV69="ERR","ERR",CEILING(DV69-0.0625,0.125))))</x:f>
        <x:v/>
      </x:c>
      <x:c r="DY69" s="1108" t="str">
        <x:f t="shared" si="169"/>
        <x:v/>
      </x:c>
      <x:c r="DZ69" s="1108" t="str">
        <x:f>IF(CG69="","",IF((CD69-CG69)/COS(CU69)-FB69&lt;=-0.0625,CEILING((CD69-CG69)/COS(CU69)-FB69+0.0625,-0.125),IF((CD69-CG69)/COS(CU69)-FB69&gt;=0.0625,CEILING((CD69-CG69)/COS(CU69)-FB69-0.0625,0.125),0)))</x:f>
        <x:v/>
      </x:c>
      <x:c r="EA69" s="1108" t="str">
        <x:f>IF(CP69="","",IF((CM69-CP69)/COS(CU69)-FC69&lt;=-0.0625,CEILING((CM69-CP69)/COS(CU69)-FC69+0.0625,-0.125),IF((CM69-CP69)/COS(CU69)-FC69&gt;=0.0625,CEILING((CM69-CP69)/COS(CU69)-FC69-0.0625,0.125),0)))</x:f>
        <x:v/>
      </x:c>
      <x:c r="EB69" s="1111" t="str">
        <x:f t="shared" si="144"/>
        <x:v/>
      </x:c>
      <x:c r="EC69" s="1112" t="str">
        <x:f t="shared" ref="EC69:EC85" si="170">IF(AND(DR69="",DY69=""),"",IF(OR(CI69=EB69,CR69=EB69),EB69,CI69))</x:f>
        <x:v/>
      </x:c>
      <x:c r="ED69" s="1111" t="str">
        <x:f t="shared" si="145"/>
        <x:v/>
      </x:c>
      <x:c r="EE69" s="1111" t="str">
        <x:f t="shared" ref="EE69:EE85" si="171">(IF(CC69="B",MIN(CJ29:CK29),""))</x:f>
        <x:v/>
      </x:c>
      <x:c r="EF69" s="1111" t="str">
        <x:f t="shared" ref="EF69:EF85" si="172">(IF(CC69="B",MAX(CJ29:CK29),""))</x:f>
        <x:v/>
      </x:c>
      <x:c r="EG69" s="1111" t="str">
        <x:f t="shared" si="146"/>
        <x:v/>
      </x:c>
      <x:c r="EH69" s="1111" t="str">
        <x:f t="shared" ref="EH69:EH85" si="173">IF(CL69="B",MIN(CQ29:CR29),"")</x:f>
        <x:v/>
      </x:c>
      <x:c r="EI69" s="1111" t="str">
        <x:f t="shared" ref="EI69:EI85" si="174">IF(CL69="B",MAX(CQ29:CR29),"")</x:f>
        <x:v/>
      </x:c>
      <x:c r="EJ69" s="1111" t="str">
        <x:f t="shared" si="147"/>
        <x:v/>
      </x:c>
      <x:c r="EK69" s="1109">
        <x:f t="shared" ref="EK69:EK85" si="175">IF(CK69="",0,ATAN(CK69/12))</x:f>
        <x:v>0</x:v>
      </x:c>
      <x:c r="EL69" s="1109">
        <x:f t="shared" ref="EL69:EL85" si="176">CU69-EK69</x:f>
        <x:v>0</x:v>
      </x:c>
      <x:c r="EM69" s="1109">
        <x:f t="shared" si="148"/>
        <x:v>0</x:v>
      </x:c>
      <x:c r="EN69" s="1109" t="str">
        <x:f t="shared" si="149"/>
        <x:v/>
      </x:c>
      <x:c r="EO69" s="1108" t="str">
        <x:f t="shared" ref="EO69:EO85" si="177">IF(CF69="","",CF69*TAN(EK69))</x:f>
        <x:v/>
      </x:c>
      <x:c r="EP69" s="1109">
        <x:f t="shared" ref="EP69:EP85" si="178">IF(CT69="",0,ATAN(CT69/12))</x:f>
        <x:v>0</x:v>
      </x:c>
      <x:c r="EQ69" s="1109">
        <x:f t="shared" ref="EQ69:EQ85" si="179">CU69+EP69</x:f>
        <x:v>0</x:v>
      </x:c>
      <x:c r="ER69" s="1109">
        <x:f t="shared" si="150"/>
        <x:v>0</x:v>
      </x:c>
      <x:c r="ES69" s="1109" t="str">
        <x:f t="shared" si="151"/>
        <x:v/>
      </x:c>
      <x:c r="ET69" s="1108" t="str">
        <x:f t="shared" ref="ET69:ET85" si="180">IF(CO69="","",CO69*TAN(EP69))</x:f>
        <x:v/>
      </x:c>
      <x:c r="EU69" s="1108">
        <x:f t="shared" si="152"/>
        <x:v>0</x:v>
      </x:c>
      <x:c r="EV69" s="1111" t="e">
        <x:f>MIN(IF(CH29&gt;0,CH29/2,MAX(CI29/2,CJ69)),IF(CI29&gt;0,CI29/2,MAX(CH29/2,CJ69)),IF(CJ69&gt;0,CJ69,MAX(CI29/2,CH29/2)))/COS(CY69)+CD69-DC69</x:f>
        <x:v>#VALUE!</x:v>
      </x:c>
      <x:c r="EW69" s="1111" t="e">
        <x:f>MIN(IF(CO29&gt;0,CO29/2,MAX(CP29/2,CS69)),IF(CP29&gt;0,CP29/2,MAX(CO29/2,CS69)),IF(CS69&gt;0,CS69,MAX(CP29/2,CO29/2)))/COS(DE69)+CM69-DI69</x:f>
        <x:v>#VALUE!</x:v>
      </x:c>
      <x:c r="EX69" s="1199" t="str">
        <x:f t="shared" ref="EX69:EX85" si="181">IF(CD29="","",IF(EZ69&lt;1.2,5+$EX$4,IF(EZ69&lt;1.79,6+$EX$4,IF(EZ69&lt;2.3,7+$EX$4,IF(EZ69&lt;3.76,8+$EX$4,IF(EZ69&lt;4.76,10+$EY$4,IF(EZ69&lt;8.45,12+$EY$4,"ERR")))))))</x:f>
        <x:v/>
      </x:c>
      <x:c r="EY69" s="1114">
        <x:f t="shared" ref="EY69:EY85" si="182">TRUNC(IF(FA69&lt;1.03,25.667,IF(FA69&lt;1.2,29.667,IF(FA69&lt;1.79,33.583,IF(FA69&lt;2.3,37.75,IF(FA69&lt;3.76,42,IF(FA69&lt;4.76,50.167,IF(FA69&lt;8.45,58.167,"ERR"))))))))</x:f>
        <x:v>25</x:v>
      </x:c>
      <x:c r="EZ69" s="1219">
        <x:f t="shared" ref="EZ69:EZ85" si="183">(0.03*BP29*((CE29+CF29/12)/BO29)*(BO29^2-IF(ISEVEN(BO29),0,1)))/BM29</x:f>
        <x:v>0</x:v>
      </x:c>
      <x:c r="FA69" s="1220">
        <x:f t="shared" ref="FA69:FA85" si="184">(0.026*BP29*((CE29+CF29/12)/BO29)*(BO29^2-IF(ISEVEN(BO29),0,1)))/BM29</x:f>
        <x:v>0</x:v>
      </x:c>
      <x:c r="FB69" s="1115" t="str">
        <x:f t="shared" si="153"/>
        <x:v/>
      </x:c>
      <x:c r="FC69" s="1116" t="str">
        <x:f t="shared" si="154"/>
        <x:v/>
      </x:c>
      <x:c r="FD69" s="614">
        <x:f t="shared" si="155"/>
        <x:v>0</x:v>
      </x:c>
      <x:c r="FE69" s="615">
        <x:f t="shared" si="156"/>
        <x:v>0</x:v>
      </x:c>
      <x:c r="FF69" s="969" t="b">
        <x:f t="shared" si="101"/>
        <x:v>0</x:v>
      </x:c>
      <x:c r="FG69" s="969" t="b">
        <x:f t="shared" si="102"/>
        <x:v>0</x:v>
      </x:c>
      <x:c r="FH69" s="969" t="b">
        <x:f t="shared" si="103"/>
        <x:v>0</x:v>
      </x:c>
      <x:c r="FI69" s="1158" t="b">
        <x:f t="shared" si="104"/>
        <x:v>0</x:v>
      </x:c>
      <x:c r="FJ69" s="1161" t="str">
        <x:f t="shared" si="113"/>
        <x:v/>
      </x:c>
      <x:c r="FK69" s="1160" t="str">
        <x:f t="shared" si="114"/>
        <x:v/>
      </x:c>
      <x:c r="FL69" s="388" t="e">
        <x:f t="shared" si="115"/>
        <x:v>#N/A</x:v>
      </x:c>
      <x:c r="FM69" s="380" t="str">
        <x:f t="shared" si="105"/>
        <x:v/>
      </x:c>
      <x:c r="FN69" s="337" t="str">
        <x:f t="shared" ca="1" si="116"/>
        <x:v/>
      </x:c>
      <x:c r="FO69" s="338" t="str">
        <x:f t="shared" ca="1" si="117"/>
        <x:v/>
      </x:c>
      <x:c r="FP69" s="339" t="str">
        <x:f t="shared" ca="1" si="118"/>
        <x:v/>
      </x:c>
      <x:c r="FQ69" s="339" t="str">
        <x:f t="shared" ca="1" si="119"/>
        <x:v/>
      </x:c>
      <x:c r="FR69" s="389">
        <x:f t="shared" ca="1" si="120"/>
        <x:v>0</x:v>
      </x:c>
      <x:c r="FS69" s="390">
        <x:f t="shared" ca="1" si="121"/>
        <x:v>0</x:v>
      </x:c>
      <x:c r="FT69" s="337" t="str">
        <x:f t="shared" ca="1" si="127"/>
        <x:v/>
      </x:c>
      <x:c r="FU69" s="340" t="str">
        <x:f t="shared" ca="1" si="128"/>
        <x:v/>
      </x:c>
      <x:c r="FV69" s="391" t="str">
        <x:f t="shared" ca="1" si="129"/>
        <x:v/>
      </x:c>
      <x:c r="FW69" s="341" t="str">
        <x:f t="shared" ca="1" si="122"/>
        <x:v/>
      </x:c>
      <x:c r="FX69" s="341" t="str">
        <x:f t="shared" ca="1" si="123"/>
        <x:v/>
      </x:c>
      <x:c r="FY69" s="341" t="str">
        <x:f t="shared" ca="1" si="130"/>
        <x:v/>
      </x:c>
      <x:c r="FZ69" s="341" t="str">
        <x:f t="shared" ca="1" si="124"/>
        <x:v/>
      </x:c>
      <x:c r="GA69" s="341" t="str">
        <x:f t="shared" ca="1" si="131"/>
        <x:v/>
      </x:c>
      <x:c r="GB69" s="342" t="str">
        <x:f ca="1">IF(FY69="","",2+SUM(FO69:OFFSET(FO69,(FU69-1)*-1,0)))</x:f>
        <x:v/>
      </x:c>
      <x:c r="GC69" s="384" t="e">
        <x:f t="shared" si="125"/>
        <x:v>#N/A</x:v>
      </x:c>
      <x:c r="GD69" s="392" t="str">
        <x:f t="shared" si="106"/>
        <x:v/>
      </x:c>
      <x:c r="GE69" s="393" t="str">
        <x:f t="shared" si="107"/>
        <x:v/>
      </x:c>
      <x:c r="GF69" s="343" t="str">
        <x:f t="shared" si="108"/>
        <x:v/>
      </x:c>
      <x:c r="GG69" s="344" t="str">
        <x:f t="shared" si="109"/>
        <x:v/>
      </x:c>
      <x:c r="GH69" s="344" t="str">
        <x:f t="shared" si="110"/>
        <x:v/>
      </x:c>
      <x:c r="GI69" s="345" t="str">
        <x:f t="shared" si="111"/>
        <x:v/>
      </x:c>
      <x:c r="GJ69" s="394">
        <x:f t="shared" ca="1" si="112"/>
        <x:v>0</x:v>
      </x:c>
      <x:c r="GK69" s="1154" t="str">
        <x:f t="shared" ca="1" si="126"/>
        <x:v/>
      </x:c>
    </x:row>
    <x:row r="70" spans="78:193" ht="12.6" hidden="1" customHeight="1" x14ac:dyDescent="0.2">
      <x:c r="BZ70" s="360"/>
      <x:c r="CA70" s="360"/>
      <x:c r="CB70" s="435" t="str">
        <x:f t="shared" si="132"/>
        <x:v/>
      </x:c>
      <x:c r="CC70" s="436" t="str">
        <x:f>IF(CG30="","",VLOOKUP(CG30,SectInfo!$B:$N,12,FALSE))</x:f>
        <x:v/>
      </x:c>
      <x:c r="CD70" s="1172" t="str">
        <x:f>IF(ISBLANK(CZ30),IF(CG30="","",VLOOKUP(CG30,SectInfo!$B:$N,13,FALSE)),CZ30)</x:f>
        <x:v/>
      </x:c>
      <x:c r="CE70" s="437" t="str">
        <x:f>IF(CG30="","",IF(VLOOKUP(CG30,SectInfo!$B:$N,5,FALSE)="","R",UPPER(VLOOKUP(CG30,SectInfo!$B:$N,5,FALSE))))</x:f>
        <x:v/>
      </x:c>
      <x:c r="CF70" s="1172" t="str">
        <x:f>IF(ISBLANK(DD30),IF(CG30="","",VLOOKUP(CG30,SectInfo!$B:$N,6,FALSE)),DD30)</x:f>
        <x:v/>
      </x:c>
      <x:c r="CG70" s="437" t="str">
        <x:f>IF(CG30="","",IF(VLOOKUP(CG30,SectInfo!$B:$N,10,FALSE)="","",(VLOOKUP(CG30,SectInfo!$B:$N,10,FALSE)*-1)))</x:f>
        <x:v/>
      </x:c>
      <x:c r="CH70" s="437" t="str">
        <x:f>IF(CG30="","",IF(VLOOKUP(CG30,SectInfo!$B:$N,7,FALSE)="","",(VLOOKUP(CG30,SectInfo!$B:$N,7,FALSE)*-1)))</x:f>
        <x:v/>
      </x:c>
      <x:c r="CI70" s="437" t="str">
        <x:f>IF(CG30="","",IF(VLOOKUP(CG30,SectInfo!$B:$N,8,FALSE)="",$FC$4,(VLOOKUP(CG30,SectInfo!$B:$N,8,FALSE))))</x:f>
        <x:v/>
      </x:c>
      <x:c r="CJ70" s="437" t="str">
        <x:f>IF(CG30="","",VLOOKUP(CG30,SectInfo!$B:$N,9,FALSE))</x:f>
        <x:v/>
      </x:c>
      <x:c r="CK70" s="438">
        <x:f>CM30*-1</x:f>
        <x:v>0</x:v>
      </x:c>
      <x:c r="CL70" s="436" t="str">
        <x:f>IF(CN30="","",VLOOKUP(CN30,SectInfo!$B:$N,12,FALSE))</x:f>
        <x:v/>
      </x:c>
      <x:c r="CM70" s="1172" t="str">
        <x:f>IF(ISBLANK(DA30),IF(CN30="","",VLOOKUP(CN30,SectInfo!$B:$N,13,FALSE)),DA30)</x:f>
        <x:v/>
      </x:c>
      <x:c r="CN70" s="437" t="str">
        <x:f>IF(CN30="","",IF(VLOOKUP(CN30,SectInfo!$B:$N,5,FALSE)="","R",UPPER(VLOOKUP(CN30,SectInfo!$B:$N,5,FALSE))))</x:f>
        <x:v/>
      </x:c>
      <x:c r="CO70" s="1172" t="str">
        <x:f>IF(ISBLANK(DE30),IF(CN30="","",VLOOKUP(CN30,SectInfo!$B:$N,6,FALSE)),DE30)</x:f>
        <x:v/>
      </x:c>
      <x:c r="CP70" s="437" t="str">
        <x:f>IF(CN30="","",IF(VLOOKUP(CN30,SectInfo!$B:$N,10,FALSE)="","",(VLOOKUP(CN30,SectInfo!$B:$N,10,FALSE)*-1)))</x:f>
        <x:v/>
      </x:c>
      <x:c r="CQ70" s="437" t="str">
        <x:f>IF(CN30="","",IF(VLOOKUP(CN30,SectInfo!$B:$N,7,FALSE)="","",(VLOOKUP(CN30,SectInfo!$B:$N,7,FALSE)*-1)))</x:f>
        <x:v/>
      </x:c>
      <x:c r="CR70" s="437" t="str">
        <x:f>IF(CN30="","",IF(VLOOKUP(CN30,SectInfo!$B:$N,8,FALSE)="",$FC$4,(VLOOKUP(CN30,SectInfo!$B:$N,8,FALSE))))</x:f>
        <x:v/>
      </x:c>
      <x:c r="CS70" s="437" t="str">
        <x:f>IF(CN30="","",VLOOKUP(CN30,SectInfo!$B:$N,9,FALSE))</x:f>
        <x:v/>
      </x:c>
      <x:c r="CT70" s="438">
        <x:f>CT30*-1</x:f>
        <x:v>0</x:v>
      </x:c>
      <x:c r="CU70" s="439">
        <x:f t="shared" si="133"/>
        <x:v>0</x:v>
      </x:c>
      <x:c r="CV70" s="339" t="str">
        <x:f t="shared" si="157"/>
        <x:v/>
      </x:c>
      <x:c r="CW70" s="339" t="str">
        <x:f t="shared" si="134"/>
        <x:v/>
      </x:c>
      <x:c r="CX70" s="1108" t="str">
        <x:f t="shared" si="135"/>
        <x:v/>
      </x:c>
      <x:c r="CY70" s="1109">
        <x:f t="shared" si="158"/>
        <x:v>0</x:v>
      </x:c>
      <x:c r="CZ70" s="1109">
        <x:f t="shared" si="136"/>
        <x:v>0</x:v>
      </x:c>
      <x:c r="DA70" s="1109" t="str">
        <x:f t="shared" si="137"/>
        <x:v/>
      </x:c>
      <x:c r="DB70" s="1125" t="str">
        <x:f t="shared" si="159"/>
        <x:v/>
      </x:c>
      <x:c r="DC70" s="1125" t="str">
        <x:f>IF(CD70="","",IF(NOT(ISBLANK(DB30)),CD70-DB30,MAX(IF(AND(CZ70&gt;=$FB$4,DA70&lt;=$FA$4,OR($FA$1=1,$FA$1=4)),CD70,IF(OR($FA$1=3,$FA$1=4),DB70-$FA$4,DB70+MAX(($FA$4-$FB$4)-(DA70-CZ70)-$EY$4/2*TAN(CY70),0)-$FA$4))-EO70,0)))</x:f>
        <x:v/>
      </x:c>
      <x:c r="DD70" s="1110">
        <x:f t="shared" si="160"/>
        <x:v>0</x:v>
      </x:c>
      <x:c r="DE70" s="1108">
        <x:f t="shared" si="161"/>
        <x:v>0</x:v>
      </x:c>
      <x:c r="DF70" s="1109">
        <x:f t="shared" si="138"/>
        <x:v>0</x:v>
      </x:c>
      <x:c r="DG70" s="1109" t="str">
        <x:f t="shared" si="139"/>
        <x:v/>
      </x:c>
      <x:c r="DH70" s="1125" t="str">
        <x:f t="shared" si="162"/>
        <x:v/>
      </x:c>
      <x:c r="DI70" s="1125" t="str">
        <x:f t="shared" si="163"/>
        <x:v/>
      </x:c>
      <x:c r="DJ70" s="1110">
        <x:f t="shared" si="164"/>
        <x:v>0</x:v>
      </x:c>
      <x:c r="DK70" s="1108" t="str">
        <x:f t="shared" si="165"/>
        <x:v/>
      </x:c>
      <x:c r="DL70" s="1108" t="str">
        <x:f t="shared" si="166"/>
        <x:v/>
      </x:c>
      <x:c r="DM70" s="1108" t="str">
        <x:f t="shared" si="140"/>
        <x:v/>
      </x:c>
      <x:c r="DN70" s="1108" t="str">
        <x:f t="shared" si="141"/>
        <x:v/>
      </x:c>
      <x:c r="DO70" s="1125" t="str">
        <x:f>IF(ISBLANK(DB30),IF(DM70&lt;0.5+($FD$4-0.0625)/2,"ERR",IF(DM70&lt;0.5+$FE$4/2,($FE$4/2+0.5),IF(DM70&lt;$FA$4+IF(MID(CE70,1,1)="R",DC70+DB30,0)-$FE$4/2-0.5,DM70,IF(DM70&lt;=$FA$4+IF(MID(CE70,1,1)="R",DC70,0)-($FD$4-0.0625)/2-0.5,$FA$4+IF(MID(CE70,1,1)="R",DC70,0)-($FE$4/2+0.5),"ERR")))),DM70)</x:f>
        <x:v>ERR</x:v>
      </x:c>
      <x:c r="DP70" s="1125" t="str">
        <x:f>IF(ISBLANK(DB30),IF(DN70&lt;0.5+($FD$4-0.0625)/2,"ERR",IF(DN70&lt;0.5+$FE$4/2,($FE$4/2+0.5),IF(DN70&lt;$FA$4+IF(MID(CE70,1,1)="R",DC70+DB30,0)-$FE$4/2-0.5,DN70,IF(DN70&lt;=$FA$4+IF(MID(CE70,1,1)="R",DC70,0)-($FD$4-0.0625)/2-0.5,$FA$4+IF(MID(CE70,1,1)="R",DC70,0)-($FE$4/2+0.5),"ERR")))),DN70)</x:f>
        <x:v>ERR</x:v>
      </x:c>
      <x:c r="DQ70" s="1108" t="str">
        <x:f t="shared" si="167"/>
        <x:v/>
      </x:c>
      <x:c r="DR70" s="1108" t="str">
        <x:f t="shared" si="167"/>
        <x:v/>
      </x:c>
      <x:c r="DS70" s="1108" t="str">
        <x:f t="shared" si="168"/>
        <x:v/>
      </x:c>
      <x:c r="DT70" s="1108" t="str">
        <x:f t="shared" si="142"/>
        <x:v/>
      </x:c>
      <x:c r="DU70" s="1108" t="str">
        <x:f t="shared" si="143"/>
        <x:v/>
      </x:c>
      <x:c r="DV70" s="1125" t="str">
        <x:f>IF(ISBLANK(DC30),IF(DT70&lt;0.5+($FD$4-0.0625)/2,"ERR",IF(DT70&lt;0.5+$FE$4/2,($FE$4/2+0.5),IF(DT70&lt;$FA$4+IF(MID(CN70,1,1)="R",DI70+DC30,0)-$FE$4/2-0.5,DT70,IF(DT70&lt;=$FA$4+IF(MID(CN70,1,1)="R",DI70,0)-($FD$4-0.0625)/2-0.5,$FA$4+IF(MID(CN70,1,1)="R",DI70,0)-($FE$4/2+0.5),"ERR")))),DT70)</x:f>
        <x:v>ERR</x:v>
      </x:c>
      <x:c r="DW70" s="1125" t="str">
        <x:f>IF(ISBLANK(DC30),IF(DU70&lt;0.5+($FD$4-0.0625)/2,"ERR",IF(DU70&lt;0.5+$FE$4/2,($FE$4/2+0.5),IF(DU70&lt;$FA$4+IF(MID(CN70,1,1)="R",DI70+DC30,0)-$FE$4/2-0.5,DU70,IF(DU70&lt;=$FA$4+IF(MID(CN70,1,1)="R",DI70,0)-($FD$4-0.0625)/2-0.5,$FA$4+IF(MID(CN70,1,1)="R",DI70,0)-($FE$4/2+0.5),"ERR")))),DU70)</x:f>
        <x:v>ERR</x:v>
      </x:c>
      <x:c r="DX70" s="1108" t="str">
        <x:f t="shared" si="169"/>
        <x:v/>
      </x:c>
      <x:c r="DY70" s="1108" t="str">
        <x:f t="shared" si="169"/>
        <x:v/>
      </x:c>
      <x:c r="DZ70" s="1108" t="str">
        <x:f>IF(CG70="","",IF((CD70-CG70)/COS(CU70)-FB70&lt;=-0.0625,CEILING((CD70-CG70)/COS(CU70)-FB70+0.0625,-0.125),IF((CD70-CG70)/COS(CU70)-FB70&gt;=0.0625,CEILING((CD70-CG70)/COS(CU70)-FB70-0.0625,0.125),0)))</x:f>
        <x:v/>
      </x:c>
      <x:c r="EA70" s="1108" t="str">
        <x:f>IF(CP70="","",IF((CM70-CP70)/COS(CU70)-FC70&lt;=-0.0625,CEILING((CM70-CP70)/COS(CU70)-FC70+0.0625,-0.125),IF((CM70-CP70)/COS(CU70)-FC70&gt;=0.0625,CEILING((CM70-CP70)/COS(CU70)-FC70-0.0625,0.125),0)))</x:f>
        <x:v/>
      </x:c>
      <x:c r="EB70" s="1111" t="str">
        <x:f t="shared" si="144"/>
        <x:v/>
      </x:c>
      <x:c r="EC70" s="1112" t="str">
        <x:f t="shared" si="170"/>
        <x:v/>
      </x:c>
      <x:c r="ED70" s="1111" t="str">
        <x:f t="shared" si="145"/>
        <x:v/>
      </x:c>
      <x:c r="EE70" s="1111" t="str">
        <x:f t="shared" si="171"/>
        <x:v/>
      </x:c>
      <x:c r="EF70" s="1111" t="str">
        <x:f t="shared" si="172"/>
        <x:v/>
      </x:c>
      <x:c r="EG70" s="1111" t="str">
        <x:f t="shared" si="146"/>
        <x:v/>
      </x:c>
      <x:c r="EH70" s="1111" t="str">
        <x:f t="shared" si="173"/>
        <x:v/>
      </x:c>
      <x:c r="EI70" s="1111" t="str">
        <x:f t="shared" si="174"/>
        <x:v/>
      </x:c>
      <x:c r="EJ70" s="1111" t="str">
        <x:f t="shared" si="147"/>
        <x:v/>
      </x:c>
      <x:c r="EK70" s="1109">
        <x:f>IF(CK70="",0,ATAN(CK70/12))</x:f>
        <x:v>0</x:v>
      </x:c>
      <x:c r="EL70" s="1109">
        <x:f t="shared" si="176"/>
        <x:v>0</x:v>
      </x:c>
      <x:c r="EM70" s="1109">
        <x:f t="shared" si="148"/>
        <x:v>0</x:v>
      </x:c>
      <x:c r="EN70" s="1109" t="str">
        <x:f t="shared" si="149"/>
        <x:v/>
      </x:c>
      <x:c r="EO70" s="1108" t="str">
        <x:f t="shared" si="177"/>
        <x:v/>
      </x:c>
      <x:c r="EP70" s="1109">
        <x:f t="shared" si="178"/>
        <x:v>0</x:v>
      </x:c>
      <x:c r="EQ70" s="1109">
        <x:f t="shared" si="179"/>
        <x:v>0</x:v>
      </x:c>
      <x:c r="ER70" s="1109">
        <x:f t="shared" si="150"/>
        <x:v>0</x:v>
      </x:c>
      <x:c r="ES70" s="1109" t="str">
        <x:f t="shared" si="151"/>
        <x:v/>
      </x:c>
      <x:c r="ET70" s="1108" t="str">
        <x:f t="shared" si="180"/>
        <x:v/>
      </x:c>
      <x:c r="EU70" s="1108">
        <x:f t="shared" si="152"/>
        <x:v>0</x:v>
      </x:c>
      <x:c r="EV70" s="1111" t="e">
        <x:f>MIN(IF(CH30&gt;0,CH30/2,MAX(CI30/2,CJ70)),IF(CI30&gt;0,CI30/2,MAX(CH30/2,CJ70)),IF(CJ70&gt;0,CJ70,MAX(CI30/2,CH30/2)))/COS(CY70)+CD70-DC70</x:f>
        <x:v>#VALUE!</x:v>
      </x:c>
      <x:c r="EW70" s="1111" t="e">
        <x:f>MIN(IF(CO30&gt;0,CO30/2,MAX(CP30/2,CS70)),IF(CP30&gt;0,CP30/2,MAX(CO30/2,CS70)),IF(CS70&gt;0,CS70,MAX(CP30/2,CO30/2)))/COS(DE70)+CM70-DI70</x:f>
        <x:v>#VALUE!</x:v>
      </x:c>
      <x:c r="EX70" s="1199" t="str">
        <x:f t="shared" si="181"/>
        <x:v/>
      </x:c>
      <x:c r="EY70" s="1114">
        <x:f t="shared" si="182"/>
        <x:v>25</x:v>
      </x:c>
      <x:c r="EZ70" s="1219">
        <x:f t="shared" si="183"/>
        <x:v>0</x:v>
      </x:c>
      <x:c r="FA70" s="1220">
        <x:f t="shared" si="184"/>
        <x:v>0</x:v>
      </x:c>
      <x:c r="FB70" s="1115" t="str">
        <x:f t="shared" si="153"/>
        <x:v/>
      </x:c>
      <x:c r="FC70" s="1116" t="str">
        <x:f t="shared" si="154"/>
        <x:v/>
      </x:c>
      <x:c r="FD70" s="614">
        <x:f t="shared" si="155"/>
        <x:v>0</x:v>
      </x:c>
      <x:c r="FE70" s="615">
        <x:f t="shared" si="156"/>
        <x:v>0</x:v>
      </x:c>
      <x:c r="FF70" s="970" t="b">
        <x:f t="shared" si="101"/>
        <x:v>0</x:v>
      </x:c>
      <x:c r="FG70" s="970" t="b">
        <x:f t="shared" si="102"/>
        <x:v>0</x:v>
      </x:c>
      <x:c r="FH70" s="970" t="b">
        <x:f t="shared" si="103"/>
        <x:v>0</x:v>
      </x:c>
      <x:c r="FI70" s="1159" t="b">
        <x:f t="shared" si="104"/>
        <x:v>0</x:v>
      </x:c>
      <x:c r="FJ70" s="1161" t="str">
        <x:f t="shared" si="113"/>
        <x:v/>
      </x:c>
      <x:c r="FK70" s="1160" t="str">
        <x:f t="shared" si="114"/>
        <x:v/>
      </x:c>
      <x:c r="FL70" s="388" t="e">
        <x:f t="shared" si="115"/>
        <x:v>#N/A</x:v>
      </x:c>
      <x:c r="FM70" s="380" t="str">
        <x:f t="shared" si="105"/>
        <x:v/>
      </x:c>
      <x:c r="FN70" s="337" t="str">
        <x:f t="shared" ca="1" si="116"/>
        <x:v/>
      </x:c>
      <x:c r="FO70" s="338" t="str">
        <x:f t="shared" ca="1" si="117"/>
        <x:v/>
      </x:c>
      <x:c r="FP70" s="339" t="str">
        <x:f t="shared" ca="1" si="118"/>
        <x:v/>
      </x:c>
      <x:c r="FQ70" s="339" t="str">
        <x:f t="shared" ca="1" si="119"/>
        <x:v/>
      </x:c>
      <x:c r="FR70" s="389">
        <x:f t="shared" ca="1" si="120"/>
        <x:v>0</x:v>
      </x:c>
      <x:c r="FS70" s="390">
        <x:f t="shared" ca="1" si="121"/>
        <x:v>0</x:v>
      </x:c>
      <x:c r="FT70" s="337" t="str">
        <x:f t="shared" ca="1" si="127"/>
        <x:v/>
      </x:c>
      <x:c r="FU70" s="340" t="str">
        <x:f t="shared" ca="1" si="128"/>
        <x:v/>
      </x:c>
      <x:c r="FV70" s="391" t="str">
        <x:f t="shared" ca="1" si="129"/>
        <x:v/>
      </x:c>
      <x:c r="FW70" s="341" t="str">
        <x:f t="shared" ca="1" si="122"/>
        <x:v/>
      </x:c>
      <x:c r="FX70" s="341" t="str">
        <x:f t="shared" ca="1" si="123"/>
        <x:v/>
      </x:c>
      <x:c r="FY70" s="341" t="str">
        <x:f t="shared" ca="1" si="130"/>
        <x:v/>
      </x:c>
      <x:c r="FZ70" s="341" t="str">
        <x:f t="shared" ca="1" si="124"/>
        <x:v/>
      </x:c>
      <x:c r="GA70" s="341" t="str">
        <x:f t="shared" ca="1" si="131"/>
        <x:v/>
      </x:c>
      <x:c r="GB70" s="342" t="str">
        <x:f ca="1">IF(FY70="","",2+SUM(FO70:OFFSET(FO70,(FU70-1)*-1,0)))</x:f>
        <x:v/>
      </x:c>
      <x:c r="GC70" s="384" t="e">
        <x:f t="shared" si="125"/>
        <x:v>#N/A</x:v>
      </x:c>
      <x:c r="GD70" s="392" t="str">
        <x:f t="shared" si="106"/>
        <x:v/>
      </x:c>
      <x:c r="GE70" s="393" t="str">
        <x:f t="shared" si="107"/>
        <x:v/>
      </x:c>
      <x:c r="GF70" s="343" t="str">
        <x:f t="shared" si="108"/>
        <x:v/>
      </x:c>
      <x:c r="GG70" s="344" t="str">
        <x:f t="shared" si="109"/>
        <x:v/>
      </x:c>
      <x:c r="GH70" s="344" t="str">
        <x:f t="shared" si="110"/>
        <x:v/>
      </x:c>
      <x:c r="GI70" s="345" t="str">
        <x:f t="shared" si="111"/>
        <x:v/>
      </x:c>
      <x:c r="GJ70" s="394">
        <x:f t="shared" ca="1" si="112"/>
        <x:v>0</x:v>
      </x:c>
      <x:c r="GK70" s="1154" t="str">
        <x:f t="shared" ca="1" si="126"/>
        <x:v/>
      </x:c>
    </x:row>
    <x:row r="71" spans="78:193" ht="12.6" hidden="1" customHeight="1" x14ac:dyDescent="0.2">
      <x:c r="BZ71" s="360"/>
      <x:c r="CA71" s="360"/>
      <x:c r="CB71" s="435" t="str">
        <x:f t="shared" si="132"/>
        <x:v/>
      </x:c>
      <x:c r="CC71" s="436" t="str">
        <x:f>IF(CG31="","",VLOOKUP(CG31,SectInfo!$B:$N,12,FALSE))</x:f>
        <x:v/>
      </x:c>
      <x:c r="CD71" s="1172" t="str">
        <x:f>IF(ISBLANK(CZ31),IF(CG31="","",VLOOKUP(CG31,SectInfo!$B:$N,13,FALSE)),CZ31)</x:f>
        <x:v/>
      </x:c>
      <x:c r="CE71" s="437" t="str">
        <x:f>IF(CG31="","",IF(VLOOKUP(CG31,SectInfo!$B:$N,5,FALSE)="","R",UPPER(VLOOKUP(CG31,SectInfo!$B:$N,5,FALSE))))</x:f>
        <x:v/>
      </x:c>
      <x:c r="CF71" s="1172" t="str">
        <x:f>IF(ISBLANK(DD31),IF(CG31="","",VLOOKUP(CG31,SectInfo!$B:$N,6,FALSE)),DD31)</x:f>
        <x:v/>
      </x:c>
      <x:c r="CG71" s="437" t="str">
        <x:f>IF(CG31="","",IF(VLOOKUP(CG31,SectInfo!$B:$N,10,FALSE)="","",(VLOOKUP(CG31,SectInfo!$B:$N,10,FALSE)*-1)))</x:f>
        <x:v/>
      </x:c>
      <x:c r="CH71" s="437" t="str">
        <x:f>IF(CG31="","",IF(VLOOKUP(CG31,SectInfo!$B:$N,7,FALSE)="","",(VLOOKUP(CG31,SectInfo!$B:$N,7,FALSE)*-1)))</x:f>
        <x:v/>
      </x:c>
      <x:c r="CI71" s="437" t="str">
        <x:f>IF(CG31="","",IF(VLOOKUP(CG31,SectInfo!$B:$N,8,FALSE)="",$FC$4,(VLOOKUP(CG31,SectInfo!$B:$N,8,FALSE))))</x:f>
        <x:v/>
      </x:c>
      <x:c r="CJ71" s="437" t="str">
        <x:f>IF(CG31="","",VLOOKUP(CG31,SectInfo!$B:$N,9,FALSE))</x:f>
        <x:v/>
      </x:c>
      <x:c r="CK71" s="438">
        <x:f t="shared" ref="CK71:CK85" si="185">CM31*-1</x:f>
        <x:v>0</x:v>
      </x:c>
      <x:c r="CL71" s="436" t="str">
        <x:f>IF(CN31="","",VLOOKUP(CN31,SectInfo!$B:$N,12,FALSE))</x:f>
        <x:v/>
      </x:c>
      <x:c r="CM71" s="1172" t="str">
        <x:f>IF(ISBLANK(DA31),IF(CN31="","",VLOOKUP(CN31,SectInfo!$B:$N,13,FALSE)),DA31)</x:f>
        <x:v/>
      </x:c>
      <x:c r="CN71" s="437" t="str">
        <x:f>IF(CN31="","",IF(VLOOKUP(CN31,SectInfo!$B:$N,5,FALSE)="","R",UPPER(VLOOKUP(CN31,SectInfo!$B:$N,5,FALSE))))</x:f>
        <x:v/>
      </x:c>
      <x:c r="CO71" s="1172" t="str">
        <x:f>IF(ISBLANK(DE31),IF(CN31="","",VLOOKUP(CN31,SectInfo!$B:$N,6,FALSE)),DE31)</x:f>
        <x:v/>
      </x:c>
      <x:c r="CP71" s="437" t="str">
        <x:f>IF(CN31="","",IF(VLOOKUP(CN31,SectInfo!$B:$N,10,FALSE)="","",(VLOOKUP(CN31,SectInfo!$B:$N,10,FALSE)*-1)))</x:f>
        <x:v/>
      </x:c>
      <x:c r="CQ71" s="437" t="str">
        <x:f>IF(CN31="","",IF(VLOOKUP(CN31,SectInfo!$B:$N,7,FALSE)="","",(VLOOKUP(CN31,SectInfo!$B:$N,7,FALSE)*-1)))</x:f>
        <x:v/>
      </x:c>
      <x:c r="CR71" s="437" t="str">
        <x:f>IF(CN31="","",IF(VLOOKUP(CN31,SectInfo!$B:$N,8,FALSE)="",$FC$4,(VLOOKUP(CN31,SectInfo!$B:$N,8,FALSE))))</x:f>
        <x:v/>
      </x:c>
      <x:c r="CS71" s="437" t="str">
        <x:f>IF(CN31="","",VLOOKUP(CN31,SectInfo!$B:$N,9,FALSE))</x:f>
        <x:v/>
      </x:c>
      <x:c r="CT71" s="438">
        <x:f t="shared" ref="CT71:CT85" si="186">CT31*-1</x:f>
        <x:v>0</x:v>
      </x:c>
      <x:c r="CU71" s="439">
        <x:f t="shared" si="133"/>
        <x:v>0</x:v>
      </x:c>
      <x:c r="CV71" s="339" t="str">
        <x:f t="shared" si="157"/>
        <x:v/>
      </x:c>
      <x:c r="CW71" s="339" t="str">
        <x:f t="shared" si="134"/>
        <x:v/>
      </x:c>
      <x:c r="CX71" s="1108" t="str">
        <x:f t="shared" si="135"/>
        <x:v/>
      </x:c>
      <x:c r="CY71" s="1109">
        <x:f t="shared" si="158"/>
        <x:v>0</x:v>
      </x:c>
      <x:c r="CZ71" s="1109">
        <x:f t="shared" si="136"/>
        <x:v>0</x:v>
      </x:c>
      <x:c r="DA71" s="1109" t="str">
        <x:f t="shared" si="137"/>
        <x:v/>
      </x:c>
      <x:c r="DB71" s="1125" t="str">
        <x:f t="shared" si="159"/>
        <x:v/>
      </x:c>
      <x:c r="DC71" s="1125" t="str">
        <x:f t="shared" ref="DC71:DC85" si="187">IF(CD71="","",IF(NOT(ISBLANK(DB31)),CD71-DB31,MAX(IF(AND(CZ71&gt;=$FB$4,DA71&lt;=$FA$4,OR($FA$1=1,$FA$1=4)),CD71,IF(OR($FA$1=3,$FA$1=4),DB71-$FA$4,DB71+MAX(($FA$4-$FB$4)-(DA71-CZ71)-$EY$4/2*TAN(CY71),0)-$FA$4))-EO71,0)))</x:f>
        <x:v/>
      </x:c>
      <x:c r="DD71" s="1110">
        <x:f t="shared" si="160"/>
        <x:v>0</x:v>
      </x:c>
      <x:c r="DE71" s="1108">
        <x:f t="shared" si="161"/>
        <x:v>0</x:v>
      </x:c>
      <x:c r="DF71" s="1109">
        <x:f t="shared" si="138"/>
        <x:v>0</x:v>
      </x:c>
      <x:c r="DG71" s="1109" t="str">
        <x:f t="shared" si="139"/>
        <x:v/>
      </x:c>
      <x:c r="DH71" s="1125" t="str">
        <x:f t="shared" si="162"/>
        <x:v/>
      </x:c>
      <x:c r="DI71" s="1125" t="str">
        <x:f t="shared" si="163"/>
        <x:v/>
      </x:c>
      <x:c r="DJ71" s="1110">
        <x:f t="shared" si="164"/>
        <x:v>0</x:v>
      </x:c>
      <x:c r="DK71" s="1108" t="str">
        <x:f t="shared" si="165"/>
        <x:v/>
      </x:c>
      <x:c r="DL71" s="1108" t="str">
        <x:f t="shared" si="166"/>
        <x:v/>
      </x:c>
      <x:c r="DM71" s="1108" t="str">
        <x:f t="shared" si="140"/>
        <x:v/>
      </x:c>
      <x:c r="DN71" s="1108" t="str">
        <x:f t="shared" si="141"/>
        <x:v/>
      </x:c>
      <x:c r="DO71" s="1125" t="str">
        <x:f t="shared" ref="DO71:DO85" si="188">IF(ISBLANK(DB31),IF(DM71&lt;0.5+($FD$4-0.0625)/2,"ERR",IF(DM71&lt;0.5+$FE$4/2,($FE$4/2+0.5),IF(DM71&lt;$FA$4+IF(MID(CE71,1,1)="R",DC71+DB31,0)-$FE$4/2-0.5,DM71,IF(DM71&lt;=$FA$4+IF(MID(CE71,1,1)="R",DC71,0)-($FD$4-0.0625)/2-0.5,$FA$4+IF(MID(CE71,1,1)="R",DC71,0)-($FE$4/2+0.5),"ERR")))),DM71)</x:f>
        <x:v>ERR</x:v>
      </x:c>
      <x:c r="DP71" s="1125" t="str">
        <x:f t="shared" ref="DP71:DP85" si="189">IF(ISBLANK(DB31),IF(DN71&lt;0.5+($FD$4-0.0625)/2,"ERR",IF(DN71&lt;0.5+$FE$4/2,($FE$4/2+0.5),IF(DN71&lt;$FA$4+IF(MID(CE71,1,1)="R",DC71+DB31,0)-$FE$4/2-0.5,DN71,IF(DN71&lt;=$FA$4+IF(MID(CE71,1,1)="R",DC71,0)-($FD$4-0.0625)/2-0.5,$FA$4+IF(MID(CE71,1,1)="R",DC71,0)-($FE$4/2+0.5),"ERR")))),DN71)</x:f>
        <x:v>ERR</x:v>
      </x:c>
      <x:c r="DQ71" s="1108" t="str">
        <x:f t="shared" si="167"/>
        <x:v/>
      </x:c>
      <x:c r="DR71" s="1108" t="str">
        <x:f t="shared" si="167"/>
        <x:v/>
      </x:c>
      <x:c r="DS71" s="1108" t="str">
        <x:f t="shared" si="168"/>
        <x:v/>
      </x:c>
      <x:c r="DT71" s="1108" t="str">
        <x:f t="shared" si="142"/>
        <x:v/>
      </x:c>
      <x:c r="DU71" s="1108" t="str">
        <x:f t="shared" si="143"/>
        <x:v/>
      </x:c>
      <x:c r="DV71" s="1125" t="str">
        <x:f t="shared" ref="DV71:DV85" si="190">IF(ISBLANK(DC31),IF(DT71&lt;0.5+($FD$4-0.0625)/2,"ERR",IF(DT71&lt;0.5+$FE$4/2,($FE$4/2+0.5),IF(DT71&lt;$FA$4+IF(MID(CN71,1,1)="R",DI71+DC31,0)-$FE$4/2-0.5,DT71,IF(DT71&lt;=$FA$4+IF(MID(CN71,1,1)="R",DI71,0)-($FD$4-0.0625)/2-0.5,$FA$4+IF(MID(CN71,1,1)="R",DI71,0)-($FE$4/2+0.5),"ERR")))),DT71)</x:f>
        <x:v>ERR</x:v>
      </x:c>
      <x:c r="DW71" s="1125" t="str">
        <x:f t="shared" ref="DW71:DW85" si="191">IF(ISBLANK(DC31),IF(DU71&lt;0.5+($FD$4-0.0625)/2,"ERR",IF(DU71&lt;0.5+$FE$4/2,($FE$4/2+0.5),IF(DU71&lt;$FA$4+IF(MID(CN71,1,1)="R",DI71+DC31,0)-$FE$4/2-0.5,DU71,IF(DU71&lt;=$FA$4+IF(MID(CN71,1,1)="R",DI71,0)-($FD$4-0.0625)/2-0.5,$FA$4+IF(MID(CN71,1,1)="R",DI71,0)-($FE$4/2+0.5),"ERR")))),DU71)</x:f>
        <x:v>ERR</x:v>
      </x:c>
      <x:c r="DX71" s="1108" t="str">
        <x:f t="shared" si="169"/>
        <x:v/>
      </x:c>
      <x:c r="DY71" s="1108" t="str">
        <x:f t="shared" si="169"/>
        <x:v/>
      </x:c>
      <x:c r="DZ71" s="1108" t="str">
        <x:f>IF(CG71="","",IF((CD71-CG71)/COS(CU71)-FB71&lt;=-0.0625,CEILING((CD71-CG71)/COS(CU71)-FB71+0.0625,-0.125),IF((CD71-CG71)/COS(CU71)-FB71&gt;=0.0625,CEILING((CD71-CG71)/COS(CU71)-FB71-0.0625,0.125),0)))</x:f>
        <x:v/>
      </x:c>
      <x:c r="EA71" s="1108" t="str">
        <x:f>IF(CP71="","",IF((CM71-CP71)/COS(CU71)-FC71&lt;=-0.0625,CEILING((CM71-CP71)/COS(CU71)-FC71+0.0625,-0.125),IF((CM71-CP71)/COS(CU71)-FC71&gt;=0.0625,CEILING((CM71-CP71)/COS(CU71)-FC71-0.0625,0.125),0)))</x:f>
        <x:v/>
      </x:c>
      <x:c r="EB71" s="1111" t="str">
        <x:f t="shared" si="144"/>
        <x:v/>
      </x:c>
      <x:c r="EC71" s="1112" t="str">
        <x:f t="shared" si="170"/>
        <x:v/>
      </x:c>
      <x:c r="ED71" s="1111" t="str">
        <x:f t="shared" si="145"/>
        <x:v/>
      </x:c>
      <x:c r="EE71" s="1111" t="str">
        <x:f t="shared" si="171"/>
        <x:v/>
      </x:c>
      <x:c r="EF71" s="1111" t="str">
        <x:f t="shared" si="172"/>
        <x:v/>
      </x:c>
      <x:c r="EG71" s="1111" t="str">
        <x:f t="shared" si="146"/>
        <x:v/>
      </x:c>
      <x:c r="EH71" s="1111" t="str">
        <x:f t="shared" si="173"/>
        <x:v/>
      </x:c>
      <x:c r="EI71" s="1111" t="str">
        <x:f t="shared" si="174"/>
        <x:v/>
      </x:c>
      <x:c r="EJ71" s="1111" t="str">
        <x:f t="shared" si="147"/>
        <x:v/>
      </x:c>
      <x:c r="EK71" s="1109">
        <x:f t="shared" si="175"/>
        <x:v>0</x:v>
      </x:c>
      <x:c r="EL71" s="1109">
        <x:f t="shared" si="176"/>
        <x:v>0</x:v>
      </x:c>
      <x:c r="EM71" s="1109">
        <x:f t="shared" si="148"/>
        <x:v>0</x:v>
      </x:c>
      <x:c r="EN71" s="1109" t="str">
        <x:f t="shared" si="149"/>
        <x:v/>
      </x:c>
      <x:c r="EO71" s="1108" t="str">
        <x:f t="shared" si="177"/>
        <x:v/>
      </x:c>
      <x:c r="EP71" s="1109">
        <x:f t="shared" si="178"/>
        <x:v>0</x:v>
      </x:c>
      <x:c r="EQ71" s="1109">
        <x:f t="shared" si="179"/>
        <x:v>0</x:v>
      </x:c>
      <x:c r="ER71" s="1109">
        <x:f t="shared" si="150"/>
        <x:v>0</x:v>
      </x:c>
      <x:c r="ES71" s="1109" t="str">
        <x:f t="shared" si="151"/>
        <x:v/>
      </x:c>
      <x:c r="ET71" s="1108" t="str">
        <x:f t="shared" si="180"/>
        <x:v/>
      </x:c>
      <x:c r="EU71" s="1108">
        <x:f t="shared" si="152"/>
        <x:v>0</x:v>
      </x:c>
      <x:c r="EV71" s="1111" t="e">
        <x:f t="shared" ref="EV71:EV85" si="192">MIN(IF(CH31&gt;0,CH31/2,MAX(CI31/2,CJ71)),IF(CI31&gt;0,CI31/2,MAX(CH31/2,CJ71)),IF(CJ71&gt;0,CJ71,MAX(CI31/2,CH31/2)))/COS(CY71)+CD71-DC71</x:f>
        <x:v>#VALUE!</x:v>
      </x:c>
      <x:c r="EW71" s="1111" t="e">
        <x:f t="shared" ref="EW71:EW85" si="193">MIN(IF(CO31&gt;0,CO31/2,MAX(CP31/2,CS71)),IF(CP31&gt;0,CP31/2,MAX(CO31/2,CS71)),IF(CS71&gt;0,CS71,MAX(CP31/2,CO31/2)))/COS(DE71)+CM71-DI71</x:f>
        <x:v>#VALUE!</x:v>
      </x:c>
      <x:c r="EX71" s="1199" t="str">
        <x:f t="shared" si="181"/>
        <x:v/>
      </x:c>
      <x:c r="EY71" s="1114">
        <x:f t="shared" si="182"/>
        <x:v>25</x:v>
      </x:c>
      <x:c r="EZ71" s="1219">
        <x:f t="shared" si="183"/>
        <x:v>0</x:v>
      </x:c>
      <x:c r="FA71" s="1220">
        <x:f t="shared" si="184"/>
        <x:v>0</x:v>
      </x:c>
      <x:c r="FB71" s="1115" t="str">
        <x:f t="shared" si="153"/>
        <x:v/>
      </x:c>
      <x:c r="FC71" s="1116" t="str">
        <x:f t="shared" si="154"/>
        <x:v/>
      </x:c>
      <x:c r="FD71" s="614">
        <x:f t="shared" si="155"/>
        <x:v>0</x:v>
      </x:c>
      <x:c r="FE71" s="615">
        <x:f t="shared" si="156"/>
        <x:v>0</x:v>
      </x:c>
      <x:c r="FF71" s="970" t="b">
        <x:f t="shared" si="101"/>
        <x:v>0</x:v>
      </x:c>
      <x:c r="FG71" s="970" t="b">
        <x:f t="shared" si="102"/>
        <x:v>0</x:v>
      </x:c>
      <x:c r="FH71" s="970" t="b">
        <x:f t="shared" si="103"/>
        <x:v>0</x:v>
      </x:c>
      <x:c r="FI71" s="1159" t="b">
        <x:f t="shared" si="104"/>
        <x:v>0</x:v>
      </x:c>
      <x:c r="FJ71" s="1161" t="str">
        <x:f t="shared" si="113"/>
        <x:v/>
      </x:c>
      <x:c r="FK71" s="1160" t="str">
        <x:f t="shared" si="114"/>
        <x:v/>
      </x:c>
      <x:c r="FL71" s="388" t="e">
        <x:f t="shared" si="115"/>
        <x:v>#N/A</x:v>
      </x:c>
      <x:c r="FM71" s="380" t="str">
        <x:f t="shared" si="105"/>
        <x:v/>
      </x:c>
      <x:c r="FN71" s="337" t="str">
        <x:f t="shared" ca="1" si="116"/>
        <x:v/>
      </x:c>
      <x:c r="FO71" s="338" t="str">
        <x:f t="shared" ca="1" si="117"/>
        <x:v/>
      </x:c>
      <x:c r="FP71" s="339" t="str">
        <x:f t="shared" ca="1" si="118"/>
        <x:v/>
      </x:c>
      <x:c r="FQ71" s="339" t="str">
        <x:f t="shared" ca="1" si="119"/>
        <x:v/>
      </x:c>
      <x:c r="FR71" s="389">
        <x:f t="shared" ca="1" si="120"/>
        <x:v>0</x:v>
      </x:c>
      <x:c r="FS71" s="390">
        <x:f t="shared" ca="1" si="121"/>
        <x:v>0</x:v>
      </x:c>
      <x:c r="FT71" s="337" t="str">
        <x:f t="shared" ca="1" si="127"/>
        <x:v/>
      </x:c>
      <x:c r="FU71" s="340" t="str">
        <x:f t="shared" ca="1" si="128"/>
        <x:v/>
      </x:c>
      <x:c r="FV71" s="391" t="str">
        <x:f t="shared" ca="1" si="129"/>
        <x:v/>
      </x:c>
      <x:c r="FW71" s="341" t="str">
        <x:f t="shared" ca="1" si="122"/>
        <x:v/>
      </x:c>
      <x:c r="FX71" s="341" t="str">
        <x:f t="shared" ca="1" si="123"/>
        <x:v/>
      </x:c>
      <x:c r="FY71" s="341" t="str">
        <x:f t="shared" ca="1" si="130"/>
        <x:v/>
      </x:c>
      <x:c r="FZ71" s="341" t="str">
        <x:f t="shared" ca="1" si="124"/>
        <x:v/>
      </x:c>
      <x:c r="GA71" s="341" t="str">
        <x:f t="shared" ca="1" si="131"/>
        <x:v/>
      </x:c>
      <x:c r="GB71" s="342" t="str">
        <x:f ca="1">IF(FY71="","",2+SUM(FO71:OFFSET(FO71,(FU71-1)*-1,0)))</x:f>
        <x:v/>
      </x:c>
      <x:c r="GC71" s="384" t="e">
        <x:f t="shared" si="125"/>
        <x:v>#N/A</x:v>
      </x:c>
      <x:c r="GD71" s="392" t="str">
        <x:f t="shared" si="106"/>
        <x:v/>
      </x:c>
      <x:c r="GE71" s="393" t="str">
        <x:f t="shared" si="107"/>
        <x:v/>
      </x:c>
      <x:c r="GF71" s="343" t="str">
        <x:f t="shared" si="108"/>
        <x:v/>
      </x:c>
      <x:c r="GG71" s="344" t="str">
        <x:f t="shared" si="109"/>
        <x:v/>
      </x:c>
      <x:c r="GH71" s="344" t="str">
        <x:f t="shared" si="110"/>
        <x:v/>
      </x:c>
      <x:c r="GI71" s="345" t="str">
        <x:f t="shared" si="111"/>
        <x:v/>
      </x:c>
      <x:c r="GJ71" s="394">
        <x:f t="shared" ca="1" si="112"/>
        <x:v>0</x:v>
      </x:c>
      <x:c r="GK71" s="1154" t="str">
        <x:f t="shared" ca="1" si="126"/>
        <x:v/>
      </x:c>
    </x:row>
    <x:row r="72" spans="78:193" ht="12.6" hidden="1" customHeight="1" x14ac:dyDescent="0.2">
      <x:c r="BZ72" s="360"/>
      <x:c r="CA72" s="360"/>
      <x:c r="CB72" s="435" t="str">
        <x:f t="shared" si="132"/>
        <x:v/>
      </x:c>
      <x:c r="CC72" s="436" t="str">
        <x:f>IF(CG32="","",VLOOKUP(CG32,SectInfo!$B:$N,12,FALSE))</x:f>
        <x:v/>
      </x:c>
      <x:c r="CD72" s="1172" t="str">
        <x:f>IF(ISBLANK(CZ32),IF(CG32="","",VLOOKUP(CG32,SectInfo!$B:$N,13,FALSE)),CZ32)</x:f>
        <x:v/>
      </x:c>
      <x:c r="CE72" s="437" t="str">
        <x:f>IF(CG32="","",IF(VLOOKUP(CG32,SectInfo!$B:$N,5,FALSE)="","R",UPPER(VLOOKUP(CG32,SectInfo!$B:$N,5,FALSE))))</x:f>
        <x:v/>
      </x:c>
      <x:c r="CF72" s="1172" t="str">
        <x:f>IF(ISBLANK(DD32),IF(CG32="","",VLOOKUP(CG32,SectInfo!$B:$N,6,FALSE)),DD32)</x:f>
        <x:v/>
      </x:c>
      <x:c r="CG72" s="437" t="str">
        <x:f>IF(CG32="","",IF(VLOOKUP(CG32,SectInfo!$B:$N,10,FALSE)="","",(VLOOKUP(CG32,SectInfo!$B:$N,10,FALSE)*-1)))</x:f>
        <x:v/>
      </x:c>
      <x:c r="CH72" s="437" t="str">
        <x:f>IF(CG32="","",IF(VLOOKUP(CG32,SectInfo!$B:$N,7,FALSE)="","",(VLOOKUP(CG32,SectInfo!$B:$N,7,FALSE)*-1)))</x:f>
        <x:v/>
      </x:c>
      <x:c r="CI72" s="437" t="str">
        <x:f>IF(CG32="","",IF(VLOOKUP(CG32,SectInfo!$B:$N,8,FALSE)="",$FC$4,(VLOOKUP(CG32,SectInfo!$B:$N,8,FALSE))))</x:f>
        <x:v/>
      </x:c>
      <x:c r="CJ72" s="437" t="str">
        <x:f>IF(CG32="","",VLOOKUP(CG32,SectInfo!$B:$N,9,FALSE))</x:f>
        <x:v/>
      </x:c>
      <x:c r="CK72" s="438">
        <x:f t="shared" si="185"/>
        <x:v>0</x:v>
      </x:c>
      <x:c r="CL72" s="436" t="str">
        <x:f>IF(CN32="","",VLOOKUP(CN32,SectInfo!$B:$N,12,FALSE))</x:f>
        <x:v/>
      </x:c>
      <x:c r="CM72" s="1172" t="str">
        <x:f>IF(ISBLANK(DA32),IF(CN32="","",VLOOKUP(CN32,SectInfo!$B:$N,13,FALSE)),DA32)</x:f>
        <x:v/>
      </x:c>
      <x:c r="CN72" s="437" t="str">
        <x:f>IF(CN32="","",IF(VLOOKUP(CN32,SectInfo!$B:$N,5,FALSE)="","R",UPPER(VLOOKUP(CN32,SectInfo!$B:$N,5,FALSE))))</x:f>
        <x:v/>
      </x:c>
      <x:c r="CO72" s="1172" t="str">
        <x:f>IF(ISBLANK(DE32),IF(CN32="","",VLOOKUP(CN32,SectInfo!$B:$N,6,FALSE)),DE32)</x:f>
        <x:v/>
      </x:c>
      <x:c r="CP72" s="437" t="str">
        <x:f>IF(CN32="","",IF(VLOOKUP(CN32,SectInfo!$B:$N,10,FALSE)="","",(VLOOKUP(CN32,SectInfo!$B:$N,10,FALSE)*-1)))</x:f>
        <x:v/>
      </x:c>
      <x:c r="CQ72" s="437" t="str">
        <x:f>IF(CN32="","",IF(VLOOKUP(CN32,SectInfo!$B:$N,7,FALSE)="","",(VLOOKUP(CN32,SectInfo!$B:$N,7,FALSE)*-1)))</x:f>
        <x:v/>
      </x:c>
      <x:c r="CR72" s="437" t="str">
        <x:f>IF(CN32="","",IF(VLOOKUP(CN32,SectInfo!$B:$N,8,FALSE)="",$FC$4,(VLOOKUP(CN32,SectInfo!$B:$N,8,FALSE))))</x:f>
        <x:v/>
      </x:c>
      <x:c r="CS72" s="437" t="str">
        <x:f>IF(CN32="","",VLOOKUP(CN32,SectInfo!$B:$N,9,FALSE))</x:f>
        <x:v/>
      </x:c>
      <x:c r="CT72" s="438">
        <x:f t="shared" si="186"/>
        <x:v>0</x:v>
      </x:c>
      <x:c r="CU72" s="439">
        <x:f t="shared" si="133"/>
        <x:v>0</x:v>
      </x:c>
      <x:c r="CV72" s="339" t="str">
        <x:f t="shared" si="157"/>
        <x:v/>
      </x:c>
      <x:c r="CW72" s="339" t="str">
        <x:f t="shared" si="134"/>
        <x:v/>
      </x:c>
      <x:c r="CX72" s="1108" t="str">
        <x:f t="shared" si="135"/>
        <x:v/>
      </x:c>
      <x:c r="CY72" s="1109">
        <x:f t="shared" si="158"/>
        <x:v>0</x:v>
      </x:c>
      <x:c r="CZ72" s="1109">
        <x:f t="shared" si="136"/>
        <x:v>0</x:v>
      </x:c>
      <x:c r="DA72" s="1109" t="str">
        <x:f t="shared" si="137"/>
        <x:v/>
      </x:c>
      <x:c r="DB72" s="1125" t="str">
        <x:f t="shared" si="159"/>
        <x:v/>
      </x:c>
      <x:c r="DC72" s="1125" t="str">
        <x:f t="shared" si="187"/>
        <x:v/>
      </x:c>
      <x:c r="DD72" s="1110">
        <x:f t="shared" si="160"/>
        <x:v>0</x:v>
      </x:c>
      <x:c r="DE72" s="1108">
        <x:f t="shared" si="161"/>
        <x:v>0</x:v>
      </x:c>
      <x:c r="DF72" s="1109">
        <x:f t="shared" si="138"/>
        <x:v>0</x:v>
      </x:c>
      <x:c r="DG72" s="1109" t="str">
        <x:f t="shared" si="139"/>
        <x:v/>
      </x:c>
      <x:c r="DH72" s="1125" t="str">
        <x:f t="shared" si="162"/>
        <x:v/>
      </x:c>
      <x:c r="DI72" s="1125" t="str">
        <x:f t="shared" si="163"/>
        <x:v/>
      </x:c>
      <x:c r="DJ72" s="1110">
        <x:f t="shared" si="164"/>
        <x:v>0</x:v>
      </x:c>
      <x:c r="DK72" s="1108" t="str">
        <x:f t="shared" si="165"/>
        <x:v/>
      </x:c>
      <x:c r="DL72" s="1108" t="str">
        <x:f t="shared" si="166"/>
        <x:v/>
      </x:c>
      <x:c r="DM72" s="1108" t="str">
        <x:f t="shared" si="140"/>
        <x:v/>
      </x:c>
      <x:c r="DN72" s="1108" t="str">
        <x:f t="shared" si="141"/>
        <x:v/>
      </x:c>
      <x:c r="DO72" s="1125" t="str">
        <x:f t="shared" si="188"/>
        <x:v>ERR</x:v>
      </x:c>
      <x:c r="DP72" s="1125" t="str">
        <x:f t="shared" si="189"/>
        <x:v>ERR</x:v>
      </x:c>
      <x:c r="DQ72" s="1108" t="str">
        <x:f t="shared" si="167"/>
        <x:v/>
      </x:c>
      <x:c r="DR72" s="1108" t="str">
        <x:f t="shared" si="167"/>
        <x:v/>
      </x:c>
      <x:c r="DS72" s="1108" t="str">
        <x:f t="shared" si="168"/>
        <x:v/>
      </x:c>
      <x:c r="DT72" s="1108" t="str">
        <x:f t="shared" si="142"/>
        <x:v/>
      </x:c>
      <x:c r="DU72" s="1108" t="str">
        <x:f t="shared" si="143"/>
        <x:v/>
      </x:c>
      <x:c r="DV72" s="1125" t="str">
        <x:f t="shared" si="190"/>
        <x:v>ERR</x:v>
      </x:c>
      <x:c r="DW72" s="1125" t="str">
        <x:f t="shared" si="191"/>
        <x:v>ERR</x:v>
      </x:c>
      <x:c r="DX72" s="1108" t="str">
        <x:f t="shared" si="169"/>
        <x:v/>
      </x:c>
      <x:c r="DY72" s="1108" t="str">
        <x:f t="shared" si="169"/>
        <x:v/>
      </x:c>
      <x:c r="DZ72" s="1108" t="str">
        <x:f>IF(CG72="","",IF((CD72-CG72)/COS(CU72)-FB72&lt;=-0.0625,CEILING((CD72-CG72)/COS(CU72)-FB72+0.0625,-0.125),IF((CD72-CG72)/COS(CU72)-FB72&gt;=0.0625,CEILING((CD72-CG72)/COS(CU72)-FB72-0.0625,0.125),0)))</x:f>
        <x:v/>
      </x:c>
      <x:c r="EA72" s="1108" t="str">
        <x:f>IF(CP72="","",IF((CM72-CP72)/COS(CU72)-FC72&lt;=-0.0625,CEILING((CM72-CP72)/COS(CU72)-FC72+0.0625,-0.125),IF((CM72-CP72)/COS(CU72)-FC72&gt;=0.0625,CEILING((CM72-CP72)/COS(CU72)-FC72-0.0625,0.125),0)))</x:f>
        <x:v/>
      </x:c>
      <x:c r="EB72" s="1111" t="str">
        <x:f t="shared" si="144"/>
        <x:v/>
      </x:c>
      <x:c r="EC72" s="1112" t="str">
        <x:f t="shared" si="170"/>
        <x:v/>
      </x:c>
      <x:c r="ED72" s="1111" t="str">
        <x:f t="shared" si="145"/>
        <x:v/>
      </x:c>
      <x:c r="EE72" s="1111" t="str">
        <x:f t="shared" si="171"/>
        <x:v/>
      </x:c>
      <x:c r="EF72" s="1111" t="str">
        <x:f t="shared" si="172"/>
        <x:v/>
      </x:c>
      <x:c r="EG72" s="1111" t="str">
        <x:f t="shared" si="146"/>
        <x:v/>
      </x:c>
      <x:c r="EH72" s="1111" t="str">
        <x:f t="shared" si="173"/>
        <x:v/>
      </x:c>
      <x:c r="EI72" s="1111" t="str">
        <x:f t="shared" si="174"/>
        <x:v/>
      </x:c>
      <x:c r="EJ72" s="1111" t="str">
        <x:f t="shared" si="147"/>
        <x:v/>
      </x:c>
      <x:c r="EK72" s="1109">
        <x:f t="shared" si="175"/>
        <x:v>0</x:v>
      </x:c>
      <x:c r="EL72" s="1109">
        <x:f t="shared" si="176"/>
        <x:v>0</x:v>
      </x:c>
      <x:c r="EM72" s="1109">
        <x:f t="shared" si="148"/>
        <x:v>0</x:v>
      </x:c>
      <x:c r="EN72" s="1109" t="str">
        <x:f t="shared" si="149"/>
        <x:v/>
      </x:c>
      <x:c r="EO72" s="1108" t="str">
        <x:f t="shared" si="177"/>
        <x:v/>
      </x:c>
      <x:c r="EP72" s="1109">
        <x:f t="shared" si="178"/>
        <x:v>0</x:v>
      </x:c>
      <x:c r="EQ72" s="1109">
        <x:f t="shared" si="179"/>
        <x:v>0</x:v>
      </x:c>
      <x:c r="ER72" s="1109">
        <x:f t="shared" si="150"/>
        <x:v>0</x:v>
      </x:c>
      <x:c r="ES72" s="1109" t="str">
        <x:f t="shared" si="151"/>
        <x:v/>
      </x:c>
      <x:c r="ET72" s="1108" t="str">
        <x:f t="shared" si="180"/>
        <x:v/>
      </x:c>
      <x:c r="EU72" s="1108">
        <x:f t="shared" si="152"/>
        <x:v>0</x:v>
      </x:c>
      <x:c r="EV72" s="1111" t="e">
        <x:f t="shared" si="192"/>
        <x:v>#VALUE!</x:v>
      </x:c>
      <x:c r="EW72" s="1111" t="e">
        <x:f t="shared" si="193"/>
        <x:v>#VALUE!</x:v>
      </x:c>
      <x:c r="EX72" s="1199" t="str">
        <x:f t="shared" si="181"/>
        <x:v/>
      </x:c>
      <x:c r="EY72" s="1114">
        <x:f t="shared" si="182"/>
        <x:v>25</x:v>
      </x:c>
      <x:c r="EZ72" s="1219">
        <x:f t="shared" si="183"/>
        <x:v>0</x:v>
      </x:c>
      <x:c r="FA72" s="1220">
        <x:f t="shared" si="184"/>
        <x:v>0</x:v>
      </x:c>
      <x:c r="FB72" s="1115" t="str">
        <x:f t="shared" si="153"/>
        <x:v/>
      </x:c>
      <x:c r="FC72" s="1116" t="str">
        <x:f t="shared" si="154"/>
        <x:v/>
      </x:c>
      <x:c r="FD72" s="614">
        <x:f t="shared" si="155"/>
        <x:v>0</x:v>
      </x:c>
      <x:c r="FE72" s="615">
        <x:f t="shared" si="156"/>
        <x:v>0</x:v>
      </x:c>
      <x:c r="FF72" s="969" t="b">
        <x:f t="shared" si="101"/>
        <x:v>0</x:v>
      </x:c>
      <x:c r="FG72" s="969" t="b">
        <x:f t="shared" si="102"/>
        <x:v>0</x:v>
      </x:c>
      <x:c r="FH72" s="969" t="b">
        <x:f t="shared" si="103"/>
        <x:v>0</x:v>
      </x:c>
      <x:c r="FI72" s="1158" t="b">
        <x:f t="shared" si="104"/>
        <x:v>0</x:v>
      </x:c>
      <x:c r="FJ72" s="1161" t="str">
        <x:f t="shared" si="113"/>
        <x:v/>
      </x:c>
      <x:c r="FK72" s="1160" t="str">
        <x:f t="shared" si="114"/>
        <x:v/>
      </x:c>
      <x:c r="FL72" s="388" t="e">
        <x:f t="shared" si="115"/>
        <x:v>#N/A</x:v>
      </x:c>
      <x:c r="FM72" s="380" t="str">
        <x:f t="shared" si="105"/>
        <x:v/>
      </x:c>
      <x:c r="FN72" s="337" t="str">
        <x:f t="shared" ca="1" si="116"/>
        <x:v/>
      </x:c>
      <x:c r="FO72" s="338" t="str">
        <x:f t="shared" ca="1" si="117"/>
        <x:v/>
      </x:c>
      <x:c r="FP72" s="339" t="str">
        <x:f t="shared" ca="1" si="118"/>
        <x:v/>
      </x:c>
      <x:c r="FQ72" s="339" t="str">
        <x:f t="shared" ca="1" si="119"/>
        <x:v/>
      </x:c>
      <x:c r="FR72" s="389">
        <x:f t="shared" ca="1" si="120"/>
        <x:v>0</x:v>
      </x:c>
      <x:c r="FS72" s="390">
        <x:f t="shared" ca="1" si="121"/>
        <x:v>0</x:v>
      </x:c>
      <x:c r="FT72" s="337" t="str">
        <x:f t="shared" ca="1" si="127"/>
        <x:v/>
      </x:c>
      <x:c r="FU72" s="340" t="str">
        <x:f t="shared" ca="1" si="128"/>
        <x:v/>
      </x:c>
      <x:c r="FV72" s="391" t="str">
        <x:f t="shared" ca="1" si="129"/>
        <x:v/>
      </x:c>
      <x:c r="FW72" s="341" t="str">
        <x:f t="shared" ca="1" si="122"/>
        <x:v/>
      </x:c>
      <x:c r="FX72" s="341" t="str">
        <x:f t="shared" ca="1" si="123"/>
        <x:v/>
      </x:c>
      <x:c r="FY72" s="341" t="str">
        <x:f t="shared" ca="1" si="130"/>
        <x:v/>
      </x:c>
      <x:c r="FZ72" s="341" t="str">
        <x:f t="shared" ca="1" si="124"/>
        <x:v/>
      </x:c>
      <x:c r="GA72" s="341" t="str">
        <x:f t="shared" ca="1" si="131"/>
        <x:v/>
      </x:c>
      <x:c r="GB72" s="342" t="str">
        <x:f ca="1">IF(FY72="","",2+SUM(FO72:OFFSET(FO72,(FU72-1)*-1,0)))</x:f>
        <x:v/>
      </x:c>
      <x:c r="GC72" s="384" t="e">
        <x:f t="shared" si="125"/>
        <x:v>#N/A</x:v>
      </x:c>
      <x:c r="GD72" s="392" t="str">
        <x:f t="shared" si="106"/>
        <x:v/>
      </x:c>
      <x:c r="GE72" s="393" t="str">
        <x:f t="shared" si="107"/>
        <x:v/>
      </x:c>
      <x:c r="GF72" s="343" t="str">
        <x:f t="shared" si="108"/>
        <x:v/>
      </x:c>
      <x:c r="GG72" s="344" t="str">
        <x:f t="shared" si="109"/>
        <x:v/>
      </x:c>
      <x:c r="GH72" s="344" t="str">
        <x:f t="shared" si="110"/>
        <x:v/>
      </x:c>
      <x:c r="GI72" s="345" t="str">
        <x:f t="shared" si="111"/>
        <x:v/>
      </x:c>
      <x:c r="GJ72" s="394">
        <x:f t="shared" ca="1" si="112"/>
        <x:v>0</x:v>
      </x:c>
      <x:c r="GK72" s="1154" t="str">
        <x:f t="shared" ca="1" si="126"/>
        <x:v/>
      </x:c>
    </x:row>
    <x:row r="73" spans="78:193" ht="12.6" hidden="1" customHeight="1" x14ac:dyDescent="0.2">
      <x:c r="BZ73" s="360"/>
      <x:c r="CA73" s="360"/>
      <x:c r="CB73" s="435" t="str">
        <x:f t="shared" si="132"/>
        <x:v/>
      </x:c>
      <x:c r="CC73" s="436" t="str">
        <x:f>IF(CG33="","",VLOOKUP(CG33,SectInfo!$B:$N,12,FALSE))</x:f>
        <x:v/>
      </x:c>
      <x:c r="CD73" s="1172" t="str">
        <x:f>IF(ISBLANK(CZ33),IF(CG33="","",VLOOKUP(CG33,SectInfo!$B:$N,13,FALSE)),CZ33)</x:f>
        <x:v/>
      </x:c>
      <x:c r="CE73" s="437" t="str">
        <x:f>IF(CG33="","",IF(VLOOKUP(CG33,SectInfo!$B:$N,5,FALSE)="","R",UPPER(VLOOKUP(CG33,SectInfo!$B:$N,5,FALSE))))</x:f>
        <x:v/>
      </x:c>
      <x:c r="CF73" s="1172" t="str">
        <x:f>IF(ISBLANK(DD33),IF(CG33="","",VLOOKUP(CG33,SectInfo!$B:$N,6,FALSE)),DD33)</x:f>
        <x:v/>
      </x:c>
      <x:c r="CG73" s="437" t="str">
        <x:f>IF(CG33="","",IF(VLOOKUP(CG33,SectInfo!$B:$N,10,FALSE)="","",(VLOOKUP(CG33,SectInfo!$B:$N,10,FALSE)*-1)))</x:f>
        <x:v/>
      </x:c>
      <x:c r="CH73" s="437" t="str">
        <x:f>IF(CG33="","",IF(VLOOKUP(CG33,SectInfo!$B:$N,7,FALSE)="","",(VLOOKUP(CG33,SectInfo!$B:$N,7,FALSE)*-1)))</x:f>
        <x:v/>
      </x:c>
      <x:c r="CI73" s="437" t="str">
        <x:f>IF(CG33="","",IF(VLOOKUP(CG33,SectInfo!$B:$N,8,FALSE)="",$FC$4,(VLOOKUP(CG33,SectInfo!$B:$N,8,FALSE))))</x:f>
        <x:v/>
      </x:c>
      <x:c r="CJ73" s="437" t="str">
        <x:f>IF(CG33="","",VLOOKUP(CG33,SectInfo!$B:$N,9,FALSE))</x:f>
        <x:v/>
      </x:c>
      <x:c r="CK73" s="438">
        <x:f t="shared" si="185"/>
        <x:v>0</x:v>
      </x:c>
      <x:c r="CL73" s="436" t="str">
        <x:f>IF(CN33="","",VLOOKUP(CN33,SectInfo!$B:$N,12,FALSE))</x:f>
        <x:v/>
      </x:c>
      <x:c r="CM73" s="1172" t="str">
        <x:f>IF(ISBLANK(DA33),IF(CN33="","",VLOOKUP(CN33,SectInfo!$B:$N,13,FALSE)),DA33)</x:f>
        <x:v/>
      </x:c>
      <x:c r="CN73" s="437" t="str">
        <x:f>IF(CN33="","",IF(VLOOKUP(CN33,SectInfo!$B:$N,5,FALSE)="","R",UPPER(VLOOKUP(CN33,SectInfo!$B:$N,5,FALSE))))</x:f>
        <x:v/>
      </x:c>
      <x:c r="CO73" s="1172" t="str">
        <x:f>IF(ISBLANK(DE33),IF(CN33="","",VLOOKUP(CN33,SectInfo!$B:$N,6,FALSE)),DE33)</x:f>
        <x:v/>
      </x:c>
      <x:c r="CP73" s="437" t="str">
        <x:f>IF(CN33="","",IF(VLOOKUP(CN33,SectInfo!$B:$N,10,FALSE)="","",(VLOOKUP(CN33,SectInfo!$B:$N,10,FALSE)*-1)))</x:f>
        <x:v/>
      </x:c>
      <x:c r="CQ73" s="437" t="str">
        <x:f>IF(CN33="","",IF(VLOOKUP(CN33,SectInfo!$B:$N,7,FALSE)="","",(VLOOKUP(CN33,SectInfo!$B:$N,7,FALSE)*-1)))</x:f>
        <x:v/>
      </x:c>
      <x:c r="CR73" s="437" t="str">
        <x:f>IF(CN33="","",IF(VLOOKUP(CN33,SectInfo!$B:$N,8,FALSE)="",$FC$4,(VLOOKUP(CN33,SectInfo!$B:$N,8,FALSE))))</x:f>
        <x:v/>
      </x:c>
      <x:c r="CS73" s="437" t="str">
        <x:f>IF(CN33="","",VLOOKUP(CN33,SectInfo!$B:$N,9,FALSE))</x:f>
        <x:v/>
      </x:c>
      <x:c r="CT73" s="438">
        <x:f t="shared" si="186"/>
        <x:v>0</x:v>
      </x:c>
      <x:c r="CU73" s="439">
        <x:f t="shared" si="133"/>
        <x:v>0</x:v>
      </x:c>
      <x:c r="CV73" s="339" t="str">
        <x:f t="shared" si="157"/>
        <x:v/>
      </x:c>
      <x:c r="CW73" s="339" t="str">
        <x:f t="shared" si="134"/>
        <x:v/>
      </x:c>
      <x:c r="CX73" s="1108" t="str">
        <x:f t="shared" si="135"/>
        <x:v/>
      </x:c>
      <x:c r="CY73" s="1109">
        <x:f t="shared" si="158"/>
        <x:v>0</x:v>
      </x:c>
      <x:c r="CZ73" s="1109">
        <x:f t="shared" si="136"/>
        <x:v>0</x:v>
      </x:c>
      <x:c r="DA73" s="1109" t="str">
        <x:f t="shared" si="137"/>
        <x:v/>
      </x:c>
      <x:c r="DB73" s="1125" t="str">
        <x:f t="shared" si="159"/>
        <x:v/>
      </x:c>
      <x:c r="DC73" s="1125" t="str">
        <x:f t="shared" si="187"/>
        <x:v/>
      </x:c>
      <x:c r="DD73" s="1110">
        <x:f t="shared" si="160"/>
        <x:v>0</x:v>
      </x:c>
      <x:c r="DE73" s="1108">
        <x:f t="shared" si="161"/>
        <x:v>0</x:v>
      </x:c>
      <x:c r="DF73" s="1109">
        <x:f t="shared" si="138"/>
        <x:v>0</x:v>
      </x:c>
      <x:c r="DG73" s="1109" t="str">
        <x:f t="shared" si="139"/>
        <x:v/>
      </x:c>
      <x:c r="DH73" s="1125" t="str">
        <x:f t="shared" si="162"/>
        <x:v/>
      </x:c>
      <x:c r="DI73" s="1125" t="str">
        <x:f t="shared" si="163"/>
        <x:v/>
      </x:c>
      <x:c r="DJ73" s="1110">
        <x:f t="shared" si="164"/>
        <x:v>0</x:v>
      </x:c>
      <x:c r="DK73" s="1108" t="str">
        <x:f t="shared" si="165"/>
        <x:v/>
      </x:c>
      <x:c r="DL73" s="1108" t="str">
        <x:f t="shared" si="166"/>
        <x:v/>
      </x:c>
      <x:c r="DM73" s="1108" t="str">
        <x:f t="shared" si="140"/>
        <x:v/>
      </x:c>
      <x:c r="DN73" s="1108" t="str">
        <x:f t="shared" si="141"/>
        <x:v/>
      </x:c>
      <x:c r="DO73" s="1125" t="str">
        <x:f t="shared" si="188"/>
        <x:v>ERR</x:v>
      </x:c>
      <x:c r="DP73" s="1125" t="str">
        <x:f t="shared" si="189"/>
        <x:v>ERR</x:v>
      </x:c>
      <x:c r="DQ73" s="1108" t="str">
        <x:f t="shared" si="167"/>
        <x:v/>
      </x:c>
      <x:c r="DR73" s="1108" t="str">
        <x:f t="shared" si="167"/>
        <x:v/>
      </x:c>
      <x:c r="DS73" s="1108" t="str">
        <x:f t="shared" si="168"/>
        <x:v/>
      </x:c>
      <x:c r="DT73" s="1108" t="str">
        <x:f t="shared" si="142"/>
        <x:v/>
      </x:c>
      <x:c r="DU73" s="1108" t="str">
        <x:f t="shared" si="143"/>
        <x:v/>
      </x:c>
      <x:c r="DV73" s="1125" t="str">
        <x:f t="shared" si="190"/>
        <x:v>ERR</x:v>
      </x:c>
      <x:c r="DW73" s="1125" t="str">
        <x:f t="shared" si="191"/>
        <x:v>ERR</x:v>
      </x:c>
      <x:c r="DX73" s="1108" t="str">
        <x:f t="shared" si="169"/>
        <x:v/>
      </x:c>
      <x:c r="DY73" s="1108" t="str">
        <x:f t="shared" si="169"/>
        <x:v/>
      </x:c>
      <x:c r="DZ73" s="1108" t="str">
        <x:f t="shared" ref="DZ73:DZ85" si="194">IF(CG73="","",IF((CD73-CG73)/COS(CU73)-FB73&lt;=-0.0625,CEILING((CD73-CG73)/COS(CU73)-FB73+0.0625,-0.125),IF((CD73-CG73)/COS(CU73)-FB73&gt;=0.0625,CEILING((CD73-CG73)/COS(CU73)-FB73-0.0625,0.125),0)))</x:f>
        <x:v/>
      </x:c>
      <x:c r="EA73" s="1108" t="str">
        <x:f t="shared" ref="EA73:EA85" si="195">IF(CP73="","",IF((CM73-CP73)/COS(CU73)-FC73&lt;=-0.0625,CEILING((CM73-CP73)/COS(CU73)-FC73+0.0625,-0.125),IF((CM73-CP73)/COS(CU73)-FC73&gt;=0.0625,CEILING((CM73-CP73)/COS(CU73)-FC73-0.0625,0.125),0)))</x:f>
        <x:v/>
      </x:c>
      <x:c r="EB73" s="1111" t="str">
        <x:f t="shared" si="144"/>
        <x:v/>
      </x:c>
      <x:c r="EC73" s="1112" t="str">
        <x:f t="shared" si="170"/>
        <x:v/>
      </x:c>
      <x:c r="ED73" s="1111" t="str">
        <x:f t="shared" si="145"/>
        <x:v/>
      </x:c>
      <x:c r="EE73" s="1111" t="str">
        <x:f t="shared" si="171"/>
        <x:v/>
      </x:c>
      <x:c r="EF73" s="1111" t="str">
        <x:f t="shared" si="172"/>
        <x:v/>
      </x:c>
      <x:c r="EG73" s="1111" t="str">
        <x:f t="shared" si="146"/>
        <x:v/>
      </x:c>
      <x:c r="EH73" s="1111" t="str">
        <x:f t="shared" si="173"/>
        <x:v/>
      </x:c>
      <x:c r="EI73" s="1111" t="str">
        <x:f t="shared" si="174"/>
        <x:v/>
      </x:c>
      <x:c r="EJ73" s="1111" t="str">
        <x:f t="shared" si="147"/>
        <x:v/>
      </x:c>
      <x:c r="EK73" s="1109">
        <x:f t="shared" si="175"/>
        <x:v>0</x:v>
      </x:c>
      <x:c r="EL73" s="1109">
        <x:f t="shared" si="176"/>
        <x:v>0</x:v>
      </x:c>
      <x:c r="EM73" s="1109">
        <x:f t="shared" si="148"/>
        <x:v>0</x:v>
      </x:c>
      <x:c r="EN73" s="1109" t="str">
        <x:f t="shared" si="149"/>
        <x:v/>
      </x:c>
      <x:c r="EO73" s="1108" t="str">
        <x:f t="shared" si="177"/>
        <x:v/>
      </x:c>
      <x:c r="EP73" s="1109">
        <x:f t="shared" si="178"/>
        <x:v>0</x:v>
      </x:c>
      <x:c r="EQ73" s="1109">
        <x:f t="shared" si="179"/>
        <x:v>0</x:v>
      </x:c>
      <x:c r="ER73" s="1109">
        <x:f t="shared" si="150"/>
        <x:v>0</x:v>
      </x:c>
      <x:c r="ES73" s="1109" t="str">
        <x:f t="shared" si="151"/>
        <x:v/>
      </x:c>
      <x:c r="ET73" s="1108" t="str">
        <x:f t="shared" si="180"/>
        <x:v/>
      </x:c>
      <x:c r="EU73" s="1108">
        <x:f t="shared" si="152"/>
        <x:v>0</x:v>
      </x:c>
      <x:c r="EV73" s="1111" t="e">
        <x:f t="shared" si="192"/>
        <x:v>#VALUE!</x:v>
      </x:c>
      <x:c r="EW73" s="1111" t="e">
        <x:f t="shared" si="193"/>
        <x:v>#VALUE!</x:v>
      </x:c>
      <x:c r="EX73" s="1199" t="str">
        <x:f t="shared" si="181"/>
        <x:v/>
      </x:c>
      <x:c r="EY73" s="1114">
        <x:f t="shared" si="182"/>
        <x:v>25</x:v>
      </x:c>
      <x:c r="EZ73" s="1219">
        <x:f t="shared" si="183"/>
        <x:v>0</x:v>
      </x:c>
      <x:c r="FA73" s="1220">
        <x:f t="shared" si="184"/>
        <x:v>0</x:v>
      </x:c>
      <x:c r="FB73" s="1115" t="str">
        <x:f t="shared" si="153"/>
        <x:v/>
      </x:c>
      <x:c r="FC73" s="1116" t="str">
        <x:f t="shared" si="154"/>
        <x:v/>
      </x:c>
      <x:c r="FD73" s="643">
        <x:f t="shared" si="155"/>
        <x:v>0</x:v>
      </x:c>
      <x:c r="FE73" s="644">
        <x:f t="shared" si="156"/>
        <x:v>0</x:v>
      </x:c>
      <x:c r="FF73" s="969" t="b">
        <x:f t="shared" si="101"/>
        <x:v>0</x:v>
      </x:c>
      <x:c r="FG73" s="969" t="b">
        <x:f t="shared" si="102"/>
        <x:v>0</x:v>
      </x:c>
      <x:c r="FH73" s="969" t="b">
        <x:f t="shared" si="103"/>
        <x:v>0</x:v>
      </x:c>
      <x:c r="FI73" s="1158" t="b">
        <x:f t="shared" si="104"/>
        <x:v>0</x:v>
      </x:c>
      <x:c r="FJ73" s="1161" t="str">
        <x:f t="shared" si="113"/>
        <x:v/>
      </x:c>
      <x:c r="FK73" s="1160" t="str">
        <x:f t="shared" si="114"/>
        <x:v/>
      </x:c>
      <x:c r="FL73" s="388" t="e">
        <x:f t="shared" si="115"/>
        <x:v>#N/A</x:v>
      </x:c>
      <x:c r="FM73" s="380" t="str">
        <x:f t="shared" si="105"/>
        <x:v/>
      </x:c>
      <x:c r="FN73" s="337" t="str">
        <x:f t="shared" ca="1" si="116"/>
        <x:v/>
      </x:c>
      <x:c r="FO73" s="338" t="str">
        <x:f t="shared" ca="1" si="117"/>
        <x:v/>
      </x:c>
      <x:c r="FP73" s="339" t="str">
        <x:f t="shared" ca="1" si="118"/>
        <x:v/>
      </x:c>
      <x:c r="FQ73" s="339" t="str">
        <x:f t="shared" ca="1" si="119"/>
        <x:v/>
      </x:c>
      <x:c r="FR73" s="389">
        <x:f t="shared" ca="1" si="120"/>
        <x:v>0</x:v>
      </x:c>
      <x:c r="FS73" s="390">
        <x:f t="shared" ca="1" si="121"/>
        <x:v>0</x:v>
      </x:c>
      <x:c r="FT73" s="337" t="str">
        <x:f t="shared" ca="1" si="127"/>
        <x:v/>
      </x:c>
      <x:c r="FU73" s="340" t="str">
        <x:f t="shared" ca="1" si="128"/>
        <x:v/>
      </x:c>
      <x:c r="FV73" s="391" t="str">
        <x:f t="shared" ca="1" si="129"/>
        <x:v/>
      </x:c>
      <x:c r="FW73" s="341" t="str">
        <x:f t="shared" ca="1" si="122"/>
        <x:v/>
      </x:c>
      <x:c r="FX73" s="341" t="str">
        <x:f t="shared" ca="1" si="123"/>
        <x:v/>
      </x:c>
      <x:c r="FY73" s="341" t="str">
        <x:f t="shared" ca="1" si="130"/>
        <x:v/>
      </x:c>
      <x:c r="FZ73" s="341" t="str">
        <x:f t="shared" ca="1" si="124"/>
        <x:v/>
      </x:c>
      <x:c r="GA73" s="341" t="str">
        <x:f t="shared" ca="1" si="131"/>
        <x:v/>
      </x:c>
      <x:c r="GB73" s="342" t="str">
        <x:f ca="1">IF(FY73="","",2+SUM(FO73:OFFSET(FO73,(FU73-1)*-1,0)))</x:f>
        <x:v/>
      </x:c>
      <x:c r="GC73" s="384" t="e">
        <x:f t="shared" si="125"/>
        <x:v>#N/A</x:v>
      </x:c>
      <x:c r="GD73" s="392" t="str">
        <x:f t="shared" si="106"/>
        <x:v/>
      </x:c>
      <x:c r="GE73" s="393" t="str">
        <x:f t="shared" si="107"/>
        <x:v/>
      </x:c>
      <x:c r="GF73" s="343" t="str">
        <x:f t="shared" si="108"/>
        <x:v/>
      </x:c>
      <x:c r="GG73" s="344" t="str">
        <x:f t="shared" si="109"/>
        <x:v/>
      </x:c>
      <x:c r="GH73" s="344" t="str">
        <x:f t="shared" si="110"/>
        <x:v/>
      </x:c>
      <x:c r="GI73" s="345" t="str">
        <x:f t="shared" si="111"/>
        <x:v/>
      </x:c>
      <x:c r="GJ73" s="394">
        <x:f t="shared" ca="1" si="112"/>
        <x:v>0</x:v>
      </x:c>
      <x:c r="GK73" s="1154" t="str">
        <x:f t="shared" ca="1" si="126"/>
        <x:v/>
      </x:c>
    </x:row>
    <x:row r="74" spans="78:193" ht="12.6" hidden="1" customHeight="1" x14ac:dyDescent="0.2">
      <x:c r="BZ74" s="360"/>
      <x:c r="CA74" s="360"/>
      <x:c r="CB74" s="435" t="str">
        <x:f t="shared" si="132"/>
        <x:v/>
      </x:c>
      <x:c r="CC74" s="436" t="str">
        <x:f>IF(CG34="","",VLOOKUP(CG34,SectInfo!$B:$N,12,FALSE))</x:f>
        <x:v/>
      </x:c>
      <x:c r="CD74" s="1172" t="str">
        <x:f>IF(ISBLANK(CZ34),IF(CG34="","",VLOOKUP(CG34,SectInfo!$B:$N,13,FALSE)),CZ34)</x:f>
        <x:v/>
      </x:c>
      <x:c r="CE74" s="437" t="str">
        <x:f>IF(CG34="","",IF(VLOOKUP(CG34,SectInfo!$B:$N,5,FALSE)="","R",UPPER(VLOOKUP(CG34,SectInfo!$B:$N,5,FALSE))))</x:f>
        <x:v/>
      </x:c>
      <x:c r="CF74" s="1172" t="str">
        <x:f>IF(ISBLANK(DD34),IF(CG34="","",VLOOKUP(CG34,SectInfo!$B:$N,6,FALSE)),DD34)</x:f>
        <x:v/>
      </x:c>
      <x:c r="CG74" s="437" t="str">
        <x:f>IF(CG34="","",IF(VLOOKUP(CG34,SectInfo!$B:$N,10,FALSE)="","",(VLOOKUP(CG34,SectInfo!$B:$N,10,FALSE)*-1)))</x:f>
        <x:v/>
      </x:c>
      <x:c r="CH74" s="437" t="str">
        <x:f>IF(CG34="","",IF(VLOOKUP(CG34,SectInfo!$B:$N,7,FALSE)="","",(VLOOKUP(CG34,SectInfo!$B:$N,7,FALSE)*-1)))</x:f>
        <x:v/>
      </x:c>
      <x:c r="CI74" s="437" t="str">
        <x:f>IF(CG34="","",IF(VLOOKUP(CG34,SectInfo!$B:$N,8,FALSE)="",$FC$4,(VLOOKUP(CG34,SectInfo!$B:$N,8,FALSE))))</x:f>
        <x:v/>
      </x:c>
      <x:c r="CJ74" s="437" t="str">
        <x:f>IF(CG34="","",VLOOKUP(CG34,SectInfo!$B:$N,9,FALSE))</x:f>
        <x:v/>
      </x:c>
      <x:c r="CK74" s="438">
        <x:f t="shared" si="185"/>
        <x:v>0</x:v>
      </x:c>
      <x:c r="CL74" s="436" t="str">
        <x:f>IF(CN34="","",VLOOKUP(CN34,SectInfo!$B:$N,12,FALSE))</x:f>
        <x:v/>
      </x:c>
      <x:c r="CM74" s="1172" t="str">
        <x:f>IF(ISBLANK(DA34),IF(CN34="","",VLOOKUP(CN34,SectInfo!$B:$N,13,FALSE)),DA34)</x:f>
        <x:v/>
      </x:c>
      <x:c r="CN74" s="437" t="str">
        <x:f>IF(CN34="","",IF(VLOOKUP(CN34,SectInfo!$B:$N,5,FALSE)="","R",UPPER(VLOOKUP(CN34,SectInfo!$B:$N,5,FALSE))))</x:f>
        <x:v/>
      </x:c>
      <x:c r="CO74" s="1172" t="str">
        <x:f>IF(ISBLANK(DE34),IF(CN34="","",VLOOKUP(CN34,SectInfo!$B:$N,6,FALSE)),DE34)</x:f>
        <x:v/>
      </x:c>
      <x:c r="CP74" s="437" t="str">
        <x:f>IF(CN34="","",IF(VLOOKUP(CN34,SectInfo!$B:$N,10,FALSE)="","",(VLOOKUP(CN34,SectInfo!$B:$N,10,FALSE)*-1)))</x:f>
        <x:v/>
      </x:c>
      <x:c r="CQ74" s="437" t="str">
        <x:f>IF(CN34="","",IF(VLOOKUP(CN34,SectInfo!$B:$N,7,FALSE)="","",(VLOOKUP(CN34,SectInfo!$B:$N,7,FALSE)*-1)))</x:f>
        <x:v/>
      </x:c>
      <x:c r="CR74" s="437" t="str">
        <x:f>IF(CN34="","",IF(VLOOKUP(CN34,SectInfo!$B:$N,8,FALSE)="",$FC$4,(VLOOKUP(CN34,SectInfo!$B:$N,8,FALSE))))</x:f>
        <x:v/>
      </x:c>
      <x:c r="CS74" s="437" t="str">
        <x:f>IF(CN34="","",VLOOKUP(CN34,SectInfo!$B:$N,9,FALSE))</x:f>
        <x:v/>
      </x:c>
      <x:c r="CT74" s="438">
        <x:f t="shared" si="186"/>
        <x:v>0</x:v>
      </x:c>
      <x:c r="CU74" s="439">
        <x:f t="shared" si="133"/>
        <x:v>0</x:v>
      </x:c>
      <x:c r="CV74" s="339" t="str">
        <x:f t="shared" si="157"/>
        <x:v/>
      </x:c>
      <x:c r="CW74" s="339" t="str">
        <x:f t="shared" si="134"/>
        <x:v/>
      </x:c>
      <x:c r="CX74" s="1108" t="str">
        <x:f t="shared" si="135"/>
        <x:v/>
      </x:c>
      <x:c r="CY74" s="1109">
        <x:f t="shared" si="158"/>
        <x:v>0</x:v>
      </x:c>
      <x:c r="CZ74" s="1109">
        <x:f t="shared" si="136"/>
        <x:v>0</x:v>
      </x:c>
      <x:c r="DA74" s="1109" t="str">
        <x:f t="shared" si="137"/>
        <x:v/>
      </x:c>
      <x:c r="DB74" s="1125" t="str">
        <x:f t="shared" si="159"/>
        <x:v/>
      </x:c>
      <x:c r="DC74" s="1125" t="str">
        <x:f t="shared" si="187"/>
        <x:v/>
      </x:c>
      <x:c r="DD74" s="1110">
        <x:f t="shared" si="160"/>
        <x:v>0</x:v>
      </x:c>
      <x:c r="DE74" s="1108">
        <x:f t="shared" si="161"/>
        <x:v>0</x:v>
      </x:c>
      <x:c r="DF74" s="1109">
        <x:f t="shared" si="138"/>
        <x:v>0</x:v>
      </x:c>
      <x:c r="DG74" s="1109" t="str">
        <x:f t="shared" si="139"/>
        <x:v/>
      </x:c>
      <x:c r="DH74" s="1125" t="str">
        <x:f t="shared" si="162"/>
        <x:v/>
      </x:c>
      <x:c r="DI74" s="1125" t="str">
        <x:f t="shared" si="163"/>
        <x:v/>
      </x:c>
      <x:c r="DJ74" s="1110">
        <x:f t="shared" si="164"/>
        <x:v>0</x:v>
      </x:c>
      <x:c r="DK74" s="1108" t="str">
        <x:f t="shared" si="165"/>
        <x:v/>
      </x:c>
      <x:c r="DL74" s="1108" t="str">
        <x:f t="shared" si="166"/>
        <x:v/>
      </x:c>
      <x:c r="DM74" s="1108" t="str">
        <x:f t="shared" si="140"/>
        <x:v/>
      </x:c>
      <x:c r="DN74" s="1108" t="str">
        <x:f t="shared" si="141"/>
        <x:v/>
      </x:c>
      <x:c r="DO74" s="1125" t="str">
        <x:f t="shared" si="188"/>
        <x:v>ERR</x:v>
      </x:c>
      <x:c r="DP74" s="1125" t="str">
        <x:f t="shared" si="189"/>
        <x:v>ERR</x:v>
      </x:c>
      <x:c r="DQ74" s="1108" t="str">
        <x:f t="shared" si="167"/>
        <x:v/>
      </x:c>
      <x:c r="DR74" s="1108" t="str">
        <x:f t="shared" si="167"/>
        <x:v/>
      </x:c>
      <x:c r="DS74" s="1108" t="str">
        <x:f t="shared" si="168"/>
        <x:v/>
      </x:c>
      <x:c r="DT74" s="1108" t="str">
        <x:f t="shared" si="142"/>
        <x:v/>
      </x:c>
      <x:c r="DU74" s="1108" t="str">
        <x:f t="shared" si="143"/>
        <x:v/>
      </x:c>
      <x:c r="DV74" s="1125" t="str">
        <x:f t="shared" si="190"/>
        <x:v>ERR</x:v>
      </x:c>
      <x:c r="DW74" s="1125" t="str">
        <x:f t="shared" si="191"/>
        <x:v>ERR</x:v>
      </x:c>
      <x:c r="DX74" s="1108" t="str">
        <x:f t="shared" si="169"/>
        <x:v/>
      </x:c>
      <x:c r="DY74" s="1108" t="str">
        <x:f t="shared" si="169"/>
        <x:v/>
      </x:c>
      <x:c r="DZ74" s="1108" t="str">
        <x:f t="shared" si="194"/>
        <x:v/>
      </x:c>
      <x:c r="EA74" s="1108" t="str">
        <x:f t="shared" si="195"/>
        <x:v/>
      </x:c>
      <x:c r="EB74" s="1111" t="str">
        <x:f t="shared" si="144"/>
        <x:v/>
      </x:c>
      <x:c r="EC74" s="1112" t="str">
        <x:f t="shared" si="170"/>
        <x:v/>
      </x:c>
      <x:c r="ED74" s="1111" t="str">
        <x:f t="shared" si="145"/>
        <x:v/>
      </x:c>
      <x:c r="EE74" s="1111" t="str">
        <x:f t="shared" si="171"/>
        <x:v/>
      </x:c>
      <x:c r="EF74" s="1111" t="str">
        <x:f t="shared" si="172"/>
        <x:v/>
      </x:c>
      <x:c r="EG74" s="1111" t="str">
        <x:f t="shared" si="146"/>
        <x:v/>
      </x:c>
      <x:c r="EH74" s="1111" t="str">
        <x:f t="shared" si="173"/>
        <x:v/>
      </x:c>
      <x:c r="EI74" s="1111" t="str">
        <x:f t="shared" si="174"/>
        <x:v/>
      </x:c>
      <x:c r="EJ74" s="1111" t="str">
        <x:f t="shared" si="147"/>
        <x:v/>
      </x:c>
      <x:c r="EK74" s="1109">
        <x:f t="shared" si="175"/>
        <x:v>0</x:v>
      </x:c>
      <x:c r="EL74" s="1109">
        <x:f t="shared" si="176"/>
        <x:v>0</x:v>
      </x:c>
      <x:c r="EM74" s="1109">
        <x:f t="shared" si="148"/>
        <x:v>0</x:v>
      </x:c>
      <x:c r="EN74" s="1109" t="str">
        <x:f t="shared" si="149"/>
        <x:v/>
      </x:c>
      <x:c r="EO74" s="1108" t="str">
        <x:f t="shared" si="177"/>
        <x:v/>
      </x:c>
      <x:c r="EP74" s="1109">
        <x:f t="shared" si="178"/>
        <x:v>0</x:v>
      </x:c>
      <x:c r="EQ74" s="1109">
        <x:f t="shared" si="179"/>
        <x:v>0</x:v>
      </x:c>
      <x:c r="ER74" s="1109">
        <x:f t="shared" si="150"/>
        <x:v>0</x:v>
      </x:c>
      <x:c r="ES74" s="1109" t="str">
        <x:f t="shared" si="151"/>
        <x:v/>
      </x:c>
      <x:c r="ET74" s="1108" t="str">
        <x:f t="shared" si="180"/>
        <x:v/>
      </x:c>
      <x:c r="EU74" s="1108">
        <x:f t="shared" si="152"/>
        <x:v>0</x:v>
      </x:c>
      <x:c r="EV74" s="1111" t="e">
        <x:f t="shared" si="192"/>
        <x:v>#VALUE!</x:v>
      </x:c>
      <x:c r="EW74" s="1111" t="e">
        <x:f t="shared" si="193"/>
        <x:v>#VALUE!</x:v>
      </x:c>
      <x:c r="EX74" s="1199" t="str">
        <x:f t="shared" si="181"/>
        <x:v/>
      </x:c>
      <x:c r="EY74" s="1114">
        <x:f t="shared" si="182"/>
        <x:v>25</x:v>
      </x:c>
      <x:c r="EZ74" s="1219">
        <x:f t="shared" si="183"/>
        <x:v>0</x:v>
      </x:c>
      <x:c r="FA74" s="1220">
        <x:f t="shared" si="184"/>
        <x:v>0</x:v>
      </x:c>
      <x:c r="FB74" s="1115" t="str">
        <x:f t="shared" si="153"/>
        <x:v/>
      </x:c>
      <x:c r="FC74" s="1116" t="str">
        <x:f t="shared" si="154"/>
        <x:v/>
      </x:c>
      <x:c r="FD74" s="614">
        <x:f t="shared" si="155"/>
        <x:v>0</x:v>
      </x:c>
      <x:c r="FE74" s="615">
        <x:f t="shared" si="156"/>
        <x:v>0</x:v>
      </x:c>
      <x:c r="FF74" s="969" t="b">
        <x:f t="shared" si="101"/>
        <x:v>0</x:v>
      </x:c>
      <x:c r="FG74" s="969" t="b">
        <x:f t="shared" si="102"/>
        <x:v>0</x:v>
      </x:c>
      <x:c r="FH74" s="969" t="b">
        <x:f t="shared" si="103"/>
        <x:v>0</x:v>
      </x:c>
      <x:c r="FI74" s="1158" t="b">
        <x:f t="shared" si="104"/>
        <x:v>0</x:v>
      </x:c>
      <x:c r="FJ74" s="1161" t="str">
        <x:f t="shared" si="113"/>
        <x:v/>
      </x:c>
      <x:c r="FK74" s="1160" t="str">
        <x:f t="shared" si="114"/>
        <x:v/>
      </x:c>
      <x:c r="FL74" s="388" t="e">
        <x:f t="shared" si="115"/>
        <x:v>#N/A</x:v>
      </x:c>
      <x:c r="FM74" s="380" t="str">
        <x:f t="shared" si="105"/>
        <x:v/>
      </x:c>
      <x:c r="FN74" s="337" t="str">
        <x:f t="shared" ca="1" si="116"/>
        <x:v/>
      </x:c>
      <x:c r="FO74" s="338" t="str">
        <x:f t="shared" ca="1" si="117"/>
        <x:v/>
      </x:c>
      <x:c r="FP74" s="339" t="str">
        <x:f t="shared" ca="1" si="118"/>
        <x:v/>
      </x:c>
      <x:c r="FQ74" s="339" t="str">
        <x:f t="shared" ca="1" si="119"/>
        <x:v/>
      </x:c>
      <x:c r="FR74" s="389">
        <x:f t="shared" ca="1" si="120"/>
        <x:v>0</x:v>
      </x:c>
      <x:c r="FS74" s="390">
        <x:f t="shared" ca="1" si="121"/>
        <x:v>0</x:v>
      </x:c>
      <x:c r="FT74" s="337" t="str">
        <x:f t="shared" ca="1" si="127"/>
        <x:v/>
      </x:c>
      <x:c r="FU74" s="340" t="str">
        <x:f t="shared" ca="1" si="128"/>
        <x:v/>
      </x:c>
      <x:c r="FV74" s="391" t="str">
        <x:f t="shared" ca="1" si="129"/>
        <x:v/>
      </x:c>
      <x:c r="FW74" s="341" t="str">
        <x:f t="shared" ca="1" si="122"/>
        <x:v/>
      </x:c>
      <x:c r="FX74" s="341" t="str">
        <x:f t="shared" ca="1" si="123"/>
        <x:v/>
      </x:c>
      <x:c r="FY74" s="341" t="str">
        <x:f t="shared" ca="1" si="130"/>
        <x:v/>
      </x:c>
      <x:c r="FZ74" s="341" t="str">
        <x:f t="shared" ca="1" si="124"/>
        <x:v/>
      </x:c>
      <x:c r="GA74" s="341" t="str">
        <x:f t="shared" ca="1" si="131"/>
        <x:v/>
      </x:c>
      <x:c r="GB74" s="342" t="str">
        <x:f ca="1">IF(FY74="","",2+SUM(FO74:OFFSET(FO74,(FU74-1)*-1,0)))</x:f>
        <x:v/>
      </x:c>
      <x:c r="GC74" s="384" t="e">
        <x:f t="shared" si="125"/>
        <x:v>#N/A</x:v>
      </x:c>
      <x:c r="GD74" s="392" t="str">
        <x:f t="shared" si="106"/>
        <x:v/>
      </x:c>
      <x:c r="GE74" s="393" t="str">
        <x:f t="shared" si="107"/>
        <x:v/>
      </x:c>
      <x:c r="GF74" s="343" t="str">
        <x:f t="shared" si="108"/>
        <x:v/>
      </x:c>
      <x:c r="GG74" s="344" t="str">
        <x:f t="shared" si="109"/>
        <x:v/>
      </x:c>
      <x:c r="GH74" s="344" t="str">
        <x:f t="shared" si="110"/>
        <x:v/>
      </x:c>
      <x:c r="GI74" s="345" t="str">
        <x:f t="shared" si="111"/>
        <x:v/>
      </x:c>
      <x:c r="GJ74" s="394">
        <x:f t="shared" ca="1" si="112"/>
        <x:v>0</x:v>
      </x:c>
      <x:c r="GK74" s="1154" t="str">
        <x:f t="shared" ca="1" si="126"/>
        <x:v/>
      </x:c>
    </x:row>
    <x:row r="75" spans="78:193" ht="12.6" hidden="1" customHeight="1" x14ac:dyDescent="0.2">
      <x:c r="BZ75" s="360"/>
      <x:c r="CA75" s="360"/>
      <x:c r="CB75" s="435" t="str">
        <x:f t="shared" si="132"/>
        <x:v/>
      </x:c>
      <x:c r="CC75" s="436" t="str">
        <x:f>IF(CG35="","",VLOOKUP(CG35,SectInfo!$B:$N,12,FALSE))</x:f>
        <x:v/>
      </x:c>
      <x:c r="CD75" s="1172" t="str">
        <x:f>IF(ISBLANK(CZ35),IF(CG35="","",VLOOKUP(CG35,SectInfo!$B:$N,13,FALSE)),CZ35)</x:f>
        <x:v/>
      </x:c>
      <x:c r="CE75" s="437" t="str">
        <x:f>IF(CG35="","",IF(VLOOKUP(CG35,SectInfo!$B:$N,5,FALSE)="","R",UPPER(VLOOKUP(CG35,SectInfo!$B:$N,5,FALSE))))</x:f>
        <x:v/>
      </x:c>
      <x:c r="CF75" s="1172" t="str">
        <x:f>IF(ISBLANK(DD35),IF(CG35="","",VLOOKUP(CG35,SectInfo!$B:$N,6,FALSE)),DD35)</x:f>
        <x:v/>
      </x:c>
      <x:c r="CG75" s="437" t="str">
        <x:f>IF(CG35="","",IF(VLOOKUP(CG35,SectInfo!$B:$N,10,FALSE)="","",(VLOOKUP(CG35,SectInfo!$B:$N,10,FALSE)*-1)))</x:f>
        <x:v/>
      </x:c>
      <x:c r="CH75" s="437" t="str">
        <x:f>IF(CG35="","",IF(VLOOKUP(CG35,SectInfo!$B:$N,7,FALSE)="","",(VLOOKUP(CG35,SectInfo!$B:$N,7,FALSE)*-1)))</x:f>
        <x:v/>
      </x:c>
      <x:c r="CI75" s="437" t="str">
        <x:f>IF(CG35="","",IF(VLOOKUP(CG35,SectInfo!$B:$N,8,FALSE)="",$FC$4,(VLOOKUP(CG35,SectInfo!$B:$N,8,FALSE))))</x:f>
        <x:v/>
      </x:c>
      <x:c r="CJ75" s="437" t="str">
        <x:f>IF(CG35="","",VLOOKUP(CG35,SectInfo!$B:$N,9,FALSE))</x:f>
        <x:v/>
      </x:c>
      <x:c r="CK75" s="438">
        <x:f t="shared" si="185"/>
        <x:v>0</x:v>
      </x:c>
      <x:c r="CL75" s="436" t="str">
        <x:f>IF(CN35="","",VLOOKUP(CN35,SectInfo!$B:$N,12,FALSE))</x:f>
        <x:v/>
      </x:c>
      <x:c r="CM75" s="1172" t="str">
        <x:f>IF(ISBLANK(DA35),IF(CN35="","",VLOOKUP(CN35,SectInfo!$B:$N,13,FALSE)),DA35)</x:f>
        <x:v/>
      </x:c>
      <x:c r="CN75" s="437" t="str">
        <x:f>IF(CN35="","",IF(VLOOKUP(CN35,SectInfo!$B:$N,5,FALSE)="","R",UPPER(VLOOKUP(CN35,SectInfo!$B:$N,5,FALSE))))</x:f>
        <x:v/>
      </x:c>
      <x:c r="CO75" s="1172" t="str">
        <x:f>IF(ISBLANK(DE35),IF(CN35="","",VLOOKUP(CN35,SectInfo!$B:$N,6,FALSE)),DE35)</x:f>
        <x:v/>
      </x:c>
      <x:c r="CP75" s="437" t="str">
        <x:f>IF(CN35="","",IF(VLOOKUP(CN35,SectInfo!$B:$N,10,FALSE)="","",(VLOOKUP(CN35,SectInfo!$B:$N,10,FALSE)*-1)))</x:f>
        <x:v/>
      </x:c>
      <x:c r="CQ75" s="437" t="str">
        <x:f>IF(CN35="","",IF(VLOOKUP(CN35,SectInfo!$B:$N,7,FALSE)="","",(VLOOKUP(CN35,SectInfo!$B:$N,7,FALSE)*-1)))</x:f>
        <x:v/>
      </x:c>
      <x:c r="CR75" s="437" t="str">
        <x:f>IF(CN35="","",IF(VLOOKUP(CN35,SectInfo!$B:$N,8,FALSE)="",$FC$4,(VLOOKUP(CN35,SectInfo!$B:$N,8,FALSE))))</x:f>
        <x:v/>
      </x:c>
      <x:c r="CS75" s="437" t="str">
        <x:f>IF(CN35="","",VLOOKUP(CN35,SectInfo!$B:$N,9,FALSE))</x:f>
        <x:v/>
      </x:c>
      <x:c r="CT75" s="438">
        <x:f t="shared" si="186"/>
        <x:v>0</x:v>
      </x:c>
      <x:c r="CU75" s="439">
        <x:f t="shared" si="133"/>
        <x:v>0</x:v>
      </x:c>
      <x:c r="CV75" s="339" t="str">
        <x:f t="shared" si="157"/>
        <x:v/>
      </x:c>
      <x:c r="CW75" s="339" t="str">
        <x:f t="shared" si="134"/>
        <x:v/>
      </x:c>
      <x:c r="CX75" s="1108" t="str">
        <x:f t="shared" si="135"/>
        <x:v/>
      </x:c>
      <x:c r="CY75" s="1109">
        <x:f t="shared" si="158"/>
        <x:v>0</x:v>
      </x:c>
      <x:c r="CZ75" s="1109">
        <x:f t="shared" si="136"/>
        <x:v>0</x:v>
      </x:c>
      <x:c r="DA75" s="1109" t="str">
        <x:f t="shared" si="137"/>
        <x:v/>
      </x:c>
      <x:c r="DB75" s="1125" t="str">
        <x:f t="shared" si="159"/>
        <x:v/>
      </x:c>
      <x:c r="DC75" s="1125" t="str">
        <x:f t="shared" si="187"/>
        <x:v/>
      </x:c>
      <x:c r="DD75" s="1110">
        <x:f t="shared" si="160"/>
        <x:v>0</x:v>
      </x:c>
      <x:c r="DE75" s="1108">
        <x:f t="shared" si="161"/>
        <x:v>0</x:v>
      </x:c>
      <x:c r="DF75" s="1109">
        <x:f t="shared" si="138"/>
        <x:v>0</x:v>
      </x:c>
      <x:c r="DG75" s="1109" t="str">
        <x:f t="shared" si="139"/>
        <x:v/>
      </x:c>
      <x:c r="DH75" s="1125" t="str">
        <x:f t="shared" si="162"/>
        <x:v/>
      </x:c>
      <x:c r="DI75" s="1125" t="str">
        <x:f t="shared" si="163"/>
        <x:v/>
      </x:c>
      <x:c r="DJ75" s="1110">
        <x:f t="shared" si="164"/>
        <x:v>0</x:v>
      </x:c>
      <x:c r="DK75" s="1108" t="str">
        <x:f t="shared" si="165"/>
        <x:v/>
      </x:c>
      <x:c r="DL75" s="1108" t="str">
        <x:f t="shared" si="166"/>
        <x:v/>
      </x:c>
      <x:c r="DM75" s="1108" t="str">
        <x:f t="shared" si="140"/>
        <x:v/>
      </x:c>
      <x:c r="DN75" s="1108" t="str">
        <x:f t="shared" si="141"/>
        <x:v/>
      </x:c>
      <x:c r="DO75" s="1125" t="str">
        <x:f t="shared" si="188"/>
        <x:v>ERR</x:v>
      </x:c>
      <x:c r="DP75" s="1125" t="str">
        <x:f t="shared" si="189"/>
        <x:v>ERR</x:v>
      </x:c>
      <x:c r="DQ75" s="1108" t="str">
        <x:f t="shared" si="167"/>
        <x:v/>
      </x:c>
      <x:c r="DR75" s="1108" t="str">
        <x:f t="shared" si="167"/>
        <x:v/>
      </x:c>
      <x:c r="DS75" s="1108" t="str">
        <x:f t="shared" si="168"/>
        <x:v/>
      </x:c>
      <x:c r="DT75" s="1108" t="str">
        <x:f t="shared" si="142"/>
        <x:v/>
      </x:c>
      <x:c r="DU75" s="1108" t="str">
        <x:f t="shared" si="143"/>
        <x:v/>
      </x:c>
      <x:c r="DV75" s="1125" t="str">
        <x:f t="shared" si="190"/>
        <x:v>ERR</x:v>
      </x:c>
      <x:c r="DW75" s="1125" t="str">
        <x:f t="shared" si="191"/>
        <x:v>ERR</x:v>
      </x:c>
      <x:c r="DX75" s="1108" t="str">
        <x:f t="shared" si="169"/>
        <x:v/>
      </x:c>
      <x:c r="DY75" s="1108" t="str">
        <x:f t="shared" si="169"/>
        <x:v/>
      </x:c>
      <x:c r="DZ75" s="1108" t="str">
        <x:f t="shared" si="194"/>
        <x:v/>
      </x:c>
      <x:c r="EA75" s="1108" t="str">
        <x:f t="shared" si="195"/>
        <x:v/>
      </x:c>
      <x:c r="EB75" s="1111" t="str">
        <x:f t="shared" si="144"/>
        <x:v/>
      </x:c>
      <x:c r="EC75" s="1112" t="str">
        <x:f t="shared" si="170"/>
        <x:v/>
      </x:c>
      <x:c r="ED75" s="1111" t="str">
        <x:f t="shared" si="145"/>
        <x:v/>
      </x:c>
      <x:c r="EE75" s="1111" t="str">
        <x:f t="shared" si="171"/>
        <x:v/>
      </x:c>
      <x:c r="EF75" s="1111" t="str">
        <x:f t="shared" si="172"/>
        <x:v/>
      </x:c>
      <x:c r="EG75" s="1111" t="str">
        <x:f t="shared" si="146"/>
        <x:v/>
      </x:c>
      <x:c r="EH75" s="1111" t="str">
        <x:f t="shared" si="173"/>
        <x:v/>
      </x:c>
      <x:c r="EI75" s="1111" t="str">
        <x:f t="shared" si="174"/>
        <x:v/>
      </x:c>
      <x:c r="EJ75" s="1111" t="str">
        <x:f t="shared" si="147"/>
        <x:v/>
      </x:c>
      <x:c r="EK75" s="1109">
        <x:f t="shared" si="175"/>
        <x:v>0</x:v>
      </x:c>
      <x:c r="EL75" s="1109">
        <x:f t="shared" si="176"/>
        <x:v>0</x:v>
      </x:c>
      <x:c r="EM75" s="1109">
        <x:f t="shared" si="148"/>
        <x:v>0</x:v>
      </x:c>
      <x:c r="EN75" s="1109" t="str">
        <x:f t="shared" si="149"/>
        <x:v/>
      </x:c>
      <x:c r="EO75" s="1108" t="str">
        <x:f t="shared" si="177"/>
        <x:v/>
      </x:c>
      <x:c r="EP75" s="1109">
        <x:f t="shared" si="178"/>
        <x:v>0</x:v>
      </x:c>
      <x:c r="EQ75" s="1109">
        <x:f t="shared" si="179"/>
        <x:v>0</x:v>
      </x:c>
      <x:c r="ER75" s="1109">
        <x:f t="shared" si="150"/>
        <x:v>0</x:v>
      </x:c>
      <x:c r="ES75" s="1109" t="str">
        <x:f t="shared" si="151"/>
        <x:v/>
      </x:c>
      <x:c r="ET75" s="1108" t="str">
        <x:f t="shared" si="180"/>
        <x:v/>
      </x:c>
      <x:c r="EU75" s="1108">
        <x:f t="shared" si="152"/>
        <x:v>0</x:v>
      </x:c>
      <x:c r="EV75" s="1111" t="e">
        <x:f t="shared" si="192"/>
        <x:v>#VALUE!</x:v>
      </x:c>
      <x:c r="EW75" s="1111" t="e">
        <x:f t="shared" si="193"/>
        <x:v>#VALUE!</x:v>
      </x:c>
      <x:c r="EX75" s="1199" t="str">
        <x:f t="shared" si="181"/>
        <x:v/>
      </x:c>
      <x:c r="EY75" s="1114">
        <x:f t="shared" si="182"/>
        <x:v>25</x:v>
      </x:c>
      <x:c r="EZ75" s="1219">
        <x:f t="shared" si="183"/>
        <x:v>0</x:v>
      </x:c>
      <x:c r="FA75" s="1220">
        <x:f t="shared" si="184"/>
        <x:v>0</x:v>
      </x:c>
      <x:c r="FB75" s="1115" t="str">
        <x:f t="shared" si="153"/>
        <x:v/>
      </x:c>
      <x:c r="FC75" s="1116" t="str">
        <x:f t="shared" si="154"/>
        <x:v/>
      </x:c>
      <x:c r="FD75" s="614">
        <x:f t="shared" si="155"/>
        <x:v>0</x:v>
      </x:c>
      <x:c r="FE75" s="615">
        <x:f t="shared" si="156"/>
        <x:v>0</x:v>
      </x:c>
      <x:c r="FF75" s="969" t="b">
        <x:f t="shared" si="101"/>
        <x:v>0</x:v>
      </x:c>
      <x:c r="FG75" s="969" t="b">
        <x:f t="shared" si="102"/>
        <x:v>0</x:v>
      </x:c>
      <x:c r="FH75" s="969" t="b">
        <x:f t="shared" si="103"/>
        <x:v>0</x:v>
      </x:c>
      <x:c r="FI75" s="1158" t="b">
        <x:f t="shared" si="104"/>
        <x:v>0</x:v>
      </x:c>
      <x:c r="FJ75" s="1161" t="str">
        <x:f t="shared" si="113"/>
        <x:v/>
      </x:c>
      <x:c r="FK75" s="1160" t="str">
        <x:f t="shared" si="114"/>
        <x:v/>
      </x:c>
      <x:c r="FL75" s="388" t="e">
        <x:f t="shared" si="115"/>
        <x:v>#N/A</x:v>
      </x:c>
      <x:c r="FM75" s="380" t="str">
        <x:f t="shared" si="105"/>
        <x:v/>
      </x:c>
      <x:c r="FN75" s="337" t="str">
        <x:f t="shared" ca="1" si="116"/>
        <x:v/>
      </x:c>
      <x:c r="FO75" s="338" t="str">
        <x:f t="shared" ca="1" si="117"/>
        <x:v/>
      </x:c>
      <x:c r="FP75" s="339" t="str">
        <x:f t="shared" ca="1" si="118"/>
        <x:v/>
      </x:c>
      <x:c r="FQ75" s="339" t="str">
        <x:f t="shared" ca="1" si="119"/>
        <x:v/>
      </x:c>
      <x:c r="FR75" s="389">
        <x:f t="shared" ca="1" si="120"/>
        <x:v>0</x:v>
      </x:c>
      <x:c r="FS75" s="390">
        <x:f t="shared" ca="1" si="121"/>
        <x:v>0</x:v>
      </x:c>
      <x:c r="FT75" s="337" t="str">
        <x:f t="shared" ca="1" si="127"/>
        <x:v/>
      </x:c>
      <x:c r="FU75" s="340" t="str">
        <x:f t="shared" ca="1" si="128"/>
        <x:v/>
      </x:c>
      <x:c r="FV75" s="391" t="str">
        <x:f t="shared" ca="1" si="129"/>
        <x:v/>
      </x:c>
      <x:c r="FW75" s="341" t="str">
        <x:f t="shared" ca="1" si="122"/>
        <x:v/>
      </x:c>
      <x:c r="FX75" s="341" t="str">
        <x:f t="shared" ca="1" si="123"/>
        <x:v/>
      </x:c>
      <x:c r="FY75" s="341" t="str">
        <x:f t="shared" ca="1" si="130"/>
        <x:v/>
      </x:c>
      <x:c r="FZ75" s="341" t="str">
        <x:f t="shared" ca="1" si="124"/>
        <x:v/>
      </x:c>
      <x:c r="GA75" s="341" t="str">
        <x:f t="shared" ca="1" si="131"/>
        <x:v/>
      </x:c>
      <x:c r="GB75" s="342" t="str">
        <x:f ca="1">IF(FY75="","",2+SUM(FO75:OFFSET(FO75,(FU75-1)*-1,0)))</x:f>
        <x:v/>
      </x:c>
      <x:c r="GC75" s="384" t="e">
        <x:f t="shared" si="125"/>
        <x:v>#N/A</x:v>
      </x:c>
      <x:c r="GD75" s="392" t="str">
        <x:f t="shared" si="106"/>
        <x:v/>
      </x:c>
      <x:c r="GE75" s="393" t="str">
        <x:f t="shared" si="107"/>
        <x:v/>
      </x:c>
      <x:c r="GF75" s="343" t="str">
        <x:f t="shared" si="108"/>
        <x:v/>
      </x:c>
      <x:c r="GG75" s="344" t="str">
        <x:f t="shared" si="109"/>
        <x:v/>
      </x:c>
      <x:c r="GH75" s="344" t="str">
        <x:f t="shared" si="110"/>
        <x:v/>
      </x:c>
      <x:c r="GI75" s="345" t="str">
        <x:f t="shared" si="111"/>
        <x:v/>
      </x:c>
      <x:c r="GJ75" s="394">
        <x:f t="shared" ca="1" si="112"/>
        <x:v>0</x:v>
      </x:c>
      <x:c r="GK75" s="1154" t="str">
        <x:f t="shared" ca="1" si="126"/>
        <x:v/>
      </x:c>
    </x:row>
    <x:row r="76" spans="78:193" ht="12.6" hidden="1" customHeight="1" x14ac:dyDescent="0.2">
      <x:c r="BZ76" s="360"/>
      <x:c r="CA76" s="360"/>
      <x:c r="CB76" s="435" t="str">
        <x:f t="shared" si="132"/>
        <x:v/>
      </x:c>
      <x:c r="CC76" s="436" t="str">
        <x:f>IF(CG36="","",VLOOKUP(CG36,SectInfo!$B:$N,12,FALSE))</x:f>
        <x:v/>
      </x:c>
      <x:c r="CD76" s="1172" t="str">
        <x:f>IF(ISBLANK(CZ36),IF(CG36="","",VLOOKUP(CG36,SectInfo!$B:$N,13,FALSE)),CZ36)</x:f>
        <x:v/>
      </x:c>
      <x:c r="CE76" s="437" t="str">
        <x:f>IF(CG36="","",IF(VLOOKUP(CG36,SectInfo!$B:$N,5,FALSE)="","R",UPPER(VLOOKUP(CG36,SectInfo!$B:$N,5,FALSE))))</x:f>
        <x:v/>
      </x:c>
      <x:c r="CF76" s="1172" t="str">
        <x:f>IF(ISBLANK(DD36),IF(CG36="","",VLOOKUP(CG36,SectInfo!$B:$N,6,FALSE)),DD36)</x:f>
        <x:v/>
      </x:c>
      <x:c r="CG76" s="437" t="str">
        <x:f>IF(CG36="","",IF(VLOOKUP(CG36,SectInfo!$B:$N,10,FALSE)="","",(VLOOKUP(CG36,SectInfo!$B:$N,10,FALSE)*-1)))</x:f>
        <x:v/>
      </x:c>
      <x:c r="CH76" s="437" t="str">
        <x:f>IF(CG36="","",IF(VLOOKUP(CG36,SectInfo!$B:$N,7,FALSE)="","",(VLOOKUP(CG36,SectInfo!$B:$N,7,FALSE)*-1)))</x:f>
        <x:v/>
      </x:c>
      <x:c r="CI76" s="437" t="str">
        <x:f>IF(CG36="","",IF(VLOOKUP(CG36,SectInfo!$B:$N,8,FALSE)="",$FC$4,(VLOOKUP(CG36,SectInfo!$B:$N,8,FALSE))))</x:f>
        <x:v/>
      </x:c>
      <x:c r="CJ76" s="437" t="str">
        <x:f>IF(CG36="","",VLOOKUP(CG36,SectInfo!$B:$N,9,FALSE))</x:f>
        <x:v/>
      </x:c>
      <x:c r="CK76" s="438">
        <x:f t="shared" si="185"/>
        <x:v>0</x:v>
      </x:c>
      <x:c r="CL76" s="436" t="str">
        <x:f>IF(CN36="","",VLOOKUP(CN36,SectInfo!$B:$N,12,FALSE))</x:f>
        <x:v/>
      </x:c>
      <x:c r="CM76" s="1172" t="str">
        <x:f>IF(ISBLANK(DA36),IF(CN36="","",VLOOKUP(CN36,SectInfo!$B:$N,13,FALSE)),DA36)</x:f>
        <x:v/>
      </x:c>
      <x:c r="CN76" s="437" t="str">
        <x:f>IF(CN36="","",IF(VLOOKUP(CN36,SectInfo!$B:$N,5,FALSE)="","R",UPPER(VLOOKUP(CN36,SectInfo!$B:$N,5,FALSE))))</x:f>
        <x:v/>
      </x:c>
      <x:c r="CO76" s="1172" t="str">
        <x:f>IF(ISBLANK(DE36),IF(CN36="","",VLOOKUP(CN36,SectInfo!$B:$N,6,FALSE)),DE36)</x:f>
        <x:v/>
      </x:c>
      <x:c r="CP76" s="437" t="str">
        <x:f>IF(CN36="","",IF(VLOOKUP(CN36,SectInfo!$B:$N,10,FALSE)="","",(VLOOKUP(CN36,SectInfo!$B:$N,10,FALSE)*-1)))</x:f>
        <x:v/>
      </x:c>
      <x:c r="CQ76" s="437" t="str">
        <x:f>IF(CN36="","",IF(VLOOKUP(CN36,SectInfo!$B:$N,7,FALSE)="","",(VLOOKUP(CN36,SectInfo!$B:$N,7,FALSE)*-1)))</x:f>
        <x:v/>
      </x:c>
      <x:c r="CR76" s="437" t="str">
        <x:f>IF(CN36="","",IF(VLOOKUP(CN36,SectInfo!$B:$N,8,FALSE)="",$FC$4,(VLOOKUP(CN36,SectInfo!$B:$N,8,FALSE))))</x:f>
        <x:v/>
      </x:c>
      <x:c r="CS76" s="437" t="str">
        <x:f>IF(CN36="","",VLOOKUP(CN36,SectInfo!$B:$N,9,FALSE))</x:f>
        <x:v/>
      </x:c>
      <x:c r="CT76" s="438">
        <x:f t="shared" si="186"/>
        <x:v>0</x:v>
      </x:c>
      <x:c r="CU76" s="439">
        <x:f t="shared" si="133"/>
        <x:v>0</x:v>
      </x:c>
      <x:c r="CV76" s="339" t="str">
        <x:f t="shared" si="157"/>
        <x:v/>
      </x:c>
      <x:c r="CW76" s="339" t="str">
        <x:f t="shared" si="134"/>
        <x:v/>
      </x:c>
      <x:c r="CX76" s="1108" t="str">
        <x:f t="shared" si="135"/>
        <x:v/>
      </x:c>
      <x:c r="CY76" s="1109">
        <x:f t="shared" si="158"/>
        <x:v>0</x:v>
      </x:c>
      <x:c r="CZ76" s="1109">
        <x:f t="shared" si="136"/>
        <x:v>0</x:v>
      </x:c>
      <x:c r="DA76" s="1109" t="str">
        <x:f t="shared" si="137"/>
        <x:v/>
      </x:c>
      <x:c r="DB76" s="1125" t="str">
        <x:f t="shared" si="159"/>
        <x:v/>
      </x:c>
      <x:c r="DC76" s="1125" t="str">
        <x:f t="shared" si="187"/>
        <x:v/>
      </x:c>
      <x:c r="DD76" s="1110">
        <x:f t="shared" si="160"/>
        <x:v>0</x:v>
      </x:c>
      <x:c r="DE76" s="1108">
        <x:f t="shared" si="161"/>
        <x:v>0</x:v>
      </x:c>
      <x:c r="DF76" s="1109">
        <x:f t="shared" si="138"/>
        <x:v>0</x:v>
      </x:c>
      <x:c r="DG76" s="1109" t="str">
        <x:f t="shared" si="139"/>
        <x:v/>
      </x:c>
      <x:c r="DH76" s="1125" t="str">
        <x:f t="shared" si="162"/>
        <x:v/>
      </x:c>
      <x:c r="DI76" s="1125" t="str">
        <x:f t="shared" si="163"/>
        <x:v/>
      </x:c>
      <x:c r="DJ76" s="1110">
        <x:f t="shared" si="164"/>
        <x:v>0</x:v>
      </x:c>
      <x:c r="DK76" s="1108" t="str">
        <x:f t="shared" si="165"/>
        <x:v/>
      </x:c>
      <x:c r="DL76" s="1108" t="str">
        <x:f t="shared" si="166"/>
        <x:v/>
      </x:c>
      <x:c r="DM76" s="1108" t="str">
        <x:f t="shared" si="140"/>
        <x:v/>
      </x:c>
      <x:c r="DN76" s="1108" t="str">
        <x:f t="shared" si="141"/>
        <x:v/>
      </x:c>
      <x:c r="DO76" s="1125" t="str">
        <x:f t="shared" si="188"/>
        <x:v>ERR</x:v>
      </x:c>
      <x:c r="DP76" s="1125" t="str">
        <x:f t="shared" si="189"/>
        <x:v>ERR</x:v>
      </x:c>
      <x:c r="DQ76" s="1108" t="str">
        <x:f t="shared" si="167"/>
        <x:v/>
      </x:c>
      <x:c r="DR76" s="1108" t="str">
        <x:f t="shared" si="167"/>
        <x:v/>
      </x:c>
      <x:c r="DS76" s="1108" t="str">
        <x:f t="shared" si="168"/>
        <x:v/>
      </x:c>
      <x:c r="DT76" s="1108" t="str">
        <x:f t="shared" si="142"/>
        <x:v/>
      </x:c>
      <x:c r="DU76" s="1108" t="str">
        <x:f t="shared" si="143"/>
        <x:v/>
      </x:c>
      <x:c r="DV76" s="1125" t="str">
        <x:f t="shared" si="190"/>
        <x:v>ERR</x:v>
      </x:c>
      <x:c r="DW76" s="1125" t="str">
        <x:f t="shared" si="191"/>
        <x:v>ERR</x:v>
      </x:c>
      <x:c r="DX76" s="1108" t="str">
        <x:f t="shared" si="169"/>
        <x:v/>
      </x:c>
      <x:c r="DY76" s="1108" t="str">
        <x:f t="shared" si="169"/>
        <x:v/>
      </x:c>
      <x:c r="DZ76" s="1108" t="str">
        <x:f t="shared" si="194"/>
        <x:v/>
      </x:c>
      <x:c r="EA76" s="1108" t="str">
        <x:f t="shared" si="195"/>
        <x:v/>
      </x:c>
      <x:c r="EB76" s="1111" t="str">
        <x:f t="shared" si="144"/>
        <x:v/>
      </x:c>
      <x:c r="EC76" s="1112" t="str">
        <x:f t="shared" si="170"/>
        <x:v/>
      </x:c>
      <x:c r="ED76" s="1111" t="str">
        <x:f t="shared" si="145"/>
        <x:v/>
      </x:c>
      <x:c r="EE76" s="1111" t="str">
        <x:f t="shared" si="171"/>
        <x:v/>
      </x:c>
      <x:c r="EF76" s="1111" t="str">
        <x:f t="shared" si="172"/>
        <x:v/>
      </x:c>
      <x:c r="EG76" s="1111" t="str">
        <x:f t="shared" si="146"/>
        <x:v/>
      </x:c>
      <x:c r="EH76" s="1111" t="str">
        <x:f t="shared" si="173"/>
        <x:v/>
      </x:c>
      <x:c r="EI76" s="1111" t="str">
        <x:f t="shared" si="174"/>
        <x:v/>
      </x:c>
      <x:c r="EJ76" s="1111" t="str">
        <x:f t="shared" si="147"/>
        <x:v/>
      </x:c>
      <x:c r="EK76" s="1109">
        <x:f t="shared" si="175"/>
        <x:v>0</x:v>
      </x:c>
      <x:c r="EL76" s="1109">
        <x:f t="shared" si="176"/>
        <x:v>0</x:v>
      </x:c>
      <x:c r="EM76" s="1109">
        <x:f t="shared" si="148"/>
        <x:v>0</x:v>
      </x:c>
      <x:c r="EN76" s="1109" t="str">
        <x:f t="shared" si="149"/>
        <x:v/>
      </x:c>
      <x:c r="EO76" s="1108" t="str">
        <x:f t="shared" si="177"/>
        <x:v/>
      </x:c>
      <x:c r="EP76" s="1109">
        <x:f t="shared" si="178"/>
        <x:v>0</x:v>
      </x:c>
      <x:c r="EQ76" s="1109">
        <x:f t="shared" si="179"/>
        <x:v>0</x:v>
      </x:c>
      <x:c r="ER76" s="1109">
        <x:f t="shared" si="150"/>
        <x:v>0</x:v>
      </x:c>
      <x:c r="ES76" s="1109" t="str">
        <x:f t="shared" si="151"/>
        <x:v/>
      </x:c>
      <x:c r="ET76" s="1108" t="str">
        <x:f t="shared" si="180"/>
        <x:v/>
      </x:c>
      <x:c r="EU76" s="1108">
        <x:f t="shared" si="152"/>
        <x:v>0</x:v>
      </x:c>
      <x:c r="EV76" s="1111" t="e">
        <x:f t="shared" si="192"/>
        <x:v>#VALUE!</x:v>
      </x:c>
      <x:c r="EW76" s="1111" t="e">
        <x:f t="shared" si="193"/>
        <x:v>#VALUE!</x:v>
      </x:c>
      <x:c r="EX76" s="1199" t="str">
        <x:f t="shared" si="181"/>
        <x:v/>
      </x:c>
      <x:c r="EY76" s="1114">
        <x:f t="shared" si="182"/>
        <x:v>25</x:v>
      </x:c>
      <x:c r="EZ76" s="1219">
        <x:f t="shared" si="183"/>
        <x:v>0</x:v>
      </x:c>
      <x:c r="FA76" s="1220">
        <x:f t="shared" si="184"/>
        <x:v>0</x:v>
      </x:c>
      <x:c r="FB76" s="1115" t="str">
        <x:f t="shared" si="153"/>
        <x:v/>
      </x:c>
      <x:c r="FC76" s="1116" t="str">
        <x:f t="shared" si="154"/>
        <x:v/>
      </x:c>
      <x:c r="FD76" s="614">
        <x:f t="shared" si="155"/>
        <x:v>0</x:v>
      </x:c>
      <x:c r="FE76" s="615">
        <x:f t="shared" si="156"/>
        <x:v>0</x:v>
      </x:c>
      <x:c r="FF76" s="969" t="b">
        <x:f t="shared" si="101"/>
        <x:v>0</x:v>
      </x:c>
      <x:c r="FG76" s="969" t="b">
        <x:f t="shared" si="102"/>
        <x:v>0</x:v>
      </x:c>
      <x:c r="FH76" s="969" t="b">
        <x:f t="shared" si="103"/>
        <x:v>0</x:v>
      </x:c>
      <x:c r="FI76" s="1158" t="b">
        <x:f t="shared" si="104"/>
        <x:v>0</x:v>
      </x:c>
      <x:c r="FJ76" s="1161" t="str">
        <x:f t="shared" si="113"/>
        <x:v/>
      </x:c>
      <x:c r="FK76" s="1160" t="str">
        <x:f t="shared" si="114"/>
        <x:v/>
      </x:c>
      <x:c r="FL76" s="388" t="e">
        <x:f t="shared" si="115"/>
        <x:v>#N/A</x:v>
      </x:c>
      <x:c r="FM76" s="380" t="str">
        <x:f t="shared" si="105"/>
        <x:v/>
      </x:c>
      <x:c r="FN76" s="337" t="str">
        <x:f t="shared" ca="1" si="116"/>
        <x:v/>
      </x:c>
      <x:c r="FO76" s="338" t="str">
        <x:f t="shared" ca="1" si="117"/>
        <x:v/>
      </x:c>
      <x:c r="FP76" s="339" t="str">
        <x:f t="shared" ca="1" si="118"/>
        <x:v/>
      </x:c>
      <x:c r="FQ76" s="339" t="str">
        <x:f t="shared" ca="1" si="119"/>
        <x:v/>
      </x:c>
      <x:c r="FR76" s="389">
        <x:f t="shared" ca="1" si="120"/>
        <x:v>0</x:v>
      </x:c>
      <x:c r="FS76" s="390">
        <x:f t="shared" ca="1" si="121"/>
        <x:v>0</x:v>
      </x:c>
      <x:c r="FT76" s="337" t="str">
        <x:f t="shared" ca="1" si="127"/>
        <x:v/>
      </x:c>
      <x:c r="FU76" s="340" t="str">
        <x:f t="shared" ca="1" si="128"/>
        <x:v/>
      </x:c>
      <x:c r="FV76" s="391" t="str">
        <x:f t="shared" ca="1" si="129"/>
        <x:v/>
      </x:c>
      <x:c r="FW76" s="341" t="str">
        <x:f t="shared" ca="1" si="122"/>
        <x:v/>
      </x:c>
      <x:c r="FX76" s="341" t="str">
        <x:f t="shared" ca="1" si="123"/>
        <x:v/>
      </x:c>
      <x:c r="FY76" s="341" t="str">
        <x:f t="shared" ca="1" si="130"/>
        <x:v/>
      </x:c>
      <x:c r="FZ76" s="341" t="str">
        <x:f t="shared" ca="1" si="124"/>
        <x:v/>
      </x:c>
      <x:c r="GA76" s="341" t="str">
        <x:f t="shared" ca="1" si="131"/>
        <x:v/>
      </x:c>
      <x:c r="GB76" s="342" t="str">
        <x:f ca="1">IF(FY76="","",2+SUM(FO76:OFFSET(FO76,(FU76-1)*-1,0)))</x:f>
        <x:v/>
      </x:c>
      <x:c r="GC76" s="384" t="e">
        <x:f t="shared" si="125"/>
        <x:v>#N/A</x:v>
      </x:c>
      <x:c r="GD76" s="392" t="str">
        <x:f t="shared" si="106"/>
        <x:v/>
      </x:c>
      <x:c r="GE76" s="393" t="str">
        <x:f t="shared" si="107"/>
        <x:v/>
      </x:c>
      <x:c r="GF76" s="343" t="str">
        <x:f t="shared" si="108"/>
        <x:v/>
      </x:c>
      <x:c r="GG76" s="344" t="str">
        <x:f t="shared" si="109"/>
        <x:v/>
      </x:c>
      <x:c r="GH76" s="344" t="str">
        <x:f t="shared" si="110"/>
        <x:v/>
      </x:c>
      <x:c r="GI76" s="345" t="str">
        <x:f t="shared" si="111"/>
        <x:v/>
      </x:c>
      <x:c r="GJ76" s="394">
        <x:f t="shared" ca="1" si="112"/>
        <x:v>0</x:v>
      </x:c>
      <x:c r="GK76" s="1154" t="str">
        <x:f t="shared" ca="1" si="126"/>
        <x:v/>
      </x:c>
    </x:row>
    <x:row r="77" spans="78:193" ht="12.6" hidden="1" customHeight="1" x14ac:dyDescent="0.2">
      <x:c r="BZ77" s="360"/>
      <x:c r="CA77" s="360"/>
      <x:c r="CB77" s="435" t="str">
        <x:f t="shared" si="132"/>
        <x:v/>
      </x:c>
      <x:c r="CC77" s="436" t="str">
        <x:f>IF(CG37="","",VLOOKUP(CG37,SectInfo!$B:$N,12,FALSE))</x:f>
        <x:v/>
      </x:c>
      <x:c r="CD77" s="1172" t="str">
        <x:f>IF(ISBLANK(CZ37),IF(CG37="","",VLOOKUP(CG37,SectInfo!$B:$N,13,FALSE)),CZ37)</x:f>
        <x:v/>
      </x:c>
      <x:c r="CE77" s="437" t="str">
        <x:f>IF(CG37="","",IF(VLOOKUP(CG37,SectInfo!$B:$N,5,FALSE)="","R",UPPER(VLOOKUP(CG37,SectInfo!$B:$N,5,FALSE))))</x:f>
        <x:v/>
      </x:c>
      <x:c r="CF77" s="1172" t="str">
        <x:f>IF(ISBLANK(DD37),IF(CG37="","",VLOOKUP(CG37,SectInfo!$B:$N,6,FALSE)),DD37)</x:f>
        <x:v/>
      </x:c>
      <x:c r="CG77" s="437" t="str">
        <x:f>IF(CG37="","",IF(VLOOKUP(CG37,SectInfo!$B:$N,10,FALSE)="","",(VLOOKUP(CG37,SectInfo!$B:$N,10,FALSE)*-1)))</x:f>
        <x:v/>
      </x:c>
      <x:c r="CH77" s="437" t="str">
        <x:f>IF(CG37="","",IF(VLOOKUP(CG37,SectInfo!$B:$N,7,FALSE)="","",(VLOOKUP(CG37,SectInfo!$B:$N,7,FALSE)*-1)))</x:f>
        <x:v/>
      </x:c>
      <x:c r="CI77" s="437" t="str">
        <x:f>IF(CG37="","",IF(VLOOKUP(CG37,SectInfo!$B:$N,8,FALSE)="",$FC$4,(VLOOKUP(CG37,SectInfo!$B:$N,8,FALSE))))</x:f>
        <x:v/>
      </x:c>
      <x:c r="CJ77" s="437" t="str">
        <x:f>IF(CG37="","",VLOOKUP(CG37,SectInfo!$B:$N,9,FALSE))</x:f>
        <x:v/>
      </x:c>
      <x:c r="CK77" s="438">
        <x:f t="shared" si="185"/>
        <x:v>0</x:v>
      </x:c>
      <x:c r="CL77" s="436" t="str">
        <x:f>IF(CN37="","",VLOOKUP(CN37,SectInfo!$B:$N,12,FALSE))</x:f>
        <x:v/>
      </x:c>
      <x:c r="CM77" s="1172" t="str">
        <x:f>IF(ISBLANK(DA37),IF(CN37="","",VLOOKUP(CN37,SectInfo!$B:$N,13,FALSE)),DA37)</x:f>
        <x:v/>
      </x:c>
      <x:c r="CN77" s="437" t="str">
        <x:f>IF(CN37="","",IF(VLOOKUP(CN37,SectInfo!$B:$N,5,FALSE)="","R",UPPER(VLOOKUP(CN37,SectInfo!$B:$N,5,FALSE))))</x:f>
        <x:v/>
      </x:c>
      <x:c r="CO77" s="1172" t="str">
        <x:f>IF(ISBLANK(DE37),IF(CN37="","",VLOOKUP(CN37,SectInfo!$B:$N,6,FALSE)),DE37)</x:f>
        <x:v/>
      </x:c>
      <x:c r="CP77" s="437" t="str">
        <x:f>IF(CN37="","",IF(VLOOKUP(CN37,SectInfo!$B:$N,10,FALSE)="","",(VLOOKUP(CN37,SectInfo!$B:$N,10,FALSE)*-1)))</x:f>
        <x:v/>
      </x:c>
      <x:c r="CQ77" s="437" t="str">
        <x:f>IF(CN37="","",IF(VLOOKUP(CN37,SectInfo!$B:$N,7,FALSE)="","",(VLOOKUP(CN37,SectInfo!$B:$N,7,FALSE)*-1)))</x:f>
        <x:v/>
      </x:c>
      <x:c r="CR77" s="437" t="str">
        <x:f>IF(CN37="","",IF(VLOOKUP(CN37,SectInfo!$B:$N,8,FALSE)="",$FC$4,(VLOOKUP(CN37,SectInfo!$B:$N,8,FALSE))))</x:f>
        <x:v/>
      </x:c>
      <x:c r="CS77" s="437" t="str">
        <x:f>IF(CN37="","",VLOOKUP(CN37,SectInfo!$B:$N,9,FALSE))</x:f>
        <x:v/>
      </x:c>
      <x:c r="CT77" s="438">
        <x:f t="shared" si="186"/>
        <x:v>0</x:v>
      </x:c>
      <x:c r="CU77" s="439">
        <x:f t="shared" si="133"/>
        <x:v>0</x:v>
      </x:c>
      <x:c r="CV77" s="339" t="str">
        <x:f t="shared" si="157"/>
        <x:v/>
      </x:c>
      <x:c r="CW77" s="339" t="str">
        <x:f t="shared" si="134"/>
        <x:v/>
      </x:c>
      <x:c r="CX77" s="1108" t="str">
        <x:f t="shared" si="135"/>
        <x:v/>
      </x:c>
      <x:c r="CY77" s="1109">
        <x:f t="shared" si="158"/>
        <x:v>0</x:v>
      </x:c>
      <x:c r="CZ77" s="1109">
        <x:f t="shared" si="136"/>
        <x:v>0</x:v>
      </x:c>
      <x:c r="DA77" s="1109" t="str">
        <x:f t="shared" si="137"/>
        <x:v/>
      </x:c>
      <x:c r="DB77" s="1125" t="str">
        <x:f t="shared" si="159"/>
        <x:v/>
      </x:c>
      <x:c r="DC77" s="1125" t="str">
        <x:f t="shared" si="187"/>
        <x:v/>
      </x:c>
      <x:c r="DD77" s="1110">
        <x:f t="shared" si="160"/>
        <x:v>0</x:v>
      </x:c>
      <x:c r="DE77" s="1108">
        <x:f t="shared" si="161"/>
        <x:v>0</x:v>
      </x:c>
      <x:c r="DF77" s="1109">
        <x:f t="shared" si="138"/>
        <x:v>0</x:v>
      </x:c>
      <x:c r="DG77" s="1109" t="str">
        <x:f t="shared" si="139"/>
        <x:v/>
      </x:c>
      <x:c r="DH77" s="1125" t="str">
        <x:f t="shared" si="162"/>
        <x:v/>
      </x:c>
      <x:c r="DI77" s="1125" t="str">
        <x:f t="shared" si="163"/>
        <x:v/>
      </x:c>
      <x:c r="DJ77" s="1110">
        <x:f t="shared" si="164"/>
        <x:v>0</x:v>
      </x:c>
      <x:c r="DK77" s="1108" t="str">
        <x:f t="shared" si="165"/>
        <x:v/>
      </x:c>
      <x:c r="DL77" s="1108" t="str">
        <x:f t="shared" si="166"/>
        <x:v/>
      </x:c>
      <x:c r="DM77" s="1108" t="str">
        <x:f t="shared" si="140"/>
        <x:v/>
      </x:c>
      <x:c r="DN77" s="1108" t="str">
        <x:f t="shared" si="141"/>
        <x:v/>
      </x:c>
      <x:c r="DO77" s="1125" t="str">
        <x:f t="shared" si="188"/>
        <x:v>ERR</x:v>
      </x:c>
      <x:c r="DP77" s="1125" t="str">
        <x:f t="shared" si="189"/>
        <x:v>ERR</x:v>
      </x:c>
      <x:c r="DQ77" s="1108" t="str">
        <x:f t="shared" si="167"/>
        <x:v/>
      </x:c>
      <x:c r="DR77" s="1108" t="str">
        <x:f t="shared" si="167"/>
        <x:v/>
      </x:c>
      <x:c r="DS77" s="1108" t="str">
        <x:f t="shared" si="168"/>
        <x:v/>
      </x:c>
      <x:c r="DT77" s="1108" t="str">
        <x:f t="shared" si="142"/>
        <x:v/>
      </x:c>
      <x:c r="DU77" s="1108" t="str">
        <x:f t="shared" si="143"/>
        <x:v/>
      </x:c>
      <x:c r="DV77" s="1125" t="str">
        <x:f t="shared" si="190"/>
        <x:v>ERR</x:v>
      </x:c>
      <x:c r="DW77" s="1125" t="str">
        <x:f t="shared" si="191"/>
        <x:v>ERR</x:v>
      </x:c>
      <x:c r="DX77" s="1108" t="str">
        <x:f t="shared" si="169"/>
        <x:v/>
      </x:c>
      <x:c r="DY77" s="1108" t="str">
        <x:f t="shared" si="169"/>
        <x:v/>
      </x:c>
      <x:c r="DZ77" s="1108" t="str">
        <x:f t="shared" si="194"/>
        <x:v/>
      </x:c>
      <x:c r="EA77" s="1108" t="str">
        <x:f t="shared" si="195"/>
        <x:v/>
      </x:c>
      <x:c r="EB77" s="1111" t="str">
        <x:f t="shared" si="144"/>
        <x:v/>
      </x:c>
      <x:c r="EC77" s="1112" t="str">
        <x:f t="shared" si="170"/>
        <x:v/>
      </x:c>
      <x:c r="ED77" s="1111" t="str">
        <x:f t="shared" si="145"/>
        <x:v/>
      </x:c>
      <x:c r="EE77" s="1111" t="str">
        <x:f t="shared" si="171"/>
        <x:v/>
      </x:c>
      <x:c r="EF77" s="1111" t="str">
        <x:f t="shared" si="172"/>
        <x:v/>
      </x:c>
      <x:c r="EG77" s="1111" t="str">
        <x:f t="shared" si="146"/>
        <x:v/>
      </x:c>
      <x:c r="EH77" s="1111" t="str">
        <x:f t="shared" si="173"/>
        <x:v/>
      </x:c>
      <x:c r="EI77" s="1111" t="str">
        <x:f t="shared" si="174"/>
        <x:v/>
      </x:c>
      <x:c r="EJ77" s="1111" t="str">
        <x:f t="shared" si="147"/>
        <x:v/>
      </x:c>
      <x:c r="EK77" s="1109">
        <x:f t="shared" si="175"/>
        <x:v>0</x:v>
      </x:c>
      <x:c r="EL77" s="1109">
        <x:f t="shared" si="176"/>
        <x:v>0</x:v>
      </x:c>
      <x:c r="EM77" s="1109">
        <x:f t="shared" si="148"/>
        <x:v>0</x:v>
      </x:c>
      <x:c r="EN77" s="1109" t="str">
        <x:f t="shared" si="149"/>
        <x:v/>
      </x:c>
      <x:c r="EO77" s="1108" t="str">
        <x:f t="shared" si="177"/>
        <x:v/>
      </x:c>
      <x:c r="EP77" s="1109">
        <x:f t="shared" si="178"/>
        <x:v>0</x:v>
      </x:c>
      <x:c r="EQ77" s="1109">
        <x:f t="shared" si="179"/>
        <x:v>0</x:v>
      </x:c>
      <x:c r="ER77" s="1109">
        <x:f t="shared" si="150"/>
        <x:v>0</x:v>
      </x:c>
      <x:c r="ES77" s="1109" t="str">
        <x:f t="shared" si="151"/>
        <x:v/>
      </x:c>
      <x:c r="ET77" s="1108" t="str">
        <x:f t="shared" si="180"/>
        <x:v/>
      </x:c>
      <x:c r="EU77" s="1108">
        <x:f t="shared" si="152"/>
        <x:v>0</x:v>
      </x:c>
      <x:c r="EV77" s="1111" t="e">
        <x:f t="shared" si="192"/>
        <x:v>#VALUE!</x:v>
      </x:c>
      <x:c r="EW77" s="1111" t="e">
        <x:f t="shared" si="193"/>
        <x:v>#VALUE!</x:v>
      </x:c>
      <x:c r="EX77" s="1199" t="str">
        <x:f t="shared" si="181"/>
        <x:v/>
      </x:c>
      <x:c r="EY77" s="1114">
        <x:f t="shared" si="182"/>
        <x:v>25</x:v>
      </x:c>
      <x:c r="EZ77" s="1219">
        <x:f t="shared" si="183"/>
        <x:v>0</x:v>
      </x:c>
      <x:c r="FA77" s="1220">
        <x:f t="shared" si="184"/>
        <x:v>0</x:v>
      </x:c>
      <x:c r="FB77" s="1115" t="str">
        <x:f t="shared" si="153"/>
        <x:v/>
      </x:c>
      <x:c r="FC77" s="1116" t="str">
        <x:f t="shared" si="154"/>
        <x:v/>
      </x:c>
      <x:c r="FD77" s="614">
        <x:f t="shared" si="155"/>
        <x:v>0</x:v>
      </x:c>
      <x:c r="FE77" s="615">
        <x:f t="shared" si="156"/>
        <x:v>0</x:v>
      </x:c>
      <x:c r="FF77" s="969" t="b">
        <x:f t="shared" si="101"/>
        <x:v>0</x:v>
      </x:c>
      <x:c r="FG77" s="969" t="b">
        <x:f t="shared" si="102"/>
        <x:v>0</x:v>
      </x:c>
      <x:c r="FH77" s="969" t="b">
        <x:f t="shared" si="103"/>
        <x:v>0</x:v>
      </x:c>
      <x:c r="FI77" s="1158" t="b">
        <x:f t="shared" si="104"/>
        <x:v>0</x:v>
      </x:c>
      <x:c r="FJ77" s="1161" t="str">
        <x:f t="shared" si="113"/>
        <x:v/>
      </x:c>
      <x:c r="FK77" s="1160" t="str">
        <x:f t="shared" si="114"/>
        <x:v/>
      </x:c>
      <x:c r="FL77" s="388" t="e">
        <x:f t="shared" si="115"/>
        <x:v>#N/A</x:v>
      </x:c>
      <x:c r="FM77" s="380" t="str">
        <x:f t="shared" si="105"/>
        <x:v/>
      </x:c>
      <x:c r="FN77" s="337" t="str">
        <x:f t="shared" ca="1" si="116"/>
        <x:v/>
      </x:c>
      <x:c r="FO77" s="338" t="str">
        <x:f t="shared" ca="1" si="117"/>
        <x:v/>
      </x:c>
      <x:c r="FP77" s="339" t="str">
        <x:f t="shared" ca="1" si="118"/>
        <x:v/>
      </x:c>
      <x:c r="FQ77" s="339" t="str">
        <x:f t="shared" ca="1" si="119"/>
        <x:v/>
      </x:c>
      <x:c r="FR77" s="389">
        <x:f t="shared" ca="1" si="120"/>
        <x:v>0</x:v>
      </x:c>
      <x:c r="FS77" s="390">
        <x:f t="shared" ca="1" si="121"/>
        <x:v>0</x:v>
      </x:c>
      <x:c r="FT77" s="337" t="str">
        <x:f t="shared" ca="1" si="127"/>
        <x:v/>
      </x:c>
      <x:c r="FU77" s="340" t="str">
        <x:f t="shared" ca="1" si="128"/>
        <x:v/>
      </x:c>
      <x:c r="FV77" s="391" t="str">
        <x:f t="shared" ca="1" si="129"/>
        <x:v/>
      </x:c>
      <x:c r="FW77" s="341" t="str">
        <x:f t="shared" ca="1" si="122"/>
        <x:v/>
      </x:c>
      <x:c r="FX77" s="341" t="str">
        <x:f t="shared" ca="1" si="123"/>
        <x:v/>
      </x:c>
      <x:c r="FY77" s="341" t="str">
        <x:f t="shared" ca="1" si="130"/>
        <x:v/>
      </x:c>
      <x:c r="FZ77" s="341" t="str">
        <x:f t="shared" ca="1" si="124"/>
        <x:v/>
      </x:c>
      <x:c r="GA77" s="341" t="str">
        <x:f t="shared" ca="1" si="131"/>
        <x:v/>
      </x:c>
      <x:c r="GB77" s="342" t="str">
        <x:f ca="1">IF(FY77="","",2+SUM(FO77:OFFSET(FO77,(FU77-1)*-1,0)))</x:f>
        <x:v/>
      </x:c>
      <x:c r="GC77" s="384" t="e">
        <x:f t="shared" si="125"/>
        <x:v>#N/A</x:v>
      </x:c>
      <x:c r="GD77" s="392" t="str">
        <x:f t="shared" si="106"/>
        <x:v/>
      </x:c>
      <x:c r="GE77" s="393" t="str">
        <x:f t="shared" si="107"/>
        <x:v/>
      </x:c>
      <x:c r="GF77" s="343" t="str">
        <x:f t="shared" si="108"/>
        <x:v/>
      </x:c>
      <x:c r="GG77" s="344" t="str">
        <x:f t="shared" si="109"/>
        <x:v/>
      </x:c>
      <x:c r="GH77" s="344" t="str">
        <x:f t="shared" si="110"/>
        <x:v/>
      </x:c>
      <x:c r="GI77" s="345" t="str">
        <x:f t="shared" si="111"/>
        <x:v/>
      </x:c>
      <x:c r="GJ77" s="394">
        <x:f t="shared" ca="1" si="112"/>
        <x:v>0</x:v>
      </x:c>
      <x:c r="GK77" s="1154" t="str">
        <x:f t="shared" ca="1" si="126"/>
        <x:v/>
      </x:c>
    </x:row>
    <x:row r="78" spans="78:193" ht="12.6" hidden="1" customHeight="1" x14ac:dyDescent="0.2">
      <x:c r="BZ78" s="360"/>
      <x:c r="CA78" s="360"/>
      <x:c r="CB78" s="435" t="str">
        <x:f t="shared" si="132"/>
        <x:v/>
      </x:c>
      <x:c r="CC78" s="436" t="str">
        <x:f>IF(CG38="","",VLOOKUP(CG38,SectInfo!$B:$N,12,FALSE))</x:f>
        <x:v/>
      </x:c>
      <x:c r="CD78" s="1172" t="str">
        <x:f>IF(ISBLANK(CZ38),IF(CG38="","",VLOOKUP(CG38,SectInfo!$B:$N,13,FALSE)),CZ38)</x:f>
        <x:v/>
      </x:c>
      <x:c r="CE78" s="437" t="str">
        <x:f>IF(CG38="","",IF(VLOOKUP(CG38,SectInfo!$B:$N,5,FALSE)="","R",UPPER(VLOOKUP(CG38,SectInfo!$B:$N,5,FALSE))))</x:f>
        <x:v/>
      </x:c>
      <x:c r="CF78" s="1172" t="str">
        <x:f>IF(ISBLANK(DD38),IF(CG38="","",VLOOKUP(CG38,SectInfo!$B:$N,6,FALSE)),DD38)</x:f>
        <x:v/>
      </x:c>
      <x:c r="CG78" s="437" t="str">
        <x:f>IF(CG38="","",IF(VLOOKUP(CG38,SectInfo!$B:$N,10,FALSE)="","",(VLOOKUP(CG38,SectInfo!$B:$N,10,FALSE)*-1)))</x:f>
        <x:v/>
      </x:c>
      <x:c r="CH78" s="437" t="str">
        <x:f>IF(CG38="","",IF(VLOOKUP(CG38,SectInfo!$B:$N,7,FALSE)="","",(VLOOKUP(CG38,SectInfo!$B:$N,7,FALSE)*-1)))</x:f>
        <x:v/>
      </x:c>
      <x:c r="CI78" s="437" t="str">
        <x:f>IF(CG38="","",IF(VLOOKUP(CG38,SectInfo!$B:$N,8,FALSE)="",$FC$4,(VLOOKUP(CG38,SectInfo!$B:$N,8,FALSE))))</x:f>
        <x:v/>
      </x:c>
      <x:c r="CJ78" s="437" t="str">
        <x:f>IF(CG38="","",VLOOKUP(CG38,SectInfo!$B:$N,9,FALSE))</x:f>
        <x:v/>
      </x:c>
      <x:c r="CK78" s="438">
        <x:f t="shared" si="185"/>
        <x:v>0</x:v>
      </x:c>
      <x:c r="CL78" s="436" t="str">
        <x:f>IF(CN38="","",VLOOKUP(CN38,SectInfo!$B:$N,12,FALSE))</x:f>
        <x:v/>
      </x:c>
      <x:c r="CM78" s="1172" t="str">
        <x:f>IF(ISBLANK(DA38),IF(CN38="","",VLOOKUP(CN38,SectInfo!$B:$N,13,FALSE)),DA38)</x:f>
        <x:v/>
      </x:c>
      <x:c r="CN78" s="437" t="str">
        <x:f>IF(CN38="","",IF(VLOOKUP(CN38,SectInfo!$B:$N,5,FALSE)="","R",UPPER(VLOOKUP(CN38,SectInfo!$B:$N,5,FALSE))))</x:f>
        <x:v/>
      </x:c>
      <x:c r="CO78" s="1172" t="str">
        <x:f>IF(ISBLANK(DE38),IF(CN38="","",VLOOKUP(CN38,SectInfo!$B:$N,6,FALSE)),DE38)</x:f>
        <x:v/>
      </x:c>
      <x:c r="CP78" s="437" t="str">
        <x:f>IF(CN38="","",IF(VLOOKUP(CN38,SectInfo!$B:$N,10,FALSE)="","",(VLOOKUP(CN38,SectInfo!$B:$N,10,FALSE)*-1)))</x:f>
        <x:v/>
      </x:c>
      <x:c r="CQ78" s="437" t="str">
        <x:f>IF(CN38="","",IF(VLOOKUP(CN38,SectInfo!$B:$N,7,FALSE)="","",(VLOOKUP(CN38,SectInfo!$B:$N,7,FALSE)*-1)))</x:f>
        <x:v/>
      </x:c>
      <x:c r="CR78" s="437" t="str">
        <x:f>IF(CN38="","",IF(VLOOKUP(CN38,SectInfo!$B:$N,8,FALSE)="",$FC$4,(VLOOKUP(CN38,SectInfo!$B:$N,8,FALSE))))</x:f>
        <x:v/>
      </x:c>
      <x:c r="CS78" s="437" t="str">
        <x:f>IF(CN38="","",VLOOKUP(CN38,SectInfo!$B:$N,9,FALSE))</x:f>
        <x:v/>
      </x:c>
      <x:c r="CT78" s="438">
        <x:f t="shared" si="186"/>
        <x:v>0</x:v>
      </x:c>
      <x:c r="CU78" s="439">
        <x:f t="shared" si="133"/>
        <x:v>0</x:v>
      </x:c>
      <x:c r="CV78" s="339" t="str">
        <x:f t="shared" si="157"/>
        <x:v/>
      </x:c>
      <x:c r="CW78" s="339" t="str">
        <x:f t="shared" si="134"/>
        <x:v/>
      </x:c>
      <x:c r="CX78" s="1108" t="str">
        <x:f t="shared" si="135"/>
        <x:v/>
      </x:c>
      <x:c r="CY78" s="1109">
        <x:f t="shared" si="158"/>
        <x:v>0</x:v>
      </x:c>
      <x:c r="CZ78" s="1109">
        <x:f t="shared" si="136"/>
        <x:v>0</x:v>
      </x:c>
      <x:c r="DA78" s="1109" t="str">
        <x:f t="shared" si="137"/>
        <x:v/>
      </x:c>
      <x:c r="DB78" s="1125" t="str">
        <x:f t="shared" si="159"/>
        <x:v/>
      </x:c>
      <x:c r="DC78" s="1125" t="str">
        <x:f t="shared" si="187"/>
        <x:v/>
      </x:c>
      <x:c r="DD78" s="1110">
        <x:f t="shared" si="160"/>
        <x:v>0</x:v>
      </x:c>
      <x:c r="DE78" s="1108">
        <x:f t="shared" si="161"/>
        <x:v>0</x:v>
      </x:c>
      <x:c r="DF78" s="1109">
        <x:f t="shared" si="138"/>
        <x:v>0</x:v>
      </x:c>
      <x:c r="DG78" s="1109" t="str">
        <x:f t="shared" si="139"/>
        <x:v/>
      </x:c>
      <x:c r="DH78" s="1125" t="str">
        <x:f t="shared" si="162"/>
        <x:v/>
      </x:c>
      <x:c r="DI78" s="1125" t="str">
        <x:f t="shared" si="163"/>
        <x:v/>
      </x:c>
      <x:c r="DJ78" s="1110">
        <x:f t="shared" si="164"/>
        <x:v>0</x:v>
      </x:c>
      <x:c r="DK78" s="1108" t="str">
        <x:f t="shared" si="165"/>
        <x:v/>
      </x:c>
      <x:c r="DL78" s="1108" t="str">
        <x:f t="shared" si="166"/>
        <x:v/>
      </x:c>
      <x:c r="DM78" s="1108" t="str">
        <x:f t="shared" si="140"/>
        <x:v/>
      </x:c>
      <x:c r="DN78" s="1108" t="str">
        <x:f t="shared" si="141"/>
        <x:v/>
      </x:c>
      <x:c r="DO78" s="1125" t="str">
        <x:f t="shared" si="188"/>
        <x:v>ERR</x:v>
      </x:c>
      <x:c r="DP78" s="1125" t="str">
        <x:f t="shared" si="189"/>
        <x:v>ERR</x:v>
      </x:c>
      <x:c r="DQ78" s="1108" t="str">
        <x:f t="shared" si="167"/>
        <x:v/>
      </x:c>
      <x:c r="DR78" s="1108" t="str">
        <x:f t="shared" si="167"/>
        <x:v/>
      </x:c>
      <x:c r="DS78" s="1108" t="str">
        <x:f t="shared" si="168"/>
        <x:v/>
      </x:c>
      <x:c r="DT78" s="1108" t="str">
        <x:f t="shared" si="142"/>
        <x:v/>
      </x:c>
      <x:c r="DU78" s="1108" t="str">
        <x:f t="shared" si="143"/>
        <x:v/>
      </x:c>
      <x:c r="DV78" s="1125" t="str">
        <x:f t="shared" si="190"/>
        <x:v>ERR</x:v>
      </x:c>
      <x:c r="DW78" s="1125" t="str">
        <x:f t="shared" si="191"/>
        <x:v>ERR</x:v>
      </x:c>
      <x:c r="DX78" s="1108" t="str">
        <x:f t="shared" si="169"/>
        <x:v/>
      </x:c>
      <x:c r="DY78" s="1108" t="str">
        <x:f t="shared" si="169"/>
        <x:v/>
      </x:c>
      <x:c r="DZ78" s="1108" t="str">
        <x:f t="shared" si="194"/>
        <x:v/>
      </x:c>
      <x:c r="EA78" s="1108" t="str">
        <x:f t="shared" si="195"/>
        <x:v/>
      </x:c>
      <x:c r="EB78" s="1111" t="str">
        <x:f t="shared" si="144"/>
        <x:v/>
      </x:c>
      <x:c r="EC78" s="1112" t="str">
        <x:f t="shared" si="170"/>
        <x:v/>
      </x:c>
      <x:c r="ED78" s="1111" t="str">
        <x:f t="shared" si="145"/>
        <x:v/>
      </x:c>
      <x:c r="EE78" s="1111" t="str">
        <x:f t="shared" si="171"/>
        <x:v/>
      </x:c>
      <x:c r="EF78" s="1111" t="str">
        <x:f t="shared" si="172"/>
        <x:v/>
      </x:c>
      <x:c r="EG78" s="1111" t="str">
        <x:f t="shared" si="146"/>
        <x:v/>
      </x:c>
      <x:c r="EH78" s="1111" t="str">
        <x:f t="shared" si="173"/>
        <x:v/>
      </x:c>
      <x:c r="EI78" s="1111" t="str">
        <x:f t="shared" si="174"/>
        <x:v/>
      </x:c>
      <x:c r="EJ78" s="1111" t="str">
        <x:f t="shared" si="147"/>
        <x:v/>
      </x:c>
      <x:c r="EK78" s="1109">
        <x:f t="shared" si="175"/>
        <x:v>0</x:v>
      </x:c>
      <x:c r="EL78" s="1109">
        <x:f t="shared" si="176"/>
        <x:v>0</x:v>
      </x:c>
      <x:c r="EM78" s="1109">
        <x:f t="shared" si="148"/>
        <x:v>0</x:v>
      </x:c>
      <x:c r="EN78" s="1109" t="str">
        <x:f t="shared" si="149"/>
        <x:v/>
      </x:c>
      <x:c r="EO78" s="1108" t="str">
        <x:f t="shared" si="177"/>
        <x:v/>
      </x:c>
      <x:c r="EP78" s="1109">
        <x:f t="shared" si="178"/>
        <x:v>0</x:v>
      </x:c>
      <x:c r="EQ78" s="1109">
        <x:f t="shared" si="179"/>
        <x:v>0</x:v>
      </x:c>
      <x:c r="ER78" s="1109">
        <x:f t="shared" si="150"/>
        <x:v>0</x:v>
      </x:c>
      <x:c r="ES78" s="1109" t="str">
        <x:f t="shared" si="151"/>
        <x:v/>
      </x:c>
      <x:c r="ET78" s="1108" t="str">
        <x:f t="shared" si="180"/>
        <x:v/>
      </x:c>
      <x:c r="EU78" s="1108">
        <x:f t="shared" si="152"/>
        <x:v>0</x:v>
      </x:c>
      <x:c r="EV78" s="1111" t="e">
        <x:f t="shared" si="192"/>
        <x:v>#VALUE!</x:v>
      </x:c>
      <x:c r="EW78" s="1111" t="e">
        <x:f t="shared" si="193"/>
        <x:v>#VALUE!</x:v>
      </x:c>
      <x:c r="EX78" s="1199" t="str">
        <x:f t="shared" si="181"/>
        <x:v/>
      </x:c>
      <x:c r="EY78" s="1114">
        <x:f t="shared" si="182"/>
        <x:v>25</x:v>
      </x:c>
      <x:c r="EZ78" s="1219">
        <x:f t="shared" si="183"/>
        <x:v>0</x:v>
      </x:c>
      <x:c r="FA78" s="1220">
        <x:f t="shared" si="184"/>
        <x:v>0</x:v>
      </x:c>
      <x:c r="FB78" s="1115" t="str">
        <x:f t="shared" si="153"/>
        <x:v/>
      </x:c>
      <x:c r="FC78" s="1116" t="str">
        <x:f t="shared" si="154"/>
        <x:v/>
      </x:c>
      <x:c r="FD78" s="614">
        <x:f t="shared" si="155"/>
        <x:v>0</x:v>
      </x:c>
      <x:c r="FE78" s="615">
        <x:f t="shared" si="156"/>
        <x:v>0</x:v>
      </x:c>
      <x:c r="FF78" s="969" t="b">
        <x:f t="shared" si="101"/>
        <x:v>0</x:v>
      </x:c>
      <x:c r="FG78" s="969" t="b">
        <x:f t="shared" si="102"/>
        <x:v>0</x:v>
      </x:c>
      <x:c r="FH78" s="969" t="b">
        <x:f t="shared" si="103"/>
        <x:v>0</x:v>
      </x:c>
      <x:c r="FI78" s="1158" t="b">
        <x:f t="shared" si="104"/>
        <x:v>0</x:v>
      </x:c>
      <x:c r="FJ78" s="1161" t="str">
        <x:f t="shared" si="113"/>
        <x:v/>
      </x:c>
      <x:c r="FK78" s="1160" t="str">
        <x:f t="shared" si="114"/>
        <x:v/>
      </x:c>
      <x:c r="FL78" s="388" t="e">
        <x:f t="shared" si="115"/>
        <x:v>#N/A</x:v>
      </x:c>
      <x:c r="FM78" s="380" t="str">
        <x:f t="shared" si="105"/>
        <x:v/>
      </x:c>
      <x:c r="FN78" s="337" t="str">
        <x:f t="shared" ca="1" si="116"/>
        <x:v/>
      </x:c>
      <x:c r="FO78" s="338" t="str">
        <x:f t="shared" ca="1" si="117"/>
        <x:v/>
      </x:c>
      <x:c r="FP78" s="339" t="str">
        <x:f t="shared" ca="1" si="118"/>
        <x:v/>
      </x:c>
      <x:c r="FQ78" s="339" t="str">
        <x:f t="shared" ca="1" si="119"/>
        <x:v/>
      </x:c>
      <x:c r="FR78" s="389">
        <x:f t="shared" ca="1" si="120"/>
        <x:v>0</x:v>
      </x:c>
      <x:c r="FS78" s="390">
        <x:f t="shared" ca="1" si="121"/>
        <x:v>0</x:v>
      </x:c>
      <x:c r="FT78" s="337" t="str">
        <x:f t="shared" ca="1" si="127"/>
        <x:v/>
      </x:c>
      <x:c r="FU78" s="340" t="str">
        <x:f t="shared" ca="1" si="128"/>
        <x:v/>
      </x:c>
      <x:c r="FV78" s="391" t="str">
        <x:f t="shared" ca="1" si="129"/>
        <x:v/>
      </x:c>
      <x:c r="FW78" s="341" t="str">
        <x:f t="shared" ca="1" si="122"/>
        <x:v/>
      </x:c>
      <x:c r="FX78" s="341" t="str">
        <x:f t="shared" ca="1" si="123"/>
        <x:v/>
      </x:c>
      <x:c r="FY78" s="341" t="str">
        <x:f t="shared" ca="1" si="130"/>
        <x:v/>
      </x:c>
      <x:c r="FZ78" s="341" t="str">
        <x:f t="shared" ca="1" si="124"/>
        <x:v/>
      </x:c>
      <x:c r="GA78" s="341" t="str">
        <x:f t="shared" ca="1" si="131"/>
        <x:v/>
      </x:c>
      <x:c r="GB78" s="342" t="str">
        <x:f ca="1">IF(FY78="","",2+SUM(FO78:OFFSET(FO78,(FU78-1)*-1,0)))</x:f>
        <x:v/>
      </x:c>
      <x:c r="GC78" s="384" t="e">
        <x:f t="shared" si="125"/>
        <x:v>#N/A</x:v>
      </x:c>
      <x:c r="GD78" s="392" t="str">
        <x:f t="shared" si="106"/>
        <x:v/>
      </x:c>
      <x:c r="GE78" s="393" t="str">
        <x:f t="shared" si="107"/>
        <x:v/>
      </x:c>
      <x:c r="GF78" s="343" t="str">
        <x:f t="shared" si="108"/>
        <x:v/>
      </x:c>
      <x:c r="GG78" s="344" t="str">
        <x:f t="shared" si="109"/>
        <x:v/>
      </x:c>
      <x:c r="GH78" s="344" t="str">
        <x:f t="shared" si="110"/>
        <x:v/>
      </x:c>
      <x:c r="GI78" s="345" t="str">
        <x:f t="shared" si="111"/>
        <x:v/>
      </x:c>
      <x:c r="GJ78" s="394">
        <x:f t="shared" ca="1" si="112"/>
        <x:v>0</x:v>
      </x:c>
      <x:c r="GK78" s="1154" t="str">
        <x:f t="shared" ca="1" si="126"/>
        <x:v/>
      </x:c>
    </x:row>
    <x:row r="79" spans="78:193" ht="12.6" hidden="1" customHeight="1" x14ac:dyDescent="0.2">
      <x:c r="BZ79" s="360"/>
      <x:c r="CA79" s="360"/>
      <x:c r="CB79" s="435" t="str">
        <x:f t="shared" si="132"/>
        <x:v/>
      </x:c>
      <x:c r="CC79" s="436" t="str">
        <x:f>IF(CG39="","",VLOOKUP(CG39,SectInfo!$B:$N,12,FALSE))</x:f>
        <x:v/>
      </x:c>
      <x:c r="CD79" s="1172" t="str">
        <x:f>IF(ISBLANK(CZ39),IF(CG39="","",VLOOKUP(CG39,SectInfo!$B:$N,13,FALSE)),CZ39)</x:f>
        <x:v/>
      </x:c>
      <x:c r="CE79" s="437" t="str">
        <x:f>IF(CG39="","",IF(VLOOKUP(CG39,SectInfo!$B:$N,5,FALSE)="","R",UPPER(VLOOKUP(CG39,SectInfo!$B:$N,5,FALSE))))</x:f>
        <x:v/>
      </x:c>
      <x:c r="CF79" s="1172" t="str">
        <x:f>IF(ISBLANK(DD39),IF(CG39="","",VLOOKUP(CG39,SectInfo!$B:$N,6,FALSE)),DD39)</x:f>
        <x:v/>
      </x:c>
      <x:c r="CG79" s="437" t="str">
        <x:f>IF(CG39="","",IF(VLOOKUP(CG39,SectInfo!$B:$N,10,FALSE)="","",(VLOOKUP(CG39,SectInfo!$B:$N,10,FALSE)*-1)))</x:f>
        <x:v/>
      </x:c>
      <x:c r="CH79" s="437" t="str">
        <x:f>IF(CG39="","",IF(VLOOKUP(CG39,SectInfo!$B:$N,7,FALSE)="","",(VLOOKUP(CG39,SectInfo!$B:$N,7,FALSE)*-1)))</x:f>
        <x:v/>
      </x:c>
      <x:c r="CI79" s="437" t="str">
        <x:f>IF(CG39="","",IF(VLOOKUP(CG39,SectInfo!$B:$N,8,FALSE)="",$FC$4,(VLOOKUP(CG39,SectInfo!$B:$N,8,FALSE))))</x:f>
        <x:v/>
      </x:c>
      <x:c r="CJ79" s="437" t="str">
        <x:f>IF(CG39="","",VLOOKUP(CG39,SectInfo!$B:$N,9,FALSE))</x:f>
        <x:v/>
      </x:c>
      <x:c r="CK79" s="438">
        <x:f t="shared" si="185"/>
        <x:v>0</x:v>
      </x:c>
      <x:c r="CL79" s="436" t="str">
        <x:f>IF(CN39="","",VLOOKUP(CN39,SectInfo!$B:$N,12,FALSE))</x:f>
        <x:v/>
      </x:c>
      <x:c r="CM79" s="1172" t="str">
        <x:f>IF(ISBLANK(DA39),IF(CN39="","",VLOOKUP(CN39,SectInfo!$B:$N,13,FALSE)),DA39)</x:f>
        <x:v/>
      </x:c>
      <x:c r="CN79" s="437" t="str">
        <x:f>IF(CN39="","",IF(VLOOKUP(CN39,SectInfo!$B:$N,5,FALSE)="","R",UPPER(VLOOKUP(CN39,SectInfo!$B:$N,5,FALSE))))</x:f>
        <x:v/>
      </x:c>
      <x:c r="CO79" s="1172" t="str">
        <x:f>IF(ISBLANK(DE39),IF(CN39="","",VLOOKUP(CN39,SectInfo!$B:$N,6,FALSE)),DE39)</x:f>
        <x:v/>
      </x:c>
      <x:c r="CP79" s="437" t="str">
        <x:f>IF(CN39="","",IF(VLOOKUP(CN39,SectInfo!$B:$N,10,FALSE)="","",(VLOOKUP(CN39,SectInfo!$B:$N,10,FALSE)*-1)))</x:f>
        <x:v/>
      </x:c>
      <x:c r="CQ79" s="437" t="str">
        <x:f>IF(CN39="","",IF(VLOOKUP(CN39,SectInfo!$B:$N,7,FALSE)="","",(VLOOKUP(CN39,SectInfo!$B:$N,7,FALSE)*-1)))</x:f>
        <x:v/>
      </x:c>
      <x:c r="CR79" s="437" t="str">
        <x:f>IF(CN39="","",IF(VLOOKUP(CN39,SectInfo!$B:$N,8,FALSE)="",$FC$4,(VLOOKUP(CN39,SectInfo!$B:$N,8,FALSE))))</x:f>
        <x:v/>
      </x:c>
      <x:c r="CS79" s="437" t="str">
        <x:f>IF(CN39="","",VLOOKUP(CN39,SectInfo!$B:$N,9,FALSE))</x:f>
        <x:v/>
      </x:c>
      <x:c r="CT79" s="438">
        <x:f t="shared" si="186"/>
        <x:v>0</x:v>
      </x:c>
      <x:c r="CU79" s="439">
        <x:f t="shared" si="133"/>
        <x:v>0</x:v>
      </x:c>
      <x:c r="CV79" s="339" t="str">
        <x:f t="shared" si="157"/>
        <x:v/>
      </x:c>
      <x:c r="CW79" s="339" t="str">
        <x:f t="shared" si="134"/>
        <x:v/>
      </x:c>
      <x:c r="CX79" s="1108" t="str">
        <x:f t="shared" si="135"/>
        <x:v/>
      </x:c>
      <x:c r="CY79" s="1109">
        <x:f t="shared" si="158"/>
        <x:v>0</x:v>
      </x:c>
      <x:c r="CZ79" s="1109">
        <x:f t="shared" si="136"/>
        <x:v>0</x:v>
      </x:c>
      <x:c r="DA79" s="1109" t="str">
        <x:f t="shared" si="137"/>
        <x:v/>
      </x:c>
      <x:c r="DB79" s="1125" t="str">
        <x:f t="shared" si="159"/>
        <x:v/>
      </x:c>
      <x:c r="DC79" s="1125" t="str">
        <x:f t="shared" si="187"/>
        <x:v/>
      </x:c>
      <x:c r="DD79" s="1110">
        <x:f t="shared" si="160"/>
        <x:v>0</x:v>
      </x:c>
      <x:c r="DE79" s="1108">
        <x:f t="shared" si="161"/>
        <x:v>0</x:v>
      </x:c>
      <x:c r="DF79" s="1109">
        <x:f t="shared" si="138"/>
        <x:v>0</x:v>
      </x:c>
      <x:c r="DG79" s="1109" t="str">
        <x:f t="shared" si="139"/>
        <x:v/>
      </x:c>
      <x:c r="DH79" s="1125" t="str">
        <x:f t="shared" si="162"/>
        <x:v/>
      </x:c>
      <x:c r="DI79" s="1125" t="str">
        <x:f t="shared" si="163"/>
        <x:v/>
      </x:c>
      <x:c r="DJ79" s="1110">
        <x:f t="shared" si="164"/>
        <x:v>0</x:v>
      </x:c>
      <x:c r="DK79" s="1108" t="str">
        <x:f t="shared" si="165"/>
        <x:v/>
      </x:c>
      <x:c r="DL79" s="1108" t="str">
        <x:f t="shared" si="166"/>
        <x:v/>
      </x:c>
      <x:c r="DM79" s="1108" t="str">
        <x:f t="shared" si="140"/>
        <x:v/>
      </x:c>
      <x:c r="DN79" s="1108" t="str">
        <x:f t="shared" si="141"/>
        <x:v/>
      </x:c>
      <x:c r="DO79" s="1125" t="str">
        <x:f t="shared" si="188"/>
        <x:v>ERR</x:v>
      </x:c>
      <x:c r="DP79" s="1125" t="str">
        <x:f t="shared" si="189"/>
        <x:v>ERR</x:v>
      </x:c>
      <x:c r="DQ79" s="1108" t="str">
        <x:f t="shared" si="167"/>
        <x:v/>
      </x:c>
      <x:c r="DR79" s="1108" t="str">
        <x:f t="shared" si="167"/>
        <x:v/>
      </x:c>
      <x:c r="DS79" s="1108" t="str">
        <x:f t="shared" si="168"/>
        <x:v/>
      </x:c>
      <x:c r="DT79" s="1108" t="str">
        <x:f t="shared" si="142"/>
        <x:v/>
      </x:c>
      <x:c r="DU79" s="1108" t="str">
        <x:f t="shared" si="143"/>
        <x:v/>
      </x:c>
      <x:c r="DV79" s="1125" t="str">
        <x:f t="shared" si="190"/>
        <x:v>ERR</x:v>
      </x:c>
      <x:c r="DW79" s="1125" t="str">
        <x:f t="shared" si="191"/>
        <x:v>ERR</x:v>
      </x:c>
      <x:c r="DX79" s="1108" t="str">
        <x:f t="shared" si="169"/>
        <x:v/>
      </x:c>
      <x:c r="DY79" s="1108" t="str">
        <x:f t="shared" si="169"/>
        <x:v/>
      </x:c>
      <x:c r="DZ79" s="1108" t="str">
        <x:f t="shared" si="194"/>
        <x:v/>
      </x:c>
      <x:c r="EA79" s="1108" t="str">
        <x:f t="shared" si="195"/>
        <x:v/>
      </x:c>
      <x:c r="EB79" s="1111" t="str">
        <x:f t="shared" si="144"/>
        <x:v/>
      </x:c>
      <x:c r="EC79" s="1112" t="str">
        <x:f t="shared" si="170"/>
        <x:v/>
      </x:c>
      <x:c r="ED79" s="1111" t="str">
        <x:f t="shared" si="145"/>
        <x:v/>
      </x:c>
      <x:c r="EE79" s="1111" t="str">
        <x:f t="shared" si="171"/>
        <x:v/>
      </x:c>
      <x:c r="EF79" s="1111" t="str">
        <x:f t="shared" si="172"/>
        <x:v/>
      </x:c>
      <x:c r="EG79" s="1111" t="str">
        <x:f t="shared" si="146"/>
        <x:v/>
      </x:c>
      <x:c r="EH79" s="1111" t="str">
        <x:f t="shared" si="173"/>
        <x:v/>
      </x:c>
      <x:c r="EI79" s="1111" t="str">
        <x:f t="shared" si="174"/>
        <x:v/>
      </x:c>
      <x:c r="EJ79" s="1111" t="str">
        <x:f t="shared" si="147"/>
        <x:v/>
      </x:c>
      <x:c r="EK79" s="1109">
        <x:f t="shared" si="175"/>
        <x:v>0</x:v>
      </x:c>
      <x:c r="EL79" s="1109">
        <x:f t="shared" si="176"/>
        <x:v>0</x:v>
      </x:c>
      <x:c r="EM79" s="1109">
        <x:f t="shared" si="148"/>
        <x:v>0</x:v>
      </x:c>
      <x:c r="EN79" s="1109" t="str">
        <x:f t="shared" si="149"/>
        <x:v/>
      </x:c>
      <x:c r="EO79" s="1108" t="str">
        <x:f t="shared" si="177"/>
        <x:v/>
      </x:c>
      <x:c r="EP79" s="1109">
        <x:f t="shared" si="178"/>
        <x:v>0</x:v>
      </x:c>
      <x:c r="EQ79" s="1109">
        <x:f t="shared" si="179"/>
        <x:v>0</x:v>
      </x:c>
      <x:c r="ER79" s="1109">
        <x:f t="shared" si="150"/>
        <x:v>0</x:v>
      </x:c>
      <x:c r="ES79" s="1109" t="str">
        <x:f t="shared" si="151"/>
        <x:v/>
      </x:c>
      <x:c r="ET79" s="1108" t="str">
        <x:f t="shared" si="180"/>
        <x:v/>
      </x:c>
      <x:c r="EU79" s="1108">
        <x:f t="shared" si="152"/>
        <x:v>0</x:v>
      </x:c>
      <x:c r="EV79" s="1111" t="e">
        <x:f t="shared" si="192"/>
        <x:v>#VALUE!</x:v>
      </x:c>
      <x:c r="EW79" s="1111" t="e">
        <x:f t="shared" si="193"/>
        <x:v>#VALUE!</x:v>
      </x:c>
      <x:c r="EX79" s="1199" t="str">
        <x:f t="shared" si="181"/>
        <x:v/>
      </x:c>
      <x:c r="EY79" s="1114">
        <x:f t="shared" si="182"/>
        <x:v>25</x:v>
      </x:c>
      <x:c r="EZ79" s="1219">
        <x:f t="shared" si="183"/>
        <x:v>0</x:v>
      </x:c>
      <x:c r="FA79" s="1220">
        <x:f t="shared" si="184"/>
        <x:v>0</x:v>
      </x:c>
      <x:c r="FB79" s="1115" t="str">
        <x:f t="shared" si="153"/>
        <x:v/>
      </x:c>
      <x:c r="FC79" s="1116" t="str">
        <x:f t="shared" si="154"/>
        <x:v/>
      </x:c>
      <x:c r="FD79" s="614">
        <x:f t="shared" si="155"/>
        <x:v>0</x:v>
      </x:c>
      <x:c r="FE79" s="615">
        <x:f t="shared" si="156"/>
        <x:v>0</x:v>
      </x:c>
      <x:c r="FF79" s="969" t="b">
        <x:f t="shared" si="101"/>
        <x:v>0</x:v>
      </x:c>
      <x:c r="FG79" s="969" t="b">
        <x:f t="shared" si="102"/>
        <x:v>0</x:v>
      </x:c>
      <x:c r="FH79" s="969" t="b">
        <x:f t="shared" si="103"/>
        <x:v>0</x:v>
      </x:c>
      <x:c r="FI79" s="1158" t="b">
        <x:f t="shared" si="104"/>
        <x:v>0</x:v>
      </x:c>
      <x:c r="FJ79" s="1161" t="str">
        <x:f t="shared" si="113"/>
        <x:v/>
      </x:c>
      <x:c r="FK79" s="1160" t="str">
        <x:f t="shared" si="114"/>
        <x:v/>
      </x:c>
      <x:c r="FL79" s="388" t="e">
        <x:f t="shared" si="115"/>
        <x:v>#N/A</x:v>
      </x:c>
      <x:c r="FM79" s="380" t="str">
        <x:f t="shared" si="105"/>
        <x:v/>
      </x:c>
      <x:c r="FN79" s="337" t="str">
        <x:f t="shared" ca="1" si="116"/>
        <x:v/>
      </x:c>
      <x:c r="FO79" s="338" t="str">
        <x:f t="shared" ca="1" si="117"/>
        <x:v/>
      </x:c>
      <x:c r="FP79" s="339" t="str">
        <x:f t="shared" ca="1" si="118"/>
        <x:v/>
      </x:c>
      <x:c r="FQ79" s="339" t="str">
        <x:f t="shared" ca="1" si="119"/>
        <x:v/>
      </x:c>
      <x:c r="FR79" s="389">
        <x:f t="shared" ca="1" si="120"/>
        <x:v>0</x:v>
      </x:c>
      <x:c r="FS79" s="390">
        <x:f t="shared" ca="1" si="121"/>
        <x:v>0</x:v>
      </x:c>
      <x:c r="FT79" s="337" t="str">
        <x:f t="shared" ca="1" si="127"/>
        <x:v/>
      </x:c>
      <x:c r="FU79" s="340" t="str">
        <x:f t="shared" ca="1" si="128"/>
        <x:v/>
      </x:c>
      <x:c r="FV79" s="391" t="str">
        <x:f t="shared" ca="1" si="129"/>
        <x:v/>
      </x:c>
      <x:c r="FW79" s="341" t="str">
        <x:f t="shared" ca="1" si="122"/>
        <x:v/>
      </x:c>
      <x:c r="FX79" s="341" t="str">
        <x:f t="shared" ca="1" si="123"/>
        <x:v/>
      </x:c>
      <x:c r="FY79" s="341" t="str">
        <x:f t="shared" ca="1" si="130"/>
        <x:v/>
      </x:c>
      <x:c r="FZ79" s="341" t="str">
        <x:f t="shared" ca="1" si="124"/>
        <x:v/>
      </x:c>
      <x:c r="GA79" s="341" t="str">
        <x:f t="shared" ca="1" si="131"/>
        <x:v/>
      </x:c>
      <x:c r="GB79" s="342" t="str">
        <x:f ca="1">IF(FY79="","",2+SUM(FO79:OFFSET(FO79,(FU79-1)*-1,0)))</x:f>
        <x:v/>
      </x:c>
      <x:c r="GC79" s="384" t="e">
        <x:f t="shared" si="125"/>
        <x:v>#N/A</x:v>
      </x:c>
      <x:c r="GD79" s="392" t="str">
        <x:f t="shared" si="106"/>
        <x:v/>
      </x:c>
      <x:c r="GE79" s="393" t="str">
        <x:f t="shared" si="107"/>
        <x:v/>
      </x:c>
      <x:c r="GF79" s="343" t="str">
        <x:f t="shared" si="108"/>
        <x:v/>
      </x:c>
      <x:c r="GG79" s="344" t="str">
        <x:f t="shared" si="109"/>
        <x:v/>
      </x:c>
      <x:c r="GH79" s="344" t="str">
        <x:f t="shared" si="110"/>
        <x:v/>
      </x:c>
      <x:c r="GI79" s="345" t="str">
        <x:f t="shared" si="111"/>
        <x:v/>
      </x:c>
      <x:c r="GJ79" s="394">
        <x:f t="shared" ca="1" si="112"/>
        <x:v>0</x:v>
      </x:c>
      <x:c r="GK79" s="1154" t="str">
        <x:f t="shared" ca="1" si="126"/>
        <x:v/>
      </x:c>
    </x:row>
    <x:row r="80" spans="78:193" ht="12.6" hidden="1" customHeight="1" x14ac:dyDescent="0.2">
      <x:c r="BZ80" s="360"/>
      <x:c r="CA80" s="360"/>
      <x:c r="CB80" s="435" t="str">
        <x:f t="shared" si="132"/>
        <x:v/>
      </x:c>
      <x:c r="CC80" s="436" t="str">
        <x:f>IF(CG40="","",VLOOKUP(CG40,SectInfo!$B:$N,12,FALSE))</x:f>
        <x:v/>
      </x:c>
      <x:c r="CD80" s="1172" t="str">
        <x:f>IF(ISBLANK(CZ40),IF(CG40="","",VLOOKUP(CG40,SectInfo!$B:$N,13,FALSE)),CZ40)</x:f>
        <x:v/>
      </x:c>
      <x:c r="CE80" s="437" t="str">
        <x:f>IF(CG40="","",IF(VLOOKUP(CG40,SectInfo!$B:$N,5,FALSE)="","R",UPPER(VLOOKUP(CG40,SectInfo!$B:$N,5,FALSE))))</x:f>
        <x:v/>
      </x:c>
      <x:c r="CF80" s="1172" t="str">
        <x:f>IF(ISBLANK(DD40),IF(CG40="","",VLOOKUP(CG40,SectInfo!$B:$N,6,FALSE)),DD40)</x:f>
        <x:v/>
      </x:c>
      <x:c r="CG80" s="437" t="str">
        <x:f>IF(CG40="","",IF(VLOOKUP(CG40,SectInfo!$B:$N,10,FALSE)="","",(VLOOKUP(CG40,SectInfo!$B:$N,10,FALSE)*-1)))</x:f>
        <x:v/>
      </x:c>
      <x:c r="CH80" s="437" t="str">
        <x:f>IF(CG40="","",IF(VLOOKUP(CG40,SectInfo!$B:$N,7,FALSE)="","",(VLOOKUP(CG40,SectInfo!$B:$N,7,FALSE)*-1)))</x:f>
        <x:v/>
      </x:c>
      <x:c r="CI80" s="437" t="str">
        <x:f>IF(CG40="","",IF(VLOOKUP(CG40,SectInfo!$B:$N,8,FALSE)="",$FC$4,(VLOOKUP(CG40,SectInfo!$B:$N,8,FALSE))))</x:f>
        <x:v/>
      </x:c>
      <x:c r="CJ80" s="437" t="str">
        <x:f>IF(CG40="","",VLOOKUP(CG40,SectInfo!$B:$N,9,FALSE))</x:f>
        <x:v/>
      </x:c>
      <x:c r="CK80" s="438">
        <x:f t="shared" si="185"/>
        <x:v>0</x:v>
      </x:c>
      <x:c r="CL80" s="436" t="str">
        <x:f>IF(CN40="","",VLOOKUP(CN40,SectInfo!$B:$N,12,FALSE))</x:f>
        <x:v/>
      </x:c>
      <x:c r="CM80" s="1172" t="str">
        <x:f>IF(ISBLANK(DA40),IF(CN40="","",VLOOKUP(CN40,SectInfo!$B:$N,13,FALSE)),DA40)</x:f>
        <x:v/>
      </x:c>
      <x:c r="CN80" s="437" t="str">
        <x:f>IF(CN40="","",IF(VLOOKUP(CN40,SectInfo!$B:$N,5,FALSE)="","R",UPPER(VLOOKUP(CN40,SectInfo!$B:$N,5,FALSE))))</x:f>
        <x:v/>
      </x:c>
      <x:c r="CO80" s="1172" t="str">
        <x:f>IF(ISBLANK(DE40),IF(CN40="","",VLOOKUP(CN40,SectInfo!$B:$N,6,FALSE)),DE40)</x:f>
        <x:v/>
      </x:c>
      <x:c r="CP80" s="437" t="str">
        <x:f>IF(CN40="","",IF(VLOOKUP(CN40,SectInfo!$B:$N,10,FALSE)="","",(VLOOKUP(CN40,SectInfo!$B:$N,10,FALSE)*-1)))</x:f>
        <x:v/>
      </x:c>
      <x:c r="CQ80" s="437" t="str">
        <x:f>IF(CN40="","",IF(VLOOKUP(CN40,SectInfo!$B:$N,7,FALSE)="","",(VLOOKUP(CN40,SectInfo!$B:$N,7,FALSE)*-1)))</x:f>
        <x:v/>
      </x:c>
      <x:c r="CR80" s="437" t="str">
        <x:f>IF(CN40="","",IF(VLOOKUP(CN40,SectInfo!$B:$N,8,FALSE)="",$FC$4,(VLOOKUP(CN40,SectInfo!$B:$N,8,FALSE))))</x:f>
        <x:v/>
      </x:c>
      <x:c r="CS80" s="437" t="str">
        <x:f>IF(CN40="","",VLOOKUP(CN40,SectInfo!$B:$N,9,FALSE))</x:f>
        <x:v/>
      </x:c>
      <x:c r="CT80" s="438">
        <x:f t="shared" si="186"/>
        <x:v>0</x:v>
      </x:c>
      <x:c r="CU80" s="439">
        <x:f t="shared" si="133"/>
        <x:v>0</x:v>
      </x:c>
      <x:c r="CV80" s="339" t="str">
        <x:f t="shared" si="157"/>
        <x:v/>
      </x:c>
      <x:c r="CW80" s="339" t="str">
        <x:f t="shared" si="134"/>
        <x:v/>
      </x:c>
      <x:c r="CX80" s="1108" t="str">
        <x:f t="shared" si="135"/>
        <x:v/>
      </x:c>
      <x:c r="CY80" s="1109">
        <x:f t="shared" si="158"/>
        <x:v>0</x:v>
      </x:c>
      <x:c r="CZ80" s="1109">
        <x:f t="shared" si="136"/>
        <x:v>0</x:v>
      </x:c>
      <x:c r="DA80" s="1109" t="str">
        <x:f t="shared" si="137"/>
        <x:v/>
      </x:c>
      <x:c r="DB80" s="1125" t="str">
        <x:f t="shared" si="159"/>
        <x:v/>
      </x:c>
      <x:c r="DC80" s="1125" t="str">
        <x:f t="shared" si="187"/>
        <x:v/>
      </x:c>
      <x:c r="DD80" s="1110">
        <x:f t="shared" si="160"/>
        <x:v>0</x:v>
      </x:c>
      <x:c r="DE80" s="1108">
        <x:f t="shared" si="161"/>
        <x:v>0</x:v>
      </x:c>
      <x:c r="DF80" s="1109">
        <x:f t="shared" si="138"/>
        <x:v>0</x:v>
      </x:c>
      <x:c r="DG80" s="1109" t="str">
        <x:f t="shared" si="139"/>
        <x:v/>
      </x:c>
      <x:c r="DH80" s="1125" t="str">
        <x:f t="shared" si="162"/>
        <x:v/>
      </x:c>
      <x:c r="DI80" s="1125" t="str">
        <x:f t="shared" si="163"/>
        <x:v/>
      </x:c>
      <x:c r="DJ80" s="1110">
        <x:f t="shared" si="164"/>
        <x:v>0</x:v>
      </x:c>
      <x:c r="DK80" s="1108" t="str">
        <x:f t="shared" si="165"/>
        <x:v/>
      </x:c>
      <x:c r="DL80" s="1108" t="str">
        <x:f t="shared" si="166"/>
        <x:v/>
      </x:c>
      <x:c r="DM80" s="1108" t="str">
        <x:f t="shared" si="140"/>
        <x:v/>
      </x:c>
      <x:c r="DN80" s="1108" t="str">
        <x:f t="shared" si="141"/>
        <x:v/>
      </x:c>
      <x:c r="DO80" s="1125" t="str">
        <x:f t="shared" si="188"/>
        <x:v>ERR</x:v>
      </x:c>
      <x:c r="DP80" s="1125" t="str">
        <x:f t="shared" si="189"/>
        <x:v>ERR</x:v>
      </x:c>
      <x:c r="DQ80" s="1108" t="str">
        <x:f t="shared" si="167"/>
        <x:v/>
      </x:c>
      <x:c r="DR80" s="1108" t="str">
        <x:f t="shared" si="167"/>
        <x:v/>
      </x:c>
      <x:c r="DS80" s="1108" t="str">
        <x:f t="shared" si="168"/>
        <x:v/>
      </x:c>
      <x:c r="DT80" s="1108" t="str">
        <x:f t="shared" si="142"/>
        <x:v/>
      </x:c>
      <x:c r="DU80" s="1108" t="str">
        <x:f t="shared" si="143"/>
        <x:v/>
      </x:c>
      <x:c r="DV80" s="1125" t="str">
        <x:f t="shared" si="190"/>
        <x:v>ERR</x:v>
      </x:c>
      <x:c r="DW80" s="1125" t="str">
        <x:f t="shared" si="191"/>
        <x:v>ERR</x:v>
      </x:c>
      <x:c r="DX80" s="1108" t="str">
        <x:f t="shared" si="169"/>
        <x:v/>
      </x:c>
      <x:c r="DY80" s="1108" t="str">
        <x:f t="shared" si="169"/>
        <x:v/>
      </x:c>
      <x:c r="DZ80" s="1108" t="str">
        <x:f t="shared" si="194"/>
        <x:v/>
      </x:c>
      <x:c r="EA80" s="1108" t="str">
        <x:f t="shared" si="195"/>
        <x:v/>
      </x:c>
      <x:c r="EB80" s="1111" t="str">
        <x:f t="shared" si="144"/>
        <x:v/>
      </x:c>
      <x:c r="EC80" s="1112" t="str">
        <x:f t="shared" si="170"/>
        <x:v/>
      </x:c>
      <x:c r="ED80" s="1111" t="str">
        <x:f t="shared" si="145"/>
        <x:v/>
      </x:c>
      <x:c r="EE80" s="1111" t="str">
        <x:f t="shared" si="171"/>
        <x:v/>
      </x:c>
      <x:c r="EF80" s="1111" t="str">
        <x:f t="shared" si="172"/>
        <x:v/>
      </x:c>
      <x:c r="EG80" s="1111" t="str">
        <x:f t="shared" si="146"/>
        <x:v/>
      </x:c>
      <x:c r="EH80" s="1111" t="str">
        <x:f t="shared" si="173"/>
        <x:v/>
      </x:c>
      <x:c r="EI80" s="1111" t="str">
        <x:f t="shared" si="174"/>
        <x:v/>
      </x:c>
      <x:c r="EJ80" s="1111" t="str">
        <x:f t="shared" si="147"/>
        <x:v/>
      </x:c>
      <x:c r="EK80" s="1109">
        <x:f t="shared" si="175"/>
        <x:v>0</x:v>
      </x:c>
      <x:c r="EL80" s="1109">
        <x:f t="shared" si="176"/>
        <x:v>0</x:v>
      </x:c>
      <x:c r="EM80" s="1109">
        <x:f t="shared" si="148"/>
        <x:v>0</x:v>
      </x:c>
      <x:c r="EN80" s="1109" t="str">
        <x:f t="shared" si="149"/>
        <x:v/>
      </x:c>
      <x:c r="EO80" s="1108" t="str">
        <x:f t="shared" si="177"/>
        <x:v/>
      </x:c>
      <x:c r="EP80" s="1109">
        <x:f t="shared" si="178"/>
        <x:v>0</x:v>
      </x:c>
      <x:c r="EQ80" s="1109">
        <x:f t="shared" si="179"/>
        <x:v>0</x:v>
      </x:c>
      <x:c r="ER80" s="1109">
        <x:f t="shared" si="150"/>
        <x:v>0</x:v>
      </x:c>
      <x:c r="ES80" s="1109" t="str">
        <x:f t="shared" si="151"/>
        <x:v/>
      </x:c>
      <x:c r="ET80" s="1108" t="str">
        <x:f t="shared" si="180"/>
        <x:v/>
      </x:c>
      <x:c r="EU80" s="1108">
        <x:f t="shared" si="152"/>
        <x:v>0</x:v>
      </x:c>
      <x:c r="EV80" s="1111" t="e">
        <x:f t="shared" si="192"/>
        <x:v>#VALUE!</x:v>
      </x:c>
      <x:c r="EW80" s="1111" t="e">
        <x:f t="shared" si="193"/>
        <x:v>#VALUE!</x:v>
      </x:c>
      <x:c r="EX80" s="1199" t="str">
        <x:f t="shared" si="181"/>
        <x:v/>
      </x:c>
      <x:c r="EY80" s="1114">
        <x:f t="shared" si="182"/>
        <x:v>25</x:v>
      </x:c>
      <x:c r="EZ80" s="1219">
        <x:f t="shared" si="183"/>
        <x:v>0</x:v>
      </x:c>
      <x:c r="FA80" s="1220">
        <x:f t="shared" si="184"/>
        <x:v>0</x:v>
      </x:c>
      <x:c r="FB80" s="1115" t="str">
        <x:f t="shared" si="153"/>
        <x:v/>
      </x:c>
      <x:c r="FC80" s="1116" t="str">
        <x:f t="shared" si="154"/>
        <x:v/>
      </x:c>
      <x:c r="FD80" s="614">
        <x:f t="shared" si="155"/>
        <x:v>0</x:v>
      </x:c>
      <x:c r="FE80" s="615">
        <x:f t="shared" si="156"/>
        <x:v>0</x:v>
      </x:c>
      <x:c r="FF80" s="969" t="b">
        <x:f t="shared" si="101"/>
        <x:v>0</x:v>
      </x:c>
      <x:c r="FG80" s="969" t="b">
        <x:f t="shared" si="102"/>
        <x:v>0</x:v>
      </x:c>
      <x:c r="FH80" s="969" t="b">
        <x:f t="shared" si="103"/>
        <x:v>0</x:v>
      </x:c>
      <x:c r="FI80" s="1158" t="b">
        <x:f t="shared" si="104"/>
        <x:v>0</x:v>
      </x:c>
      <x:c r="FJ80" s="1161" t="str">
        <x:f t="shared" si="113"/>
        <x:v/>
      </x:c>
      <x:c r="FK80" s="1160" t="str">
        <x:f t="shared" si="114"/>
        <x:v/>
      </x:c>
      <x:c r="FL80" s="388" t="e">
        <x:f t="shared" si="115"/>
        <x:v>#N/A</x:v>
      </x:c>
      <x:c r="FM80" s="380" t="str">
        <x:f t="shared" si="105"/>
        <x:v/>
      </x:c>
      <x:c r="FN80" s="337" t="str">
        <x:f t="shared" ca="1" si="116"/>
        <x:v/>
      </x:c>
      <x:c r="FO80" s="338" t="str">
        <x:f t="shared" ca="1" si="117"/>
        <x:v/>
      </x:c>
      <x:c r="FP80" s="339" t="str">
        <x:f t="shared" ca="1" si="118"/>
        <x:v/>
      </x:c>
      <x:c r="FQ80" s="339" t="str">
        <x:f t="shared" ca="1" si="119"/>
        <x:v/>
      </x:c>
      <x:c r="FR80" s="389">
        <x:f t="shared" ca="1" si="120"/>
        <x:v>0</x:v>
      </x:c>
      <x:c r="FS80" s="390">
        <x:f t="shared" ca="1" si="121"/>
        <x:v>0</x:v>
      </x:c>
      <x:c r="FT80" s="337" t="str">
        <x:f t="shared" ca="1" si="127"/>
        <x:v/>
      </x:c>
      <x:c r="FU80" s="340" t="str">
        <x:f t="shared" ca="1" si="128"/>
        <x:v/>
      </x:c>
      <x:c r="FV80" s="391" t="str">
        <x:f t="shared" ca="1" si="129"/>
        <x:v/>
      </x:c>
      <x:c r="FW80" s="341" t="str">
        <x:f t="shared" ca="1" si="122"/>
        <x:v/>
      </x:c>
      <x:c r="FX80" s="341" t="str">
        <x:f t="shared" ca="1" si="123"/>
        <x:v/>
      </x:c>
      <x:c r="FY80" s="341" t="str">
        <x:f t="shared" ca="1" si="130"/>
        <x:v/>
      </x:c>
      <x:c r="FZ80" s="341" t="str">
        <x:f t="shared" ca="1" si="124"/>
        <x:v/>
      </x:c>
      <x:c r="GA80" s="341" t="str">
        <x:f t="shared" ca="1" si="131"/>
        <x:v/>
      </x:c>
      <x:c r="GB80" s="342" t="str">
        <x:f ca="1">IF(FY80="","",2+SUM(FO80:OFFSET(FO80,(FU80-1)*-1,0)))</x:f>
        <x:v/>
      </x:c>
      <x:c r="GC80" s="384" t="e">
        <x:f t="shared" si="125"/>
        <x:v>#N/A</x:v>
      </x:c>
      <x:c r="GD80" s="392" t="str">
        <x:f t="shared" si="106"/>
        <x:v/>
      </x:c>
      <x:c r="GE80" s="393" t="str">
        <x:f t="shared" si="107"/>
        <x:v/>
      </x:c>
      <x:c r="GF80" s="343" t="str">
        <x:f t="shared" si="108"/>
        <x:v/>
      </x:c>
      <x:c r="GG80" s="344" t="str">
        <x:f t="shared" si="109"/>
        <x:v/>
      </x:c>
      <x:c r="GH80" s="344" t="str">
        <x:f t="shared" si="110"/>
        <x:v/>
      </x:c>
      <x:c r="GI80" s="345" t="str">
        <x:f t="shared" si="111"/>
        <x:v/>
      </x:c>
      <x:c r="GJ80" s="394">
        <x:f t="shared" ca="1" si="112"/>
        <x:v>0</x:v>
      </x:c>
      <x:c r="GK80" s="1154" t="str">
        <x:f t="shared" ca="1" si="126"/>
        <x:v/>
      </x:c>
    </x:row>
    <x:row r="81" spans="1:238" ht="12.6" hidden="1" customHeight="1" x14ac:dyDescent="0.2">
      <x:c r="BZ81" s="360"/>
      <x:c r="CA81" s="360"/>
      <x:c r="CB81" s="435" t="str">
        <x:f t="shared" si="132"/>
        <x:v/>
      </x:c>
      <x:c r="CC81" s="436" t="str">
        <x:f>IF(CG41="","",VLOOKUP(CG41,SectInfo!$B:$N,12,FALSE))</x:f>
        <x:v/>
      </x:c>
      <x:c r="CD81" s="1172" t="str">
        <x:f>IF(ISBLANK(CZ41),IF(CG41="","",VLOOKUP(CG41,SectInfo!$B:$N,13,FALSE)),CZ41)</x:f>
        <x:v/>
      </x:c>
      <x:c r="CE81" s="437" t="str">
        <x:f>IF(CG41="","",IF(VLOOKUP(CG41,SectInfo!$B:$N,5,FALSE)="","R",UPPER(VLOOKUP(CG41,SectInfo!$B:$N,5,FALSE))))</x:f>
        <x:v/>
      </x:c>
      <x:c r="CF81" s="1172" t="str">
        <x:f>IF(ISBLANK(DD41),IF(CG41="","",VLOOKUP(CG41,SectInfo!$B:$N,6,FALSE)),DD41)</x:f>
        <x:v/>
      </x:c>
      <x:c r="CG81" s="437" t="str">
        <x:f>IF(CG41="","",IF(VLOOKUP(CG41,SectInfo!$B:$N,10,FALSE)="","",(VLOOKUP(CG41,SectInfo!$B:$N,10,FALSE)*-1)))</x:f>
        <x:v/>
      </x:c>
      <x:c r="CH81" s="437" t="str">
        <x:f>IF(CG41="","",IF(VLOOKUP(CG41,SectInfo!$B:$N,7,FALSE)="","",(VLOOKUP(CG41,SectInfo!$B:$N,7,FALSE)*-1)))</x:f>
        <x:v/>
      </x:c>
      <x:c r="CI81" s="437" t="str">
        <x:f>IF(CG41="","",IF(VLOOKUP(CG41,SectInfo!$B:$N,8,FALSE)="",$FC$4,(VLOOKUP(CG41,SectInfo!$B:$N,8,FALSE))))</x:f>
        <x:v/>
      </x:c>
      <x:c r="CJ81" s="437" t="str">
        <x:f>IF(CG41="","",VLOOKUP(CG41,SectInfo!$B:$N,9,FALSE))</x:f>
        <x:v/>
      </x:c>
      <x:c r="CK81" s="438">
        <x:f t="shared" si="185"/>
        <x:v>0</x:v>
      </x:c>
      <x:c r="CL81" s="436" t="str">
        <x:f>IF(CN41="","",VLOOKUP(CN41,SectInfo!$B:$N,12,FALSE))</x:f>
        <x:v/>
      </x:c>
      <x:c r="CM81" s="1172" t="str">
        <x:f>IF(ISBLANK(DA41),IF(CN41="","",VLOOKUP(CN41,SectInfo!$B:$N,13,FALSE)),DA41)</x:f>
        <x:v/>
      </x:c>
      <x:c r="CN81" s="437" t="str">
        <x:f>IF(CN41="","",IF(VLOOKUP(CN41,SectInfo!$B:$N,5,FALSE)="","R",UPPER(VLOOKUP(CN41,SectInfo!$B:$N,5,FALSE))))</x:f>
        <x:v/>
      </x:c>
      <x:c r="CO81" s="1172" t="str">
        <x:f>IF(ISBLANK(DE41),IF(CN41="","",VLOOKUP(CN41,SectInfo!$B:$N,6,FALSE)),DE41)</x:f>
        <x:v/>
      </x:c>
      <x:c r="CP81" s="437" t="str">
        <x:f>IF(CN41="","",IF(VLOOKUP(CN41,SectInfo!$B:$N,10,FALSE)="","",(VLOOKUP(CN41,SectInfo!$B:$N,10,FALSE)*-1)))</x:f>
        <x:v/>
      </x:c>
      <x:c r="CQ81" s="437" t="str">
        <x:f>IF(CN41="","",IF(VLOOKUP(CN41,SectInfo!$B:$N,7,FALSE)="","",(VLOOKUP(CN41,SectInfo!$B:$N,7,FALSE)*-1)))</x:f>
        <x:v/>
      </x:c>
      <x:c r="CR81" s="437" t="str">
        <x:f>IF(CN41="","",IF(VLOOKUP(CN41,SectInfo!$B:$N,8,FALSE)="",$FC$4,(VLOOKUP(CN41,SectInfo!$B:$N,8,FALSE))))</x:f>
        <x:v/>
      </x:c>
      <x:c r="CS81" s="437" t="str">
        <x:f>IF(CN41="","",VLOOKUP(CN41,SectInfo!$B:$N,9,FALSE))</x:f>
        <x:v/>
      </x:c>
      <x:c r="CT81" s="438">
        <x:f t="shared" si="186"/>
        <x:v>0</x:v>
      </x:c>
      <x:c r="CU81" s="439">
        <x:f t="shared" si="133"/>
        <x:v>0</x:v>
      </x:c>
      <x:c r="CV81" s="339" t="str">
        <x:f t="shared" si="157"/>
        <x:v/>
      </x:c>
      <x:c r="CW81" s="339" t="str">
        <x:f t="shared" si="134"/>
        <x:v/>
      </x:c>
      <x:c r="CX81" s="1108" t="str">
        <x:f t="shared" si="135"/>
        <x:v/>
      </x:c>
      <x:c r="CY81" s="1109">
        <x:f t="shared" si="158"/>
        <x:v>0</x:v>
      </x:c>
      <x:c r="CZ81" s="1109">
        <x:f t="shared" si="136"/>
        <x:v>0</x:v>
      </x:c>
      <x:c r="DA81" s="1109" t="str">
        <x:f t="shared" si="137"/>
        <x:v/>
      </x:c>
      <x:c r="DB81" s="1125" t="str">
        <x:f t="shared" si="159"/>
        <x:v/>
      </x:c>
      <x:c r="DC81" s="1125" t="str">
        <x:f t="shared" si="187"/>
        <x:v/>
      </x:c>
      <x:c r="DD81" s="1110">
        <x:f t="shared" si="160"/>
        <x:v>0</x:v>
      </x:c>
      <x:c r="DE81" s="1108">
        <x:f t="shared" si="161"/>
        <x:v>0</x:v>
      </x:c>
      <x:c r="DF81" s="1109">
        <x:f t="shared" si="138"/>
        <x:v>0</x:v>
      </x:c>
      <x:c r="DG81" s="1109" t="str">
        <x:f t="shared" si="139"/>
        <x:v/>
      </x:c>
      <x:c r="DH81" s="1125" t="str">
        <x:f t="shared" si="162"/>
        <x:v/>
      </x:c>
      <x:c r="DI81" s="1125" t="str">
        <x:f t="shared" si="163"/>
        <x:v/>
      </x:c>
      <x:c r="DJ81" s="1110">
        <x:f t="shared" si="164"/>
        <x:v>0</x:v>
      </x:c>
      <x:c r="DK81" s="1108" t="str">
        <x:f t="shared" si="165"/>
        <x:v/>
      </x:c>
      <x:c r="DL81" s="1108" t="str">
        <x:f t="shared" si="166"/>
        <x:v/>
      </x:c>
      <x:c r="DM81" s="1108" t="str">
        <x:f t="shared" si="140"/>
        <x:v/>
      </x:c>
      <x:c r="DN81" s="1108" t="str">
        <x:f t="shared" si="141"/>
        <x:v/>
      </x:c>
      <x:c r="DO81" s="1125" t="str">
        <x:f t="shared" si="188"/>
        <x:v>ERR</x:v>
      </x:c>
      <x:c r="DP81" s="1125" t="str">
        <x:f t="shared" si="189"/>
        <x:v>ERR</x:v>
      </x:c>
      <x:c r="DQ81" s="1108" t="str">
        <x:f t="shared" si="167"/>
        <x:v/>
      </x:c>
      <x:c r="DR81" s="1108" t="str">
        <x:f t="shared" si="167"/>
        <x:v/>
      </x:c>
      <x:c r="DS81" s="1108" t="str">
        <x:f t="shared" si="168"/>
        <x:v/>
      </x:c>
      <x:c r="DT81" s="1108" t="str">
        <x:f t="shared" si="142"/>
        <x:v/>
      </x:c>
      <x:c r="DU81" s="1108" t="str">
        <x:f t="shared" si="143"/>
        <x:v/>
      </x:c>
      <x:c r="DV81" s="1125" t="str">
        <x:f t="shared" si="190"/>
        <x:v>ERR</x:v>
      </x:c>
      <x:c r="DW81" s="1125" t="str">
        <x:f t="shared" si="191"/>
        <x:v>ERR</x:v>
      </x:c>
      <x:c r="DX81" s="1108" t="str">
        <x:f t="shared" si="169"/>
        <x:v/>
      </x:c>
      <x:c r="DY81" s="1108" t="str">
        <x:f t="shared" si="169"/>
        <x:v/>
      </x:c>
      <x:c r="DZ81" s="1108" t="str">
        <x:f t="shared" si="194"/>
        <x:v/>
      </x:c>
      <x:c r="EA81" s="1108" t="str">
        <x:f t="shared" si="195"/>
        <x:v/>
      </x:c>
      <x:c r="EB81" s="1111" t="str">
        <x:f t="shared" si="144"/>
        <x:v/>
      </x:c>
      <x:c r="EC81" s="1112" t="str">
        <x:f t="shared" si="170"/>
        <x:v/>
      </x:c>
      <x:c r="ED81" s="1111" t="str">
        <x:f t="shared" si="145"/>
        <x:v/>
      </x:c>
      <x:c r="EE81" s="1111" t="str">
        <x:f t="shared" si="171"/>
        <x:v/>
      </x:c>
      <x:c r="EF81" s="1111" t="str">
        <x:f t="shared" si="172"/>
        <x:v/>
      </x:c>
      <x:c r="EG81" s="1111" t="str">
        <x:f t="shared" si="146"/>
        <x:v/>
      </x:c>
      <x:c r="EH81" s="1111" t="str">
        <x:f t="shared" si="173"/>
        <x:v/>
      </x:c>
      <x:c r="EI81" s="1111" t="str">
        <x:f t="shared" si="174"/>
        <x:v/>
      </x:c>
      <x:c r="EJ81" s="1111" t="str">
        <x:f t="shared" si="147"/>
        <x:v/>
      </x:c>
      <x:c r="EK81" s="1109">
        <x:f t="shared" si="175"/>
        <x:v>0</x:v>
      </x:c>
      <x:c r="EL81" s="1109">
        <x:f t="shared" si="176"/>
        <x:v>0</x:v>
      </x:c>
      <x:c r="EM81" s="1109">
        <x:f t="shared" si="148"/>
        <x:v>0</x:v>
      </x:c>
      <x:c r="EN81" s="1109" t="str">
        <x:f t="shared" si="149"/>
        <x:v/>
      </x:c>
      <x:c r="EO81" s="1108" t="str">
        <x:f t="shared" si="177"/>
        <x:v/>
      </x:c>
      <x:c r="EP81" s="1109">
        <x:f t="shared" si="178"/>
        <x:v>0</x:v>
      </x:c>
      <x:c r="EQ81" s="1109">
        <x:f t="shared" si="179"/>
        <x:v>0</x:v>
      </x:c>
      <x:c r="ER81" s="1109">
        <x:f t="shared" si="150"/>
        <x:v>0</x:v>
      </x:c>
      <x:c r="ES81" s="1109" t="str">
        <x:f t="shared" si="151"/>
        <x:v/>
      </x:c>
      <x:c r="ET81" s="1108" t="str">
        <x:f t="shared" si="180"/>
        <x:v/>
      </x:c>
      <x:c r="EU81" s="1108">
        <x:f t="shared" si="152"/>
        <x:v>0</x:v>
      </x:c>
      <x:c r="EV81" s="1111" t="e">
        <x:f t="shared" si="192"/>
        <x:v>#VALUE!</x:v>
      </x:c>
      <x:c r="EW81" s="1111" t="e">
        <x:f t="shared" si="193"/>
        <x:v>#VALUE!</x:v>
      </x:c>
      <x:c r="EX81" s="1199" t="str">
        <x:f t="shared" si="181"/>
        <x:v/>
      </x:c>
      <x:c r="EY81" s="1114">
        <x:f t="shared" si="182"/>
        <x:v>25</x:v>
      </x:c>
      <x:c r="EZ81" s="1219">
        <x:f t="shared" si="183"/>
        <x:v>0</x:v>
      </x:c>
      <x:c r="FA81" s="1220">
        <x:f t="shared" si="184"/>
        <x:v>0</x:v>
      </x:c>
      <x:c r="FB81" s="1115" t="str">
        <x:f t="shared" si="153"/>
        <x:v/>
      </x:c>
      <x:c r="FC81" s="1116" t="str">
        <x:f t="shared" si="154"/>
        <x:v/>
      </x:c>
      <x:c r="FD81" s="614">
        <x:f t="shared" si="155"/>
        <x:v>0</x:v>
      </x:c>
      <x:c r="FE81" s="615">
        <x:f t="shared" si="156"/>
        <x:v>0</x:v>
      </x:c>
      <x:c r="FF81" s="969" t="b">
        <x:f t="shared" si="101"/>
        <x:v>0</x:v>
      </x:c>
      <x:c r="FG81" s="969" t="b">
        <x:f t="shared" si="102"/>
        <x:v>0</x:v>
      </x:c>
      <x:c r="FH81" s="969" t="b">
        <x:f t="shared" si="103"/>
        <x:v>0</x:v>
      </x:c>
      <x:c r="FI81" s="1158" t="b">
        <x:f t="shared" si="104"/>
        <x:v>0</x:v>
      </x:c>
      <x:c r="FJ81" s="1161" t="str">
        <x:f t="shared" si="113"/>
        <x:v/>
      </x:c>
      <x:c r="FK81" s="1160" t="str">
        <x:f t="shared" si="114"/>
        <x:v/>
      </x:c>
      <x:c r="FL81" s="388" t="e">
        <x:f t="shared" si="115"/>
        <x:v>#N/A</x:v>
      </x:c>
      <x:c r="FM81" s="380" t="str">
        <x:f t="shared" si="105"/>
        <x:v/>
      </x:c>
      <x:c r="FN81" s="337" t="str">
        <x:f t="shared" ca="1" si="116"/>
        <x:v/>
      </x:c>
      <x:c r="FO81" s="338" t="str">
        <x:f t="shared" ca="1" si="117"/>
        <x:v/>
      </x:c>
      <x:c r="FP81" s="339" t="str">
        <x:f t="shared" ca="1" si="118"/>
        <x:v/>
      </x:c>
      <x:c r="FQ81" s="339" t="str">
        <x:f t="shared" ca="1" si="119"/>
        <x:v/>
      </x:c>
      <x:c r="FR81" s="389">
        <x:f t="shared" ca="1" si="120"/>
        <x:v>0</x:v>
      </x:c>
      <x:c r="FS81" s="390">
        <x:f t="shared" ca="1" si="121"/>
        <x:v>0</x:v>
      </x:c>
      <x:c r="FT81" s="337" t="str">
        <x:f t="shared" ca="1" si="127"/>
        <x:v/>
      </x:c>
      <x:c r="FU81" s="340" t="str">
        <x:f t="shared" ca="1" si="128"/>
        <x:v/>
      </x:c>
      <x:c r="FV81" s="391" t="str">
        <x:f t="shared" ca="1" si="129"/>
        <x:v/>
      </x:c>
      <x:c r="FW81" s="341" t="str">
        <x:f t="shared" ca="1" si="122"/>
        <x:v/>
      </x:c>
      <x:c r="FX81" s="341" t="str">
        <x:f t="shared" ca="1" si="123"/>
        <x:v/>
      </x:c>
      <x:c r="FY81" s="341" t="str">
        <x:f t="shared" ca="1" si="130"/>
        <x:v/>
      </x:c>
      <x:c r="FZ81" s="341" t="str">
        <x:f t="shared" ca="1" si="124"/>
        <x:v/>
      </x:c>
      <x:c r="GA81" s="341" t="str">
        <x:f t="shared" ca="1" si="131"/>
        <x:v/>
      </x:c>
      <x:c r="GB81" s="342" t="str">
        <x:f ca="1">IF(FY81="","",2+SUM(FO81:OFFSET(FO81,(FU81-1)*-1,0)))</x:f>
        <x:v/>
      </x:c>
      <x:c r="GC81" s="384" t="e">
        <x:f t="shared" si="125"/>
        <x:v>#N/A</x:v>
      </x:c>
      <x:c r="GD81" s="392" t="str">
        <x:f t="shared" si="106"/>
        <x:v/>
      </x:c>
      <x:c r="GE81" s="393" t="str">
        <x:f t="shared" si="107"/>
        <x:v/>
      </x:c>
      <x:c r="GF81" s="343" t="str">
        <x:f t="shared" si="108"/>
        <x:v/>
      </x:c>
      <x:c r="GG81" s="344" t="str">
        <x:f t="shared" si="109"/>
        <x:v/>
      </x:c>
      <x:c r="GH81" s="344" t="str">
        <x:f t="shared" si="110"/>
        <x:v/>
      </x:c>
      <x:c r="GI81" s="345" t="str">
        <x:f t="shared" si="111"/>
        <x:v/>
      </x:c>
      <x:c r="GJ81" s="394">
        <x:f t="shared" ca="1" si="112"/>
        <x:v>0</x:v>
      </x:c>
      <x:c r="GK81" s="1154" t="str">
        <x:f t="shared" ca="1" si="126"/>
        <x:v/>
      </x:c>
    </x:row>
    <x:row r="82" spans="1:238" ht="12.6" hidden="1" customHeight="1" x14ac:dyDescent="0.2">
      <x:c r="BZ82" s="360"/>
      <x:c r="CA82" s="360"/>
      <x:c r="CB82" s="435" t="str">
        <x:f t="shared" si="132"/>
        <x:v/>
      </x:c>
      <x:c r="CC82" s="436" t="str">
        <x:f>IF(CG42="","",VLOOKUP(CG42,SectInfo!$B:$N,12,FALSE))</x:f>
        <x:v/>
      </x:c>
      <x:c r="CD82" s="1172" t="str">
        <x:f>IF(ISBLANK(CZ42),IF(CG42="","",VLOOKUP(CG42,SectInfo!$B:$N,13,FALSE)),CZ42)</x:f>
        <x:v/>
      </x:c>
      <x:c r="CE82" s="437" t="str">
        <x:f>IF(CG42="","",IF(VLOOKUP(CG42,SectInfo!$B:$N,5,FALSE)="","R",UPPER(VLOOKUP(CG42,SectInfo!$B:$N,5,FALSE))))</x:f>
        <x:v/>
      </x:c>
      <x:c r="CF82" s="1172" t="str">
        <x:f>IF(ISBLANK(DD42),IF(CG42="","",VLOOKUP(CG42,SectInfo!$B:$N,6,FALSE)),DD42)</x:f>
        <x:v/>
      </x:c>
      <x:c r="CG82" s="437" t="str">
        <x:f>IF(CG42="","",IF(VLOOKUP(CG42,SectInfo!$B:$N,10,FALSE)="","",(VLOOKUP(CG42,SectInfo!$B:$N,10,FALSE)*-1)))</x:f>
        <x:v/>
      </x:c>
      <x:c r="CH82" s="437" t="str">
        <x:f>IF(CG42="","",IF(VLOOKUP(CG42,SectInfo!$B:$N,7,FALSE)="","",(VLOOKUP(CG42,SectInfo!$B:$N,7,FALSE)*-1)))</x:f>
        <x:v/>
      </x:c>
      <x:c r="CI82" s="437" t="str">
        <x:f>IF(CG42="","",IF(VLOOKUP(CG42,SectInfo!$B:$N,8,FALSE)="",$FC$4,(VLOOKUP(CG42,SectInfo!$B:$N,8,FALSE))))</x:f>
        <x:v/>
      </x:c>
      <x:c r="CJ82" s="437" t="str">
        <x:f>IF(CG42="","",VLOOKUP(CG42,SectInfo!$B:$N,9,FALSE))</x:f>
        <x:v/>
      </x:c>
      <x:c r="CK82" s="438">
        <x:f t="shared" si="185"/>
        <x:v>0</x:v>
      </x:c>
      <x:c r="CL82" s="436" t="str">
        <x:f>IF(CN42="","",VLOOKUP(CN42,SectInfo!$B:$N,12,FALSE))</x:f>
        <x:v/>
      </x:c>
      <x:c r="CM82" s="1172" t="str">
        <x:f>IF(ISBLANK(DA42),IF(CN42="","",VLOOKUP(CN42,SectInfo!$B:$N,13,FALSE)),DA42)</x:f>
        <x:v/>
      </x:c>
      <x:c r="CN82" s="437" t="str">
        <x:f>IF(CN42="","",IF(VLOOKUP(CN42,SectInfo!$B:$N,5,FALSE)="","R",UPPER(VLOOKUP(CN42,SectInfo!$B:$N,5,FALSE))))</x:f>
        <x:v/>
      </x:c>
      <x:c r="CO82" s="1172" t="str">
        <x:f>IF(ISBLANK(DE42),IF(CN42="","",VLOOKUP(CN42,SectInfo!$B:$N,6,FALSE)),DE42)</x:f>
        <x:v/>
      </x:c>
      <x:c r="CP82" s="437" t="str">
        <x:f>IF(CN42="","",IF(VLOOKUP(CN42,SectInfo!$B:$N,10,FALSE)="","",(VLOOKUP(CN42,SectInfo!$B:$N,10,FALSE)*-1)))</x:f>
        <x:v/>
      </x:c>
      <x:c r="CQ82" s="437" t="str">
        <x:f>IF(CN42="","",IF(VLOOKUP(CN42,SectInfo!$B:$N,7,FALSE)="","",(VLOOKUP(CN42,SectInfo!$B:$N,7,FALSE)*-1)))</x:f>
        <x:v/>
      </x:c>
      <x:c r="CR82" s="437" t="str">
        <x:f>IF(CN42="","",IF(VLOOKUP(CN42,SectInfo!$B:$N,8,FALSE)="",$FC$4,(VLOOKUP(CN42,SectInfo!$B:$N,8,FALSE))))</x:f>
        <x:v/>
      </x:c>
      <x:c r="CS82" s="437" t="str">
        <x:f>IF(CN42="","",VLOOKUP(CN42,SectInfo!$B:$N,9,FALSE))</x:f>
        <x:v/>
      </x:c>
      <x:c r="CT82" s="438">
        <x:f t="shared" si="186"/>
        <x:v>0</x:v>
      </x:c>
      <x:c r="CU82" s="439">
        <x:f t="shared" si="133"/>
        <x:v>0</x:v>
      </x:c>
      <x:c r="CV82" s="339" t="str">
        <x:f t="shared" si="157"/>
        <x:v/>
      </x:c>
      <x:c r="CW82" s="339" t="str">
        <x:f t="shared" si="134"/>
        <x:v/>
      </x:c>
      <x:c r="CX82" s="1108" t="str">
        <x:f t="shared" si="135"/>
        <x:v/>
      </x:c>
      <x:c r="CY82" s="1109">
        <x:f t="shared" si="158"/>
        <x:v>0</x:v>
      </x:c>
      <x:c r="CZ82" s="1109">
        <x:f t="shared" si="136"/>
        <x:v>0</x:v>
      </x:c>
      <x:c r="DA82" s="1109" t="str">
        <x:f t="shared" si="137"/>
        <x:v/>
      </x:c>
      <x:c r="DB82" s="1125" t="str">
        <x:f t="shared" si="159"/>
        <x:v/>
      </x:c>
      <x:c r="DC82" s="1125" t="str">
        <x:f t="shared" si="187"/>
        <x:v/>
      </x:c>
      <x:c r="DD82" s="1110">
        <x:f t="shared" si="160"/>
        <x:v>0</x:v>
      </x:c>
      <x:c r="DE82" s="1108">
        <x:f t="shared" si="161"/>
        <x:v>0</x:v>
      </x:c>
      <x:c r="DF82" s="1109">
        <x:f t="shared" si="138"/>
        <x:v>0</x:v>
      </x:c>
      <x:c r="DG82" s="1109" t="str">
        <x:f t="shared" si="139"/>
        <x:v/>
      </x:c>
      <x:c r="DH82" s="1125" t="str">
        <x:f t="shared" si="162"/>
        <x:v/>
      </x:c>
      <x:c r="DI82" s="1125" t="str">
        <x:f t="shared" si="163"/>
        <x:v/>
      </x:c>
      <x:c r="DJ82" s="1110">
        <x:f t="shared" si="164"/>
        <x:v>0</x:v>
      </x:c>
      <x:c r="DK82" s="1108" t="str">
        <x:f t="shared" si="165"/>
        <x:v/>
      </x:c>
      <x:c r="DL82" s="1108" t="str">
        <x:f t="shared" si="166"/>
        <x:v/>
      </x:c>
      <x:c r="DM82" s="1108" t="str">
        <x:f t="shared" si="140"/>
        <x:v/>
      </x:c>
      <x:c r="DN82" s="1108" t="str">
        <x:f t="shared" si="141"/>
        <x:v/>
      </x:c>
      <x:c r="DO82" s="1125" t="str">
        <x:f t="shared" si="188"/>
        <x:v>ERR</x:v>
      </x:c>
      <x:c r="DP82" s="1125" t="str">
        <x:f t="shared" si="189"/>
        <x:v>ERR</x:v>
      </x:c>
      <x:c r="DQ82" s="1108" t="str">
        <x:f t="shared" si="167"/>
        <x:v/>
      </x:c>
      <x:c r="DR82" s="1108" t="str">
        <x:f t="shared" si="167"/>
        <x:v/>
      </x:c>
      <x:c r="DS82" s="1108" t="str">
        <x:f t="shared" si="168"/>
        <x:v/>
      </x:c>
      <x:c r="DT82" s="1108" t="str">
        <x:f t="shared" si="142"/>
        <x:v/>
      </x:c>
      <x:c r="DU82" s="1108" t="str">
        <x:f t="shared" si="143"/>
        <x:v/>
      </x:c>
      <x:c r="DV82" s="1125" t="str">
        <x:f t="shared" si="190"/>
        <x:v>ERR</x:v>
      </x:c>
      <x:c r="DW82" s="1125" t="str">
        <x:f t="shared" si="191"/>
        <x:v>ERR</x:v>
      </x:c>
      <x:c r="DX82" s="1108" t="str">
        <x:f t="shared" si="169"/>
        <x:v/>
      </x:c>
      <x:c r="DY82" s="1108" t="str">
        <x:f t="shared" si="169"/>
        <x:v/>
      </x:c>
      <x:c r="DZ82" s="1108" t="str">
        <x:f t="shared" si="194"/>
        <x:v/>
      </x:c>
      <x:c r="EA82" s="1108" t="str">
        <x:f t="shared" si="195"/>
        <x:v/>
      </x:c>
      <x:c r="EB82" s="1111" t="str">
        <x:f t="shared" si="144"/>
        <x:v/>
      </x:c>
      <x:c r="EC82" s="1112" t="str">
        <x:f t="shared" si="170"/>
        <x:v/>
      </x:c>
      <x:c r="ED82" s="1111" t="str">
        <x:f t="shared" si="145"/>
        <x:v/>
      </x:c>
      <x:c r="EE82" s="1111" t="str">
        <x:f t="shared" si="171"/>
        <x:v/>
      </x:c>
      <x:c r="EF82" s="1111" t="str">
        <x:f t="shared" si="172"/>
        <x:v/>
      </x:c>
      <x:c r="EG82" s="1111" t="str">
        <x:f t="shared" si="146"/>
        <x:v/>
      </x:c>
      <x:c r="EH82" s="1111" t="str">
        <x:f t="shared" si="173"/>
        <x:v/>
      </x:c>
      <x:c r="EI82" s="1111" t="str">
        <x:f t="shared" si="174"/>
        <x:v/>
      </x:c>
      <x:c r="EJ82" s="1111" t="str">
        <x:f t="shared" si="147"/>
        <x:v/>
      </x:c>
      <x:c r="EK82" s="1109">
        <x:f t="shared" si="175"/>
        <x:v>0</x:v>
      </x:c>
      <x:c r="EL82" s="1109">
        <x:f t="shared" si="176"/>
        <x:v>0</x:v>
      </x:c>
      <x:c r="EM82" s="1109">
        <x:f t="shared" si="148"/>
        <x:v>0</x:v>
      </x:c>
      <x:c r="EN82" s="1109" t="str">
        <x:f t="shared" si="149"/>
        <x:v/>
      </x:c>
      <x:c r="EO82" s="1108" t="str">
        <x:f t="shared" si="177"/>
        <x:v/>
      </x:c>
      <x:c r="EP82" s="1109">
        <x:f t="shared" si="178"/>
        <x:v>0</x:v>
      </x:c>
      <x:c r="EQ82" s="1109">
        <x:f t="shared" si="179"/>
        <x:v>0</x:v>
      </x:c>
      <x:c r="ER82" s="1109">
        <x:f t="shared" si="150"/>
        <x:v>0</x:v>
      </x:c>
      <x:c r="ES82" s="1109" t="str">
        <x:f t="shared" si="151"/>
        <x:v/>
      </x:c>
      <x:c r="ET82" s="1108" t="str">
        <x:f t="shared" si="180"/>
        <x:v/>
      </x:c>
      <x:c r="EU82" s="1108">
        <x:f t="shared" si="152"/>
        <x:v>0</x:v>
      </x:c>
      <x:c r="EV82" s="1111" t="e">
        <x:f t="shared" si="192"/>
        <x:v>#VALUE!</x:v>
      </x:c>
      <x:c r="EW82" s="1111" t="e">
        <x:f t="shared" si="193"/>
        <x:v>#VALUE!</x:v>
      </x:c>
      <x:c r="EX82" s="1199" t="str">
        <x:f t="shared" si="181"/>
        <x:v/>
      </x:c>
      <x:c r="EY82" s="1114">
        <x:f t="shared" si="182"/>
        <x:v>25</x:v>
      </x:c>
      <x:c r="EZ82" s="1219">
        <x:f t="shared" si="183"/>
        <x:v>0</x:v>
      </x:c>
      <x:c r="FA82" s="1220">
        <x:f t="shared" si="184"/>
        <x:v>0</x:v>
      </x:c>
      <x:c r="FB82" s="1115" t="str">
        <x:f t="shared" si="153"/>
        <x:v/>
      </x:c>
      <x:c r="FC82" s="1116" t="str">
        <x:f t="shared" si="154"/>
        <x:v/>
      </x:c>
      <x:c r="FD82" s="614">
        <x:f t="shared" si="155"/>
        <x:v>0</x:v>
      </x:c>
      <x:c r="FE82" s="615">
        <x:f t="shared" si="156"/>
        <x:v>0</x:v>
      </x:c>
      <x:c r="FF82" s="969" t="b">
        <x:f t="shared" si="101"/>
        <x:v>0</x:v>
      </x:c>
      <x:c r="FG82" s="969" t="b">
        <x:f t="shared" si="102"/>
        <x:v>0</x:v>
      </x:c>
      <x:c r="FH82" s="969" t="b">
        <x:f t="shared" si="103"/>
        <x:v>0</x:v>
      </x:c>
      <x:c r="FI82" s="1158" t="b">
        <x:f t="shared" si="104"/>
        <x:v>0</x:v>
      </x:c>
      <x:c r="FJ82" s="1161" t="str">
        <x:f t="shared" si="113"/>
        <x:v/>
      </x:c>
      <x:c r="FK82" s="1160" t="str">
        <x:f t="shared" si="114"/>
        <x:v/>
      </x:c>
      <x:c r="FL82" s="388" t="e">
        <x:f t="shared" si="115"/>
        <x:v>#N/A</x:v>
      </x:c>
      <x:c r="FM82" s="380" t="str">
        <x:f t="shared" si="105"/>
        <x:v/>
      </x:c>
      <x:c r="FN82" s="337" t="str">
        <x:f t="shared" ca="1" si="116"/>
        <x:v/>
      </x:c>
      <x:c r="FO82" s="338" t="str">
        <x:f t="shared" ca="1" si="117"/>
        <x:v/>
      </x:c>
      <x:c r="FP82" s="339" t="str">
        <x:f t="shared" ca="1" si="118"/>
        <x:v/>
      </x:c>
      <x:c r="FQ82" s="339" t="str">
        <x:f t="shared" ca="1" si="119"/>
        <x:v/>
      </x:c>
      <x:c r="FR82" s="389">
        <x:f t="shared" ca="1" si="120"/>
        <x:v>0</x:v>
      </x:c>
      <x:c r="FS82" s="390">
        <x:f t="shared" ca="1" si="121"/>
        <x:v>0</x:v>
      </x:c>
      <x:c r="FT82" s="337" t="str">
        <x:f t="shared" ca="1" si="127"/>
        <x:v/>
      </x:c>
      <x:c r="FU82" s="340" t="str">
        <x:f t="shared" ca="1" si="128"/>
        <x:v/>
      </x:c>
      <x:c r="FV82" s="391" t="str">
        <x:f t="shared" ca="1" si="129"/>
        <x:v/>
      </x:c>
      <x:c r="FW82" s="341" t="str">
        <x:f t="shared" ca="1" si="122"/>
        <x:v/>
      </x:c>
      <x:c r="FX82" s="341" t="str">
        <x:f t="shared" ca="1" si="123"/>
        <x:v/>
      </x:c>
      <x:c r="FY82" s="341" t="str">
        <x:f t="shared" ca="1" si="130"/>
        <x:v/>
      </x:c>
      <x:c r="FZ82" s="341" t="str">
        <x:f t="shared" ca="1" si="124"/>
        <x:v/>
      </x:c>
      <x:c r="GA82" s="341" t="str">
        <x:f t="shared" ca="1" si="131"/>
        <x:v/>
      </x:c>
      <x:c r="GB82" s="342" t="str">
        <x:f ca="1">IF(FY82="","",2+SUM(FO82:OFFSET(FO82,(FU82-1)*-1,0)))</x:f>
        <x:v/>
      </x:c>
      <x:c r="GC82" s="384" t="e">
        <x:f t="shared" si="125"/>
        <x:v>#N/A</x:v>
      </x:c>
      <x:c r="GD82" s="392" t="str">
        <x:f t="shared" si="106"/>
        <x:v/>
      </x:c>
      <x:c r="GE82" s="393" t="str">
        <x:f t="shared" si="107"/>
        <x:v/>
      </x:c>
      <x:c r="GF82" s="343" t="str">
        <x:f t="shared" si="108"/>
        <x:v/>
      </x:c>
      <x:c r="GG82" s="344" t="str">
        <x:f t="shared" si="109"/>
        <x:v/>
      </x:c>
      <x:c r="GH82" s="344" t="str">
        <x:f t="shared" si="110"/>
        <x:v/>
      </x:c>
      <x:c r="GI82" s="345" t="str">
        <x:f t="shared" si="111"/>
        <x:v/>
      </x:c>
      <x:c r="GJ82" s="394">
        <x:f t="shared" ca="1" si="112"/>
        <x:v>0</x:v>
      </x:c>
      <x:c r="GK82" s="1154" t="str">
        <x:f t="shared" ca="1" si="126"/>
        <x:v/>
      </x:c>
    </x:row>
    <x:row r="83" spans="1:238" ht="12.6" hidden="1" customHeight="1" x14ac:dyDescent="0.2">
      <x:c r="BZ83" s="360"/>
      <x:c r="CA83" s="360"/>
      <x:c r="CB83" s="435" t="str">
        <x:f t="shared" si="132"/>
        <x:v/>
      </x:c>
      <x:c r="CC83" s="436" t="str">
        <x:f>IF(CG43="","",VLOOKUP(CG43,SectInfo!$B:$N,12,FALSE))</x:f>
        <x:v/>
      </x:c>
      <x:c r="CD83" s="1172" t="str">
        <x:f>IF(ISBLANK(CZ43),IF(CG43="","",VLOOKUP(CG43,SectInfo!$B:$N,13,FALSE)),CZ43)</x:f>
        <x:v/>
      </x:c>
      <x:c r="CE83" s="437" t="str">
        <x:f>IF(CG43="","",IF(VLOOKUP(CG43,SectInfo!$B:$N,5,FALSE)="","R",UPPER(VLOOKUP(CG43,SectInfo!$B:$N,5,FALSE))))</x:f>
        <x:v/>
      </x:c>
      <x:c r="CF83" s="1172" t="str">
        <x:f>IF(ISBLANK(DD43),IF(CG43="","",VLOOKUP(CG43,SectInfo!$B:$N,6,FALSE)),DD43)</x:f>
        <x:v/>
      </x:c>
      <x:c r="CG83" s="437" t="str">
        <x:f>IF(CG43="","",IF(VLOOKUP(CG43,SectInfo!$B:$N,10,FALSE)="","",(VLOOKUP(CG43,SectInfo!$B:$N,10,FALSE)*-1)))</x:f>
        <x:v/>
      </x:c>
      <x:c r="CH83" s="437" t="str">
        <x:f>IF(CG43="","",IF(VLOOKUP(CG43,SectInfo!$B:$N,7,FALSE)="","",(VLOOKUP(CG43,SectInfo!$B:$N,7,FALSE)*-1)))</x:f>
        <x:v/>
      </x:c>
      <x:c r="CI83" s="437" t="str">
        <x:f>IF(CG43="","",IF(VLOOKUP(CG43,SectInfo!$B:$N,8,FALSE)="",$FC$4,(VLOOKUP(CG43,SectInfo!$B:$N,8,FALSE))))</x:f>
        <x:v/>
      </x:c>
      <x:c r="CJ83" s="437" t="str">
        <x:f>IF(CG43="","",VLOOKUP(CG43,SectInfo!$B:$N,9,FALSE))</x:f>
        <x:v/>
      </x:c>
      <x:c r="CK83" s="438">
        <x:f t="shared" si="185"/>
        <x:v>0</x:v>
      </x:c>
      <x:c r="CL83" s="436" t="str">
        <x:f>IF(CN43="","",VLOOKUP(CN43,SectInfo!$B:$N,12,FALSE))</x:f>
        <x:v/>
      </x:c>
      <x:c r="CM83" s="1172" t="str">
        <x:f>IF(ISBLANK(DA43),IF(CN43="","",VLOOKUP(CN43,SectInfo!$B:$N,13,FALSE)),DA43)</x:f>
        <x:v/>
      </x:c>
      <x:c r="CN83" s="437" t="str">
        <x:f>IF(CN43="","",IF(VLOOKUP(CN43,SectInfo!$B:$N,5,FALSE)="","R",UPPER(VLOOKUP(CN43,SectInfo!$B:$N,5,FALSE))))</x:f>
        <x:v/>
      </x:c>
      <x:c r="CO83" s="1172" t="str">
        <x:f>IF(ISBLANK(DE43),IF(CN43="","",VLOOKUP(CN43,SectInfo!$B:$N,6,FALSE)),DE43)</x:f>
        <x:v/>
      </x:c>
      <x:c r="CP83" s="437" t="str">
        <x:f>IF(CN43="","",IF(VLOOKUP(CN43,SectInfo!$B:$N,10,FALSE)="","",(VLOOKUP(CN43,SectInfo!$B:$N,10,FALSE)*-1)))</x:f>
        <x:v/>
      </x:c>
      <x:c r="CQ83" s="437" t="str">
        <x:f>IF(CN43="","",IF(VLOOKUP(CN43,SectInfo!$B:$N,7,FALSE)="","",(VLOOKUP(CN43,SectInfo!$B:$N,7,FALSE)*-1)))</x:f>
        <x:v/>
      </x:c>
      <x:c r="CR83" s="437" t="str">
        <x:f>IF(CN43="","",IF(VLOOKUP(CN43,SectInfo!$B:$N,8,FALSE)="",$FC$4,(VLOOKUP(CN43,SectInfo!$B:$N,8,FALSE))))</x:f>
        <x:v/>
      </x:c>
      <x:c r="CS83" s="437" t="str">
        <x:f>IF(CN43="","",VLOOKUP(CN43,SectInfo!$B:$N,9,FALSE))</x:f>
        <x:v/>
      </x:c>
      <x:c r="CT83" s="438">
        <x:f t="shared" si="186"/>
        <x:v>0</x:v>
      </x:c>
      <x:c r="CU83" s="439">
        <x:f t="shared" si="133"/>
        <x:v>0</x:v>
      </x:c>
      <x:c r="CV83" s="339" t="str">
        <x:f t="shared" si="157"/>
        <x:v/>
      </x:c>
      <x:c r="CW83" s="339" t="str">
        <x:f t="shared" si="134"/>
        <x:v/>
      </x:c>
      <x:c r="CX83" s="1108" t="str">
        <x:f t="shared" si="135"/>
        <x:v/>
      </x:c>
      <x:c r="CY83" s="1109">
        <x:f t="shared" si="158"/>
        <x:v>0</x:v>
      </x:c>
      <x:c r="CZ83" s="1109">
        <x:f t="shared" si="136"/>
        <x:v>0</x:v>
      </x:c>
      <x:c r="DA83" s="1109" t="str">
        <x:f t="shared" si="137"/>
        <x:v/>
      </x:c>
      <x:c r="DB83" s="1125" t="str">
        <x:f t="shared" si="159"/>
        <x:v/>
      </x:c>
      <x:c r="DC83" s="1125" t="str">
        <x:f t="shared" si="187"/>
        <x:v/>
      </x:c>
      <x:c r="DD83" s="1110">
        <x:f t="shared" si="160"/>
        <x:v>0</x:v>
      </x:c>
      <x:c r="DE83" s="1108">
        <x:f t="shared" si="161"/>
        <x:v>0</x:v>
      </x:c>
      <x:c r="DF83" s="1109">
        <x:f t="shared" si="138"/>
        <x:v>0</x:v>
      </x:c>
      <x:c r="DG83" s="1109" t="str">
        <x:f t="shared" si="139"/>
        <x:v/>
      </x:c>
      <x:c r="DH83" s="1125" t="str">
        <x:f t="shared" si="162"/>
        <x:v/>
      </x:c>
      <x:c r="DI83" s="1125" t="str">
        <x:f t="shared" si="163"/>
        <x:v/>
      </x:c>
      <x:c r="DJ83" s="1110">
        <x:f t="shared" si="164"/>
        <x:v>0</x:v>
      </x:c>
      <x:c r="DK83" s="1108" t="str">
        <x:f t="shared" si="165"/>
        <x:v/>
      </x:c>
      <x:c r="DL83" s="1108" t="str">
        <x:f t="shared" si="166"/>
        <x:v/>
      </x:c>
      <x:c r="DM83" s="1108" t="str">
        <x:f t="shared" si="140"/>
        <x:v/>
      </x:c>
      <x:c r="DN83" s="1108" t="str">
        <x:f t="shared" si="141"/>
        <x:v/>
      </x:c>
      <x:c r="DO83" s="1125" t="str">
        <x:f t="shared" si="188"/>
        <x:v>ERR</x:v>
      </x:c>
      <x:c r="DP83" s="1125" t="str">
        <x:f t="shared" si="189"/>
        <x:v>ERR</x:v>
      </x:c>
      <x:c r="DQ83" s="1108" t="str">
        <x:f t="shared" si="167"/>
        <x:v/>
      </x:c>
      <x:c r="DR83" s="1108" t="str">
        <x:f t="shared" si="167"/>
        <x:v/>
      </x:c>
      <x:c r="DS83" s="1108" t="str">
        <x:f t="shared" si="168"/>
        <x:v/>
      </x:c>
      <x:c r="DT83" s="1108" t="str">
        <x:f t="shared" si="142"/>
        <x:v/>
      </x:c>
      <x:c r="DU83" s="1108" t="str">
        <x:f t="shared" si="143"/>
        <x:v/>
      </x:c>
      <x:c r="DV83" s="1125" t="str">
        <x:f t="shared" si="190"/>
        <x:v>ERR</x:v>
      </x:c>
      <x:c r="DW83" s="1125" t="str">
        <x:f t="shared" si="191"/>
        <x:v>ERR</x:v>
      </x:c>
      <x:c r="DX83" s="1108" t="str">
        <x:f t="shared" si="169"/>
        <x:v/>
      </x:c>
      <x:c r="DY83" s="1108" t="str">
        <x:f t="shared" si="169"/>
        <x:v/>
      </x:c>
      <x:c r="DZ83" s="1108" t="str">
        <x:f t="shared" si="194"/>
        <x:v/>
      </x:c>
      <x:c r="EA83" s="1108" t="str">
        <x:f t="shared" si="195"/>
        <x:v/>
      </x:c>
      <x:c r="EB83" s="1111" t="str">
        <x:f t="shared" si="144"/>
        <x:v/>
      </x:c>
      <x:c r="EC83" s="1112" t="str">
        <x:f t="shared" si="170"/>
        <x:v/>
      </x:c>
      <x:c r="ED83" s="1111" t="str">
        <x:f t="shared" si="145"/>
        <x:v/>
      </x:c>
      <x:c r="EE83" s="1111" t="str">
        <x:f t="shared" si="171"/>
        <x:v/>
      </x:c>
      <x:c r="EF83" s="1111" t="str">
        <x:f t="shared" si="172"/>
        <x:v/>
      </x:c>
      <x:c r="EG83" s="1111" t="str">
        <x:f t="shared" si="146"/>
        <x:v/>
      </x:c>
      <x:c r="EH83" s="1111" t="str">
        <x:f t="shared" si="173"/>
        <x:v/>
      </x:c>
      <x:c r="EI83" s="1111" t="str">
        <x:f t="shared" si="174"/>
        <x:v/>
      </x:c>
      <x:c r="EJ83" s="1111" t="str">
        <x:f t="shared" si="147"/>
        <x:v/>
      </x:c>
      <x:c r="EK83" s="1109">
        <x:f t="shared" si="175"/>
        <x:v>0</x:v>
      </x:c>
      <x:c r="EL83" s="1109">
        <x:f t="shared" si="176"/>
        <x:v>0</x:v>
      </x:c>
      <x:c r="EM83" s="1109">
        <x:f t="shared" si="148"/>
        <x:v>0</x:v>
      </x:c>
      <x:c r="EN83" s="1109" t="str">
        <x:f t="shared" si="149"/>
        <x:v/>
      </x:c>
      <x:c r="EO83" s="1108" t="str">
        <x:f t="shared" si="177"/>
        <x:v/>
      </x:c>
      <x:c r="EP83" s="1109">
        <x:f t="shared" si="178"/>
        <x:v>0</x:v>
      </x:c>
      <x:c r="EQ83" s="1109">
        <x:f t="shared" si="179"/>
        <x:v>0</x:v>
      </x:c>
      <x:c r="ER83" s="1109">
        <x:f t="shared" si="150"/>
        <x:v>0</x:v>
      </x:c>
      <x:c r="ES83" s="1109" t="str">
        <x:f t="shared" si="151"/>
        <x:v/>
      </x:c>
      <x:c r="ET83" s="1108" t="str">
        <x:f t="shared" si="180"/>
        <x:v/>
      </x:c>
      <x:c r="EU83" s="1108">
        <x:f t="shared" si="152"/>
        <x:v>0</x:v>
      </x:c>
      <x:c r="EV83" s="1111" t="e">
        <x:f t="shared" si="192"/>
        <x:v>#VALUE!</x:v>
      </x:c>
      <x:c r="EW83" s="1111" t="e">
        <x:f t="shared" si="193"/>
        <x:v>#VALUE!</x:v>
      </x:c>
      <x:c r="EX83" s="1199" t="str">
        <x:f t="shared" si="181"/>
        <x:v/>
      </x:c>
      <x:c r="EY83" s="1114">
        <x:f t="shared" si="182"/>
        <x:v>25</x:v>
      </x:c>
      <x:c r="EZ83" s="1219">
        <x:f t="shared" si="183"/>
        <x:v>0</x:v>
      </x:c>
      <x:c r="FA83" s="1220">
        <x:f t="shared" si="184"/>
        <x:v>0</x:v>
      </x:c>
      <x:c r="FB83" s="1115" t="str">
        <x:f t="shared" si="153"/>
        <x:v/>
      </x:c>
      <x:c r="FC83" s="1116" t="str">
        <x:f t="shared" si="154"/>
        <x:v/>
      </x:c>
      <x:c r="FD83" s="614">
        <x:f t="shared" si="155"/>
        <x:v>0</x:v>
      </x:c>
      <x:c r="FE83" s="615">
        <x:f t="shared" si="156"/>
        <x:v>0</x:v>
      </x:c>
      <x:c r="FF83" s="969" t="b">
        <x:f t="shared" si="101"/>
        <x:v>0</x:v>
      </x:c>
      <x:c r="FG83" s="969" t="b">
        <x:f t="shared" si="102"/>
        <x:v>0</x:v>
      </x:c>
      <x:c r="FH83" s="969" t="b">
        <x:f t="shared" si="103"/>
        <x:v>0</x:v>
      </x:c>
      <x:c r="FI83" s="1158" t="b">
        <x:f t="shared" si="104"/>
        <x:v>0</x:v>
      </x:c>
      <x:c r="FJ83" s="1161" t="str">
        <x:f t="shared" si="113"/>
        <x:v/>
      </x:c>
      <x:c r="FK83" s="1160" t="str">
        <x:f t="shared" si="114"/>
        <x:v/>
      </x:c>
      <x:c r="FL83" s="388" t="e">
        <x:f t="shared" si="115"/>
        <x:v>#N/A</x:v>
      </x:c>
      <x:c r="FM83" s="380" t="str">
        <x:f t="shared" si="105"/>
        <x:v/>
      </x:c>
      <x:c r="FN83" s="337" t="str">
        <x:f t="shared" ca="1" si="116"/>
        <x:v/>
      </x:c>
      <x:c r="FO83" s="338" t="str">
        <x:f t="shared" ca="1" si="117"/>
        <x:v/>
      </x:c>
      <x:c r="FP83" s="339" t="str">
        <x:f t="shared" ca="1" si="118"/>
        <x:v/>
      </x:c>
      <x:c r="FQ83" s="339" t="str">
        <x:f t="shared" ca="1" si="119"/>
        <x:v/>
      </x:c>
      <x:c r="FR83" s="389">
        <x:f t="shared" ca="1" si="120"/>
        <x:v>0</x:v>
      </x:c>
      <x:c r="FS83" s="390">
        <x:f t="shared" ca="1" si="121"/>
        <x:v>0</x:v>
      </x:c>
      <x:c r="FT83" s="337" t="str">
        <x:f t="shared" ca="1" si="127"/>
        <x:v/>
      </x:c>
      <x:c r="FU83" s="340" t="str">
        <x:f t="shared" ca="1" si="128"/>
        <x:v/>
      </x:c>
      <x:c r="FV83" s="391" t="str">
        <x:f t="shared" ca="1" si="129"/>
        <x:v/>
      </x:c>
      <x:c r="FW83" s="341" t="str">
        <x:f t="shared" ca="1" si="122"/>
        <x:v/>
      </x:c>
      <x:c r="FX83" s="341" t="str">
        <x:f t="shared" ca="1" si="123"/>
        <x:v/>
      </x:c>
      <x:c r="FY83" s="341" t="str">
        <x:f t="shared" ca="1" si="130"/>
        <x:v/>
      </x:c>
      <x:c r="FZ83" s="341" t="str">
        <x:f t="shared" ca="1" si="124"/>
        <x:v/>
      </x:c>
      <x:c r="GA83" s="341" t="str">
        <x:f t="shared" ca="1" si="131"/>
        <x:v/>
      </x:c>
      <x:c r="GB83" s="342" t="str">
        <x:f ca="1">IF(FY83="","",2+SUM(FO83:OFFSET(FO83,(FU83-1)*-1,0)))</x:f>
        <x:v/>
      </x:c>
      <x:c r="GC83" s="384" t="e">
        <x:f t="shared" si="125"/>
        <x:v>#N/A</x:v>
      </x:c>
      <x:c r="GD83" s="392" t="str">
        <x:f t="shared" si="106"/>
        <x:v/>
      </x:c>
      <x:c r="GE83" s="393" t="str">
        <x:f t="shared" si="107"/>
        <x:v/>
      </x:c>
      <x:c r="GF83" s="343" t="str">
        <x:f t="shared" si="108"/>
        <x:v/>
      </x:c>
      <x:c r="GG83" s="344" t="str">
        <x:f t="shared" si="109"/>
        <x:v/>
      </x:c>
      <x:c r="GH83" s="344" t="str">
        <x:f t="shared" si="110"/>
        <x:v/>
      </x:c>
      <x:c r="GI83" s="345" t="str">
        <x:f t="shared" si="111"/>
        <x:v/>
      </x:c>
      <x:c r="GJ83" s="394">
        <x:f t="shared" ca="1" si="112"/>
        <x:v>0</x:v>
      </x:c>
      <x:c r="GK83" s="1154" t="str">
        <x:f t="shared" ca="1" si="126"/>
        <x:v/>
      </x:c>
    </x:row>
    <x:row r="84" spans="1:238" ht="12.6" hidden="1" customHeight="1" x14ac:dyDescent="0.2">
      <x:c r="BZ84" s="360"/>
      <x:c r="CA84" s="360"/>
      <x:c r="CB84" s="435" t="str">
        <x:f t="shared" si="132"/>
        <x:v/>
      </x:c>
      <x:c r="CC84" s="436" t="str">
        <x:f>IF(CG44="","",VLOOKUP(CG44,SectInfo!$B:$N,12,FALSE))</x:f>
        <x:v/>
      </x:c>
      <x:c r="CD84" s="1172" t="str">
        <x:f>IF(ISBLANK(CZ44),IF(CG44="","",VLOOKUP(CG44,SectInfo!$B:$N,13,FALSE)),CZ44)</x:f>
        <x:v/>
      </x:c>
      <x:c r="CE84" s="437" t="str">
        <x:f>IF(CG44="","",IF(VLOOKUP(CG44,SectInfo!$B:$N,5,FALSE)="","R",UPPER(VLOOKUP(CG44,SectInfo!$B:$N,5,FALSE))))</x:f>
        <x:v/>
      </x:c>
      <x:c r="CF84" s="1172" t="str">
        <x:f>IF(ISBLANK(DD44),IF(CG44="","",VLOOKUP(CG44,SectInfo!$B:$N,6,FALSE)),DD44)</x:f>
        <x:v/>
      </x:c>
      <x:c r="CG84" s="437" t="str">
        <x:f>IF(CG44="","",IF(VLOOKUP(CG44,SectInfo!$B:$N,10,FALSE)="","",(VLOOKUP(CG44,SectInfo!$B:$N,10,FALSE)*-1)))</x:f>
        <x:v/>
      </x:c>
      <x:c r="CH84" s="437" t="str">
        <x:f>IF(CG44="","",IF(VLOOKUP(CG44,SectInfo!$B:$N,7,FALSE)="","",(VLOOKUP(CG44,SectInfo!$B:$N,7,FALSE)*-1)))</x:f>
        <x:v/>
      </x:c>
      <x:c r="CI84" s="437" t="str">
        <x:f>IF(CG44="","",IF(VLOOKUP(CG44,SectInfo!$B:$N,8,FALSE)="",$FC$4,(VLOOKUP(CG44,SectInfo!$B:$N,8,FALSE))))</x:f>
        <x:v/>
      </x:c>
      <x:c r="CJ84" s="437" t="str">
        <x:f>IF(CG44="","",VLOOKUP(CG44,SectInfo!$B:$N,9,FALSE))</x:f>
        <x:v/>
      </x:c>
      <x:c r="CK84" s="438">
        <x:f t="shared" si="185"/>
        <x:v>0</x:v>
      </x:c>
      <x:c r="CL84" s="436" t="str">
        <x:f>IF(CN44="","",VLOOKUP(CN44,SectInfo!$B:$N,12,FALSE))</x:f>
        <x:v/>
      </x:c>
      <x:c r="CM84" s="1172" t="str">
        <x:f>IF(ISBLANK(DA44),IF(CN44="","",VLOOKUP(CN44,SectInfo!$B:$N,13,FALSE)),DA44)</x:f>
        <x:v/>
      </x:c>
      <x:c r="CN84" s="437" t="str">
        <x:f>IF(CN44="","",IF(VLOOKUP(CN44,SectInfo!$B:$N,5,FALSE)="","R",UPPER(VLOOKUP(CN44,SectInfo!$B:$N,5,FALSE))))</x:f>
        <x:v/>
      </x:c>
      <x:c r="CO84" s="1172" t="str">
        <x:f>IF(ISBLANK(DE44),IF(CN44="","",VLOOKUP(CN44,SectInfo!$B:$N,6,FALSE)),DE44)</x:f>
        <x:v/>
      </x:c>
      <x:c r="CP84" s="437" t="str">
        <x:f>IF(CN44="","",IF(VLOOKUP(CN44,SectInfo!$B:$N,10,FALSE)="","",(VLOOKUP(CN44,SectInfo!$B:$N,10,FALSE)*-1)))</x:f>
        <x:v/>
      </x:c>
      <x:c r="CQ84" s="437" t="str">
        <x:f>IF(CN44="","",IF(VLOOKUP(CN44,SectInfo!$B:$N,7,FALSE)="","",(VLOOKUP(CN44,SectInfo!$B:$N,7,FALSE)*-1)))</x:f>
        <x:v/>
      </x:c>
      <x:c r="CR84" s="437" t="str">
        <x:f>IF(CN44="","",IF(VLOOKUP(CN44,SectInfo!$B:$N,8,FALSE)="",$FC$4,(VLOOKUP(CN44,SectInfo!$B:$N,8,FALSE))))</x:f>
        <x:v/>
      </x:c>
      <x:c r="CS84" s="437" t="str">
        <x:f>IF(CN44="","",VLOOKUP(CN44,SectInfo!$B:$N,9,FALSE))</x:f>
        <x:v/>
      </x:c>
      <x:c r="CT84" s="438">
        <x:f t="shared" si="186"/>
        <x:v>0</x:v>
      </x:c>
      <x:c r="CU84" s="439">
        <x:f t="shared" si="133"/>
        <x:v>0</x:v>
      </x:c>
      <x:c r="CV84" s="339" t="str">
        <x:f t="shared" si="157"/>
        <x:v/>
      </x:c>
      <x:c r="CW84" s="339" t="str">
        <x:f t="shared" si="134"/>
        <x:v/>
      </x:c>
      <x:c r="CX84" s="1108" t="str">
        <x:f t="shared" si="135"/>
        <x:v/>
      </x:c>
      <x:c r="CY84" s="1109">
        <x:f t="shared" si="158"/>
        <x:v>0</x:v>
      </x:c>
      <x:c r="CZ84" s="1109">
        <x:f t="shared" si="136"/>
        <x:v>0</x:v>
      </x:c>
      <x:c r="DA84" s="1109" t="str">
        <x:f t="shared" si="137"/>
        <x:v/>
      </x:c>
      <x:c r="DB84" s="1125" t="str">
        <x:f t="shared" si="159"/>
        <x:v/>
      </x:c>
      <x:c r="DC84" s="1125" t="str">
        <x:f t="shared" si="187"/>
        <x:v/>
      </x:c>
      <x:c r="DD84" s="1110">
        <x:f t="shared" si="160"/>
        <x:v>0</x:v>
      </x:c>
      <x:c r="DE84" s="1108">
        <x:f t="shared" si="161"/>
        <x:v>0</x:v>
      </x:c>
      <x:c r="DF84" s="1109">
        <x:f t="shared" si="138"/>
        <x:v>0</x:v>
      </x:c>
      <x:c r="DG84" s="1109" t="str">
        <x:f t="shared" si="139"/>
        <x:v/>
      </x:c>
      <x:c r="DH84" s="1125" t="str">
        <x:f t="shared" si="162"/>
        <x:v/>
      </x:c>
      <x:c r="DI84" s="1125" t="str">
        <x:f t="shared" si="163"/>
        <x:v/>
      </x:c>
      <x:c r="DJ84" s="1110">
        <x:f t="shared" si="164"/>
        <x:v>0</x:v>
      </x:c>
      <x:c r="DK84" s="1108" t="str">
        <x:f t="shared" si="165"/>
        <x:v/>
      </x:c>
      <x:c r="DL84" s="1108" t="str">
        <x:f t="shared" si="166"/>
        <x:v/>
      </x:c>
      <x:c r="DM84" s="1108" t="str">
        <x:f t="shared" si="140"/>
        <x:v/>
      </x:c>
      <x:c r="DN84" s="1108" t="str">
        <x:f t="shared" si="141"/>
        <x:v/>
      </x:c>
      <x:c r="DO84" s="1125" t="str">
        <x:f t="shared" si="188"/>
        <x:v>ERR</x:v>
      </x:c>
      <x:c r="DP84" s="1125" t="str">
        <x:f t="shared" si="189"/>
        <x:v>ERR</x:v>
      </x:c>
      <x:c r="DQ84" s="1108" t="str">
        <x:f t="shared" si="167"/>
        <x:v/>
      </x:c>
      <x:c r="DR84" s="1108" t="str">
        <x:f t="shared" si="167"/>
        <x:v/>
      </x:c>
      <x:c r="DS84" s="1108" t="str">
        <x:f t="shared" si="168"/>
        <x:v/>
      </x:c>
      <x:c r="DT84" s="1108" t="str">
        <x:f t="shared" si="142"/>
        <x:v/>
      </x:c>
      <x:c r="DU84" s="1108" t="str">
        <x:f t="shared" si="143"/>
        <x:v/>
      </x:c>
      <x:c r="DV84" s="1125" t="str">
        <x:f t="shared" si="190"/>
        <x:v>ERR</x:v>
      </x:c>
      <x:c r="DW84" s="1125" t="str">
        <x:f t="shared" si="191"/>
        <x:v>ERR</x:v>
      </x:c>
      <x:c r="DX84" s="1108" t="str">
        <x:f t="shared" si="169"/>
        <x:v/>
      </x:c>
      <x:c r="DY84" s="1108" t="str">
        <x:f t="shared" si="169"/>
        <x:v/>
      </x:c>
      <x:c r="DZ84" s="1108" t="str">
        <x:f t="shared" si="194"/>
        <x:v/>
      </x:c>
      <x:c r="EA84" s="1108" t="str">
        <x:f t="shared" si="195"/>
        <x:v/>
      </x:c>
      <x:c r="EB84" s="1111" t="str">
        <x:f t="shared" si="144"/>
        <x:v/>
      </x:c>
      <x:c r="EC84" s="1112" t="str">
        <x:f t="shared" si="170"/>
        <x:v/>
      </x:c>
      <x:c r="ED84" s="1111" t="str">
        <x:f t="shared" si="145"/>
        <x:v/>
      </x:c>
      <x:c r="EE84" s="1111" t="str">
        <x:f t="shared" si="171"/>
        <x:v/>
      </x:c>
      <x:c r="EF84" s="1111" t="str">
        <x:f t="shared" si="172"/>
        <x:v/>
      </x:c>
      <x:c r="EG84" s="1111" t="str">
        <x:f t="shared" si="146"/>
        <x:v/>
      </x:c>
      <x:c r="EH84" s="1111" t="str">
        <x:f t="shared" si="173"/>
        <x:v/>
      </x:c>
      <x:c r="EI84" s="1111" t="str">
        <x:f t="shared" si="174"/>
        <x:v/>
      </x:c>
      <x:c r="EJ84" s="1111" t="str">
        <x:f t="shared" si="147"/>
        <x:v/>
      </x:c>
      <x:c r="EK84" s="1109">
        <x:f t="shared" si="175"/>
        <x:v>0</x:v>
      </x:c>
      <x:c r="EL84" s="1109">
        <x:f t="shared" si="176"/>
        <x:v>0</x:v>
      </x:c>
      <x:c r="EM84" s="1109">
        <x:f t="shared" si="148"/>
        <x:v>0</x:v>
      </x:c>
      <x:c r="EN84" s="1109" t="str">
        <x:f t="shared" si="149"/>
        <x:v/>
      </x:c>
      <x:c r="EO84" s="1108" t="str">
        <x:f t="shared" si="177"/>
        <x:v/>
      </x:c>
      <x:c r="EP84" s="1109">
        <x:f t="shared" si="178"/>
        <x:v>0</x:v>
      </x:c>
      <x:c r="EQ84" s="1109">
        <x:f t="shared" si="179"/>
        <x:v>0</x:v>
      </x:c>
      <x:c r="ER84" s="1109">
        <x:f t="shared" si="150"/>
        <x:v>0</x:v>
      </x:c>
      <x:c r="ES84" s="1109" t="str">
        <x:f t="shared" si="151"/>
        <x:v/>
      </x:c>
      <x:c r="ET84" s="1108" t="str">
        <x:f t="shared" si="180"/>
        <x:v/>
      </x:c>
      <x:c r="EU84" s="1108">
        <x:f t="shared" si="152"/>
        <x:v>0</x:v>
      </x:c>
      <x:c r="EV84" s="1111" t="e">
        <x:f t="shared" si="192"/>
        <x:v>#VALUE!</x:v>
      </x:c>
      <x:c r="EW84" s="1111" t="e">
        <x:f t="shared" si="193"/>
        <x:v>#VALUE!</x:v>
      </x:c>
      <x:c r="EX84" s="1199" t="str">
        <x:f t="shared" si="181"/>
        <x:v/>
      </x:c>
      <x:c r="EY84" s="1114" t="e">
        <x:f t="shared" si="182"/>
        <x:v>#DIV/0!</x:v>
      </x:c>
      <x:c r="EZ84" s="1219" t="e">
        <x:f t="shared" si="183"/>
        <x:v>#DIV/0!</x:v>
      </x:c>
      <x:c r="FA84" s="1220" t="e">
        <x:f t="shared" si="184"/>
        <x:v>#DIV/0!</x:v>
      </x:c>
      <x:c r="FB84" s="1115" t="str">
        <x:f t="shared" si="153"/>
        <x:v/>
      </x:c>
      <x:c r="FC84" s="1116" t="str">
        <x:f t="shared" si="154"/>
        <x:v/>
      </x:c>
      <x:c r="FD84" s="614">
        <x:f t="shared" si="155"/>
        <x:v>0</x:v>
      </x:c>
      <x:c r="FE84" s="615">
        <x:f t="shared" si="156"/>
        <x:v>0</x:v>
      </x:c>
      <x:c r="FF84" s="969" t="b">
        <x:f t="shared" si="101"/>
        <x:v>0</x:v>
      </x:c>
      <x:c r="FG84" s="969" t="b">
        <x:f t="shared" si="102"/>
        <x:v>0</x:v>
      </x:c>
      <x:c r="FH84" s="969" t="b">
        <x:f t="shared" si="103"/>
        <x:v>0</x:v>
      </x:c>
      <x:c r="FI84" s="1158" t="b">
        <x:f t="shared" si="104"/>
        <x:v>0</x:v>
      </x:c>
      <x:c r="FJ84" s="1161" t="str">
        <x:f t="shared" si="113"/>
        <x:v/>
      </x:c>
      <x:c r="FK84" s="1160" t="str">
        <x:f t="shared" si="114"/>
        <x:v/>
      </x:c>
      <x:c r="FL84" s="388" t="e">
        <x:f t="shared" si="115"/>
        <x:v>#N/A</x:v>
      </x:c>
      <x:c r="FM84" s="380" t="str">
        <x:f t="shared" si="105"/>
        <x:v/>
      </x:c>
      <x:c r="FN84" s="337" t="str">
        <x:f t="shared" ca="1" si="116"/>
        <x:v/>
      </x:c>
      <x:c r="FO84" s="338" t="str">
        <x:f t="shared" ca="1" si="117"/>
        <x:v/>
      </x:c>
      <x:c r="FP84" s="339" t="str">
        <x:f t="shared" ca="1" si="118"/>
        <x:v/>
      </x:c>
      <x:c r="FQ84" s="339" t="str">
        <x:f t="shared" ca="1" si="119"/>
        <x:v/>
      </x:c>
      <x:c r="FR84" s="389">
        <x:f t="shared" ca="1" si="120"/>
        <x:v>0</x:v>
      </x:c>
      <x:c r="FS84" s="390">
        <x:f t="shared" ca="1" si="121"/>
        <x:v>0</x:v>
      </x:c>
      <x:c r="FT84" s="337" t="str">
        <x:f t="shared" ca="1" si="127"/>
        <x:v/>
      </x:c>
      <x:c r="FU84" s="340" t="str">
        <x:f t="shared" ca="1" si="128"/>
        <x:v/>
      </x:c>
      <x:c r="FV84" s="391" t="str">
        <x:f t="shared" ca="1" si="129"/>
        <x:v/>
      </x:c>
      <x:c r="FW84" s="341" t="str">
        <x:f t="shared" ca="1" si="122"/>
        <x:v/>
      </x:c>
      <x:c r="FX84" s="341" t="str">
        <x:f t="shared" ca="1" si="123"/>
        <x:v/>
      </x:c>
      <x:c r="FY84" s="341" t="str">
        <x:f t="shared" ca="1" si="130"/>
        <x:v/>
      </x:c>
      <x:c r="FZ84" s="341" t="str">
        <x:f t="shared" ca="1" si="124"/>
        <x:v/>
      </x:c>
      <x:c r="GA84" s="341" t="str">
        <x:f t="shared" ca="1" si="131"/>
        <x:v/>
      </x:c>
      <x:c r="GB84" s="342" t="str">
        <x:f ca="1">IF(FY84="","",2+SUM(FO84:OFFSET(FO84,(FU84-1)*-1,0)))</x:f>
        <x:v/>
      </x:c>
      <x:c r="GC84" s="384" t="e">
        <x:f t="shared" si="125"/>
        <x:v>#N/A</x:v>
      </x:c>
      <x:c r="GD84" s="392" t="str">
        <x:f t="shared" si="106"/>
        <x:v/>
      </x:c>
      <x:c r="GE84" s="393" t="str">
        <x:f t="shared" si="107"/>
        <x:v/>
      </x:c>
      <x:c r="GF84" s="343" t="str">
        <x:f t="shared" si="108"/>
        <x:v/>
      </x:c>
      <x:c r="GG84" s="344" t="str">
        <x:f t="shared" si="109"/>
        <x:v/>
      </x:c>
      <x:c r="GH84" s="344" t="str">
        <x:f t="shared" si="110"/>
        <x:v/>
      </x:c>
      <x:c r="GI84" s="345" t="str">
        <x:f t="shared" si="111"/>
        <x:v/>
      </x:c>
      <x:c r="GJ84" s="394">
        <x:f t="shared" ca="1" si="112"/>
        <x:v>0</x:v>
      </x:c>
      <x:c r="GK84" s="1154" t="str">
        <x:f t="shared" ca="1" si="126"/>
        <x:v/>
      </x:c>
    </x:row>
    <x:row r="85" spans="1:238" ht="12.6" hidden="1" customHeight="1" thickBot="1" x14ac:dyDescent="0.25">
      <x:c r="BZ85" s="360"/>
      <x:c r="CA85" s="360"/>
      <x:c r="CB85" s="784" t="str">
        <x:f t="shared" si="132"/>
        <x:v/>
      </x:c>
      <x:c r="CC85" s="785" t="str">
        <x:f>IF(CG45="","",VLOOKUP(CG45,SectInfo!$B:$N,12,FALSE))</x:f>
        <x:v/>
      </x:c>
      <x:c r="CD85" s="1173" t="str">
        <x:f>IF(ISBLANK(CZ45),IF(CG45="","",VLOOKUP(CG45,SectInfo!$B:$N,13,FALSE)),CZ45)</x:f>
        <x:v/>
      </x:c>
      <x:c r="CE85" s="786" t="str">
        <x:f>IF(CG45="","",IF(VLOOKUP(CG45,SectInfo!$B:$N,5,FALSE)="","R",UPPER(VLOOKUP(CG45,SectInfo!$B:$N,5,FALSE))))</x:f>
        <x:v/>
      </x:c>
      <x:c r="CF85" s="1173" t="str">
        <x:f>IF(ISBLANK(DD45),IF(CG45="","",VLOOKUP(CG45,SectInfo!$B:$N,6,FALSE)),DD45)</x:f>
        <x:v/>
      </x:c>
      <x:c r="CG85" s="786" t="str">
        <x:f>IF(CG45="","",IF(VLOOKUP(CG45,SectInfo!$B:$N,10,FALSE)="","",(VLOOKUP(CG45,SectInfo!$B:$N,10,FALSE)*-1)))</x:f>
        <x:v/>
      </x:c>
      <x:c r="CH85" s="786" t="str">
        <x:f>IF(CG45="","",IF(VLOOKUP(CG45,SectInfo!$B:$N,7,FALSE)="","",(VLOOKUP(CG45,SectInfo!$B:$N,7,FALSE)*-1)))</x:f>
        <x:v/>
      </x:c>
      <x:c r="CI85" s="786" t="str">
        <x:f>IF(CG45="","",IF(VLOOKUP(CG45,SectInfo!$B:$N,8,FALSE)="",$FC$4,(VLOOKUP(CG45,SectInfo!$B:$N,8,FALSE))))</x:f>
        <x:v/>
      </x:c>
      <x:c r="CJ85" s="786" t="str">
        <x:f>IF(CG45="","",VLOOKUP(CG45,SectInfo!$B:$N,9,FALSE))</x:f>
        <x:v/>
      </x:c>
      <x:c r="CK85" s="787">
        <x:f t="shared" si="185"/>
        <x:v>0</x:v>
      </x:c>
      <x:c r="CL85" s="785" t="str">
        <x:f>IF(CN45="","",VLOOKUP(CN45,SectInfo!$B:$N,12,FALSE))</x:f>
        <x:v/>
      </x:c>
      <x:c r="CM85" s="1173" t="str">
        <x:f>IF(ISBLANK(DA45),IF(CN45="","",VLOOKUP(CN45,SectInfo!$B:$N,13,FALSE)),DA45)</x:f>
        <x:v/>
      </x:c>
      <x:c r="CN85" s="786" t="str">
        <x:f>IF(CN45="","",IF(VLOOKUP(CN45,SectInfo!$B:$N,5,FALSE)="","R",UPPER(VLOOKUP(CN45,SectInfo!$B:$N,5,FALSE))))</x:f>
        <x:v/>
      </x:c>
      <x:c r="CO85" s="1173" t="str">
        <x:f>IF(ISBLANK(DE45),IF(CN45="","",VLOOKUP(CN45,SectInfo!$B:$N,6,FALSE)),DE45)</x:f>
        <x:v/>
      </x:c>
      <x:c r="CP85" s="786" t="str">
        <x:f>IF(CN45="","",IF(VLOOKUP(CN45,SectInfo!$B:$N,10,FALSE)="","",(VLOOKUP(CN45,SectInfo!$B:$N,10,FALSE)*-1)))</x:f>
        <x:v/>
      </x:c>
      <x:c r="CQ85" s="786" t="str">
        <x:f>IF(CN45="","",IF(VLOOKUP(CN45,SectInfo!$B:$N,7,FALSE)="","",(VLOOKUP(CN45,SectInfo!$B:$N,7,FALSE)*-1)))</x:f>
        <x:v/>
      </x:c>
      <x:c r="CR85" s="786" t="str">
        <x:f>IF(CN45="","",IF(VLOOKUP(CN45,SectInfo!$B:$N,8,FALSE)="",$FC$4,(VLOOKUP(CN45,SectInfo!$B:$N,8,FALSE))))</x:f>
        <x:v/>
      </x:c>
      <x:c r="CS85" s="786" t="str">
        <x:f>IF(CN45="","",VLOOKUP(CN45,SectInfo!$B:$N,9,FALSE))</x:f>
        <x:v/>
      </x:c>
      <x:c r="CT85" s="787">
        <x:f t="shared" si="186"/>
        <x:v>0</x:v>
      </x:c>
      <x:c r="CU85" s="788">
        <x:f t="shared" si="133"/>
        <x:v>0</x:v>
      </x:c>
      <x:c r="CV85" s="348" t="str">
        <x:f t="shared" si="157"/>
        <x:v/>
      </x:c>
      <x:c r="CW85" s="348" t="str">
        <x:f t="shared" si="134"/>
        <x:v/>
      </x:c>
      <x:c r="CX85" s="1117" t="str">
        <x:f t="shared" si="135"/>
        <x:v/>
      </x:c>
      <x:c r="CY85" s="1118">
        <x:f t="shared" si="158"/>
        <x:v>0</x:v>
      </x:c>
      <x:c r="CZ85" s="1118">
        <x:f t="shared" si="136"/>
        <x:v>0</x:v>
      </x:c>
      <x:c r="DA85" s="1118" t="str">
        <x:f t="shared" si="137"/>
        <x:v/>
      </x:c>
      <x:c r="DB85" s="1127" t="str">
        <x:f t="shared" si="159"/>
        <x:v/>
      </x:c>
      <x:c r="DC85" s="1127" t="str">
        <x:f t="shared" si="187"/>
        <x:v/>
      </x:c>
      <x:c r="DD85" s="1119">
        <x:f t="shared" si="160"/>
        <x:v>0</x:v>
      </x:c>
      <x:c r="DE85" s="1117">
        <x:f t="shared" si="161"/>
        <x:v>0</x:v>
      </x:c>
      <x:c r="DF85" s="1118">
        <x:f t="shared" si="138"/>
        <x:v>0</x:v>
      </x:c>
      <x:c r="DG85" s="1118" t="str">
        <x:f t="shared" si="139"/>
        <x:v/>
      </x:c>
      <x:c r="DH85" s="1127" t="str">
        <x:f t="shared" si="162"/>
        <x:v/>
      </x:c>
      <x:c r="DI85" s="1127" t="str">
        <x:f t="shared" si="163"/>
        <x:v/>
      </x:c>
      <x:c r="DJ85" s="1119">
        <x:f t="shared" si="164"/>
        <x:v>0</x:v>
      </x:c>
      <x:c r="DK85" s="1117" t="str">
        <x:f t="shared" si="165"/>
        <x:v/>
      </x:c>
      <x:c r="DL85" s="1117" t="str">
        <x:f t="shared" si="166"/>
        <x:v/>
      </x:c>
      <x:c r="DM85" s="1117" t="str">
        <x:f t="shared" si="140"/>
        <x:v/>
      </x:c>
      <x:c r="DN85" s="1117" t="str">
        <x:f t="shared" si="141"/>
        <x:v/>
      </x:c>
      <x:c r="DO85" s="1127" t="str">
        <x:f t="shared" si="188"/>
        <x:v>ERR</x:v>
      </x:c>
      <x:c r="DP85" s="1127" t="str">
        <x:f t="shared" si="189"/>
        <x:v>ERR</x:v>
      </x:c>
      <x:c r="DQ85" s="1117" t="str">
        <x:f t="shared" si="167"/>
        <x:v/>
      </x:c>
      <x:c r="DR85" s="1117" t="str">
        <x:f t="shared" si="167"/>
        <x:v/>
      </x:c>
      <x:c r="DS85" s="1117" t="str">
        <x:f t="shared" si="168"/>
        <x:v/>
      </x:c>
      <x:c r="DT85" s="1117" t="str">
        <x:f t="shared" si="142"/>
        <x:v/>
      </x:c>
      <x:c r="DU85" s="1117" t="str">
        <x:f t="shared" si="143"/>
        <x:v/>
      </x:c>
      <x:c r="DV85" s="1127" t="str">
        <x:f t="shared" si="190"/>
        <x:v>ERR</x:v>
      </x:c>
      <x:c r="DW85" s="1127" t="str">
        <x:f t="shared" si="191"/>
        <x:v>ERR</x:v>
      </x:c>
      <x:c r="DX85" s="1117" t="str">
        <x:f t="shared" si="169"/>
        <x:v/>
      </x:c>
      <x:c r="DY85" s="1117" t="str">
        <x:f t="shared" si="169"/>
        <x:v/>
      </x:c>
      <x:c r="DZ85" s="1117" t="str">
        <x:f t="shared" si="194"/>
        <x:v/>
      </x:c>
      <x:c r="EA85" s="1117" t="str">
        <x:f t="shared" si="195"/>
        <x:v/>
      </x:c>
      <x:c r="EB85" s="1120" t="str">
        <x:f t="shared" si="144"/>
        <x:v/>
      </x:c>
      <x:c r="EC85" s="1121" t="str">
        <x:f t="shared" si="170"/>
        <x:v/>
      </x:c>
      <x:c r="ED85" s="1120" t="str">
        <x:f t="shared" si="145"/>
        <x:v/>
      </x:c>
      <x:c r="EE85" s="1120" t="str">
        <x:f t="shared" si="171"/>
        <x:v/>
      </x:c>
      <x:c r="EF85" s="1120" t="str">
        <x:f t="shared" si="172"/>
        <x:v/>
      </x:c>
      <x:c r="EG85" s="1120" t="str">
        <x:f t="shared" si="146"/>
        <x:v/>
      </x:c>
      <x:c r="EH85" s="1120" t="str">
        <x:f t="shared" si="173"/>
        <x:v/>
      </x:c>
      <x:c r="EI85" s="1120" t="str">
        <x:f t="shared" si="174"/>
        <x:v/>
      </x:c>
      <x:c r="EJ85" s="1120" t="str">
        <x:f t="shared" si="147"/>
        <x:v/>
      </x:c>
      <x:c r="EK85" s="1118">
        <x:f t="shared" si="175"/>
        <x:v>0</x:v>
      </x:c>
      <x:c r="EL85" s="1118">
        <x:f t="shared" si="176"/>
        <x:v>0</x:v>
      </x:c>
      <x:c r="EM85" s="1118">
        <x:f t="shared" si="148"/>
        <x:v>0</x:v>
      </x:c>
      <x:c r="EN85" s="1118" t="str">
        <x:f t="shared" si="149"/>
        <x:v/>
      </x:c>
      <x:c r="EO85" s="1117" t="str">
        <x:f t="shared" si="177"/>
        <x:v/>
      </x:c>
      <x:c r="EP85" s="1118">
        <x:f t="shared" si="178"/>
        <x:v>0</x:v>
      </x:c>
      <x:c r="EQ85" s="1118">
        <x:f t="shared" si="179"/>
        <x:v>0</x:v>
      </x:c>
      <x:c r="ER85" s="1118">
        <x:f t="shared" si="150"/>
        <x:v>0</x:v>
      </x:c>
      <x:c r="ES85" s="1118" t="str">
        <x:f t="shared" si="151"/>
        <x:v/>
      </x:c>
      <x:c r="ET85" s="1117" t="str">
        <x:f t="shared" si="180"/>
        <x:v/>
      </x:c>
      <x:c r="EU85" s="1117">
        <x:f t="shared" si="152"/>
        <x:v>0</x:v>
      </x:c>
      <x:c r="EV85" s="1120" t="e">
        <x:f t="shared" si="192"/>
        <x:v>#VALUE!</x:v>
      </x:c>
      <x:c r="EW85" s="1120" t="e">
        <x:f t="shared" si="193"/>
        <x:v>#VALUE!</x:v>
      </x:c>
      <x:c r="EX85" s="1200" t="str">
        <x:f t="shared" si="181"/>
        <x:v/>
      </x:c>
      <x:c r="EY85" s="1122" t="e">
        <x:f t="shared" si="182"/>
        <x:v>#DIV/0!</x:v>
      </x:c>
      <x:c r="EZ85" s="1221" t="e">
        <x:f t="shared" si="183"/>
        <x:v>#DIV/0!</x:v>
      </x:c>
      <x:c r="FA85" s="1222" t="e">
        <x:f t="shared" si="184"/>
        <x:v>#DIV/0!</x:v>
      </x:c>
      <x:c r="FB85" s="1123" t="str">
        <x:f t="shared" si="153"/>
        <x:v/>
      </x:c>
      <x:c r="FC85" s="1124" t="str">
        <x:f t="shared" si="154"/>
        <x:v/>
      </x:c>
      <x:c r="FD85" s="616">
        <x:f t="shared" si="155"/>
        <x:v>0</x:v>
      </x:c>
      <x:c r="FE85" s="617">
        <x:f t="shared" si="156"/>
        <x:v>0</x:v>
      </x:c>
      <x:c r="FF85" s="969" t="b">
        <x:f t="shared" si="101"/>
        <x:v>0</x:v>
      </x:c>
      <x:c r="FG85" s="969" t="b">
        <x:f t="shared" si="102"/>
        <x:v>0</x:v>
      </x:c>
      <x:c r="FH85" s="969" t="b">
        <x:f t="shared" si="103"/>
        <x:v>0</x:v>
      </x:c>
      <x:c r="FI85" s="1158" t="b">
        <x:f t="shared" si="104"/>
        <x:v>0</x:v>
      </x:c>
      <x:c r="FJ85" s="1161" t="str">
        <x:f t="shared" si="113"/>
        <x:v/>
      </x:c>
      <x:c r="FK85" s="1160" t="str">
        <x:f t="shared" si="114"/>
        <x:v/>
      </x:c>
      <x:c r="FL85" s="395" t="e">
        <x:f t="shared" si="115"/>
        <x:v>#N/A</x:v>
      </x:c>
      <x:c r="FM85" s="396" t="str">
        <x:f t="shared" si="105"/>
        <x:v/>
      </x:c>
      <x:c r="FN85" s="346" t="str">
        <x:f t="shared" ca="1" si="116"/>
        <x:v/>
      </x:c>
      <x:c r="FO85" s="347" t="str">
        <x:f t="shared" ca="1" si="117"/>
        <x:v/>
      </x:c>
      <x:c r="FP85" s="348" t="str">
        <x:f t="shared" ca="1" si="118"/>
        <x:v/>
      </x:c>
      <x:c r="FQ85" s="348" t="str">
        <x:f t="shared" ca="1" si="119"/>
        <x:v/>
      </x:c>
      <x:c r="FR85" s="397">
        <x:f t="shared" ca="1" si="120"/>
        <x:v>0</x:v>
      </x:c>
      <x:c r="FS85" s="398">
        <x:f t="shared" ca="1" si="121"/>
        <x:v>0</x:v>
      </x:c>
      <x:c r="FT85" s="346" t="str">
        <x:f t="shared" ca="1" si="127"/>
        <x:v/>
      </x:c>
      <x:c r="FU85" s="349" t="str">
        <x:f t="shared" ca="1" si="128"/>
        <x:v/>
      </x:c>
      <x:c r="FV85" s="399" t="str">
        <x:f t="shared" ca="1" si="129"/>
        <x:v/>
      </x:c>
      <x:c r="FW85" s="350" t="str">
        <x:f t="shared" ca="1" si="122"/>
        <x:v/>
      </x:c>
      <x:c r="FX85" s="350" t="str">
        <x:f t="shared" ca="1" si="123"/>
        <x:v/>
      </x:c>
      <x:c r="FY85" s="350" t="str">
        <x:f t="shared" ca="1" si="130"/>
        <x:v/>
      </x:c>
      <x:c r="FZ85" s="350" t="str">
        <x:f t="shared" ca="1" si="124"/>
        <x:v/>
      </x:c>
      <x:c r="GA85" s="350" t="str">
        <x:f t="shared" ca="1" si="131"/>
        <x:v/>
      </x:c>
      <x:c r="GB85" s="351" t="str">
        <x:f ca="1">IF(FY85="","",2+SUM(FO85:OFFSET(FO85,(FU85-1)*-1,0)))</x:f>
        <x:v/>
      </x:c>
      <x:c r="GC85" s="400" t="e">
        <x:f t="shared" si="125"/>
        <x:v>#N/A</x:v>
      </x:c>
      <x:c r="GD85" s="401" t="str">
        <x:f t="shared" si="106"/>
        <x:v/>
      </x:c>
      <x:c r="GE85" s="402" t="str">
        <x:f t="shared" si="107"/>
        <x:v/>
      </x:c>
      <x:c r="GF85" s="352" t="str">
        <x:f t="shared" si="108"/>
        <x:v/>
      </x:c>
      <x:c r="GG85" s="353" t="str">
        <x:f t="shared" si="109"/>
        <x:v/>
      </x:c>
      <x:c r="GH85" s="353" t="str">
        <x:f t="shared" si="110"/>
        <x:v/>
      </x:c>
      <x:c r="GI85" s="354" t="str">
        <x:f t="shared" si="111"/>
        <x:v/>
      </x:c>
      <x:c r="GJ85" s="403">
        <x:f ca="1">IF(FY85="",FM46,(FY85-(FQ85+VLOOKUP(FK85,$CB$54:$EU$85,12,FALSE)-VLOOKUP(FK85,$CB$54:$EU$85,34,FALSE))/COS(VLOOKUP(FK85,$CB$54:$EU$85,72,FALSE)))/2)</x:f>
        <x:v>0</x:v>
      </x:c>
      <x:c r="GK85" s="1155" t="str">
        <x:f t="shared" ca="1" si="126"/>
        <x:v/>
      </x:c>
    </x:row>
    <x:row r="86" spans="1:238" ht="12.6" hidden="1" customHeight="1" x14ac:dyDescent="0.2">
      <x:c r="Z86" s="1464"/>
      <x:c r="AA86" s="1464"/>
      <x:c r="AB86" s="1464"/>
    </x:row>
    <x:row r="87" spans="1:238" ht="12.6" hidden="1" customHeight="1" x14ac:dyDescent="0.25">
      <x:c r="A87" s="1583" t="str">
        <x:f>IF(ISBLANK(CB87),"",CB87)</x:f>
        <x:v/>
      </x:c>
      <x:c r="B87" s="1584" t="str">
        <x:f>IF(ISBLANK(CC87),"",CC87)</x:f>
        <x:v/>
      </x:c>
      <x:c r="C87" s="1585" t="str">
        <x:f>IF(ISBLANK(CD87),"",CD87)</x:f>
        <x:v/>
      </x:c>
      <x:c r="D87" s="1586" t="str">
        <x:f>IF(CV127="","",TRUNC(CV127/12))</x:f>
        <x:v/>
      </x:c>
      <x:c r="E87" s="1587" t="str">
        <x:f>IF(CV127="","",CV127-(D87*12))</x:f>
        <x:v/>
      </x:c>
      <x:c r="F87" s="1588" t="str">
        <x:f>IF(ISBLANK(CY87),"",CY87)</x:f>
        <x:v/>
      </x:c>
      <x:c r="G87" s="1589" t="str">
        <x:f>IF(DD127=0,"",TRUNC(DD127/12))</x:f>
        <x:v/>
      </x:c>
      <x:c r="H87" s="1590" t="str">
        <x:f>IF(DD127=0,"",DD127-(G87*12))</x:f>
        <x:v/>
      </x:c>
      <x:c r="I87" s="1591" t="str">
        <x:f>IF(DD127=0,"",CE127)</x:f>
        <x:v/>
      </x:c>
      <x:c r="J87" s="1586" t="str">
        <x:f>IF(DJ127=0,"",TRUNC(DJ127/12))</x:f>
        <x:v/>
      </x:c>
      <x:c r="K87" s="1590" t="str">
        <x:f>IF(DJ127=0,"",DJ127-(J87*12))</x:f>
        <x:v/>
      </x:c>
      <x:c r="L87" s="1592" t="str">
        <x:f>IF(DJ127=0,"",CN127)</x:f>
        <x:v/>
      </x:c>
      <x:c r="M87" s="1593" t="str">
        <x:f>IF(CW127="","",CW127)</x:f>
        <x:v/>
      </x:c>
      <x:c r="N87" s="1594" t="str">
        <x:f>IF(CX127="","",CX127)</x:f>
        <x:v/>
      </x:c>
      <x:c r="O87" s="1589" t="str">
        <x:f>IF(DZ127="","",IF(AND(DZ127&gt;-12,DZ127&lt;0),-0.000001,TRUNC(DZ127/12)))</x:f>
        <x:v/>
      </x:c>
      <x:c r="P87" s="1590" t="str">
        <x:f>IF(DZ127="","",IF(AND(DZ127&lt;0,DZ127-(O87*12)=0),-0.00001,DZ127-(O87*12)))</x:f>
        <x:v/>
      </x:c>
      <x:c r="Q87" s="1586" t="str">
        <x:f>IF(EA127="","",IF(AND(EA127&gt;-12,EA127&lt;0),-0.000001,TRUNC(EA127/12)))</x:f>
        <x:v/>
      </x:c>
      <x:c r="R87" s="1587" t="str">
        <x:f>IF(EA127="","",IF(AND(EA127&lt;0,EA127-(Q87*12)=0),-0.00001,EA127-(Q87*12)))</x:f>
        <x:v/>
      </x:c>
      <x:c r="S87" s="1595" t="str">
        <x:f>IF(DR127="","",IF(DR127="ERR",TRUNC(DQ127/12),TRUNC(DR127/12)))</x:f>
        <x:v/>
      </x:c>
      <x:c r="T87" s="1590" t="str">
        <x:f>IF(DR127="","",IF(DR127="ERR",DQ127-(S87*12),DR127-(S87*12)))</x:f>
        <x:v/>
      </x:c>
      <x:c r="U87" s="1586" t="str">
        <x:f>IF(DY127="","",IF(DY127="ERR",TRUNC(DX127/12),TRUNC(DY127/12)))</x:f>
        <x:v/>
      </x:c>
      <x:c r="V87" s="1590" t="str">
        <x:f>IF(DY127="","",IF(DY127="ERR",DX127-(U87*12),DY127-(U87*12)))</x:f>
        <x:v/>
      </x:c>
      <x:c r="W87" s="1594">
        <x:f>IF(EC127="",0,EC127)</x:f>
        <x:v>0</x:v>
      </x:c>
      <x:c r="X87" s="1596" t="str">
        <x:f>IF(EN127="","",EN127)</x:f>
        <x:v/>
      </x:c>
      <x:c r="Y87" s="1597" t="str">
        <x:f>IF(ES127="","",ES127)</x:f>
        <x:v/>
      </x:c>
      <x:c r="Z87" s="1604" t="str">
        <x:f>CONCATENATE(IF(CW87="","",CONCATENATE("[",SUBSTITUTE(CW87," ",""),"] ")),IF(CV87="","",CONCATENATE("(",SUBSTITUTE(CV87," ",""),")")))</x:f>
        <x:v/>
      </x:c>
      <x:c r="AA87" s="1598" t="str">
        <x:f>IF(ISBLANK(CX87),"",CX87)</x:f>
        <x:v/>
      </x:c>
      <x:c r="AB87" s="1264" t="str">
        <x:f>IF(ISBLANK(DH87),"",DH87)</x:f>
        <x:v/>
      </x:c>
      <x:c r="AC87" s="1260" t="str">
        <x:f>IF(ISBLANK(DI87),"",DI87)</x:f>
        <x:v/>
      </x:c>
      <x:c r="AD87" s="1261" t="str">
        <x:f>IF(FV127="","",TRUNC(FV127/12))</x:f>
        <x:v/>
      </x:c>
      <x:c r="AE87" s="1262" t="str">
        <x:f>IF(FV127="","",FV127-(AD87*12))</x:f>
        <x:v/>
      </x:c>
      <x:c r="AF87" s="1260" t="str">
        <x:f>IF(FO127="","",FO127)</x:f>
        <x:v/>
      </x:c>
      <x:c r="AG87" s="1261" t="str">
        <x:f>IF(FX127="","",TRUNC(FX127/12))</x:f>
        <x:v/>
      </x:c>
      <x:c r="AH87" s="1262" t="str">
        <x:f>IF(FX127="","",FX127-(AG87*12))</x:f>
        <x:v/>
      </x:c>
      <x:c r="AI87" s="1261" t="str">
        <x:f>IF(FZ127="","",TRUNC(FZ127/12))</x:f>
        <x:v/>
      </x:c>
      <x:c r="AJ87" s="1262" t="str">
        <x:f>IF(FZ127="","",FZ127-(AI87*12))</x:f>
        <x:v/>
      </x:c>
      <x:c r="AK87" s="1599" t="str">
        <x:f>IF(ISBLANK(DO87),"",DO87)</x:f>
        <x:v/>
      </x:c>
      <x:c r="AL87" s="1600" t="str">
        <x:f>IF(ISBLANK(DP87),"",DP87)</x:f>
        <x:v/>
      </x:c>
      <x:c r="AM87" s="1601" t="str">
        <x:f>IF(ISBLANK(DQ87),"",DQ87)</x:f>
        <x:v/>
      </x:c>
      <x:c r="AN87" s="1260" t="str">
        <x:f>IF(ISBLANK(DR87),"",DR87)</x:f>
        <x:v/>
      </x:c>
      <x:c r="AO87" s="1409" t="str">
        <x:f>IF(ISBLANK(DS87),"",DS87)</x:f>
        <x:v/>
      </x:c>
      <x:c r="AP87" s="1327" t="str">
        <x:f>IF(OR(GD127="",GD127=0),"",GD127)</x:f>
        <x:v/>
      </x:c>
      <x:c r="AQ87" s="1602" t="str">
        <x:f>IF(OR(GE127="",GE127=0),"",GE127)</x:f>
        <x:v/>
      </x:c>
      <x:c r="AR87" s="1263" t="str">
        <x:f>IF(GF127="","",IF(ISTEXT(GF127),"P",TRUNC(GF127/12)))</x:f>
        <x:v/>
      </x:c>
      <x:c r="AS87" s="1262" t="str">
        <x:f>IF(GF127="","",IF(AR87="P",GF127,GF127-(AR87*12)))</x:f>
        <x:v/>
      </x:c>
      <x:c r="AT87" s="1603" t="str">
        <x:f>IF(ISBLANK(DX87),"",DX87)</x:f>
        <x:v/>
      </x:c>
      <x:c r="AU87" s="1410" t="str">
        <x:f>IF(ISBLANK(DY87),"",DY87)</x:f>
        <x:v/>
      </x:c>
      <x:c r="AV87" s="1328" t="str">
        <x:f>IF(GG127="","",IF(ISTEXT(GG127),"P",TRUNC(GG127/12)))</x:f>
        <x:v/>
      </x:c>
      <x:c r="AW87" s="1262" t="str">
        <x:f>IF(GG127="","",IF(AV87="P",GG127,GG127-(AV87*12)))</x:f>
        <x:v/>
      </x:c>
      <x:c r="AX87" s="1603" t="str">
        <x:f>IF(ISBLANK(EB87),"",EB87)</x:f>
        <x:v/>
      </x:c>
      <x:c r="AY87" s="1410" t="str">
        <x:f>IF(ISBLANK(EC87),"",EC87)</x:f>
        <x:v/>
      </x:c>
      <x:c r="AZ87" s="1328" t="str">
        <x:f>IF(GH127="","",IF(ISTEXT(GH127),"P",TRUNC(GH127/12)))</x:f>
        <x:v/>
      </x:c>
      <x:c r="BA87" s="1262" t="str">
        <x:f>IF(GH127="","",IF(AZ87="P",GH127,GH127-(AZ87*12)))</x:f>
        <x:v/>
      </x:c>
      <x:c r="BB87" s="1603" t="str">
        <x:f>IF(ISBLANK(EF87),"",EF87)</x:f>
        <x:v/>
      </x:c>
      <x:c r="BC87" s="1410" t="str">
        <x:f>IF(ISBLANK(EG87),"",EG87)</x:f>
        <x:v/>
      </x:c>
      <x:c r="BD87" s="1328" t="str">
        <x:f>IF(GI127="","",IF(ISTEXT(GI127),"P",TRUNC(GI127/12)))</x:f>
        <x:v/>
      </x:c>
      <x:c r="BE87" s="1262" t="str">
        <x:f>IF(GI127="","",IF(BD87="P",GI127,GI127-(BD87*12)))</x:f>
        <x:v/>
      </x:c>
      <x:c r="BF87" s="1603" t="str">
        <x:f>IF(ISBLANK(EJ87),"",EJ87)</x:f>
        <x:v/>
      </x:c>
      <x:c r="BG87" s="1410" t="str">
        <x:f>IF(ISBLANK(EK87),"",EK87)</x:f>
        <x:v/>
      </x:c>
      <x:c r="BH87" s="322">
        <x:v>12.5</x:v>
      </x:c>
      <x:c r="BJ87" s="1258" t="str">
        <x:f>IF(AND(OR(ISBLANK(A87),A87=""),Z87&lt;&gt;""),BJ86,IF(OR(ISBLANK(A87),A87=""),"",A87))</x:f>
        <x:v/>
      </x:c>
      <x:c r="BK87" s="1256" t="b">
        <x:f>IF($BK$1,IF(BJ87=BJ86,BK86,IF(AND(BJ87&lt;&gt;"",OR(B87=0,B87="")),TRUE,FALSE)),FALSE)</x:f>
        <x:v>0</x:v>
      </x:c>
      <x:c r="BL87" s="1251" t="b">
        <x:v>0</x:v>
      </x:c>
      <x:c r="BM87" s="1251">
        <x:f>IF(C87="",0,VALUE(IF(BN87="","",LEFT(C87,SEARCH(BN87,C87)-1))))</x:f>
        <x:v>0</x:v>
      </x:c>
      <x:c r="BN87" s="1251">
        <x:f>IF(C87="",0,IF(NOT(ISERROR(SEARCH("VG",C87))),"VG",IF(NOT(ISERROR(SEARCH("BG",C87))),"BG",IF(NOT(ISERROR(SEARCH("G",C87))),"G"))))</x:f>
        <x:v>0</x:v>
      </x:c>
      <x:c r="BO87" s="1251">
        <x:f>IF(C87="",0,VALUE(MID(C87,SEARCH(BN87,C87)+LEN(BN87),SEARCH("N",C87)-SEARCH(BN87,C87)-LEN(BN87))))</x:f>
        <x:v>0</x:v>
      </x:c>
      <x:c r="BP87" s="1251">
        <x:f>IF(ISERROR(SEARCH("F",C87)),IF(C87="",0,VALUE(MID(C87,SEARCH("N",C87)+1,SEARCH("K",C87)-SEARCH("N",C87)-1))),IF(C87="",0,VALUE(MID(C87,SEARCH("N",C87)+1,SEARCH("F",C87)-SEARCH("N",C87)-1))))</x:f>
        <x:v>0</x:v>
      </x:c>
      <x:c r="BQ87" s="1251">
        <x:f>IF(ISERROR(SEARCH("F",C87)),IF(C87="",0,IF(SEARCH("K",C87)=LEN(C87),0,VALUE(MID(C87,SEARCH("K",C87)+1,LEN(C87))))),IF(C87="",0,IF(SEARCH("F",C87)=LEN(C87),0,VALUE(MID(C87,SEARCH("F",C87)+1,LEN(C87))))))</x:f>
        <x:v>0</x:v>
      </x:c>
      <x:c r="BR87" s="1251" t="b">
        <x:f>IF(OR(ISERROR(BM87),ISERROR(BN87),ISERROR(BO87),ISERROR(BP87),ISERROR(BQ87)),FALSE,TRUE)</x:f>
        <x:v>1</x:v>
      </x:c>
      <x:c r="BS87" s="1252">
        <x:f>6+IF(LEFT(I87,1)="R",IF(ISNUMBER(G87),G87*12,0)+IF(ISNUMBER(H87),H87,0),0)</x:f>
        <x:v>6</x:v>
      </x:c>
      <x:c r="BT87" s="1252" t="str">
        <x:f>IF(IF(ISNUMBER(S87),S87*12,0)+IF(ISNUMBER(T87),T87,0)&gt;0,IF(AND(IF(ISNUMBER(S87),S87*12,0)+IF(ISNUMBER(T87),T87,0)&gt;=1.25,IF(ISNUMBER(S87),S87*12,0)+IF(ISNUMBER(T87),T87,0)&lt;=(BS87-1.25)+IF(I87="X",2,0)),"Yes","No"),"No")</x:f>
        <x:v>No</x:v>
      </x:c>
      <x:c r="BU87" s="1252">
        <x:f>6+IF(LEFT(L87,1)="R",IF(ISNUMBER(J87),J87*12,0)+IF(ISNUMBER(K87),K87,0),0)</x:f>
        <x:v>6</x:v>
      </x:c>
      <x:c r="BV87" s="1252" t="str">
        <x:f>IF(IF(ISNUMBER(U87),U87*12,0)+IF(ISNUMBER(V87),V87,0)&gt;0,IF(AND(IF(ISNUMBER(U87),U87*12,0)+IF(ISNUMBER(V87),V87,0)&gt;=1.25,IF(ISNUMBER(U87),U87*12,0)+IF(ISNUMBER(V87),V87,0)&lt;=(BU87-1.25)+IF(L87="X",2,0)),"Yes","No"),"No")</x:f>
        <x:v>No</x:v>
      </x:c>
      <x:c r="BW87" s="1253">
        <x:f>IF(AB87="",0,1)+IF(AC87="",0,1)+IF(AD87="",0,1)+IF(AE87="",0,1)+IF(AF87="",0,1)+IF(AG87="",0,1)+IF(AH87="",0,1)+IF(AI87="",0,1)+IF(AJ87="",0,1)+IF(AK87="",0,1)+IF(AL87="",0,1)+IF(AM87="",0,1)+IF(AN87="",0,1)+IF(AO87="",0,1)+IF(AP87="",0,1)+IF(AQ87="",0,1)+IF(AR87="",0,1)+IF(AS87="",0,1)+IF(AT87="",0,1)+IF(AU87="",0,1)+IF(AV87="",0,1)+IF(AW87="",0,1)+IF(AX87="",0,1)+IF(AY87="",0,1)+IF(AZ87="",0,1)+IF(BA87="",0,1)+IF(BB87="",0,1)+IF(BC87="",0,1)+IF(BD87="",0,1)+IF(BE87="",0,1)+IF(BF87="",0,1)+IF(BG87="",0,1)</x:f>
        <x:v>0</x:v>
      </x:c>
      <x:c r="BX87" s="1254" t="str">
        <x:f>IF(AND(AB87="",BW87&gt;0),BX86,IF(ISBLANK(AB87),"",AB87))</x:f>
        <x:v/>
      </x:c>
      <x:c r="BY87" s="1254" t="b">
        <x:f>IF(ISERROR(VLOOKUP(BX87,$BJ$14:$BL$45,3,FALSE)),FALSE,VLOOKUP(BX87,$BJ$14:$BL$45,3,FALSE))</x:f>
        <x:v>0</x:v>
      </x:c>
      <x:c r="BZ87" s="1255" t="b">
        <x:f>IF($BK$1,IF(BX87="",FALSE,IF(ISERROR(VLOOKUP(BX87,$A$28:$B$45,2,FALSE)),FALSE,IF(VLOOKUP(BX87,$A$28:$B$45,2,FALSE)=0,TRUE,FALSE))))</x:f>
        <x:v>0</x:v>
      </x:c>
      <x:c r="CA87" s="138"/>
      <x:c r="FU87" s="2"/>
      <x:c r="FV87" s="2"/>
      <x:c r="FW87" s="2"/>
      <x:c r="FX87" s="2"/>
      <x:c r="FY87" s="2"/>
      <x:c r="FZ87" s="2"/>
      <x:c r="GG87" s="324"/>
      <x:c r="GH87" s="325">
        <x:f>IF(D87="",0,D87*12+E87)</x:f>
        <x:v>0</x:v>
      </x:c>
      <x:c r="GI87" s="326" t="e">
        <x:f>(GA48*12+GB48+GC48+GD48)/COS(ATAN(ABS(GE48/12)))</x:f>
        <x:v>#VALUE!</x:v>
      </x:c>
      <x:c r="GJ87" s="327" t="e">
        <x:f>IF(ABS(GH87-GI87)&gt;=0.125,ABS(GH87-GI87),0)</x:f>
        <x:v>#VALUE!</x:v>
      </x:c>
      <x:c r="GK87" s="2"/>
      <x:c r="GL87" s="171"/>
      <x:c r="GM87" s="171"/>
      <x:c r="GR87" s="253"/>
      <x:c r="GS87" s="254"/>
      <x:c r="GT87" s="255"/>
      <x:c r="GU87" s="256"/>
      <x:c r="GV87" s="257"/>
      <x:c r="GW87" s="258"/>
      <x:c r="GX87" s="259"/>
      <x:c r="GY87" s="260"/>
      <x:c r="GZ87" s="259"/>
      <x:c r="HA87" s="260"/>
      <x:c r="HB87" s="261"/>
      <x:c r="HC87" s="262"/>
      <x:c r="HD87" s="258"/>
      <x:c r="HE87" s="259"/>
      <x:c r="HF87" s="260"/>
      <x:c r="HG87" s="259"/>
      <x:c r="HH87" s="260"/>
      <x:c r="HI87" s="261"/>
      <x:c r="HJ87" s="262"/>
      <x:c r="HK87" s="263"/>
      <x:c r="HL87" s="253"/>
      <x:c r="HM87" s="274"/>
      <x:c r="HN87" s="275"/>
      <x:c r="HO87" s="276"/>
      <x:c r="HP87" s="187">
        <x:f ca="1">IF(IZ87&lt;&gt;"",1,IF(HP86=0,0,IF(OFFSET(IZ87,HP86*-1,0)&lt;HP86+1,0,HP86+1)))</x:f>
        <x:v>0</x:v>
      </x:c>
      <x:c r="HQ87" s="187"/>
      <x:c r="HR87" s="187"/>
      <x:c r="HS87" s="187"/>
      <x:c r="HT87" s="187"/>
      <x:c r="HU87" s="187"/>
      <x:c r="HV87" s="253"/>
      <x:c r="HW87" s="267"/>
      <x:c r="HX87" s="268"/>
      <x:c r="HY87" s="269"/>
      <x:c r="HZ87" s="676"/>
      <x:c r="IA87" s="270"/>
      <x:c r="IB87" s="271"/>
      <x:c r="IC87" s="272"/>
      <x:c r="ID87" s="273"/>
    </x:row>
    <x:row r="88" spans="1:238" ht="12.6" hidden="1" customHeight="1" x14ac:dyDescent="0.2">
      <x:c r="Z88" s="1465"/>
    </x:row>
    <x:row r="89" spans="1:238" ht="12.75" customHeight="1" x14ac:dyDescent="0.2">
      <x:c r="B89" s="649" t="s">
        <x:v>762</x:v>
      </x:c>
    </x:row>
    <x:row r="92" spans="1:238" ht="13.5" customHeight="1" x14ac:dyDescent="0.2"/>
  </x:sheetData>
  <x:sheetProtection algorithmName="SHA-512" hashValue="Tp0UhRXhnhb9PTUZGZOWaJ9rY7HsqP2+B+OwUlmWIIr/8SV/2w/AhIHkXi1NGta1Detv1o0AROTQv7jP0o++3Q==" saltValue="1Mjh++ggJTMsMSBQsNmxDg==" spinCount="100000" sheet="1" objects="1" scenarios="1" selectLockedCells="1"/>
  <x:mergeCells count="393">
    <x:mergeCell ref="Q1:T1"/>
    <x:mergeCell ref="W1:Y1"/>
    <x:mergeCell ref="AU1:AX1"/>
    <x:mergeCell ref="BA1:BC1"/>
    <x:mergeCell ref="BD1:BF1"/>
    <x:mergeCell ref="Q2:T3"/>
    <x:mergeCell ref="W2:Y2"/>
    <x:mergeCell ref="AU2:AX3"/>
    <x:mergeCell ref="BA2:BC2"/>
    <x:mergeCell ref="BD2:BF2"/>
    <x:mergeCell ref="IO2:IT2"/>
    <x:mergeCell ref="IU2:JJ2"/>
    <x:mergeCell ref="JK2:JK3"/>
    <x:mergeCell ref="W3:Y3"/>
    <x:mergeCell ref="BA3:BC3"/>
    <x:mergeCell ref="BD3:BF3"/>
    <x:mergeCell ref="FG3:FI3"/>
    <x:mergeCell ref="HG3:HH3"/>
    <x:mergeCell ref="HJ3:HK3"/>
    <x:mergeCell ref="HS3:HT3"/>
    <x:mergeCell ref="IA2:IA3"/>
    <x:mergeCell ref="IF2:IF3"/>
    <x:mergeCell ref="IG2:IH3"/>
    <x:mergeCell ref="II2:IK2"/>
    <x:mergeCell ref="IL2:IM3"/>
    <x:mergeCell ref="IN2:IN3"/>
    <x:mergeCell ref="IJ3:IK3"/>
    <x:mergeCell ref="HJ2:HL2"/>
    <x:mergeCell ref="HM2:HN2"/>
    <x:mergeCell ref="HO2:HP3"/>
    <x:mergeCell ref="HQ2:HR3"/>
    <x:mergeCell ref="HS2:HW2"/>
    <x:mergeCell ref="HX2:HY2"/>
    <x:mergeCell ref="HU3:HV3"/>
    <x:mergeCell ref="IU3:IV3"/>
    <x:mergeCell ref="IY3:IZ3"/>
    <x:mergeCell ref="JC3:JD3"/>
    <x:mergeCell ref="JG3:JH3"/>
    <x:mergeCell ref="Q4:T4"/>
    <x:mergeCell ref="W4:Y4"/>
    <x:mergeCell ref="AU4:AX4"/>
    <x:mergeCell ref="BA4:BC4"/>
    <x:mergeCell ref="BD4:BF4"/>
    <x:mergeCell ref="HA4:HA5"/>
    <x:mergeCell ref="HA2:HA3"/>
    <x:mergeCell ref="HB2:HB3"/>
    <x:mergeCell ref="HC2:HC3"/>
    <x:mergeCell ref="HD2:HE3"/>
    <x:mergeCell ref="HF2:HF3"/>
    <x:mergeCell ref="HG2:HI2"/>
    <x:mergeCell ref="HK4:HK5"/>
    <x:mergeCell ref="HL4:HL5"/>
    <x:mergeCell ref="HM4:HM5"/>
    <x:mergeCell ref="HN4:HO5"/>
    <x:mergeCell ref="HP4:HQ5"/>
    <x:mergeCell ref="HR4:HR5"/>
    <x:mergeCell ref="HB4:HB5"/>
    <x:mergeCell ref="HC4:HC5"/>
    <x:mergeCell ref="JK4:JK5"/>
    <x:mergeCell ref="A5:L5"/>
    <x:mergeCell ref="AB5:AQ5"/>
    <x:mergeCell ref="M6:T6"/>
    <x:mergeCell ref="V6:W6"/>
    <x:mergeCell ref="X6:Y6"/>
    <x:mergeCell ref="AZ6:BA6"/>
    <x:mergeCell ref="BB6:BD6"/>
    <x:mergeCell ref="DH6:EK8"/>
    <x:mergeCell ref="IZ4:IZ5"/>
    <x:mergeCell ref="JA4:JB4"/>
    <x:mergeCell ref="JC4:JC5"/>
    <x:mergeCell ref="JD4:JD5"/>
    <x:mergeCell ref="JE4:JF4"/>
    <x:mergeCell ref="JG4:JG5"/>
    <x:mergeCell ref="IQ4:IR4"/>
    <x:mergeCell ref="IS4:IT4"/>
    <x:mergeCell ref="IU4:IU5"/>
    <x:mergeCell ref="IV4:IV5"/>
    <x:mergeCell ref="IW4:IX4"/>
    <x:mergeCell ref="HY4:HY5"/>
    <x:mergeCell ref="HI4:HJ5"/>
    <x:mergeCell ref="HS4:HS5"/>
    <x:mergeCell ref="JH4:JH5"/>
    <x:mergeCell ref="K7:L7"/>
    <x:mergeCell ref="M7:S7"/>
    <x:mergeCell ref="V7:W7"/>
    <x:mergeCell ref="AZ7:BA7"/>
    <x:mergeCell ref="A8:AA8"/>
    <x:mergeCell ref="AB8:BG8"/>
    <x:mergeCell ref="AU10:AW10"/>
    <x:mergeCell ref="AU9:AW9"/>
    <x:mergeCell ref="AX9:BG9"/>
    <x:mergeCell ref="AX10:BA10"/>
    <x:mergeCell ref="BB10:BD10"/>
    <x:mergeCell ref="BE10:BG10"/>
    <x:mergeCell ref="A9:B9"/>
    <x:mergeCell ref="C9:P9"/>
    <x:mergeCell ref="Q9:S9"/>
    <x:mergeCell ref="T9:AA9"/>
    <x:mergeCell ref="C10:P10"/>
    <x:mergeCell ref="IY4:IY5"/>
    <x:mergeCell ref="IJ4:IK5"/>
    <x:mergeCell ref="IL4:IL5"/>
    <x:mergeCell ref="IM4:IM5"/>
    <x:mergeCell ref="HT4:HT5"/>
    <x:mergeCell ref="HU4:HV4"/>
    <x:mergeCell ref="HW4:HW5"/>
    <x:mergeCell ref="HX4:HX5"/>
    <x:mergeCell ref="DP9:DU11"/>
    <x:mergeCell ref="IN4:IN5"/>
    <x:mergeCell ref="IO4:IO5"/>
    <x:mergeCell ref="IP4:IP5"/>
    <x:mergeCell ref="HZ4:HZ5"/>
    <x:mergeCell ref="IA4:IB4"/>
    <x:mergeCell ref="IC4:ID4"/>
    <x:mergeCell ref="IF4:IF5"/>
    <x:mergeCell ref="IG4:IH5"/>
    <x:mergeCell ref="II4:II5"/>
    <x:mergeCell ref="DV9:EK11"/>
    <x:mergeCell ref="HD4:HE5"/>
    <x:mergeCell ref="HF4:HF5"/>
    <x:mergeCell ref="HG4:HH5"/>
    <x:mergeCell ref="AK12:AK13"/>
    <x:mergeCell ref="AL12:AQ12"/>
    <x:mergeCell ref="AR12:BG12"/>
    <x:mergeCell ref="BW12:BZ12"/>
    <x:mergeCell ref="DI12:DI13"/>
    <x:mergeCell ref="Q10:S10"/>
    <x:mergeCell ref="T10:W10"/>
    <x:mergeCell ref="X10:Y10"/>
    <x:mergeCell ref="AB9:AD9"/>
    <x:mergeCell ref="AE9:AT9"/>
    <x:mergeCell ref="DH9:DH13"/>
    <x:mergeCell ref="DI9:DN11"/>
    <x:mergeCell ref="DL12:DL13"/>
    <x:mergeCell ref="DJ12:DK13"/>
    <x:mergeCell ref="A11:AA11"/>
    <x:mergeCell ref="AB12:AB13"/>
    <x:mergeCell ref="AC12:AC13"/>
    <x:mergeCell ref="AD12:AE13"/>
    <x:mergeCell ref="AF12:AH12"/>
    <x:mergeCell ref="AI12:AJ13"/>
    <x:mergeCell ref="Z10:AA10"/>
    <x:mergeCell ref="AB10:AD10"/>
    <x:mergeCell ref="AE10:AT10"/>
    <x:mergeCell ref="A10:B10"/>
    <x:mergeCell ref="DV12:DW12"/>
    <x:mergeCell ref="DX12:DX13"/>
    <x:mergeCell ref="DY12:DY13"/>
    <x:mergeCell ref="DZ12:EA12"/>
    <x:mergeCell ref="EB12:EB13"/>
    <x:mergeCell ref="EC12:EC13"/>
    <x:mergeCell ref="DM12:DN13"/>
    <x:mergeCell ref="DP12:DP13"/>
    <x:mergeCell ref="DQ12:DQ13"/>
    <x:mergeCell ref="DR12:DR13"/>
    <x:mergeCell ref="DS12:DS13"/>
    <x:mergeCell ref="DT12:DU12"/>
    <x:mergeCell ref="DO9:DO13"/>
    <x:mergeCell ref="EM12:EM13"/>
    <x:mergeCell ref="IE12:IE13"/>
    <x:mergeCell ref="IF12:IF13"/>
    <x:mergeCell ref="IG12:IG13"/>
    <x:mergeCell ref="IH12:IH13"/>
    <x:mergeCell ref="II12:II13"/>
    <x:mergeCell ref="ED12:EE12"/>
    <x:mergeCell ref="EF12:EF13"/>
    <x:mergeCell ref="EG12:EG13"/>
    <x:mergeCell ref="EH12:EI12"/>
    <x:mergeCell ref="EJ12:EJ13"/>
    <x:mergeCell ref="EK12:EK13"/>
    <x:mergeCell ref="IR12:IR13"/>
    <x:mergeCell ref="IS12:IS13"/>
    <x:mergeCell ref="IT12:IT13"/>
    <x:mergeCell ref="IU12:IU13"/>
    <x:mergeCell ref="IJ12:IJ13"/>
    <x:mergeCell ref="IK12:IK13"/>
    <x:mergeCell ref="IL12:IL13"/>
    <x:mergeCell ref="IM12:IM13"/>
    <x:mergeCell ref="IN12:IN13"/>
    <x:mergeCell ref="IO12:IO13"/>
    <x:mergeCell ref="JH12:JH13"/>
    <x:mergeCell ref="JI12:JI13"/>
    <x:mergeCell ref="JJ12:JJ13"/>
    <x:mergeCell ref="JK12:JK13"/>
    <x:mergeCell ref="JL12:JL13"/>
    <x:mergeCell ref="AG13:AH13"/>
    <x:mergeCell ref="AR13:AS13"/>
    <x:mergeCell ref="AV13:AW13"/>
    <x:mergeCell ref="AZ13:BA13"/>
    <x:mergeCell ref="BD13:BE13"/>
    <x:mergeCell ref="JB12:JB13"/>
    <x:mergeCell ref="JC12:JC13"/>
    <x:mergeCell ref="JD12:JD13"/>
    <x:mergeCell ref="JE12:JE13"/>
    <x:mergeCell ref="JF12:JF13"/>
    <x:mergeCell ref="JG12:JG13"/>
    <x:mergeCell ref="IV12:IV13"/>
    <x:mergeCell ref="IW12:IW13"/>
    <x:mergeCell ref="IX12:IX13"/>
    <x:mergeCell ref="IY12:IY13"/>
    <x:mergeCell ref="IZ12:IZ13"/>
    <x:mergeCell ref="JA12:JA13"/>
    <x:mergeCell ref="IP12:IP13"/>
    <x:mergeCell ref="IQ12:IQ13"/>
    <x:mergeCell ref="HA15:HX17"/>
    <x:mergeCell ref="CB22:CY23"/>
    <x:mergeCell ref="X24:Y24"/>
    <x:mergeCell ref="CG24:CM25"/>
    <x:mergeCell ref="CN24:CT25"/>
    <x:mergeCell ref="DA24:DD24"/>
    <x:mergeCell ref="ER24:ES26"/>
    <x:mergeCell ref="ET24:ET27"/>
    <x:mergeCell ref="EU24:EU27"/>
    <x:mergeCell ref="CZ25:DA25"/>
    <x:mergeCell ref="CG26:CG27"/>
    <x:mergeCell ref="CH26:CI27"/>
    <x:mergeCell ref="CJ26:CK27"/>
    <x:mergeCell ref="CL26:CL27"/>
    <x:mergeCell ref="DB26:DC26"/>
    <x:mergeCell ref="DD26:DE26"/>
    <x:mergeCell ref="EL26:EN26"/>
    <x:mergeCell ref="EO26:EO27"/>
    <x:mergeCell ref="EP26:EQ26"/>
    <x:mergeCell ref="GA26:GB26"/>
    <x:mergeCell ref="CU26:CU27"/>
    <x:mergeCell ref="CV26:CW26"/>
    <x:mergeCell ref="CX26:CX27"/>
    <x:mergeCell ref="CY26:CY27"/>
    <x:mergeCell ref="Q26:R27"/>
    <x:mergeCell ref="S26:W26"/>
    <x:mergeCell ref="X26:Y26"/>
    <x:mergeCell ref="AA26:AA27"/>
    <x:mergeCell ref="CB26:CB27"/>
    <x:mergeCell ref="CC26:CC27"/>
    <x:mergeCell ref="GA25:GJ25"/>
    <x:mergeCell ref="A26:A27"/>
    <x:mergeCell ref="B26:B27"/>
    <x:mergeCell ref="C26:C27"/>
    <x:mergeCell ref="D26:E27"/>
    <x:mergeCell ref="F26:F27"/>
    <x:mergeCell ref="G26:I26"/>
    <x:mergeCell ref="J26:L26"/>
    <x:mergeCell ref="M26:N26"/>
    <x:mergeCell ref="O26:P27"/>
    <x:mergeCell ref="CM26:CM27"/>
    <x:mergeCell ref="CN26:CN27"/>
    <x:mergeCell ref="CO26:CP27"/>
    <x:mergeCell ref="CQ26:CR27"/>
    <x:mergeCell ref="CS26:CS27"/>
    <x:mergeCell ref="CT26:CT27"/>
    <x:mergeCell ref="CD26:CD27"/>
    <x:mergeCell ref="CE26:CF27"/>
    <x:mergeCell ref="CZ26:CZ27"/>
    <x:mergeCell ref="DA26:DA27"/>
    <x:mergeCell ref="GL26:GL27"/>
    <x:mergeCell ref="GM26:GM27"/>
    <x:mergeCell ref="HA26:HA27"/>
    <x:mergeCell ref="HB26:HB27"/>
    <x:mergeCell ref="HC26:HC27"/>
    <x:mergeCell ref="HD26:HE27"/>
    <x:mergeCell ref="GC26:GD26"/>
    <x:mergeCell ref="GE26:GE27"/>
    <x:mergeCell ref="GF26:GF27"/>
    <x:mergeCell ref="GG26:GH26"/>
    <x:mergeCell ref="GI26:GJ26"/>
    <x:mergeCell ref="GK26:GK27"/>
    <x:mergeCell ref="HN26:HN27"/>
    <x:mergeCell ref="HO26:HO27"/>
    <x:mergeCell ref="HP26:HP27"/>
    <x:mergeCell ref="HQ26:HQ27"/>
    <x:mergeCell ref="HF26:HF27"/>
    <x:mergeCell ref="HG26:HG27"/>
    <x:mergeCell ref="HH26:HH27"/>
    <x:mergeCell ref="HI26:HI27"/>
    <x:mergeCell ref="HJ26:HJ27"/>
    <x:mergeCell ref="HK26:HK27"/>
    <x:mergeCell ref="ID26:ID27"/>
    <x:mergeCell ref="G27:H27"/>
    <x:mergeCell ref="J27:K27"/>
    <x:mergeCell ref="S27:T27"/>
    <x:mergeCell ref="U27:V27"/>
    <x:mergeCell ref="ED50:ED53"/>
    <x:mergeCell ref="EE50:EE53"/>
    <x:mergeCell ref="EF50:EF53"/>
    <x:mergeCell ref="EG50:EG53"/>
    <x:mergeCell ref="EH50:EH53"/>
    <x:mergeCell ref="HX26:HX27"/>
    <x:mergeCell ref="HY26:HY27"/>
    <x:mergeCell ref="HZ26:HZ27"/>
    <x:mergeCell ref="IA26:IA27"/>
    <x:mergeCell ref="IB26:IB27"/>
    <x:mergeCell ref="IC26:IC27"/>
    <x:mergeCell ref="HR26:HR27"/>
    <x:mergeCell ref="HS26:HS27"/>
    <x:mergeCell ref="HT26:HT27"/>
    <x:mergeCell ref="HU26:HU27"/>
    <x:mergeCell ref="HV26:HV27"/>
    <x:mergeCell ref="HW26:HW27"/>
    <x:mergeCell ref="HL26:HL27"/>
    <x:mergeCell ref="HM26:HM27"/>
    <x:mergeCell ref="FN50:FS51"/>
    <x:mergeCell ref="FT50:FZ51"/>
    <x:mergeCell ref="CC51:CK51"/>
    <x:mergeCell ref="CL51:CT51"/>
    <x:mergeCell ref="EX51:EX53"/>
    <x:mergeCell ref="EY51:EY53"/>
    <x:mergeCell ref="FF51:FI51"/>
    <x:mergeCell ref="CH52:CH53"/>
    <x:mergeCell ref="CI52:CI53"/>
    <x:mergeCell ref="EO50:EO53"/>
    <x:mergeCell ref="EP50:EP53"/>
    <x:mergeCell ref="EQ50:EQ53"/>
    <x:mergeCell ref="ER50:ER53"/>
    <x:mergeCell ref="ES50:ES53"/>
    <x:mergeCell ref="ET50:ET53"/>
    <x:mergeCell ref="EI50:EI53"/>
    <x:mergeCell ref="EJ50:EJ53"/>
    <x:mergeCell ref="EK50:EK53"/>
    <x:mergeCell ref="EL50:EL53"/>
    <x:mergeCell ref="EM50:EM53"/>
    <x:mergeCell ref="EN50:EN53"/>
    <x:mergeCell ref="CJ52:CJ53"/>
    <x:mergeCell ref="CK52:CK53"/>
    <x:mergeCell ref="CL52:CL53"/>
    <x:mergeCell ref="CM52:CM53"/>
    <x:mergeCell ref="CN52:CN53"/>
    <x:mergeCell ref="CO52:CO53"/>
    <x:mergeCell ref="CB52:CB53"/>
    <x:mergeCell ref="CC52:CC53"/>
    <x:mergeCell ref="CD52:CD53"/>
    <x:mergeCell ref="CE52:CE53"/>
    <x:mergeCell ref="CF52:CF53"/>
    <x:mergeCell ref="CG52:CG53"/>
    <x:mergeCell ref="CV52:CV53"/>
    <x:mergeCell ref="CW52:CW53"/>
    <x:mergeCell ref="CX52:CX53"/>
    <x:mergeCell ref="CY52:CY53"/>
    <x:mergeCell ref="CZ52:DA52"/>
    <x:mergeCell ref="DB52:DB53"/>
    <x:mergeCell ref="CP52:CP53"/>
    <x:mergeCell ref="CQ52:CQ53"/>
    <x:mergeCell ref="CR52:CR53"/>
    <x:mergeCell ref="CS52:CS53"/>
    <x:mergeCell ref="CT52:CT53"/>
    <x:mergeCell ref="CU52:CU53"/>
    <x:mergeCell ref="DJ52:DJ53"/>
    <x:mergeCell ref="DK52:DK53"/>
    <x:mergeCell ref="DL52:DL53"/>
    <x:mergeCell ref="DM52:DN52"/>
    <x:mergeCell ref="DO52:DP52"/>
    <x:mergeCell ref="DQ52:DR52"/>
    <x:mergeCell ref="DC52:DC53"/>
    <x:mergeCell ref="DD52:DD53"/>
    <x:mergeCell ref="DE52:DE53"/>
    <x:mergeCell ref="DF52:DG52"/>
    <x:mergeCell ref="DH52:DH53"/>
    <x:mergeCell ref="DI52:DI53"/>
    <x:mergeCell ref="EB52:EB53"/>
    <x:mergeCell ref="EC52:EC53"/>
    <x:mergeCell ref="EV52:EV53"/>
    <x:mergeCell ref="EW52:EW53"/>
    <x:mergeCell ref="EZ52:EZ53"/>
    <x:mergeCell ref="FA52:FA53"/>
    <x:mergeCell ref="DS52:DS53"/>
    <x:mergeCell ref="DT52:DU52"/>
    <x:mergeCell ref="DV52:DW52"/>
    <x:mergeCell ref="DX52:DY52"/>
    <x:mergeCell ref="DZ52:DZ53"/>
    <x:mergeCell ref="EA52:EA53"/>
    <x:mergeCell ref="EU50:EU53"/>
    <x:mergeCell ref="FN52:FN53"/>
    <x:mergeCell ref="FO52:FO53"/>
    <x:mergeCell ref="FP52:FP53"/>
    <x:mergeCell ref="FQ52:FQ53"/>
    <x:mergeCell ref="FR52:FR53"/>
    <x:mergeCell ref="FS52:FS53"/>
    <x:mergeCell ref="FB52:FB53"/>
    <x:mergeCell ref="FC52:FC53"/>
    <x:mergeCell ref="FD52:FE52"/>
    <x:mergeCell ref="FK52:FK53"/>
    <x:mergeCell ref="FL52:FL53"/>
    <x:mergeCell ref="FM52:FM53"/>
    <x:mergeCell ref="FZ52:FZ53"/>
    <x:mergeCell ref="GA52:GA53"/>
    <x:mergeCell ref="GB52:GB53"/>
    <x:mergeCell ref="GC52:GC53"/>
    <x:mergeCell ref="GJ52:GJ53"/>
    <x:mergeCell ref="FT52:FT53"/>
    <x:mergeCell ref="FU52:FU53"/>
    <x:mergeCell ref="FV52:FV53"/>
    <x:mergeCell ref="FW52:FW53"/>
    <x:mergeCell ref="FX52:FX53"/>
    <x:mergeCell ref="FY52:FY53"/>
  </x:mergeCells>
  <x:conditionalFormatting sqref="CD28:CD45">
    <x:cfRule type="expression" dxfId="1341" priority="41">
      <x:formula>AND(NOT($BK28),NOT($BR28))</x:formula>
    </x:cfRule>
  </x:conditionalFormatting>
  <x:conditionalFormatting sqref="DM54:DM85 DT54:DT85">
    <x:cfRule type="cellIs" dxfId="1340" priority="46" stopIfTrue="1" operator="notEqual">
      <x:formula>DN54</x:formula>
    </x:cfRule>
  </x:conditionalFormatting>
  <x:conditionalFormatting sqref="CX28:CX45">
    <x:cfRule type="cellIs" dxfId="1339" priority="55" operator="greaterThan">
      <x:formula>EY68</x:formula>
    </x:cfRule>
    <x:cfRule type="expression" dxfId="1338" priority="56">
      <x:formula>AND(ISBLANK(CX28),EY68&gt;0)</x:formula>
    </x:cfRule>
  </x:conditionalFormatting>
  <x:conditionalFormatting sqref="CY28:CY45">
    <x:cfRule type="cellIs" dxfId="1337" priority="57" operator="lessThan">
      <x:formula>EX68</x:formula>
    </x:cfRule>
    <x:cfRule type="expression" dxfId="1336" priority="58">
      <x:formula>AND(ISBLANK(CY28),EX68&lt;&gt;"")</x:formula>
    </x:cfRule>
  </x:conditionalFormatting>
  <x:conditionalFormatting sqref="CT28:CT45 CM28:CM45">
    <x:cfRule type="expression" dxfId="1335" priority="59">
      <x:formula>AND(NOT($BK28),AND(ISBLANK(CM28),AND(NOT(ISBLANK(CL28)),$CU28&lt;&gt;0)))</x:formula>
    </x:cfRule>
  </x:conditionalFormatting>
  <x:conditionalFormatting sqref="A28:B45">
    <x:cfRule type="expression" dxfId="1334" priority="60">
      <x:formula>AND(NOT($BK$1),$B28=0,OR($BJ$1="",$BJ$1="M"))</x:formula>
    </x:cfRule>
  </x:conditionalFormatting>
  <x:conditionalFormatting sqref="DB28:DB45">
    <x:cfRule type="expression" dxfId="1333" priority="61">
      <x:formula>OR(DB28&gt;CD68,DB28&lt;0)</x:formula>
    </x:cfRule>
  </x:conditionalFormatting>
  <x:conditionalFormatting sqref="FQ54:FR85">
    <x:cfRule type="cellIs" dxfId="1332" priority="66" stopIfTrue="1" operator="lessThan">
      <x:formula>0</x:formula>
    </x:cfRule>
  </x:conditionalFormatting>
  <x:conditionalFormatting sqref="DI14">
    <x:cfRule type="expression" dxfId="1331" priority="62">
      <x:formula>UPPER(#REF!)="X"</x:formula>
    </x:cfRule>
  </x:conditionalFormatting>
  <x:conditionalFormatting sqref="DJ14">
    <x:cfRule type="expression" dxfId="1330" priority="63">
      <x:formula>OR(UPPER(#REF!)="X",UPPER(#REF!="X"))</x:formula>
    </x:cfRule>
  </x:conditionalFormatting>
  <x:conditionalFormatting sqref="DK14">
    <x:cfRule type="expression" dxfId="1329" priority="64">
      <x:formula>OR(UPPER(#REF!)="X",UPPER(#REF!="X"))</x:formula>
    </x:cfRule>
  </x:conditionalFormatting>
  <x:conditionalFormatting sqref="Q2:T4 AU2:AX4">
    <x:cfRule type="cellIs" dxfId="1328" priority="70" stopIfTrue="1" operator="equal">
      <x:formula>""</x:formula>
    </x:cfRule>
  </x:conditionalFormatting>
  <x:conditionalFormatting sqref="M7">
    <x:cfRule type="expression" dxfId="1327" priority="71" stopIfTrue="1">
      <x:formula>OR(ISBLANK($M$7),$M$7="")</x:formula>
    </x:cfRule>
    <x:cfRule type="expression" dxfId="1326" priority="72" stopIfTrue="1">
      <x:formula>AND(LOWER($M$7)&lt;&gt;"std gray primer: one shop coat",LOWER($M$7)&lt;&gt;"gray",$M$7&lt;&gt;"")</x:formula>
    </x:cfRule>
  </x:conditionalFormatting>
  <x:conditionalFormatting sqref="DA24">
    <x:cfRule type="expression" dxfId="1325" priority="73" stopIfTrue="1">
      <x:formula>NOT(ISBLANK($DA$24))</x:formula>
    </x:cfRule>
  </x:conditionalFormatting>
  <x:conditionalFormatting sqref="C28:C45">
    <x:cfRule type="expression" dxfId="1324" priority="37">
      <x:formula>AND(NOT($BK28),NOT(BR28))</x:formula>
    </x:cfRule>
  </x:conditionalFormatting>
  <x:conditionalFormatting sqref="U28:U45">
    <x:cfRule type="expression" dxfId="1323" priority="39">
      <x:formula>AND(NOT($BK28),BV28="No")</x:formula>
    </x:cfRule>
  </x:conditionalFormatting>
  <x:conditionalFormatting sqref="V28:V45">
    <x:cfRule type="expression" dxfId="1322" priority="40">
      <x:formula>AND(NOT($BK28),BV28="No")</x:formula>
    </x:cfRule>
  </x:conditionalFormatting>
  <x:conditionalFormatting sqref="S28:S45">
    <x:cfRule type="expression" dxfId="1321" priority="35">
      <x:formula>AND(NOT($BK28),BT28="No")</x:formula>
    </x:cfRule>
  </x:conditionalFormatting>
  <x:conditionalFormatting sqref="T28:T45">
    <x:cfRule type="expression" dxfId="1320" priority="36">
      <x:formula>AND(NOT($BK28),BT28="No")</x:formula>
    </x:cfRule>
  </x:conditionalFormatting>
  <x:conditionalFormatting sqref="W28:W45">
    <x:cfRule type="expression" dxfId="1319" priority="27">
      <x:formula>$W28=0</x:formula>
    </x:cfRule>
  </x:conditionalFormatting>
  <x:conditionalFormatting sqref="CJ28:CJ45">
    <x:cfRule type="expression" dxfId="1318" priority="42">
      <x:formula>AND(NOT($BK28),OR($CC68="M",$CC68="C",$CC68="G"))</x:formula>
    </x:cfRule>
    <x:cfRule type="expression" dxfId="1317" priority="43">
      <x:formula>AND(NOT($BK28),AND(OR($CC68="B",$CC68="G"),CJ28="",CK28=""))</x:formula>
    </x:cfRule>
    <x:cfRule type="expression" dxfId="1316" priority="44">
      <x:formula>AND(NOT($BK28),EG68="ERR")</x:formula>
    </x:cfRule>
  </x:conditionalFormatting>
  <x:conditionalFormatting sqref="CK28:CK45">
    <x:cfRule type="expression" dxfId="1315" priority="45">
      <x:formula>AND(NOT($BK28),OR($CC68="M",$CC68="C",$CC68="G"))</x:formula>
    </x:cfRule>
    <x:cfRule type="expression" dxfId="1314" priority="47">
      <x:formula>AND(NOT($BK28),AND(OR($CC68="B",$CC68="G"),CJ28="",CK28=""))</x:formula>
    </x:cfRule>
    <x:cfRule type="expression" dxfId="1313" priority="48">
      <x:formula>AND(NOT($BK28),EG68="ERR")</x:formula>
    </x:cfRule>
  </x:conditionalFormatting>
  <x:conditionalFormatting sqref="CQ28:CQ45">
    <x:cfRule type="expression" dxfId="1312" priority="49">
      <x:formula>AND(NOT($BK28),OR($CL68="M",$CL68="C",$CL68="G"))</x:formula>
    </x:cfRule>
    <x:cfRule type="expression" dxfId="1311" priority="50">
      <x:formula>AND(NOT($BK28),AND(OR($CL68="B",$CL68="G"),CQ28="",CR28=""))</x:formula>
    </x:cfRule>
    <x:cfRule type="expression" dxfId="1310" priority="51">
      <x:formula>AND(NOT($BK28),EJ68="ERR")</x:formula>
    </x:cfRule>
  </x:conditionalFormatting>
  <x:conditionalFormatting sqref="CR28:CR45">
    <x:cfRule type="expression" dxfId="1309" priority="52">
      <x:formula>AND(NOT($BK28),OR($CL68="M",$CL68="C",$CL68="G"))</x:formula>
    </x:cfRule>
    <x:cfRule type="expression" dxfId="1308" priority="53">
      <x:formula>AND(NOT($BK28),AND(OR($CL68="B",$CL68="G"),CQ28="",CR28=""))</x:formula>
    </x:cfRule>
    <x:cfRule type="expression" dxfId="1307" priority="54">
      <x:formula>AND(NOT($BK28),EJ68="ERR")</x:formula>
    </x:cfRule>
  </x:conditionalFormatting>
  <x:conditionalFormatting sqref="DC28:DC45">
    <x:cfRule type="expression" dxfId="1306" priority="34">
      <x:formula>OR(DC28&gt;CM68,DC28&lt;0)</x:formula>
    </x:cfRule>
  </x:conditionalFormatting>
  <x:conditionalFormatting sqref="GA48:GB48">
    <x:cfRule type="expression" dxfId="1305" priority="38" stopIfTrue="1">
      <x:formula>GM48&gt;=0.125</x:formula>
    </x:cfRule>
  </x:conditionalFormatting>
  <x:conditionalFormatting sqref="DI15:DI45">
    <x:cfRule type="expression" dxfId="1304" priority="65">
      <x:formula>FM54="X"</x:formula>
    </x:cfRule>
  </x:conditionalFormatting>
  <x:conditionalFormatting sqref="DJ15:DJ45">
    <x:cfRule type="expression" dxfId="1303" priority="67">
      <x:formula>FM54="X"</x:formula>
    </x:cfRule>
  </x:conditionalFormatting>
  <x:conditionalFormatting sqref="DK15:DK45">
    <x:cfRule type="expression" dxfId="1302" priority="68">
      <x:formula>FM54="X"</x:formula>
    </x:cfRule>
  </x:conditionalFormatting>
  <x:conditionalFormatting sqref="DH14:DH45">
    <x:cfRule type="expression" dxfId="1301" priority="7">
      <x:formula>NOT($FQ14)</x:formula>
    </x:cfRule>
    <x:cfRule type="expression" dxfId="1300" priority="69">
      <x:formula>FJ54="G"</x:formula>
    </x:cfRule>
  </x:conditionalFormatting>
  <x:conditionalFormatting sqref="DT14:DU45">
    <x:cfRule type="expression" dxfId="1299" priority="74">
      <x:formula>GD54=0</x:formula>
    </x:cfRule>
  </x:conditionalFormatting>
  <x:conditionalFormatting sqref="AR14:AS45">
    <x:cfRule type="expression" dxfId="1298" priority="75">
      <x:formula>AND(NOT($BZ14),$FF54)</x:formula>
    </x:cfRule>
  </x:conditionalFormatting>
  <x:conditionalFormatting sqref="AV14:AW45">
    <x:cfRule type="expression" dxfId="1297" priority="76">
      <x:formula>AND(NOT($BZ14),$FG54)</x:formula>
    </x:cfRule>
  </x:conditionalFormatting>
  <x:conditionalFormatting sqref="AZ14:BA45">
    <x:cfRule type="expression" dxfId="1296" priority="77">
      <x:formula>AND(NOT($BZ14),$FH54)</x:formula>
    </x:cfRule>
  </x:conditionalFormatting>
  <x:conditionalFormatting sqref="BD14:BE45">
    <x:cfRule type="expression" dxfId="1295" priority="78">
      <x:formula>AND(NOT($BZ14),$FI54)</x:formula>
    </x:cfRule>
  </x:conditionalFormatting>
  <x:conditionalFormatting sqref="DW14:DW45">
    <x:cfRule type="expression" dxfId="1294" priority="79">
      <x:formula>FF54</x:formula>
    </x:cfRule>
  </x:conditionalFormatting>
  <x:conditionalFormatting sqref="EA14:EA45">
    <x:cfRule type="expression" dxfId="1293" priority="80">
      <x:formula>FG54</x:formula>
    </x:cfRule>
  </x:conditionalFormatting>
  <x:conditionalFormatting sqref="EE14:EE45">
    <x:cfRule type="expression" dxfId="1292" priority="81">
      <x:formula>FH54</x:formula>
    </x:cfRule>
  </x:conditionalFormatting>
  <x:conditionalFormatting sqref="EI14:EI45">
    <x:cfRule type="expression" dxfId="1291" priority="82">
      <x:formula>FI54</x:formula>
    </x:cfRule>
  </x:conditionalFormatting>
  <x:conditionalFormatting sqref="DJ14:DK45 AD14:AE45">
    <x:cfRule type="expression" dxfId="1290" priority="83">
      <x:formula>AND(NOT($BZ14),FIND("A",$GK54))</x:formula>
    </x:cfRule>
  </x:conditionalFormatting>
  <x:conditionalFormatting sqref="DM14:DN45 AI14:AJ45">
    <x:cfRule type="expression" dxfId="1289" priority="84">
      <x:formula>AND(NOT($BZ14),FIND("B",$GK54))</x:formula>
    </x:cfRule>
  </x:conditionalFormatting>
  <x:conditionalFormatting sqref="CG28:CG45">
    <x:cfRule type="expression" dxfId="1288" priority="85">
      <x:formula>AND(NOT($BK28),ISERROR(CC68))</x:formula>
    </x:cfRule>
    <x:cfRule type="expression" dxfId="1287" priority="86">
      <x:formula>AND(NOT($BK28),OR(ISERROR(CC68),CC68="", ER28&lt;&gt;""))</x:formula>
    </x:cfRule>
  </x:conditionalFormatting>
  <x:conditionalFormatting sqref="CN28:CN45">
    <x:cfRule type="expression" dxfId="1286" priority="87">
      <x:formula>AND(NOT($BK28),ISERROR(CL68))</x:formula>
    </x:cfRule>
    <x:cfRule type="expression" dxfId="1285" priority="88">
      <x:formula>AND(NOT($BK28),OR(CL68="", ES28&lt;&gt;""))</x:formula>
    </x:cfRule>
  </x:conditionalFormatting>
  <x:conditionalFormatting sqref="CW28:CW45">
    <x:cfRule type="expression" dxfId="1284" priority="89">
      <x:formula>OR(EL28&lt;&gt;"",EM28&lt;&gt;"",EN28&lt;&gt;"",EO28&lt;&gt;"",EP28&lt;&gt;"",EQ28&lt;&gt;"")</x:formula>
    </x:cfRule>
  </x:conditionalFormatting>
  <x:conditionalFormatting sqref="DL14:DL45">
    <x:cfRule type="expression" dxfId="1283" priority="32">
      <x:formula>FIND("B",$GK54)</x:formula>
    </x:cfRule>
  </x:conditionalFormatting>
  <x:conditionalFormatting sqref="DI14:DI45">
    <x:cfRule type="expression" dxfId="1282" priority="90">
      <x:formula>NOT($EY14)</x:formula>
    </x:cfRule>
  </x:conditionalFormatting>
  <x:conditionalFormatting sqref="AC14:AC45">
    <x:cfRule type="expression" dxfId="1281" priority="91">
      <x:formula>AND(NOT($BZ14),NOT($EY14))</x:formula>
    </x:cfRule>
  </x:conditionalFormatting>
  <x:conditionalFormatting sqref="CH28:CH45">
    <x:cfRule type="expression" dxfId="1280" priority="92">
      <x:formula>AND(NOT($BK28),OR($CC68="M",$CC68="C"))</x:formula>
    </x:cfRule>
    <x:cfRule type="expression" dxfId="1279" priority="93">
      <x:formula>AND(NOT($BK28),AND(CH28="",CI28="",OR($CC68="B",$CC68="G")))</x:formula>
    </x:cfRule>
    <x:cfRule type="expression" dxfId="1278" priority="94">
      <x:formula>AND(NOT($BK28),(CH28/2)/COS(RADIANS(CL28))+CD68-DC68&lt;$FB$4)</x:formula>
    </x:cfRule>
  </x:conditionalFormatting>
  <x:conditionalFormatting sqref="CI28:CI45">
    <x:cfRule type="expression" dxfId="1277" priority="95">
      <x:formula>AND(NOT($BK28),OR($CC68="M",$CC68="C"))</x:formula>
    </x:cfRule>
    <x:cfRule type="expression" dxfId="1276" priority="96">
      <x:formula>AND(NOT($BK28),AND(CH28="",CI28="",OR($CC68="B",$CC68="G")))</x:formula>
    </x:cfRule>
    <x:cfRule type="expression" dxfId="1275" priority="97">
      <x:formula>AND(NOT($BK28),(CI28/2)/COS(RADIANS(CL28))+CD68-DC68&lt;$FB$4)</x:formula>
    </x:cfRule>
  </x:conditionalFormatting>
  <x:conditionalFormatting sqref="CO28:CO45">
    <x:cfRule type="expression" dxfId="1274" priority="98">
      <x:formula>AND(NOT($BK28),OR($CL68="M",$CL68="C"))</x:formula>
    </x:cfRule>
    <x:cfRule type="expression" dxfId="1273" priority="99">
      <x:formula>AND(NOT($BK28),AND(CO28="",CP28="",OR($CL68="B",$CL68="G")))</x:formula>
    </x:cfRule>
    <x:cfRule type="expression" dxfId="1272" priority="100">
      <x:formula>AND(NOT($BK28),(CO28/2)/COS(RADIANS(CS28))+CM68-DI68&lt;$FB$4)</x:formula>
    </x:cfRule>
  </x:conditionalFormatting>
  <x:conditionalFormatting sqref="CP28:CP45">
    <x:cfRule type="expression" dxfId="1271" priority="101">
      <x:formula>AND(NOT($BK28),OR($CL68="M",$CL68="C"))</x:formula>
    </x:cfRule>
    <x:cfRule type="expression" dxfId="1270" priority="102">
      <x:formula>AND(NOT($BK28),AND(CO28="",CP28="",OR($CL68="B",$CL68="G")))</x:formula>
    </x:cfRule>
    <x:cfRule type="expression" dxfId="1269" priority="103">
      <x:formula>AND(NOT($BK28),(CP28/2)/COS(RADIANS(CS28))+CM68-DI68&lt;$FB$4)</x:formula>
    </x:cfRule>
  </x:conditionalFormatting>
  <x:conditionalFormatting sqref="AM14:AM45">
    <x:cfRule type="expression" dxfId="1268" priority="31">
      <x:formula>AND(NOT($BZ14),AM14&lt;&gt;EZ14)</x:formula>
    </x:cfRule>
  </x:conditionalFormatting>
  <x:conditionalFormatting sqref="DQ14:DQ45">
    <x:cfRule type="expression" dxfId="1267" priority="30">
      <x:formula>DQ14&lt;&gt;EZ14</x:formula>
    </x:cfRule>
  </x:conditionalFormatting>
  <x:conditionalFormatting sqref="CV28:CW45">
    <x:cfRule type="expression" dxfId="1266" priority="29">
      <x:formula>AND(NOT($BK28),LEN($Z28)&gt;27)</x:formula>
    </x:cfRule>
  </x:conditionalFormatting>
  <x:conditionalFormatting sqref="FF14:FF45">
    <x:cfRule type="expression" dxfId="1265" priority="33">
      <x:formula>$FC14=0</x:formula>
    </x:cfRule>
  </x:conditionalFormatting>
  <x:conditionalFormatting sqref="AD14:AJ45">
    <x:cfRule type="expression" dxfId="1264" priority="28">
      <x:formula>AND(NOT($BZ14),NOT($FA14))</x:formula>
    </x:cfRule>
  </x:conditionalFormatting>
  <x:conditionalFormatting sqref="A87:B87">
    <x:cfRule type="expression" dxfId="1263" priority="19" stopIfTrue="1">
      <x:formula>AND(NOT($BK$1),$B87=0,OR($BJ$1="",$BJ$1="M"))</x:formula>
    </x:cfRule>
  </x:conditionalFormatting>
  <x:conditionalFormatting sqref="C87">
    <x:cfRule type="expression" dxfId="1262" priority="16" stopIfTrue="1">
      <x:formula>AND(NOT($BK87),NOT(BR87))</x:formula>
    </x:cfRule>
  </x:conditionalFormatting>
  <x:conditionalFormatting sqref="U87">
    <x:cfRule type="expression" dxfId="1261" priority="17" stopIfTrue="1">
      <x:formula>AND(NOT($BK87),BV87="No")</x:formula>
    </x:cfRule>
  </x:conditionalFormatting>
  <x:conditionalFormatting sqref="V87">
    <x:cfRule type="expression" dxfId="1260" priority="18" stopIfTrue="1">
      <x:formula>AND(NOT($BK87),BV87="No")</x:formula>
    </x:cfRule>
  </x:conditionalFormatting>
  <x:conditionalFormatting sqref="S87">
    <x:cfRule type="expression" dxfId="1259" priority="14" stopIfTrue="1">
      <x:formula>AND(NOT($BK87),BT87="No")</x:formula>
    </x:cfRule>
  </x:conditionalFormatting>
  <x:conditionalFormatting sqref="T87">
    <x:cfRule type="expression" dxfId="1258" priority="15" stopIfTrue="1">
      <x:formula>AND(NOT($BK87),BT87="No")</x:formula>
    </x:cfRule>
  </x:conditionalFormatting>
  <x:conditionalFormatting sqref="W87">
    <x:cfRule type="expression" dxfId="1257" priority="8">
      <x:formula>$W87=0</x:formula>
    </x:cfRule>
  </x:conditionalFormatting>
  <x:conditionalFormatting sqref="AR87:AS87">
    <x:cfRule type="expression" dxfId="1256" priority="20">
      <x:formula>AND(NOT($BZ87),$FF127)</x:formula>
    </x:cfRule>
  </x:conditionalFormatting>
  <x:conditionalFormatting sqref="AV87:AW87">
    <x:cfRule type="expression" dxfId="1255" priority="21">
      <x:formula>AND(NOT($BZ87),$FG127)</x:formula>
    </x:cfRule>
  </x:conditionalFormatting>
  <x:conditionalFormatting sqref="AZ87:BA87">
    <x:cfRule type="expression" dxfId="1254" priority="22">
      <x:formula>AND(NOT($BZ87),$FH127)</x:formula>
    </x:cfRule>
  </x:conditionalFormatting>
  <x:conditionalFormatting sqref="BD87:BE87">
    <x:cfRule type="expression" dxfId="1253" priority="23">
      <x:formula>AND(NOT($BZ87),$FI127)</x:formula>
    </x:cfRule>
  </x:conditionalFormatting>
  <x:conditionalFormatting sqref="AD87:AE87">
    <x:cfRule type="expression" dxfId="1252" priority="24">
      <x:formula>AND(NOT($BZ87),FIND("A",$GK127))</x:formula>
    </x:cfRule>
  </x:conditionalFormatting>
  <x:conditionalFormatting sqref="AI87:AJ87">
    <x:cfRule type="expression" dxfId="1251" priority="25">
      <x:formula>AND(NOT($BZ87),FIND("B",$GK127))</x:formula>
    </x:cfRule>
  </x:conditionalFormatting>
  <x:conditionalFormatting sqref="AC87">
    <x:cfRule type="expression" dxfId="1250" priority="26">
      <x:formula>AND(NOT($BZ87),NOT($EY87))</x:formula>
    </x:cfRule>
  </x:conditionalFormatting>
  <x:conditionalFormatting sqref="AM87">
    <x:cfRule type="expression" dxfId="1249" priority="13">
      <x:formula>AND(NOT($BZ87),AM87&lt;&gt;EZ87)</x:formula>
    </x:cfRule>
  </x:conditionalFormatting>
  <x:conditionalFormatting sqref="AD87:AJ87">
    <x:cfRule type="expression" dxfId="1248" priority="12">
      <x:formula>AND(NOT($BZ87),NOT($FA87))</x:formula>
    </x:cfRule>
  </x:conditionalFormatting>
  <x:conditionalFormatting sqref="A87:AA87">
    <x:cfRule type="expression" dxfId="1247" priority="9">
      <x:formula>$BI87</x:formula>
    </x:cfRule>
  </x:conditionalFormatting>
  <x:conditionalFormatting sqref="AB87:BG87">
    <x:cfRule type="expression" dxfId="1246" priority="11">
      <x:formula>$CA87</x:formula>
    </x:cfRule>
  </x:conditionalFormatting>
  <x:conditionalFormatting sqref="Z87">
    <x:cfRule type="expression" dxfId="1245" priority="10">
      <x:formula>AND(NOT($BK87),LEN($Z87)&gt;27)</x:formula>
    </x:cfRule>
  </x:conditionalFormatting>
  <x:conditionalFormatting sqref="AB14:BG45 DH14:EK45">
    <x:cfRule type="expression" dxfId="1244" priority="104">
      <x:formula>$FP14</x:formula>
    </x:cfRule>
  </x:conditionalFormatting>
  <x:conditionalFormatting sqref="A28:Y45 CB28:DE45 AA28:AA45">
    <x:cfRule type="expression" dxfId="1243" priority="105">
      <x:formula>$FN28</x:formula>
    </x:cfRule>
  </x:conditionalFormatting>
  <x:conditionalFormatting sqref="CB28:CB45">
    <x:cfRule type="expression" dxfId="1242" priority="6">
      <x:formula>NOT($FO28)</x:formula>
    </x:cfRule>
  </x:conditionalFormatting>
  <x:conditionalFormatting sqref="A28:A45">
    <x:cfRule type="expression" dxfId="1241" priority="5">
      <x:formula>NOT($FO28)</x:formula>
    </x:cfRule>
  </x:conditionalFormatting>
  <x:conditionalFormatting sqref="AB14:AB45">
    <x:cfRule type="expression" dxfId="1240" priority="4">
      <x:formula>NOT($FQ14)</x:formula>
    </x:cfRule>
  </x:conditionalFormatting>
  <x:conditionalFormatting sqref="Z28:Z45">
    <x:cfRule type="expression" dxfId="1239" priority="2">
      <x:formula>$BI28</x:formula>
    </x:cfRule>
  </x:conditionalFormatting>
  <x:conditionalFormatting sqref="Z28:Z45">
    <x:cfRule type="expression" dxfId="1238" priority="3">
      <x:formula>AND(NOT($BK28),LEN($Z28)&gt;27)</x:formula>
    </x:cfRule>
  </x:conditionalFormatting>
  <x:conditionalFormatting sqref="GA28:GB45">
    <x:cfRule type="expression" dxfId="1237" priority="1" stopIfTrue="1">
      <x:formula>GM28&gt;=0.125</x:formula>
    </x:cfRule>
  </x:conditionalFormatting>
  <x:dataValidations count="8">
    <x:dataValidation type="whole" operator="greaterThanOrEqual" allowBlank="1" showInputMessage="1" showErrorMessage="1" sqref="B28:B45 B87">
      <x:formula1>0</x:formula1>
    </x:dataValidation>
    <x:dataValidation type="decimal" operator="notEqual" allowBlank="1" showInputMessage="1" showErrorMessage="1" errorTitle="Input Error" error="Enter + or - Numbers Only._x000a_Do NOT use &quot;&lt;&quot; or &quot;&gt;&quot;." sqref="X28:Y45 X87:Y87">
      <x:formula1>0</x:formula1>
    </x:dataValidation>
    <x:dataValidation type="decimal" operator="greaterThanOrEqual" allowBlank="1" showInputMessage="1" showErrorMessage="1" errorTitle="Dimensional Error" error="&quot;Inches&quot; must be a number." sqref="CH28:CK45 CO28:CR45">
      <x:formula1>0</x:formula1>
    </x:dataValidation>
    <x:dataValidation type="decimal" allowBlank="1" showInputMessage="1" showErrorMessage="1" errorTitle="Dimensional Error" error="&quot;Inches&quot; must be a number from 0 to 11.875." sqref="CF28:CF45 E28:E45 H28:H45 K28:K45 T28:T45 V28:V45 AJ87 E87 H87 K87 T87 V87 AE87 AH87 AE14:AE45 AH14:AH45 AJ14:AJ45">
      <x:formula1>0</x:formula1>
      <x:formula2>11.875</x:formula2>
    </x:dataValidation>
    <x:dataValidation type="custom" allowBlank="1" showErrorMessage="1" errorTitle="Error" error="Value must  be either a whole number OR the string &quot;P&quot;." sqref="DV14:DV45 BD14:BD45 ED14:ED45 EH14:EH45 AR14:AR45 AV14:AV45 AZ14:AZ45 DZ14:DZ45 BD87 AR87 AV87 AZ87">
      <x:formula1>IF(ISERROR(INT(AR14)),AR14="P",INT(AR14)=AR14)</x:formula1>
    </x:dataValidation>
    <x:dataValidation type="whole" operator="greaterThanOrEqual" allowBlank="1" showErrorMessage="1" errorTitle="Error" error="&quot;Number of Panels&quot; can only be whole numbers." sqref="DL14:DL45 AF87 AF14:AF45">
      <x:formula1>0</x:formula1>
    </x:dataValidation>
    <x: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formula1>0</x:formula1>
    </x:dataValidation>
    <x:dataValidation type="list" allowBlank="1" showInputMessage="1" sqref="M7:S7 DA24:DD24">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colBreaks count="1" manualBreakCount="1">
    <x:brk id="27" max="44" man="1"/>
  </x:colBreaks>
  <x:drawing r:id="rId2"/>
  <x:legacyDrawing r:id="rId3"/>
</x:worksheet>
</file>

<file path=xl/worksheets/sheet49.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2">
    <x:tabColor indexed="42"/>
  </x:sheetPr>
  <x:dimension ref="A1:AAD89"/>
  <x:sheetViews>
    <x:sheetView showGridLines="0" topLeftCell="AK7" zoomScaleNormal="100" zoomScaleSheetLayoutView="75" workbookViewId="0">
      <x:selection activeCell="A28" sqref="A28"/>
    </x:sheetView>
  </x:sheetViews>
  <x:sheetFormatPr defaultColWidth="0" defaultRowHeight="12.75" x14ac:dyDescent="0.2"/>
  <x:cols>
    <x:col min="1" max="1" width="5.7109375" style="161" customWidth="1"/>
    <x:col min="2" max="2" width="4.28515625" style="161" customWidth="1"/>
    <x:col min="3" max="3" width="15.7109375" style="161" customWidth="1"/>
    <x:col min="4" max="4" width="3.7109375" style="161" customWidth="1"/>
    <x:col min="5" max="5" width="4.42578125" style="161" customWidth="1"/>
    <x:col min="6" max="6" width="4.7109375" style="161" customWidth="1"/>
    <x:col min="7" max="7" width="3" style="161" customWidth="1"/>
    <x:col min="8" max="8" width="4.42578125" style="161" customWidth="1"/>
    <x:col min="9" max="10" width="3" style="161" customWidth="1"/>
    <x:col min="11" max="11" width="4.42578125" style="161" customWidth="1"/>
    <x:col min="12" max="12" width="3" style="161" customWidth="1"/>
    <x:col min="13" max="14" width="4.28515625" style="161" customWidth="1"/>
    <x:col min="15" max="15" width="3.28515625" style="161" customWidth="1"/>
    <x:col min="16" max="16" width="5" style="161" customWidth="1"/>
    <x:col min="17" max="17" width="3.28515625" style="161" customWidth="1"/>
    <x:col min="18" max="18" width="5" style="161" customWidth="1"/>
    <x:col min="19" max="19" width="2.85546875" style="161" customWidth="1"/>
    <x:col min="20" max="20" width="4.42578125" style="161" customWidth="1"/>
    <x:col min="21" max="21" width="2.85546875" style="161" customWidth="1"/>
    <x:col min="22" max="22" width="4.42578125" style="161" customWidth="1"/>
    <x:col min="23" max="23" width="4.28515625" style="161" customWidth="1"/>
    <x:col min="24" max="25" width="4.7109375" style="161" customWidth="1"/>
    <x:col min="26" max="26" width="18.5703125" style="161" customWidth="1"/>
    <x:col min="27" max="27" width="4" style="161" customWidth="1"/>
    <x:col min="28" max="28" width="5.7109375" style="161" customWidth="1"/>
    <x:col min="29" max="29" width="3.28515625" style="161" customWidth="1"/>
    <x:col min="30" max="30" width="3" style="161" customWidth="1"/>
    <x:col min="31" max="31" width="4.42578125" style="161" customWidth="1"/>
    <x:col min="32" max="32" width="3.42578125" style="161" customWidth="1"/>
    <x:col min="33" max="33" width="3" style="161" customWidth="1"/>
    <x:col min="34" max="34" width="4.42578125" style="161" customWidth="1"/>
    <x:col min="35" max="35" width="3" style="161" customWidth="1"/>
    <x:col min="36" max="37" width="4.42578125" style="161" customWidth="1"/>
    <x:col min="38" max="38" width="5" style="161" customWidth="1"/>
    <x:col min="39" max="39" width="4.42578125" style="161" customWidth="1"/>
    <x:col min="40" max="40" width="5.28515625" style="161" customWidth="1"/>
    <x:col min="41" max="43" width="4.42578125" style="161" customWidth="1"/>
    <x:col min="44" max="44" width="3.7109375" style="161" customWidth="1"/>
    <x:col min="45" max="47" width="4.42578125" style="161" customWidth="1"/>
    <x:col min="48" max="48" width="3.7109375" style="161" customWidth="1"/>
    <x:col min="49" max="51" width="4.42578125" style="161" customWidth="1"/>
    <x:col min="52" max="52" width="3.7109375" style="161" customWidth="1"/>
    <x:col min="53" max="55" width="4.42578125" style="161" customWidth="1"/>
    <x:col min="56" max="56" width="3.7109375" style="161" customWidth="1"/>
    <x:col min="57" max="59" width="4.42578125" style="161" customWidth="1"/>
    <x:col min="60" max="60" width="4.7109375" style="318" customWidth="1"/>
    <x:col min="61" max="61" width="5.7109375" style="2" hidden="1" customWidth="1"/>
    <x:col min="62" max="62" width="6.7109375" style="161" hidden="1" customWidth="1"/>
    <x:col min="63" max="74" width="4.7109375" style="161" hidden="1" customWidth="1"/>
    <x:col min="75" max="78" width="6.7109375" style="161" hidden="1" customWidth="1"/>
    <x:col min="79" max="79" width="5.7109375" style="161" customWidth="1"/>
    <x:col min="80" max="81" width="6.7109375" style="161" hidden="1" customWidth="1"/>
    <x:col min="82" max="82" width="18.7109375" style="161" hidden="1" customWidth="1"/>
    <x:col min="83" max="84" width="6.7109375" style="161" hidden="1" customWidth="1"/>
    <x:col min="85" max="85" width="7.7109375" style="161" hidden="1" customWidth="1"/>
    <x:col min="86" max="90" width="6.7109375" style="161" hidden="1" customWidth="1"/>
    <x:col min="91" max="91" width="7.7109375" style="161" hidden="1" customWidth="1"/>
    <x:col min="92" max="92" width="6.7109375" style="161" hidden="1" customWidth="1"/>
    <x:col min="93" max="93" width="7.7109375" style="161" hidden="1" customWidth="1"/>
    <x:col min="94" max="97" width="6.7109375" style="161" hidden="1" customWidth="1"/>
    <x:col min="98" max="99" width="7.7109375" style="161" hidden="1" customWidth="1"/>
    <x:col min="100" max="101" width="12.7109375" style="161" hidden="1" customWidth="1"/>
    <x:col min="102" max="103" width="8.7109375" style="161" hidden="1" customWidth="1"/>
    <x:col min="104" max="109" width="7.7109375" style="161" hidden="1" customWidth="1"/>
    <x:col min="110" max="111" width="1.7109375" style="161" hidden="1" customWidth="1"/>
    <x:col min="112" max="113" width="6.7109375" style="161" hidden="1" customWidth="1"/>
    <x:col min="114" max="114" width="4.7109375" style="161" hidden="1" customWidth="1"/>
    <x:col min="115" max="115" width="6.7109375" style="161" hidden="1" customWidth="1"/>
    <x:col min="116" max="117" width="4.7109375" style="161" hidden="1" customWidth="1"/>
    <x:col min="118" max="125" width="6.7109375" style="161" hidden="1" customWidth="1"/>
    <x:col min="126" max="126" width="4.7109375" style="161" hidden="1" customWidth="1"/>
    <x:col min="127" max="129" width="6.7109375" style="161" hidden="1" customWidth="1"/>
    <x:col min="130" max="130" width="4.7109375" style="161" hidden="1" customWidth="1"/>
    <x:col min="131" max="133" width="6.7109375" style="161" hidden="1" customWidth="1"/>
    <x:col min="134" max="134" width="4.7109375" style="161" hidden="1" customWidth="1"/>
    <x:col min="135" max="137" width="6.7109375" style="161" hidden="1" customWidth="1"/>
    <x:col min="138" max="138" width="4.7109375" style="161" hidden="1" customWidth="1"/>
    <x:col min="139" max="141" width="6.7109375" style="161" hidden="1" customWidth="1"/>
    <x:col min="142" max="143" width="8.7109375" style="161" hidden="1" customWidth="1"/>
    <x:col min="144" max="144" width="10.7109375" style="172" hidden="1" customWidth="1"/>
    <x:col min="145" max="145" width="6.7109375" style="161" hidden="1" customWidth="1"/>
    <x:col min="146" max="147" width="7.7109375" style="161" hidden="1" customWidth="1"/>
    <x:col min="148" max="149" width="5.28515625" style="161" hidden="1" customWidth="1"/>
    <x:col min="150" max="151" width="5.7109375" style="161" hidden="1" customWidth="1"/>
    <x:col min="152" max="152" width="6.7109375" style="161" customWidth="1"/>
    <x:col min="153" max="177" width="8.7109375" style="161" hidden="1" customWidth="1"/>
    <x:col min="178" max="178" width="6.7109375" style="161" hidden="1" customWidth="1"/>
    <x:col min="179" max="181" width="8.7109375" style="161" hidden="1" customWidth="1"/>
    <x:col min="182" max="182" width="4.7109375" style="161" customWidth="1"/>
    <x:col min="183" max="183" width="5.28515625" style="161" customWidth="1"/>
    <x:col min="184" max="184" width="6.28515625" style="161" customWidth="1"/>
    <x:col min="185" max="187" width="8.7109375" style="161" customWidth="1"/>
    <x:col min="188" max="188" width="5.7109375" style="161" customWidth="1"/>
    <x:col min="189" max="189" width="5.28515625" style="161" customWidth="1"/>
    <x:col min="190" max="190" width="6.28515625" style="161" customWidth="1"/>
    <x:col min="191" max="191" width="5.28515625" style="161" hidden="1" customWidth="1"/>
    <x:col min="192" max="192" width="6.28515625" style="161" hidden="1" customWidth="1"/>
    <x:col min="193" max="195" width="8.7109375" style="161" hidden="1" customWidth="1"/>
    <x:col min="196" max="196" width="4.7109375" style="161" customWidth="1"/>
    <x:col min="197" max="198" width="8.7109375" style="161" hidden="1" customWidth="1"/>
    <x:col min="199" max="199" width="6.7109375" style="161" hidden="1" customWidth="1"/>
    <x:col min="200" max="206" width="8.7109375" style="161" hidden="1" customWidth="1"/>
    <x:col min="207" max="207" width="8.7109375" style="161" customWidth="1"/>
    <x:col min="208" max="208" width="8.7109375" style="161" hidden="1" customWidth="1"/>
    <x:col min="209" max="211" width="8.7109375" style="172" hidden="1" customWidth="1"/>
    <x:col min="212" max="212" width="8.7109375" style="162" hidden="1" customWidth="1"/>
    <x:col min="213" max="213" width="8.7109375" style="163" hidden="1" customWidth="1"/>
    <x:col min="214" max="232" width="8.7109375" style="172" hidden="1" customWidth="1"/>
    <x:col min="233" max="255" width="8.7109375" style="161" hidden="1" customWidth="1"/>
    <x:col min="256" max="260" width="6.7109375" style="161" hidden="1" customWidth="1"/>
    <x:col min="261" max="275" width="4.7109375" style="161" hidden="1" customWidth="1"/>
    <x:col min="276" max="701" width="4.7109375" style="161" customWidth="1"/>
    <x:col min="702" max="706" width="6.7109375" style="161" customWidth="1"/>
    <x:col min="707" max="16384" width="6.7109375" style="161" hidden="1"/>
  </x:cols>
  <x:sheetData>
    <x:row r="1" spans="1:276" s="289" customFormat="1" ht="14.45" customHeight="1" thickBot="1" x14ac:dyDescent="0.25">
      <x:c r="A1" s="454"/>
      <x:c r="B1" s="454"/>
      <x:c r="C1" s="454"/>
      <x:c r="D1" s="454"/>
      <x:c r="E1" s="454"/>
      <x:c r="F1" s="454"/>
      <x:c r="G1" s="454"/>
      <x:c r="H1" s="454"/>
      <x:c r="I1" s="454"/>
      <x:c r="J1" s="454"/>
      <x:c r="K1" s="454"/>
      <x:c r="L1" s="454"/>
      <x:c r="M1" s="454"/>
      <x:c r="N1" s="454"/>
      <x:c r="O1" s="454"/>
      <x:c r="P1" s="454"/>
      <x:c r="Q1" s="2227" t="str">
        <x:f>IF(BJ1="","",VLOOKUP(BJ1,'Job Info.'!X:AA,4,FALSE))</x:f>
        <x:v>Master</x:v>
      </x:c>
      <x:c r="R1" s="2227"/>
      <x:c r="S1" s="2227"/>
      <x:c r="T1" s="2227"/>
      <x:c r="U1" s="454"/>
      <x:c r="V1" s="445"/>
      <x:c r="W1" s="2433" t="s">
        <x:v>96</x:v>
      </x:c>
      <x:c r="X1" s="2433"/>
      <x:c r="Y1" s="2433"/>
      <x:c r="Z1" s="1829" t="s">
        <x:v>92</x:v>
      </x:c>
      <x:c r="AA1" s="444"/>
      <x:c r="AB1" s="454"/>
      <x:c r="AC1" s="454"/>
      <x:c r="AD1" s="454"/>
      <x:c r="AE1" s="454"/>
      <x:c r="AF1" s="454"/>
      <x:c r="AG1" s="454"/>
      <x:c r="AH1" s="454"/>
      <x:c r="AI1" s="454"/>
      <x:c r="AJ1" s="454"/>
      <x:c r="AK1" s="454"/>
      <x:c r="AL1" s="454"/>
      <x:c r="AM1" s="454"/>
      <x:c r="AN1" s="454"/>
      <x:c r="AO1" s="454"/>
      <x:c r="AP1" s="454"/>
      <x:c r="AQ1" s="444"/>
      <x:c r="AR1" s="454"/>
      <x:c r="AS1" s="454"/>
      <x:c r="AT1" s="454"/>
      <x:c r="AU1" s="2227" t="str">
        <x:f>Q1</x:f>
        <x:v>Master</x:v>
      </x:c>
      <x:c r="AV1" s="2227"/>
      <x:c r="AW1" s="2227"/>
      <x:c r="AX1" s="2227"/>
      <x:c r="AY1" s="454"/>
      <x:c r="AZ1" s="454"/>
      <x:c r="BA1" s="2433" t="s">
        <x:v>96</x:v>
      </x:c>
      <x:c r="BB1" s="2433"/>
      <x:c r="BC1" s="2433"/>
      <x:c r="BD1" s="2259" t="str">
        <x:f ca="1">'Job Info.'!D12</x:f>
        <x:v>775-428-0600</x:v>
      </x:c>
      <x:c r="BE1" s="2259"/>
      <x:c r="BF1" s="2259"/>
      <x:c r="BG1" s="556"/>
      <x:c r="BH1" s="581" t="s">
        <x:v>763</x:v>
      </x:c>
      <x:c r="BI1" s="449"/>
      <x:c r="BJ1" s="291" t="str">
        <x:f>'Job Info.'!Q30</x:f>
        <x:v>M</x:v>
      </x:c>
      <x:c r="BK1" s="291" t="b">
        <x:f>'Job Info.'!Q32</x:f>
        <x:v>0</x:v>
      </x:c>
      <x:c r="BL1" s="976" t="s">
        <x:v>1000</x:v>
      </x:c>
      <x:c r="CA1" s="582" t="s">
        <x:v>765</x:v>
      </x:c>
      <x:c r="CB1" s="292"/>
      <x:c r="CC1" s="292"/>
      <x:c r="CD1" s="292"/>
      <x:c r="CE1" s="292"/>
      <x:c r="CF1" s="292"/>
      <x:c r="CG1" s="292"/>
      <x:c r="CH1" s="292"/>
      <x:c r="CI1" s="292"/>
      <x:c r="CJ1" s="292"/>
      <x:c r="CK1" s="292"/>
      <x:c r="CL1" s="292"/>
      <x:c r="CM1" s="292"/>
      <x:c r="CN1" s="292"/>
      <x:c r="CO1" s="293"/>
      <x:c r="CP1" s="293"/>
      <x:c r="CQ1" s="293"/>
      <x:c r="CR1" s="293"/>
      <x:c r="CS1" s="293"/>
      <x:c r="CT1" s="293"/>
      <x:c r="CU1" s="293"/>
      <x:c r="CV1" s="293"/>
      <x:c r="CW1" s="293"/>
      <x:c r="CX1" s="287"/>
      <x:c r="CY1" s="293"/>
      <x:c r="CZ1" s="293"/>
      <x:c r="DA1" s="292"/>
      <x:c r="DB1" s="292"/>
      <x:c r="DC1" s="292"/>
      <x:c r="DD1" s="292"/>
      <x:c r="DE1" s="292"/>
      <x:c r="DF1" s="292"/>
      <x:c r="DG1" s="292"/>
      <x:c r="DH1" s="292"/>
      <x:c r="DI1" s="292"/>
      <x:c r="DJ1" s="294"/>
      <x:c r="DK1" s="294"/>
      <x:c r="DL1" s="294"/>
      <x:c r="DM1" s="294"/>
      <x:c r="DN1" s="294"/>
      <x:c r="DO1" s="294"/>
      <x:c r="DP1" s="294"/>
      <x:c r="DQ1" s="287"/>
      <x:c r="DR1" s="287"/>
      <x:c r="DS1" s="287"/>
      <x:c r="DT1" s="287"/>
      <x:c r="DU1" s="287"/>
      <x:c r="DV1" s="287"/>
      <x:c r="DW1" s="287"/>
      <x:c r="DX1" s="287"/>
      <x:c r="DY1" s="287"/>
      <x:c r="DZ1" s="287"/>
      <x:c r="EA1" s="287"/>
      <x:c r="EB1" s="287"/>
      <x:c r="EC1" s="292"/>
      <x:c r="ED1" s="292"/>
      <x:c r="EE1" s="292"/>
      <x:c r="EF1" s="292"/>
      <x:c r="EG1" s="292"/>
      <x:c r="EH1" s="292"/>
      <x:c r="EI1" s="292"/>
      <x:c r="EJ1" s="292"/>
      <x:c r="EK1" s="292"/>
      <x:c r="EL1" s="287"/>
      <x:c r="EM1" s="287"/>
      <x:c r="EN1" s="1178"/>
      <x:c r="EO1" s="1176"/>
      <x:c r="EP1" s="287"/>
      <x:c r="EQ1" s="1176"/>
      <x:c r="ER1" s="287"/>
      <x:c r="ES1" s="287"/>
      <x:c r="ET1" s="287"/>
      <x:c r="EU1" s="1835"/>
      <x:c r="EV1" s="581" t="s">
        <x:v>763</x:v>
      </x:c>
      <x:c r="EW1" s="360"/>
      <x:c r="EY1" s="359"/>
      <x:c r="EZ1" s="361" t="s">
        <x:v>504</x:v>
      </x:c>
      <x:c r="FA1" s="362">
        <x:f>'Job Info.'!U26</x:f>
        <x:v>3</x:v>
      </x:c>
      <x:c r="FB1" s="363" t="str">
        <x:f>IF(FA1=1,"Girder BL @ CL of Steel Support (if possible), minimize BL",IF(FA1=2,"Minimize Joist Base Length",IF(FA1=3,"Minimize TCX (Maximize Joist BL)",IF(FA1=4,"Girder BL @ CL of Steel Support (if possible), minimize TCX"))))</x:f>
        <x:v>Minimize TCX (Maximize Joist BL)</x:v>
      </x:c>
      <x:c r="FC1" s="363"/>
      <x:c r="FD1" s="360"/>
      <x:c r="FE1" s="360"/>
      <x:c r="FF1" s="296" t="s">
        <x:v>984</x:v>
      </x:c>
      <x:c r="FG1" s="449" t="str">
        <x:f>'Job Info.'!U27</x:f>
        <x:v>N</x:v>
      </x:c>
      <x:c r="FH1" s="296"/>
      <x:c r="FI1" s="296"/>
      <x:c r="FJ1" s="296"/>
      <x:c r="FL1" s="296"/>
      <x:c r="FO1" s="296"/>
      <x:c r="FP1" s="296"/>
      <x:c r="FQ1" s="296"/>
      <x:c r="FR1" s="296"/>
      <x:c r="FS1" s="296"/>
      <x:c r="FT1" s="296"/>
      <x:c r="FV1" s="583"/>
      <x:c r="FW1" s="295"/>
      <x:c r="FX1" s="295"/>
      <x:c r="FY1" s="295"/>
      <x:c r="FZ1" s="1145" t="s">
        <x:v>764</x:v>
      </x:c>
      <x:c r="GA1" s="288"/>
      <x:c r="GB1" s="288"/>
      <x:c r="GC1" s="288"/>
      <x:c r="GD1" s="288"/>
      <x:c r="GE1" s="288"/>
      <x:c r="GF1" s="288"/>
      <x:c r="GG1" s="288"/>
      <x:c r="GH1" s="288"/>
      <x:c r="GI1" s="288"/>
      <x:c r="GJ1" s="288"/>
      <x:c r="GL1" s="298"/>
      <x:c r="GM1" s="298"/>
      <x:c r="GN1" s="298"/>
      <x:c r="GO1" s="298"/>
      <x:c r="GY1" s="584" t="s">
        <x:v>759</x:v>
      </x:c>
      <x:c r="GZ1" s="1006" t="s">
        <x:v>1206</x:v>
      </x:c>
      <x:c r="HA1" s="289" t="b">
        <x:f>'Job Info.'!U4</x:f>
        <x:v>0</x:v>
      </x:c>
      <x:c r="HB1" s="1528"/>
      <x:c r="HC1" s="1528"/>
      <x:c r="HD1" s="1528"/>
      <x:c r="HE1" s="1528"/>
      <x:c r="HF1" s="1528"/>
      <x:c r="HG1" s="1528"/>
      <x:c r="HH1" s="1528"/>
      <x:c r="HI1" s="1528"/>
      <x:c r="HJ1" s="1529"/>
      <x:c r="HK1" s="1529"/>
      <x:c r="HL1" s="1529"/>
      <x:c r="HM1" s="1530"/>
      <x:c r="HN1" s="1531"/>
      <x:c r="HO1" s="1529"/>
      <x:c r="HP1" s="1529"/>
      <x:c r="HQ1" s="1529"/>
      <x:c r="HR1" s="1529"/>
      <x:c r="HS1" s="1529"/>
      <x:c r="HT1" s="1529"/>
      <x:c r="HU1" s="1529"/>
      <x:c r="HV1" s="1529"/>
      <x:c r="HW1" s="1529"/>
      <x:c r="HX1" s="1529"/>
      <x:c r="HY1" s="1529"/>
      <x:c r="HZ1" s="1529"/>
      <x:c r="IA1" s="1529"/>
      <x:c r="IB1" s="1529"/>
      <x:c r="IC1" s="1529"/>
      <x:c r="ID1" s="1529"/>
      <x:c r="IE1" s="1529"/>
      <x:c r="IF1" s="1529"/>
      <x:c r="IG1" s="1529"/>
      <x:c r="IH1" s="1528"/>
      <x:c r="II1" s="1528"/>
      <x:c r="IJ1" s="1528"/>
      <x:c r="IK1" s="1528"/>
      <x:c r="IL1" s="1532"/>
      <x:c r="IM1" s="1532"/>
      <x:c r="IN1" s="1532"/>
      <x:c r="IO1" s="1532"/>
      <x:c r="IP1" s="1532"/>
      <x:c r="IQ1" s="1532"/>
      <x:c r="IR1" s="1532"/>
      <x:c r="IS1" s="1532"/>
      <x:c r="IT1" s="1532"/>
      <x:c r="IU1" s="1532"/>
      <x:c r="IV1" s="1532"/>
      <x:c r="IW1" s="1532"/>
      <x:c r="IX1" s="1532"/>
      <x:c r="IY1" s="1532"/>
      <x:c r="IZ1" s="1532"/>
      <x:c r="JA1" s="1532"/>
      <x:c r="JB1" s="1532"/>
      <x:c r="JC1" s="1532"/>
      <x:c r="JD1" s="1532"/>
      <x:c r="JE1" s="1532"/>
      <x:c r="JF1" s="1532"/>
      <x:c r="JG1" s="1532"/>
      <x:c r="JH1" s="1532"/>
      <x:c r="JI1" s="1532"/>
      <x:c r="JJ1" s="1532"/>
      <x:c r="JK1" s="1532"/>
      <x:c r="JL1" s="1532"/>
      <x:c r="JM1" s="1532"/>
      <x:c r="JN1" s="1532"/>
      <x:c r="JO1" s="1532"/>
      <x:c r="JP1" s="579" t="s">
        <x:v>1191</x:v>
      </x:c>
    </x:row>
    <x:row r="2" spans="1:276" s="289" customFormat="1" ht="12.95" customHeight="1" thickTop="1" thickBot="1" x14ac:dyDescent="0.3">
      <x:c r="A2" s="454"/>
      <x:c r="B2" s="454"/>
      <x:c r="C2" s="454"/>
      <x:c r="D2" s="454"/>
      <x:c r="E2" s="454"/>
      <x:c r="F2" s="454"/>
      <x:c r="G2" s="454"/>
      <x:c r="H2" s="454"/>
      <x:c r="I2" s="454"/>
      <x:c r="J2" s="454"/>
      <x:c r="K2" s="454"/>
      <x:c r="L2" s="454"/>
      <x:c r="M2" s="454"/>
      <x:c r="N2" s="454"/>
      <x:c r="O2" s="454"/>
      <x:c r="P2" s="454"/>
      <x:c r="Q2" s="2228" t="str">
        <x:f>IF(BJ1="","",IF(VLOOKUP(BJ1,'Job Info.'!X:Z,2,FALSE),"Released for Fabrication",""))</x:f>
        <x:v/>
      </x:c>
      <x:c r="R2" s="2229"/>
      <x:c r="S2" s="2229"/>
      <x:c r="T2" s="2230"/>
      <x:c r="U2" s="454"/>
      <x:c r="V2" s="445"/>
      <x:c r="W2" s="2433" t="s">
        <x:v>97</x:v>
      </x:c>
      <x:c r="X2" s="2433"/>
      <x:c r="Y2" s="2433"/>
      <x:c r="Z2" s="1829" t="str">
        <x:f ca="1">'Job Info.'!D13</x:f>
        <x:v>775-867-2140</x:v>
      </x:c>
      <x:c r="AA2" s="444"/>
      <x:c r="AB2" s="454"/>
      <x:c r="AC2" s="454"/>
      <x:c r="AD2" s="454"/>
      <x:c r="AE2" s="454"/>
      <x:c r="AF2" s="454"/>
      <x:c r="AG2" s="454"/>
      <x:c r="AH2" s="454"/>
      <x:c r="AI2" s="454"/>
      <x:c r="AJ2" s="454"/>
      <x:c r="AK2" s="454"/>
      <x:c r="AL2" s="454"/>
      <x:c r="AM2" s="454"/>
      <x:c r="AN2" s="454"/>
      <x:c r="AO2" s="454"/>
      <x:c r="AP2" s="454"/>
      <x:c r="AQ2" s="444"/>
      <x:c r="AR2" s="454"/>
      <x:c r="AS2" s="454"/>
      <x:c r="AT2" s="454"/>
      <x:c r="AU2" s="2228" t="str">
        <x:f>Q2</x:f>
        <x:v/>
      </x:c>
      <x:c r="AV2" s="2229"/>
      <x:c r="AW2" s="2229"/>
      <x:c r="AX2" s="2230"/>
      <x:c r="AY2" s="454"/>
      <x:c r="AZ2" s="454"/>
      <x:c r="BA2" s="2433" t="s">
        <x:v>97</x:v>
      </x:c>
      <x:c r="BB2" s="2433"/>
      <x:c r="BC2" s="2433"/>
      <x:c r="BD2" s="2259" t="str">
        <x:f ca="1">'Job Info.'!D13</x:f>
        <x:v>775-867-2140</x:v>
      </x:c>
      <x:c r="BE2" s="2259"/>
      <x:c r="BF2" s="2259"/>
      <x:c r="BG2" s="556"/>
      <x:c r="BH2" s="321"/>
      <x:c r="BI2" s="449"/>
      <x:c r="BK2" s="291"/>
      <x:c r="CA2" s="581" t="s">
        <x:v>771</x:v>
      </x:c>
      <x:c r="CB2" s="292"/>
      <x:c r="CC2" s="292"/>
      <x:c r="CD2" s="292"/>
      <x:c r="CE2" s="292"/>
      <x:c r="CF2" s="292"/>
      <x:c r="CG2" s="292"/>
      <x:c r="CH2" s="292"/>
      <x:c r="CI2" s="292"/>
      <x:c r="CJ2" s="292"/>
      <x:c r="CK2" s="292"/>
      <x:c r="CL2" s="292"/>
      <x:c r="CM2" s="292"/>
      <x:c r="CN2" s="292"/>
      <x:c r="CO2" s="293"/>
      <x:c r="CP2" s="293"/>
      <x:c r="CQ2" s="239"/>
      <x:c r="CR2" s="239"/>
      <x:c r="CS2" s="240"/>
      <x:c r="CT2" s="239"/>
      <x:c r="CU2" s="239"/>
      <x:c r="CV2" s="239"/>
      <x:c r="CW2" s="243"/>
      <x:c r="CX2" s="287"/>
      <x:c r="CY2" s="300"/>
      <x:c r="CZ2" s="243"/>
      <x:c r="DA2" s="292"/>
      <x:c r="DB2" s="292"/>
      <x:c r="DC2" s="292"/>
      <x:c r="DD2" s="292"/>
      <x:c r="DE2" s="292"/>
      <x:c r="DF2" s="292"/>
      <x:c r="DG2" s="292"/>
      <x:c r="DH2" s="292"/>
      <x:c r="DI2" s="292"/>
      <x:c r="DJ2" s="294"/>
      <x:c r="DK2" s="294"/>
      <x:c r="DL2" s="294"/>
      <x:c r="DM2" s="294"/>
      <x:c r="DN2" s="294"/>
      <x:c r="DO2" s="294"/>
      <x:c r="DP2" s="294"/>
      <x:c r="DQ2" s="287"/>
      <x:c r="DR2" s="287"/>
      <x:c r="DS2" s="287"/>
      <x:c r="DT2" s="287"/>
      <x:c r="DU2" s="287"/>
      <x:c r="DV2" s="287"/>
      <x:c r="DW2" s="287"/>
      <x:c r="DX2" s="287"/>
      <x:c r="DY2" s="287"/>
      <x:c r="DZ2" s="287"/>
      <x:c r="EA2" s="287"/>
      <x:c r="EB2" s="287"/>
      <x:c r="EC2" s="293"/>
      <x:c r="ED2" s="293"/>
      <x:c r="EE2" s="293"/>
      <x:c r="EF2" s="293"/>
      <x:c r="EG2" s="293"/>
      <x:c r="EH2" s="292"/>
      <x:c r="EI2" s="292"/>
      <x:c r="EJ2" s="292"/>
      <x:c r="EK2" s="292"/>
      <x:c r="EL2" s="287"/>
      <x:c r="EM2" s="287"/>
      <x:c r="EN2" s="1178"/>
      <x:c r="EO2" s="1176"/>
      <x:c r="EP2" s="287"/>
      <x:c r="EQ2" s="1176"/>
      <x:c r="ER2" s="287"/>
      <x:c r="ES2" s="287"/>
      <x:c r="ET2" s="287"/>
      <x:c r="EU2" s="287"/>
      <x:c r="EV2" s="586" t="s">
        <x:v>772</x:v>
      </x:c>
      <x:c r="EW2" s="360"/>
      <x:c r="EY2" s="359"/>
      <x:c r="EZ2" s="361" t="s">
        <x:v>505</x:v>
      </x:c>
      <x:c r="FA2" s="362">
        <x:f>'Job Info.'!L19</x:f>
        <x:v>0.375</x:v>
      </x:c>
      <x:c r="FB2" s="361" t="s">
        <x:v>689</x:v>
      </x:c>
      <x:c r="FC2" s="364">
        <x:f>'Job Info.'!L21</x:f>
        <x:v>0.5</x:v>
      </x:c>
      <x:c r="FD2" s="361" t="s">
        <x:v>690</x:v>
      </x:c>
      <x:c r="FE2" s="364">
        <x:f>'Job Info.'!L22</x:f>
        <x:v>0.25</x:v>
      </x:c>
      <x:c r="FF2" s="360" t="s">
        <x:v>560</x:v>
      </x:c>
      <x:c r="FG2" s="365">
        <x:f>'Job Info.'!L20</x:f>
        <x:v>0.1875</x:v>
      </x:c>
      <x:c r="FH2" s="296"/>
      <x:c r="FI2" s="296"/>
      <x:c r="FJ2" s="296"/>
      <x:c r="FK2" s="296"/>
      <x:c r="FL2" s="296"/>
      <x:c r="FM2" s="296"/>
      <x:c r="FN2" s="296"/>
      <x:c r="FO2" s="296"/>
      <x:c r="FP2" s="296"/>
      <x:c r="FQ2" s="296"/>
      <x:c r="FR2" s="296"/>
      <x:c r="FS2" s="296"/>
      <x:c r="FT2" s="296"/>
      <x:c r="FU2" s="295"/>
      <x:c r="FV2" s="1145"/>
      <x:c r="FW2" s="1145"/>
      <x:c r="FX2" s="1145"/>
      <x:c r="FY2" s="1145"/>
      <x:c r="FZ2" s="584" t="s">
        <x:v>757</x:v>
      </x:c>
      <x:c r="GA2" s="288"/>
      <x:c r="GB2" s="288"/>
      <x:c r="GC2" s="288"/>
      <x:c r="GD2" s="288"/>
      <x:c r="GE2" s="288"/>
      <x:c r="GF2" s="288"/>
      <x:c r="GG2" s="288"/>
      <x:c r="GH2" s="288"/>
      <x:c r="GI2" s="288"/>
      <x:c r="GJ2" s="288"/>
      <x:c r="GL2" s="298"/>
      <x:c r="GM2" s="298"/>
      <x:c r="GN2" s="585" t="s">
        <x:v>758</x:v>
      </x:c>
      <x:c r="GO2" s="298"/>
      <x:c r="GP2" s="298"/>
      <x:c r="GZ2" s="298"/>
      <x:c r="HA2" s="1528"/>
      <x:c r="HB2" s="1528"/>
      <x:c r="HC2" s="1528"/>
      <x:c r="HD2" s="1528"/>
      <x:c r="HE2" s="1528"/>
      <x:c r="HF2" s="1528"/>
      <x:c r="HG2" s="1528"/>
      <x:c r="HH2" s="1528"/>
      <x:c r="HI2" s="1528"/>
      <x:c r="HJ2" s="1529"/>
      <x:c r="HK2" s="1529"/>
      <x:c r="HL2" s="1529"/>
      <x:c r="HM2" s="1530"/>
      <x:c r="HN2" s="1531"/>
      <x:c r="HO2" s="1529"/>
      <x:c r="HP2" s="1529"/>
      <x:c r="HQ2" s="1529"/>
      <x:c r="HR2" s="1529"/>
      <x:c r="HS2" s="1529"/>
      <x:c r="HT2" s="1529"/>
      <x:c r="HU2" s="1529"/>
      <x:c r="HV2" s="1529"/>
      <x:c r="HW2" s="1529"/>
      <x:c r="HX2" s="1529"/>
      <x:c r="HY2" s="1529"/>
      <x:c r="HZ2" s="1529"/>
      <x:c r="IA2" s="1529"/>
      <x:c r="IB2" s="1529"/>
      <x:c r="IC2" s="1529"/>
      <x:c r="ID2" s="1529"/>
      <x:c r="IE2" s="1529"/>
      <x:c r="IF2" s="1529"/>
      <x:c r="IG2" s="1529"/>
      <x:c r="IH2" s="1528"/>
      <x:c r="II2" s="1528"/>
      <x:c r="IJ2" s="1528"/>
      <x:c r="IK2" s="1528"/>
      <x:c r="IL2" s="1532"/>
      <x:c r="IM2" s="1532"/>
      <x:c r="IN2" s="1532"/>
      <x:c r="IO2" s="1532"/>
      <x:c r="IP2" s="1532"/>
      <x:c r="IQ2" s="1532"/>
      <x:c r="IR2" s="1532"/>
      <x:c r="IS2" s="1532"/>
      <x:c r="IT2" s="1532"/>
      <x:c r="IU2" s="1532"/>
      <x:c r="IV2" s="1532"/>
      <x:c r="IW2" s="1532"/>
      <x:c r="IX2" s="1532"/>
      <x:c r="IY2" s="1532"/>
      <x:c r="IZ2" s="1532"/>
      <x:c r="JA2" s="1532"/>
      <x:c r="JB2" s="1532"/>
      <x:c r="JC2" s="1532"/>
      <x:c r="JD2" s="1532"/>
      <x:c r="JE2" s="1532"/>
      <x:c r="JF2" s="1532"/>
      <x:c r="JG2" s="1532"/>
      <x:c r="JH2" s="1532"/>
      <x:c r="JI2" s="1532"/>
      <x:c r="JJ2" s="1532"/>
      <x:c r="JK2" s="1532"/>
      <x:c r="JL2" s="1532"/>
      <x:c r="JM2" s="1532"/>
      <x:c r="JN2" s="1532"/>
      <x:c r="JO2" s="1532"/>
    </x:row>
    <x:row r="3" spans="1:276" s="289" customFormat="1" ht="12.95" customHeight="1" thickBot="1" x14ac:dyDescent="0.3">
      <x:c r="A3" s="454"/>
      <x:c r="B3" s="454"/>
      <x:c r="C3" s="454"/>
      <x:c r="D3" s="454"/>
      <x:c r="E3" s="454"/>
      <x:c r="F3" s="454"/>
      <x:c r="G3" s="454"/>
      <x:c r="H3" s="454"/>
      <x:c r="I3" s="454"/>
      <x:c r="J3" s="454"/>
      <x:c r="K3" s="454"/>
      <x:c r="L3" s="454"/>
      <x:c r="M3" s="454"/>
      <x:c r="N3" s="454"/>
      <x:c r="O3" s="454"/>
      <x:c r="P3" s="454"/>
      <x:c r="Q3" s="2231"/>
      <x:c r="R3" s="2232"/>
      <x:c r="S3" s="2232"/>
      <x:c r="T3" s="2233"/>
      <x:c r="U3" s="454"/>
      <x:c r="V3" s="445"/>
      <x:c r="W3" s="2433" t="s">
        <x:v>99</x:v>
      </x:c>
      <x:c r="X3" s="2433"/>
      <x:c r="Y3" s="2433"/>
      <x:c r="Z3" s="1829" t="str">
        <x:f ca="1">'Job Info.'!D14</x:f>
        <x:v>775-867-2169</x:v>
      </x:c>
      <x:c r="AA3" s="444"/>
      <x:c r="AB3" s="454"/>
      <x:c r="AC3" s="454"/>
      <x:c r="AD3" s="454"/>
      <x:c r="AE3" s="454"/>
      <x:c r="AF3" s="454"/>
      <x:c r="AG3" s="454"/>
      <x:c r="AH3" s="454"/>
      <x:c r="AI3" s="454"/>
      <x:c r="AJ3" s="454"/>
      <x:c r="AK3" s="454"/>
      <x:c r="AL3" s="454"/>
      <x:c r="AM3" s="454"/>
      <x:c r="AN3" s="454"/>
      <x:c r="AO3" s="454"/>
      <x:c r="AP3" s="454"/>
      <x:c r="AQ3" s="444"/>
      <x:c r="AR3" s="454"/>
      <x:c r="AS3" s="454"/>
      <x:c r="AT3" s="454"/>
      <x:c r="AU3" s="2231"/>
      <x:c r="AV3" s="2232"/>
      <x:c r="AW3" s="2232"/>
      <x:c r="AX3" s="2233"/>
      <x:c r="AY3" s="454"/>
      <x:c r="AZ3" s="454"/>
      <x:c r="BA3" s="2433" t="s">
        <x:v>99</x:v>
      </x:c>
      <x:c r="BB3" s="2433"/>
      <x:c r="BC3" s="2433"/>
      <x:c r="BD3" s="2259" t="str">
        <x:f ca="1">'Job Info.'!D14</x:f>
        <x:v>775-867-2169</x:v>
      </x:c>
      <x:c r="BE3" s="2259"/>
      <x:c r="BF3" s="2259"/>
      <x:c r="BG3" s="444"/>
      <x:c r="BH3" s="321"/>
      <x:c r="BI3" s="449"/>
      <x:c r="CA3" s="302"/>
      <x:c r="CB3" s="292"/>
      <x:c r="CC3" s="292"/>
      <x:c r="CD3" s="292"/>
      <x:c r="CE3" s="292"/>
      <x:c r="CF3" s="292"/>
      <x:c r="CG3" s="292"/>
      <x:c r="CH3" s="292"/>
      <x:c r="CI3" s="292"/>
      <x:c r="CJ3" s="292"/>
      <x:c r="CK3" s="292"/>
      <x:c r="CL3" s="292"/>
      <x:c r="CM3" s="292"/>
      <x:c r="CN3" s="292"/>
      <x:c r="CO3" s="293"/>
      <x:c r="CP3" s="239"/>
      <x:c r="CQ3" s="241"/>
      <x:c r="CR3" s="242"/>
      <x:c r="CS3" s="243"/>
      <x:c r="CT3" s="243"/>
      <x:c r="CU3" s="244"/>
      <x:c r="CV3" s="241"/>
      <x:c r="CW3" s="241"/>
      <x:c r="CX3" s="287"/>
      <x:c r="CY3" s="300"/>
      <x:c r="CZ3" s="243"/>
      <x:c r="DA3" s="292"/>
      <x:c r="DB3" s="292"/>
      <x:c r="DC3" s="292"/>
      <x:c r="DD3" s="292"/>
      <x:c r="DE3" s="292"/>
      <x:c r="DF3" s="292"/>
      <x:c r="DG3" s="292"/>
      <x:c r="DH3" s="292"/>
      <x:c r="DI3" s="292"/>
      <x:c r="DJ3" s="294"/>
      <x:c r="DK3" s="294"/>
      <x:c r="DL3" s="294"/>
      <x:c r="DM3" s="294"/>
      <x:c r="DN3" s="294"/>
      <x:c r="DO3" s="294"/>
      <x:c r="DP3" s="294"/>
      <x:c r="DQ3" s="287"/>
      <x:c r="DR3" s="287"/>
      <x:c r="DS3" s="287"/>
      <x:c r="DT3" s="287"/>
      <x:c r="DU3" s="287"/>
      <x:c r="DV3" s="287"/>
      <x:c r="DW3" s="287"/>
      <x:c r="DX3" s="287"/>
      <x:c r="DY3" s="287"/>
      <x:c r="DZ3" s="287"/>
      <x:c r="EA3" s="287"/>
      <x:c r="EB3" s="287"/>
      <x:c r="EC3" s="293"/>
      <x:c r="ED3" s="293"/>
      <x:c r="EE3" s="293"/>
      <x:c r="EF3" s="293"/>
      <x:c r="EG3" s="293"/>
      <x:c r="EH3" s="292"/>
      <x:c r="EI3" s="292"/>
      <x:c r="EJ3" s="292"/>
      <x:c r="EK3" s="292"/>
      <x:c r="EL3" s="294"/>
      <x:c r="EM3" s="287"/>
      <x:c r="EN3" s="1178"/>
      <x:c r="EO3" s="1176"/>
      <x:c r="EP3" s="287"/>
      <x:c r="EQ3" s="287"/>
      <x:c r="ER3" s="287"/>
      <x:c r="ES3" s="287"/>
      <x:c r="ET3" s="287"/>
      <x:c r="EU3" s="287"/>
      <x:c r="EW3" s="360"/>
      <x:c r="EX3" s="366" t="s">
        <x:v>1110</x:v>
      </x:c>
      <x:c r="EY3" s="368" t="s">
        <x:v>1148</x:v>
      </x:c>
      <x:c r="EZ3" s="367" t="s">
        <x:v>172</x:v>
      </x:c>
      <x:c r="FA3" s="368" t="s">
        <x:v>499</x:v>
      </x:c>
      <x:c r="FB3" s="369" t="s">
        <x:v>500</x:v>
      </x:c>
      <x:c r="FC3" s="368" t="s">
        <x:v>501</x:v>
      </x:c>
      <x:c r="FD3" s="368" t="s">
        <x:v>502</x:v>
      </x:c>
      <x:c r="FE3" s="368" t="s">
        <x:v>503</x:v>
      </x:c>
      <x:c r="FF3" s="370" t="s">
        <x:v>722</x:v>
      </x:c>
      <x:c r="FG3" s="2375" t="s">
        <x:v>1153</x:v>
      </x:c>
      <x:c r="FH3" s="2376"/>
      <x:c r="FI3" s="2377"/>
      <x:c r="FJ3" s="296"/>
      <x:c r="FK3" s="296"/>
      <x:c r="FL3" s="296"/>
      <x:c r="FM3" s="296"/>
      <x:c r="FN3" s="296"/>
      <x:c r="FO3" s="296"/>
      <x:c r="FP3" s="296"/>
      <x:c r="FQ3" s="296"/>
      <x:c r="FR3" s="296"/>
      <x:c r="FS3" s="296"/>
      <x:c r="FT3" s="296"/>
      <x:c r="FU3" s="295"/>
      <x:c r="FV3" s="295"/>
      <x:c r="FW3" s="295"/>
      <x:c r="FX3" s="295"/>
      <x:c r="FY3" s="295"/>
      <x:c r="GA3" s="288"/>
      <x:c r="GB3" s="288"/>
      <x:c r="GC3" s="288"/>
      <x:c r="GD3" s="288"/>
      <x:c r="GE3" s="288"/>
      <x:c r="GF3" s="288"/>
      <x:c r="GG3" s="288"/>
      <x:c r="GH3" s="288"/>
      <x:c r="GI3" s="288"/>
      <x:c r="GJ3" s="288"/>
      <x:c r="GK3" s="295"/>
      <x:c r="GL3" s="298"/>
      <x:c r="GM3" s="298"/>
      <x:c r="GN3" s="298"/>
      <x:c r="GO3" s="298"/>
      <x:c r="GP3" s="298"/>
      <x:c r="GZ3" s="298"/>
      <x:c r="HA3" s="1528"/>
      <x:c r="HB3" s="1528"/>
      <x:c r="HC3" s="1533"/>
      <x:c r="HD3" s="1528"/>
      <x:c r="HE3" s="1528"/>
      <x:c r="HF3" s="1528"/>
      <x:c r="HG3" s="1528"/>
      <x:c r="HH3" s="1528"/>
      <x:c r="HI3" s="1528"/>
      <x:c r="HJ3" s="1529"/>
      <x:c r="HK3" s="1529"/>
      <x:c r="HL3" s="1529"/>
      <x:c r="HM3" s="1530"/>
      <x:c r="HN3" s="1531"/>
      <x:c r="HO3" s="1529"/>
      <x:c r="HP3" s="1529"/>
      <x:c r="HQ3" s="1529"/>
      <x:c r="HR3" s="1529"/>
      <x:c r="HS3" s="1529"/>
      <x:c r="HT3" s="1529"/>
      <x:c r="HU3" s="1529"/>
      <x:c r="HV3" s="1529"/>
      <x:c r="HW3" s="1529"/>
      <x:c r="HX3" s="1529"/>
      <x:c r="HY3" s="1529"/>
      <x:c r="HZ3" s="1529"/>
      <x:c r="IA3" s="1529"/>
      <x:c r="IB3" s="1529"/>
      <x:c r="IC3" s="1529"/>
      <x:c r="ID3" s="1529"/>
      <x:c r="IE3" s="1529"/>
      <x:c r="IF3" s="1529"/>
      <x:c r="IG3" s="1529"/>
      <x:c r="IH3" s="1528"/>
      <x:c r="II3" s="1528"/>
      <x:c r="IJ3" s="1528"/>
      <x:c r="IK3" s="1528"/>
      <x:c r="IL3" s="1532"/>
      <x:c r="IM3" s="1532"/>
      <x:c r="IN3" s="1532"/>
      <x:c r="IO3" s="1532"/>
      <x:c r="IP3" s="1532"/>
      <x:c r="IQ3" s="1532"/>
      <x:c r="IR3" s="1532"/>
      <x:c r="IS3" s="1532"/>
      <x:c r="IT3" s="1532"/>
      <x:c r="IU3" s="1532"/>
      <x:c r="IV3" s="1532"/>
      <x:c r="IW3" s="1532"/>
      <x:c r="IX3" s="1532"/>
      <x:c r="IY3" s="1532"/>
      <x:c r="IZ3" s="1532"/>
      <x:c r="JA3" s="1532"/>
      <x:c r="JB3" s="1532"/>
      <x:c r="JC3" s="1532"/>
      <x:c r="JD3" s="1532"/>
      <x:c r="JE3" s="1532"/>
      <x:c r="JF3" s="1532"/>
      <x:c r="JG3" s="1532"/>
      <x:c r="JH3" s="1532"/>
      <x:c r="JI3" s="1532"/>
      <x:c r="JJ3" s="1532"/>
      <x:c r="JK3" s="1532"/>
      <x:c r="JL3" s="1532"/>
      <x:c r="JM3" s="1532"/>
      <x:c r="JN3" s="1532"/>
      <x:c r="JO3" s="1532"/>
    </x:row>
    <x:row r="4" spans="1:276" s="289" customFormat="1" ht="12.95" customHeight="1" thickTop="1" thickBot="1" x14ac:dyDescent="0.25">
      <x:c r="A4" s="454"/>
      <x:c r="B4" s="454"/>
      <x:c r="C4" s="454"/>
      <x:c r="D4" s="454"/>
      <x:c r="E4" s="454"/>
      <x:c r="F4" s="454"/>
      <x:c r="G4" s="454"/>
      <x:c r="H4" s="454"/>
      <x:c r="I4" s="454"/>
      <x:c r="J4" s="454"/>
      <x:c r="K4" s="454"/>
      <x:c r="L4" s="454"/>
      <x:c r="M4" s="1398"/>
      <x:c r="N4" s="444"/>
      <x:c r="O4" s="444"/>
      <x:c r="P4" s="444"/>
      <x:c r="Q4" s="2234" t="str">
        <x:f>IF(BJ1="","",IF(VLOOKUP(BJ1,'Job Info.'!X:Z,2,FALSE),VLOOKUP(BJ1,'Job Info.'!X:Z,3,FALSE),""))</x:f>
        <x:v/>
      </x:c>
      <x:c r="R4" s="2235"/>
      <x:c r="S4" s="2235"/>
      <x:c r="T4" s="2236"/>
      <x:c r="U4" s="444"/>
      <x:c r="V4" s="445"/>
      <x:c r="W4" s="2433" t="s">
        <x:v>98</x:v>
      </x:c>
      <x:c r="X4" s="2433"/>
      <x:c r="Y4" s="2433"/>
      <x:c r="Z4" s="1829" t="str">
        <x:f ca="1">'Job Info.'!D15</x:f>
        <x:v>775-867-2060</x:v>
      </x:c>
      <x:c r="AA4" s="444"/>
      <x:c r="AB4" s="444"/>
      <x:c r="AC4" s="444"/>
      <x:c r="AD4" s="444"/>
      <x:c r="AE4" s="444"/>
      <x:c r="AF4" s="444"/>
      <x:c r="AG4" s="444"/>
      <x:c r="AH4" s="444"/>
      <x:c r="AI4" s="444"/>
      <x:c r="AJ4" s="444"/>
      <x:c r="AK4" s="444"/>
      <x:c r="AL4" s="444"/>
      <x:c r="AM4" s="444"/>
      <x:c r="AN4" s="444"/>
      <x:c r="AO4" s="444"/>
      <x:c r="AP4" s="444"/>
      <x:c r="AQ4" s="444"/>
      <x:c r="AR4" s="1398"/>
      <x:c r="AS4" s="1398"/>
      <x:c r="AT4" s="444"/>
      <x:c r="AU4" s="2234" t="str">
        <x:f>Q4</x:f>
        <x:v/>
      </x:c>
      <x:c r="AV4" s="2679"/>
      <x:c r="AW4" s="2679"/>
      <x:c r="AX4" s="2680"/>
      <x:c r="AY4" s="454"/>
      <x:c r="AZ4" s="454"/>
      <x:c r="BA4" s="2433" t="s">
        <x:v>98</x:v>
      </x:c>
      <x:c r="BB4" s="2433"/>
      <x:c r="BC4" s="2433"/>
      <x:c r="BD4" s="2259" t="str">
        <x:f ca="1">'Job Info.'!D15</x:f>
        <x:v>775-867-2060</x:v>
      </x:c>
      <x:c r="BE4" s="2259"/>
      <x:c r="BF4" s="2259"/>
      <x:c r="BG4" s="444"/>
      <x:c r="BH4" s="321"/>
      <x:c r="BI4" s="449"/>
      <x:c r="CA4" s="302"/>
      <x:c r="CB4" s="292"/>
      <x:c r="CC4" s="292"/>
      <x:c r="CD4" s="292"/>
      <x:c r="CE4" s="292"/>
      <x:c r="CF4" s="292"/>
      <x:c r="CG4" s="292"/>
      <x:c r="CH4" s="292"/>
      <x:c r="CI4" s="292"/>
      <x:c r="CJ4" s="292"/>
      <x:c r="CK4" s="292"/>
      <x:c r="CL4" s="305"/>
      <x:c r="CM4" s="292"/>
      <x:c r="CN4" s="292"/>
      <x:c r="CO4" s="293"/>
      <x:c r="CP4" s="293"/>
      <x:c r="CQ4" s="293"/>
      <x:c r="CR4" s="293"/>
      <x:c r="CS4" s="293"/>
      <x:c r="CT4" s="293"/>
      <x:c r="CU4" s="293"/>
      <x:c r="CV4" s="293"/>
      <x:c r="CW4" s="293"/>
      <x:c r="CX4" s="287"/>
      <x:c r="CY4" s="293"/>
      <x:c r="CZ4" s="650" t="s">
        <x:v>719</x:v>
      </x:c>
      <x:c r="DA4" s="2373"/>
      <x:c r="DB4" s="2374"/>
      <x:c r="DC4" s="2374"/>
      <x:c r="DD4" s="2374"/>
      <x:c r="DE4" s="292"/>
      <x:c r="DF4" s="292"/>
      <x:c r="DG4" s="292"/>
      <x:c r="DH4" s="292"/>
      <x:c r="DI4" s="292"/>
      <x:c r="DJ4" s="294"/>
      <x:c r="DK4" s="294"/>
      <x:c r="DL4" s="294"/>
      <x:c r="DM4" s="294"/>
      <x:c r="DN4" s="294"/>
      <x:c r="DO4" s="294"/>
      <x:c r="DP4" s="294"/>
      <x:c r="DQ4" s="287"/>
      <x:c r="DR4" s="287"/>
      <x:c r="DS4" s="287"/>
      <x:c r="DT4" s="287"/>
      <x:c r="DU4" s="287"/>
      <x:c r="DV4" s="287"/>
      <x:c r="DW4" s="287"/>
      <x:c r="DX4" s="287"/>
      <x:c r="DY4" s="287"/>
      <x:c r="DZ4" s="287"/>
      <x:c r="EA4" s="287"/>
      <x:c r="EB4" s="287"/>
      <x:c r="EC4" s="293"/>
      <x:c r="ED4" s="293"/>
      <x:c r="EE4" s="293"/>
      <x:c r="EF4" s="293"/>
      <x:c r="EG4" s="293"/>
      <x:c r="EH4" s="292"/>
      <x:c r="EI4" s="292"/>
      <x:c r="EJ4" s="292"/>
      <x:c r="EK4" s="292"/>
      <x:c r="EL4" s="294"/>
      <x:c r="EM4" s="287"/>
      <x:c r="EN4" s="1178"/>
      <x:c r="EO4" s="1176"/>
      <x:c r="EP4" s="1176"/>
      <x:c r="EQ4" s="287"/>
      <x:c r="ER4" s="287"/>
      <x:c r="ES4" s="287"/>
      <x:c r="ET4" s="287"/>
      <x:c r="EU4" s="1176"/>
      <x:c r="EW4" s="371" t="s">
        <x:v>475</x:v>
      </x:c>
      <x:c r="EX4" s="372">
        <x:v>1.125</x:v>
      </x:c>
      <x:c r="EY4" s="374">
        <x:f>'Job Info.'!N15/2</x:f>
        <x:v>1.5</x:v>
      </x:c>
      <x:c r="EZ4" s="373">
        <x:f>'Job Info.'!H15</x:f>
        <x:v>7.5</x:v>
      </x:c>
      <x:c r="FA4" s="374">
        <x:f>'Job Info.'!J15</x:f>
        <x:v>6</x:v>
      </x:c>
      <x:c r="FB4" s="374">
        <x:f>'Job Info.'!I15</x:f>
        <x:v>4</x:v>
      </x:c>
      <x:c r="FC4" s="374">
        <x:f>'Job Info.'!K15</x:f>
        <x:v>5</x:v>
      </x:c>
      <x:c r="FD4" s="375">
        <x:f>'Job Info.'!M15</x:f>
        <x:v>0.8125</x:v>
      </x:c>
      <x:c r="FE4" s="374">
        <x:f>'Job Info.'!L15</x:f>
        <x:v>1.5</x:v>
      </x:c>
      <x:c r="FF4" s="376">
        <x:f>'Job Info.'!O15</x:f>
        <x:v>5</x:v>
      </x:c>
      <x:c r="FG4" s="993">
        <x:v>0</x:v>
      </x:c>
      <x:c r="FH4" s="993">
        <x:v>7.125</x:v>
      </x:c>
      <x:c r="FI4" s="994">
        <x:v>17.125</x:v>
      </x:c>
      <x:c r="GA4" s="287"/>
      <x:c r="GB4" s="287"/>
      <x:c r="GC4" s="287"/>
      <x:c r="GD4" s="287"/>
      <x:c r="GE4" s="287"/>
      <x:c r="GF4" s="288"/>
      <x:c r="GG4" s="288"/>
      <x:c r="GH4" s="288"/>
      <x:c r="GI4" s="288"/>
      <x:c r="GJ4" s="288"/>
      <x:c r="GK4" s="295"/>
      <x:c r="GL4" s="298"/>
      <x:c r="GM4" s="298"/>
      <x:c r="GN4" s="298"/>
      <x:c r="GO4" s="298"/>
      <x:c r="GP4" s="298"/>
      <x:c r="GZ4" s="298"/>
      <x:c r="HA4" s="1528"/>
      <x:c r="HB4" s="1528"/>
      <x:c r="HC4" s="1533"/>
      <x:c r="HD4" s="1528"/>
      <x:c r="HE4" s="1528"/>
      <x:c r="HF4" s="1528"/>
      <x:c r="HG4" s="1528"/>
      <x:c r="HH4" s="1528"/>
      <x:c r="HI4" s="1528"/>
      <x:c r="HJ4" s="1529"/>
      <x:c r="HK4" s="1529"/>
      <x:c r="HL4" s="1529"/>
      <x:c r="HM4" s="1530"/>
      <x:c r="HN4" s="1531"/>
      <x:c r="HO4" s="1529"/>
      <x:c r="HP4" s="1529"/>
      <x:c r="HQ4" s="1529"/>
      <x:c r="HR4" s="1529"/>
      <x:c r="HS4" s="1529"/>
      <x:c r="HT4" s="1529"/>
      <x:c r="HU4" s="1529"/>
      <x:c r="HV4" s="1529"/>
      <x:c r="HW4" s="1529"/>
      <x:c r="HX4" s="1529"/>
      <x:c r="HY4" s="1529"/>
      <x:c r="HZ4" s="1529"/>
      <x:c r="IA4" s="1529"/>
      <x:c r="IB4" s="1529"/>
      <x:c r="IC4" s="1529"/>
      <x:c r="ID4" s="1529"/>
      <x:c r="IE4" s="1529"/>
      <x:c r="IF4" s="1529"/>
      <x:c r="IG4" s="1529"/>
      <x:c r="IH4" s="1528"/>
      <x:c r="II4" s="1528"/>
      <x:c r="IJ4" s="1528"/>
      <x:c r="IK4" s="1528"/>
      <x:c r="IL4" s="1532"/>
      <x:c r="IM4" s="1532"/>
      <x:c r="IN4" s="1532"/>
      <x:c r="IO4" s="1532"/>
      <x:c r="IP4" s="1532"/>
      <x:c r="IQ4" s="1532"/>
      <x:c r="IR4" s="1532"/>
      <x:c r="IS4" s="1532"/>
      <x:c r="IT4" s="1532"/>
      <x:c r="IU4" s="1532"/>
      <x:c r="IV4" s="1532"/>
      <x:c r="IW4" s="1532"/>
      <x:c r="IX4" s="1532"/>
      <x:c r="IY4" s="1532"/>
      <x:c r="IZ4" s="1532"/>
      <x:c r="JA4" s="1532"/>
      <x:c r="JB4" s="1532"/>
      <x:c r="JC4" s="1532"/>
      <x:c r="JD4" s="1532"/>
      <x:c r="JE4" s="1532"/>
      <x:c r="JF4" s="1532"/>
      <x:c r="JG4" s="1532"/>
      <x:c r="JH4" s="1532"/>
      <x:c r="JI4" s="1532"/>
      <x:c r="JJ4" s="1532"/>
      <x:c r="JK4" s="1532"/>
      <x:c r="JL4" s="1532"/>
      <x:c r="JM4" s="1532"/>
      <x:c r="JN4" s="1532"/>
      <x:c r="JO4" s="1532"/>
    </x:row>
    <x:row r="5" spans="1:276" s="289" customFormat="1" ht="12.95" customHeight="1" thickTop="1" thickBot="1" x14ac:dyDescent="0.25">
      <x:c r="A5" s="2426" t="str">
        <x:f ca="1">'Job Info.'!D11</x:f>
        <x:v>8200 Woolery Way | Fallon, NV 89406 | www.newmill.com</x:v>
      </x:c>
      <x:c r="B5" s="2427"/>
      <x:c r="C5" s="2427"/>
      <x:c r="D5" s="2427"/>
      <x:c r="E5" s="2427"/>
      <x:c r="F5" s="2427"/>
      <x:c r="G5" s="2427"/>
      <x:c r="H5" s="2427"/>
      <x:c r="I5" s="2427"/>
      <x:c r="J5" s="2427"/>
      <x:c r="K5" s="2427"/>
      <x:c r="L5" s="2427"/>
      <x:c r="M5" s="444"/>
      <x:c r="N5" s="444"/>
      <x:c r="O5" s="444"/>
      <x:c r="P5" s="444"/>
      <x:c r="Q5" s="444"/>
      <x:c r="R5" s="444"/>
      <x:c r="S5" s="444"/>
      <x:c r="T5" s="444"/>
      <x:c r="U5" s="444"/>
      <x:c r="V5" s="444"/>
      <x:c r="W5" s="444"/>
      <x:c r="X5" s="444"/>
      <x:c r="Y5" s="1399"/>
      <x:c r="Z5" s="1399"/>
      <x:c r="AA5" s="444"/>
      <x:c r="AB5" s="2450" t="str">
        <x:f ca="1">'Job Info.'!D11</x:f>
        <x:v>8200 Woolery Way | Fallon, NV 89406 | www.newmill.com</x:v>
      </x:c>
      <x:c r="AC5" s="2683"/>
      <x:c r="AD5" s="2683"/>
      <x:c r="AE5" s="2683"/>
      <x:c r="AF5" s="2683"/>
      <x:c r="AG5" s="2683"/>
      <x:c r="AH5" s="2683"/>
      <x:c r="AI5" s="2683"/>
      <x:c r="AJ5" s="2683"/>
      <x:c r="AK5" s="2683"/>
      <x:c r="AL5" s="2683"/>
      <x:c r="AM5" s="2683"/>
      <x:c r="AN5" s="2683"/>
      <x:c r="AO5" s="2683"/>
      <x:c r="AP5" s="2683"/>
      <x:c r="AQ5" s="2683"/>
      <x:c r="AR5" s="444"/>
      <x:c r="AS5" s="444"/>
      <x:c r="AT5" s="444"/>
      <x:c r="AU5" s="444"/>
      <x:c r="AV5" s="444"/>
      <x:c r="AW5" s="444"/>
      <x:c r="AX5" s="444"/>
      <x:c r="AY5" s="444"/>
      <x:c r="AZ5" s="444"/>
      <x:c r="BA5" s="444"/>
      <x:c r="BB5" s="444"/>
      <x:c r="BC5" s="444"/>
      <x:c r="BD5" s="444"/>
      <x:c r="BE5" s="444"/>
      <x:c r="BF5" s="444"/>
      <x:c r="BG5" s="444"/>
      <x:c r="BH5" s="321"/>
      <x:c r="BI5" s="449"/>
      <x:c r="CA5" s="302"/>
      <x:c r="CB5" s="292"/>
      <x:c r="CC5" s="292"/>
      <x:c r="CD5" s="292"/>
      <x:c r="CE5" s="292"/>
      <x:c r="CF5" s="292"/>
      <x:c r="CG5" s="292"/>
      <x:c r="CH5" s="292"/>
      <x:c r="CI5" s="292"/>
      <x:c r="CJ5" s="292"/>
      <x:c r="CK5" s="292"/>
      <x:c r="CL5" s="306"/>
      <x:c r="CM5" s="292"/>
      <x:c r="CN5" s="292"/>
      <x:c r="CO5" s="293"/>
      <x:c r="CP5" s="293"/>
      <x:c r="CQ5" s="293"/>
      <x:c r="CR5" s="293"/>
      <x:c r="CS5" s="293"/>
      <x:c r="CT5" s="293"/>
      <x:c r="CU5" s="293"/>
      <x:c r="CV5" s="293"/>
      <x:c r="CW5" s="293"/>
      <x:c r="CX5" s="287"/>
      <x:c r="CY5" s="293"/>
      <x:c r="CZ5" s="293"/>
      <x:c r="DA5" s="292"/>
      <x:c r="DB5" s="292"/>
      <x:c r="DC5" s="292"/>
      <x:c r="DD5" s="292"/>
      <x:c r="DE5" s="292"/>
      <x:c r="DF5" s="292"/>
      <x:c r="DG5" s="292"/>
      <x:c r="DH5" s="292"/>
      <x:c r="DI5" s="292"/>
      <x:c r="DJ5" s="294"/>
      <x:c r="DK5" s="294"/>
      <x:c r="DL5" s="294"/>
      <x:c r="DM5" s="294"/>
      <x:c r="DN5" s="294"/>
      <x:c r="DO5" s="294"/>
      <x:c r="DP5" s="294"/>
      <x:c r="DQ5" s="287"/>
      <x:c r="DR5" s="287"/>
      <x:c r="DS5" s="287"/>
      <x:c r="DT5" s="287"/>
      <x:c r="DU5" s="287"/>
      <x:c r="DV5" s="287"/>
      <x:c r="DW5" s="287"/>
      <x:c r="DX5" s="287"/>
      <x:c r="DY5" s="287"/>
      <x:c r="DZ5" s="287"/>
      <x:c r="EA5" s="287"/>
      <x:c r="EB5" s="287"/>
      <x:c r="EC5" s="293"/>
      <x:c r="ED5" s="293"/>
      <x:c r="EE5" s="293"/>
      <x:c r="EF5" s="293"/>
      <x:c r="EG5" s="293"/>
      <x:c r="EH5" s="292"/>
      <x:c r="EI5" s="292"/>
      <x:c r="EJ5" s="292"/>
      <x:c r="EK5" s="292"/>
      <x:c r="EL5" s="294"/>
      <x:c r="EM5" s="287"/>
      <x:c r="EN5" s="1178"/>
      <x:c r="EO5" s="1176"/>
      <x:c r="EP5" s="1176"/>
      <x:c r="EQ5" s="1176"/>
      <x:c r="ER5" s="1179"/>
      <x:c r="ES5" s="1179"/>
      <x:c r="ET5" s="1179"/>
      <x:c r="EU5" s="1179"/>
      <x:c r="EV5" s="377"/>
      <x:c r="EW5" s="1291" t="s">
        <x:v>1177</x:v>
      </x:c>
      <x:c r="EX5" s="1292">
        <x:f ca="1">OFFSET('Job Info.'!AI3,'Job Info.'!P34,1)</x:f>
        <x:v>1.1499999999999999</x:v>
      </x:c>
      <x:c r="EY5" s="360"/>
      <x:c r="EZ5" s="359"/>
      <x:c r="FA5" s="359"/>
      <x:c r="FB5" s="360"/>
      <x:c r="FC5" s="360"/>
      <x:c r="FD5" s="360"/>
      <x:c r="FE5" s="296"/>
      <x:c r="FG5" s="995">
        <x:v>4.5</x:v>
      </x:c>
      <x:c r="FH5" s="995">
        <x:v>5</x:v>
      </x:c>
      <x:c r="FI5" s="996">
        <x:v>6</x:v>
      </x:c>
      <x:c r="GA5" s="287"/>
      <x:c r="GB5" s="287"/>
      <x:c r="GC5" s="287"/>
      <x:c r="GD5" s="287"/>
      <x:c r="GE5" s="287"/>
      <x:c r="GF5" s="288"/>
      <x:c r="GG5" s="288"/>
      <x:c r="GH5" s="288"/>
      <x:c r="GI5" s="288"/>
      <x:c r="GJ5" s="288"/>
      <x:c r="GK5" s="295"/>
      <x:c r="GL5" s="298"/>
      <x:c r="GM5" s="298"/>
      <x:c r="GN5" s="298"/>
      <x:c r="GO5" s="298"/>
      <x:c r="GP5" s="298"/>
      <x:c r="GZ5" s="298"/>
      <x:c r="HA5" s="1534"/>
      <x:c r="HB5" s="1535"/>
      <x:c r="HC5" s="1535"/>
      <x:c r="HD5" s="1535"/>
      <x:c r="HE5" s="1535"/>
      <x:c r="HF5" s="1535"/>
      <x:c r="HG5" s="1535"/>
      <x:c r="HH5" s="1535"/>
      <x:c r="HI5" s="1535"/>
      <x:c r="HJ5" s="1535"/>
      <x:c r="HK5" s="1535"/>
      <x:c r="HL5" s="1535"/>
      <x:c r="HM5" s="1535"/>
      <x:c r="HN5" s="1535"/>
      <x:c r="HO5" s="1535"/>
      <x:c r="HP5" s="1535"/>
      <x:c r="HQ5" s="1535"/>
      <x:c r="HR5" s="1535"/>
      <x:c r="HS5" s="1535"/>
      <x:c r="HT5" s="1535"/>
      <x:c r="HU5" s="1535"/>
      <x:c r="HV5" s="1535"/>
      <x:c r="HW5" s="1535"/>
      <x:c r="HX5" s="1535"/>
      <x:c r="HY5" s="1529"/>
      <x:c r="HZ5" s="1529"/>
      <x:c r="IA5" s="1529"/>
      <x:c r="IB5" s="1529"/>
      <x:c r="IC5" s="1529"/>
      <x:c r="ID5" s="1529"/>
      <x:c r="IE5" s="1529"/>
      <x:c r="IF5" s="1529"/>
      <x:c r="IG5" s="1529"/>
      <x:c r="IH5" s="1532"/>
      <x:c r="II5" s="1532"/>
      <x:c r="IJ5" s="1532"/>
      <x:c r="IK5" s="1532"/>
      <x:c r="IL5" s="1532"/>
      <x:c r="IM5" s="1532"/>
      <x:c r="IN5" s="1532"/>
      <x:c r="IO5" s="1532"/>
      <x:c r="IP5" s="1532"/>
      <x:c r="IQ5" s="1532"/>
      <x:c r="IR5" s="1532"/>
      <x:c r="IS5" s="1532"/>
      <x:c r="IT5" s="1532"/>
      <x:c r="IU5" s="1532"/>
      <x:c r="IV5" s="1532"/>
      <x:c r="IW5" s="1532"/>
      <x:c r="IX5" s="1532"/>
      <x:c r="IY5" s="1532"/>
      <x:c r="IZ5" s="1532"/>
      <x:c r="JA5" s="1532"/>
      <x:c r="JB5" s="1532"/>
      <x:c r="JC5" s="1532"/>
      <x:c r="JD5" s="1532"/>
      <x:c r="JE5" s="1532"/>
      <x:c r="JF5" s="1532"/>
      <x:c r="JG5" s="1532"/>
      <x:c r="JH5" s="1532"/>
      <x:c r="JI5" s="1532"/>
      <x:c r="JJ5" s="1532"/>
      <x:c r="JK5" s="1532"/>
      <x:c r="JL5" s="1532"/>
      <x:c r="JM5" s="1532"/>
      <x:c r="JN5" s="1532"/>
      <x:c r="JO5" s="1532"/>
    </x:row>
    <x:row r="6" spans="1:276" s="289" customFormat="1" ht="12.95" customHeight="1" thickTop="1" thickBot="1" x14ac:dyDescent="0.25">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2423" t="s">
        <x:v>20</x:v>
      </x:c>
      <x:c r="W6" s="2423"/>
      <x:c r="X6" s="2300">
        <x:f>IF(ISBLANK('Job Info.'!D8),"",'Job Info.'!D8)</x:f>
        <x:v>43406</x:v>
      </x:c>
      <x:c r="Y6" s="2300"/>
      <x:c r="Z6" s="1399"/>
      <x:c r="AA6" s="444"/>
      <x:c r="AB6" s="444"/>
      <x:c r="AC6" s="444"/>
      <x:c r="AD6" s="444"/>
      <x:c r="AE6" s="444"/>
      <x:c r="AF6" s="444"/>
      <x:c r="AG6" s="444"/>
      <x:c r="AH6" s="444"/>
      <x:c r="AI6" s="444"/>
      <x:c r="AJ6" s="444"/>
      <x:c r="AK6" s="444"/>
      <x:c r="AL6" s="444"/>
      <x:c r="AM6" s="444"/>
      <x:c r="AN6" s="444"/>
      <x:c r="AO6" s="444"/>
      <x:c r="AP6" s="444"/>
      <x:c r="AQ6" s="444"/>
      <x:c r="AR6" s="444"/>
      <x:c r="AS6" s="444"/>
      <x:c r="AT6" s="444"/>
      <x:c r="AU6" s="444"/>
      <x:c r="AV6" s="444"/>
      <x:c r="AW6" s="444"/>
      <x:c r="AX6" s="444"/>
      <x:c r="AY6" s="444"/>
      <x:c r="AZ6" s="2424" t="s">
        <x:v>20</x:v>
      </x:c>
      <x:c r="BA6" s="2424"/>
      <x:c r="BB6" s="2300">
        <x:f>X6</x:f>
        <x:v>43406</x:v>
      </x:c>
      <x:c r="BC6" s="2300"/>
      <x:c r="BD6" s="2300"/>
      <x:c r="BE6" s="1400"/>
      <x:c r="BF6" s="444"/>
      <x:c r="BG6" s="444"/>
      <x:c r="BH6" s="321"/>
      <x:c r="BI6" s="1392" t="s">
        <x:v>1180</x:v>
      </x:c>
      <x:c r="CA6" s="302"/>
      <x:c r="CB6" s="292"/>
      <x:c r="CC6" s="292"/>
      <x:c r="CD6" s="292"/>
      <x:c r="CE6" s="292"/>
      <x:c r="CF6" s="292"/>
      <x:c r="CG6" s="292"/>
      <x:c r="CH6" s="292"/>
      <x:c r="CI6" s="292"/>
      <x:c r="CJ6" s="292"/>
      <x:c r="CK6" s="292"/>
      <x:c r="CL6" s="292"/>
      <x:c r="CM6" s="292"/>
      <x:c r="CN6" s="292"/>
      <x:c r="CO6" s="292"/>
      <x:c r="CP6" s="292"/>
      <x:c r="CQ6" s="292"/>
      <x:c r="CR6" s="292"/>
      <x:c r="CS6" s="292"/>
      <x:c r="CT6" s="292"/>
      <x:c r="CU6" s="292"/>
      <x:c r="CV6" s="292"/>
      <x:c r="CW6" s="292"/>
      <x:c r="CX6" s="287"/>
      <x:c r="CY6" s="292"/>
      <x:c r="CZ6" s="292"/>
      <x:c r="DA6" s="292"/>
      <x:c r="DB6" s="292"/>
      <x:c r="DC6" s="292"/>
      <x:c r="DD6" s="292"/>
      <x:c r="DE6" s="292"/>
      <x:c r="DF6" s="292"/>
      <x:c r="DG6" s="651"/>
      <x:c r="DH6" s="2662" t="s">
        <x:v>680</x:v>
      </x:c>
      <x:c r="DI6" s="2597"/>
      <x:c r="DJ6" s="2597"/>
      <x:c r="DK6" s="2597"/>
      <x:c r="DL6" s="2597"/>
      <x:c r="DM6" s="2597"/>
      <x:c r="DN6" s="2597"/>
      <x:c r="DO6" s="2597"/>
      <x:c r="DP6" s="2597"/>
      <x:c r="DQ6" s="2597"/>
      <x:c r="DR6" s="2597"/>
      <x:c r="DS6" s="2597"/>
      <x:c r="DT6" s="2597"/>
      <x:c r="DU6" s="2597"/>
      <x:c r="DV6" s="2597"/>
      <x:c r="DW6" s="2597"/>
      <x:c r="DX6" s="2597"/>
      <x:c r="DY6" s="2597"/>
      <x:c r="DZ6" s="2597"/>
      <x:c r="EA6" s="2597"/>
      <x:c r="EB6" s="2597"/>
      <x:c r="EC6" s="2597"/>
      <x:c r="ED6" s="2597"/>
      <x:c r="EE6" s="2597"/>
      <x:c r="EF6" s="2597"/>
      <x:c r="EG6" s="2597"/>
      <x:c r="EH6" s="2597"/>
      <x:c r="EI6" s="2597"/>
      <x:c r="EJ6" s="2597"/>
      <x:c r="EK6" s="2663"/>
      <x:c r="EL6" s="294"/>
      <x:c r="EM6" s="294"/>
      <x:c r="EN6" s="294"/>
      <x:c r="EO6" s="1179"/>
      <x:c r="EP6" s="1179"/>
      <x:c r="EQ6" s="1179"/>
      <x:c r="ER6" s="1179"/>
      <x:c r="ES6" s="1179"/>
      <x:c r="ET6" s="1180"/>
      <x:c r="EU6" s="1176"/>
      <x:c r="EV6" s="359"/>
      <x:c r="FQ6" s="582"/>
      <x:c r="GA6" s="287"/>
      <x:c r="GB6" s="287"/>
      <x:c r="GC6" s="287"/>
      <x:c r="GD6" s="287"/>
      <x:c r="GE6" s="287"/>
      <x:c r="GF6" s="288"/>
      <x:c r="GG6" s="288"/>
      <x:c r="GH6" s="288"/>
      <x:c r="GI6" s="288"/>
      <x:c r="GJ6" s="288"/>
      <x:c r="GK6" s="295"/>
      <x:c r="GL6" s="298"/>
      <x:c r="GM6" s="298"/>
      <x:c r="GN6" s="298"/>
      <x:c r="GO6" s="298"/>
      <x:c r="GP6" s="298"/>
      <x:c r="GZ6" s="298"/>
      <x:c r="HA6" s="1535"/>
      <x:c r="HB6" s="1535"/>
      <x:c r="HC6" s="1535"/>
      <x:c r="HD6" s="1535"/>
      <x:c r="HE6" s="1535"/>
      <x:c r="HF6" s="1535"/>
      <x:c r="HG6" s="1535"/>
      <x:c r="HH6" s="1535"/>
      <x:c r="HI6" s="1535"/>
      <x:c r="HJ6" s="1535"/>
      <x:c r="HK6" s="1535"/>
      <x:c r="HL6" s="1535"/>
      <x:c r="HM6" s="1535"/>
      <x:c r="HN6" s="1535"/>
      <x:c r="HO6" s="1535"/>
      <x:c r="HP6" s="1535"/>
      <x:c r="HQ6" s="1535"/>
      <x:c r="HR6" s="1535"/>
      <x:c r="HS6" s="1535"/>
      <x:c r="HT6" s="1535"/>
      <x:c r="HU6" s="1535"/>
      <x:c r="HV6" s="1535"/>
      <x:c r="HW6" s="1535"/>
      <x:c r="HX6" s="1535"/>
      <x:c r="HY6" s="1536"/>
      <x:c r="HZ6" s="1529"/>
      <x:c r="IA6" s="1529"/>
      <x:c r="IB6" s="1529"/>
      <x:c r="IC6" s="1529"/>
      <x:c r="ID6" s="1529"/>
      <x:c r="IE6" s="1529"/>
      <x:c r="IF6" s="1529"/>
      <x:c r="IG6" s="1529"/>
      <x:c r="IH6" s="1532"/>
      <x:c r="II6" s="1532"/>
      <x:c r="IJ6" s="1532"/>
      <x:c r="IK6" s="1532"/>
      <x:c r="IL6" s="1532"/>
      <x:c r="IM6" s="1532"/>
      <x:c r="IN6" s="1532"/>
      <x:c r="IO6" s="1532"/>
      <x:c r="IP6" s="1532"/>
      <x:c r="IQ6" s="1532"/>
      <x:c r="IR6" s="1532"/>
      <x:c r="IS6" s="1532"/>
      <x:c r="IT6" s="1532"/>
      <x:c r="IU6" s="1532"/>
      <x:c r="IV6" s="1532"/>
      <x:c r="IW6" s="1532"/>
      <x:c r="IX6" s="1532"/>
      <x:c r="IY6" s="1532"/>
      <x:c r="IZ6" s="1532"/>
      <x:c r="JA6" s="1532"/>
      <x:c r="JB6" s="1532"/>
      <x:c r="JC6" s="1532"/>
      <x:c r="JD6" s="1532"/>
      <x:c r="JE6" s="1532"/>
      <x:c r="JF6" s="1532"/>
      <x:c r="JG6" s="1532"/>
      <x:c r="JH6" s="1532"/>
      <x:c r="JI6" s="1532"/>
      <x:c r="JJ6" s="1532"/>
      <x:c r="JK6" s="1532"/>
      <x:c r="JL6" s="1532"/>
      <x:c r="JM6" s="1532"/>
      <x:c r="JN6" s="1532"/>
      <x:c r="JO6" s="1532"/>
    </x:row>
    <x:row r="7" spans="1:276" s="139" customFormat="1" ht="12.95" customHeight="1" thickTop="1" x14ac:dyDescent="0.2">
      <x:c r="A7" s="1401" t="s">
        <x:v>37</x:v>
      </x:c>
      <x:c r="B7" s="473"/>
      <x:c r="C7" s="473"/>
      <x:c r="D7" s="444"/>
      <x:c r="E7" s="444"/>
      <x:c r="F7" s="473"/>
      <x:c r="G7" s="473"/>
      <x:c r="H7" s="473"/>
      <x:c r="I7" s="473"/>
      <x:c r="J7" s="473"/>
      <x:c r="K7" s="2424" t="s">
        <x:v>26</x:v>
      </x:c>
      <x:c r="L7" s="2425"/>
      <x:c r="M7" s="2429" t="s">
        <x:v>1951</x:v>
      </x:c>
      <x:c r="N7" s="2430"/>
      <x:c r="O7" s="2430"/>
      <x:c r="P7" s="2430"/>
      <x:c r="Q7" s="2430"/>
      <x:c r="R7" s="2430"/>
      <x:c r="S7" s="2430"/>
      <x:c r="T7" s="1837"/>
      <x:c r="U7" s="1402"/>
      <x:c r="V7" s="2423" t="s">
        <x:v>21</x:v>
      </x:c>
      <x:c r="W7" s="2423"/>
      <x:c r="X7" s="2213" t="str">
        <x:f>CONCATENATE(BI7, " of ",IF(ISBLANK('Job Info.'!D9),"",'Job Info.'!D9))</x:f>
        <x:v>26 of 42</x:v>
      </x:c>
      <x:c r="Y7" s="822"/>
      <x:c r="Z7" s="1399"/>
      <x:c r="AA7" s="444"/>
      <x:c r="AB7" s="1401" t="s">
        <x:v>38</x:v>
      </x:c>
      <x:c r="AC7" s="444"/>
      <x:c r="AD7" s="444"/>
      <x:c r="AE7" s="473"/>
      <x:c r="AF7" s="473"/>
      <x:c r="AG7" s="473"/>
      <x:c r="AH7" s="473"/>
      <x:c r="AI7" s="473"/>
      <x:c r="AJ7" s="473"/>
      <x:c r="AK7" s="473"/>
      <x:c r="AL7" s="473"/>
      <x:c r="AM7" s="444"/>
      <x:c r="AN7" s="444"/>
      <x:c r="AO7" s="444"/>
      <x:c r="AP7" s="473"/>
      <x:c r="AQ7" s="473"/>
      <x:c r="AR7" s="444"/>
      <x:c r="AS7" s="444"/>
      <x:c r="AT7" s="444"/>
      <x:c r="AU7" s="444"/>
      <x:c r="AV7" s="444"/>
      <x:c r="AW7" s="444"/>
      <x:c r="AX7" s="444"/>
      <x:c r="AY7" s="444"/>
      <x:c r="AZ7" s="2423" t="s">
        <x:v>21</x:v>
      </x:c>
      <x:c r="BA7" s="2423"/>
      <x:c r="BB7" s="1419" t="str">
        <x:f>CONCATENATE(IF(ISBLANK(BI7),"",BI7+1), " of ",IF(ISBLANK('Job Info.'!D9),"",'Job Info.'!D9))</x:f>
        <x:v>27 of 42</x:v>
      </x:c>
      <x:c r="BC7" s="822"/>
      <x:c r="BD7" s="822"/>
      <x:c r="BE7" s="444"/>
      <x:c r="BF7" s="444"/>
      <x:c r="BG7" s="444"/>
      <x:c r="BH7" s="322"/>
      <x:c r="BI7" s="1393">
        <x:v>26</x:v>
      </x:c>
      <x:c r="CA7" s="302"/>
      <x:c r="CB7" s="2477" t="s">
        <x:v>679</x:v>
      </x:c>
      <x:c r="CC7" s="2588"/>
      <x:c r="CD7" s="2588"/>
      <x:c r="CE7" s="2588"/>
      <x:c r="CF7" s="2588"/>
      <x:c r="CG7" s="2588"/>
      <x:c r="CH7" s="2588"/>
      <x:c r="CI7" s="2588"/>
      <x:c r="CJ7" s="2588"/>
      <x:c r="CK7" s="2588"/>
      <x:c r="CL7" s="2588"/>
      <x:c r="CM7" s="2588"/>
      <x:c r="CN7" s="2588"/>
      <x:c r="CO7" s="2588"/>
      <x:c r="CP7" s="2588"/>
      <x:c r="CQ7" s="2588"/>
      <x:c r="CR7" s="2588"/>
      <x:c r="CS7" s="2588"/>
      <x:c r="CT7" s="2588"/>
      <x:c r="CU7" s="2588"/>
      <x:c r="CV7" s="2588"/>
      <x:c r="CW7" s="2588"/>
      <x:c r="CX7" s="2588"/>
      <x:c r="CY7" s="2589"/>
      <x:c r="CZ7" s="292"/>
      <x:c r="DA7" s="292"/>
      <x:c r="DB7" s="292"/>
      <x:c r="DC7" s="292"/>
      <x:c r="DD7" s="292"/>
      <x:c r="DE7" s="292"/>
      <x:c r="DF7" s="292"/>
      <x:c r="DG7" s="292"/>
      <x:c r="DH7" s="2664"/>
      <x:c r="DI7" s="2600"/>
      <x:c r="DJ7" s="2600"/>
      <x:c r="DK7" s="2600"/>
      <x:c r="DL7" s="2600"/>
      <x:c r="DM7" s="2600"/>
      <x:c r="DN7" s="2600"/>
      <x:c r="DO7" s="2600"/>
      <x:c r="DP7" s="2600"/>
      <x:c r="DQ7" s="2600"/>
      <x:c r="DR7" s="2600"/>
      <x:c r="DS7" s="2600"/>
      <x:c r="DT7" s="2600"/>
      <x:c r="DU7" s="2600"/>
      <x:c r="DV7" s="2600"/>
      <x:c r="DW7" s="2600"/>
      <x:c r="DX7" s="2600"/>
      <x:c r="DY7" s="2600"/>
      <x:c r="DZ7" s="2600"/>
      <x:c r="EA7" s="2600"/>
      <x:c r="EB7" s="2600"/>
      <x:c r="EC7" s="2600"/>
      <x:c r="ED7" s="2600"/>
      <x:c r="EE7" s="2600"/>
      <x:c r="EF7" s="2600"/>
      <x:c r="EG7" s="2600"/>
      <x:c r="EH7" s="2600"/>
      <x:c r="EI7" s="2600"/>
      <x:c r="EJ7" s="2600"/>
      <x:c r="EK7" s="2665"/>
      <x:c r="EL7" s="292"/>
      <x:c r="EM7" s="292"/>
      <x:c r="EN7" s="294"/>
      <x:c r="EO7" s="1180"/>
      <x:c r="EP7" s="1179"/>
      <x:c r="EQ7" s="1179"/>
      <x:c r="ER7" s="1179"/>
      <x:c r="ES7" s="1180"/>
      <x:c r="ET7" s="1180"/>
      <x:c r="EU7" s="1180"/>
      <x:c r="EV7" s="360"/>
      <x:c r="GA7" s="288"/>
      <x:c r="GB7" s="288"/>
      <x:c r="GC7" s="288"/>
      <x:c r="GD7" s="288"/>
      <x:c r="GE7" s="288"/>
      <x:c r="GF7" s="288"/>
      <x:c r="GG7" s="288"/>
      <x:c r="GH7" s="288"/>
      <x:c r="GI7" s="288"/>
      <x:c r="GJ7" s="288"/>
      <x:c r="GK7" s="295"/>
      <x:c r="GL7" s="298"/>
      <x:c r="GM7" s="298"/>
      <x:c r="GN7" s="298"/>
      <x:c r="GO7" s="298"/>
      <x:c r="GP7" s="298"/>
      <x:c r="GZ7" s="298"/>
      <x:c r="HA7" s="1537"/>
      <x:c r="HB7" s="1537"/>
      <x:c r="HC7" s="1537"/>
      <x:c r="HD7" s="1537"/>
      <x:c r="HE7" s="1537"/>
      <x:c r="HF7" s="1537"/>
      <x:c r="HG7" s="1537"/>
      <x:c r="HH7" s="1537"/>
      <x:c r="HI7" s="1537"/>
      <x:c r="HJ7" s="1537"/>
      <x:c r="HK7" s="1537"/>
      <x:c r="HL7" s="1537"/>
      <x:c r="HM7" s="1537"/>
      <x:c r="HN7" s="1537"/>
      <x:c r="HO7" s="1537"/>
      <x:c r="HP7" s="1537"/>
      <x:c r="HQ7" s="1537"/>
      <x:c r="HR7" s="1537"/>
      <x:c r="HS7" s="1537"/>
      <x:c r="HT7" s="1537"/>
      <x:c r="HU7" s="1537"/>
      <x:c r="HV7" s="1537"/>
      <x:c r="HW7" s="1537"/>
      <x:c r="HX7" s="1537"/>
      <x:c r="HY7" s="1538"/>
      <x:c r="HZ7" s="1529"/>
      <x:c r="IA7" s="1529"/>
      <x:c r="IB7" s="1529"/>
      <x:c r="IC7" s="1529"/>
      <x:c r="ID7" s="1529"/>
      <x:c r="IE7" s="1529"/>
      <x:c r="IF7" s="1529"/>
      <x:c r="IG7" s="1529"/>
      <x:c r="IH7" s="1532"/>
      <x:c r="II7" s="1528"/>
      <x:c r="IJ7" s="1528"/>
      <x:c r="IK7" s="1528"/>
      <x:c r="IL7" s="1532"/>
      <x:c r="IM7" s="1532"/>
      <x:c r="IN7" s="1532"/>
      <x:c r="IO7" s="1532"/>
      <x:c r="IP7" s="1532"/>
      <x:c r="IQ7" s="1532"/>
      <x:c r="IR7" s="1532"/>
      <x:c r="IS7" s="1532"/>
      <x:c r="IT7" s="1532"/>
      <x:c r="IU7" s="1532"/>
      <x:c r="IV7" s="1532"/>
      <x:c r="IW7" s="1532"/>
      <x:c r="IX7" s="1532"/>
      <x:c r="IY7" s="1532"/>
      <x:c r="IZ7" s="1532"/>
      <x:c r="JA7" s="1532"/>
      <x:c r="JB7" s="1532"/>
      <x:c r="JC7" s="1532"/>
      <x:c r="JD7" s="1532"/>
      <x:c r="JE7" s="1532"/>
      <x:c r="JF7" s="1532"/>
      <x:c r="JG7" s="1532"/>
      <x:c r="JH7" s="1532"/>
      <x:c r="JI7" s="1532"/>
      <x:c r="JJ7" s="1532"/>
      <x:c r="JK7" s="1532"/>
      <x:c r="JL7" s="1532"/>
      <x:c r="JM7" s="1532"/>
      <x:c r="JN7" s="1532"/>
      <x:c r="JO7" s="1532"/>
    </x:row>
    <x:row r="8" spans="1:276" s="139" customFormat="1" ht="2.85" customHeight="1" thickBot="1" x14ac:dyDescent="0.25">
      <x:c r="A8" s="2684"/>
      <x:c r="B8" s="2684"/>
      <x:c r="C8" s="2684"/>
      <x:c r="D8" s="2684"/>
      <x:c r="E8" s="2684"/>
      <x:c r="F8" s="2684"/>
      <x:c r="G8" s="2684"/>
      <x:c r="H8" s="2684"/>
      <x:c r="I8" s="2684"/>
      <x:c r="J8" s="2684"/>
      <x:c r="K8" s="2684"/>
      <x:c r="L8" s="2684"/>
      <x:c r="M8" s="2684"/>
      <x:c r="N8" s="2684"/>
      <x:c r="O8" s="2684"/>
      <x:c r="P8" s="2684"/>
      <x:c r="Q8" s="2684"/>
      <x:c r="R8" s="2684"/>
      <x:c r="S8" s="2684"/>
      <x:c r="T8" s="2684"/>
      <x:c r="U8" s="2684"/>
      <x:c r="V8" s="2684"/>
      <x:c r="W8" s="2684"/>
      <x:c r="X8" s="2684"/>
      <x:c r="Y8" s="2684"/>
      <x:c r="Z8" s="2684"/>
      <x:c r="AA8" s="2684"/>
      <x:c r="AB8" s="2428"/>
      <x:c r="AC8" s="2428"/>
      <x:c r="AD8" s="2428"/>
      <x:c r="AE8" s="2428"/>
      <x:c r="AF8" s="2428"/>
      <x:c r="AG8" s="2428"/>
      <x:c r="AH8" s="2428"/>
      <x:c r="AI8" s="2428"/>
      <x:c r="AJ8" s="2428"/>
      <x:c r="AK8" s="2428"/>
      <x:c r="AL8" s="2428"/>
      <x:c r="AM8" s="2428"/>
      <x:c r="AN8" s="2428"/>
      <x:c r="AO8" s="2428"/>
      <x:c r="AP8" s="2428"/>
      <x:c r="AQ8" s="2428"/>
      <x:c r="AR8" s="2428"/>
      <x:c r="AS8" s="2428"/>
      <x:c r="AT8" s="2428"/>
      <x:c r="AU8" s="2428"/>
      <x:c r="AV8" s="2428"/>
      <x:c r="AW8" s="2428"/>
      <x:c r="AX8" s="2428"/>
      <x:c r="AY8" s="2428"/>
      <x:c r="AZ8" s="2428"/>
      <x:c r="BA8" s="2428"/>
      <x:c r="BB8" s="2428"/>
      <x:c r="BC8" s="2428"/>
      <x:c r="BD8" s="2428"/>
      <x:c r="BE8" s="2428"/>
      <x:c r="BF8" s="2428"/>
      <x:c r="BG8" s="2428"/>
      <x:c r="BH8" s="322"/>
      <x:c r="BI8" s="295"/>
      <x:c r="CA8" s="302"/>
      <x:c r="CB8" s="2590"/>
      <x:c r="CC8" s="2591"/>
      <x:c r="CD8" s="2591"/>
      <x:c r="CE8" s="2591"/>
      <x:c r="CF8" s="2591"/>
      <x:c r="CG8" s="2591"/>
      <x:c r="CH8" s="2591"/>
      <x:c r="CI8" s="2591"/>
      <x:c r="CJ8" s="2591"/>
      <x:c r="CK8" s="2591"/>
      <x:c r="CL8" s="2591"/>
      <x:c r="CM8" s="2591"/>
      <x:c r="CN8" s="2591"/>
      <x:c r="CO8" s="2591"/>
      <x:c r="CP8" s="2591"/>
      <x:c r="CQ8" s="2591"/>
      <x:c r="CR8" s="2591"/>
      <x:c r="CS8" s="2591"/>
      <x:c r="CT8" s="2591"/>
      <x:c r="CU8" s="2591"/>
      <x:c r="CV8" s="2591"/>
      <x:c r="CW8" s="2591"/>
      <x:c r="CX8" s="2591"/>
      <x:c r="CY8" s="2592"/>
      <x:c r="CZ8" s="173"/>
      <x:c r="DA8" s="173"/>
      <x:c r="DB8" s="173"/>
      <x:c r="DC8" s="173"/>
      <x:c r="DD8" s="173"/>
      <x:c r="DE8" s="173"/>
      <x:c r="DF8" s="173"/>
      <x:c r="DG8" s="173"/>
      <x:c r="DH8" s="2666"/>
      <x:c r="DI8" s="2667"/>
      <x:c r="DJ8" s="2667"/>
      <x:c r="DK8" s="2667"/>
      <x:c r="DL8" s="2667"/>
      <x:c r="DM8" s="2667"/>
      <x:c r="DN8" s="2667"/>
      <x:c r="DO8" s="2667"/>
      <x:c r="DP8" s="2667"/>
      <x:c r="DQ8" s="2667"/>
      <x:c r="DR8" s="2667"/>
      <x:c r="DS8" s="2667"/>
      <x:c r="DT8" s="2667"/>
      <x:c r="DU8" s="2667"/>
      <x:c r="DV8" s="2667"/>
      <x:c r="DW8" s="2667"/>
      <x:c r="DX8" s="2667"/>
      <x:c r="DY8" s="2667"/>
      <x:c r="DZ8" s="2667"/>
      <x:c r="EA8" s="2667"/>
      <x:c r="EB8" s="2667"/>
      <x:c r="EC8" s="2667"/>
      <x:c r="ED8" s="2667"/>
      <x:c r="EE8" s="2667"/>
      <x:c r="EF8" s="2667"/>
      <x:c r="EG8" s="2667"/>
      <x:c r="EH8" s="2667"/>
      <x:c r="EI8" s="2667"/>
      <x:c r="EJ8" s="2667"/>
      <x:c r="EK8" s="2668"/>
      <x:c r="EL8" s="293"/>
      <x:c r="EM8" s="292"/>
      <x:c r="EN8" s="294"/>
      <x:c r="EO8" s="292"/>
      <x:c r="EP8" s="294"/>
      <x:c r="EQ8" s="294"/>
      <x:c r="ER8" s="294"/>
      <x:c r="ES8" s="292"/>
      <x:c r="ET8" s="292"/>
      <x:c r="EU8" s="292"/>
      <x:c r="EV8" s="296"/>
      <x:c r="GA8" s="288"/>
      <x:c r="GB8" s="288"/>
      <x:c r="GC8" s="288"/>
      <x:c r="GD8" s="288"/>
      <x:c r="GE8" s="288"/>
      <x:c r="GF8" s="288"/>
      <x:c r="GG8" s="288"/>
      <x:c r="GH8" s="288"/>
      <x:c r="GI8" s="288"/>
      <x:c r="GJ8" s="288"/>
      <x:c r="GK8" s="295"/>
      <x:c r="GL8" s="298"/>
      <x:c r="GM8" s="298"/>
      <x:c r="GN8" s="298"/>
      <x:c r="GO8" s="298"/>
      <x:c r="GP8" s="298"/>
      <x:c r="GZ8" s="298"/>
      <x:c r="HA8" s="1539"/>
      <x:c r="HB8" s="1539"/>
      <x:c r="HC8" s="1539"/>
      <x:c r="HD8" s="1540"/>
      <x:c r="HE8" s="1541"/>
      <x:c r="HF8" s="1539"/>
      <x:c r="HG8" s="1539"/>
      <x:c r="HH8" s="1539"/>
      <x:c r="HI8" s="1539"/>
      <x:c r="HJ8" s="1539"/>
      <x:c r="HK8" s="1539"/>
      <x:c r="HL8" s="1539"/>
      <x:c r="HM8" s="1539"/>
      <x:c r="HN8" s="1539"/>
      <x:c r="HO8" s="1539"/>
      <x:c r="HP8" s="1539"/>
      <x:c r="HQ8" s="1539"/>
      <x:c r="HR8" s="1539"/>
      <x:c r="HS8" s="1539"/>
      <x:c r="HT8" s="1539"/>
      <x:c r="HU8" s="1539"/>
      <x:c r="HV8" s="1539"/>
      <x:c r="HW8" s="1539"/>
      <x:c r="HX8" s="1539"/>
      <x:c r="HY8" s="1538"/>
      <x:c r="HZ8" s="1529"/>
      <x:c r="IA8" s="1529"/>
      <x:c r="IB8" s="1529"/>
      <x:c r="IC8" s="1529"/>
      <x:c r="ID8" s="1529"/>
      <x:c r="IE8" s="1529"/>
      <x:c r="IF8" s="1529"/>
      <x:c r="IG8" s="1529"/>
      <x:c r="IH8" s="1532"/>
      <x:c r="II8" s="1532"/>
      <x:c r="IJ8" s="1532"/>
      <x:c r="IK8" s="1532"/>
      <x:c r="IL8" s="1532"/>
      <x:c r="IM8" s="1532"/>
      <x:c r="IN8" s="1532"/>
      <x:c r="IO8" s="1532"/>
      <x:c r="IP8" s="1532"/>
      <x:c r="IQ8" s="1532"/>
      <x:c r="IR8" s="1532"/>
      <x:c r="IS8" s="1532"/>
      <x:c r="IT8" s="1532"/>
      <x:c r="IU8" s="1532"/>
      <x:c r="IV8" s="1532"/>
      <x:c r="IW8" s="1532"/>
      <x:c r="IX8" s="1532"/>
      <x:c r="IY8" s="1532"/>
      <x:c r="IZ8" s="1532"/>
      <x:c r="JA8" s="1532"/>
      <x:c r="JB8" s="1532"/>
      <x:c r="JC8" s="1532"/>
      <x:c r="JD8" s="1532"/>
      <x:c r="JE8" s="1532"/>
      <x:c r="JF8" s="1532"/>
      <x:c r="JG8" s="1532"/>
      <x:c r="JH8" s="1532"/>
      <x:c r="JI8" s="1532"/>
      <x:c r="JJ8" s="1532"/>
      <x:c r="JK8" s="1532"/>
      <x:c r="JL8" s="1532"/>
      <x:c r="JM8" s="1532"/>
      <x:c r="JN8" s="1532"/>
      <x:c r="JO8" s="1532"/>
    </x:row>
    <x:row r="9" spans="1:276" s="139" customFormat="1" ht="12.2" customHeight="1" thickTop="1" thickBot="1" x14ac:dyDescent="0.25">
      <x:c r="A9" s="2319" t="s">
        <x:v>1</x:v>
      </x:c>
      <x:c r="B9" s="2239"/>
      <x:c r="C9" s="2225" t="str">
        <x:f>IF(ISBLANK('Job Info.'!D3),"",'Job Info.'!D3)</x:f>
        <x:v>SUNPOINT CROSSING</x:v>
      </x:c>
      <x:c r="D9" s="2225"/>
      <x:c r="E9" s="2225"/>
      <x:c r="F9" s="2225"/>
      <x:c r="G9" s="2225"/>
      <x:c r="H9" s="2225"/>
      <x:c r="I9" s="2225"/>
      <x:c r="J9" s="2225"/>
      <x:c r="K9" s="2225"/>
      <x:c r="L9" s="2225"/>
      <x:c r="M9" s="2225"/>
      <x:c r="N9" s="2225"/>
      <x:c r="O9" s="2225"/>
      <x:c r="P9" s="2226"/>
      <x:c r="Q9" s="2319" t="s">
        <x:v>2</x:v>
      </x:c>
      <x:c r="R9" s="2239"/>
      <x:c r="S9" s="2239"/>
      <x:c r="T9" s="2225" t="str">
        <x:f>IF(ISBLANK('Job Info.'!D5),"",'Job Info.'!D5)</x:f>
        <x:v>9118-0062</x:v>
      </x:c>
      <x:c r="U9" s="2225"/>
      <x:c r="V9" s="2225"/>
      <x:c r="W9" s="2225"/>
      <x:c r="X9" s="2225"/>
      <x:c r="Y9" s="2225"/>
      <x:c r="Z9" s="2225"/>
      <x:c r="AA9" s="2226"/>
      <x:c r="AB9" s="2319" t="s">
        <x:v>1</x:v>
      </x:c>
      <x:c r="AC9" s="2685"/>
      <x:c r="AD9" s="2685"/>
      <x:c r="AE9" s="2225" t="str">
        <x:f>C9</x:f>
        <x:v>SUNPOINT CROSSING</x:v>
      </x:c>
      <x:c r="AF9" s="2225"/>
      <x:c r="AG9" s="2225"/>
      <x:c r="AH9" s="2225"/>
      <x:c r="AI9" s="2225"/>
      <x:c r="AJ9" s="2225"/>
      <x:c r="AK9" s="2225"/>
      <x:c r="AL9" s="2225"/>
      <x:c r="AM9" s="2225"/>
      <x:c r="AN9" s="2225"/>
      <x:c r="AO9" s="2225"/>
      <x:c r="AP9" s="2225"/>
      <x:c r="AQ9" s="2225"/>
      <x:c r="AR9" s="2225"/>
      <x:c r="AS9" s="2225"/>
      <x:c r="AT9" s="2226"/>
      <x:c r="AU9" s="2319" t="s">
        <x:v>2</x:v>
      </x:c>
      <x:c r="AV9" s="2239"/>
      <x:c r="AW9" s="2239"/>
      <x:c r="AX9" s="2225" t="str">
        <x:f>T9</x:f>
        <x:v>9118-0062</x:v>
      </x:c>
      <x:c r="AY9" s="2225"/>
      <x:c r="AZ9" s="2225"/>
      <x:c r="BA9" s="2225"/>
      <x:c r="BB9" s="2225"/>
      <x:c r="BC9" s="2225"/>
      <x:c r="BD9" s="2225"/>
      <x:c r="BE9" s="2225"/>
      <x:c r="BF9" s="2225"/>
      <x:c r="BG9" s="2226"/>
      <x:c r="BH9" s="322"/>
      <x:c r="BI9" s="295"/>
      <x:c r="CA9" s="302"/>
      <x:c r="CB9" s="2590"/>
      <x:c r="CC9" s="2591"/>
      <x:c r="CD9" s="2591"/>
      <x:c r="CE9" s="2591"/>
      <x:c r="CF9" s="2591"/>
      <x:c r="CG9" s="2594"/>
      <x:c r="CH9" s="2594"/>
      <x:c r="CI9" s="2594"/>
      <x:c r="CJ9" s="2594"/>
      <x:c r="CK9" s="2594"/>
      <x:c r="CL9" s="2594"/>
      <x:c r="CM9" s="2594"/>
      <x:c r="CN9" s="2594"/>
      <x:c r="CO9" s="2594"/>
      <x:c r="CP9" s="2594"/>
      <x:c r="CQ9" s="2594"/>
      <x:c r="CR9" s="2594"/>
      <x:c r="CS9" s="2594"/>
      <x:c r="CT9" s="2594"/>
      <x:c r="CU9" s="2591"/>
      <x:c r="CV9" s="2594"/>
      <x:c r="CW9" s="2594"/>
      <x:c r="CX9" s="2591"/>
      <x:c r="CY9" s="2592"/>
      <x:c r="CZ9" s="2633" t="s">
        <x:v>1103</x:v>
      </x:c>
      <x:c r="DA9" s="2634"/>
      <x:c r="DB9" s="173"/>
      <x:c r="DC9" s="173"/>
      <x:c r="DD9" s="173"/>
      <x:c r="DE9" s="173"/>
      <x:c r="DF9" s="173"/>
      <x:c r="DG9" s="173"/>
      <x:c r="DH9" s="2381" t="s">
        <x:v>653</x:v>
      </x:c>
      <x:c r="DI9" s="2596" t="s">
        <x:v>681</x:v>
      </x:c>
      <x:c r="DJ9" s="2597"/>
      <x:c r="DK9" s="2597"/>
      <x:c r="DL9" s="2597"/>
      <x:c r="DM9" s="2597"/>
      <x:c r="DN9" s="2598"/>
      <x:c r="DO9" s="2378" t="s">
        <x:v>640</x:v>
      </x:c>
      <x:c r="DP9" s="2602" t="s">
        <x:v>682</x:v>
      </x:c>
      <x:c r="DQ9" s="2565"/>
      <x:c r="DR9" s="2565"/>
      <x:c r="DS9" s="2565"/>
      <x:c r="DT9" s="2565"/>
      <x:c r="DU9" s="2565"/>
      <x:c r="DV9" s="2605" t="s">
        <x:v>650</x:v>
      </x:c>
      <x:c r="DW9" s="2565"/>
      <x:c r="DX9" s="2565"/>
      <x:c r="DY9" s="2565"/>
      <x:c r="DZ9" s="2565"/>
      <x:c r="EA9" s="2565"/>
      <x:c r="EB9" s="2565"/>
      <x:c r="EC9" s="2565"/>
      <x:c r="ED9" s="2565"/>
      <x:c r="EE9" s="2565"/>
      <x:c r="EF9" s="2565"/>
      <x:c r="EG9" s="2565"/>
      <x:c r="EH9" s="2565"/>
      <x:c r="EI9" s="2565"/>
      <x:c r="EJ9" s="2565"/>
      <x:c r="EK9" s="2566"/>
      <x:c r="EL9" s="293"/>
      <x:c r="EM9" s="292"/>
      <x:c r="EN9" s="294"/>
      <x:c r="EO9" s="292"/>
      <x:c r="EP9" s="294"/>
      <x:c r="EQ9" s="288"/>
      <x:c r="ER9" s="288"/>
      <x:c r="ES9" s="288"/>
      <x:c r="ET9" s="288"/>
      <x:c r="EU9" s="292"/>
      <x:c r="EV9" s="296"/>
      <x:c r="FJ9" s="296"/>
      <x:c r="FK9" s="296"/>
      <x:c r="FL9" s="311"/>
      <x:c r="FM9" s="304"/>
      <x:c r="FN9" s="304"/>
      <x:c r="FO9" s="304"/>
      <x:c r="FP9" s="313"/>
      <x:c r="FQ9" s="314"/>
      <x:c r="FR9" s="304"/>
      <x:c r="FS9" s="304"/>
      <x:c r="FT9" s="304"/>
      <x:c r="FU9" s="295"/>
      <x:c r="FV9" s="295"/>
      <x:c r="FW9" s="295"/>
      <x:c r="FX9" s="295"/>
      <x:c r="FY9" s="295"/>
      <x:c r="FZ9" s="295"/>
      <x:c r="GA9" s="288"/>
      <x:c r="GB9" s="288"/>
      <x:c r="GC9" s="288"/>
      <x:c r="GD9" s="288"/>
      <x:c r="GE9" s="288"/>
      <x:c r="GF9" s="288"/>
      <x:c r="GG9" s="288"/>
      <x:c r="GH9" s="288"/>
      <x:c r="GI9" s="288"/>
      <x:c r="GJ9" s="288"/>
      <x:c r="GK9" s="295"/>
      <x:c r="GL9" s="298"/>
      <x:c r="GM9" s="298"/>
      <x:c r="GN9" s="298"/>
      <x:c r="GO9" s="298"/>
      <x:c r="GP9" s="298"/>
      <x:c r="GZ9" s="298"/>
      <x:c r="HA9" s="1539"/>
      <x:c r="HB9" s="1539"/>
      <x:c r="HC9" s="1539"/>
      <x:c r="HD9" s="1540"/>
      <x:c r="HE9" s="1541"/>
      <x:c r="HF9" s="1539"/>
      <x:c r="HG9" s="1539"/>
      <x:c r="HH9" s="1539"/>
      <x:c r="HI9" s="1539"/>
      <x:c r="HJ9" s="1539"/>
      <x:c r="HK9" s="1539"/>
      <x:c r="HL9" s="1539"/>
      <x:c r="HM9" s="1539"/>
      <x:c r="HN9" s="1539"/>
      <x:c r="HO9" s="1539"/>
      <x:c r="HP9" s="1539"/>
      <x:c r="HQ9" s="1539"/>
      <x:c r="HR9" s="1539"/>
      <x:c r="HS9" s="1539"/>
      <x:c r="HT9" s="1539"/>
      <x:c r="HU9" s="1539"/>
      <x:c r="HV9" s="1539"/>
      <x:c r="HW9" s="1539"/>
      <x:c r="HX9" s="1539"/>
      <x:c r="HY9" s="1538"/>
      <x:c r="HZ9" s="1542"/>
      <x:c r="IA9" s="1542"/>
      <x:c r="IB9" s="1542"/>
      <x:c r="IC9" s="1542"/>
      <x:c r="ID9" s="1542"/>
      <x:c r="IE9" s="1542"/>
      <x:c r="IF9" s="1542"/>
      <x:c r="IG9" s="1542"/>
      <x:c r="IH9" s="1542"/>
      <x:c r="II9" s="1542"/>
      <x:c r="IJ9" s="1542"/>
      <x:c r="IK9" s="1542"/>
      <x:c r="IL9" s="1542"/>
      <x:c r="IM9" s="1542"/>
      <x:c r="IN9" s="1542"/>
      <x:c r="IO9" s="1542"/>
      <x:c r="IP9" s="1542"/>
      <x:c r="IQ9" s="1542"/>
      <x:c r="IR9" s="1542"/>
      <x:c r="IS9" s="1542"/>
      <x:c r="IT9" s="1542"/>
      <x:c r="IU9" s="1542"/>
      <x:c r="IV9" s="1542"/>
      <x:c r="IW9" s="1542"/>
      <x:c r="IX9" s="1542"/>
      <x:c r="IY9" s="1542"/>
      <x:c r="IZ9" s="1542"/>
      <x:c r="JA9" s="1542"/>
      <x:c r="JB9" s="1542"/>
      <x:c r="JC9" s="1542"/>
      <x:c r="JD9" s="1542"/>
      <x:c r="JE9" s="1532"/>
      <x:c r="JF9" s="1532"/>
      <x:c r="JG9" s="1532"/>
      <x:c r="JH9" s="1532"/>
      <x:c r="JI9" s="1532"/>
      <x:c r="JJ9" s="1532"/>
      <x:c r="JK9" s="1532"/>
      <x:c r="JL9" s="1532"/>
      <x:c r="JM9" s="1532"/>
      <x:c r="JN9" s="1532"/>
      <x:c r="JO9" s="1532"/>
    </x:row>
    <x:row r="10" spans="1:276" s="139" customFormat="1" ht="12.2" customHeight="1" thickTop="1" x14ac:dyDescent="0.2">
      <x:c r="A10" s="2319" t="s">
        <x:v>3</x:v>
      </x:c>
      <x:c r="B10" s="2239"/>
      <x:c r="C10" s="2225" t="str">
        <x:f>IF(ISBLANK('Job Info.'!D4),"",'Job Info.'!D4)</x:f>
        <x:v>LAS VEGAS, NV</x:v>
      </x:c>
      <x:c r="D10" s="2225"/>
      <x:c r="E10" s="2225"/>
      <x:c r="F10" s="2225"/>
      <x:c r="G10" s="2225"/>
      <x:c r="H10" s="2225"/>
      <x:c r="I10" s="2225"/>
      <x:c r="J10" s="2225"/>
      <x:c r="K10" s="2225"/>
      <x:c r="L10" s="2225"/>
      <x:c r="M10" s="2225"/>
      <x:c r="N10" s="2225"/>
      <x:c r="O10" s="2225"/>
      <x:c r="P10" s="2226"/>
      <x:c r="Q10" s="2319" t="s">
        <x:v>22</x:v>
      </x:c>
      <x:c r="R10" s="2239"/>
      <x:c r="S10" s="2239"/>
      <x:c r="T10" s="2225" t="str">
        <x:f>IF(ISBLANK('Job Info.'!D6),"",'Job Info.'!D6)</x:f>
        <x:v>CJA</x:v>
      </x:c>
      <x:c r="U10" s="2225"/>
      <x:c r="V10" s="2225"/>
      <x:c r="W10" s="2226"/>
      <x:c r="X10" s="2319" t="s">
        <x:v>23</x:v>
      </x:c>
      <x:c r="Y10" s="2239"/>
      <x:c r="Z10" s="2225" t="str">
        <x:f>IF(ISBLANK('Job Info.'!D7),"",'Job Info.'!D7)</x:f>
        <x:v>LS</x:v>
      </x:c>
      <x:c r="AA10" s="2226"/>
      <x:c r="AB10" s="2319" t="s">
        <x:v>3</x:v>
      </x:c>
      <x:c r="AC10" s="2685"/>
      <x:c r="AD10" s="2685"/>
      <x:c r="AE10" s="2225" t="str">
        <x:f>C10</x:f>
        <x:v>LAS VEGAS, NV</x:v>
      </x:c>
      <x:c r="AF10" s="2225"/>
      <x:c r="AG10" s="2225"/>
      <x:c r="AH10" s="2225"/>
      <x:c r="AI10" s="2225"/>
      <x:c r="AJ10" s="2225"/>
      <x:c r="AK10" s="2225"/>
      <x:c r="AL10" s="2225"/>
      <x:c r="AM10" s="2225"/>
      <x:c r="AN10" s="2225"/>
      <x:c r="AO10" s="2225"/>
      <x:c r="AP10" s="2225"/>
      <x:c r="AQ10" s="2225"/>
      <x:c r="AR10" s="2225"/>
      <x:c r="AS10" s="2225"/>
      <x:c r="AT10" s="2226"/>
      <x:c r="AU10" s="2319" t="s">
        <x:v>22</x:v>
      </x:c>
      <x:c r="AV10" s="2239"/>
      <x:c r="AW10" s="2239"/>
      <x:c r="AX10" s="2225" t="str">
        <x:f>T10</x:f>
        <x:v>CJA</x:v>
      </x:c>
      <x:c r="AY10" s="2225"/>
      <x:c r="AZ10" s="2225"/>
      <x:c r="BA10" s="2226"/>
      <x:c r="BB10" s="2319" t="s">
        <x:v>23</x:v>
      </x:c>
      <x:c r="BC10" s="2239"/>
      <x:c r="BD10" s="2239"/>
      <x:c r="BE10" s="2225" t="str">
        <x:f>Z10</x:f>
        <x:v>LS</x:v>
      </x:c>
      <x:c r="BF10" s="2225"/>
      <x:c r="BG10" s="2226"/>
      <x:c r="BH10" s="322"/>
      <x:c r="BI10" s="295"/>
      <x:c r="CA10" s="302"/>
      <x:c r="CB10" s="624"/>
      <x:c r="CC10" s="625"/>
      <x:c r="CD10" s="625"/>
      <x:c r="CE10" s="625"/>
      <x:c r="CF10" s="626"/>
      <x:c r="CG10" s="2682" t="s">
        <x:v>506</x:v>
      </x:c>
      <x:c r="CH10" s="2414"/>
      <x:c r="CI10" s="2414"/>
      <x:c r="CJ10" s="2414"/>
      <x:c r="CK10" s="2414"/>
      <x:c r="CL10" s="2414"/>
      <x:c r="CM10" s="2415"/>
      <x:c r="CN10" s="2413" t="s">
        <x:v>507</x:v>
      </x:c>
      <x:c r="CO10" s="2414"/>
      <x:c r="CP10" s="2414"/>
      <x:c r="CQ10" s="2414"/>
      <x:c r="CR10" s="2414"/>
      <x:c r="CS10" s="2414"/>
      <x:c r="CT10" s="2414"/>
      <x:c r="CU10" s="631"/>
      <x:c r="CV10" s="652"/>
      <x:c r="CW10" s="652"/>
      <x:c r="CX10" s="624"/>
      <x:c r="CY10" s="626"/>
      <x:c r="CZ10" s="2673"/>
      <x:c r="DA10" s="2674"/>
      <x:c r="DB10" s="173"/>
      <x:c r="DC10" s="173"/>
      <x:c r="DD10" s="173"/>
      <x:c r="DE10" s="173"/>
      <x:c r="DF10" s="173"/>
      <x:c r="DG10" s="173"/>
      <x:c r="DH10" s="2382"/>
      <x:c r="DI10" s="2599"/>
      <x:c r="DJ10" s="2600"/>
      <x:c r="DK10" s="2600"/>
      <x:c r="DL10" s="2600"/>
      <x:c r="DM10" s="2600"/>
      <x:c r="DN10" s="2601"/>
      <x:c r="DO10" s="2379"/>
      <x:c r="DP10" s="2568"/>
      <x:c r="DQ10" s="2568"/>
      <x:c r="DR10" s="2568"/>
      <x:c r="DS10" s="2568"/>
      <x:c r="DT10" s="2568"/>
      <x:c r="DU10" s="2568"/>
      <x:c r="DV10" s="2567"/>
      <x:c r="DW10" s="2568"/>
      <x:c r="DX10" s="2568"/>
      <x:c r="DY10" s="2568"/>
      <x:c r="DZ10" s="2568"/>
      <x:c r="EA10" s="2568"/>
      <x:c r="EB10" s="2568"/>
      <x:c r="EC10" s="2568"/>
      <x:c r="ED10" s="2568"/>
      <x:c r="EE10" s="2568"/>
      <x:c r="EF10" s="2568"/>
      <x:c r="EG10" s="2568"/>
      <x:c r="EH10" s="2568"/>
      <x:c r="EI10" s="2568"/>
      <x:c r="EJ10" s="2568"/>
      <x:c r="EK10" s="2569"/>
      <x:c r="EL10" s="288"/>
      <x:c r="EM10" s="288"/>
      <x:c r="EN10" s="288"/>
      <x:c r="EO10" s="288"/>
      <x:c r="EP10" s="288"/>
      <x:c r="EQ10" s="288"/>
      <x:c r="ER10" s="2471" t="s">
        <x:v>655</x:v>
      </x:c>
      <x:c r="ES10" s="2472"/>
      <x:c r="ET10" s="2608" t="s">
        <x:v>519</x:v>
      </x:c>
      <x:c r="EU10" s="2611" t="s">
        <x:v>520</x:v>
      </x:c>
      <x:c r="FW10" s="295"/>
      <x:c r="FX10" s="295"/>
      <x:c r="FY10" s="295"/>
      <x:c r="FZ10" s="295"/>
      <x:c r="GA10" s="2639" t="s">
        <x:v>1188</x:v>
      </x:c>
      <x:c r="GB10" s="2655"/>
      <x:c r="GC10" s="2655"/>
      <x:c r="GD10" s="2655"/>
      <x:c r="GE10" s="2655"/>
      <x:c r="GF10" s="2655"/>
      <x:c r="GG10" s="2640"/>
      <x:c r="GH10" s="2640"/>
      <x:c r="GI10" s="2640"/>
      <x:c r="GJ10" s="2640"/>
      <x:c r="GK10" s="295"/>
      <x:c r="GL10" s="298"/>
      <x:c r="GM10" s="298"/>
      <x:c r="GN10" s="298"/>
      <x:c r="GO10" s="298"/>
      <x:c r="GP10" s="298"/>
      <x:c r="GZ10" s="298"/>
      <x:c r="HA10" s="1539"/>
      <x:c r="HB10" s="1539"/>
      <x:c r="HC10" s="1539"/>
      <x:c r="HD10" s="1540"/>
      <x:c r="HE10" s="1541"/>
      <x:c r="HF10" s="1543"/>
      <x:c r="HG10" s="1544"/>
      <x:c r="HH10" s="1544"/>
      <x:c r="HI10" s="1544"/>
      <x:c r="HJ10" s="1544"/>
      <x:c r="HK10" s="1544"/>
      <x:c r="HL10" s="1544"/>
      <x:c r="HM10" s="1543"/>
      <x:c r="HN10" s="1544"/>
      <x:c r="HO10" s="1544"/>
      <x:c r="HP10" s="1544"/>
      <x:c r="HQ10" s="1544"/>
      <x:c r="HR10" s="1544"/>
      <x:c r="HS10" s="1544"/>
      <x:c r="HT10" s="1539"/>
      <x:c r="HU10" s="1539"/>
      <x:c r="HV10" s="1539"/>
      <x:c r="HW10" s="1539"/>
      <x:c r="HX10" s="1539"/>
      <x:c r="HY10" s="1538"/>
      <x:c r="HZ10" s="1529"/>
      <x:c r="IA10" s="1529"/>
      <x:c r="IB10" s="1529"/>
      <x:c r="IC10" s="1529"/>
      <x:c r="ID10" s="1529"/>
      <x:c r="IE10" s="1529"/>
      <x:c r="IF10" s="1529"/>
      <x:c r="IG10" s="1529"/>
      <x:c r="IH10" s="1532"/>
      <x:c r="II10" s="1532"/>
      <x:c r="IJ10" s="1532"/>
      <x:c r="IK10" s="1532"/>
      <x:c r="IL10" s="1532"/>
      <x:c r="IM10" s="1532"/>
      <x:c r="IN10" s="1532"/>
      <x:c r="IO10" s="1532"/>
      <x:c r="IP10" s="1532"/>
      <x:c r="IQ10" s="1532"/>
      <x:c r="IR10" s="1532"/>
      <x:c r="IS10" s="1532"/>
      <x:c r="IT10" s="1532"/>
      <x:c r="IU10" s="1532"/>
      <x:c r="IV10" s="1532"/>
      <x:c r="IW10" s="1532"/>
      <x:c r="IX10" s="1532"/>
      <x:c r="IY10" s="1532"/>
      <x:c r="IZ10" s="1532"/>
      <x:c r="JA10" s="1532"/>
      <x:c r="JB10" s="1532"/>
      <x:c r="JC10" s="1532"/>
      <x:c r="JD10" s="1532"/>
      <x:c r="JE10" s="1532"/>
      <x:c r="JF10" s="1532"/>
      <x:c r="JG10" s="1532"/>
      <x:c r="JH10" s="1532"/>
      <x:c r="JI10" s="1532"/>
      <x:c r="JJ10" s="1532"/>
      <x:c r="JK10" s="1532"/>
      <x:c r="JL10" s="1532"/>
      <x:c r="JM10" s="1532"/>
      <x:c r="JN10" s="1532"/>
      <x:c r="JO10" s="1532"/>
    </x:row>
    <x:row r="11" spans="1:276" ht="3.95" customHeight="1" thickBot="1" x14ac:dyDescent="0.25">
      <x:c r="A11" s="2486"/>
      <x:c r="B11" s="2486"/>
      <x:c r="C11" s="2486"/>
      <x:c r="D11" s="2486"/>
      <x:c r="E11" s="2486"/>
      <x:c r="F11" s="2486"/>
      <x:c r="G11" s="2486"/>
      <x:c r="H11" s="2486"/>
      <x:c r="I11" s="2486"/>
      <x:c r="J11" s="2486"/>
      <x:c r="K11" s="2486"/>
      <x:c r="L11" s="2486"/>
      <x:c r="M11" s="2486"/>
      <x:c r="N11" s="2486"/>
      <x:c r="O11" s="2486"/>
      <x:c r="P11" s="2486"/>
      <x:c r="Q11" s="2486"/>
      <x:c r="R11" s="2486"/>
      <x:c r="S11" s="2486"/>
      <x:c r="T11" s="2486"/>
      <x:c r="U11" s="2486"/>
      <x:c r="V11" s="2486"/>
      <x:c r="W11" s="2486"/>
      <x:c r="X11" s="2486"/>
      <x:c r="Y11" s="2486"/>
      <x:c r="Z11" s="2486"/>
      <x:c r="AA11" s="2486"/>
      <x:c r="AB11" s="1436"/>
      <x:c r="AC11" s="1436"/>
      <x:c r="AD11" s="1436"/>
      <x:c r="AE11" s="1436"/>
      <x:c r="AF11" s="1436"/>
      <x:c r="AG11" s="1436"/>
      <x:c r="AH11" s="1436"/>
      <x:c r="AI11" s="1436"/>
      <x:c r="AJ11" s="1436"/>
      <x:c r="AK11" s="1436"/>
      <x:c r="AL11" s="1436"/>
      <x:c r="AM11" s="1436"/>
      <x:c r="AN11" s="1436"/>
      <x:c r="AO11" s="1436"/>
      <x:c r="AP11" s="1436"/>
      <x:c r="AQ11" s="1436"/>
      <x:c r="AR11" s="1436"/>
      <x:c r="AS11" s="1436"/>
      <x:c r="AT11" s="1436"/>
      <x:c r="AU11" s="1436"/>
      <x:c r="AV11" s="1436"/>
      <x:c r="AW11" s="1436"/>
      <x:c r="AX11" s="1436"/>
      <x:c r="AY11" s="1436"/>
      <x:c r="AZ11" s="1436"/>
      <x:c r="BA11" s="1436"/>
      <x:c r="BB11" s="1436"/>
      <x:c r="BC11" s="1436"/>
      <x:c r="BD11" s="1436"/>
      <x:c r="BE11" s="1436"/>
      <x:c r="BF11" s="1436"/>
      <x:c r="BG11" s="1436"/>
      <x:c r="BH11" s="322"/>
      <x:c r="BJ11" s="139"/>
      <x:c r="BK11" s="139"/>
      <x:c r="BL11" s="139"/>
      <x:c r="BM11" s="139"/>
      <x:c r="BN11" s="139"/>
      <x:c r="BO11" s="139"/>
      <x:c r="CA11" s="138"/>
      <x:c r="CB11" s="637"/>
      <x:c r="CC11" s="654"/>
      <x:c r="CD11" s="654"/>
      <x:c r="CE11" s="655"/>
      <x:c r="CF11" s="656"/>
      <x:c r="CG11" s="2417"/>
      <x:c r="CH11" s="2417"/>
      <x:c r="CI11" s="2417"/>
      <x:c r="CJ11" s="2417"/>
      <x:c r="CK11" s="2417"/>
      <x:c r="CL11" s="2417"/>
      <x:c r="CM11" s="2418"/>
      <x:c r="CN11" s="2416"/>
      <x:c r="CO11" s="2417"/>
      <x:c r="CP11" s="2417"/>
      <x:c r="CQ11" s="2417"/>
      <x:c r="CR11" s="2417"/>
      <x:c r="CS11" s="2417"/>
      <x:c r="CT11" s="2417"/>
      <x:c r="CU11" s="657"/>
      <x:c r="CV11" s="653"/>
      <x:c r="CW11" s="653"/>
      <x:c r="CX11" s="637"/>
      <x:c r="CY11" s="638"/>
      <x:c r="CZ11" s="2673"/>
      <x:c r="DA11" s="2674"/>
      <x:c r="DB11" s="173"/>
      <x:c r="DC11" s="173"/>
      <x:c r="DD11" s="173"/>
      <x:c r="DE11" s="173"/>
      <x:c r="DF11" s="173"/>
      <x:c r="DG11" s="173"/>
      <x:c r="DH11" s="2382"/>
      <x:c r="DI11" s="2599"/>
      <x:c r="DJ11" s="2600"/>
      <x:c r="DK11" s="2600"/>
      <x:c r="DL11" s="2600"/>
      <x:c r="DM11" s="2600"/>
      <x:c r="DN11" s="2601"/>
      <x:c r="DO11" s="2379"/>
      <x:c r="DP11" s="2568"/>
      <x:c r="DQ11" s="2568"/>
      <x:c r="DR11" s="2568"/>
      <x:c r="DS11" s="2568"/>
      <x:c r="DT11" s="2568"/>
      <x:c r="DU11" s="2568"/>
      <x:c r="DV11" s="2567"/>
      <x:c r="DW11" s="2568"/>
      <x:c r="DX11" s="2568"/>
      <x:c r="DY11" s="2568"/>
      <x:c r="DZ11" s="2568"/>
      <x:c r="EA11" s="2568"/>
      <x:c r="EB11" s="2568"/>
      <x:c r="EC11" s="2568"/>
      <x:c r="ED11" s="2568"/>
      <x:c r="EE11" s="2568"/>
      <x:c r="EF11" s="2568"/>
      <x:c r="EG11" s="2568"/>
      <x:c r="EH11" s="2568"/>
      <x:c r="EI11" s="2568"/>
      <x:c r="EJ11" s="2568"/>
      <x:c r="EK11" s="2569"/>
      <x:c r="EL11" s="173"/>
      <x:c r="EM11" s="173"/>
      <x:c r="EN11" s="1186"/>
      <x:c r="EO11" s="173"/>
      <x:c r="EP11" s="173"/>
      <x:c r="EQ11" s="173"/>
      <x:c r="ER11" s="2473"/>
      <x:c r="ES11" s="2474"/>
      <x:c r="ET11" s="2609"/>
      <x:c r="EU11" s="2612"/>
      <x:c r="FW11" s="2"/>
      <x:c r="FX11" s="2"/>
      <x:c r="FY11" s="2"/>
      <x:c r="FZ11" s="2"/>
      <x:c r="GA11" s="2656"/>
      <x:c r="GB11" s="2656"/>
      <x:c r="GC11" s="2656"/>
      <x:c r="GD11" s="2656"/>
      <x:c r="GE11" s="2656"/>
      <x:c r="GF11" s="2656"/>
      <x:c r="GG11" s="2657"/>
      <x:c r="GH11" s="2657"/>
      <x:c r="GI11" s="2657"/>
      <x:c r="GJ11" s="2657"/>
      <x:c r="GK11" s="2"/>
      <x:c r="GL11" s="171"/>
      <x:c r="GM11" s="171"/>
      <x:c r="GN11" s="171"/>
      <x:c r="GO11" s="171"/>
      <x:c r="GP11" s="171"/>
      <x:c r="GZ11" s="171"/>
      <x:c r="HA11" s="1539"/>
      <x:c r="HB11" s="1539"/>
      <x:c r="HC11" s="1539"/>
      <x:c r="HD11" s="1540"/>
      <x:c r="HE11" s="1541"/>
      <x:c r="HF11" s="1544"/>
      <x:c r="HG11" s="1544"/>
      <x:c r="HH11" s="1544"/>
      <x:c r="HI11" s="1544"/>
      <x:c r="HJ11" s="1544"/>
      <x:c r="HK11" s="1544"/>
      <x:c r="HL11" s="1544"/>
      <x:c r="HM11" s="1544"/>
      <x:c r="HN11" s="1544"/>
      <x:c r="HO11" s="1544"/>
      <x:c r="HP11" s="1544"/>
      <x:c r="HQ11" s="1544"/>
      <x:c r="HR11" s="1544"/>
      <x:c r="HS11" s="1544"/>
      <x:c r="HT11" s="1539"/>
      <x:c r="HU11" s="1539"/>
      <x:c r="HV11" s="1539"/>
      <x:c r="HW11" s="1539"/>
      <x:c r="HX11" s="1539"/>
      <x:c r="HY11" s="1538"/>
      <x:c r="HZ11" s="1539"/>
      <x:c r="IA11" s="1539"/>
      <x:c r="IB11" s="1539"/>
      <x:c r="IC11" s="1539"/>
      <x:c r="ID11" s="1539"/>
      <x:c r="IE11" s="1539"/>
      <x:c r="IF11" s="1539"/>
      <x:c r="IG11" s="1539"/>
      <x:c r="IH11" s="1545"/>
      <x:c r="II11" s="1545"/>
      <x:c r="IJ11" s="1545"/>
      <x:c r="IK11" s="1545"/>
      <x:c r="IL11" s="1545"/>
      <x:c r="IM11" s="1545"/>
      <x:c r="IN11" s="1545"/>
      <x:c r="IO11" s="1545"/>
      <x:c r="IP11" s="1545"/>
      <x:c r="IQ11" s="1545"/>
      <x:c r="IR11" s="1545"/>
      <x:c r="IS11" s="1545"/>
      <x:c r="IT11" s="1545"/>
      <x:c r="IU11" s="1545"/>
      <x:c r="IV11" s="1545"/>
      <x:c r="IW11" s="1545"/>
      <x:c r="IX11" s="1545"/>
      <x:c r="IY11" s="1545"/>
      <x:c r="IZ11" s="1545"/>
      <x:c r="JA11" s="1545"/>
      <x:c r="JB11" s="1545"/>
      <x:c r="JC11" s="1545"/>
      <x:c r="JD11" s="1545"/>
      <x:c r="JE11" s="1545"/>
      <x:c r="JF11" s="1545"/>
      <x:c r="JG11" s="1545"/>
      <x:c r="JH11" s="1545"/>
      <x:c r="JI11" s="1545"/>
      <x:c r="JJ11" s="1545"/>
      <x:c r="JK11" s="1545"/>
      <x:c r="JL11" s="1545"/>
      <x:c r="JM11" s="1545"/>
      <x:c r="JN11" s="1545"/>
      <x:c r="JO11" s="1545"/>
    </x:row>
    <x:row r="12" spans="1:276" ht="12" customHeight="1" thickTop="1" thickBot="1" x14ac:dyDescent="0.25">
      <x:c r="A12" s="2434" t="s">
        <x:v>40</x:v>
      </x:c>
      <x:c r="B12" s="2435" t="s">
        <x:v>131</x:v>
      </x:c>
      <x:c r="C12" s="2435" t="s">
        <x:v>31</x:v>
      </x:c>
      <x:c r="D12" s="2435" t="s">
        <x:v>25</x:v>
      </x:c>
      <x:c r="E12" s="2439"/>
      <x:c r="F12" s="2445" t="s">
        <x:v>89</x:v>
      </x:c>
      <x:c r="G12" s="2344" t="s">
        <x:v>9</x:v>
      </x:c>
      <x:c r="H12" s="2443"/>
      <x:c r="I12" s="2443"/>
      <x:c r="J12" s="2443" t="s">
        <x:v>10</x:v>
      </x:c>
      <x:c r="K12" s="2443"/>
      <x:c r="L12" s="2342"/>
      <x:c r="M12" s="2437" t="s">
        <x:v>11</x:v>
      </x:c>
      <x:c r="N12" s="2438"/>
      <x:c r="O12" s="2440" t="s">
        <x:v>12</x:v>
      </x:c>
      <x:c r="P12" s="2441"/>
      <x:c r="Q12" s="2441" t="s">
        <x:v>13</x:v>
      </x:c>
      <x:c r="R12" s="2451"/>
      <x:c r="S12" s="2442" t="s">
        <x:v>14</x:v>
      </x:c>
      <x:c r="T12" s="2443"/>
      <x:c r="U12" s="2443"/>
      <x:c r="V12" s="2443"/>
      <x:c r="W12" s="2444"/>
      <x:c r="X12" s="2344" t="s">
        <x:v>112</x:v>
      </x:c>
      <x:c r="Y12" s="2342"/>
      <x:c r="Z12" s="1437" t="s">
        <x:v>15</x:v>
      </x:c>
      <x:c r="AA12" s="2686" t="s">
        <x:v>982</x:v>
      </x:c>
      <x:c r="AB12" s="2453" t="s">
        <x:v>40</x:v>
      </x:c>
      <x:c r="AC12" s="2336" t="s">
        <x:v>63</x:v>
      </x:c>
      <x:c r="AD12" s="2338" t="s">
        <x:v>32</x:v>
      </x:c>
      <x:c r="AE12" s="2339"/>
      <x:c r="AF12" s="2443" t="s">
        <x:v>34</x:v>
      </x:c>
      <x:c r="AG12" s="2443"/>
      <x:c r="AH12" s="2443"/>
      <x:c r="AI12" s="2338" t="s">
        <x:v>35</x:v>
      </x:c>
      <x:c r="AJ12" s="2339"/>
      <x:c r="AK12" s="2345" t="s">
        <x:v>64</x:v>
      </x:c>
      <x:c r="AL12" s="2347" t="s">
        <x:v>778</x:v>
      </x:c>
      <x:c r="AM12" s="2348"/>
      <x:c r="AN12" s="2348"/>
      <x:c r="AO12" s="2348"/>
      <x:c r="AP12" s="2348"/>
      <x:c r="AQ12" s="2349"/>
      <x:c r="AR12" s="2343" t="s">
        <x:v>83</x:v>
      </x:c>
      <x:c r="AS12" s="2343"/>
      <x:c r="AT12" s="2343"/>
      <x:c r="AU12" s="2343"/>
      <x:c r="AV12" s="2343"/>
      <x:c r="AW12" s="2343"/>
      <x:c r="AX12" s="2343"/>
      <x:c r="AY12" s="2343"/>
      <x:c r="AZ12" s="2343"/>
      <x:c r="BA12" s="2343"/>
      <x:c r="BB12" s="2343"/>
      <x:c r="BC12" s="2343"/>
      <x:c r="BD12" s="2343"/>
      <x:c r="BE12" s="2343"/>
      <x:c r="BF12" s="2343"/>
      <x:c r="BG12" s="2350"/>
      <x:c r="BH12" s="322"/>
      <x:c r="BJ12" s="139"/>
      <x:c r="BK12" s="139"/>
      <x:c r="BL12" s="139"/>
      <x:c r="BM12" s="139"/>
      <x:c r="BN12" s="139"/>
      <x:c r="BO12" s="139"/>
      <x:c r="BW12" s="2688" t="s">
        <x:v>671</x:v>
      </x:c>
      <x:c r="BX12" s="2689"/>
      <x:c r="BY12" s="2689"/>
      <x:c r="BZ12" s="2690"/>
      <x:c r="CA12" s="138"/>
      <x:c r="CB12" s="2505" t="s">
        <x:v>653</x:v>
      </x:c>
      <x:c r="CC12" s="2484" t="s">
        <x:v>131</x:v>
      </x:c>
      <x:c r="CD12" s="2618" t="s">
        <x:v>515</x:v>
      </x:c>
      <x:c r="CE12" s="2693" t="s">
        <x:v>516</x:v>
      </x:c>
      <x:c r="CF12" s="2694"/>
      <x:c r="CG12" s="2616" t="s">
        <x:v>579</x:v>
      </x:c>
      <x:c r="CH12" s="2618" t="s">
        <x:v>635</x:v>
      </x:c>
      <x:c r="CI12" s="2670"/>
      <x:c r="CJ12" s="2618" t="s">
        <x:v>636</x:v>
      </x:c>
      <x:c r="CK12" s="2670"/>
      <x:c r="CL12" s="2484" t="s">
        <x:v>525</x:v>
      </x:c>
      <x:c r="CM12" s="2626" t="s">
        <x:v>832</x:v>
      </x:c>
      <x:c r="CN12" s="2616" t="s">
        <x:v>579</x:v>
      </x:c>
      <x:c r="CO12" s="2618" t="s">
        <x:v>635</x:v>
      </x:c>
      <x:c r="CP12" s="2670"/>
      <x:c r="CQ12" s="2618" t="s">
        <x:v>636</x:v>
      </x:c>
      <x:c r="CR12" s="2670"/>
      <x:c r="CS12" s="2484" t="s">
        <x:v>525</x:v>
      </x:c>
      <x:c r="CT12" s="2626" t="s">
        <x:v>832</x:v>
      </x:c>
      <x:c r="CU12" s="2669" t="s">
        <x:v>848</x:v>
      </x:c>
      <x:c r="CV12" s="2677"/>
      <x:c r="CW12" s="2678"/>
      <x:c r="CX12" s="2623" t="s">
        <x:v>981</x:v>
      </x:c>
      <x:c r="CY12" s="2675" t="s">
        <x:v>518</x:v>
      </x:c>
      <x:c r="CZ12" s="2635" t="s">
        <x:v>677</x:v>
      </x:c>
      <x:c r="DA12" s="2637" t="s">
        <x:v>678</x:v>
      </x:c>
      <x:c r="DB12" s="2632" t="s">
        <x:v>847</x:v>
      </x:c>
      <x:c r="DC12" s="2632"/>
      <x:c r="DD12" s="2573" t="s">
        <x:v>1064</x:v>
      </x:c>
      <x:c r="DE12" s="2573"/>
      <x:c r="DF12" s="173"/>
      <x:c r="DG12" s="173"/>
      <x:c r="DH12" s="2382"/>
      <x:c r="DI12" s="2356" t="s">
        <x:v>1108</x:v>
      </x:c>
      <x:c r="DJ12" s="2358" t="s">
        <x:v>32</x:v>
      </x:c>
      <x:c r="DK12" s="2359"/>
      <x:c r="DL12" s="2362" t="s">
        <x:v>34</x:v>
      </x:c>
      <x:c r="DM12" s="2364" t="s">
        <x:v>526</x:v>
      </x:c>
      <x:c r="DN12" s="2365"/>
      <x:c r="DO12" s="2379"/>
      <x:c r="DP12" s="2334" t="s">
        <x:v>641</x:v>
      </x:c>
      <x:c r="DQ12" s="2365" t="s">
        <x:v>642</x:v>
      </x:c>
      <x:c r="DR12" s="2365" t="s">
        <x:v>643</x:v>
      </x:c>
      <x:c r="DS12" s="2365" t="s">
        <x:v>644</x:v>
      </x:c>
      <x:c r="DT12" s="2368" t="s">
        <x:v>645</x:v>
      </x:c>
      <x:c r="DU12" s="2369"/>
      <x:c r="DV12" s="2370" t="s">
        <x:v>638</x:v>
      </x:c>
      <x:c r="DW12" s="2371"/>
      <x:c r="DX12" s="2362" t="s">
        <x:v>649</x:v>
      </x:c>
      <x:c r="DY12" s="2372" t="s">
        <x:v>639</x:v>
      </x:c>
      <x:c r="DZ12" s="2370" t="s">
        <x:v>638</x:v>
      </x:c>
      <x:c r="EA12" s="2371"/>
      <x:c r="EB12" s="2362" t="s">
        <x:v>649</x:v>
      </x:c>
      <x:c r="EC12" s="2372" t="s">
        <x:v>639</x:v>
      </x:c>
      <x:c r="ED12" s="2370" t="s">
        <x:v>638</x:v>
      </x:c>
      <x:c r="EE12" s="2371"/>
      <x:c r="EF12" s="2362" t="s">
        <x:v>649</x:v>
      </x:c>
      <x:c r="EG12" s="2372" t="s">
        <x:v>639</x:v>
      </x:c>
      <x:c r="EH12" s="2370" t="s">
        <x:v>638</x:v>
      </x:c>
      <x:c r="EI12" s="2371"/>
      <x:c r="EJ12" s="2362" t="s">
        <x:v>649</x:v>
      </x:c>
      <x:c r="EK12" s="2332" t="s">
        <x:v>639</x:v>
      </x:c>
      <x:c r="EL12" s="2630" t="s">
        <x:v>628</x:v>
      </x:c>
      <x:c r="EM12" s="2631"/>
      <x:c r="EN12" s="2631"/>
      <x:c r="EO12" s="2628" t="s">
        <x:v>629</x:v>
      </x:c>
      <x:c r="EP12" s="2621" t="s">
        <x:v>827</x:v>
      </x:c>
      <x:c r="EQ12" s="2622"/>
      <x:c r="ER12" s="2475"/>
      <x:c r="ES12" s="2476"/>
      <x:c r="ET12" s="2609"/>
      <x:c r="EU12" s="2612"/>
      <x:c r="FW12" s="2"/>
      <x:c r="FX12" s="2"/>
      <x:c r="FY12" s="2"/>
      <x:c r="FZ12" s="2"/>
      <x:c r="GA12" s="2498" t="s">
        <x:v>749</x:v>
      </x:c>
      <x:c r="GB12" s="2499"/>
      <x:c r="GC12" s="2498" t="s">
        <x:v>597</x:v>
      </x:c>
      <x:c r="GD12" s="2499"/>
      <x:c r="GE12" s="2500" t="s">
        <x:v>752</x:v>
      </x:c>
      <x:c r="GF12" s="2502" t="s">
        <x:v>673</x:v>
      </x:c>
      <x:c r="GG12" s="2498" t="s">
        <x:v>1190</x:v>
      </x:c>
      <x:c r="GH12" s="2499"/>
      <x:c r="GI12" s="2498" t="s">
        <x:v>1189</x:v>
      </x:c>
      <x:c r="GJ12" s="2499"/>
      <x:c r="GK12" s="2491" t="s">
        <x:v>753</x:v>
      </x:c>
      <x:c r="GL12" s="2491" t="s">
        <x:v>754</x:v>
      </x:c>
      <x:c r="GM12" s="2491" t="s">
        <x:v>755</x:v>
      </x:c>
      <x:c r="GN12" s="171"/>
      <x:c r="GO12" s="171"/>
      <x:c r="GP12" s="171"/>
      <x:c r="GZ12" s="171"/>
      <x:c r="HA12" s="2574" t="s">
        <x:v>673</x:v>
      </x:c>
      <x:c r="HB12" s="2493" t="s">
        <x:v>1182</x:v>
      </x:c>
      <x:c r="HC12" s="2493" t="s">
        <x:v>1207</x:v>
      </x:c>
      <x:c r="HD12" s="2493" t="str">
        <x:f>IF($HA$1,"Bay Length","Overall Length")</x:f>
        <x:v>Overall Length</x:v>
      </x:c>
      <x:c r="HE12" s="2561"/>
      <x:c r="HF12" s="2493" t="str">
        <x:f>IF($HA$1,"L Sect #","TC Width")</x:f>
        <x:v>TC Width</x:v>
      </x:c>
      <x:c r="HG12" s="2495" t="str">
        <x:f>IF($HA$1,"L Min Sup Wid","TCXL Feet")</x:f>
        <x:v>TCXL Feet</x:v>
      </x:c>
      <x:c r="HH12" s="2495" t="str">
        <x:f>IF($HA$1,"L Max Sup Wid","TCXL Inch")</x:f>
        <x:v>TCXL Inch</x:v>
      </x:c>
      <x:c r="HI12" s="2495" t="str">
        <x:f>IF($HA$1,"L Min Flg Ga","TCXL Type")</x:f>
        <x:v>TCXL Type</x:v>
      </x:c>
      <x:c r="HJ12" s="2495" t="str">
        <x:f>IF($HA$1,"L Max Flg Ga","TCXR Feet")</x:f>
        <x:v>TCXR Feet</x:v>
      </x:c>
      <x:c r="HK12" s="2495" t="str">
        <x:f>IF($HA$1,"L Skew","TCXR Inch")</x:f>
        <x:v>TCXR Inch</x:v>
      </x:c>
      <x:c r="HL12" s="2495" t="str">
        <x:f>IF($HA$1,"L Brg Slp","TCXR Type")</x:f>
        <x:v>TCXR Type</x:v>
      </x:c>
      <x:c r="HM12" s="2493" t="str">
        <x:f>IF($HA$1,"R Sect #","BDL")</x:f>
        <x:v>BDL</x:v>
      </x:c>
      <x:c r="HN12" s="2495" t="str">
        <x:f>IF($HA$1,"R Min Sup Wid","BDR")</x:f>
        <x:v>BDR</x:v>
      </x:c>
      <x:c r="HO12" s="2495" t="str">
        <x:f>IF($HA$1,"R Max Sup Wid","BCXL Feet")</x:f>
        <x:v>BCXL Feet</x:v>
      </x:c>
      <x:c r="HP12" s="2495" t="str">
        <x:f>IF($HA$1,"R Min Flg Ga","BCXL Inch")</x:f>
        <x:v>BCXL Inch</x:v>
      </x:c>
      <x:c r="HQ12" s="2495" t="str">
        <x:f>IF($HA$1,"R Max Flg Ga","BCXR Feet")</x:f>
        <x:v>BCXR Feet</x:v>
      </x:c>
      <x:c r="HR12" s="2495" t="str">
        <x:f>IF($HA$1,"R Skew","BCXR Inch")</x:f>
        <x:v>BCXR Inch</x:v>
      </x:c>
      <x:c r="HS12" s="2495" t="str">
        <x:f>IF($HA$1,"R Brg Slp","HL Feet")</x:f>
        <x:v>HL Feet</x:v>
      </x:c>
      <x:c r="HT12" s="2495" t="str">
        <x:f>IF($HA$1,"TC Slope","HL Inch")</x:f>
        <x:v>HL Inch</x:v>
      </x:c>
      <x:c r="HU12" s="2495" t="str">
        <x:f>IF($HA$1,"Load Notes","HR Feet")</x:f>
        <x:v>HR Feet</x:v>
      </x:c>
      <x:c r="HV12" s="2495" t="str">
        <x:f>IF($HA$1,"Spcl Notes","HR Inch")</x:f>
        <x:v>HR Inch</x:v>
      </x:c>
      <x:c r="HW12" s="2495" t="str">
        <x:f>IF($HA$1,"# KB","Slot Ga")</x:f>
        <x:v>Slot Ga</x:v>
      </x:c>
      <x:c r="HX12" s="2495" t="str">
        <x:f>IF($HA$1,"TC Width","L Seat Slp")</x:f>
        <x:v>L Seat Slp</x:v>
      </x:c>
      <x:c r="HY12" s="2495" t="str">
        <x:f>IF($HA$1,"TCL Override","R Seat Slp")</x:f>
        <x:v>R Seat Slp</x:v>
      </x:c>
      <x:c r="HZ12" s="2495" t="str">
        <x:f>IF($HA$1,"TCR Override","Load Notes")</x:f>
        <x:v>Load Notes</x:v>
      </x:c>
      <x:c r="IA12" s="2495" t="str">
        <x:f>IF($HA$1,"L-BL Override","Spcl Notes")</x:f>
        <x:v>Spcl Notes</x:v>
      </x:c>
      <x:c r="IB12" s="2576" t="str">
        <x:f>IF($HA$1,"R-BL Override","# KB")</x:f>
        <x:v># KB</x:v>
      </x:c>
      <x:c r="IC12" s="2495" t="str">
        <x:f>IF($HA$1,"BDL Override","-")</x:f>
        <x:v>-</x:v>
      </x:c>
      <x:c r="ID12" s="2696" t="str">
        <x:f>IF($HA$1,"BDR Override","-")</x:f>
        <x:v>-</x:v>
      </x:c>
      <x:c r="IE12" s="2562" t="s">
        <x:v>673</x:v>
      </x:c>
      <x:c r="IF12" s="2465" t="s">
        <x:v>1209</x:v>
      </x:c>
      <x:c r="IG12" s="2465" t="s">
        <x:v>1210</x:v>
      </x:c>
      <x:c r="IH12" s="2465" t="s">
        <x:v>1211</x:v>
      </x:c>
      <x:c r="II12" s="2465" t="s">
        <x:v>1212</x:v>
      </x:c>
      <x:c r="IJ12" s="2465" t="s">
        <x:v>1214</x:v>
      </x:c>
      <x:c r="IK12" s="2465" t="s">
        <x:v>1213</x:v>
      </x:c>
      <x:c r="IL12" s="2465" t="str">
        <x:f>IF($HA$1,"Load (Kip)","Panel ""B"" Feet")</x:f>
        <x:v>Panel "B" Feet</x:v>
      </x:c>
      <x:c r="IM12" s="2465" t="str">
        <x:f>IF($HA$1,"OSHA N/F/B","Panel ""B"" Inch")</x:f>
        <x:v>Panel "B" Inch</x:v>
      </x:c>
      <x:c r="IN12" s="2465" t="str">
        <x:f>IF($HA$1,"Girder TC Ga","Load (Kip)")</x:f>
        <x:v>Load (Kip)</x:v>
      </x:c>
      <x:c r="IO12" s="2465" t="str">
        <x:f>IF($HA$1,"Jst Hole (x/16)","OSHA N/F/B")</x:f>
        <x:v>OSHA N/F/B</x:v>
      </x:c>
      <x:c r="IP12" s="2465" t="str">
        <x:f>IF($HA$1,"Joist Gage","Girder TC Gage")</x:f>
        <x:v>Girder TC Gage</x:v>
      </x:c>
      <x:c r="IQ12" s="2465" t="str">
        <x:f>IF($HA$1,"TC Hole L","Girder TC Hole (x/16)")</x:f>
        <x:v>Girder TC Hole (x/16)</x:v>
      </x:c>
      <x:c r="IR12" s="2465" t="str">
        <x:f>IF($HA$1,"TC Hole R","Joist Gage")</x:f>
        <x:v>Joist Gage</x:v>
      </x:c>
      <x:c r="IS12" s="2465" t="str">
        <x:f>IF($HA$1,"Add Jst#1 Feet","TCHoleL")</x:f>
        <x:v>TCHoleL</x:v>
      </x:c>
      <x:c r="IT12" s="2465" t="str">
        <x:f>IF($HA$1,"Add Jst#1 Inch","TC Hole R")</x:f>
        <x:v>TC Hole R</x:v>
      </x:c>
      <x:c r="IU12" s="2465" t="str">
        <x:f>IF($HA$1,"Add Jst#1 Load","Add Jst#1 Feet")</x:f>
        <x:v>Add Jst#1 Feet</x:v>
      </x:c>
      <x:c r="IV12" s="2465" t="str">
        <x:f>IF($HA$1,"Add Jst#1 Bolt N/F/B","Add Jst#1 inch")</x:f>
        <x:v>Add Jst#1 inch</x:v>
      </x:c>
      <x:c r="IW12" s="2465" t="str">
        <x:f>IF($HA$1,"Add Jst#2 Feet","Add Jst#1 Load")</x:f>
        <x:v>Add Jst#1 Load</x:v>
      </x:c>
      <x:c r="IX12" s="2465" t="str">
        <x:f>IF($HA$1,"Add Jst#2 Inch","Add Jst#1 Bolt N/F/B")</x:f>
        <x:v>Add Jst#1 Bolt N/F/B</x:v>
      </x:c>
      <x:c r="IY12" s="2465" t="str">
        <x:f>IF($HA$1,"Add Jst#2 Load","Add Jst#2 Feet")</x:f>
        <x:v>Add Jst#2 Feet</x:v>
      </x:c>
      <x:c r="IZ12" s="2465" t="str">
        <x:f>IF($HA$1,"Add Jst#2 Bolt N/F/B","Add Jst#2 inch")</x:f>
        <x:v>Add Jst#2 inch</x:v>
      </x:c>
      <x:c r="JA12" s="2465" t="str">
        <x:f>IF($HA$1,"Add Jst#3 Feet","Add Jst#2 Load")</x:f>
        <x:v>Add Jst#2 Load</x:v>
      </x:c>
      <x:c r="JB12" s="2465" t="str">
        <x:f>IF($HA$1,"Add Jst#3 Inch","Add Jst#2 Bolt N/F/B")</x:f>
        <x:v>Add Jst#2 Bolt N/F/B</x:v>
      </x:c>
      <x:c r="JC12" s="2465" t="str">
        <x:f>IF($HA$1,"Add Jst#3 Load","Add Jst#3 Feet")</x:f>
        <x:v>Add Jst#3 Feet</x:v>
      </x:c>
      <x:c r="JD12" s="2465" t="str">
        <x:f>IF($HA$1,"Add Jst#3 Bolt N/F/B","Add Jst#3 inch")</x:f>
        <x:v>Add Jst#3 inch</x:v>
      </x:c>
      <x:c r="JE12" s="2465" t="str">
        <x:f>IF($HA$1,"Add Jst#4 Feet","Add Jst#3 Load")</x:f>
        <x:v>Add Jst#3 Load</x:v>
      </x:c>
      <x:c r="JF12" s="2465" t="str">
        <x:f>IF($HA$1,"Add Jst#4 Inch","Add Jst#3 Bolt N/F/B")</x:f>
        <x:v>Add Jst#3 Bolt N/F/B</x:v>
      </x:c>
      <x:c r="JG12" s="2465" t="str">
        <x:f>IF($HA$1,"Add Jst#4 Load","Add Jst#4 Feet")</x:f>
        <x:v>Add Jst#4 Feet</x:v>
      </x:c>
      <x:c r="JH12" s="2465" t="str">
        <x:f>IF($HA$1,"Add Jst#4 Bolt N/F/B","Add Jst#4 inch")</x:f>
        <x:v>Add Jst#4 inch</x:v>
      </x:c>
      <x:c r="JI12" s="2465" t="str">
        <x:f>IF($HA$1,"-","Add Jst#4 Load")</x:f>
        <x:v>Add Jst#4 Load</x:v>
      </x:c>
      <x:c r="JJ12" s="2465" t="str">
        <x:f>IF($HA$1,"-","Add Jst#4 Bolt N/F/B")</x:f>
        <x:v>Add Jst#4 Bolt N/F/B</x:v>
      </x:c>
      <x:c r="JK12" s="2642" t="str">
        <x:f>IF($HA$1,"# Rows Req'd","# Rows Req'd")</x:f>
        <x:v># Rows Req'd</x:v>
      </x:c>
      <x:c r="JL12" s="2644" t="s">
        <x:v>1216</x:v>
      </x:c>
      <x:c r="JM12" s="1545"/>
      <x:c r="JN12" s="1545"/>
      <x:c r="JO12" s="1545"/>
    </x:row>
    <x:row r="13" spans="1:276" ht="21" customHeight="1" thickTop="1" thickBot="1" x14ac:dyDescent="0.25">
      <x:c r="A13" s="2434"/>
      <x:c r="B13" s="2435"/>
      <x:c r="C13" s="2435"/>
      <x:c r="D13" s="2435"/>
      <x:c r="E13" s="2439"/>
      <x:c r="F13" s="2445"/>
      <x:c r="G13" s="2352" t="s">
        <x:v>16</x:v>
      </x:c>
      <x:c r="H13" s="2436"/>
      <x:c r="I13" s="1839" t="s">
        <x:v>773</x:v>
      </x:c>
      <x:c r="J13" s="2436" t="s">
        <x:v>16</x:v>
      </x:c>
      <x:c r="K13" s="2436"/>
      <x:c r="L13" s="1832" t="s">
        <x:v>773</x:v>
      </x:c>
      <x:c r="M13" s="1834" t="s">
        <x:v>18</x:v>
      </x:c>
      <x:c r="N13" s="549" t="s">
        <x:v>19</x:v>
      </x:c>
      <x:c r="O13" s="2440"/>
      <x:c r="P13" s="2441"/>
      <x:c r="Q13" s="2441"/>
      <x:c r="R13" s="2451"/>
      <x:c r="S13" s="2355" t="s">
        <x:v>81</x:v>
      </x:c>
      <x:c r="T13" s="2436"/>
      <x:c r="U13" s="2436" t="s">
        <x:v>82</x:v>
      </x:c>
      <x:c r="V13" s="2436"/>
      <x:c r="W13" s="549" t="s">
        <x:v>27</x:v>
      </x:c>
      <x:c r="X13" s="1833" t="s">
        <x:v>113</x:v>
      </x:c>
      <x:c r="Y13" s="1832" t="s">
        <x:v>114</x:v>
      </x:c>
      <x:c r="Z13" s="1438" t="s">
        <x:v>58</x:v>
      </x:c>
      <x:c r="AA13" s="2687"/>
      <x:c r="AB13" s="2454"/>
      <x:c r="AC13" s="2337"/>
      <x:c r="AD13" s="2340"/>
      <x:c r="AE13" s="2341"/>
      <x:c r="AF13" s="1839" t="s">
        <x:v>33</x:v>
      </x:c>
      <x:c r="AG13" s="2436" t="s">
        <x:v>16</x:v>
      </x:c>
      <x:c r="AH13" s="2436"/>
      <x:c r="AI13" s="2340"/>
      <x:c r="AJ13" s="2341"/>
      <x:c r="AK13" s="2346"/>
      <x:c r="AL13" s="1439" t="s">
        <x:v>779</x:v>
      </x:c>
      <x:c r="AM13" s="1840" t="s">
        <x:v>776</x:v>
      </x:c>
      <x:c r="AN13" s="1840" t="s">
        <x:v>777</x:v>
      </x:c>
      <x:c r="AO13" s="1841" t="s">
        <x:v>61</x:v>
      </x:c>
      <x:c r="AP13" s="1842" t="s">
        <x:v>780</x:v>
      </x:c>
      <x:c r="AQ13" s="1440" t="s">
        <x:v>781</x:v>
      </x:c>
      <x:c r="AR13" s="2353" t="s">
        <x:v>59</x:v>
      </x:c>
      <x:c r="AS13" s="2352"/>
      <x:c r="AT13" s="1441" t="s">
        <x:v>64</x:v>
      </x:c>
      <x:c r="AU13" s="1442" t="s">
        <x:v>60</x:v>
      </x:c>
      <x:c r="AV13" s="2354" t="s">
        <x:v>59</x:v>
      </x:c>
      <x:c r="AW13" s="2355"/>
      <x:c r="AX13" s="1441" t="s">
        <x:v>64</x:v>
      </x:c>
      <x:c r="AY13" s="1442" t="s">
        <x:v>60</x:v>
      </x:c>
      <x:c r="AZ13" s="2354" t="s">
        <x:v>59</x:v>
      </x:c>
      <x:c r="BA13" s="2355"/>
      <x:c r="BB13" s="1441" t="s">
        <x:v>64</x:v>
      </x:c>
      <x:c r="BC13" s="1442" t="s">
        <x:v>60</x:v>
      </x:c>
      <x:c r="BD13" s="2354" t="s">
        <x:v>59</x:v>
      </x:c>
      <x:c r="BE13" s="2355"/>
      <x:c r="BF13" s="1441" t="s">
        <x:v>64</x:v>
      </x:c>
      <x:c r="BG13" s="1442" t="s">
        <x:v>60</x:v>
      </x:c>
      <x:c r="BH13" s="322"/>
      <x:c r="BJ13" s="622" t="s">
        <x:v>673</x:v>
      </x:c>
      <x:c r="BK13" s="623" t="s">
        <x:v>830</x:v>
      </x:c>
      <x:c r="BL13" s="440" t="s">
        <x:v>171</x:v>
      </x:c>
      <x:c r="BM13" s="440" t="s">
        <x:v>172</x:v>
      </x:c>
      <x:c r="BN13" s="440" t="s">
        <x:v>173</x:v>
      </x:c>
      <x:c r="BO13" s="440" t="s">
        <x:v>454</x:v>
      </x:c>
      <x:c r="BP13" s="440" t="s">
        <x:v>455</x:v>
      </x:c>
      <x:c r="BQ13" s="440" t="s">
        <x:v>456</x:v>
      </x:c>
      <x:c r="BR13" s="440" t="s">
        <x:v>180</x:v>
      </x:c>
      <x:c r="BS13" s="440" t="s">
        <x:v>177</x:v>
      </x:c>
      <x:c r="BT13" s="440" t="s">
        <x:v>175</x:v>
      </x:c>
      <x:c r="BU13" s="440" t="s">
        <x:v>178</x:v>
      </x:c>
      <x:c r="BV13" s="440" t="s">
        <x:v>179</x:v>
      </x:c>
      <x:c r="BW13" s="441" t="s">
        <x:v>672</x:v>
      </x:c>
      <x:c r="BX13" s="442" t="s">
        <x:v>673</x:v>
      </x:c>
      <x:c r="BY13" s="442" t="s">
        <x:v>171</x:v>
      </x:c>
      <x:c r="BZ13" s="623" t="s">
        <x:v>830</x:v>
      </x:c>
      <x:c r="CB13" s="2506"/>
      <x:c r="CC13" s="2691"/>
      <x:c r="CD13" s="2692"/>
      <x:c r="CE13" s="2421"/>
      <x:c r="CF13" s="2422"/>
      <x:c r="CG13" s="2617"/>
      <x:c r="CH13" s="2671"/>
      <x:c r="CI13" s="2672"/>
      <x:c r="CJ13" s="2671"/>
      <x:c r="CK13" s="2672"/>
      <x:c r="CL13" s="2681"/>
      <x:c r="CM13" s="2627"/>
      <x:c r="CN13" s="2617"/>
      <x:c r="CO13" s="2671"/>
      <x:c r="CP13" s="2672"/>
      <x:c r="CQ13" s="2671"/>
      <x:c r="CR13" s="2672"/>
      <x:c r="CS13" s="2681"/>
      <x:c r="CT13" s="2627"/>
      <x:c r="CU13" s="2615"/>
      <x:c r="CV13" s="515" t="s">
        <x:v>455</x:v>
      </x:c>
      <x:c r="CW13" s="516" t="s">
        <x:v>592</x:v>
      </x:c>
      <x:c r="CX13" s="2624"/>
      <x:c r="CY13" s="2676"/>
      <x:c r="CZ13" s="2636"/>
      <x:c r="DA13" s="2638"/>
      <x:c r="DB13" s="1041" t="s">
        <x:v>646</x:v>
      </x:c>
      <x:c r="DC13" s="1042" t="s">
        <x:v>647</x:v>
      </x:c>
      <x:c r="DD13" s="594" t="s">
        <x:v>646</x:v>
      </x:c>
      <x:c r="DE13" s="595" t="s">
        <x:v>647</x:v>
      </x:c>
      <x:c r="DF13" s="173"/>
      <x:c r="DG13" s="173"/>
      <x:c r="DH13" s="2383"/>
      <x:c r="DI13" s="2357"/>
      <x:c r="DJ13" s="2360"/>
      <x:c r="DK13" s="2361"/>
      <x:c r="DL13" s="2363"/>
      <x:c r="DM13" s="2366"/>
      <x:c r="DN13" s="2367"/>
      <x:c r="DO13" s="2380"/>
      <x:c r="DP13" s="2335"/>
      <x:c r="DQ13" s="2367"/>
      <x:c r="DR13" s="2367"/>
      <x:c r="DS13" s="2367"/>
      <x:c r="DT13" s="634" t="s">
        <x:v>646</x:v>
      </x:c>
      <x:c r="DU13" s="635" t="s">
        <x:v>647</x:v>
      </x:c>
      <x:c r="DV13" s="669" t="s">
        <x:v>674</x:v>
      </x:c>
      <x:c r="DW13" s="670" t="s">
        <x:v>648</x:v>
      </x:c>
      <x:c r="DX13" s="2363"/>
      <x:c r="DY13" s="2364"/>
      <x:c r="DZ13" s="669" t="s">
        <x:v>674</x:v>
      </x:c>
      <x:c r="EA13" s="670" t="s">
        <x:v>648</x:v>
      </x:c>
      <x:c r="EB13" s="2363"/>
      <x:c r="EC13" s="2364"/>
      <x:c r="ED13" s="669" t="s">
        <x:v>674</x:v>
      </x:c>
      <x:c r="EE13" s="670" t="s">
        <x:v>648</x:v>
      </x:c>
      <x:c r="EF13" s="2363"/>
      <x:c r="EG13" s="2364"/>
      <x:c r="EH13" s="669" t="s">
        <x:v>674</x:v>
      </x:c>
      <x:c r="EI13" s="670" t="s">
        <x:v>648</x:v>
      </x:c>
      <x:c r="EJ13" s="2363"/>
      <x:c r="EK13" s="2333"/>
      <x:c r="EL13" s="636" t="s">
        <x:v>625</x:v>
      </x:c>
      <x:c r="EM13" s="517" t="s">
        <x:v>626</x:v>
      </x:c>
      <x:c r="EN13" s="518" t="s">
        <x:v>627</x:v>
      </x:c>
      <x:c r="EO13" s="2629"/>
      <x:c r="EP13" s="658" t="s">
        <x:v>646</x:v>
      </x:c>
      <x:c r="EQ13" s="659" t="s">
        <x:v>647</x:v>
      </x:c>
      <x:c r="ER13" s="520" t="s">
        <x:v>557</x:v>
      </x:c>
      <x:c r="ES13" s="521" t="s">
        <x:v>170</x:v>
      </x:c>
      <x:c r="ET13" s="2610"/>
      <x:c r="EU13" s="2613"/>
      <x:c r="EX13" s="442" t="s">
        <x:v>673</x:v>
      </x:c>
      <x:c r="EY13" s="1195" t="s">
        <x:v>1107</x:v>
      </x:c>
      <x:c r="EZ13" s="1198" t="s">
        <x:v>1109</x:v>
      </x:c>
      <x:c r="FA13" s="165" t="s">
        <x:v>1145</x:v>
      </x:c>
      <x:c r="FB13" s="1215" t="s">
        <x:v>177</x:v>
      </x:c>
      <x:c r="FC13" s="1215" t="s">
        <x:v>32</x:v>
      </x:c>
      <x:c r="FD13" s="1215" t="s">
        <x:v>34</x:v>
      </x:c>
      <x:c r="FE13" s="1215" t="s">
        <x:v>35</x:v>
      </x:c>
      <x:c r="FF13" s="1216" t="s">
        <x:v>1146</x:v>
      </x:c>
      <x:c r="FN13" s="1816" t="s">
        <x:v>1147</x:v>
      </x:c>
      <x:c r="FO13" s="1817" t="s">
        <x:v>1255</x:v>
      </x:c>
      <x:c r="FP13" s="1195" t="s">
        <x:v>1147</x:v>
      </x:c>
      <x:c r="FQ13" s="1817" t="s">
        <x:v>1256</x:v>
      </x:c>
      <x:c r="FW13" s="2"/>
      <x:c r="FX13" s="2"/>
      <x:c r="FZ13" s="2"/>
      <x:c r="GA13" s="664" t="s">
        <x:v>750</x:v>
      </x:c>
      <x:c r="GB13" s="665" t="s">
        <x:v>751</x:v>
      </x:c>
      <x:c r="GC13" s="664" t="s">
        <x:v>646</x:v>
      </x:c>
      <x:c r="GD13" s="665" t="s">
        <x:v>647</x:v>
      </x:c>
      <x:c r="GE13" s="2501"/>
      <x:c r="GF13" s="2501"/>
      <x:c r="GG13" s="664" t="s">
        <x:v>750</x:v>
      </x:c>
      <x:c r="GH13" s="665" t="s">
        <x:v>751</x:v>
      </x:c>
      <x:c r="GI13" s="664" t="s">
        <x:v>750</x:v>
      </x:c>
      <x:c r="GJ13" s="665" t="s">
        <x:v>751</x:v>
      </x:c>
      <x:c r="GK13" s="2492"/>
      <x:c r="GL13" s="2492"/>
      <x:c r="GM13" s="2492"/>
      <x:c r="GO13" s="171"/>
      <x:c r="GP13" s="171"/>
      <x:c r="GZ13" s="171"/>
      <x:c r="HA13" s="2659"/>
      <x:c r="HB13" s="2658"/>
      <x:c r="HC13" s="2658"/>
      <x:c r="HD13" s="2658"/>
      <x:c r="HE13" s="2658"/>
      <x:c r="HF13" s="2658"/>
      <x:c r="HG13" s="2658"/>
      <x:c r="HH13" s="2658"/>
      <x:c r="HI13" s="2658"/>
      <x:c r="HJ13" s="2658"/>
      <x:c r="HK13" s="2658"/>
      <x:c r="HL13" s="2658"/>
      <x:c r="HM13" s="2658"/>
      <x:c r="HN13" s="2658"/>
      <x:c r="HO13" s="2658"/>
      <x:c r="HP13" s="2658"/>
      <x:c r="HQ13" s="2658"/>
      <x:c r="HR13" s="2658"/>
      <x:c r="HS13" s="2658"/>
      <x:c r="HT13" s="2658"/>
      <x:c r="HU13" s="2658"/>
      <x:c r="HV13" s="2658"/>
      <x:c r="HW13" s="2658"/>
      <x:c r="HX13" s="2658"/>
      <x:c r="HY13" s="2658"/>
      <x:c r="HZ13" s="2658"/>
      <x:c r="IA13" s="2658"/>
      <x:c r="IB13" s="2695"/>
      <x:c r="IC13" s="2658"/>
      <x:c r="ID13" s="2697"/>
      <x:c r="IE13" s="2563"/>
      <x:c r="IF13" s="2466"/>
      <x:c r="IG13" s="2466"/>
      <x:c r="IH13" s="2466"/>
      <x:c r="II13" s="2466"/>
      <x:c r="IJ13" s="2466"/>
      <x:c r="IK13" s="2466"/>
      <x:c r="IL13" s="2466"/>
      <x:c r="IM13" s="2466"/>
      <x:c r="IN13" s="2466"/>
      <x:c r="IO13" s="2466"/>
      <x:c r="IP13" s="2466"/>
      <x:c r="IQ13" s="2466"/>
      <x:c r="IR13" s="2466"/>
      <x:c r="IS13" s="2466"/>
      <x:c r="IT13" s="2466"/>
      <x:c r="IU13" s="2466"/>
      <x:c r="IV13" s="2466"/>
      <x:c r="IW13" s="2466"/>
      <x:c r="IX13" s="2466"/>
      <x:c r="IY13" s="2466"/>
      <x:c r="IZ13" s="2466"/>
      <x:c r="JA13" s="2466"/>
      <x:c r="JB13" s="2466"/>
      <x:c r="JC13" s="2466"/>
      <x:c r="JD13" s="2466"/>
      <x:c r="JE13" s="2466"/>
      <x:c r="JF13" s="2466"/>
      <x:c r="JG13" s="2466"/>
      <x:c r="JH13" s="2466"/>
      <x:c r="JI13" s="2466"/>
      <x:c r="JJ13" s="2466"/>
      <x:c r="JK13" s="2643"/>
      <x:c r="JL13" s="2645"/>
      <x:c r="JM13" s="1545"/>
      <x:c r="JN13" s="1545"/>
      <x:c r="JO13" s="1545"/>
    </x:row>
    <x:row r="14" spans="1:276" ht="12.6" customHeight="1" thickTop="1" x14ac:dyDescent="0.25">
      <x:c r="A14" s="2138" t="s">
        <x:v>1280</x:v>
      </x:c>
      <x:c r="B14" s="2139">
        <x:v>1</x:v>
      </x:c>
      <x:c r="C14" s="2140" t="s">
        <x:v>1957</x:v>
      </x:c>
      <x:c r="D14" s="2141">
        <x:v>57</x:v>
      </x:c>
      <x:c r="E14" s="2142">
        <x:v>2.75</x:v>
      </x:c>
      <x:c r="F14" s="2143">
        <x:v>11.125</x:v>
      </x:c>
      <x:c r="G14" s="2144">
        <x:v>0</x:v>
      </x:c>
      <x:c r="H14" s="2145">
        <x:v>1.75</x:v>
      </x:c>
      <x:c r="I14" s="2146" t="s">
        <x:v>114</x:v>
      </x:c>
      <x:c r="J14" s="2141">
        <x:v>0</x:v>
      </x:c>
      <x:c r="K14" s="2201">
        <x:v>2.625</x:v>
      </x:c>
      <x:c r="L14" s="2147" t="s">
        <x:v>114</x:v>
      </x:c>
      <x:c r="M14" s="2148">
        <x:v>7.5</x:v>
      </x:c>
      <x:c r="N14" s="2149">
        <x:v>7.5</x:v>
      </x:c>
      <x:c r="O14" s="2144">
        <x:v>0</x:v>
      </x:c>
      <x:c r="P14" s="2145">
        <x:v>6.75</x:v>
      </x:c>
      <x:c r="Q14" s="2141">
        <x:v>0</x:v>
      </x:c>
      <x:c r="R14" s="2142">
        <x:v>1</x:v>
      </x:c>
      <x:c r="S14" s="2150">
        <x:v>0</x:v>
      </x:c>
      <x:c r="T14" s="2145">
        <x:v>6.25</x:v>
      </x:c>
      <x:c r="U14" s="2141">
        <x:v>0</x:v>
      </x:c>
      <x:c r="V14" s="2145">
        <x:v>6</x:v>
      </x:c>
      <x:c r="W14" s="2149">
        <x:v>5</x:v>
      </x:c>
      <x:c r="X14" s="2151" t="str">
        <x:f t="shared" ref="X14:X45" si="0">IF(EN54="","",EN54)</x:f>
        <x:v/>
      </x:c>
      <x:c r="Y14" s="2152" t="str">
        <x:f t="shared" ref="Y14:Y45" si="1">IF(ES54="","",ES54)</x:f>
        <x:v/>
      </x:c>
      <x:c r="Z14" s="2210" t="s">
        <x:v>2303</x:v>
      </x:c>
      <x:c r="AA14" s="2153" t="str">
        <x:f t="shared" ref="AA14:AA45" si="2">IF(ISBLANK(CX14),"",CX14)</x:f>
        <x:v/>
      </x:c>
      <x:c r="AB14" s="2106" t="s">
        <x:v>1280</x:v>
      </x:c>
      <x:c r="AC14" s="2107" t="s">
        <x:v>34</x:v>
      </x:c>
      <x:c r="AD14" s="2108">
        <x:v>7</x:v>
      </x:c>
      <x:c r="AE14" s="2109">
        <x:v>10</x:v>
      </x:c>
      <x:c r="AF14" s="2107">
        <x:v>5</x:v>
      </x:c>
      <x:c r="AG14" s="2108">
        <x:v>8</x:v>
      </x:c>
      <x:c r="AH14" s="2109">
        <x:v>0</x:v>
      </x:c>
      <x:c r="AI14" s="2108">
        <x:v>9</x:v>
      </x:c>
      <x:c r="AJ14" s="2109">
        <x:v>1.875</x:v>
      </x:c>
      <x:c r="AK14" s="2110" t="str">
        <x:f t="shared" ref="AK14:AO45" si="3">IF(ISBLANK(DO14),"",DO14)</x:f>
        <x:v/>
      </x:c>
      <x:c r="AL14" s="2111" t="str">
        <x:f t="shared" si="3"/>
        <x:v/>
      </x:c>
      <x:c r="AM14" s="2112">
        <x:v>5</x:v>
      </x:c>
      <x:c r="AN14" s="2107">
        <x:v>13</x:v>
      </x:c>
      <x:c r="AO14" s="2155">
        <x:v>4</x:v>
      </x:c>
      <x:c r="AP14" s="2114">
        <x:v>1.75</x:v>
      </x:c>
      <x:c r="AQ14" s="2115" t="str">
        <x:f t="shared" ref="AP14:AQ45" si="4">IF(OR(GE54="",GE54=0),"",GE54)</x:f>
        <x:v/>
      </x:c>
      <x:c r="AR14" s="2205">
        <x:v>1</x:v>
      </x:c>
      <x:c r="AS14" s="2206">
        <x:v>0</x:v>
      </x:c>
      <x:c r="AT14" s="2117" t="str">
        <x:f t="shared" ref="AT14:AU45" si="5">IF(ISBLANK(DX14),"",DX14)</x:f>
        <x:v/>
      </x:c>
      <x:c r="AU14" s="2207" t="s">
        <x:v>34</x:v>
      </x:c>
      <x:c r="AV14" s="2156" t="str">
        <x:f t="shared" ref="AV14:AV45" si="6">IF(GG54="","",IF(ISTEXT(GG54),"P",TRUNC(GG54/12)))</x:f>
        <x:v/>
      </x:c>
      <x:c r="AW14" s="2109" t="str">
        <x:f t="shared" ref="AW14:AW45" si="7">IF(GG54="","",IF(AV14="P",GG54,GG54-(AV14*12)))</x:f>
        <x:v/>
      </x:c>
      <x:c r="AX14" s="2117" t="str">
        <x:f t="shared" ref="AX14:AY45" si="8">IF(ISBLANK(EB14),"",EB14)</x:f>
        <x:v/>
      </x:c>
      <x:c r="AY14" s="2120" t="str">
        <x:f t="shared" si="8"/>
        <x:v/>
      </x:c>
      <x:c r="AZ14" s="2156" t="str">
        <x:f t="shared" ref="AZ14:AZ45" si="9">IF(GH54="","",IF(ISTEXT(GH54),"P",TRUNC(GH54/12)))</x:f>
        <x:v/>
      </x:c>
      <x:c r="BA14" s="2109" t="str">
        <x:f t="shared" ref="BA14:BA45" si="10">IF(GH54="","",IF(AZ14="P",GH54,GH54-(AZ14*12)))</x:f>
        <x:v/>
      </x:c>
      <x:c r="BB14" s="2117" t="str">
        <x:f t="shared" ref="BB14:BC45" si="11">IF(ISBLANK(EF14),"",EF14)</x:f>
        <x:v/>
      </x:c>
      <x:c r="BC14" s="2120" t="str">
        <x:f t="shared" si="11"/>
        <x:v/>
      </x:c>
      <x:c r="BD14" s="2156" t="str">
        <x:f t="shared" ref="BD14:BD45" si="12">IF(GI54="","",IF(ISTEXT(GI54),"P",TRUNC(GI54/12)))</x:f>
        <x:v/>
      </x:c>
      <x:c r="BE14" s="2109" t="str">
        <x:f t="shared" ref="BE14:BE45" si="13">IF(GI54="","",IF(BD14="P",GI54,GI54-(BD14*12)))</x:f>
        <x:v/>
      </x:c>
      <x:c r="BF14" s="2117" t="str">
        <x:f t="shared" ref="BF14:BG45" si="14">IF(ISBLANK(EJ14),"",EJ14)</x:f>
        <x:v/>
      </x:c>
      <x:c r="BG14" s="2120" t="str">
        <x:f t="shared" si="14"/>
        <x:v/>
      </x:c>
      <x:c r="BH14" s="322"/>
      <x:c r="BJ14" s="1258" t="str">
        <x:f>IF(OR(ISBLANK(A14),A14=""),"",A14)</x:f>
        <x:v>G17</x:v>
      </x:c>
      <x:c r="BK14" s="1256" t="b">
        <x:f t="shared" ref="BK14:BK45" si="15">IF($BK$1,IF(BJ14=BJ13,BK13,IF(AND(BJ14&lt;&gt;"",OR(B14=0,B14="")),TRUE,FALSE)),FALSE)</x:f>
        <x:v>0</x:v>
      </x:c>
      <x:c r="BL14" s="2002" t="b">
        <x:v>0</x:v>
      </x:c>
      <x:c r="BM14" s="1251">
        <x:f t="shared" ref="BM14:BM45" si="16">IF(C14="",0,VALUE(IF(BN14="","",LEFT(C14,SEARCH(BN14,C14)-1))))</x:f>
        <x:v>54</x:v>
      </x:c>
      <x:c r="BN14" s="1251" t="str">
        <x:f t="shared" ref="BN14:BN45" si="17">IF(C14="",0,IF(NOT(ISERROR(SEARCH("VG",C14))),"VG",IF(NOT(ISERROR(SEARCH("BG",C14))),"BG",IF(NOT(ISERROR(SEARCH("G",C14))),"G"))))</x:f>
        <x:v>G</x:v>
      </x:c>
      <x:c r="BO14" s="1251">
        <x:f t="shared" ref="BO14:BO45" si="18">IF(C14="",0,VALUE(MID(C14,SEARCH(BN14,C14)+LEN(BN14),SEARCH("N",C14)-SEARCH(BN14,C14)-LEN(BN14))))</x:f>
        <x:v>8</x:v>
      </x:c>
      <x:c r="BP14" s="1251">
        <x:f t="shared" ref="BP14:BP45" si="19">IF(ISERROR(SEARCH("F",C14)),IF(C14="",0,VALUE(MID(C14,SEARCH("N",C14)+1,SEARCH("K",C14)-SEARCH("N",C14)-1))),IF(C14="",0,VALUE(MID(C14,SEARCH("N",C14)+1,SEARCH("F",C14)-SEARCH("N",C14)-1))))</x:f>
        <x:v>13.4</x:v>
      </x:c>
      <x:c r="BQ14" s="1251">
        <x:f t="shared" ref="BQ14:BQ45" si="20">IF(ISERROR(SEARCH("F",C14)),IF(C14="",0,IF(SEARCH("K",C14)=LEN(C14),0,VALUE(MID(C14,SEARCH("K",C14)+1,LEN(C14))))),IF(C14="",0,IF(SEARCH("F",C14)=LEN(C14),0,VALUE(MID(C14,SEARCH("F",C14)+1,LEN(C14))))))</x:f>
        <x:v>3.9</x:v>
      </x:c>
      <x:c r="BR14" s="1251" t="b">
        <x:f t="shared" ref="BR14:BR45" si="21">IF(OR(ISERROR(BM14),ISERROR(BN14),ISERROR(BO14),ISERROR(BP14),ISERROR(BQ14)),FALSE,TRUE)</x:f>
        <x:v>1</x:v>
      </x:c>
      <x:c r="BS14" s="1252">
        <x:f t="shared" ref="BS14:BS45" si="22">6+IF(LEFT(I14,1)="R",IF(ISNUMBER(G14),G14*12,0)+IF(ISNUMBER(H14),H14,0),0)</x:f>
        <x:v>7.75</x:v>
      </x:c>
      <x:c r="BT14" s="1252" t="str">
        <x:f t="shared" ref="BT14:BT45" si="23">IF(IF(ISNUMBER(S14),S14*12,0)+IF(ISNUMBER(T14),T14,0)&gt;0,IF(AND(IF(ISNUMBER(S14),S14*12,0)+IF(ISNUMBER(T14),T14,0)&gt;=1.25,IF(ISNUMBER(S14),S14*12,0)+IF(ISNUMBER(T14),T14,0)&lt;=(BS14-1.25)+IF(I14="X",2,0)),"Yes","No"),"No")</x:f>
        <x:v>Yes</x:v>
      </x:c>
      <x:c r="BU14" s="1252">
        <x:f t="shared" ref="BU14:BU45" si="24">6+IF(LEFT(L14,1)="R",IF(ISNUMBER(J14),J14*12,0)+IF(ISNUMBER(K14),K14,0),0)</x:f>
        <x:v>8.625</x:v>
      </x:c>
      <x:c r="BV14" s="1252" t="str">
        <x:f t="shared" ref="BV14:BV45" si="25">IF(IF(ISNUMBER(U14),U14*12,0)+IF(ISNUMBER(V14),V14,0)&gt;0,IF(AND(IF(ISNUMBER(U14),U14*12,0)+IF(ISNUMBER(V14),V14,0)&gt;=1.25,IF(ISNUMBER(U14),U14*12,0)+IF(ISNUMBER(V14),V14,0)&lt;=(BU14-1.25)+IF(L14="X",2,0)),"Yes","No"),"No")</x:f>
        <x:v>Yes</x:v>
      </x:c>
      <x:c r="BW14" s="1253">
        <x:f t="shared" ref="BW14:BW45" si="26">IF(AB14="",0,1)+IF(AC14="",0,1)+IF(AD14="",0,1)+IF(AE14="",0,1)+IF(AF14="",0,1)+IF(AG14="",0,1)+IF(AH14="",0,1)+IF(AI14="",0,1)+IF(AJ14="",0,1)+IF(AK14="",0,1)+IF(AL14="",0,1)+IF(AM14="",0,1)+IF(AN14="",0,1)+IF(AO14="",0,1)+IF(AP14="",0,1)+IF(AQ14="",0,1)+IF(AR14="",0,1)+IF(AS14="",0,1)+IF(AT14="",0,1)+IF(AU14="",0,1)+IF(AV14="",0,1)+IF(AW14="",0,1)+IF(AX14="",0,1)+IF(AY14="",0,1)+IF(AZ14="",0,1)+IF(BA14="",0,1)+IF(BB14="",0,1)+IF(BC14="",0,1)+IF(BD14="",0,1)+IF(BE14="",0,1)+IF(BF14="",0,1)+IF(BG14="",0,1)</x:f>
        <x:v>16</x:v>
      </x:c>
      <x:c r="BX14" s="1254" t="str">
        <x:f t="shared" ref="BX14:BX45" si="27">IF(AND(AB14="",BW14&gt;0),BX13,IF(ISBLANK(AB14),"",AB14))</x:f>
        <x:v>G17</x:v>
      </x:c>
      <x:c r="BY14" s="1254" t="b">
        <x:f t="shared" ref="BY14:BY45" si="28">IF(ISERROR(VLOOKUP(BX14,$BJ$14:$BL$45,3,FALSE)),FALSE,VLOOKUP(BX14,$BJ$14:$BL$45,3,FALSE))</x:f>
        <x:v>0</x:v>
      </x:c>
      <x:c r="BZ14" s="1253" t="b">
        <x:f>IF($BK$1,IF(BX14="",FALSE,IF(ISERROR(VLOOKUP(BX14,$A$14:$B$45,2,FALSE)),FALSE,IF(VLOOKUP(BX14,$A$14:$B$45,2,FALSE)=0,TRUE,FALSE))))</x:f>
        <x:v>0</x:v>
      </x:c>
      <x:c r="CB14" s="842"/>
      <x:c r="CC14" s="893"/>
      <x:c r="CD14" s="880"/>
      <x:c r="CE14" s="881"/>
      <x:c r="CF14" s="882"/>
      <x:c r="CG14" s="896"/>
      <x:c r="CH14" s="897"/>
      <x:c r="CI14" s="898"/>
      <x:c r="CJ14" s="897"/>
      <x:c r="CK14" s="898"/>
      <x:c r="CL14" s="899"/>
      <x:c r="CM14" s="943"/>
      <x:c r="CN14" s="896"/>
      <x:c r="CO14" s="897"/>
      <x:c r="CP14" s="898"/>
      <x:c r="CQ14" s="897"/>
      <x:c r="CR14" s="898"/>
      <x:c r="CS14" s="899"/>
      <x:c r="CT14" s="943"/>
      <x:c r="CU14" s="900"/>
      <x:c r="CV14" s="886"/>
      <x:c r="CW14" s="887"/>
      <x:c r="CX14" s="913"/>
      <x:c r="CY14" s="914"/>
      <x:c r="CZ14" s="932"/>
      <x:c r="DA14" s="933"/>
      <x:c r="DB14" s="922"/>
      <x:c r="DC14" s="923"/>
      <x:c r="DD14" s="1149"/>
      <x:c r="DE14" s="1150"/>
      <x:c r="DF14" s="173"/>
      <x:c r="DG14" s="173"/>
      <x:c r="DH14" s="842"/>
      <x:c r="DI14" s="830"/>
      <x:c r="DJ14" s="868"/>
      <x:c r="DK14" s="869"/>
      <x:c r="DL14" s="831"/>
      <x:c r="DM14" s="870"/>
      <x:c r="DN14" s="871"/>
      <x:c r="DO14" s="832"/>
      <x:c r="DP14" s="833"/>
      <x:c r="DQ14" s="834"/>
      <x:c r="DR14" s="834"/>
      <x:c r="DS14" s="835"/>
      <x:c r="DT14" s="836"/>
      <x:c r="DU14" s="837"/>
      <x:c r="DV14" s="849"/>
      <x:c r="DW14" s="850"/>
      <x:c r="DX14" s="851"/>
      <x:c r="DY14" s="852"/>
      <x:c r="DZ14" s="849"/>
      <x:c r="EA14" s="850"/>
      <x:c r="EB14" s="851"/>
      <x:c r="EC14" s="852"/>
      <x:c r="ED14" s="849"/>
      <x:c r="EE14" s="850"/>
      <x:c r="EF14" s="851"/>
      <x:c r="EG14" s="852"/>
      <x:c r="EH14" s="849"/>
      <x:c r="EI14" s="850"/>
      <x:c r="EJ14" s="851"/>
      <x:c r="EK14" s="853"/>
      <x:c r="EL14" s="795" t="str">
        <x:f t="shared" ref="EL14:EL45" si="29">IF(DQ54=DR54,"",CONCATENATE(IF(CL14&lt;0,"NS ","FS "),IF(DR54="ERR","Slot Only",CONCATENATE("Slot @ ",DQ54))))</x:f>
        <x:v/>
      </x:c>
      <x:c r="EM14" s="796" t="str">
        <x:f t="shared" ref="EM14:EM45" si="30">IF(DX54=DY54,"",CONCATENATE(IF(CS14&lt;0,"FS ","NS "),IF(DY54="ERR","Slot Only",CONCATENATE("Slot @ ",DX54))))</x:f>
        <x:v/>
      </x:c>
      <x:c r="EN14" s="797" t="str">
        <x:f t="shared" ref="EN14:EN45" si="31">IF(EC54="","",IF(CI54&lt;&gt;EC54,CONCATENATE("LE slots @ ",CI54," Ga."),IF(CR54&lt;&gt;EC54,CONCATENATE("RE slots @ ",CR54," Ga."),"")))</x:f>
        <x:v/>
      </x:c>
      <x:c r="EO14" s="1029" t="str">
        <x:f t="shared" ref="EO14:EO45" si="32">IF(AND(ER14&lt;&gt;"",CL14&lt;&gt;"",ES14&lt;&gt;"",CS14&lt;&gt;""),"BE",IF(AND(ER14&lt;&gt;"",CL14&lt;&gt;""),"LE",IF(AND(ES14&lt;&gt;"",CS14&lt;&gt;""),"RE","")))</x:f>
        <x:v/>
      </x:c>
      <x:c r="EP14" s="724" t="str">
        <x:f t="shared" ref="EP14:EP45" si="33">IF(ISBLANK(DB14),"",DB54+IF(DB14&gt;0,0,ABS(DB14)))</x:f>
        <x:v/>
      </x:c>
      <x:c r="EQ14" s="725" t="str">
        <x:f t="shared" ref="EQ14:EQ45" si="34">IF(ISBLANK(DC14),"",DH54+IF(DC14&gt;0,0,ABS(DC14)))</x:f>
        <x:v/>
      </x:c>
      <x:c r="ER14" s="957" t="str">
        <x:f t="shared" ref="ER14:ER45" si="35">IF(CG14="","",IF($FB$4&gt;EV54,EV54,""))</x:f>
        <x:v/>
      </x:c>
      <x:c r="ES14" s="958"/>
      <x:c r="ET14" s="959" t="str">
        <x:f t="shared" ref="ET14:ET45" si="36">IF(CC54="","",IF(ABS(EM54)&lt;ABS($FA$2),$EZ$4,CEILING($EZ$4/COS(EL54)+0.375+IF(CC54="M",IF(EL54&gt;0,(DB54-DC54)/12,0),IF(EL54&gt;0,0,(DB54-CD54)/12))*ABS(EM54),0.125)))</x:f>
        <x:v/>
      </x:c>
      <x:c r="EU14" s="960" t="str">
        <x:f t="shared" ref="EU14:EU45" si="37">IF(CL54="","",IF(ABS(ER54)&lt;ABS($FA$2),$EZ$4,CEILING($EZ$4/COS(EQ54)+0.375+IF(CL54="M",IF(EQ54&lt;0,(DH54-DI54)/12,0),IF(EQ54&lt;0,0,(DH54-CM54)/12))*ABS(ER54),0.125)))</x:f>
        <x:v/>
      </x:c>
      <x:c r="EX14" s="1194" t="str">
        <x:f>CONCATENATE(BX14,AC14)</x:f>
        <x:v>G17N</x:v>
      </x:c>
      <x:c r="EY14" s="1196" t="b">
        <x:f t="shared" ref="EY14:EY45" ca="1" si="38">IF(OR(ISBLANK(AB14),AB14=""),"",VLOOKUP(LEFT(EX14,LEN(EX14)-1),$BJ$14:$BO$45,6,FALSE)=SUMIF($EX$14:$EX$45,EX14,$AF$14:$AF$45)+2)</x:f>
        <x:v>0</x:v>
      </x:c>
      <x:c r="EZ14" s="1196">
        <x:f>IF(AB14="","",IF(VLOOKUP(BX14,$A$14:$F$45,6,FALSE)="",0,HLOOKUP(VLOOKUP(BX14,$A$14:$F$45,6,FALSE),$FG$4:$FI$5,2,TRUE)))</x:f>
        <x:v>5</x:v>
      </x:c>
      <x:c r="FA14" s="1217" t="e">
        <x:f>IF(FB15="","",FB14=FF14)</x:f>
        <x:v>#N/A</x:v>
      </x:c>
      <x:c r="FB14" s="1218" t="e">
        <x: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x:f>
        <x:v>#N/A</x:v>
      </x:c>
      <x:c r="FC14" s="1218">
        <x:f t="shared" ref="FC14:FC45" si="39">IF(ISNUMBER(AD14),AD14,0)*12+IF(ISNUMBER(AE14),AE14,0)</x:f>
        <x:v>94</x:v>
      </x:c>
      <x:c r="FD14" s="1218">
        <x:f t="shared" ref="FD14:FD45" si="40">IF(ISNUMBER(AF14),AF14,0)*(IF(ISNUMBER(AG14),AG14,0)*12+IF(ISNUMBER(AH14),AH14,0))</x:f>
        <x:v>480</x:v>
      </x:c>
      <x:c r="FE14" s="1218">
        <x:f t="shared" ref="FE14:FE45" si="41">IF(ISNUMBER(AI14),AI14,0)*12+IF(ISNUMBER(AJ14),AJ14,0)</x:f>
        <x:v>109.875</x:v>
      </x:c>
      <x:c r="FF14" s="1218">
        <x:f>SUM(FC14:FE14)+IF(FE14=0,FF15,0)</x:f>
        <x:v>683.875</x:v>
      </x:c>
      <x:c r="FN14" s="969" t="b">
        <x:v>0</x:v>
      </x:c>
      <x:c r="FO14" s="969" t="b">
        <x:f t="shared" ref="FO14:FO45" si="42">NOT(ISERROR(VLOOKUP(A14,$AB$14:$AB$45,1,FALSE)))</x:f>
        <x:v>1</x:v>
      </x:c>
      <x:c r="FP14" s="969" t="b">
        <x:v>0</x:v>
      </x:c>
      <x:c r="FQ14" s="969" t="b">
        <x:f>NOT(ISERROR(VLOOKUP(AB14,$A$14:$A$45,1,FALSE)))</x:f>
        <x:v>1</x:v>
      </x:c>
      <x:c r="FW14" s="2"/>
      <x:c r="FX14" s="2"/>
      <x:c r="FZ14" s="2"/>
      <x:c r="GA14" s="1935">
        <x:v>57</x:v>
      </x:c>
      <x:c r="GB14" s="1936">
        <x:v>4</x:v>
      </x:c>
      <x:c r="GC14" s="1937">
        <x:v>-0.25</x:v>
      </x:c>
      <x:c r="GD14" s="1938">
        <x:v>-1</x:v>
      </x:c>
      <x:c r="GE14" s="1939">
        <x:v>-8.72124396916895E-2</x:v>
      </x:c>
      <x:c r="GF14" s="1940" t="str">
        <x:f t="shared" ref="GF14:GF45" si="43">IF(A14=0,"",A14)</x:f>
        <x:v>G17</x:v>
      </x:c>
      <x:c r="GG14" s="1457"/>
      <x:c r="GH14" s="1458"/>
      <x:c r="GI14" s="1457"/>
      <x:c r="GJ14" s="1458"/>
      <x:c r="GK14" s="326">
        <x:f t="shared" ref="GK14:GK45" si="44">IF(D14="",0,D14*12+E14)</x:f>
        <x:v>686.75</x:v>
      </x:c>
      <x:c r="GL14" s="326">
        <x:f t="shared" ref="GL14:GL45" si="45">(GA14*12+GB14+GC14+GD14)/COS(ATAN(ABS(GE14/12)))</x:f>
        <x:v>686.76813666022667</x:v>
      </x:c>
      <x:c r="GM14" s="327">
        <x:f>IF(ABS(GK14-GL14)&gt;='Job Info.'!$L$22,ABS(GK14-GL14),0)</x:f>
        <x:v>0</x:v>
      </x:c>
      <x:c r="GO14" s="171"/>
      <x:c r="GP14" s="171"/>
      <x:c r="GZ14" s="171"/>
      <x:c r="HA14" s="1612" t="s">
        <x:v>1280</x:v>
      </x:c>
      <x:c r="HB14" s="1613">
        <x:v>1</x:v>
      </x:c>
      <x:c r="HC14" s="1613" t="s">
        <x:v>1957</x:v>
      </x:c>
      <x:c r="HD14" s="1614">
        <x:v>57</x:v>
      </x:c>
      <x:c r="HE14" s="1615">
        <x:v>2.75</x:v>
      </x:c>
      <x:c r="HF14" s="1613">
        <x:v>11.125</x:v>
      </x:c>
      <x:c r="HG14" s="1613">
        <x:v>0</x:v>
      </x:c>
      <x:c r="HH14" s="1613">
        <x:v>1.75</x:v>
      </x:c>
      <x:c r="HI14" s="1613" t="s">
        <x:v>114</x:v>
      </x:c>
      <x:c r="HJ14" s="1613">
        <x:v>0</x:v>
      </x:c>
      <x:c r="HK14" s="1613">
        <x:v>1.125</x:v>
      </x:c>
      <x:c r="HL14" s="1613" t="s">
        <x:v>114</x:v>
      </x:c>
      <x:c r="HM14" s="1613">
        <x:v>7.5</x:v>
      </x:c>
      <x:c r="HN14" s="1613">
        <x:v>7.5</x:v>
      </x:c>
      <x:c r="HO14" s="1613">
        <x:v>0</x:v>
      </x:c>
      <x:c r="HP14" s="1613">
        <x:v>6.75</x:v>
      </x:c>
      <x:c r="HQ14" s="1613">
        <x:v>0</x:v>
      </x:c>
      <x:c r="HR14" s="1613">
        <x:v>1</x:v>
      </x:c>
      <x:c r="HS14" s="1613">
        <x:v>0</x:v>
      </x:c>
      <x:c r="HT14" s="1613">
        <x:v>6.25</x:v>
      </x:c>
      <x:c r="HU14" s="1613">
        <x:v>0</x:v>
      </x:c>
      <x:c r="HV14" s="1613">
        <x:v>6</x:v>
      </x:c>
      <x:c r="HW14" s="1613">
        <x:v>5</x:v>
      </x:c>
      <x:c r="HX14" s="1613" t="s">
        <x:v>117</x:v>
      </x:c>
      <x:c r="HY14" s="1617" t="s">
        <x:v>117</x:v>
      </x:c>
      <x:c r="HZ14" s="1617" t="s">
        <x:v>2035</x:v>
      </x:c>
      <x:c r="IA14" s="1617" t="s">
        <x:v>117</x:v>
      </x:c>
      <x:c r="IB14" s="1617"/>
      <x:c r="IC14" s="1617"/>
      <x:c r="ID14" s="1632"/>
      <x:c r="IE14" s="1627" t="s">
        <x:v>1280</x:v>
      </x:c>
      <x:c r="IF14" s="1628" t="s">
        <x:v>34</x:v>
      </x:c>
      <x:c r="IG14" s="1629">
        <x:v>7</x:v>
      </x:c>
      <x:c r="IH14" s="1630">
        <x:v>10</x:v>
      </x:c>
      <x:c r="II14" s="1628">
        <x:v>5</x:v>
      </x:c>
      <x:c r="IJ14" s="1629">
        <x:v>8</x:v>
      </x:c>
      <x:c r="IK14" s="1630">
        <x:v>0</x:v>
      </x:c>
      <x:c r="IL14" s="1628">
        <x:v>9</x:v>
      </x:c>
      <x:c r="IM14" s="1628">
        <x:v>1.875</x:v>
      </x:c>
      <x:c r="IN14" s="1628" t="s">
        <x:v>117</x:v>
      </x:c>
      <x:c r="IO14" s="1628" t="s">
        <x:v>117</x:v>
      </x:c>
      <x:c r="IP14" s="1628">
        <x:v>5</x:v>
      </x:c>
      <x:c r="IQ14" s="1628">
        <x:v>13</x:v>
      </x:c>
      <x:c r="IR14" s="1628">
        <x:v>4</x:v>
      </x:c>
      <x:c r="IS14" s="1629">
        <x:v>1.75</x:v>
      </x:c>
      <x:c r="IT14" s="1630" t="s">
        <x:v>117</x:v>
      </x:c>
      <x:c r="IU14" s="1628" t="s">
        <x:v>117</x:v>
      </x:c>
      <x:c r="IV14" s="1628" t="s">
        <x:v>117</x:v>
      </x:c>
      <x:c r="IW14" s="1629" t="s">
        <x:v>117</x:v>
      </x:c>
      <x:c r="IX14" s="1630" t="s">
        <x:v>117</x:v>
      </x:c>
      <x:c r="IY14" s="1628" t="s">
        <x:v>117</x:v>
      </x:c>
      <x:c r="IZ14" s="1628" t="s">
        <x:v>117</x:v>
      </x:c>
      <x:c r="JA14" s="1629" t="s">
        <x:v>117</x:v>
      </x:c>
      <x:c r="JB14" s="1630" t="s">
        <x:v>117</x:v>
      </x:c>
      <x:c r="JC14" s="1628" t="s">
        <x:v>117</x:v>
      </x:c>
      <x:c r="JD14" s="1628" t="s">
        <x:v>117</x:v>
      </x:c>
      <x:c r="JE14" s="1629" t="s">
        <x:v>117</x:v>
      </x:c>
      <x:c r="JF14" s="1630" t="s">
        <x:v>117</x:v>
      </x:c>
      <x:c r="JG14" s="1628" t="s">
        <x:v>117</x:v>
      </x:c>
      <x:c r="JH14" s="1628" t="s">
        <x:v>117</x:v>
      </x:c>
      <x:c r="JI14" s="1628" t="s">
        <x:v>117</x:v>
      </x:c>
      <x:c r="JJ14" s="1631" t="s">
        <x:v>117</x:v>
      </x:c>
      <x:c r="JK14" s="1628">
        <x:v>2</x:v>
      </x:c>
      <x:c r="JL14" s="1520">
        <x:f>IF(JK14="",0,1)</x:f>
        <x:v>1</x:v>
      </x:c>
      <x:c r="JM14" s="1545"/>
      <x:c r="JN14" s="1545"/>
      <x:c r="JO14" s="1545"/>
    </x:row>
    <x:row r="15" spans="1:276" ht="12.6" customHeight="1" x14ac:dyDescent="0.25">
      <x:c r="A15" s="1583" t="s">
        <x:v>1281</x:v>
      </x:c>
      <x:c r="B15" s="1584">
        <x:v>1</x:v>
      </x:c>
      <x:c r="C15" s="1585" t="s">
        <x:v>1954</x:v>
      </x:c>
      <x:c r="D15" s="1586">
        <x:v>51</x:v>
      </x:c>
      <x:c r="E15" s="1587">
        <x:v>11.5</x:v>
      </x:c>
      <x:c r="F15" s="1588">
        <x:v>11.125</x:v>
      </x:c>
      <x:c r="G15" s="1589">
        <x:v>0</x:v>
      </x:c>
      <x:c r="H15" s="1590">
        <x:v>1.75</x:v>
      </x:c>
      <x:c r="I15" s="1591" t="s">
        <x:v>114</x:v>
      </x:c>
      <x:c r="J15" s="1586">
        <x:v>0</x:v>
      </x:c>
      <x:c r="K15" s="1590">
        <x:v>1.75</x:v>
      </x:c>
      <x:c r="L15" s="1592" t="s">
        <x:v>114</x:v>
      </x:c>
      <x:c r="M15" s="1593">
        <x:v>7.5</x:v>
      </x:c>
      <x:c r="N15" s="1594">
        <x:v>7.5</x:v>
      </x:c>
      <x:c r="O15" s="1589">
        <x:v>0</x:v>
      </x:c>
      <x:c r="P15" s="1590">
        <x:v>6.75</x:v>
      </x:c>
      <x:c r="Q15" s="1586">
        <x:v>0</x:v>
      </x:c>
      <x:c r="R15" s="1587">
        <x:v>6.75</x:v>
      </x:c>
      <x:c r="S15" s="1595">
        <x:v>0</x:v>
      </x:c>
      <x:c r="T15" s="1590">
        <x:v>6.25</x:v>
      </x:c>
      <x:c r="U15" s="1586">
        <x:v>0</x:v>
      </x:c>
      <x:c r="V15" s="1590">
        <x:v>6.25</x:v>
      </x:c>
      <x:c r="W15" s="1594">
        <x:v>5</x:v>
      </x:c>
      <x:c r="X15" s="1596" t="str">
        <x:f t="shared" si="0"/>
        <x:v/>
      </x:c>
      <x:c r="Y15" s="1597" t="str">
        <x:f t="shared" si="1"/>
        <x:v/>
      </x:c>
      <x:c r="Z15" s="2210" t="s">
        <x:v>2304</x:v>
      </x:c>
      <x:c r="AA15" s="1605" t="str">
        <x:f t="shared" si="2"/>
        <x:v/>
      </x:c>
      <x:c r="AB15" s="1264" t="str">
        <x:f t="shared" ref="AB15:AC45" si="46">IF(ISBLANK(DH15),"",DH15)</x:f>
        <x:v/>
      </x:c>
      <x:c r="AC15" s="1260" t="s">
        <x:v>1703</x:v>
      </x:c>
      <x:c r="AD15" s="1261">
        <x:v>7</x:v>
      </x:c>
      <x:c r="AE15" s="1262">
        <x:v>10</x:v>
      </x:c>
      <x:c r="AF15" s="1260">
        <x:v>6</x:v>
      </x:c>
      <x:c r="AG15" s="1261">
        <x:v>8</x:v>
      </x:c>
      <x:c r="AH15" s="1262">
        <x:v>0</x:v>
      </x:c>
      <x:c r="AI15" s="1261">
        <x:v>1</x:v>
      </x:c>
      <x:c r="AJ15" s="1262">
        <x:v>1.875</x:v>
      </x:c>
      <x:c r="AK15" s="1599" t="str">
        <x:f t="shared" si="3"/>
        <x:v/>
      </x:c>
      <x:c r="AL15" s="1600" t="str">
        <x:f t="shared" si="3"/>
        <x:v/>
      </x:c>
      <x:c r="AM15" s="1601" t="str">
        <x:f t="shared" si="3"/>
        <x:v/>
      </x:c>
      <x:c r="AN15" s="1260" t="str">
        <x:f t="shared" si="3"/>
        <x:v/>
      </x:c>
      <x:c r="AO15" s="1329" t="str">
        <x:f t="shared" si="3"/>
        <x:v/>
      </x:c>
      <x:c r="AP15" s="1327" t="str">
        <x:f t="shared" si="4"/>
        <x:v/>
      </x:c>
      <x:c r="AQ15" s="1602" t="str">
        <x:f t="shared" si="4"/>
        <x:v/>
      </x:c>
      <x:c r="AR15" s="1263" t="str">
        <x:f t="shared" ref="AR15:AR45" si="47">IF(GF55="","",IF(ISTEXT(GF55),"P",TRUNC(GF55/12)))</x:f>
        <x:v/>
      </x:c>
      <x:c r="AS15" s="1262" t="str">
        <x:f t="shared" ref="AS15:AS45" si="48">IF(GF55="","",IF(AR15="P",GF55,GF55-(AR15*12)))</x:f>
        <x:v/>
      </x:c>
      <x:c r="AT15" s="1603" t="str">
        <x:f t="shared" si="5"/>
        <x:v/>
      </x:c>
      <x:c r="AU15" s="1410" t="str">
        <x:f t="shared" si="5"/>
        <x:v/>
      </x:c>
      <x:c r="AV15" s="1328" t="str">
        <x:f t="shared" si="6"/>
        <x:v/>
      </x:c>
      <x:c r="AW15" s="1262" t="str">
        <x:f t="shared" si="7"/>
        <x:v/>
      </x:c>
      <x:c r="AX15" s="1603" t="str">
        <x:f t="shared" si="8"/>
        <x:v/>
      </x:c>
      <x:c r="AY15" s="1410" t="str">
        <x:f t="shared" si="8"/>
        <x:v/>
      </x:c>
      <x:c r="AZ15" s="1328" t="str">
        <x:f t="shared" si="9"/>
        <x:v/>
      </x:c>
      <x:c r="BA15" s="1262" t="str">
        <x:f t="shared" si="10"/>
        <x:v/>
      </x:c>
      <x:c r="BB15" s="1603" t="str">
        <x:f t="shared" si="11"/>
        <x:v/>
      </x:c>
      <x:c r="BC15" s="1410" t="str">
        <x:f t="shared" si="11"/>
        <x:v/>
      </x:c>
      <x:c r="BD15" s="1328" t="str">
        <x:f t="shared" si="12"/>
        <x:v/>
      </x:c>
      <x:c r="BE15" s="1262" t="str">
        <x:f t="shared" si="13"/>
        <x:v/>
      </x:c>
      <x:c r="BF15" s="1603" t="str">
        <x:f t="shared" si="14"/>
        <x:v/>
      </x:c>
      <x:c r="BG15" s="1410" t="str">
        <x:f t="shared" si="14"/>
        <x:v/>
      </x:c>
      <x:c r="BH15" s="322"/>
      <x:c r="BJ15" s="1258" t="str">
        <x:f>IF(AND(OR(ISBLANK(A15),A15=""),Z15&lt;&gt;""),BJ14,IF(OR(ISBLANK(A15),A15=""),"",A15))</x:f>
        <x:v>G18</x:v>
      </x:c>
      <x:c r="BK15" s="1256" t="b">
        <x:f t="shared" si="15"/>
        <x:v>0</x:v>
      </x:c>
      <x:c r="BL15" s="2002" t="b">
        <x:v>0</x:v>
      </x:c>
      <x:c r="BM15" s="1251">
        <x:f t="shared" si="16"/>
        <x:v>54</x:v>
      </x:c>
      <x:c r="BN15" s="1251" t="str">
        <x:f t="shared" si="17"/>
        <x:v>G</x:v>
      </x:c>
      <x:c r="BO15" s="1251">
        <x:f t="shared" si="18"/>
        <x:v>7</x:v>
      </x:c>
      <x:c r="BP15" s="1251">
        <x:f t="shared" si="19"/>
        <x:v>13.4</x:v>
      </x:c>
      <x:c r="BQ15" s="1251">
        <x:f t="shared" si="20"/>
        <x:v>3.9</x:v>
      </x:c>
      <x:c r="BR15" s="1251" t="b">
        <x:f t="shared" si="21"/>
        <x:v>1</x:v>
      </x:c>
      <x:c r="BS15" s="1252">
        <x:f t="shared" si="22"/>
        <x:v>7.75</x:v>
      </x:c>
      <x:c r="BT15" s="1252" t="str">
        <x:f t="shared" si="23"/>
        <x:v>Yes</x:v>
      </x:c>
      <x:c r="BU15" s="1252">
        <x:f t="shared" si="24"/>
        <x:v>7.75</x:v>
      </x:c>
      <x:c r="BV15" s="1252" t="str">
        <x:f t="shared" si="25"/>
        <x:v>Yes</x:v>
      </x:c>
      <x:c r="BW15" s="1253">
        <x:f t="shared" si="26"/>
        <x:v>8</x:v>
      </x:c>
      <x:c r="BX15" s="1254" t="str">
        <x:f t="shared" si="27"/>
        <x:v>G17</x:v>
      </x:c>
      <x:c r="BY15" s="1254" t="b">
        <x:f t="shared" si="28"/>
        <x:v>0</x:v>
      </x:c>
      <x:c r="BZ15" s="1253" t="b">
        <x:f t="shared" ref="BZ15:BZ45" si="49">IF($BK$1,IF(BX15="",FALSE,IF(ISERROR(VLOOKUP(BX15,$A$14:$B$45,2,FALSE)),FALSE,IF(VLOOKUP(BX15,$A$14:$B$45,2,FALSE)=0,TRUE,FALSE))))</x:f>
        <x:v>0</x:v>
      </x:c>
      <x:c r="CB15" s="842"/>
      <x:c r="CC15" s="894"/>
      <x:c r="CD15" s="883"/>
      <x:c r="CE15" s="884"/>
      <x:c r="CF15" s="885"/>
      <x:c r="CG15" s="901"/>
      <x:c r="CH15" s="902"/>
      <x:c r="CI15" s="903"/>
      <x:c r="CJ15" s="902"/>
      <x:c r="CK15" s="903"/>
      <x:c r="CL15" s="904"/>
      <x:c r="CM15" s="944"/>
      <x:c r="CN15" s="901"/>
      <x:c r="CO15" s="902"/>
      <x:c r="CP15" s="903"/>
      <x:c r="CQ15" s="902"/>
      <x:c r="CR15" s="903"/>
      <x:c r="CS15" s="904"/>
      <x:c r="CT15" s="944"/>
      <x:c r="CU15" s="906"/>
      <x:c r="CV15" s="886"/>
      <x:c r="CW15" s="887"/>
      <x:c r="CX15" s="915"/>
      <x:c r="CY15" s="916"/>
      <x:c r="CZ15" s="932"/>
      <x:c r="DA15" s="933"/>
      <x:c r="DB15" s="932"/>
      <x:c r="DC15" s="933"/>
      <x:c r="DD15" s="1149"/>
      <x:c r="DE15" s="1150"/>
      <x:c r="DF15" s="173"/>
      <x:c r="DG15" s="173"/>
      <x:c r="DH15" s="842"/>
      <x:c r="DI15" s="843"/>
      <x:c r="DJ15" s="872"/>
      <x:c r="DK15" s="873"/>
      <x:c r="DL15" s="844"/>
      <x:c r="DM15" s="874"/>
      <x:c r="DN15" s="875"/>
      <x:c r="DO15" s="845"/>
      <x:c r="DP15" s="846"/>
      <x:c r="DQ15" s="847"/>
      <x:c r="DR15" s="847"/>
      <x:c r="DS15" s="848"/>
      <x:c r="DT15" s="836"/>
      <x:c r="DU15" s="837"/>
      <x:c r="DV15" s="849"/>
      <x:c r="DW15" s="850"/>
      <x:c r="DX15" s="851"/>
      <x:c r="DY15" s="852"/>
      <x:c r="DZ15" s="849"/>
      <x:c r="EA15" s="850"/>
      <x:c r="EB15" s="851"/>
      <x:c r="EC15" s="852"/>
      <x:c r="ED15" s="849"/>
      <x:c r="EE15" s="850"/>
      <x:c r="EF15" s="851"/>
      <x:c r="EG15" s="852"/>
      <x:c r="EH15" s="849"/>
      <x:c r="EI15" s="850"/>
      <x:c r="EJ15" s="851"/>
      <x:c r="EK15" s="853"/>
      <x:c r="EL15" s="798" t="str">
        <x:f t="shared" si="29"/>
        <x:v/>
      </x:c>
      <x:c r="EM15" s="799" t="str">
        <x:f t="shared" si="30"/>
        <x:v/>
      </x:c>
      <x:c r="EN15" s="800" t="str">
        <x:f t="shared" si="31"/>
        <x:v/>
      </x:c>
      <x:c r="EO15" s="1030" t="str">
        <x:f t="shared" si="32"/>
        <x:v/>
      </x:c>
      <x:c r="EP15" s="726" t="str">
        <x:f t="shared" si="33"/>
        <x:v/>
      </x:c>
      <x:c r="EQ15" s="727" t="str">
        <x:f t="shared" si="34"/>
        <x:v/>
      </x:c>
      <x:c r="ER15" s="961" t="str">
        <x:f t="shared" si="35"/>
        <x:v/>
      </x:c>
      <x:c r="ES15" s="962" t="str">
        <x:f t="shared" ref="ES15:ES45" si="50">IF(CN15="","",IF($FB$4&gt;EW55,EW55,""))</x:f>
        <x:v/>
      </x:c>
      <x:c r="ET15" s="963" t="str">
        <x:f t="shared" si="36"/>
        <x:v/>
      </x:c>
      <x:c r="EU15" s="964" t="str">
        <x:f t="shared" si="37"/>
        <x:v/>
      </x:c>
      <x:c r="EX15" s="1194" t="str">
        <x:f t="shared" ref="EX15:EX45" si="51">IF(AND(AC15="",BX15=BX14),EX14,CONCATENATE(BX15,AC15))</x:f>
        <x:v>G17F</x:v>
      </x:c>
      <x:c r="EY15" s="1196" t="str">
        <x:f t="shared" si="38"/>
        <x:v/>
      </x:c>
      <x:c r="EZ15" s="1196" t="str">
        <x:f t="shared" ref="EZ15:EZ45" si="52">IF(AB15="","",IF(VLOOKUP(BX15,$A$14:$F$45,6,FALSE)="",0,HLOOKUP(VLOOKUP(BX15,$A$14:$F$45,6,FALSE),$FG$4:$FI$5,2,TRUE)))</x:f>
        <x:v/>
      </x:c>
      <x:c r="FA15" s="1217" t="e">
        <x:f>IF(FB15="","",IF(FC15=0,FA14,FB15=FF15))</x:f>
        <x:v>#N/A</x:v>
      </x:c>
      <x:c r="FB15" s="1218" t="e">
        <x:f t="shared" ref="FB15:FB45" si="53">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x:f>
        <x:v>#N/A</x:v>
      </x:c>
      <x:c r="FC15" s="1218">
        <x:f t="shared" si="39"/>
        <x:v>94</x:v>
      </x:c>
      <x:c r="FD15" s="1218">
        <x:f t="shared" si="40"/>
        <x:v>576</x:v>
      </x:c>
      <x:c r="FE15" s="1218">
        <x:f t="shared" si="41"/>
        <x:v>13.875</x:v>
      </x:c>
      <x:c r="FF15" s="1218">
        <x:f t="shared" ref="FF15:FF45" si="54">SUM(FC15:FE15)+IF(FE15=0,FF16,0)</x:f>
        <x:v>683.875</x:v>
      </x:c>
      <x:c r="FN15" s="969" t="b">
        <x:v>0</x:v>
      </x:c>
      <x:c r="FO15" s="969" t="b">
        <x:f t="shared" si="42"/>
        <x:v>1</x:v>
      </x:c>
      <x:c r="FP15" s="1815" t="b">
        <x:v>0</x:v>
      </x:c>
      <x:c r="FQ15" s="969" t="b">
        <x:f t="shared" ref="FQ15:FQ45" si="55">NOT(ISERROR(VLOOKUP(AB15,$A$14:$A$45,1,FALSE)))</x:f>
        <x:v>1</x:v>
      </x:c>
      <x:c r="FW15" s="2"/>
      <x:c r="FX15" s="2"/>
      <x:c r="FZ15" s="2"/>
      <x:c r="GA15" s="1935">
        <x:v>52</x:v>
      </x:c>
      <x:c r="GB15" s="1936">
        <x:v>0</x:v>
      </x:c>
      <x:c r="GC15" s="1937">
        <x:v>-0.25</x:v>
      </x:c>
      <x:c r="GD15" s="1938">
        <x:v>-0.25</x:v>
      </x:c>
      <x:c r="GE15" s="1939">
        <x:f t="shared" ref="GE15:GE45" si="56">IF(GF15="","",IF(ISBLANK(CU15),IF(X15=Y15,0,MAX(ABS(X15),ABS(Y15))*IF(X15&lt;0,-1,1)),CU15))</x:f>
        <x:v>0</x:v>
      </x:c>
      <x:c r="GF15" s="1940" t="str">
        <x:f t="shared" si="43"/>
        <x:v>G18</x:v>
      </x:c>
      <x:c r="GG15" s="1457"/>
      <x:c r="GH15" s="1459"/>
      <x:c r="GI15" s="1457"/>
      <x:c r="GJ15" s="1459"/>
      <x:c r="GK15" s="326">
        <x:f t="shared" si="44"/>
        <x:v>623.5</x:v>
      </x:c>
      <x:c r="GL15" s="326">
        <x:f t="shared" si="45"/>
        <x:v>623.5</x:v>
      </x:c>
      <x:c r="GM15" s="327">
        <x:f>IF(ABS(GK15-GL15)&gt;='Job Info.'!$L$22,ABS(GK15-GL15),0)</x:f>
        <x:v>0</x:v>
      </x:c>
      <x:c r="GO15" s="171"/>
      <x:c r="GP15" s="171"/>
      <x:c r="GZ15" s="171"/>
      <x:c r="HA15" s="1612" t="s">
        <x:v>1281</x:v>
      </x:c>
      <x:c r="HB15" s="1613">
        <x:v>1</x:v>
      </x:c>
      <x:c r="HC15" s="1613" t="s">
        <x:v>1954</x:v>
      </x:c>
      <x:c r="HD15" s="1614">
        <x:v>51</x:v>
      </x:c>
      <x:c r="HE15" s="1615">
        <x:v>11.5</x:v>
      </x:c>
      <x:c r="HF15" s="1613">
        <x:v>11.125</x:v>
      </x:c>
      <x:c r="HG15" s="1613">
        <x:v>0</x:v>
      </x:c>
      <x:c r="HH15" s="1613">
        <x:v>1.75</x:v>
      </x:c>
      <x:c r="HI15" s="1613" t="s">
        <x:v>114</x:v>
      </x:c>
      <x:c r="HJ15" s="1613">
        <x:v>0</x:v>
      </x:c>
      <x:c r="HK15" s="1613">
        <x:v>1.75</x:v>
      </x:c>
      <x:c r="HL15" s="1613" t="s">
        <x:v>114</x:v>
      </x:c>
      <x:c r="HM15" s="1613">
        <x:v>7.5</x:v>
      </x:c>
      <x:c r="HN15" s="1613">
        <x:v>7.5</x:v>
      </x:c>
      <x:c r="HO15" s="1613">
        <x:v>0</x:v>
      </x:c>
      <x:c r="HP15" s="1613">
        <x:v>6.75</x:v>
      </x:c>
      <x:c r="HQ15" s="1613">
        <x:v>0</x:v>
      </x:c>
      <x:c r="HR15" s="1613">
        <x:v>6.75</x:v>
      </x:c>
      <x:c r="HS15" s="1613">
        <x:v>0</x:v>
      </x:c>
      <x:c r="HT15" s="1613">
        <x:v>6.25</x:v>
      </x:c>
      <x:c r="HU15" s="1613">
        <x:v>0</x:v>
      </x:c>
      <x:c r="HV15" s="1613">
        <x:v>6.25</x:v>
      </x:c>
      <x:c r="HW15" s="1613">
        <x:v>5</x:v>
      </x:c>
      <x:c r="HX15" s="1613" t="s">
        <x:v>117</x:v>
      </x:c>
      <x:c r="HY15" s="1617" t="s">
        <x:v>117</x:v>
      </x:c>
      <x:c r="HZ15" s="1617" t="s">
        <x:v>2036</x:v>
      </x:c>
      <x:c r="IA15" s="1617" t="s">
        <x:v>117</x:v>
      </x:c>
      <x:c r="IB15" s="1617"/>
      <x:c r="IC15" s="1617"/>
      <x:c r="ID15" s="1632"/>
      <x:c r="IE15" s="1612" t="s">
        <x:v>117</x:v>
      </x:c>
      <x:c r="IF15" s="1613" t="s">
        <x:v>1703</x:v>
      </x:c>
      <x:c r="IG15" s="1614">
        <x:v>7</x:v>
      </x:c>
      <x:c r="IH15" s="1615">
        <x:v>10</x:v>
      </x:c>
      <x:c r="II15" s="1613">
        <x:v>6</x:v>
      </x:c>
      <x:c r="IJ15" s="1614">
        <x:v>8</x:v>
      </x:c>
      <x:c r="IK15" s="1615">
        <x:v>0</x:v>
      </x:c>
      <x:c r="IL15" s="1613">
        <x:v>1</x:v>
      </x:c>
      <x:c r="IM15" s="1613">
        <x:v>1.875</x:v>
      </x:c>
      <x:c r="IN15" s="1613" t="s">
        <x:v>117</x:v>
      </x:c>
      <x:c r="IO15" s="1613" t="s">
        <x:v>117</x:v>
      </x:c>
      <x:c r="IP15" s="1613" t="s">
        <x:v>117</x:v>
      </x:c>
      <x:c r="IQ15" s="1613" t="s">
        <x:v>117</x:v>
      </x:c>
      <x:c r="IR15" s="1613" t="s">
        <x:v>117</x:v>
      </x:c>
      <x:c r="IS15" s="1614" t="s">
        <x:v>117</x:v>
      </x:c>
      <x:c r="IT15" s="1615" t="s">
        <x:v>117</x:v>
      </x:c>
      <x:c r="IU15" s="1613" t="s">
        <x:v>117</x:v>
      </x:c>
      <x:c r="IV15" s="1613" t="s">
        <x:v>117</x:v>
      </x:c>
      <x:c r="IW15" s="1614" t="s">
        <x:v>117</x:v>
      </x:c>
      <x:c r="IX15" s="1615" t="s">
        <x:v>117</x:v>
      </x:c>
      <x:c r="IY15" s="1613" t="s">
        <x:v>117</x:v>
      </x:c>
      <x:c r="IZ15" s="1613" t="s">
        <x:v>117</x:v>
      </x:c>
      <x:c r="JA15" s="1614" t="s">
        <x:v>117</x:v>
      </x:c>
      <x:c r="JB15" s="1615" t="s">
        <x:v>117</x:v>
      </x:c>
      <x:c r="JC15" s="1613" t="s">
        <x:v>117</x:v>
      </x:c>
      <x:c r="JD15" s="1613" t="s">
        <x:v>117</x:v>
      </x:c>
      <x:c r="JE15" s="1614" t="s">
        <x:v>117</x:v>
      </x:c>
      <x:c r="JF15" s="1615" t="s">
        <x:v>117</x:v>
      </x:c>
      <x:c r="JG15" s="1613" t="s">
        <x:v>117</x:v>
      </x:c>
      <x:c r="JH15" s="1613" t="s">
        <x:v>117</x:v>
      </x:c>
      <x:c r="JI15" s="1613" t="s">
        <x:v>117</x:v>
      </x:c>
      <x:c r="JJ15" s="1616" t="s">
        <x:v>117</x:v>
      </x:c>
      <x:c r="JK15" s="1613"/>
      <x:c r="JL15" s="1521">
        <x:f ca="1">IF(ISBLANK(JK15),IF(JL14=0,0,IF(VALUE(OFFSET(JK15,JL14*-1,0))&lt;JL14+1,0,JL14+1)),1)</x:f>
        <x:v>2</x:v>
      </x:c>
    </x:row>
    <x:row r="16" spans="1:276" ht="12.6" customHeight="1" x14ac:dyDescent="0.25">
      <x:c r="A16" s="1583" t="s">
        <x:v>1282</x:v>
      </x:c>
      <x:c r="B16" s="1584">
        <x:v>8</x:v>
      </x:c>
      <x:c r="C16" s="1585" t="s">
        <x:v>1954</x:v>
      </x:c>
      <x:c r="D16" s="1586">
        <x:v>51</x:v>
      </x:c>
      <x:c r="E16" s="1587">
        <x:v>11.5</x:v>
      </x:c>
      <x:c r="F16" s="1588">
        <x:v>11.125</x:v>
      </x:c>
      <x:c r="G16" s="1589">
        <x:v>0</x:v>
      </x:c>
      <x:c r="H16" s="1590">
        <x:v>1.75</x:v>
      </x:c>
      <x:c r="I16" s="1591" t="s">
        <x:v>114</x:v>
      </x:c>
      <x:c r="J16" s="1586">
        <x:v>0</x:v>
      </x:c>
      <x:c r="K16" s="1590">
        <x:v>1.75</x:v>
      </x:c>
      <x:c r="L16" s="1592" t="s">
        <x:v>114</x:v>
      </x:c>
      <x:c r="M16" s="1593">
        <x:v>7.5</x:v>
      </x:c>
      <x:c r="N16" s="1594">
        <x:v>7.5</x:v>
      </x:c>
      <x:c r="O16" s="1589">
        <x:v>0</x:v>
      </x:c>
      <x:c r="P16" s="1590">
        <x:v>6.75</x:v>
      </x:c>
      <x:c r="Q16" s="1586">
        <x:v>0</x:v>
      </x:c>
      <x:c r="R16" s="1587">
        <x:v>6.75</x:v>
      </x:c>
      <x:c r="S16" s="1595">
        <x:v>0</x:v>
      </x:c>
      <x:c r="T16" s="1590">
        <x:v>6.25</x:v>
      </x:c>
      <x:c r="U16" s="1586">
        <x:v>0</x:v>
      </x:c>
      <x:c r="V16" s="1590">
        <x:v>6.25</x:v>
      </x:c>
      <x:c r="W16" s="1594">
        <x:v>5</x:v>
      </x:c>
      <x:c r="X16" s="1596" t="str">
        <x:f t="shared" si="0"/>
        <x:v/>
      </x:c>
      <x:c r="Y16" s="1597" t="str">
        <x:f t="shared" si="1"/>
        <x:v/>
      </x:c>
      <x:c r="Z16" s="2210" t="s">
        <x:v>2301</x:v>
      </x:c>
      <x:c r="AA16" s="1605" t="str">
        <x:f t="shared" si="2"/>
        <x:v/>
      </x:c>
      <x:c r="AB16" s="1264" t="s">
        <x:v>1281</x:v>
      </x:c>
      <x:c r="AC16" s="1260" t="s">
        <x:v>35</x:v>
      </x:c>
      <x:c r="AD16" s="1261">
        <x:v>3</x:v>
      </x:c>
      <x:c r="AE16" s="1262">
        <x:v>10</x:v>
      </x:c>
      <x:c r="AF16" s="1260">
        <x:v>5</x:v>
      </x:c>
      <x:c r="AG16" s="1261">
        <x:v>8</x:v>
      </x:c>
      <x:c r="AH16" s="1262">
        <x:v>0</x:v>
      </x:c>
      <x:c r="AI16" s="1261">
        <x:v>7</x:v>
      </x:c>
      <x:c r="AJ16" s="1262">
        <x:v>10</x:v>
      </x:c>
      <x:c r="AK16" s="1599" t="str">
        <x:f t="shared" si="3"/>
        <x:v/>
      </x:c>
      <x:c r="AL16" s="1600" t="str">
        <x:f t="shared" si="3"/>
        <x:v/>
      </x:c>
      <x:c r="AM16" s="1601">
        <x:v>5</x:v>
      </x:c>
      <x:c r="AN16" s="1260">
        <x:v>13</x:v>
      </x:c>
      <x:c r="AO16" s="1329">
        <x:v>4</x:v>
      </x:c>
      <x:c r="AP16" s="1327">
        <x:v>1.75</x:v>
      </x:c>
      <x:c r="AQ16" s="1602" t="str">
        <x:f t="shared" si="4"/>
        <x:v/>
      </x:c>
      <x:c r="AR16" s="2157">
        <x:v>1</x:v>
      </x:c>
      <x:c r="AS16" s="2122">
        <x:v>0</x:v>
      </x:c>
      <x:c r="AT16" s="1603" t="str">
        <x:f t="shared" si="5"/>
        <x:v/>
      </x:c>
      <x:c r="AU16" s="2123" t="s">
        <x:v>1703</x:v>
      </x:c>
      <x:c r="AV16" s="1328" t="str">
        <x:f t="shared" si="6"/>
        <x:v/>
      </x:c>
      <x:c r="AW16" s="1262" t="str">
        <x:f t="shared" si="7"/>
        <x:v/>
      </x:c>
      <x:c r="AX16" s="1603" t="str">
        <x:f t="shared" si="8"/>
        <x:v/>
      </x:c>
      <x:c r="AY16" s="1410" t="str">
        <x:f t="shared" si="8"/>
        <x:v/>
      </x:c>
      <x:c r="AZ16" s="1328" t="str">
        <x:f t="shared" si="9"/>
        <x:v/>
      </x:c>
      <x:c r="BA16" s="1262" t="str">
        <x:f t="shared" si="10"/>
        <x:v/>
      </x:c>
      <x:c r="BB16" s="1603" t="str">
        <x:f t="shared" si="11"/>
        <x:v/>
      </x:c>
      <x:c r="BC16" s="1410" t="str">
        <x:f t="shared" si="11"/>
        <x:v/>
      </x:c>
      <x:c r="BD16" s="1328" t="str">
        <x:f t="shared" si="12"/>
        <x:v/>
      </x:c>
      <x:c r="BE16" s="1262" t="str">
        <x:f t="shared" si="13"/>
        <x:v/>
      </x:c>
      <x:c r="BF16" s="1603" t="str">
        <x:f t="shared" si="14"/>
        <x:v/>
      </x:c>
      <x:c r="BG16" s="1410" t="str">
        <x:f t="shared" si="14"/>
        <x:v/>
      </x:c>
      <x:c r="BH16" s="322"/>
      <x:c r="BJ16" s="1258" t="str">
        <x:f t="shared" ref="BJ16:BJ45" si="57">IF(AND(OR(ISBLANK(A16),A16=""),Z16&lt;&gt;""),BJ15,IF(OR(ISBLANK(A16),A16=""),"",A16))</x:f>
        <x:v>G19</x:v>
      </x:c>
      <x:c r="BK16" s="1256" t="b">
        <x:f t="shared" si="15"/>
        <x:v>0</x:v>
      </x:c>
      <x:c r="BL16" s="2002" t="b">
        <x:v>0</x:v>
      </x:c>
      <x:c r="BM16" s="1251">
        <x:f t="shared" si="16"/>
        <x:v>54</x:v>
      </x:c>
      <x:c r="BN16" s="1251" t="str">
        <x:f t="shared" si="17"/>
        <x:v>G</x:v>
      </x:c>
      <x:c r="BO16" s="1251">
        <x:f t="shared" si="18"/>
        <x:v>7</x:v>
      </x:c>
      <x:c r="BP16" s="1251">
        <x:f t="shared" si="19"/>
        <x:v>13.4</x:v>
      </x:c>
      <x:c r="BQ16" s="1251">
        <x:f t="shared" si="20"/>
        <x:v>3.9</x:v>
      </x:c>
      <x:c r="BR16" s="1251" t="b">
        <x:f t="shared" si="21"/>
        <x:v>1</x:v>
      </x:c>
      <x:c r="BS16" s="1252">
        <x:f t="shared" si="22"/>
        <x:v>7.75</x:v>
      </x:c>
      <x:c r="BT16" s="1252" t="str">
        <x:f t="shared" si="23"/>
        <x:v>Yes</x:v>
      </x:c>
      <x:c r="BU16" s="1252">
        <x:f t="shared" si="24"/>
        <x:v>7.75</x:v>
      </x:c>
      <x:c r="BV16" s="1252" t="str">
        <x:f t="shared" si="25"/>
        <x:v>Yes</x:v>
      </x:c>
      <x:c r="BW16" s="1253">
        <x:f t="shared" si="26"/>
        <x:v>16</x:v>
      </x:c>
      <x:c r="BX16" s="1254" t="str">
        <x:f t="shared" si="27"/>
        <x:v>G18</x:v>
      </x:c>
      <x:c r="BY16" s="1254" t="b">
        <x:f t="shared" si="28"/>
        <x:v>0</x:v>
      </x:c>
      <x:c r="BZ16" s="1253" t="b">
        <x:f t="shared" si="49"/>
        <x:v>0</x:v>
      </x:c>
      <x:c r="CB16" s="842"/>
      <x:c r="CC16" s="894"/>
      <x:c r="CD16" s="883"/>
      <x:c r="CE16" s="884"/>
      <x:c r="CF16" s="885"/>
      <x:c r="CG16" s="901"/>
      <x:c r="CH16" s="902"/>
      <x:c r="CI16" s="903"/>
      <x:c r="CJ16" s="902"/>
      <x:c r="CK16" s="903"/>
      <x:c r="CL16" s="904"/>
      <x:c r="CM16" s="944"/>
      <x:c r="CN16" s="901"/>
      <x:c r="CO16" s="902"/>
      <x:c r="CP16" s="903"/>
      <x:c r="CQ16" s="902"/>
      <x:c r="CR16" s="903"/>
      <x:c r="CS16" s="904"/>
      <x:c r="CT16" s="944"/>
      <x:c r="CU16" s="906"/>
      <x:c r="CV16" s="886"/>
      <x:c r="CW16" s="887"/>
      <x:c r="CX16" s="915"/>
      <x:c r="CY16" s="916"/>
      <x:c r="CZ16" s="932"/>
      <x:c r="DA16" s="933"/>
      <x:c r="DB16" s="932"/>
      <x:c r="DC16" s="933"/>
      <x:c r="DD16" s="1149"/>
      <x:c r="DE16" s="1150"/>
      <x:c r="DF16" s="173"/>
      <x:c r="DG16" s="173"/>
      <x:c r="DH16" s="842"/>
      <x:c r="DI16" s="843"/>
      <x:c r="DJ16" s="872"/>
      <x:c r="DK16" s="873"/>
      <x:c r="DL16" s="844"/>
      <x:c r="DM16" s="874"/>
      <x:c r="DN16" s="875"/>
      <x:c r="DO16" s="845"/>
      <x:c r="DP16" s="846"/>
      <x:c r="DQ16" s="847"/>
      <x:c r="DR16" s="847"/>
      <x:c r="DS16" s="848"/>
      <x:c r="DT16" s="836"/>
      <x:c r="DU16" s="837"/>
      <x:c r="DV16" s="849"/>
      <x:c r="DW16" s="850"/>
      <x:c r="DX16" s="851"/>
      <x:c r="DY16" s="852"/>
      <x:c r="DZ16" s="849"/>
      <x:c r="EA16" s="850"/>
      <x:c r="EB16" s="851"/>
      <x:c r="EC16" s="852"/>
      <x:c r="ED16" s="849"/>
      <x:c r="EE16" s="850"/>
      <x:c r="EF16" s="851"/>
      <x:c r="EG16" s="852"/>
      <x:c r="EH16" s="849"/>
      <x:c r="EI16" s="850"/>
      <x:c r="EJ16" s="851"/>
      <x:c r="EK16" s="853"/>
      <x:c r="EL16" s="798" t="str">
        <x:f t="shared" si="29"/>
        <x:v/>
      </x:c>
      <x:c r="EM16" s="799" t="str">
        <x:f t="shared" si="30"/>
        <x:v/>
      </x:c>
      <x:c r="EN16" s="800" t="str">
        <x:f t="shared" si="31"/>
        <x:v/>
      </x:c>
      <x:c r="EO16" s="1030" t="str">
        <x:f t="shared" si="32"/>
        <x:v/>
      </x:c>
      <x:c r="EP16" s="726" t="str">
        <x:f t="shared" si="33"/>
        <x:v/>
      </x:c>
      <x:c r="EQ16" s="727" t="str">
        <x:f t="shared" si="34"/>
        <x:v/>
      </x:c>
      <x:c r="ER16" s="961" t="str">
        <x:f t="shared" si="35"/>
        <x:v/>
      </x:c>
      <x:c r="ES16" s="962" t="str">
        <x:f t="shared" si="50"/>
        <x:v/>
      </x:c>
      <x:c r="ET16" s="963" t="str">
        <x:f t="shared" si="36"/>
        <x:v/>
      </x:c>
      <x:c r="EU16" s="964" t="str">
        <x:f t="shared" si="37"/>
        <x:v/>
      </x:c>
      <x:c r="EX16" s="1194" t="str">
        <x:f t="shared" si="51"/>
        <x:v>G18B</x:v>
      </x:c>
      <x:c r="EY16" s="1196" t="b">
        <x:f t="shared" ca="1" si="38"/>
        <x:v>1</x:v>
      </x:c>
      <x:c r="EZ16" s="1196">
        <x:f t="shared" si="52"/>
        <x:v>5</x:v>
      </x:c>
      <x:c r="FA16" s="1217" t="e">
        <x:f t="shared" ref="FA16:FA45" si="58">IF(FB16="","",IF(FC16=0,FA15,FB16=FF16))</x:f>
        <x:v>#N/A</x:v>
      </x:c>
      <x:c r="FB16" s="1218" t="e">
        <x:f t="shared" si="53"/>
        <x:v>#N/A</x:v>
      </x:c>
      <x:c r="FC16" s="1218">
        <x:f t="shared" si="39"/>
        <x:v>46</x:v>
      </x:c>
      <x:c r="FD16" s="1218">
        <x:f t="shared" si="40"/>
        <x:v>480</x:v>
      </x:c>
      <x:c r="FE16" s="1218">
        <x:f t="shared" si="41"/>
        <x:v>94</x:v>
      </x:c>
      <x:c r="FF16" s="1218">
        <x:f t="shared" si="54"/>
        <x:v>620</x:v>
      </x:c>
      <x:c r="FN16" s="969" t="b">
        <x:v>0</x:v>
      </x:c>
      <x:c r="FO16" s="969" t="b">
        <x:f t="shared" si="42"/>
        <x:v>1</x:v>
      </x:c>
      <x:c r="FP16" s="1815" t="b">
        <x:v>0</x:v>
      </x:c>
      <x:c r="FQ16" s="969" t="b">
        <x:f t="shared" si="55"/>
        <x:v>1</x:v>
      </x:c>
      <x:c r="FW16" s="2"/>
      <x:c r="FX16" s="2"/>
      <x:c r="FZ16" s="2"/>
      <x:c r="GA16" s="1935">
        <x:v>52</x:v>
      </x:c>
      <x:c r="GB16" s="1936">
        <x:v>0</x:v>
      </x:c>
      <x:c r="GC16" s="1937">
        <x:v>-0.25</x:v>
      </x:c>
      <x:c r="GD16" s="1938">
        <x:v>-0.25</x:v>
      </x:c>
      <x:c r="GE16" s="1939">
        <x:v>7.6923076923076997E-2</x:v>
      </x:c>
      <x:c r="GF16" s="1940" t="str">
        <x:f t="shared" si="43"/>
        <x:v>G19</x:v>
      </x:c>
      <x:c r="GG16" s="1457"/>
      <x:c r="GH16" s="1459"/>
      <x:c r="GI16" s="1457"/>
      <x:c r="GJ16" s="1459"/>
      <x:c r="GK16" s="326">
        <x:f t="shared" si="44"/>
        <x:v>623.5</x:v>
      </x:c>
      <x:c r="GL16" s="326">
        <x:f t="shared" si="45"/>
        <x:v>623.51281010837874</x:v>
      </x:c>
      <x:c r="GM16" s="327">
        <x:f>IF(ABS(GK16-GL16)&gt;='Job Info.'!$L$22,ABS(GK16-GL16),0)</x:f>
        <x:v>0</x:v>
      </x:c>
      <x:c r="GN16" s="171"/>
      <x:c r="GO16" s="172"/>
      <x:c r="GP16" s="172"/>
      <x:c r="GZ16" s="172"/>
      <x:c r="HA16" s="1612" t="s">
        <x:v>1282</x:v>
      </x:c>
      <x:c r="HB16" s="1613">
        <x:v>8</x:v>
      </x:c>
      <x:c r="HC16" s="1613" t="s">
        <x:v>1954</x:v>
      </x:c>
      <x:c r="HD16" s="1614">
        <x:v>51</x:v>
      </x:c>
      <x:c r="HE16" s="1615">
        <x:v>11.5</x:v>
      </x:c>
      <x:c r="HF16" s="1613">
        <x:v>11.125</x:v>
      </x:c>
      <x:c r="HG16" s="1613">
        <x:v>0</x:v>
      </x:c>
      <x:c r="HH16" s="1613">
        <x:v>1.75</x:v>
      </x:c>
      <x:c r="HI16" s="1613" t="s">
        <x:v>114</x:v>
      </x:c>
      <x:c r="HJ16" s="1613">
        <x:v>0</x:v>
      </x:c>
      <x:c r="HK16" s="1613">
        <x:v>1.75</x:v>
      </x:c>
      <x:c r="HL16" s="1613" t="s">
        <x:v>114</x:v>
      </x:c>
      <x:c r="HM16" s="1613">
        <x:v>7.5</x:v>
      </x:c>
      <x:c r="HN16" s="1613">
        <x:v>7.5</x:v>
      </x:c>
      <x:c r="HO16" s="1613">
        <x:v>0</x:v>
      </x:c>
      <x:c r="HP16" s="1613">
        <x:v>6.75</x:v>
      </x:c>
      <x:c r="HQ16" s="1613">
        <x:v>0</x:v>
      </x:c>
      <x:c r="HR16" s="1613">
        <x:v>6.75</x:v>
      </x:c>
      <x:c r="HS16" s="1613">
        <x:v>0</x:v>
      </x:c>
      <x:c r="HT16" s="1613">
        <x:v>6.25</x:v>
      </x:c>
      <x:c r="HU16" s="1613">
        <x:v>0</x:v>
      </x:c>
      <x:c r="HV16" s="1613">
        <x:v>6.25</x:v>
      </x:c>
      <x:c r="HW16" s="1613">
        <x:v>5</x:v>
      </x:c>
      <x:c r="HX16" s="1613" t="s">
        <x:v>117</x:v>
      </x:c>
      <x:c r="HY16" s="1617" t="s">
        <x:v>117</x:v>
      </x:c>
      <x:c r="HZ16" s="1617" t="s">
        <x:v>2028</x:v>
      </x:c>
      <x:c r="IA16" s="1617" t="s">
        <x:v>117</x:v>
      </x:c>
      <x:c r="IB16" s="1617"/>
      <x:c r="IC16" s="1617"/>
      <x:c r="ID16" s="1632"/>
      <x:c r="IE16" s="1612" t="s">
        <x:v>1281</x:v>
      </x:c>
      <x:c r="IF16" s="1613" t="s">
        <x:v>35</x:v>
      </x:c>
      <x:c r="IG16" s="1614">
        <x:v>3</x:v>
      </x:c>
      <x:c r="IH16" s="1615">
        <x:v>10</x:v>
      </x:c>
      <x:c r="II16" s="1613">
        <x:v>5</x:v>
      </x:c>
      <x:c r="IJ16" s="1614">
        <x:v>8</x:v>
      </x:c>
      <x:c r="IK16" s="1615">
        <x:v>0</x:v>
      </x:c>
      <x:c r="IL16" s="1613">
        <x:v>7</x:v>
      </x:c>
      <x:c r="IM16" s="1613">
        <x:v>10</x:v>
      </x:c>
      <x:c r="IN16" s="1613" t="s">
        <x:v>117</x:v>
      </x:c>
      <x:c r="IO16" s="1613" t="s">
        <x:v>117</x:v>
      </x:c>
      <x:c r="IP16" s="1613">
        <x:v>5</x:v>
      </x:c>
      <x:c r="IQ16" s="1613">
        <x:v>13</x:v>
      </x:c>
      <x:c r="IR16" s="1613">
        <x:v>4</x:v>
      </x:c>
      <x:c r="IS16" s="1614">
        <x:v>1.75</x:v>
      </x:c>
      <x:c r="IT16" s="1615" t="s">
        <x:v>117</x:v>
      </x:c>
      <x:c r="IU16" s="1613" t="s">
        <x:v>117</x:v>
      </x:c>
      <x:c r="IV16" s="1613" t="s">
        <x:v>117</x:v>
      </x:c>
      <x:c r="IW16" s="1614" t="s">
        <x:v>117</x:v>
      </x:c>
      <x:c r="IX16" s="1615" t="s">
        <x:v>117</x:v>
      </x:c>
      <x:c r="IY16" s="1613" t="s">
        <x:v>117</x:v>
      </x:c>
      <x:c r="IZ16" s="1613" t="s">
        <x:v>117</x:v>
      </x:c>
      <x:c r="JA16" s="1614" t="s">
        <x:v>117</x:v>
      </x:c>
      <x:c r="JB16" s="1615" t="s">
        <x:v>117</x:v>
      </x:c>
      <x:c r="JC16" s="1613" t="s">
        <x:v>117</x:v>
      </x:c>
      <x:c r="JD16" s="1613" t="s">
        <x:v>117</x:v>
      </x:c>
      <x:c r="JE16" s="1614" t="s">
        <x:v>117</x:v>
      </x:c>
      <x:c r="JF16" s="1615" t="s">
        <x:v>117</x:v>
      </x:c>
      <x:c r="JG16" s="1613" t="s">
        <x:v>117</x:v>
      </x:c>
      <x:c r="JH16" s="1613" t="s">
        <x:v>117</x:v>
      </x:c>
      <x:c r="JI16" s="1613" t="s">
        <x:v>117</x:v>
      </x:c>
      <x:c r="JJ16" s="1616" t="s">
        <x:v>117</x:v>
      </x:c>
      <x:c r="JK16" s="1613">
        <x:v>1</x:v>
      </x:c>
      <x:c r="JL16" s="1521">
        <x:f t="shared" ref="JL16:JL45" ca="1" si="59">IF(ISBLANK(JK16),IF(JL15=0,0,IF(VALUE(OFFSET(JK16,JL15*-1,0))&lt;JL15+1,0,JL15+1)),1)</x:f>
        <x:v>1</x:v>
      </x:c>
    </x:row>
    <x:row r="17" spans="1:272" ht="12.6" customHeight="1" x14ac:dyDescent="0.25">
      <x:c r="A17" s="1583" t="s">
        <x:v>1283</x:v>
      </x:c>
      <x:c r="B17" s="1584">
        <x:v>4</x:v>
      </x:c>
      <x:c r="C17" s="1585" t="s">
        <x:v>1954</x:v>
      </x:c>
      <x:c r="D17" s="1586">
        <x:v>51</x:v>
      </x:c>
      <x:c r="E17" s="1587">
        <x:v>11.5</x:v>
      </x:c>
      <x:c r="F17" s="1588">
        <x:v>11.125</x:v>
      </x:c>
      <x:c r="G17" s="1589">
        <x:v>0</x:v>
      </x:c>
      <x:c r="H17" s="1590">
        <x:v>1.75</x:v>
      </x:c>
      <x:c r="I17" s="1591" t="s">
        <x:v>114</x:v>
      </x:c>
      <x:c r="J17" s="1586">
        <x:v>0</x:v>
      </x:c>
      <x:c r="K17" s="1590">
        <x:v>1.75</x:v>
      </x:c>
      <x:c r="L17" s="1592" t="s">
        <x:v>114</x:v>
      </x:c>
      <x:c r="M17" s="1593">
        <x:v>7.5</x:v>
      </x:c>
      <x:c r="N17" s="1594">
        <x:v>7.5</x:v>
      </x:c>
      <x:c r="O17" s="1589">
        <x:v>0</x:v>
      </x:c>
      <x:c r="P17" s="1590">
        <x:v>6.75</x:v>
      </x:c>
      <x:c r="Q17" s="1586">
        <x:v>0</x:v>
      </x:c>
      <x:c r="R17" s="1587">
        <x:v>6.75</x:v>
      </x:c>
      <x:c r="S17" s="1595">
        <x:v>0</x:v>
      </x:c>
      <x:c r="T17" s="1590">
        <x:v>6.25</x:v>
      </x:c>
      <x:c r="U17" s="1586">
        <x:v>0</x:v>
      </x:c>
      <x:c r="V17" s="1590">
        <x:v>6.25</x:v>
      </x:c>
      <x:c r="W17" s="1594">
        <x:v>5</x:v>
      </x:c>
      <x:c r="X17" s="1596" t="str">
        <x:f t="shared" si="0"/>
        <x:v/>
      </x:c>
      <x:c r="Y17" s="1597" t="str">
        <x:f t="shared" si="1"/>
        <x:v/>
      </x:c>
      <x:c r="Z17" s="2210" t="s">
        <x:v>2305</x:v>
      </x:c>
      <x:c r="AA17" s="1605" t="str">
        <x:f t="shared" si="2"/>
        <x:v/>
      </x:c>
      <x:c r="AB17" s="1264" t="s">
        <x:v>1282</x:v>
      </x:c>
      <x:c r="AC17" s="1260" t="s">
        <x:v>35</x:v>
      </x:c>
      <x:c r="AD17" s="1261">
        <x:v>3</x:v>
      </x:c>
      <x:c r="AE17" s="1262">
        <x:v>10</x:v>
      </x:c>
      <x:c r="AF17" s="1260">
        <x:v>5</x:v>
      </x:c>
      <x:c r="AG17" s="1261">
        <x:v>8</x:v>
      </x:c>
      <x:c r="AH17" s="1262">
        <x:v>0</x:v>
      </x:c>
      <x:c r="AI17" s="1261">
        <x:v>7</x:v>
      </x:c>
      <x:c r="AJ17" s="1262">
        <x:v>10</x:v>
      </x:c>
      <x:c r="AK17" s="1599" t="str">
        <x:f t="shared" si="3"/>
        <x:v/>
      </x:c>
      <x:c r="AL17" s="1600" t="str">
        <x:f t="shared" si="3"/>
        <x:v/>
      </x:c>
      <x:c r="AM17" s="1601">
        <x:v>5</x:v>
      </x:c>
      <x:c r="AN17" s="1260">
        <x:v>13</x:v>
      </x:c>
      <x:c r="AO17" s="1329">
        <x:v>4</x:v>
      </x:c>
      <x:c r="AP17" s="1327" t="str">
        <x:f t="shared" si="4"/>
        <x:v/>
      </x:c>
      <x:c r="AQ17" s="1602" t="str">
        <x:f t="shared" si="4"/>
        <x:v/>
      </x:c>
      <x:c r="AR17" s="1263" t="s">
        <x:v>1061</x:v>
      </x:c>
      <x:c r="AS17" s="1262" t="s">
        <x:v>1956</x:v>
      </x:c>
      <x:c r="AT17" s="1603" t="str">
        <x:f t="shared" si="5"/>
        <x:v/>
      </x:c>
      <x:c r="AU17" s="1410" t="s">
        <x:v>35</x:v>
      </x:c>
      <x:c r="AV17" s="1328" t="str">
        <x:f t="shared" si="6"/>
        <x:v/>
      </x:c>
      <x:c r="AW17" s="1262" t="str">
        <x:f t="shared" si="7"/>
        <x:v/>
      </x:c>
      <x:c r="AX17" s="1603" t="str">
        <x:f t="shared" si="8"/>
        <x:v/>
      </x:c>
      <x:c r="AY17" s="1410" t="str">
        <x:f t="shared" si="8"/>
        <x:v/>
      </x:c>
      <x:c r="AZ17" s="1328" t="str">
        <x:f t="shared" si="9"/>
        <x:v/>
      </x:c>
      <x:c r="BA17" s="1262" t="str">
        <x:f t="shared" si="10"/>
        <x:v/>
      </x:c>
      <x:c r="BB17" s="1603" t="str">
        <x:f t="shared" si="11"/>
        <x:v/>
      </x:c>
      <x:c r="BC17" s="1410" t="str">
        <x:f t="shared" si="11"/>
        <x:v/>
      </x:c>
      <x:c r="BD17" s="1328" t="str">
        <x:f t="shared" si="12"/>
        <x:v/>
      </x:c>
      <x:c r="BE17" s="1262" t="str">
        <x:f t="shared" si="13"/>
        <x:v/>
      </x:c>
      <x:c r="BF17" s="1603" t="str">
        <x:f t="shared" si="14"/>
        <x:v/>
      </x:c>
      <x:c r="BG17" s="1410" t="str">
        <x:f t="shared" si="14"/>
        <x:v/>
      </x:c>
      <x:c r="BH17" s="322"/>
      <x:c r="BJ17" s="1258" t="str">
        <x:f t="shared" si="57"/>
        <x:v>G20</x:v>
      </x:c>
      <x:c r="BK17" s="1256" t="b">
        <x:f t="shared" si="15"/>
        <x:v>0</x:v>
      </x:c>
      <x:c r="BL17" s="2002" t="b">
        <x:v>0</x:v>
      </x:c>
      <x:c r="BM17" s="1251">
        <x:f t="shared" si="16"/>
        <x:v>54</x:v>
      </x:c>
      <x:c r="BN17" s="1251" t="str">
        <x:f t="shared" si="17"/>
        <x:v>G</x:v>
      </x:c>
      <x:c r="BO17" s="1251">
        <x:f t="shared" si="18"/>
        <x:v>7</x:v>
      </x:c>
      <x:c r="BP17" s="1251">
        <x:f t="shared" si="19"/>
        <x:v>13.4</x:v>
      </x:c>
      <x:c r="BQ17" s="1251">
        <x:f t="shared" si="20"/>
        <x:v>3.9</x:v>
      </x:c>
      <x:c r="BR17" s="1251" t="b">
        <x:f t="shared" si="21"/>
        <x:v>1</x:v>
      </x:c>
      <x:c r="BS17" s="1252">
        <x:f t="shared" si="22"/>
        <x:v>7.75</x:v>
      </x:c>
      <x:c r="BT17" s="1252" t="str">
        <x:f t="shared" si="23"/>
        <x:v>Yes</x:v>
      </x:c>
      <x:c r="BU17" s="1252">
        <x:f t="shared" si="24"/>
        <x:v>7.75</x:v>
      </x:c>
      <x:c r="BV17" s="1252" t="str">
        <x:f t="shared" si="25"/>
        <x:v>Yes</x:v>
      </x:c>
      <x:c r="BW17" s="1253">
        <x:f t="shared" si="26"/>
        <x:v>15</x:v>
      </x:c>
      <x:c r="BX17" s="1254" t="str">
        <x:f t="shared" si="27"/>
        <x:v>G19</x:v>
      </x:c>
      <x:c r="BY17" s="1254" t="b">
        <x:f t="shared" si="28"/>
        <x:v>0</x:v>
      </x:c>
      <x:c r="BZ17" s="1253" t="b">
        <x:f t="shared" si="49"/>
        <x:v>0</x:v>
      </x:c>
      <x:c r="CB17" s="842"/>
      <x:c r="CC17" s="894"/>
      <x:c r="CD17" s="883"/>
      <x:c r="CE17" s="884"/>
      <x:c r="CF17" s="885"/>
      <x:c r="CG17" s="901"/>
      <x:c r="CH17" s="902"/>
      <x:c r="CI17" s="903"/>
      <x:c r="CJ17" s="902"/>
      <x:c r="CK17" s="903"/>
      <x:c r="CL17" s="904"/>
      <x:c r="CM17" s="944"/>
      <x:c r="CN17" s="901"/>
      <x:c r="CO17" s="902"/>
      <x:c r="CP17" s="903"/>
      <x:c r="CQ17" s="902"/>
      <x:c r="CR17" s="903"/>
      <x:c r="CS17" s="904"/>
      <x:c r="CT17" s="944"/>
      <x:c r="CU17" s="906"/>
      <x:c r="CV17" s="886"/>
      <x:c r="CW17" s="887"/>
      <x:c r="CX17" s="915"/>
      <x:c r="CY17" s="916"/>
      <x:c r="CZ17" s="932"/>
      <x:c r="DA17" s="933"/>
      <x:c r="DB17" s="932"/>
      <x:c r="DC17" s="933"/>
      <x:c r="DD17" s="1149"/>
      <x:c r="DE17" s="1150"/>
      <x:c r="DF17" s="173"/>
      <x:c r="DG17" s="173"/>
      <x:c r="DH17" s="842"/>
      <x:c r="DI17" s="843"/>
      <x:c r="DJ17" s="872"/>
      <x:c r="DK17" s="873"/>
      <x:c r="DL17" s="844"/>
      <x:c r="DM17" s="874"/>
      <x:c r="DN17" s="875"/>
      <x:c r="DO17" s="845"/>
      <x:c r="DP17" s="846"/>
      <x:c r="DQ17" s="847"/>
      <x:c r="DR17" s="847"/>
      <x:c r="DS17" s="848"/>
      <x:c r="DT17" s="836"/>
      <x:c r="DU17" s="837"/>
      <x:c r="DV17" s="849"/>
      <x:c r="DW17" s="850"/>
      <x:c r="DX17" s="851"/>
      <x:c r="DY17" s="852"/>
      <x:c r="DZ17" s="849"/>
      <x:c r="EA17" s="850"/>
      <x:c r="EB17" s="851"/>
      <x:c r="EC17" s="852"/>
      <x:c r="ED17" s="849"/>
      <x:c r="EE17" s="850"/>
      <x:c r="EF17" s="851"/>
      <x:c r="EG17" s="852"/>
      <x:c r="EH17" s="849"/>
      <x:c r="EI17" s="850"/>
      <x:c r="EJ17" s="851"/>
      <x:c r="EK17" s="853"/>
      <x:c r="EL17" s="798" t="str">
        <x:f t="shared" si="29"/>
        <x:v/>
      </x:c>
      <x:c r="EM17" s="799" t="str">
        <x:f t="shared" si="30"/>
        <x:v/>
      </x:c>
      <x:c r="EN17" s="800" t="str">
        <x:f t="shared" si="31"/>
        <x:v/>
      </x:c>
      <x:c r="EO17" s="1030" t="str">
        <x:f t="shared" si="32"/>
        <x:v/>
      </x:c>
      <x:c r="EP17" s="726" t="str">
        <x:f t="shared" si="33"/>
        <x:v/>
      </x:c>
      <x:c r="EQ17" s="727" t="str">
        <x:f t="shared" si="34"/>
        <x:v/>
      </x:c>
      <x:c r="ER17" s="961" t="str">
        <x:f t="shared" si="35"/>
        <x:v/>
      </x:c>
      <x:c r="ES17" s="962" t="str">
        <x:f t="shared" si="50"/>
        <x:v/>
      </x:c>
      <x:c r="ET17" s="963" t="str">
        <x:f t="shared" si="36"/>
        <x:v/>
      </x:c>
      <x:c r="EU17" s="964" t="str">
        <x:f t="shared" si="37"/>
        <x:v/>
      </x:c>
      <x:c r="EX17" s="1194" t="str">
        <x:f t="shared" si="51"/>
        <x:v>G19B</x:v>
      </x:c>
      <x:c r="EY17" s="1196" t="b">
        <x:f t="shared" ca="1" si="38"/>
        <x:v>1</x:v>
      </x:c>
      <x:c r="EZ17" s="1196">
        <x:f t="shared" si="52"/>
        <x:v>5</x:v>
      </x:c>
      <x:c r="FA17" s="1217" t="e">
        <x:f t="shared" si="58"/>
        <x:v>#N/A</x:v>
      </x:c>
      <x:c r="FB17" s="1218" t="e">
        <x:f t="shared" si="53"/>
        <x:v>#N/A</x:v>
      </x:c>
      <x:c r="FC17" s="1218">
        <x:f t="shared" si="39"/>
        <x:v>46</x:v>
      </x:c>
      <x:c r="FD17" s="1218">
        <x:f t="shared" si="40"/>
        <x:v>480</x:v>
      </x:c>
      <x:c r="FE17" s="1218">
        <x:f t="shared" si="41"/>
        <x:v>94</x:v>
      </x:c>
      <x:c r="FF17" s="1218">
        <x:f t="shared" si="54"/>
        <x:v>620</x:v>
      </x:c>
      <x:c r="FN17" s="969" t="b">
        <x:v>0</x:v>
      </x:c>
      <x:c r="FO17" s="969" t="b">
        <x:f t="shared" si="42"/>
        <x:v>1</x:v>
      </x:c>
      <x:c r="FP17" s="1815" t="b">
        <x:v>0</x:v>
      </x:c>
      <x:c r="FQ17" s="969" t="b">
        <x:f t="shared" si="55"/>
        <x:v>1</x:v>
      </x:c>
      <x:c r="FW17" s="2"/>
      <x:c r="FX17" s="2"/>
      <x:c r="FZ17" s="2"/>
      <x:c r="GA17" s="1935">
        <x:v>52</x:v>
      </x:c>
      <x:c r="GB17" s="1936">
        <x:v>0</x:v>
      </x:c>
      <x:c r="GC17" s="1937">
        <x:v>-0.25</x:v>
      </x:c>
      <x:c r="GD17" s="1938">
        <x:v>-0.25</x:v>
      </x:c>
      <x:c r="GE17" s="1939">
        <x:f t="shared" si="56"/>
        <x:v>0</x:v>
      </x:c>
      <x:c r="GF17" s="1940" t="str">
        <x:f t="shared" si="43"/>
        <x:v>G20</x:v>
      </x:c>
      <x:c r="GG17" s="1457"/>
      <x:c r="GH17" s="1459"/>
      <x:c r="GI17" s="1457"/>
      <x:c r="GJ17" s="1459"/>
      <x:c r="GK17" s="326">
        <x:f t="shared" si="44"/>
        <x:v>623.5</x:v>
      </x:c>
      <x:c r="GL17" s="326">
        <x:f t="shared" si="45"/>
        <x:v>623.5</x:v>
      </x:c>
      <x:c r="GM17" s="327">
        <x:f>IF(ABS(GK17-GL17)&gt;='Job Info.'!$L$22,ABS(GK17-GL17),0)</x:f>
        <x:v>0</x:v>
      </x:c>
      <x:c r="HA17" s="1612" t="s">
        <x:v>1283</x:v>
      </x:c>
      <x:c r="HB17" s="1613">
        <x:v>4</x:v>
      </x:c>
      <x:c r="HC17" s="1613" t="s">
        <x:v>1954</x:v>
      </x:c>
      <x:c r="HD17" s="1614">
        <x:v>51</x:v>
      </x:c>
      <x:c r="HE17" s="1615">
        <x:v>11.5</x:v>
      </x:c>
      <x:c r="HF17" s="1613">
        <x:v>11.125</x:v>
      </x:c>
      <x:c r="HG17" s="1613">
        <x:v>0</x:v>
      </x:c>
      <x:c r="HH17" s="1613">
        <x:v>1.75</x:v>
      </x:c>
      <x:c r="HI17" s="1613" t="s">
        <x:v>114</x:v>
      </x:c>
      <x:c r="HJ17" s="1613">
        <x:v>0</x:v>
      </x:c>
      <x:c r="HK17" s="1613">
        <x:v>1.75</x:v>
      </x:c>
      <x:c r="HL17" s="1613" t="s">
        <x:v>114</x:v>
      </x:c>
      <x:c r="HM17" s="1613">
        <x:v>7.5</x:v>
      </x:c>
      <x:c r="HN17" s="1613">
        <x:v>7.5</x:v>
      </x:c>
      <x:c r="HO17" s="1613">
        <x:v>0</x:v>
      </x:c>
      <x:c r="HP17" s="1613">
        <x:v>6.75</x:v>
      </x:c>
      <x:c r="HQ17" s="1613">
        <x:v>0</x:v>
      </x:c>
      <x:c r="HR17" s="1613">
        <x:v>6.75</x:v>
      </x:c>
      <x:c r="HS17" s="1613">
        <x:v>0</x:v>
      </x:c>
      <x:c r="HT17" s="1613">
        <x:v>6.25</x:v>
      </x:c>
      <x:c r="HU17" s="1613">
        <x:v>0</x:v>
      </x:c>
      <x:c r="HV17" s="1613">
        <x:v>6.25</x:v>
      </x:c>
      <x:c r="HW17" s="1613">
        <x:v>5</x:v>
      </x:c>
      <x:c r="HX17" s="1613" t="s">
        <x:v>117</x:v>
      </x:c>
      <x:c r="HY17" s="1617" t="s">
        <x:v>117</x:v>
      </x:c>
      <x:c r="HZ17" s="1617" t="s">
        <x:v>2037</x:v>
      </x:c>
      <x:c r="IA17" s="1617" t="s">
        <x:v>117</x:v>
      </x:c>
      <x:c r="IB17" s="1617"/>
      <x:c r="IC17" s="1617"/>
      <x:c r="ID17" s="1632"/>
      <x:c r="IE17" s="1612" t="s">
        <x:v>1282</x:v>
      </x:c>
      <x:c r="IF17" s="1613" t="s">
        <x:v>35</x:v>
      </x:c>
      <x:c r="IG17" s="1614">
        <x:v>3</x:v>
      </x:c>
      <x:c r="IH17" s="1615">
        <x:v>10</x:v>
      </x:c>
      <x:c r="II17" s="1613">
        <x:v>5</x:v>
      </x:c>
      <x:c r="IJ17" s="1614">
        <x:v>8</x:v>
      </x:c>
      <x:c r="IK17" s="1615">
        <x:v>0</x:v>
      </x:c>
      <x:c r="IL17" s="1613">
        <x:v>7</x:v>
      </x:c>
      <x:c r="IM17" s="1613">
        <x:v>10</x:v>
      </x:c>
      <x:c r="IN17" s="1613" t="s">
        <x:v>117</x:v>
      </x:c>
      <x:c r="IO17" s="1613" t="s">
        <x:v>117</x:v>
      </x:c>
      <x:c r="IP17" s="1613">
        <x:v>5</x:v>
      </x:c>
      <x:c r="IQ17" s="1613">
        <x:v>13</x:v>
      </x:c>
      <x:c r="IR17" s="1613">
        <x:v>4</x:v>
      </x:c>
      <x:c r="IS17" s="1614" t="s">
        <x:v>117</x:v>
      </x:c>
      <x:c r="IT17" s="1615" t="s">
        <x:v>117</x:v>
      </x:c>
      <x:c r="IU17" s="1613" t="s">
        <x:v>1061</x:v>
      </x:c>
      <x:c r="IV17" s="1613" t="s">
        <x:v>1956</x:v>
      </x:c>
      <x:c r="IW17" s="1614" t="s">
        <x:v>117</x:v>
      </x:c>
      <x:c r="IX17" s="1615" t="s">
        <x:v>35</x:v>
      </x:c>
      <x:c r="IY17" s="1613" t="s">
        <x:v>117</x:v>
      </x:c>
      <x:c r="IZ17" s="1613" t="s">
        <x:v>117</x:v>
      </x:c>
      <x:c r="JA17" s="1614" t="s">
        <x:v>117</x:v>
      </x:c>
      <x:c r="JB17" s="1615" t="s">
        <x:v>117</x:v>
      </x:c>
      <x:c r="JC17" s="1613" t="s">
        <x:v>117</x:v>
      </x:c>
      <x:c r="JD17" s="1613" t="s">
        <x:v>117</x:v>
      </x:c>
      <x:c r="JE17" s="1614" t="s">
        <x:v>117</x:v>
      </x:c>
      <x:c r="JF17" s="1615" t="s">
        <x:v>117</x:v>
      </x:c>
      <x:c r="JG17" s="1613" t="s">
        <x:v>117</x:v>
      </x:c>
      <x:c r="JH17" s="1613" t="s">
        <x:v>117</x:v>
      </x:c>
      <x:c r="JI17" s="1613" t="s">
        <x:v>117</x:v>
      </x:c>
      <x:c r="JJ17" s="1616" t="s">
        <x:v>117</x:v>
      </x:c>
      <x:c r="JK17" s="1613">
        <x:v>1</x:v>
      </x:c>
      <x:c r="JL17" s="1521">
        <x:f t="shared" ca="1" si="59"/>
        <x:v>1</x:v>
      </x:c>
    </x:row>
    <x:row r="18" spans="1:272" ht="12.6" customHeight="1" x14ac:dyDescent="0.25">
      <x:c r="A18" s="1583" t="s">
        <x:v>1284</x:v>
      </x:c>
      <x:c r="B18" s="1584">
        <x:v>4</x:v>
      </x:c>
      <x:c r="C18" s="1585" t="s">
        <x:v>1954</x:v>
      </x:c>
      <x:c r="D18" s="1586">
        <x:v>51</x:v>
      </x:c>
      <x:c r="E18" s="1587">
        <x:v>11.5</x:v>
      </x:c>
      <x:c r="F18" s="1588">
        <x:v>11.125</x:v>
      </x:c>
      <x:c r="G18" s="1589">
        <x:v>0</x:v>
      </x:c>
      <x:c r="H18" s="1590">
        <x:v>1.75</x:v>
      </x:c>
      <x:c r="I18" s="1591" t="s">
        <x:v>114</x:v>
      </x:c>
      <x:c r="J18" s="1586">
        <x:v>0</x:v>
      </x:c>
      <x:c r="K18" s="1590">
        <x:v>1.75</x:v>
      </x:c>
      <x:c r="L18" s="1592" t="s">
        <x:v>114</x:v>
      </x:c>
      <x:c r="M18" s="1593">
        <x:v>7.5</x:v>
      </x:c>
      <x:c r="N18" s="1594">
        <x:v>7.5</x:v>
      </x:c>
      <x:c r="O18" s="1589">
        <x:v>0</x:v>
      </x:c>
      <x:c r="P18" s="1590">
        <x:v>6.75</x:v>
      </x:c>
      <x:c r="Q18" s="1586">
        <x:v>0</x:v>
      </x:c>
      <x:c r="R18" s="1587">
        <x:v>6.75</x:v>
      </x:c>
      <x:c r="S18" s="1595">
        <x:v>0</x:v>
      </x:c>
      <x:c r="T18" s="1590">
        <x:v>6.25</x:v>
      </x:c>
      <x:c r="U18" s="1586">
        <x:v>0</x:v>
      </x:c>
      <x:c r="V18" s="1590">
        <x:v>6.25</x:v>
      </x:c>
      <x:c r="W18" s="1594">
        <x:v>5</x:v>
      </x:c>
      <x:c r="X18" s="1596" t="str">
        <x:f t="shared" si="0"/>
        <x:v/>
      </x:c>
      <x:c r="Y18" s="1597" t="str">
        <x:f t="shared" si="1"/>
        <x:v/>
      </x:c>
      <x:c r="Z18" s="2210" t="s">
        <x:v>2306</x:v>
      </x:c>
      <x:c r="AA18" s="1605" t="str">
        <x:f t="shared" si="2"/>
        <x:v/>
      </x:c>
      <x:c r="AB18" s="1264" t="s">
        <x:v>1283</x:v>
      </x:c>
      <x:c r="AC18" s="1260" t="s">
        <x:v>35</x:v>
      </x:c>
      <x:c r="AD18" s="1261">
        <x:v>3</x:v>
      </x:c>
      <x:c r="AE18" s="1262">
        <x:v>10</x:v>
      </x:c>
      <x:c r="AF18" s="1260">
        <x:v>5</x:v>
      </x:c>
      <x:c r="AG18" s="1261">
        <x:v>8</x:v>
      </x:c>
      <x:c r="AH18" s="1262">
        <x:v>0</x:v>
      </x:c>
      <x:c r="AI18" s="1261">
        <x:v>7</x:v>
      </x:c>
      <x:c r="AJ18" s="1262">
        <x:v>10</x:v>
      </x:c>
      <x:c r="AK18" s="1599" t="str">
        <x:f t="shared" si="3"/>
        <x:v/>
      </x:c>
      <x:c r="AL18" s="1600" t="str">
        <x:f t="shared" si="3"/>
        <x:v/>
      </x:c>
      <x:c r="AM18" s="1601">
        <x:v>5</x:v>
      </x:c>
      <x:c r="AN18" s="1260">
        <x:v>13</x:v>
      </x:c>
      <x:c r="AO18" s="1329">
        <x:v>4</x:v>
      </x:c>
      <x:c r="AP18" s="1327" t="str">
        <x:f t="shared" si="4"/>
        <x:v/>
      </x:c>
      <x:c r="AQ18" s="1602">
        <x:v>1.75</x:v>
      </x:c>
      <x:c r="AR18" s="1263" t="s">
        <x:v>1061</x:v>
      </x:c>
      <x:c r="AS18" s="1262" t="s">
        <x:v>1956</x:v>
      </x:c>
      <x:c r="AT18" s="1603" t="str">
        <x:f t="shared" si="5"/>
        <x:v/>
      </x:c>
      <x:c r="AU18" s="1410" t="s">
        <x:v>35</x:v>
      </x:c>
      <x:c r="AV18" s="2121">
        <x:v>51</x:v>
      </x:c>
      <x:c r="AW18" s="2122">
        <x:v>0</x:v>
      </x:c>
      <x:c r="AX18" s="1603" t="str">
        <x:f t="shared" si="8"/>
        <x:v/>
      </x:c>
      <x:c r="AY18" s="2123" t="s">
        <x:v>35</x:v>
      </x:c>
      <x:c r="AZ18" s="1328" t="str">
        <x:f t="shared" si="9"/>
        <x:v/>
      </x:c>
      <x:c r="BA18" s="1262" t="str">
        <x:f t="shared" si="10"/>
        <x:v/>
      </x:c>
      <x:c r="BB18" s="1603" t="str">
        <x:f t="shared" si="11"/>
        <x:v/>
      </x:c>
      <x:c r="BC18" s="1410" t="str">
        <x:f t="shared" si="11"/>
        <x:v/>
      </x:c>
      <x:c r="BD18" s="1328" t="str">
        <x:f t="shared" si="12"/>
        <x:v/>
      </x:c>
      <x:c r="BE18" s="1262" t="str">
        <x:f t="shared" si="13"/>
        <x:v/>
      </x:c>
      <x:c r="BF18" s="1603" t="str">
        <x:f t="shared" si="14"/>
        <x:v/>
      </x:c>
      <x:c r="BG18" s="1410" t="str">
        <x:f t="shared" si="14"/>
        <x:v/>
      </x:c>
      <x:c r="BH18" s="322"/>
      <x:c r="BJ18" s="1258" t="str">
        <x:f t="shared" si="57"/>
        <x:v>G21</x:v>
      </x:c>
      <x:c r="BK18" s="1256" t="b">
        <x:f t="shared" si="15"/>
        <x:v>0</x:v>
      </x:c>
      <x:c r="BL18" s="2002" t="b">
        <x:v>0</x:v>
      </x:c>
      <x:c r="BM18" s="1251">
        <x:f t="shared" si="16"/>
        <x:v>54</x:v>
      </x:c>
      <x:c r="BN18" s="1251" t="str">
        <x:f t="shared" si="17"/>
        <x:v>G</x:v>
      </x:c>
      <x:c r="BO18" s="1251">
        <x:f t="shared" si="18"/>
        <x:v>7</x:v>
      </x:c>
      <x:c r="BP18" s="1251">
        <x:f t="shared" si="19"/>
        <x:v>13.4</x:v>
      </x:c>
      <x:c r="BQ18" s="1251">
        <x:f t="shared" si="20"/>
        <x:v>3.9</x:v>
      </x:c>
      <x:c r="BR18" s="1251" t="b">
        <x:f t="shared" si="21"/>
        <x:v>1</x:v>
      </x:c>
      <x:c r="BS18" s="1252">
        <x:f t="shared" si="22"/>
        <x:v>7.75</x:v>
      </x:c>
      <x:c r="BT18" s="1252" t="str">
        <x:f t="shared" si="23"/>
        <x:v>Yes</x:v>
      </x:c>
      <x:c r="BU18" s="1252">
        <x:f t="shared" si="24"/>
        <x:v>7.75</x:v>
      </x:c>
      <x:c r="BV18" s="1252" t="str">
        <x:f t="shared" si="25"/>
        <x:v>Yes</x:v>
      </x:c>
      <x:c r="BW18" s="1253">
        <x:f t="shared" si="26"/>
        <x:v>19</x:v>
      </x:c>
      <x:c r="BX18" s="1254" t="str">
        <x:f t="shared" si="27"/>
        <x:v>G20</x:v>
      </x:c>
      <x:c r="BY18" s="1254" t="b">
        <x:f t="shared" si="28"/>
        <x:v>0</x:v>
      </x:c>
      <x:c r="BZ18" s="1253" t="b">
        <x:f t="shared" si="49"/>
        <x:v>0</x:v>
      </x:c>
      <x:c r="CB18" s="842"/>
      <x:c r="CC18" s="894"/>
      <x:c r="CD18" s="883"/>
      <x:c r="CE18" s="884"/>
      <x:c r="CF18" s="885"/>
      <x:c r="CG18" s="901"/>
      <x:c r="CH18" s="902"/>
      <x:c r="CI18" s="903"/>
      <x:c r="CJ18" s="902"/>
      <x:c r="CK18" s="903"/>
      <x:c r="CL18" s="904"/>
      <x:c r="CM18" s="944"/>
      <x:c r="CN18" s="901"/>
      <x:c r="CO18" s="902"/>
      <x:c r="CP18" s="903"/>
      <x:c r="CQ18" s="902"/>
      <x:c r="CR18" s="903"/>
      <x:c r="CS18" s="904"/>
      <x:c r="CT18" s="944"/>
      <x:c r="CU18" s="906"/>
      <x:c r="CV18" s="886"/>
      <x:c r="CW18" s="887"/>
      <x:c r="CX18" s="915"/>
      <x:c r="CY18" s="916"/>
      <x:c r="CZ18" s="932"/>
      <x:c r="DA18" s="933"/>
      <x:c r="DB18" s="932"/>
      <x:c r="DC18" s="933"/>
      <x:c r="DD18" s="1149"/>
      <x:c r="DE18" s="1150"/>
      <x:c r="DF18" s="173"/>
      <x:c r="DG18" s="173"/>
      <x:c r="DH18" s="842"/>
      <x:c r="DI18" s="843"/>
      <x:c r="DJ18" s="872"/>
      <x:c r="DK18" s="873"/>
      <x:c r="DL18" s="844"/>
      <x:c r="DM18" s="874"/>
      <x:c r="DN18" s="875"/>
      <x:c r="DO18" s="845"/>
      <x:c r="DP18" s="846"/>
      <x:c r="DQ18" s="847"/>
      <x:c r="DR18" s="847"/>
      <x:c r="DS18" s="848"/>
      <x:c r="DT18" s="836"/>
      <x:c r="DU18" s="837"/>
      <x:c r="DV18" s="849"/>
      <x:c r="DW18" s="850"/>
      <x:c r="DX18" s="851"/>
      <x:c r="DY18" s="852"/>
      <x:c r="DZ18" s="849"/>
      <x:c r="EA18" s="850"/>
      <x:c r="EB18" s="851"/>
      <x:c r="EC18" s="852"/>
      <x:c r="ED18" s="849"/>
      <x:c r="EE18" s="850"/>
      <x:c r="EF18" s="851"/>
      <x:c r="EG18" s="852"/>
      <x:c r="EH18" s="849"/>
      <x:c r="EI18" s="850"/>
      <x:c r="EJ18" s="851"/>
      <x:c r="EK18" s="853"/>
      <x:c r="EL18" s="798" t="str">
        <x:f t="shared" si="29"/>
        <x:v/>
      </x:c>
      <x:c r="EM18" s="799" t="str">
        <x:f t="shared" si="30"/>
        <x:v/>
      </x:c>
      <x:c r="EN18" s="800" t="str">
        <x:f t="shared" si="31"/>
        <x:v/>
      </x:c>
      <x:c r="EO18" s="1030" t="str">
        <x:f t="shared" si="32"/>
        <x:v/>
      </x:c>
      <x:c r="EP18" s="726" t="str">
        <x:f t="shared" si="33"/>
        <x:v/>
      </x:c>
      <x:c r="EQ18" s="727" t="str">
        <x:f t="shared" si="34"/>
        <x:v/>
      </x:c>
      <x:c r="ER18" s="961" t="str">
        <x:f t="shared" si="35"/>
        <x:v/>
      </x:c>
      <x:c r="ES18" s="962" t="str">
        <x:f t="shared" si="50"/>
        <x:v/>
      </x:c>
      <x:c r="ET18" s="963" t="str">
        <x:f t="shared" si="36"/>
        <x:v/>
      </x:c>
      <x:c r="EU18" s="964" t="str">
        <x:f t="shared" si="37"/>
        <x:v/>
      </x:c>
      <x:c r="EX18" s="1194" t="str">
        <x:f t="shared" si="51"/>
        <x:v>G20B</x:v>
      </x:c>
      <x:c r="EY18" s="1196" t="b">
        <x:f t="shared" ca="1" si="38"/>
        <x:v>1</x:v>
      </x:c>
      <x:c r="EZ18" s="1196">
        <x:f t="shared" si="52"/>
        <x:v>5</x:v>
      </x:c>
      <x:c r="FA18" s="1217" t="e">
        <x:f t="shared" si="58"/>
        <x:v>#N/A</x:v>
      </x:c>
      <x:c r="FB18" s="1218" t="e">
        <x:f t="shared" si="53"/>
        <x:v>#N/A</x:v>
      </x:c>
      <x:c r="FC18" s="1218">
        <x:f t="shared" si="39"/>
        <x:v>46</x:v>
      </x:c>
      <x:c r="FD18" s="1218">
        <x:f t="shared" si="40"/>
        <x:v>480</x:v>
      </x:c>
      <x:c r="FE18" s="1218">
        <x:f t="shared" si="41"/>
        <x:v>94</x:v>
      </x:c>
      <x:c r="FF18" s="1218">
        <x:f t="shared" si="54"/>
        <x:v>620</x:v>
      </x:c>
      <x:c r="FN18" s="969" t="b">
        <x:v>0</x:v>
      </x:c>
      <x:c r="FO18" s="969" t="b">
        <x:f t="shared" si="42"/>
        <x:v>1</x:v>
      </x:c>
      <x:c r="FP18" s="1815" t="b">
        <x:v>0</x:v>
      </x:c>
      <x:c r="FQ18" s="969" t="b">
        <x:f t="shared" si="55"/>
        <x:v>1</x:v>
      </x:c>
      <x:c r="FW18" s="2"/>
      <x:c r="FX18" s="2"/>
      <x:c r="FZ18" s="2"/>
      <x:c r="GA18" s="1935">
        <x:v>52</x:v>
      </x:c>
      <x:c r="GB18" s="1936">
        <x:v>0</x:v>
      </x:c>
      <x:c r="GC18" s="1937">
        <x:v>-0.25</x:v>
      </x:c>
      <x:c r="GD18" s="1938">
        <x:v>-0.25</x:v>
      </x:c>
      <x:c r="GE18" s="1939">
        <x:f t="shared" si="56"/>
        <x:v>0</x:v>
      </x:c>
      <x:c r="GF18" s="1940" t="str">
        <x:f t="shared" si="43"/>
        <x:v>G21</x:v>
      </x:c>
      <x:c r="GG18" s="1457"/>
      <x:c r="GH18" s="1459"/>
      <x:c r="GI18" s="1457"/>
      <x:c r="GJ18" s="1459"/>
      <x:c r="GK18" s="326">
        <x:f t="shared" si="44"/>
        <x:v>623.5</x:v>
      </x:c>
      <x:c r="GL18" s="326">
        <x:f t="shared" si="45"/>
        <x:v>623.5</x:v>
      </x:c>
      <x:c r="GM18" s="327">
        <x:f>IF(ABS(GK18-GL18)&gt;='Job Info.'!$L$22,ABS(GK18-GL18),0)</x:f>
        <x:v>0</x:v>
      </x:c>
      <x:c r="HA18" s="1612" t="s">
        <x:v>1284</x:v>
      </x:c>
      <x:c r="HB18" s="1613">
        <x:v>4</x:v>
      </x:c>
      <x:c r="HC18" s="1613" t="s">
        <x:v>1954</x:v>
      </x:c>
      <x:c r="HD18" s="1614">
        <x:v>51</x:v>
      </x:c>
      <x:c r="HE18" s="1615">
        <x:v>11.5</x:v>
      </x:c>
      <x:c r="HF18" s="1613">
        <x:v>11.125</x:v>
      </x:c>
      <x:c r="HG18" s="1613">
        <x:v>0</x:v>
      </x:c>
      <x:c r="HH18" s="1613">
        <x:v>1.75</x:v>
      </x:c>
      <x:c r="HI18" s="1613" t="s">
        <x:v>114</x:v>
      </x:c>
      <x:c r="HJ18" s="1613">
        <x:v>0</x:v>
      </x:c>
      <x:c r="HK18" s="1613">
        <x:v>1.75</x:v>
      </x:c>
      <x:c r="HL18" s="1613" t="s">
        <x:v>114</x:v>
      </x:c>
      <x:c r="HM18" s="1613">
        <x:v>7.5</x:v>
      </x:c>
      <x:c r="HN18" s="1613">
        <x:v>7.5</x:v>
      </x:c>
      <x:c r="HO18" s="1613">
        <x:v>0</x:v>
      </x:c>
      <x:c r="HP18" s="1613">
        <x:v>6.75</x:v>
      </x:c>
      <x:c r="HQ18" s="1613">
        <x:v>0</x:v>
      </x:c>
      <x:c r="HR18" s="1613">
        <x:v>6.75</x:v>
      </x:c>
      <x:c r="HS18" s="1613">
        <x:v>0</x:v>
      </x:c>
      <x:c r="HT18" s="1613">
        <x:v>6.25</x:v>
      </x:c>
      <x:c r="HU18" s="1613">
        <x:v>0</x:v>
      </x:c>
      <x:c r="HV18" s="1613">
        <x:v>6.25</x:v>
      </x:c>
      <x:c r="HW18" s="1613">
        <x:v>5</x:v>
      </x:c>
      <x:c r="HX18" s="1613" t="s">
        <x:v>117</x:v>
      </x:c>
      <x:c r="HY18" s="1617" t="s">
        <x:v>117</x:v>
      </x:c>
      <x:c r="HZ18" s="1617" t="s">
        <x:v>2038</x:v>
      </x:c>
      <x:c r="IA18" s="1617" t="s">
        <x:v>117</x:v>
      </x:c>
      <x:c r="IB18" s="1617"/>
      <x:c r="IC18" s="1617"/>
      <x:c r="ID18" s="1632"/>
      <x:c r="IE18" s="1612" t="s">
        <x:v>1283</x:v>
      </x:c>
      <x:c r="IF18" s="1613" t="s">
        <x:v>35</x:v>
      </x:c>
      <x:c r="IG18" s="1614">
        <x:v>3</x:v>
      </x:c>
      <x:c r="IH18" s="1615">
        <x:v>10</x:v>
      </x:c>
      <x:c r="II18" s="1613">
        <x:v>5</x:v>
      </x:c>
      <x:c r="IJ18" s="1614">
        <x:v>8</x:v>
      </x:c>
      <x:c r="IK18" s="1615">
        <x:v>0</x:v>
      </x:c>
      <x:c r="IL18" s="1613">
        <x:v>7</x:v>
      </x:c>
      <x:c r="IM18" s="1613">
        <x:v>10</x:v>
      </x:c>
      <x:c r="IN18" s="1613" t="s">
        <x:v>117</x:v>
      </x:c>
      <x:c r="IO18" s="1613" t="s">
        <x:v>117</x:v>
      </x:c>
      <x:c r="IP18" s="1613">
        <x:v>5</x:v>
      </x:c>
      <x:c r="IQ18" s="1613">
        <x:v>13</x:v>
      </x:c>
      <x:c r="IR18" s="1613">
        <x:v>4</x:v>
      </x:c>
      <x:c r="IS18" s="1614" t="s">
        <x:v>117</x:v>
      </x:c>
      <x:c r="IT18" s="1615">
        <x:v>1.75</x:v>
      </x:c>
      <x:c r="IU18" s="1613" t="s">
        <x:v>1061</x:v>
      </x:c>
      <x:c r="IV18" s="1613" t="s">
        <x:v>1956</x:v>
      </x:c>
      <x:c r="IW18" s="1614" t="s">
        <x:v>117</x:v>
      </x:c>
      <x:c r="IX18" s="1615" t="s">
        <x:v>35</x:v>
      </x:c>
      <x:c r="IY18" s="1613" t="s">
        <x:v>117</x:v>
      </x:c>
      <x:c r="IZ18" s="1613" t="s">
        <x:v>117</x:v>
      </x:c>
      <x:c r="JA18" s="1614" t="s">
        <x:v>117</x:v>
      </x:c>
      <x:c r="JB18" s="1615" t="s">
        <x:v>117</x:v>
      </x:c>
      <x:c r="JC18" s="1613" t="s">
        <x:v>117</x:v>
      </x:c>
      <x:c r="JD18" s="1613" t="s">
        <x:v>117</x:v>
      </x:c>
      <x:c r="JE18" s="1614" t="s">
        <x:v>117</x:v>
      </x:c>
      <x:c r="JF18" s="1615" t="s">
        <x:v>117</x:v>
      </x:c>
      <x:c r="JG18" s="1613" t="s">
        <x:v>117</x:v>
      </x:c>
      <x:c r="JH18" s="1613" t="s">
        <x:v>117</x:v>
      </x:c>
      <x:c r="JI18" s="1613" t="s">
        <x:v>117</x:v>
      </x:c>
      <x:c r="JJ18" s="1616" t="s">
        <x:v>117</x:v>
      </x:c>
      <x:c r="JK18" s="1613">
        <x:v>1</x:v>
      </x:c>
      <x:c r="JL18" s="1521">
        <x:f t="shared" ca="1" si="59"/>
        <x:v>1</x:v>
      </x:c>
    </x:row>
    <x:row r="19" spans="1:272" ht="12.6" customHeight="1" x14ac:dyDescent="0.25">
      <x:c r="A19" s="1583" t="s">
        <x:v>1285</x:v>
      </x:c>
      <x:c r="B19" s="1584">
        <x:v>4</x:v>
      </x:c>
      <x:c r="C19" s="1585" t="s">
        <x:v>1954</x:v>
      </x:c>
      <x:c r="D19" s="1586">
        <x:v>51</x:v>
      </x:c>
      <x:c r="E19" s="1587">
        <x:v>11.5</x:v>
      </x:c>
      <x:c r="F19" s="1588">
        <x:v>11.125</x:v>
      </x:c>
      <x:c r="G19" s="1589">
        <x:v>0</x:v>
      </x:c>
      <x:c r="H19" s="1590">
        <x:v>1.75</x:v>
      </x:c>
      <x:c r="I19" s="1591" t="s">
        <x:v>114</x:v>
      </x:c>
      <x:c r="J19" s="1586">
        <x:v>0</x:v>
      </x:c>
      <x:c r="K19" s="1590">
        <x:v>1.75</x:v>
      </x:c>
      <x:c r="L19" s="1592" t="s">
        <x:v>114</x:v>
      </x:c>
      <x:c r="M19" s="1593">
        <x:v>7.5</x:v>
      </x:c>
      <x:c r="N19" s="1594">
        <x:v>7.5</x:v>
      </x:c>
      <x:c r="O19" s="1589">
        <x:v>0</x:v>
      </x:c>
      <x:c r="P19" s="1590">
        <x:v>6.75</x:v>
      </x:c>
      <x:c r="Q19" s="1586">
        <x:v>0</x:v>
      </x:c>
      <x:c r="R19" s="1587">
        <x:v>6.75</x:v>
      </x:c>
      <x:c r="S19" s="1595">
        <x:v>0</x:v>
      </x:c>
      <x:c r="T19" s="1590">
        <x:v>6.25</x:v>
      </x:c>
      <x:c r="U19" s="1586">
        <x:v>0</x:v>
      </x:c>
      <x:c r="V19" s="1590">
        <x:v>6.25</x:v>
      </x:c>
      <x:c r="W19" s="1594">
        <x:v>5</x:v>
      </x:c>
      <x:c r="X19" s="1596" t="str">
        <x:f t="shared" si="0"/>
        <x:v/>
      </x:c>
      <x:c r="Y19" s="1597" t="str">
        <x:f t="shared" si="1"/>
        <x:v/>
      </x:c>
      <x:c r="Z19" s="2210" t="s">
        <x:v>2316</x:v>
      </x:c>
      <x:c r="AA19" s="1605" t="str">
        <x:f t="shared" si="2"/>
        <x:v/>
      </x:c>
      <x:c r="AB19" s="1264" t="s">
        <x:v>1284</x:v>
      </x:c>
      <x:c r="AC19" s="1260" t="s">
        <x:v>35</x:v>
      </x:c>
      <x:c r="AD19" s="1261">
        <x:v>3</x:v>
      </x:c>
      <x:c r="AE19" s="1262">
        <x:v>10</x:v>
      </x:c>
      <x:c r="AF19" s="1260">
        <x:v>5</x:v>
      </x:c>
      <x:c r="AG19" s="1261">
        <x:v>8</x:v>
      </x:c>
      <x:c r="AH19" s="1262">
        <x:v>0</x:v>
      </x:c>
      <x:c r="AI19" s="1261">
        <x:v>7</x:v>
      </x:c>
      <x:c r="AJ19" s="1262">
        <x:v>10</x:v>
      </x:c>
      <x:c r="AK19" s="1599" t="str">
        <x:f t="shared" si="3"/>
        <x:v/>
      </x:c>
      <x:c r="AL19" s="1600" t="str">
        <x:f t="shared" si="3"/>
        <x:v/>
      </x:c>
      <x:c r="AM19" s="1601">
        <x:v>5</x:v>
      </x:c>
      <x:c r="AN19" s="1260">
        <x:v>13</x:v>
      </x:c>
      <x:c r="AO19" s="1329">
        <x:v>4</x:v>
      </x:c>
      <x:c r="AP19" s="1327" t="str">
        <x:f t="shared" si="4"/>
        <x:v/>
      </x:c>
      <x:c r="AQ19" s="1602">
        <x:v>1.75</x:v>
      </x:c>
      <x:c r="AR19" s="1263" t="s">
        <x:v>1061</x:v>
      </x:c>
      <x:c r="AS19" s="1262" t="s">
        <x:v>1956</x:v>
      </x:c>
      <x:c r="AT19" s="1603" t="str">
        <x:f t="shared" si="5"/>
        <x:v/>
      </x:c>
      <x:c r="AU19" s="1410" t="s">
        <x:v>35</x:v>
      </x:c>
      <x:c r="AV19" s="2121">
        <x:v>51</x:v>
      </x:c>
      <x:c r="AW19" s="2122">
        <x:v>0</x:v>
      </x:c>
      <x:c r="AX19" s="1603" t="str">
        <x:f t="shared" si="8"/>
        <x:v/>
      </x:c>
      <x:c r="AY19" s="2123" t="s">
        <x:v>35</x:v>
      </x:c>
      <x:c r="AZ19" s="1328" t="str">
        <x:f t="shared" si="9"/>
        <x:v/>
      </x:c>
      <x:c r="BA19" s="1262" t="str">
        <x:f t="shared" si="10"/>
        <x:v/>
      </x:c>
      <x:c r="BB19" s="1603" t="str">
        <x:f t="shared" si="11"/>
        <x:v/>
      </x:c>
      <x:c r="BC19" s="1410" t="str">
        <x:f t="shared" si="11"/>
        <x:v/>
      </x:c>
      <x:c r="BD19" s="1328" t="str">
        <x:f t="shared" si="12"/>
        <x:v/>
      </x:c>
      <x:c r="BE19" s="1262" t="str">
        <x:f t="shared" si="13"/>
        <x:v/>
      </x:c>
      <x:c r="BF19" s="1603" t="str">
        <x:f t="shared" si="14"/>
        <x:v/>
      </x:c>
      <x:c r="BG19" s="1410" t="str">
        <x:f t="shared" si="14"/>
        <x:v/>
      </x:c>
      <x:c r="BH19" s="322"/>
      <x:c r="BJ19" s="1258" t="str">
        <x:f t="shared" si="57"/>
        <x:v>G22</x:v>
      </x:c>
      <x:c r="BK19" s="1256" t="b">
        <x:f t="shared" si="15"/>
        <x:v>0</x:v>
      </x:c>
      <x:c r="BL19" s="2002" t="b">
        <x:v>0</x:v>
      </x:c>
      <x:c r="BM19" s="1251">
        <x:f t="shared" si="16"/>
        <x:v>54</x:v>
      </x:c>
      <x:c r="BN19" s="1251" t="str">
        <x:f t="shared" si="17"/>
        <x:v>G</x:v>
      </x:c>
      <x:c r="BO19" s="1251">
        <x:f t="shared" si="18"/>
        <x:v>7</x:v>
      </x:c>
      <x:c r="BP19" s="1251">
        <x:f t="shared" si="19"/>
        <x:v>13.4</x:v>
      </x:c>
      <x:c r="BQ19" s="1251">
        <x:f t="shared" si="20"/>
        <x:v>3.9</x:v>
      </x:c>
      <x:c r="BR19" s="1251" t="b">
        <x:f t="shared" si="21"/>
        <x:v>1</x:v>
      </x:c>
      <x:c r="BS19" s="1252">
        <x:f t="shared" si="22"/>
        <x:v>7.75</x:v>
      </x:c>
      <x:c r="BT19" s="1252" t="str">
        <x:f t="shared" si="23"/>
        <x:v>Yes</x:v>
      </x:c>
      <x:c r="BU19" s="1252">
        <x:f t="shared" si="24"/>
        <x:v>7.75</x:v>
      </x:c>
      <x:c r="BV19" s="1252" t="str">
        <x:f t="shared" si="25"/>
        <x:v>Yes</x:v>
      </x:c>
      <x:c r="BW19" s="1253">
        <x:f t="shared" si="26"/>
        <x:v>19</x:v>
      </x:c>
      <x:c r="BX19" s="1254" t="str">
        <x:f t="shared" si="27"/>
        <x:v>G21</x:v>
      </x:c>
      <x:c r="BY19" s="1254" t="b">
        <x:f t="shared" si="28"/>
        <x:v>0</x:v>
      </x:c>
      <x:c r="BZ19" s="1253" t="b">
        <x:f t="shared" si="49"/>
        <x:v>0</x:v>
      </x:c>
      <x:c r="CB19" s="842"/>
      <x:c r="CC19" s="894"/>
      <x:c r="CD19" s="883"/>
      <x:c r="CE19" s="884"/>
      <x:c r="CF19" s="885"/>
      <x:c r="CG19" s="901"/>
      <x:c r="CH19" s="902"/>
      <x:c r="CI19" s="903"/>
      <x:c r="CJ19" s="902"/>
      <x:c r="CK19" s="903"/>
      <x:c r="CL19" s="904"/>
      <x:c r="CM19" s="944"/>
      <x:c r="CN19" s="901"/>
      <x:c r="CO19" s="902"/>
      <x:c r="CP19" s="903"/>
      <x:c r="CQ19" s="902"/>
      <x:c r="CR19" s="903"/>
      <x:c r="CS19" s="904"/>
      <x:c r="CT19" s="944"/>
      <x:c r="CU19" s="906"/>
      <x:c r="CV19" s="886"/>
      <x:c r="CW19" s="887"/>
      <x:c r="CX19" s="915"/>
      <x:c r="CY19" s="916"/>
      <x:c r="CZ19" s="932"/>
      <x:c r="DA19" s="933"/>
      <x:c r="DB19" s="932"/>
      <x:c r="DC19" s="933"/>
      <x:c r="DD19" s="1149"/>
      <x:c r="DE19" s="1150"/>
      <x:c r="DF19" s="173"/>
      <x:c r="DG19" s="173"/>
      <x:c r="DH19" s="842"/>
      <x:c r="DI19" s="843"/>
      <x:c r="DJ19" s="872"/>
      <x:c r="DK19" s="873"/>
      <x:c r="DL19" s="844"/>
      <x:c r="DM19" s="874"/>
      <x:c r="DN19" s="875"/>
      <x:c r="DO19" s="845"/>
      <x:c r="DP19" s="846"/>
      <x:c r="DQ19" s="847"/>
      <x:c r="DR19" s="847"/>
      <x:c r="DS19" s="848"/>
      <x:c r="DT19" s="836"/>
      <x:c r="DU19" s="837"/>
      <x:c r="DV19" s="849"/>
      <x:c r="DW19" s="850"/>
      <x:c r="DX19" s="851"/>
      <x:c r="DY19" s="852"/>
      <x:c r="DZ19" s="849"/>
      <x:c r="EA19" s="850"/>
      <x:c r="EB19" s="851"/>
      <x:c r="EC19" s="852"/>
      <x:c r="ED19" s="849"/>
      <x:c r="EE19" s="850"/>
      <x:c r="EF19" s="851"/>
      <x:c r="EG19" s="852"/>
      <x:c r="EH19" s="849"/>
      <x:c r="EI19" s="850"/>
      <x:c r="EJ19" s="851"/>
      <x:c r="EK19" s="853"/>
      <x:c r="EL19" s="798" t="str">
        <x:f t="shared" si="29"/>
        <x:v/>
      </x:c>
      <x:c r="EM19" s="799" t="str">
        <x:f t="shared" si="30"/>
        <x:v/>
      </x:c>
      <x:c r="EN19" s="800" t="str">
        <x:f t="shared" si="31"/>
        <x:v/>
      </x:c>
      <x:c r="EO19" s="1030" t="str">
        <x:f t="shared" si="32"/>
        <x:v/>
      </x:c>
      <x:c r="EP19" s="726" t="str">
        <x:f t="shared" si="33"/>
        <x:v/>
      </x:c>
      <x:c r="EQ19" s="727" t="str">
        <x:f t="shared" si="34"/>
        <x:v/>
      </x:c>
      <x:c r="ER19" s="961" t="str">
        <x:f t="shared" si="35"/>
        <x:v/>
      </x:c>
      <x:c r="ES19" s="962" t="str">
        <x:f t="shared" si="50"/>
        <x:v/>
      </x:c>
      <x:c r="ET19" s="963" t="str">
        <x:f t="shared" si="36"/>
        <x:v/>
      </x:c>
      <x:c r="EU19" s="964" t="str">
        <x:f t="shared" si="37"/>
        <x:v/>
      </x:c>
      <x:c r="EX19" s="1194" t="str">
        <x:f t="shared" si="51"/>
        <x:v>G21B</x:v>
      </x:c>
      <x:c r="EY19" s="1196" t="b">
        <x:f t="shared" ca="1" si="38"/>
        <x:v>1</x:v>
      </x:c>
      <x:c r="EZ19" s="1196">
        <x:f t="shared" si="52"/>
        <x:v>5</x:v>
      </x:c>
      <x:c r="FA19" s="1217" t="e">
        <x:f t="shared" si="58"/>
        <x:v>#N/A</x:v>
      </x:c>
      <x:c r="FB19" s="1218" t="e">
        <x:f t="shared" si="53"/>
        <x:v>#N/A</x:v>
      </x:c>
      <x:c r="FC19" s="1218">
        <x:f t="shared" si="39"/>
        <x:v>46</x:v>
      </x:c>
      <x:c r="FD19" s="1218">
        <x:f t="shared" si="40"/>
        <x:v>480</x:v>
      </x:c>
      <x:c r="FE19" s="1218">
        <x:f t="shared" si="41"/>
        <x:v>94</x:v>
      </x:c>
      <x:c r="FF19" s="1218">
        <x:f t="shared" si="54"/>
        <x:v>620</x:v>
      </x:c>
      <x:c r="FN19" s="969" t="b">
        <x:v>0</x:v>
      </x:c>
      <x:c r="FO19" s="969" t="b">
        <x:f t="shared" si="42"/>
        <x:v>1</x:v>
      </x:c>
      <x:c r="FP19" s="1815" t="b">
        <x:v>0</x:v>
      </x:c>
      <x:c r="FQ19" s="969" t="b">
        <x:f t="shared" si="55"/>
        <x:v>1</x:v>
      </x:c>
      <x:c r="FW19" s="2"/>
      <x:c r="FX19" s="2"/>
      <x:c r="FZ19" s="2"/>
      <x:c r="GA19" s="1935">
        <x:v>52</x:v>
      </x:c>
      <x:c r="GB19" s="1936">
        <x:v>0</x:v>
      </x:c>
      <x:c r="GC19" s="1937">
        <x:v>-0.25</x:v>
      </x:c>
      <x:c r="GD19" s="1938">
        <x:v>-0.25</x:v>
      </x:c>
      <x:c r="GE19" s="1939">
        <x:f t="shared" si="56"/>
        <x:v>0</x:v>
      </x:c>
      <x:c r="GF19" s="1940" t="str">
        <x:f t="shared" si="43"/>
        <x:v>G22</x:v>
      </x:c>
      <x:c r="GG19" s="1457"/>
      <x:c r="GH19" s="1459"/>
      <x:c r="GI19" s="1457"/>
      <x:c r="GJ19" s="1459"/>
      <x:c r="GK19" s="326">
        <x:f t="shared" si="44"/>
        <x:v>623.5</x:v>
      </x:c>
      <x:c r="GL19" s="326">
        <x:f t="shared" si="45"/>
        <x:v>623.5</x:v>
      </x:c>
      <x:c r="GM19" s="327">
        <x:f>IF(ABS(GK19-GL19)&gt;='Job Info.'!$L$22,ABS(GK19-GL19),0)</x:f>
        <x:v>0</x:v>
      </x:c>
      <x:c r="GZ19" s="171"/>
      <x:c r="HA19" s="1612" t="s">
        <x:v>1285</x:v>
      </x:c>
      <x:c r="HB19" s="1613">
        <x:v>4</x:v>
      </x:c>
      <x:c r="HC19" s="1613" t="s">
        <x:v>1954</x:v>
      </x:c>
      <x:c r="HD19" s="1614">
        <x:v>51</x:v>
      </x:c>
      <x:c r="HE19" s="1615">
        <x:v>11.5</x:v>
      </x:c>
      <x:c r="HF19" s="1613">
        <x:v>11.125</x:v>
      </x:c>
      <x:c r="HG19" s="1613">
        <x:v>0</x:v>
      </x:c>
      <x:c r="HH19" s="1613">
        <x:v>1.75</x:v>
      </x:c>
      <x:c r="HI19" s="1613" t="s">
        <x:v>114</x:v>
      </x:c>
      <x:c r="HJ19" s="1613">
        <x:v>0</x:v>
      </x:c>
      <x:c r="HK19" s="1613">
        <x:v>1.75</x:v>
      </x:c>
      <x:c r="HL19" s="1613" t="s">
        <x:v>114</x:v>
      </x:c>
      <x:c r="HM19" s="1613">
        <x:v>7.5</x:v>
      </x:c>
      <x:c r="HN19" s="1613">
        <x:v>7.5</x:v>
      </x:c>
      <x:c r="HO19" s="1613">
        <x:v>0</x:v>
      </x:c>
      <x:c r="HP19" s="1613">
        <x:v>6.75</x:v>
      </x:c>
      <x:c r="HQ19" s="1613">
        <x:v>0</x:v>
      </x:c>
      <x:c r="HR19" s="1613">
        <x:v>6.75</x:v>
      </x:c>
      <x:c r="HS19" s="1613">
        <x:v>0</x:v>
      </x:c>
      <x:c r="HT19" s="1613">
        <x:v>6.25</x:v>
      </x:c>
      <x:c r="HU19" s="1613">
        <x:v>0</x:v>
      </x:c>
      <x:c r="HV19" s="1613">
        <x:v>6.25</x:v>
      </x:c>
      <x:c r="HW19" s="1613">
        <x:v>5</x:v>
      </x:c>
      <x:c r="HX19" s="1613" t="s">
        <x:v>117</x:v>
      </x:c>
      <x:c r="HY19" s="1617" t="s">
        <x:v>117</x:v>
      </x:c>
      <x:c r="HZ19" s="1617" t="s">
        <x:v>2039</x:v>
      </x:c>
      <x:c r="IA19" s="1617" t="s">
        <x:v>117</x:v>
      </x:c>
      <x:c r="IB19" s="1617"/>
      <x:c r="IC19" s="1617"/>
      <x:c r="ID19" s="1632"/>
      <x:c r="IE19" s="1612" t="s">
        <x:v>1284</x:v>
      </x:c>
      <x:c r="IF19" s="1613" t="s">
        <x:v>35</x:v>
      </x:c>
      <x:c r="IG19" s="1614">
        <x:v>3</x:v>
      </x:c>
      <x:c r="IH19" s="1615">
        <x:v>10</x:v>
      </x:c>
      <x:c r="II19" s="1613">
        <x:v>5</x:v>
      </x:c>
      <x:c r="IJ19" s="1614">
        <x:v>8</x:v>
      </x:c>
      <x:c r="IK19" s="1615">
        <x:v>0</x:v>
      </x:c>
      <x:c r="IL19" s="1613">
        <x:v>7</x:v>
      </x:c>
      <x:c r="IM19" s="1613">
        <x:v>10</x:v>
      </x:c>
      <x:c r="IN19" s="1613" t="s">
        <x:v>117</x:v>
      </x:c>
      <x:c r="IO19" s="1613" t="s">
        <x:v>117</x:v>
      </x:c>
      <x:c r="IP19" s="1613">
        <x:v>5</x:v>
      </x:c>
      <x:c r="IQ19" s="1613">
        <x:v>13</x:v>
      </x:c>
      <x:c r="IR19" s="1613">
        <x:v>4</x:v>
      </x:c>
      <x:c r="IS19" s="1614" t="s">
        <x:v>117</x:v>
      </x:c>
      <x:c r="IT19" s="1615">
        <x:v>1.75</x:v>
      </x:c>
      <x:c r="IU19" s="1613" t="s">
        <x:v>1061</x:v>
      </x:c>
      <x:c r="IV19" s="1613" t="s">
        <x:v>1956</x:v>
      </x:c>
      <x:c r="IW19" s="1614" t="s">
        <x:v>117</x:v>
      </x:c>
      <x:c r="IX19" s="1615" t="s">
        <x:v>35</x:v>
      </x:c>
      <x:c r="IY19" s="1613" t="s">
        <x:v>117</x:v>
      </x:c>
      <x:c r="IZ19" s="1613" t="s">
        <x:v>117</x:v>
      </x:c>
      <x:c r="JA19" s="1614" t="s">
        <x:v>117</x:v>
      </x:c>
      <x:c r="JB19" s="1615" t="s">
        <x:v>117</x:v>
      </x:c>
      <x:c r="JC19" s="1613" t="s">
        <x:v>117</x:v>
      </x:c>
      <x:c r="JD19" s="1613" t="s">
        <x:v>117</x:v>
      </x:c>
      <x:c r="JE19" s="1614" t="s">
        <x:v>117</x:v>
      </x:c>
      <x:c r="JF19" s="1615" t="s">
        <x:v>117</x:v>
      </x:c>
      <x:c r="JG19" s="1613" t="s">
        <x:v>117</x:v>
      </x:c>
      <x:c r="JH19" s="1613" t="s">
        <x:v>117</x:v>
      </x:c>
      <x:c r="JI19" s="1613" t="s">
        <x:v>117</x:v>
      </x:c>
      <x:c r="JJ19" s="1616" t="s">
        <x:v>117</x:v>
      </x:c>
      <x:c r="JK19" s="1613">
        <x:v>1</x:v>
      </x:c>
      <x:c r="JL19" s="1521">
        <x:f t="shared" ca="1" si="59"/>
        <x:v>1</x:v>
      </x:c>
    </x:row>
    <x:row r="20" spans="1:272" ht="12.6" customHeight="1" x14ac:dyDescent="0.25">
      <x:c r="A20" s="1583" t="s">
        <x:v>1286</x:v>
      </x:c>
      <x:c r="B20" s="1584">
        <x:v>3</x:v>
      </x:c>
      <x:c r="C20" s="1585" t="s">
        <x:v>1954</x:v>
      </x:c>
      <x:c r="D20" s="1586">
        <x:v>51</x:v>
      </x:c>
      <x:c r="E20" s="1587">
        <x:v>5.75</x:v>
      </x:c>
      <x:c r="F20" s="1588">
        <x:v>11.125</x:v>
      </x:c>
      <x:c r="G20" s="1589" t="str">
        <x:f t="shared" ref="G20:G45" si="60">IF(DD60=0,"",TRUNC(DD60/12))</x:f>
        <x:v/>
      </x:c>
      <x:c r="H20" s="1590" t="str">
        <x:f t="shared" ref="H20:H45" si="61">IF(DD60=0,"",DD60-(G20*12))</x:f>
        <x:v/>
      </x:c>
      <x:c r="I20" s="1591" t="str">
        <x:f t="shared" ref="I20:I45" si="62">IF(DD60=0,"",CE60)</x:f>
        <x:v/>
      </x:c>
      <x:c r="J20" s="1586">
        <x:v>0</x:v>
      </x:c>
      <x:c r="K20" s="1590">
        <x:v>1.75</x:v>
      </x:c>
      <x:c r="L20" s="1592" t="s">
        <x:v>114</x:v>
      </x:c>
      <x:c r="M20" s="1593">
        <x:v>7.5</x:v>
      </x:c>
      <x:c r="N20" s="1594">
        <x:v>7.5</x:v>
      </x:c>
      <x:c r="O20" s="1589">
        <x:v>0</x:v>
      </x:c>
      <x:c r="P20" s="1590">
        <x:v>1</x:v>
      </x:c>
      <x:c r="Q20" s="1586">
        <x:v>0</x:v>
      </x:c>
      <x:c r="R20" s="1587">
        <x:v>6.75</x:v>
      </x:c>
      <x:c r="S20" s="1595">
        <x:v>0</x:v>
      </x:c>
      <x:c r="T20" s="1590">
        <x:v>2</x:v>
      </x:c>
      <x:c r="U20" s="1586">
        <x:v>0</x:v>
      </x:c>
      <x:c r="V20" s="1590">
        <x:v>6.25</x:v>
      </x:c>
      <x:c r="W20" s="1594">
        <x:v>5</x:v>
      </x:c>
      <x:c r="X20" s="1596" t="str">
        <x:f t="shared" si="0"/>
        <x:v/>
      </x:c>
      <x:c r="Y20" s="1597" t="str">
        <x:f t="shared" si="1"/>
        <x:v/>
      </x:c>
      <x:c r="Z20" s="2210" t="s">
        <x:v>2307</x:v>
      </x:c>
      <x:c r="AA20" s="1605" t="str">
        <x:f t="shared" si="2"/>
        <x:v/>
      </x:c>
      <x:c r="AB20" s="1264" t="s">
        <x:v>1285</x:v>
      </x:c>
      <x:c r="AC20" s="1260" t="s">
        <x:v>35</x:v>
      </x:c>
      <x:c r="AD20" s="1261">
        <x:v>3</x:v>
      </x:c>
      <x:c r="AE20" s="1262">
        <x:v>10</x:v>
      </x:c>
      <x:c r="AF20" s="1260">
        <x:v>5</x:v>
      </x:c>
      <x:c r="AG20" s="1261">
        <x:v>8</x:v>
      </x:c>
      <x:c r="AH20" s="1262">
        <x:v>0</x:v>
      </x:c>
      <x:c r="AI20" s="1261">
        <x:v>7</x:v>
      </x:c>
      <x:c r="AJ20" s="1262">
        <x:v>10</x:v>
      </x:c>
      <x:c r="AK20" s="1599" t="str">
        <x:f t="shared" si="3"/>
        <x:v/>
      </x:c>
      <x:c r="AL20" s="1600" t="str">
        <x:f t="shared" si="3"/>
        <x:v/>
      </x:c>
      <x:c r="AM20" s="1601">
        <x:v>5</x:v>
      </x:c>
      <x:c r="AN20" s="1260">
        <x:v>13</x:v>
      </x:c>
      <x:c r="AO20" s="1329">
        <x:v>4</x:v>
      </x:c>
      <x:c r="AP20" s="1327" t="str">
        <x:f t="shared" si="4"/>
        <x:v/>
      </x:c>
      <x:c r="AQ20" s="1602">
        <x:v>1.75</x:v>
      </x:c>
      <x:c r="AR20" s="1263" t="s">
        <x:v>1061</x:v>
      </x:c>
      <x:c r="AS20" s="1262" t="s">
        <x:v>1956</x:v>
      </x:c>
      <x:c r="AT20" s="1603" t="str">
        <x:f t="shared" si="5"/>
        <x:v/>
      </x:c>
      <x:c r="AU20" s="1410" t="s">
        <x:v>35</x:v>
      </x:c>
      <x:c r="AV20" s="2121">
        <x:v>51</x:v>
      </x:c>
      <x:c r="AW20" s="2122">
        <x:v>0</x:v>
      </x:c>
      <x:c r="AX20" s="1603" t="str">
        <x:f t="shared" si="8"/>
        <x:v/>
      </x:c>
      <x:c r="AY20" s="2123" t="s">
        <x:v>35</x:v>
      </x:c>
      <x:c r="AZ20" s="1328" t="str">
        <x:f t="shared" si="9"/>
        <x:v/>
      </x:c>
      <x:c r="BA20" s="1262" t="str">
        <x:f t="shared" si="10"/>
        <x:v/>
      </x:c>
      <x:c r="BB20" s="1603" t="str">
        <x:f t="shared" si="11"/>
        <x:v/>
      </x:c>
      <x:c r="BC20" s="1410" t="str">
        <x:f t="shared" si="11"/>
        <x:v/>
      </x:c>
      <x:c r="BD20" s="1328" t="str">
        <x:f t="shared" si="12"/>
        <x:v/>
      </x:c>
      <x:c r="BE20" s="1262" t="str">
        <x:f t="shared" si="13"/>
        <x:v/>
      </x:c>
      <x:c r="BF20" s="1603" t="str">
        <x:f t="shared" si="14"/>
        <x:v/>
      </x:c>
      <x:c r="BG20" s="1410" t="str">
        <x:f t="shared" si="14"/>
        <x:v/>
      </x:c>
      <x:c r="BH20" s="322"/>
      <x:c r="BJ20" s="1258" t="str">
        <x:f t="shared" si="57"/>
        <x:v>G23</x:v>
      </x:c>
      <x:c r="BK20" s="1256" t="b">
        <x:f t="shared" si="15"/>
        <x:v>0</x:v>
      </x:c>
      <x:c r="BL20" s="2002" t="b">
        <x:v>0</x:v>
      </x:c>
      <x:c r="BM20" s="1251">
        <x:f t="shared" si="16"/>
        <x:v>54</x:v>
      </x:c>
      <x:c r="BN20" s="1251" t="str">
        <x:f t="shared" si="17"/>
        <x:v>G</x:v>
      </x:c>
      <x:c r="BO20" s="1251">
        <x:f t="shared" si="18"/>
        <x:v>7</x:v>
      </x:c>
      <x:c r="BP20" s="1251">
        <x:f t="shared" si="19"/>
        <x:v>13.4</x:v>
      </x:c>
      <x:c r="BQ20" s="1251">
        <x:f t="shared" si="20"/>
        <x:v>3.9</x:v>
      </x:c>
      <x:c r="BR20" s="1251" t="b">
        <x:f t="shared" si="21"/>
        <x:v>1</x:v>
      </x:c>
      <x:c r="BS20" s="1252">
        <x:f t="shared" si="22"/>
        <x:v>6</x:v>
      </x:c>
      <x:c r="BT20" s="1252" t="str">
        <x:f t="shared" si="23"/>
        <x:v>Yes</x:v>
      </x:c>
      <x:c r="BU20" s="1252">
        <x:f t="shared" si="24"/>
        <x:v>7.75</x:v>
      </x:c>
      <x:c r="BV20" s="1252" t="str">
        <x:f t="shared" si="25"/>
        <x:v>Yes</x:v>
      </x:c>
      <x:c r="BW20" s="1253">
        <x:f t="shared" si="26"/>
        <x:v>19</x:v>
      </x:c>
      <x:c r="BX20" s="1254" t="str">
        <x:f t="shared" si="27"/>
        <x:v>G22</x:v>
      </x:c>
      <x:c r="BY20" s="1254" t="b">
        <x:f t="shared" si="28"/>
        <x:v>0</x:v>
      </x:c>
      <x:c r="BZ20" s="1253" t="b">
        <x:f t="shared" si="49"/>
        <x:v>0</x:v>
      </x:c>
      <x:c r="CB20" s="842"/>
      <x:c r="CC20" s="894"/>
      <x:c r="CD20" s="883"/>
      <x:c r="CE20" s="884"/>
      <x:c r="CF20" s="885"/>
      <x:c r="CG20" s="901"/>
      <x:c r="CH20" s="902"/>
      <x:c r="CI20" s="903"/>
      <x:c r="CJ20" s="902"/>
      <x:c r="CK20" s="903"/>
      <x:c r="CL20" s="904"/>
      <x:c r="CM20" s="944"/>
      <x:c r="CN20" s="901"/>
      <x:c r="CO20" s="902"/>
      <x:c r="CP20" s="903"/>
      <x:c r="CQ20" s="902"/>
      <x:c r="CR20" s="903"/>
      <x:c r="CS20" s="904"/>
      <x:c r="CT20" s="944"/>
      <x:c r="CU20" s="906"/>
      <x:c r="CV20" s="886"/>
      <x:c r="CW20" s="887"/>
      <x:c r="CX20" s="915"/>
      <x:c r="CY20" s="916"/>
      <x:c r="CZ20" s="932"/>
      <x:c r="DA20" s="933"/>
      <x:c r="DB20" s="932"/>
      <x:c r="DC20" s="933"/>
      <x:c r="DD20" s="1149"/>
      <x:c r="DE20" s="1150"/>
      <x:c r="DF20" s="173"/>
      <x:c r="DG20" s="173"/>
      <x:c r="DH20" s="842"/>
      <x:c r="DI20" s="843"/>
      <x:c r="DJ20" s="872"/>
      <x:c r="DK20" s="873"/>
      <x:c r="DL20" s="844"/>
      <x:c r="DM20" s="874"/>
      <x:c r="DN20" s="875"/>
      <x:c r="DO20" s="845"/>
      <x:c r="DP20" s="846"/>
      <x:c r="DQ20" s="847"/>
      <x:c r="DR20" s="847"/>
      <x:c r="DS20" s="848"/>
      <x:c r="DT20" s="836"/>
      <x:c r="DU20" s="837"/>
      <x:c r="DV20" s="849"/>
      <x:c r="DW20" s="850"/>
      <x:c r="DX20" s="851"/>
      <x:c r="DY20" s="852"/>
      <x:c r="DZ20" s="849"/>
      <x:c r="EA20" s="850"/>
      <x:c r="EB20" s="851"/>
      <x:c r="EC20" s="852"/>
      <x:c r="ED20" s="849"/>
      <x:c r="EE20" s="850"/>
      <x:c r="EF20" s="851"/>
      <x:c r="EG20" s="852"/>
      <x:c r="EH20" s="849"/>
      <x:c r="EI20" s="850"/>
      <x:c r="EJ20" s="851"/>
      <x:c r="EK20" s="853"/>
      <x:c r="EL20" s="798" t="str">
        <x:f t="shared" si="29"/>
        <x:v/>
      </x:c>
      <x:c r="EM20" s="799" t="str">
        <x:f t="shared" si="30"/>
        <x:v/>
      </x:c>
      <x:c r="EN20" s="800" t="str">
        <x:f t="shared" si="31"/>
        <x:v/>
      </x:c>
      <x:c r="EO20" s="1030" t="str">
        <x:f t="shared" si="32"/>
        <x:v/>
      </x:c>
      <x:c r="EP20" s="726" t="str">
        <x:f t="shared" si="33"/>
        <x:v/>
      </x:c>
      <x:c r="EQ20" s="727" t="str">
        <x:f t="shared" si="34"/>
        <x:v/>
      </x:c>
      <x:c r="ER20" s="961" t="str">
        <x:f t="shared" si="35"/>
        <x:v/>
      </x:c>
      <x:c r="ES20" s="962" t="str">
        <x:f t="shared" si="50"/>
        <x:v/>
      </x:c>
      <x:c r="ET20" s="963" t="str">
        <x:f t="shared" si="36"/>
        <x:v/>
      </x:c>
      <x:c r="EU20" s="964" t="str">
        <x:f t="shared" si="37"/>
        <x:v/>
      </x:c>
      <x:c r="EX20" s="1194" t="str">
        <x:f t="shared" si="51"/>
        <x:v>G22B</x:v>
      </x:c>
      <x:c r="EY20" s="1196" t="b">
        <x:f t="shared" ca="1" si="38"/>
        <x:v>1</x:v>
      </x:c>
      <x:c r="EZ20" s="1196">
        <x:f t="shared" si="52"/>
        <x:v>5</x:v>
      </x:c>
      <x:c r="FA20" s="1217" t="e">
        <x:f t="shared" si="58"/>
        <x:v>#N/A</x:v>
      </x:c>
      <x:c r="FB20" s="1218" t="e">
        <x:f t="shared" si="53"/>
        <x:v>#N/A</x:v>
      </x:c>
      <x:c r="FC20" s="1218">
        <x:f t="shared" si="39"/>
        <x:v>46</x:v>
      </x:c>
      <x:c r="FD20" s="1218">
        <x:f t="shared" si="40"/>
        <x:v>480</x:v>
      </x:c>
      <x:c r="FE20" s="1218">
        <x:f t="shared" si="41"/>
        <x:v>94</x:v>
      </x:c>
      <x:c r="FF20" s="1218">
        <x:f t="shared" si="54"/>
        <x:v>620</x:v>
      </x:c>
      <x:c r="FN20" s="969" t="b">
        <x:v>0</x:v>
      </x:c>
      <x:c r="FO20" s="969" t="b">
        <x:f t="shared" si="42"/>
        <x:v>1</x:v>
      </x:c>
      <x:c r="FP20" s="1815" t="b">
        <x:v>0</x:v>
      </x:c>
      <x:c r="FQ20" s="969" t="b">
        <x:f t="shared" si="55"/>
        <x:v>1</x:v>
      </x:c>
      <x:c r="FW20" s="2"/>
      <x:c r="FX20" s="2"/>
      <x:c r="FZ20" s="2"/>
      <x:c r="GA20" s="1935">
        <x:v>52</x:v>
      </x:c>
      <x:c r="GB20" s="1936">
        <x:v>0</x:v>
      </x:c>
      <x:c r="GC20" s="1937">
        <x:v>-6</x:v>
      </x:c>
      <x:c r="GD20" s="1938">
        <x:v>-0.25</x:v>
      </x:c>
      <x:c r="GE20" s="1939">
        <x:f t="shared" si="56"/>
        <x:v>0</x:v>
      </x:c>
      <x:c r="GF20" s="1940" t="str">
        <x:f t="shared" si="43"/>
        <x:v>G23</x:v>
      </x:c>
      <x:c r="GG20" s="1457"/>
      <x:c r="GH20" s="1459"/>
      <x:c r="GI20" s="1457"/>
      <x:c r="GJ20" s="1459"/>
      <x:c r="GK20" s="326">
        <x:f t="shared" si="44"/>
        <x:v>617.75</x:v>
      </x:c>
      <x:c r="GL20" s="326">
        <x:f t="shared" si="45"/>
        <x:v>617.75</x:v>
      </x:c>
      <x:c r="GM20" s="327">
        <x:f>IF(ABS(GK20-GL20)&gt;='Job Info.'!$L$22,ABS(GK20-GL20),0)</x:f>
        <x:v>0</x:v>
      </x:c>
      <x:c r="GZ20" s="171"/>
      <x:c r="HA20" s="1612" t="s">
        <x:v>1286</x:v>
      </x:c>
      <x:c r="HB20" s="1613">
        <x:v>3</x:v>
      </x:c>
      <x:c r="HC20" s="1613" t="s">
        <x:v>1954</x:v>
      </x:c>
      <x:c r="HD20" s="1614">
        <x:v>51</x:v>
      </x:c>
      <x:c r="HE20" s="1615">
        <x:v>5.75</x:v>
      </x:c>
      <x:c r="HF20" s="1613">
        <x:v>11.125</x:v>
      </x:c>
      <x:c r="HG20" s="1613" t="s">
        <x:v>117</x:v>
      </x:c>
      <x:c r="HH20" s="1613" t="s">
        <x:v>117</x:v>
      </x:c>
      <x:c r="HI20" s="1613" t="s">
        <x:v>117</x:v>
      </x:c>
      <x:c r="HJ20" s="1613">
        <x:v>0</x:v>
      </x:c>
      <x:c r="HK20" s="1613">
        <x:v>1.75</x:v>
      </x:c>
      <x:c r="HL20" s="1613" t="s">
        <x:v>114</x:v>
      </x:c>
      <x:c r="HM20" s="1613">
        <x:v>7.5</x:v>
      </x:c>
      <x:c r="HN20" s="1613">
        <x:v>7.5</x:v>
      </x:c>
      <x:c r="HO20" s="1613">
        <x:v>0</x:v>
      </x:c>
      <x:c r="HP20" s="1613">
        <x:v>1</x:v>
      </x:c>
      <x:c r="HQ20" s="1613">
        <x:v>0</x:v>
      </x:c>
      <x:c r="HR20" s="1613">
        <x:v>6.75</x:v>
      </x:c>
      <x:c r="HS20" s="1613">
        <x:v>0</x:v>
      </x:c>
      <x:c r="HT20" s="1613">
        <x:v>2</x:v>
      </x:c>
      <x:c r="HU20" s="1613">
        <x:v>0</x:v>
      </x:c>
      <x:c r="HV20" s="1613">
        <x:v>6.25</x:v>
      </x:c>
      <x:c r="HW20" s="1613">
        <x:v>5</x:v>
      </x:c>
      <x:c r="HX20" s="1613" t="s">
        <x:v>117</x:v>
      </x:c>
      <x:c r="HY20" s="1617" t="s">
        <x:v>117</x:v>
      </x:c>
      <x:c r="HZ20" s="1617" t="s">
        <x:v>2040</x:v>
      </x:c>
      <x:c r="IA20" s="1617" t="s">
        <x:v>117</x:v>
      </x:c>
      <x:c r="IB20" s="1617"/>
      <x:c r="IC20" s="1617"/>
      <x:c r="ID20" s="1632"/>
      <x:c r="IE20" s="1612" t="s">
        <x:v>1285</x:v>
      </x:c>
      <x:c r="IF20" s="1613" t="s">
        <x:v>35</x:v>
      </x:c>
      <x:c r="IG20" s="1614">
        <x:v>3</x:v>
      </x:c>
      <x:c r="IH20" s="1615">
        <x:v>10</x:v>
      </x:c>
      <x:c r="II20" s="1613">
        <x:v>5</x:v>
      </x:c>
      <x:c r="IJ20" s="1614">
        <x:v>8</x:v>
      </x:c>
      <x:c r="IK20" s="1615">
        <x:v>0</x:v>
      </x:c>
      <x:c r="IL20" s="1613">
        <x:v>7</x:v>
      </x:c>
      <x:c r="IM20" s="1613">
        <x:v>10</x:v>
      </x:c>
      <x:c r="IN20" s="1613" t="s">
        <x:v>117</x:v>
      </x:c>
      <x:c r="IO20" s="1613" t="s">
        <x:v>117</x:v>
      </x:c>
      <x:c r="IP20" s="1613">
        <x:v>5</x:v>
      </x:c>
      <x:c r="IQ20" s="1613">
        <x:v>13</x:v>
      </x:c>
      <x:c r="IR20" s="1613">
        <x:v>4</x:v>
      </x:c>
      <x:c r="IS20" s="1614" t="s">
        <x:v>117</x:v>
      </x:c>
      <x:c r="IT20" s="1615">
        <x:v>1.75</x:v>
      </x:c>
      <x:c r="IU20" s="1613" t="s">
        <x:v>1061</x:v>
      </x:c>
      <x:c r="IV20" s="1613" t="s">
        <x:v>1956</x:v>
      </x:c>
      <x:c r="IW20" s="1614" t="s">
        <x:v>117</x:v>
      </x:c>
      <x:c r="IX20" s="1615" t="s">
        <x:v>35</x:v>
      </x:c>
      <x:c r="IY20" s="1613" t="s">
        <x:v>117</x:v>
      </x:c>
      <x:c r="IZ20" s="1613" t="s">
        <x:v>117</x:v>
      </x:c>
      <x:c r="JA20" s="1614" t="s">
        <x:v>117</x:v>
      </x:c>
      <x:c r="JB20" s="1615" t="s">
        <x:v>117</x:v>
      </x:c>
      <x:c r="JC20" s="1613" t="s">
        <x:v>117</x:v>
      </x:c>
      <x:c r="JD20" s="1613" t="s">
        <x:v>117</x:v>
      </x:c>
      <x:c r="JE20" s="1614" t="s">
        <x:v>117</x:v>
      </x:c>
      <x:c r="JF20" s="1615" t="s">
        <x:v>117</x:v>
      </x:c>
      <x:c r="JG20" s="1613" t="s">
        <x:v>117</x:v>
      </x:c>
      <x:c r="JH20" s="1613" t="s">
        <x:v>117</x:v>
      </x:c>
      <x:c r="JI20" s="1613" t="s">
        <x:v>117</x:v>
      </x:c>
      <x:c r="JJ20" s="1616" t="s">
        <x:v>117</x:v>
      </x:c>
      <x:c r="JK20" s="1613">
        <x:v>1</x:v>
      </x:c>
      <x:c r="JL20" s="1521">
        <x:f t="shared" ca="1" si="59"/>
        <x:v>1</x:v>
      </x:c>
    </x:row>
    <x:row r="21" spans="1:272" ht="12.6" customHeight="1" x14ac:dyDescent="0.25">
      <x:c r="A21" s="1583" t="s">
        <x:v>1287</x:v>
      </x:c>
      <x:c r="B21" s="1584">
        <x:v>3</x:v>
      </x:c>
      <x:c r="C21" s="1585" t="s">
        <x:v>1954</x:v>
      </x:c>
      <x:c r="D21" s="1586">
        <x:v>51</x:v>
      </x:c>
      <x:c r="E21" s="1587">
        <x:v>11.5</x:v>
      </x:c>
      <x:c r="F21" s="1588">
        <x:v>11.125</x:v>
      </x:c>
      <x:c r="G21" s="1589">
        <x:v>0</x:v>
      </x:c>
      <x:c r="H21" s="1590">
        <x:v>1.75</x:v>
      </x:c>
      <x:c r="I21" s="1591" t="s">
        <x:v>114</x:v>
      </x:c>
      <x:c r="J21" s="1586">
        <x:v>0</x:v>
      </x:c>
      <x:c r="K21" s="1590">
        <x:v>1.75</x:v>
      </x:c>
      <x:c r="L21" s="1592" t="s">
        <x:v>114</x:v>
      </x:c>
      <x:c r="M21" s="1593">
        <x:v>7.5</x:v>
      </x:c>
      <x:c r="N21" s="1594">
        <x:v>7.5</x:v>
      </x:c>
      <x:c r="O21" s="1589">
        <x:v>0</x:v>
      </x:c>
      <x:c r="P21" s="1590">
        <x:v>6.75</x:v>
      </x:c>
      <x:c r="Q21" s="1586">
        <x:v>0</x:v>
      </x:c>
      <x:c r="R21" s="1587">
        <x:v>6.75</x:v>
      </x:c>
      <x:c r="S21" s="1595">
        <x:v>0</x:v>
      </x:c>
      <x:c r="T21" s="1590">
        <x:v>6.25</x:v>
      </x:c>
      <x:c r="U21" s="1586">
        <x:v>0</x:v>
      </x:c>
      <x:c r="V21" s="1590">
        <x:v>6.25</x:v>
      </x:c>
      <x:c r="W21" s="1594">
        <x:v>5</x:v>
      </x:c>
      <x:c r="X21" s="1596" t="str">
        <x:f t="shared" si="0"/>
        <x:v/>
      </x:c>
      <x:c r="Y21" s="1597" t="str">
        <x:f t="shared" si="1"/>
        <x:v/>
      </x:c>
      <x:c r="Z21" s="2210" t="s">
        <x:v>2304</x:v>
      </x:c>
      <x:c r="AA21" s="1605" t="str">
        <x:f t="shared" si="2"/>
        <x:v/>
      </x:c>
      <x:c r="AB21" s="1264" t="s">
        <x:v>1286</x:v>
      </x:c>
      <x:c r="AC21" s="1260" t="s">
        <x:v>35</x:v>
      </x:c>
      <x:c r="AD21" s="1261">
        <x:v>7</x:v>
      </x:c>
      <x:c r="AE21" s="1262">
        <x:v>6</x:v>
      </x:c>
      <x:c r="AF21" s="1260">
        <x:v>5</x:v>
      </x:c>
      <x:c r="AG21" s="1261">
        <x:v>8</x:v>
      </x:c>
      <x:c r="AH21" s="1262">
        <x:v>0</x:v>
      </x:c>
      <x:c r="AI21" s="1261">
        <x:v>3</x:v>
      </x:c>
      <x:c r="AJ21" s="1262">
        <x:v>10</x:v>
      </x:c>
      <x:c r="AK21" s="1599" t="str">
        <x:f t="shared" si="3"/>
        <x:v/>
      </x:c>
      <x:c r="AL21" s="1600" t="str">
        <x:f t="shared" si="3"/>
        <x:v/>
      </x:c>
      <x:c r="AM21" s="1601">
        <x:v>5</x:v>
      </x:c>
      <x:c r="AN21" s="1260">
        <x:v>13</x:v>
      </x:c>
      <x:c r="AO21" s="1329">
        <x:v>4</x:v>
      </x:c>
      <x:c r="AP21" s="1327" t="str">
        <x:f t="shared" si="4"/>
        <x:v/>
      </x:c>
      <x:c r="AQ21" s="1602">
        <x:v>1.75</x:v>
      </x:c>
      <x:c r="AR21" s="2157">
        <x:v>50</x:v>
      </x:c>
      <x:c r="AS21" s="2122">
        <x:v>5</x:v>
      </x:c>
      <x:c r="AT21" s="1603" t="str">
        <x:f t="shared" si="5"/>
        <x:v/>
      </x:c>
      <x:c r="AU21" s="2123" t="s">
        <x:v>35</x:v>
      </x:c>
      <x:c r="AV21" s="1328" t="str">
        <x:f t="shared" si="6"/>
        <x:v/>
      </x:c>
      <x:c r="AW21" s="1262" t="str">
        <x:f t="shared" si="7"/>
        <x:v/>
      </x:c>
      <x:c r="AX21" s="1603" t="str">
        <x:f t="shared" si="8"/>
        <x:v/>
      </x:c>
      <x:c r="AY21" s="1410" t="str">
        <x:f t="shared" si="8"/>
        <x:v/>
      </x:c>
      <x:c r="AZ21" s="1328" t="str">
        <x:f t="shared" si="9"/>
        <x:v/>
      </x:c>
      <x:c r="BA21" s="1262" t="str">
        <x:f t="shared" si="10"/>
        <x:v/>
      </x:c>
      <x:c r="BB21" s="1603" t="str">
        <x:f t="shared" si="11"/>
        <x:v/>
      </x:c>
      <x:c r="BC21" s="1410" t="str">
        <x:f t="shared" si="11"/>
        <x:v/>
      </x:c>
      <x:c r="BD21" s="1328" t="str">
        <x:f t="shared" si="12"/>
        <x:v/>
      </x:c>
      <x:c r="BE21" s="1262" t="str">
        <x:f t="shared" si="13"/>
        <x:v/>
      </x:c>
      <x:c r="BF21" s="1603" t="str">
        <x:f t="shared" si="14"/>
        <x:v/>
      </x:c>
      <x:c r="BG21" s="1410" t="str">
        <x:f t="shared" si="14"/>
        <x:v/>
      </x:c>
      <x:c r="BH21" s="322"/>
      <x:c r="BJ21" s="1258" t="str">
        <x:f t="shared" si="57"/>
        <x:v>G24</x:v>
      </x:c>
      <x:c r="BK21" s="1256" t="b">
        <x:f t="shared" si="15"/>
        <x:v>0</x:v>
      </x:c>
      <x:c r="BL21" s="2002" t="b">
        <x:v>0</x:v>
      </x:c>
      <x:c r="BM21" s="1251">
        <x:f t="shared" si="16"/>
        <x:v>54</x:v>
      </x:c>
      <x:c r="BN21" s="1251" t="str">
        <x:f t="shared" si="17"/>
        <x:v>G</x:v>
      </x:c>
      <x:c r="BO21" s="1251">
        <x:f t="shared" si="18"/>
        <x:v>7</x:v>
      </x:c>
      <x:c r="BP21" s="1251">
        <x:f t="shared" si="19"/>
        <x:v>13.4</x:v>
      </x:c>
      <x:c r="BQ21" s="1251">
        <x:f t="shared" si="20"/>
        <x:v>3.9</x:v>
      </x:c>
      <x:c r="BR21" s="1251" t="b">
        <x:f t="shared" si="21"/>
        <x:v>1</x:v>
      </x:c>
      <x:c r="BS21" s="1252">
        <x:f t="shared" si="22"/>
        <x:v>7.75</x:v>
      </x:c>
      <x:c r="BT21" s="1252" t="str">
        <x:f t="shared" si="23"/>
        <x:v>Yes</x:v>
      </x:c>
      <x:c r="BU21" s="1252">
        <x:f t="shared" si="24"/>
        <x:v>7.75</x:v>
      </x:c>
      <x:c r="BV21" s="1252" t="str">
        <x:f t="shared" si="25"/>
        <x:v>Yes</x:v>
      </x:c>
      <x:c r="BW21" s="1253">
        <x:f t="shared" si="26"/>
        <x:v>16</x:v>
      </x:c>
      <x:c r="BX21" s="1254" t="str">
        <x:f t="shared" si="27"/>
        <x:v>G23</x:v>
      </x:c>
      <x:c r="BY21" s="1254" t="b">
        <x:f t="shared" si="28"/>
        <x:v>0</x:v>
      </x:c>
      <x:c r="BZ21" s="1253" t="b">
        <x:f t="shared" si="49"/>
        <x:v>0</x:v>
      </x:c>
      <x:c r="CB21" s="842"/>
      <x:c r="CC21" s="894"/>
      <x:c r="CD21" s="883"/>
      <x:c r="CE21" s="884"/>
      <x:c r="CF21" s="885"/>
      <x:c r="CG21" s="901"/>
      <x:c r="CH21" s="902"/>
      <x:c r="CI21" s="903"/>
      <x:c r="CJ21" s="902"/>
      <x:c r="CK21" s="903"/>
      <x:c r="CL21" s="904"/>
      <x:c r="CM21" s="944"/>
      <x:c r="CN21" s="901"/>
      <x:c r="CO21" s="902"/>
      <x:c r="CP21" s="903"/>
      <x:c r="CQ21" s="902"/>
      <x:c r="CR21" s="903"/>
      <x:c r="CS21" s="904"/>
      <x:c r="CT21" s="944"/>
      <x:c r="CU21" s="906"/>
      <x:c r="CV21" s="886"/>
      <x:c r="CW21" s="887"/>
      <x:c r="CX21" s="915"/>
      <x:c r="CY21" s="916"/>
      <x:c r="CZ21" s="932"/>
      <x:c r="DA21" s="933"/>
      <x:c r="DB21" s="932"/>
      <x:c r="DC21" s="933"/>
      <x:c r="DD21" s="1149"/>
      <x:c r="DE21" s="1150"/>
      <x:c r="DF21" s="173"/>
      <x:c r="DG21" s="173"/>
      <x:c r="DH21" s="842"/>
      <x:c r="DI21" s="843"/>
      <x:c r="DJ21" s="872"/>
      <x:c r="DK21" s="873"/>
      <x:c r="DL21" s="844"/>
      <x:c r="DM21" s="874"/>
      <x:c r="DN21" s="875"/>
      <x:c r="DO21" s="845"/>
      <x:c r="DP21" s="846"/>
      <x:c r="DQ21" s="847"/>
      <x:c r="DR21" s="847"/>
      <x:c r="DS21" s="848"/>
      <x:c r="DT21" s="836"/>
      <x:c r="DU21" s="837"/>
      <x:c r="DV21" s="849"/>
      <x:c r="DW21" s="850"/>
      <x:c r="DX21" s="851"/>
      <x:c r="DY21" s="852"/>
      <x:c r="DZ21" s="849"/>
      <x:c r="EA21" s="850"/>
      <x:c r="EB21" s="851"/>
      <x:c r="EC21" s="852"/>
      <x:c r="ED21" s="849"/>
      <x:c r="EE21" s="850"/>
      <x:c r="EF21" s="851"/>
      <x:c r="EG21" s="852"/>
      <x:c r="EH21" s="849"/>
      <x:c r="EI21" s="850"/>
      <x:c r="EJ21" s="851"/>
      <x:c r="EK21" s="853"/>
      <x:c r="EL21" s="798" t="str">
        <x:f t="shared" si="29"/>
        <x:v/>
      </x:c>
      <x:c r="EM21" s="799" t="str">
        <x:f t="shared" si="30"/>
        <x:v/>
      </x:c>
      <x:c r="EN21" s="800" t="str">
        <x:f t="shared" si="31"/>
        <x:v/>
      </x:c>
      <x:c r="EO21" s="1030" t="str">
        <x:f t="shared" si="32"/>
        <x:v/>
      </x:c>
      <x:c r="EP21" s="726" t="str">
        <x:f t="shared" si="33"/>
        <x:v/>
      </x:c>
      <x:c r="EQ21" s="727" t="str">
        <x:f t="shared" si="34"/>
        <x:v/>
      </x:c>
      <x:c r="ER21" s="961" t="str">
        <x:f t="shared" si="35"/>
        <x:v/>
      </x:c>
      <x:c r="ES21" s="962" t="str">
        <x:f t="shared" si="50"/>
        <x:v/>
      </x:c>
      <x:c r="ET21" s="963" t="str">
        <x:f t="shared" si="36"/>
        <x:v/>
      </x:c>
      <x:c r="EU21" s="964" t="str">
        <x:f t="shared" si="37"/>
        <x:v/>
      </x:c>
      <x:c r="EX21" s="1194" t="str">
        <x:f t="shared" si="51"/>
        <x:v>G23B</x:v>
      </x:c>
      <x:c r="EY21" s="1196" t="b">
        <x:f t="shared" ca="1" si="38"/>
        <x:v>1</x:v>
      </x:c>
      <x:c r="EZ21" s="1196">
        <x:f t="shared" si="52"/>
        <x:v>5</x:v>
      </x:c>
      <x:c r="FA21" s="1217" t="e">
        <x:f t="shared" si="58"/>
        <x:v>#N/A</x:v>
      </x:c>
      <x:c r="FB21" s="1218" t="e">
        <x:f t="shared" si="53"/>
        <x:v>#N/A</x:v>
      </x:c>
      <x:c r="FC21" s="1218">
        <x:f t="shared" si="39"/>
        <x:v>90</x:v>
      </x:c>
      <x:c r="FD21" s="1218">
        <x:f t="shared" si="40"/>
        <x:v>480</x:v>
      </x:c>
      <x:c r="FE21" s="1218">
        <x:f t="shared" si="41"/>
        <x:v>46</x:v>
      </x:c>
      <x:c r="FF21" s="1218">
        <x:f t="shared" si="54"/>
        <x:v>616</x:v>
      </x:c>
      <x:c r="FN21" s="969" t="b">
        <x:v>0</x:v>
      </x:c>
      <x:c r="FO21" s="969" t="b">
        <x:f t="shared" si="42"/>
        <x:v>1</x:v>
      </x:c>
      <x:c r="FP21" s="969" t="b">
        <x:v>0</x:v>
      </x:c>
      <x:c r="FQ21" s="969" t="b">
        <x:f t="shared" si="55"/>
        <x:v>1</x:v>
      </x:c>
      <x:c r="FW21" s="26"/>
      <x:c r="FX21" s="26"/>
      <x:c r="FZ21" s="26"/>
      <x:c r="GA21" s="1935">
        <x:v>52</x:v>
      </x:c>
      <x:c r="GB21" s="1936">
        <x:v>0</x:v>
      </x:c>
      <x:c r="GC21" s="1937">
        <x:v>-0.25</x:v>
      </x:c>
      <x:c r="GD21" s="1938">
        <x:v>-0.25</x:v>
      </x:c>
      <x:c r="GE21" s="1939">
        <x:f t="shared" si="56"/>
        <x:v>0</x:v>
      </x:c>
      <x:c r="GF21" s="1940" t="str">
        <x:f t="shared" si="43"/>
        <x:v>G24</x:v>
      </x:c>
      <x:c r="GG21" s="1457"/>
      <x:c r="GH21" s="1459"/>
      <x:c r="GI21" s="1457"/>
      <x:c r="GJ21" s="1459"/>
      <x:c r="GK21" s="326">
        <x:f t="shared" si="44"/>
        <x:v>623.5</x:v>
      </x:c>
      <x:c r="GL21" s="326">
        <x:f t="shared" si="45"/>
        <x:v>623.5</x:v>
      </x:c>
      <x:c r="GM21" s="327">
        <x:f>IF(ABS(GK21-GL21)&gt;='Job Info.'!$L$22,ABS(GK21-GL21),0)</x:f>
        <x:v>0</x:v>
      </x:c>
      <x:c r="HA21" s="1612" t="s">
        <x:v>1287</x:v>
      </x:c>
      <x:c r="HB21" s="1613">
        <x:v>3</x:v>
      </x:c>
      <x:c r="HC21" s="1613" t="s">
        <x:v>1954</x:v>
      </x:c>
      <x:c r="HD21" s="1614">
        <x:v>51</x:v>
      </x:c>
      <x:c r="HE21" s="1615">
        <x:v>11.5</x:v>
      </x:c>
      <x:c r="HF21" s="1613">
        <x:v>11.125</x:v>
      </x:c>
      <x:c r="HG21" s="1613">
        <x:v>0</x:v>
      </x:c>
      <x:c r="HH21" s="1613">
        <x:v>1.75</x:v>
      </x:c>
      <x:c r="HI21" s="1613" t="s">
        <x:v>114</x:v>
      </x:c>
      <x:c r="HJ21" s="1613">
        <x:v>0</x:v>
      </x:c>
      <x:c r="HK21" s="1613">
        <x:v>1.75</x:v>
      </x:c>
      <x:c r="HL21" s="1613" t="s">
        <x:v>114</x:v>
      </x:c>
      <x:c r="HM21" s="1613">
        <x:v>7.5</x:v>
      </x:c>
      <x:c r="HN21" s="1613">
        <x:v>7.5</x:v>
      </x:c>
      <x:c r="HO21" s="1613">
        <x:v>0</x:v>
      </x:c>
      <x:c r="HP21" s="1613">
        <x:v>6.75</x:v>
      </x:c>
      <x:c r="HQ21" s="1613">
        <x:v>0</x:v>
      </x:c>
      <x:c r="HR21" s="1613">
        <x:v>6.75</x:v>
      </x:c>
      <x:c r="HS21" s="1613">
        <x:v>0</x:v>
      </x:c>
      <x:c r="HT21" s="1613">
        <x:v>6.25</x:v>
      </x:c>
      <x:c r="HU21" s="1613">
        <x:v>0</x:v>
      </x:c>
      <x:c r="HV21" s="1613">
        <x:v>6.25</x:v>
      </x:c>
      <x:c r="HW21" s="1613">
        <x:v>5</x:v>
      </x:c>
      <x:c r="HX21" s="1613" t="s">
        <x:v>117</x:v>
      </x:c>
      <x:c r="HY21" s="1617" t="s">
        <x:v>117</x:v>
      </x:c>
      <x:c r="HZ21" s="1617" t="s">
        <x:v>2036</x:v>
      </x:c>
      <x:c r="IA21" s="1617" t="s">
        <x:v>117</x:v>
      </x:c>
      <x:c r="IB21" s="1617"/>
      <x:c r="IC21" s="1617"/>
      <x:c r="ID21" s="1632"/>
      <x:c r="IE21" s="1612" t="s">
        <x:v>1286</x:v>
      </x:c>
      <x:c r="IF21" s="1613" t="s">
        <x:v>35</x:v>
      </x:c>
      <x:c r="IG21" s="1614">
        <x:v>7</x:v>
      </x:c>
      <x:c r="IH21" s="1615">
        <x:v>6</x:v>
      </x:c>
      <x:c r="II21" s="1613">
        <x:v>5</x:v>
      </x:c>
      <x:c r="IJ21" s="1614">
        <x:v>8</x:v>
      </x:c>
      <x:c r="IK21" s="1615">
        <x:v>0</x:v>
      </x:c>
      <x:c r="IL21" s="1613">
        <x:v>3</x:v>
      </x:c>
      <x:c r="IM21" s="1613">
        <x:v>10</x:v>
      </x:c>
      <x:c r="IN21" s="1613" t="s">
        <x:v>117</x:v>
      </x:c>
      <x:c r="IO21" s="1613" t="s">
        <x:v>117</x:v>
      </x:c>
      <x:c r="IP21" s="1613">
        <x:v>5</x:v>
      </x:c>
      <x:c r="IQ21" s="1613">
        <x:v>13</x:v>
      </x:c>
      <x:c r="IR21" s="1613">
        <x:v>4</x:v>
      </x:c>
      <x:c r="IS21" s="1614" t="s">
        <x:v>117</x:v>
      </x:c>
      <x:c r="IT21" s="1615">
        <x:v>1.75</x:v>
      </x:c>
      <x:c r="IU21" s="1613" t="s">
        <x:v>117</x:v>
      </x:c>
      <x:c r="IV21" s="1613" t="s">
        <x:v>117</x:v>
      </x:c>
      <x:c r="IW21" s="1614" t="s">
        <x:v>117</x:v>
      </x:c>
      <x:c r="IX21" s="1615" t="s">
        <x:v>117</x:v>
      </x:c>
      <x:c r="IY21" s="1613" t="s">
        <x:v>117</x:v>
      </x:c>
      <x:c r="IZ21" s="1613" t="s">
        <x:v>117</x:v>
      </x:c>
      <x:c r="JA21" s="1614" t="s">
        <x:v>117</x:v>
      </x:c>
      <x:c r="JB21" s="1615" t="s">
        <x:v>117</x:v>
      </x:c>
      <x:c r="JC21" s="1613" t="s">
        <x:v>117</x:v>
      </x:c>
      <x:c r="JD21" s="1613" t="s">
        <x:v>117</x:v>
      </x:c>
      <x:c r="JE21" s="1614" t="s">
        <x:v>117</x:v>
      </x:c>
      <x:c r="JF21" s="1615" t="s">
        <x:v>117</x:v>
      </x:c>
      <x:c r="JG21" s="1613" t="s">
        <x:v>117</x:v>
      </x:c>
      <x:c r="JH21" s="1613" t="s">
        <x:v>117</x:v>
      </x:c>
      <x:c r="JI21" s="1613" t="s">
        <x:v>117</x:v>
      </x:c>
      <x:c r="JJ21" s="1616" t="s">
        <x:v>117</x:v>
      </x:c>
      <x:c r="JK21" s="1613">
        <x:v>1</x:v>
      </x:c>
      <x:c r="JL21" s="1521">
        <x:f t="shared" ca="1" si="59"/>
        <x:v>1</x:v>
      </x:c>
    </x:row>
    <x:row r="22" spans="1:272" ht="12.6" customHeight="1" x14ac:dyDescent="0.25">
      <x:c r="A22" s="1583" t="s">
        <x:v>1288</x:v>
      </x:c>
      <x:c r="B22" s="1584">
        <x:v>1</x:v>
      </x:c>
      <x:c r="C22" s="1585" t="s">
        <x:v>1957</x:v>
      </x:c>
      <x:c r="D22" s="1586">
        <x:v>58</x:v>
      </x:c>
      <x:c r="E22" s="1587">
        <x:v>11.375</x:v>
      </x:c>
      <x:c r="F22" s="1588">
        <x:v>11.125</x:v>
      </x:c>
      <x:c r="G22" s="1589">
        <x:v>0</x:v>
      </x:c>
      <x:c r="H22" s="1590">
        <x:v>1.75</x:v>
      </x:c>
      <x:c r="I22" s="1591" t="s">
        <x:v>114</x:v>
      </x:c>
      <x:c r="J22" s="2202">
        <x:v>0</x:v>
      </x:c>
      <x:c r="K22" s="2203">
        <x:v>0.25</x:v>
      </x:c>
      <x:c r="L22" s="2204" t="s">
        <x:v>114</x:v>
      </x:c>
      <x:c r="M22" s="1593">
        <x:v>7.5</x:v>
      </x:c>
      <x:c r="N22" s="1594">
        <x:v>7.5</x:v>
      </x:c>
      <x:c r="O22" s="1589">
        <x:v>0</x:v>
      </x:c>
      <x:c r="P22" s="1590">
        <x:v>6.75</x:v>
      </x:c>
      <x:c r="Q22" s="1586">
        <x:v>0</x:v>
      </x:c>
      <x:c r="R22" s="1587">
        <x:v>1</x:v>
      </x:c>
      <x:c r="S22" s="1595">
        <x:v>0</x:v>
      </x:c>
      <x:c r="T22" s="1590">
        <x:v>6.25</x:v>
      </x:c>
      <x:c r="U22" s="1586">
        <x:v>0</x:v>
      </x:c>
      <x:c r="V22" s="1590">
        <x:v>3.875</x:v>
      </x:c>
      <x:c r="W22" s="1594">
        <x:v>5</x:v>
      </x:c>
      <x:c r="X22" s="1596" t="str">
        <x:f t="shared" si="0"/>
        <x:v/>
      </x:c>
      <x:c r="Y22" s="1597" t="str">
        <x:f t="shared" si="1"/>
        <x:v/>
      </x:c>
      <x:c r="Z22" s="2210" t="s">
        <x:v>2308</x:v>
      </x:c>
      <x:c r="AA22" s="1605" t="str">
        <x:f t="shared" si="2"/>
        <x:v/>
      </x:c>
      <x:c r="AB22" s="1264" t="s">
        <x:v>1287</x:v>
      </x:c>
      <x:c r="AC22" s="1260" t="s">
        <x:v>35</x:v>
      </x:c>
      <x:c r="AD22" s="1261">
        <x:v>3</x:v>
      </x:c>
      <x:c r="AE22" s="1262">
        <x:v>10</x:v>
      </x:c>
      <x:c r="AF22" s="1260">
        <x:v>5</x:v>
      </x:c>
      <x:c r="AG22" s="1261">
        <x:v>8</x:v>
      </x:c>
      <x:c r="AH22" s="1262">
        <x:v>0</x:v>
      </x:c>
      <x:c r="AI22" s="1261">
        <x:v>7</x:v>
      </x:c>
      <x:c r="AJ22" s="1262">
        <x:v>10</x:v>
      </x:c>
      <x:c r="AK22" s="1599" t="str">
        <x:f t="shared" si="3"/>
        <x:v/>
      </x:c>
      <x:c r="AL22" s="1600" t="str">
        <x:f t="shared" si="3"/>
        <x:v/>
      </x:c>
      <x:c r="AM22" s="1601">
        <x:v>5</x:v>
      </x:c>
      <x:c r="AN22" s="1260">
        <x:v>13</x:v>
      </x:c>
      <x:c r="AO22" s="1329">
        <x:v>4</x:v>
      </x:c>
      <x:c r="AP22" s="1327">
        <x:v>1.75</x:v>
      </x:c>
      <x:c r="AQ22" s="1602" t="str">
        <x:f t="shared" si="4"/>
        <x:v/>
      </x:c>
      <x:c r="AR22" s="2157">
        <x:v>1</x:v>
      </x:c>
      <x:c r="AS22" s="2122">
        <x:v>0</x:v>
      </x:c>
      <x:c r="AT22" s="1603" t="str">
        <x:f t="shared" si="5"/>
        <x:v/>
      </x:c>
      <x:c r="AU22" s="2123" t="s">
        <x:v>35</x:v>
      </x:c>
      <x:c r="AV22" s="1328" t="str">
        <x:f t="shared" si="6"/>
        <x:v/>
      </x:c>
      <x:c r="AW22" s="1262" t="str">
        <x:f t="shared" si="7"/>
        <x:v/>
      </x:c>
      <x:c r="AX22" s="1603" t="str">
        <x:f t="shared" si="8"/>
        <x:v/>
      </x:c>
      <x:c r="AY22" s="1410" t="str">
        <x:f t="shared" si="8"/>
        <x:v/>
      </x:c>
      <x:c r="AZ22" s="1328" t="str">
        <x:f t="shared" si="9"/>
        <x:v/>
      </x:c>
      <x:c r="BA22" s="1262" t="str">
        <x:f t="shared" si="10"/>
        <x:v/>
      </x:c>
      <x:c r="BB22" s="1603" t="str">
        <x:f t="shared" si="11"/>
        <x:v/>
      </x:c>
      <x:c r="BC22" s="1410" t="str">
        <x:f t="shared" si="11"/>
        <x:v/>
      </x:c>
      <x:c r="BD22" s="1328" t="str">
        <x:f t="shared" si="12"/>
        <x:v/>
      </x:c>
      <x:c r="BE22" s="1262" t="str">
        <x:f t="shared" si="13"/>
        <x:v/>
      </x:c>
      <x:c r="BF22" s="1603" t="str">
        <x:f t="shared" si="14"/>
        <x:v/>
      </x:c>
      <x:c r="BG22" s="1410" t="str">
        <x:f t="shared" si="14"/>
        <x:v/>
      </x:c>
      <x:c r="BH22" s="322"/>
      <x:c r="BJ22" s="1258" t="str">
        <x:f t="shared" si="57"/>
        <x:v>G25</x:v>
      </x:c>
      <x:c r="BK22" s="1256" t="b">
        <x:f t="shared" si="15"/>
        <x:v>0</x:v>
      </x:c>
      <x:c r="BL22" s="2002" t="b">
        <x:v>0</x:v>
      </x:c>
      <x:c r="BM22" s="1251">
        <x:f t="shared" si="16"/>
        <x:v>54</x:v>
      </x:c>
      <x:c r="BN22" s="1251" t="str">
        <x:f t="shared" si="17"/>
        <x:v>G</x:v>
      </x:c>
      <x:c r="BO22" s="1251">
        <x:f t="shared" si="18"/>
        <x:v>8</x:v>
      </x:c>
      <x:c r="BP22" s="1251">
        <x:f t="shared" si="19"/>
        <x:v>13.4</x:v>
      </x:c>
      <x:c r="BQ22" s="1251">
        <x:f t="shared" si="20"/>
        <x:v>3.9</x:v>
      </x:c>
      <x:c r="BR22" s="1251" t="b">
        <x:f t="shared" si="21"/>
        <x:v>1</x:v>
      </x:c>
      <x:c r="BS22" s="1252">
        <x:f t="shared" si="22"/>
        <x:v>7.75</x:v>
      </x:c>
      <x:c r="BT22" s="1252" t="str">
        <x:f t="shared" si="23"/>
        <x:v>Yes</x:v>
      </x:c>
      <x:c r="BU22" s="1252">
        <x:f t="shared" si="24"/>
        <x:v>6.25</x:v>
      </x:c>
      <x:c r="BV22" s="1252" t="str">
        <x:f t="shared" si="25"/>
        <x:v>Yes</x:v>
      </x:c>
      <x:c r="BW22" s="1253">
        <x:f t="shared" si="26"/>
        <x:v>16</x:v>
      </x:c>
      <x:c r="BX22" s="1254" t="str">
        <x:f t="shared" si="27"/>
        <x:v>G24</x:v>
      </x:c>
      <x:c r="BY22" s="1254" t="b">
        <x:f t="shared" si="28"/>
        <x:v>0</x:v>
      </x:c>
      <x:c r="BZ22" s="1253" t="b">
        <x:f t="shared" si="49"/>
        <x:v>0</x:v>
      </x:c>
      <x:c r="CB22" s="842"/>
      <x:c r="CC22" s="894"/>
      <x:c r="CD22" s="883"/>
      <x:c r="CE22" s="884"/>
      <x:c r="CF22" s="885"/>
      <x:c r="CG22" s="901"/>
      <x:c r="CH22" s="902"/>
      <x:c r="CI22" s="903"/>
      <x:c r="CJ22" s="902"/>
      <x:c r="CK22" s="903"/>
      <x:c r="CL22" s="904"/>
      <x:c r="CM22" s="944"/>
      <x:c r="CN22" s="901"/>
      <x:c r="CO22" s="902"/>
      <x:c r="CP22" s="903"/>
      <x:c r="CQ22" s="902"/>
      <x:c r="CR22" s="903"/>
      <x:c r="CS22" s="904"/>
      <x:c r="CT22" s="944"/>
      <x:c r="CU22" s="906"/>
      <x:c r="CV22" s="886"/>
      <x:c r="CW22" s="887"/>
      <x:c r="CX22" s="915"/>
      <x:c r="CY22" s="916"/>
      <x:c r="CZ22" s="932"/>
      <x:c r="DA22" s="933"/>
      <x:c r="DB22" s="932"/>
      <x:c r="DC22" s="933"/>
      <x:c r="DD22" s="1149"/>
      <x:c r="DE22" s="1150"/>
      <x:c r="DF22" s="173"/>
      <x:c r="DG22" s="173"/>
      <x:c r="DH22" s="842"/>
      <x:c r="DI22" s="843"/>
      <x:c r="DJ22" s="872"/>
      <x:c r="DK22" s="873"/>
      <x:c r="DL22" s="844"/>
      <x:c r="DM22" s="874"/>
      <x:c r="DN22" s="875"/>
      <x:c r="DO22" s="845"/>
      <x:c r="DP22" s="846"/>
      <x:c r="DQ22" s="847"/>
      <x:c r="DR22" s="847"/>
      <x:c r="DS22" s="848"/>
      <x:c r="DT22" s="836"/>
      <x:c r="DU22" s="837"/>
      <x:c r="DV22" s="849"/>
      <x:c r="DW22" s="850"/>
      <x:c r="DX22" s="851"/>
      <x:c r="DY22" s="852"/>
      <x:c r="DZ22" s="849"/>
      <x:c r="EA22" s="850"/>
      <x:c r="EB22" s="851"/>
      <x:c r="EC22" s="852"/>
      <x:c r="ED22" s="849"/>
      <x:c r="EE22" s="850"/>
      <x:c r="EF22" s="851"/>
      <x:c r="EG22" s="852"/>
      <x:c r="EH22" s="849"/>
      <x:c r="EI22" s="850"/>
      <x:c r="EJ22" s="851"/>
      <x:c r="EK22" s="853"/>
      <x:c r="EL22" s="798" t="str">
        <x:f t="shared" si="29"/>
        <x:v/>
      </x:c>
      <x:c r="EM22" s="799" t="str">
        <x:f t="shared" si="30"/>
        <x:v/>
      </x:c>
      <x:c r="EN22" s="800" t="str">
        <x:f t="shared" si="31"/>
        <x:v/>
      </x:c>
      <x:c r="EO22" s="1030" t="str">
        <x:f t="shared" si="32"/>
        <x:v/>
      </x:c>
      <x:c r="EP22" s="726" t="str">
        <x:f t="shared" si="33"/>
        <x:v/>
      </x:c>
      <x:c r="EQ22" s="727" t="str">
        <x:f t="shared" si="34"/>
        <x:v/>
      </x:c>
      <x:c r="ER22" s="961" t="str">
        <x:f t="shared" si="35"/>
        <x:v/>
      </x:c>
      <x:c r="ES22" s="962" t="str">
        <x:f t="shared" si="50"/>
        <x:v/>
      </x:c>
      <x:c r="ET22" s="963" t="str">
        <x:f t="shared" si="36"/>
        <x:v/>
      </x:c>
      <x:c r="EU22" s="964" t="str">
        <x:f t="shared" si="37"/>
        <x:v/>
      </x:c>
      <x:c r="EX22" s="1194" t="str">
        <x:f t="shared" si="51"/>
        <x:v>G24B</x:v>
      </x:c>
      <x:c r="EY22" s="1196" t="b">
        <x:f t="shared" ca="1" si="38"/>
        <x:v>1</x:v>
      </x:c>
      <x:c r="EZ22" s="1196">
        <x:f t="shared" si="52"/>
        <x:v>5</x:v>
      </x:c>
      <x:c r="FA22" s="1217" t="e">
        <x:f t="shared" si="58"/>
        <x:v>#N/A</x:v>
      </x:c>
      <x:c r="FB22" s="1218" t="e">
        <x:f t="shared" si="53"/>
        <x:v>#N/A</x:v>
      </x:c>
      <x:c r="FC22" s="1218">
        <x:f t="shared" si="39"/>
        <x:v>46</x:v>
      </x:c>
      <x:c r="FD22" s="1218">
        <x:f t="shared" si="40"/>
        <x:v>480</x:v>
      </x:c>
      <x:c r="FE22" s="1218">
        <x:f t="shared" si="41"/>
        <x:v>94</x:v>
      </x:c>
      <x:c r="FF22" s="1218">
        <x:f t="shared" si="54"/>
        <x:v>620</x:v>
      </x:c>
      <x:c r="FN22" s="969" t="b">
        <x:v>0</x:v>
      </x:c>
      <x:c r="FO22" s="969" t="b">
        <x:f t="shared" si="42"/>
        <x:v>1</x:v>
      </x:c>
      <x:c r="FP22" s="969" t="b">
        <x:v>0</x:v>
      </x:c>
      <x:c r="FQ22" s="969" t="b">
        <x:f t="shared" si="55"/>
        <x:v>1</x:v>
      </x:c>
      <x:c r="FW22" s="26"/>
      <x:c r="FX22" s="26"/>
      <x:c r="FZ22" s="26"/>
      <x:c r="GA22" s="1935">
        <x:v>59</x:v>
      </x:c>
      <x:c r="GB22" s="1936">
        <x:v>0.625</x:v>
      </x:c>
      <x:c r="GC22" s="1937">
        <x:v>-0.25</x:v>
      </x:c>
      <x:c r="GD22" s="1938">
        <x:v>-1</x:v>
      </x:c>
      <x:c r="GE22" s="1939">
        <x:v>-8.4670811105305097E-2</x:v>
      </x:c>
      <x:c r="GF22" s="1940" t="str">
        <x:f t="shared" si="43"/>
        <x:v>G25</x:v>
      </x:c>
      <x:c r="GG22" s="1457"/>
      <x:c r="GH22" s="1459"/>
      <x:c r="GI22" s="1457"/>
      <x:c r="GJ22" s="1459"/>
      <x:c r="GK22" s="326">
        <x:f t="shared" si="44"/>
        <x:v>707.375</x:v>
      </x:c>
      <x:c r="GL22" s="326">
        <x:f t="shared" si="45"/>
        <x:v>707.392608374004</x:v>
      </x:c>
      <x:c r="GM22" s="327">
        <x:f>IF(ABS(GK22-GL22)&gt;='Job Info.'!$L$22,ABS(GK22-GL22),0)</x:f>
        <x:v>0</x:v>
      </x:c>
      <x:c r="HA22" s="1612" t="s">
        <x:v>1288</x:v>
      </x:c>
      <x:c r="HB22" s="1613">
        <x:v>1</x:v>
      </x:c>
      <x:c r="HC22" s="1613" t="s">
        <x:v>1957</x:v>
      </x:c>
      <x:c r="HD22" s="1614">
        <x:v>58</x:v>
      </x:c>
      <x:c r="HE22" s="1615">
        <x:v>11.375</x:v>
      </x:c>
      <x:c r="HF22" s="1613">
        <x:v>11.125</x:v>
      </x:c>
      <x:c r="HG22" s="1613">
        <x:v>0</x:v>
      </x:c>
      <x:c r="HH22" s="1613">
        <x:v>1.75</x:v>
      </x:c>
      <x:c r="HI22" s="1613" t="s">
        <x:v>114</x:v>
      </x:c>
      <x:c r="HJ22" s="1613" t="s">
        <x:v>117</x:v>
      </x:c>
      <x:c r="HK22" s="1613" t="s">
        <x:v>117</x:v>
      </x:c>
      <x:c r="HL22" s="1613" t="s">
        <x:v>117</x:v>
      </x:c>
      <x:c r="HM22" s="1613">
        <x:v>7.5</x:v>
      </x:c>
      <x:c r="HN22" s="1613">
        <x:v>7.5</x:v>
      </x:c>
      <x:c r="HO22" s="1613">
        <x:v>0</x:v>
      </x:c>
      <x:c r="HP22" s="1613">
        <x:v>6.75</x:v>
      </x:c>
      <x:c r="HQ22" s="1613">
        <x:v>0</x:v>
      </x:c>
      <x:c r="HR22" s="1613">
        <x:v>1</x:v>
      </x:c>
      <x:c r="HS22" s="1613">
        <x:v>0</x:v>
      </x:c>
      <x:c r="HT22" s="1613">
        <x:v>6.25</x:v>
      </x:c>
      <x:c r="HU22" s="1613">
        <x:v>0</x:v>
      </x:c>
      <x:c r="HV22" s="1613">
        <x:v>3.875</x:v>
      </x:c>
      <x:c r="HW22" s="1613">
        <x:v>5</x:v>
      </x:c>
      <x:c r="HX22" s="1613" t="s">
        <x:v>117</x:v>
      </x:c>
      <x:c r="HY22" s="1617" t="s">
        <x:v>117</x:v>
      </x:c>
      <x:c r="HZ22" s="1617" t="s">
        <x:v>2041</x:v>
      </x:c>
      <x:c r="IA22" s="1617" t="s">
        <x:v>117</x:v>
      </x:c>
      <x:c r="IB22" s="1617"/>
      <x:c r="IC22" s="1617"/>
      <x:c r="ID22" s="1632"/>
      <x:c r="IE22" s="1612" t="s">
        <x:v>1287</x:v>
      </x:c>
      <x:c r="IF22" s="1613" t="s">
        <x:v>35</x:v>
      </x:c>
      <x:c r="IG22" s="1614">
        <x:v>3</x:v>
      </x:c>
      <x:c r="IH22" s="1615">
        <x:v>10</x:v>
      </x:c>
      <x:c r="II22" s="1613">
        <x:v>5</x:v>
      </x:c>
      <x:c r="IJ22" s="1614">
        <x:v>8</x:v>
      </x:c>
      <x:c r="IK22" s="1615">
        <x:v>0</x:v>
      </x:c>
      <x:c r="IL22" s="1613">
        <x:v>7</x:v>
      </x:c>
      <x:c r="IM22" s="1613">
        <x:v>10</x:v>
      </x:c>
      <x:c r="IN22" s="1613" t="s">
        <x:v>117</x:v>
      </x:c>
      <x:c r="IO22" s="1613" t="s">
        <x:v>117</x:v>
      </x:c>
      <x:c r="IP22" s="1613">
        <x:v>5</x:v>
      </x:c>
      <x:c r="IQ22" s="1613">
        <x:v>13</x:v>
      </x:c>
      <x:c r="IR22" s="1613">
        <x:v>4</x:v>
      </x:c>
      <x:c r="IS22" s="1614">
        <x:v>1.75</x:v>
      </x:c>
      <x:c r="IT22" s="1615" t="s">
        <x:v>117</x:v>
      </x:c>
      <x:c r="IU22" s="1613" t="s">
        <x:v>117</x:v>
      </x:c>
      <x:c r="IV22" s="1613" t="s">
        <x:v>117</x:v>
      </x:c>
      <x:c r="IW22" s="1614" t="s">
        <x:v>117</x:v>
      </x:c>
      <x:c r="IX22" s="1615" t="s">
        <x:v>117</x:v>
      </x:c>
      <x:c r="IY22" s="1613" t="s">
        <x:v>117</x:v>
      </x:c>
      <x:c r="IZ22" s="1613" t="s">
        <x:v>117</x:v>
      </x:c>
      <x:c r="JA22" s="1614" t="s">
        <x:v>117</x:v>
      </x:c>
      <x:c r="JB22" s="1615" t="s">
        <x:v>117</x:v>
      </x:c>
      <x:c r="JC22" s="1613" t="s">
        <x:v>117</x:v>
      </x:c>
      <x:c r="JD22" s="1613" t="s">
        <x:v>117</x:v>
      </x:c>
      <x:c r="JE22" s="1614" t="s">
        <x:v>117</x:v>
      </x:c>
      <x:c r="JF22" s="1615" t="s">
        <x:v>117</x:v>
      </x:c>
      <x:c r="JG22" s="1613" t="s">
        <x:v>117</x:v>
      </x:c>
      <x:c r="JH22" s="1613" t="s">
        <x:v>117</x:v>
      </x:c>
      <x:c r="JI22" s="1613" t="s">
        <x:v>117</x:v>
      </x:c>
      <x:c r="JJ22" s="1616" t="s">
        <x:v>117</x:v>
      </x:c>
      <x:c r="JK22" s="1613">
        <x:v>1</x:v>
      </x:c>
      <x:c r="JL22" s="1521">
        <x:f t="shared" ca="1" si="59"/>
        <x:v>1</x:v>
      </x:c>
    </x:row>
    <x:row r="23" spans="1:272" ht="12.6" customHeight="1" x14ac:dyDescent="0.25">
      <x:c r="A23" s="1583" t="s">
        <x:v>1289</x:v>
      </x:c>
      <x:c r="B23" s="1584">
        <x:v>1</x:v>
      </x:c>
      <x:c r="C23" s="1585" t="s">
        <x:v>1954</x:v>
      </x:c>
      <x:c r="D23" s="1586">
        <x:v>51</x:v>
      </x:c>
      <x:c r="E23" s="1587">
        <x:v>1.5</x:v>
      </x:c>
      <x:c r="F23" s="1588">
        <x:v>11.125</x:v>
      </x:c>
      <x:c r="G23" s="1589">
        <x:v>0</x:v>
      </x:c>
      <x:c r="H23" s="1590">
        <x:v>1.75</x:v>
      </x:c>
      <x:c r="I23" s="1591" t="s">
        <x:v>114</x:v>
      </x:c>
      <x:c r="J23" s="1586" t="str">
        <x:f t="shared" ref="J23:J45" si="63">IF(DJ63=0,"",TRUNC(DJ63/12))</x:f>
        <x:v/>
      </x:c>
      <x:c r="K23" s="1590" t="str">
        <x:f t="shared" ref="K23:K45" si="64">IF(DJ63=0,"",DJ63-(J23*12))</x:f>
        <x:v/>
      </x:c>
      <x:c r="L23" s="1592" t="str">
        <x:f t="shared" ref="L23:L45" si="65">IF(DJ63=0,"",CN63)</x:f>
        <x:v/>
      </x:c>
      <x:c r="M23" s="1593">
        <x:v>7.5</x:v>
      </x:c>
      <x:c r="N23" s="1594">
        <x:v>7.5</x:v>
      </x:c>
      <x:c r="O23" s="1589">
        <x:v>0</x:v>
      </x:c>
      <x:c r="P23" s="1590">
        <x:v>6.75</x:v>
      </x:c>
      <x:c r="Q23" s="1586">
        <x:v>0</x:v>
      </x:c>
      <x:c r="R23" s="1587">
        <x:v>1</x:v>
      </x:c>
      <x:c r="S23" s="1595">
        <x:v>0</x:v>
      </x:c>
      <x:c r="T23" s="1590">
        <x:v>6.25</x:v>
      </x:c>
      <x:c r="U23" s="1586">
        <x:v>0</x:v>
      </x:c>
      <x:c r="V23" s="1590">
        <x:v>3</x:v>
      </x:c>
      <x:c r="W23" s="1594">
        <x:v>5</x:v>
      </x:c>
      <x:c r="X23" s="1596" t="str">
        <x:f t="shared" si="0"/>
        <x:v/>
      </x:c>
      <x:c r="Y23" s="1597" t="str">
        <x:f t="shared" si="1"/>
        <x:v/>
      </x:c>
      <x:c r="Z23" s="2210" t="s">
        <x:v>2309</x:v>
      </x:c>
      <x:c r="AA23" s="1605" t="str">
        <x:f t="shared" si="2"/>
        <x:v/>
      </x:c>
      <x:c r="AB23" s="1264" t="s">
        <x:v>1288</x:v>
      </x:c>
      <x:c r="AC23" s="2194" t="s">
        <x:v>35</x:v>
      </x:c>
      <x:c r="AD23" s="1261">
        <x:v>7</x:v>
      </x:c>
      <x:c r="AE23" s="1262">
        <x:v>10</x:v>
      </x:c>
      <x:c r="AF23" s="2194">
        <x:v>1</x:v>
      </x:c>
      <x:c r="AG23" s="2195">
        <x:v>7</x:v>
      </x:c>
      <x:c r="AH23" s="2122">
        <x:v>6</x:v>
      </x:c>
      <x:c r="AI23" s="2195"/>
      <x:c r="AJ23" s="2122"/>
      <x:c r="AK23" s="1599" t="str">
        <x:f t="shared" si="3"/>
        <x:v/>
      </x:c>
      <x:c r="AL23" s="1600" t="str">
        <x:f t="shared" si="3"/>
        <x:v/>
      </x:c>
      <x:c r="AM23" s="1601">
        <x:v>5</x:v>
      </x:c>
      <x:c r="AN23" s="1260">
        <x:v>13</x:v>
      </x:c>
      <x:c r="AO23" s="1329">
        <x:v>4</x:v>
      </x:c>
      <x:c r="AP23" s="1327">
        <x:v>1.75</x:v>
      </x:c>
      <x:c r="AQ23" s="1602" t="str">
        <x:f t="shared" si="4"/>
        <x:v/>
      </x:c>
      <x:c r="AR23" s="2157">
        <x:v>1</x:v>
      </x:c>
      <x:c r="AS23" s="2122">
        <x:v>0</x:v>
      </x:c>
      <x:c r="AT23" s="1603" t="str">
        <x:f t="shared" si="5"/>
        <x:v/>
      </x:c>
      <x:c r="AU23" s="2123" t="s">
        <x:v>35</x:v>
      </x:c>
      <x:c r="AV23" s="1328" t="str">
        <x:f t="shared" si="6"/>
        <x:v/>
      </x:c>
      <x:c r="AW23" s="1262" t="str">
        <x:f t="shared" si="7"/>
        <x:v/>
      </x:c>
      <x:c r="AX23" s="1603" t="str">
        <x:f t="shared" si="8"/>
        <x:v/>
      </x:c>
      <x:c r="AY23" s="1410" t="str">
        <x:f t="shared" si="8"/>
        <x:v/>
      </x:c>
      <x:c r="AZ23" s="1328" t="str">
        <x:f t="shared" si="9"/>
        <x:v/>
      </x:c>
      <x:c r="BA23" s="1262" t="str">
        <x:f t="shared" si="10"/>
        <x:v/>
      </x:c>
      <x:c r="BB23" s="1603" t="str">
        <x:f t="shared" si="11"/>
        <x:v/>
      </x:c>
      <x:c r="BC23" s="1410" t="str">
        <x:f t="shared" si="11"/>
        <x:v/>
      </x:c>
      <x:c r="BD23" s="1328" t="str">
        <x:f t="shared" si="12"/>
        <x:v/>
      </x:c>
      <x:c r="BE23" s="1262" t="str">
        <x:f t="shared" si="13"/>
        <x:v/>
      </x:c>
      <x:c r="BF23" s="1603" t="str">
        <x:f t="shared" si="14"/>
        <x:v/>
      </x:c>
      <x:c r="BG23" s="1410" t="str">
        <x:f t="shared" si="14"/>
        <x:v/>
      </x:c>
      <x:c r="BH23" s="322"/>
      <x:c r="BJ23" s="1258" t="str">
        <x:f t="shared" si="57"/>
        <x:v>G26</x:v>
      </x:c>
      <x:c r="BK23" s="1256" t="b">
        <x:f t="shared" si="15"/>
        <x:v>0</x:v>
      </x:c>
      <x:c r="BL23" s="2002" t="b">
        <x:v>0</x:v>
      </x:c>
      <x:c r="BM23" s="1251">
        <x:f t="shared" si="16"/>
        <x:v>54</x:v>
      </x:c>
      <x:c r="BN23" s="1251" t="str">
        <x:f t="shared" si="17"/>
        <x:v>G</x:v>
      </x:c>
      <x:c r="BO23" s="1251">
        <x:f t="shared" si="18"/>
        <x:v>7</x:v>
      </x:c>
      <x:c r="BP23" s="1251">
        <x:f t="shared" si="19"/>
        <x:v>13.4</x:v>
      </x:c>
      <x:c r="BQ23" s="1251">
        <x:f t="shared" si="20"/>
        <x:v>3.9</x:v>
      </x:c>
      <x:c r="BR23" s="1251" t="b">
        <x:f t="shared" si="21"/>
        <x:v>1</x:v>
      </x:c>
      <x:c r="BS23" s="1252">
        <x:f t="shared" si="22"/>
        <x:v>7.75</x:v>
      </x:c>
      <x:c r="BT23" s="1252" t="str">
        <x:f t="shared" si="23"/>
        <x:v>Yes</x:v>
      </x:c>
      <x:c r="BU23" s="1252">
        <x:f t="shared" si="24"/>
        <x:v>6</x:v>
      </x:c>
      <x:c r="BV23" s="1252" t="str">
        <x:f t="shared" si="25"/>
        <x:v>Yes</x:v>
      </x:c>
      <x:c r="BW23" s="1253">
        <x:f t="shared" si="26"/>
        <x:v>14</x:v>
      </x:c>
      <x:c r="BX23" s="1254" t="str">
        <x:f t="shared" si="27"/>
        <x:v>G25</x:v>
      </x:c>
      <x:c r="BY23" s="1254" t="b">
        <x:f t="shared" si="28"/>
        <x:v>0</x:v>
      </x:c>
      <x:c r="BZ23" s="1253" t="b">
        <x:f t="shared" si="49"/>
        <x:v>0</x:v>
      </x:c>
      <x:c r="CB23" s="842"/>
      <x:c r="CC23" s="894"/>
      <x:c r="CD23" s="883"/>
      <x:c r="CE23" s="884"/>
      <x:c r="CF23" s="885"/>
      <x:c r="CG23" s="901"/>
      <x:c r="CH23" s="902"/>
      <x:c r="CI23" s="903"/>
      <x:c r="CJ23" s="902"/>
      <x:c r="CK23" s="903"/>
      <x:c r="CL23" s="904"/>
      <x:c r="CM23" s="944"/>
      <x:c r="CN23" s="901"/>
      <x:c r="CO23" s="902"/>
      <x:c r="CP23" s="903"/>
      <x:c r="CQ23" s="902"/>
      <x:c r="CR23" s="903"/>
      <x:c r="CS23" s="904"/>
      <x:c r="CT23" s="944"/>
      <x:c r="CU23" s="906"/>
      <x:c r="CV23" s="886"/>
      <x:c r="CW23" s="887"/>
      <x:c r="CX23" s="915"/>
      <x:c r="CY23" s="916"/>
      <x:c r="CZ23" s="932"/>
      <x:c r="DA23" s="933"/>
      <x:c r="DB23" s="932"/>
      <x:c r="DC23" s="933"/>
      <x:c r="DD23" s="1149"/>
      <x:c r="DE23" s="1150"/>
      <x:c r="DF23" s="173"/>
      <x:c r="DG23" s="173"/>
      <x:c r="DH23" s="842"/>
      <x:c r="DI23" s="843"/>
      <x:c r="DJ23" s="872"/>
      <x:c r="DK23" s="873"/>
      <x:c r="DL23" s="844"/>
      <x:c r="DM23" s="874"/>
      <x:c r="DN23" s="875"/>
      <x:c r="DO23" s="845"/>
      <x:c r="DP23" s="846"/>
      <x:c r="DQ23" s="847"/>
      <x:c r="DR23" s="847"/>
      <x:c r="DS23" s="848"/>
      <x:c r="DT23" s="836"/>
      <x:c r="DU23" s="837"/>
      <x:c r="DV23" s="849"/>
      <x:c r="DW23" s="850"/>
      <x:c r="DX23" s="851"/>
      <x:c r="DY23" s="852"/>
      <x:c r="DZ23" s="849"/>
      <x:c r="EA23" s="850"/>
      <x:c r="EB23" s="851"/>
      <x:c r="EC23" s="852"/>
      <x:c r="ED23" s="849"/>
      <x:c r="EE23" s="850"/>
      <x:c r="EF23" s="851"/>
      <x:c r="EG23" s="852"/>
      <x:c r="EH23" s="849"/>
      <x:c r="EI23" s="850"/>
      <x:c r="EJ23" s="851"/>
      <x:c r="EK23" s="853"/>
      <x:c r="EL23" s="798" t="str">
        <x:f t="shared" si="29"/>
        <x:v/>
      </x:c>
      <x:c r="EM23" s="799" t="str">
        <x:f t="shared" si="30"/>
        <x:v/>
      </x:c>
      <x:c r="EN23" s="800" t="str">
        <x:f t="shared" si="31"/>
        <x:v/>
      </x:c>
      <x:c r="EO23" s="1030" t="str">
        <x:f t="shared" si="32"/>
        <x:v/>
      </x:c>
      <x:c r="EP23" s="726" t="str">
        <x:f t="shared" si="33"/>
        <x:v/>
      </x:c>
      <x:c r="EQ23" s="727" t="str">
        <x:f t="shared" si="34"/>
        <x:v/>
      </x:c>
      <x:c r="ER23" s="961" t="str">
        <x:f t="shared" si="35"/>
        <x:v/>
      </x:c>
      <x:c r="ES23" s="962" t="str">
        <x:f t="shared" si="50"/>
        <x:v/>
      </x:c>
      <x:c r="ET23" s="963" t="str">
        <x:f t="shared" si="36"/>
        <x:v/>
      </x:c>
      <x:c r="EU23" s="964" t="str">
        <x:f t="shared" si="37"/>
        <x:v/>
      </x:c>
      <x:c r="EX23" s="1194" t="str">
        <x:f t="shared" si="51"/>
        <x:v>G25B</x:v>
      </x:c>
      <x:c r="EY23" s="1196" t="b">
        <x:f t="shared" ca="1" si="38"/>
        <x:v>1</x:v>
      </x:c>
      <x:c r="EZ23" s="1196">
        <x:f t="shared" si="52"/>
        <x:v>5</x:v>
      </x:c>
      <x:c r="FA23" s="1217" t="e">
        <x:f t="shared" si="58"/>
        <x:v>#N/A</x:v>
      </x:c>
      <x:c r="FB23" s="1218" t="e">
        <x:f t="shared" si="53"/>
        <x:v>#N/A</x:v>
      </x:c>
      <x:c r="FC23" s="1218">
        <x:f t="shared" si="39"/>
        <x:v>94</x:v>
      </x:c>
      <x:c r="FD23" s="1218">
        <x:f t="shared" si="40"/>
        <x:v>90</x:v>
      </x:c>
      <x:c r="FE23" s="1218">
        <x:f t="shared" si="41"/>
        <x:v>0</x:v>
      </x:c>
      <x:c r="FF23" s="1218">
        <x:f t="shared" si="54"/>
        <x:v>705.625</x:v>
      </x:c>
      <x:c r="FN23" s="969" t="b">
        <x:v>0</x:v>
      </x:c>
      <x:c r="FO23" s="969" t="b">
        <x:f t="shared" si="42"/>
        <x:v>1</x:v>
      </x:c>
      <x:c r="FP23" s="969" t="b">
        <x:v>0</x:v>
      </x:c>
      <x:c r="FQ23" s="969" t="b">
        <x:f t="shared" si="55"/>
        <x:v>1</x:v>
      </x:c>
      <x:c r="FW23" s="2"/>
      <x:c r="FX23" s="2"/>
      <x:c r="FZ23" s="2"/>
      <x:c r="GA23" s="1935">
        <x:v>51</x:v>
      </x:c>
      <x:c r="GB23" s="1936">
        <x:v>2.75</x:v>
      </x:c>
      <x:c r="GC23" s="1937">
        <x:v>-0.25</x:v>
      </x:c>
      <x:c r="GD23" s="1938">
        <x:v>-1</x:v>
      </x:c>
      <x:c r="GE23" s="1939">
        <x:f t="shared" si="56"/>
        <x:v>0</x:v>
      </x:c>
      <x:c r="GF23" s="1940" t="str">
        <x:f t="shared" si="43"/>
        <x:v>G26</x:v>
      </x:c>
      <x:c r="GG23" s="1457"/>
      <x:c r="GH23" s="1459"/>
      <x:c r="GI23" s="1457"/>
      <x:c r="GJ23" s="1459"/>
      <x:c r="GK23" s="326">
        <x:f t="shared" si="44"/>
        <x:v>613.5</x:v>
      </x:c>
      <x:c r="GL23" s="326">
        <x:f t="shared" si="45"/>
        <x:v>613.5</x:v>
      </x:c>
      <x:c r="GM23" s="327">
        <x:f>IF(ABS(GK23-GL23)&gt;='Job Info.'!$L$22,ABS(GK23-GL23),0)</x:f>
        <x:v>0</x:v>
      </x:c>
      <x:c r="HA23" s="1612" t="s">
        <x:v>1289</x:v>
      </x:c>
      <x:c r="HB23" s="1613">
        <x:v>1</x:v>
      </x:c>
      <x:c r="HC23" s="1613" t="s">
        <x:v>1954</x:v>
      </x:c>
      <x:c r="HD23" s="1614">
        <x:v>51</x:v>
      </x:c>
      <x:c r="HE23" s="1615">
        <x:v>1.5</x:v>
      </x:c>
      <x:c r="HF23" s="1613">
        <x:v>11.125</x:v>
      </x:c>
      <x:c r="HG23" s="1613">
        <x:v>0</x:v>
      </x:c>
      <x:c r="HH23" s="1613">
        <x:v>1.75</x:v>
      </x:c>
      <x:c r="HI23" s="1613" t="s">
        <x:v>114</x:v>
      </x:c>
      <x:c r="HJ23" s="1613" t="s">
        <x:v>117</x:v>
      </x:c>
      <x:c r="HK23" s="1613" t="s">
        <x:v>117</x:v>
      </x:c>
      <x:c r="HL23" s="1613" t="s">
        <x:v>117</x:v>
      </x:c>
      <x:c r="HM23" s="1613">
        <x:v>7.5</x:v>
      </x:c>
      <x:c r="HN23" s="1613">
        <x:v>7.5</x:v>
      </x:c>
      <x:c r="HO23" s="1613">
        <x:v>0</x:v>
      </x:c>
      <x:c r="HP23" s="1613">
        <x:v>6.75</x:v>
      </x:c>
      <x:c r="HQ23" s="1613">
        <x:v>0</x:v>
      </x:c>
      <x:c r="HR23" s="1613">
        <x:v>1</x:v>
      </x:c>
      <x:c r="HS23" s="1613">
        <x:v>0</x:v>
      </x:c>
      <x:c r="HT23" s="1613">
        <x:v>6.25</x:v>
      </x:c>
      <x:c r="HU23" s="1613">
        <x:v>0</x:v>
      </x:c>
      <x:c r="HV23" s="1613">
        <x:v>3</x:v>
      </x:c>
      <x:c r="HW23" s="1613">
        <x:v>5</x:v>
      </x:c>
      <x:c r="HX23" s="1613" t="s">
        <x:v>117</x:v>
      </x:c>
      <x:c r="HY23" s="1617" t="s">
        <x:v>117</x:v>
      </x:c>
      <x:c r="HZ23" s="1617" t="s">
        <x:v>2032</x:v>
      </x:c>
      <x:c r="IA23" s="1617" t="s">
        <x:v>117</x:v>
      </x:c>
      <x:c r="IB23" s="1617"/>
      <x:c r="IC23" s="1617"/>
      <x:c r="ID23" s="1632"/>
      <x:c r="IE23" s="1612" t="s">
        <x:v>1288</x:v>
      </x:c>
      <x:c r="IF23" s="1613" t="s">
        <x:v>34</x:v>
      </x:c>
      <x:c r="IG23" s="1614">
        <x:v>7</x:v>
      </x:c>
      <x:c r="IH23" s="1615">
        <x:v>10</x:v>
      </x:c>
      <x:c r="II23" s="1613">
        <x:v>6</x:v>
      </x:c>
      <x:c r="IJ23" s="1614">
        <x:v>8</x:v>
      </x:c>
      <x:c r="IK23" s="1615">
        <x:v>0</x:v>
      </x:c>
      <x:c r="IL23" s="1613">
        <x:v>2</x:v>
      </x:c>
      <x:c r="IM23" s="1613">
        <x:v>11.625</x:v>
      </x:c>
      <x:c r="IN23" s="1613" t="s">
        <x:v>117</x:v>
      </x:c>
      <x:c r="IO23" s="1613" t="s">
        <x:v>117</x:v>
      </x:c>
      <x:c r="IP23" s="1613">
        <x:v>5</x:v>
      </x:c>
      <x:c r="IQ23" s="1613">
        <x:v>13</x:v>
      </x:c>
      <x:c r="IR23" s="1613">
        <x:v>4</x:v>
      </x:c>
      <x:c r="IS23" s="1614">
        <x:v>1.75</x:v>
      </x:c>
      <x:c r="IT23" s="1615" t="s">
        <x:v>117</x:v>
      </x:c>
      <x:c r="IU23" s="1613" t="s">
        <x:v>117</x:v>
      </x:c>
      <x:c r="IV23" s="1613" t="s">
        <x:v>117</x:v>
      </x:c>
      <x:c r="IW23" s="1614" t="s">
        <x:v>117</x:v>
      </x:c>
      <x:c r="IX23" s="1615" t="s">
        <x:v>117</x:v>
      </x:c>
      <x:c r="IY23" s="1613" t="s">
        <x:v>117</x:v>
      </x:c>
      <x:c r="IZ23" s="1613" t="s">
        <x:v>117</x:v>
      </x:c>
      <x:c r="JA23" s="1614" t="s">
        <x:v>117</x:v>
      </x:c>
      <x:c r="JB23" s="1615" t="s">
        <x:v>117</x:v>
      </x:c>
      <x:c r="JC23" s="1613" t="s">
        <x:v>117</x:v>
      </x:c>
      <x:c r="JD23" s="1613" t="s">
        <x:v>117</x:v>
      </x:c>
      <x:c r="JE23" s="1614" t="s">
        <x:v>117</x:v>
      </x:c>
      <x:c r="JF23" s="1615" t="s">
        <x:v>117</x:v>
      </x:c>
      <x:c r="JG23" s="1613" t="s">
        <x:v>117</x:v>
      </x:c>
      <x:c r="JH23" s="1613" t="s">
        <x:v>117</x:v>
      </x:c>
      <x:c r="JI23" s="1613" t="s">
        <x:v>117</x:v>
      </x:c>
      <x:c r="JJ23" s="1616" t="s">
        <x:v>117</x:v>
      </x:c>
      <x:c r="JK23" s="1613">
        <x:v>2</x:v>
      </x:c>
      <x:c r="JL23" s="1521">
        <x:f t="shared" ca="1" si="59"/>
        <x:v>1</x:v>
      </x:c>
    </x:row>
    <x:row r="24" spans="1:272" ht="12.6" customHeight="1" x14ac:dyDescent="0.25">
      <x:c r="A24" s="1583" t="s">
        <x:v>1290</x:v>
      </x:c>
      <x:c r="B24" s="1584">
        <x:v>1</x:v>
      </x:c>
      <x:c r="C24" s="1585" t="s">
        <x:v>1954</x:v>
      </x:c>
      <x:c r="D24" s="1586">
        <x:v>51</x:v>
      </x:c>
      <x:c r="E24" s="1587">
        <x:v>11.5</x:v>
      </x:c>
      <x:c r="F24" s="1588">
        <x:v>11.125</x:v>
      </x:c>
      <x:c r="G24" s="1589">
        <x:v>0</x:v>
      </x:c>
      <x:c r="H24" s="1590">
        <x:v>1.75</x:v>
      </x:c>
      <x:c r="I24" s="1591" t="s">
        <x:v>114</x:v>
      </x:c>
      <x:c r="J24" s="1586">
        <x:v>0</x:v>
      </x:c>
      <x:c r="K24" s="1590">
        <x:v>1.75</x:v>
      </x:c>
      <x:c r="L24" s="1592" t="s">
        <x:v>114</x:v>
      </x:c>
      <x:c r="M24" s="1593">
        <x:v>7.5</x:v>
      </x:c>
      <x:c r="N24" s="1594">
        <x:v>7.5</x:v>
      </x:c>
      <x:c r="O24" s="1589">
        <x:v>0</x:v>
      </x:c>
      <x:c r="P24" s="1590">
        <x:v>6.75</x:v>
      </x:c>
      <x:c r="Q24" s="1586">
        <x:v>0</x:v>
      </x:c>
      <x:c r="R24" s="1587">
        <x:v>6.75</x:v>
      </x:c>
      <x:c r="S24" s="1595">
        <x:v>0</x:v>
      </x:c>
      <x:c r="T24" s="1590">
        <x:v>6.25</x:v>
      </x:c>
      <x:c r="U24" s="1586">
        <x:v>0</x:v>
      </x:c>
      <x:c r="V24" s="1590">
        <x:v>6.25</x:v>
      </x:c>
      <x:c r="W24" s="1594">
        <x:v>5</x:v>
      </x:c>
      <x:c r="X24" s="1596" t="str">
        <x:f t="shared" si="0"/>
        <x:v/>
      </x:c>
      <x:c r="Y24" s="1597" t="str">
        <x:f t="shared" si="1"/>
        <x:v/>
      </x:c>
      <x:c r="Z24" s="2210" t="s">
        <x:v>2301</x:v>
      </x:c>
      <x:c r="AA24" s="1605" t="str">
        <x:f t="shared" si="2"/>
        <x:v/>
      </x:c>
      <x:c r="AB24" s="1264" t="str">
        <x:f t="shared" si="46"/>
        <x:v/>
      </x:c>
      <x:c r="AC24" s="2194"/>
      <x:c r="AD24" s="2195"/>
      <x:c r="AE24" s="2122"/>
      <x:c r="AF24" s="2194">
        <x:v>1</x:v>
      </x:c>
      <x:c r="AG24" s="1261">
        <x:v>8</x:v>
      </x:c>
      <x:c r="AH24" s="2122">
        <x:v>6</x:v>
      </x:c>
      <x:c r="AI24" s="2195"/>
      <x:c r="AJ24" s="2122"/>
      <x:c r="AK24" s="1599" t="str">
        <x:f t="shared" si="3"/>
        <x:v/>
      </x:c>
      <x:c r="AL24" s="1600" t="str">
        <x:f t="shared" si="3"/>
        <x:v/>
      </x:c>
      <x:c r="AM24" s="1601" t="str">
        <x:f t="shared" si="3"/>
        <x:v/>
      </x:c>
      <x:c r="AN24" s="1260" t="str">
        <x:f t="shared" si="3"/>
        <x:v/>
      </x:c>
      <x:c r="AO24" s="1329" t="str">
        <x:f t="shared" si="3"/>
        <x:v/>
      </x:c>
      <x:c r="AP24" s="1327" t="str">
        <x:f t="shared" si="4"/>
        <x:v/>
      </x:c>
      <x:c r="AQ24" s="1602" t="str">
        <x:f t="shared" si="4"/>
        <x:v/>
      </x:c>
      <x:c r="AR24" s="1263" t="str">
        <x:f t="shared" si="47"/>
        <x:v/>
      </x:c>
      <x:c r="AS24" s="1262" t="str">
        <x:f t="shared" si="48"/>
        <x:v/>
      </x:c>
      <x:c r="AT24" s="1603" t="str">
        <x:f t="shared" si="5"/>
        <x:v/>
      </x:c>
      <x:c r="AU24" s="1410" t="str">
        <x:f t="shared" si="5"/>
        <x:v/>
      </x:c>
      <x:c r="AV24" s="1328" t="str">
        <x:f t="shared" si="6"/>
        <x:v/>
      </x:c>
      <x:c r="AW24" s="1262" t="str">
        <x:f t="shared" si="7"/>
        <x:v/>
      </x:c>
      <x:c r="AX24" s="1603" t="str">
        <x:f t="shared" si="8"/>
        <x:v/>
      </x:c>
      <x:c r="AY24" s="1410" t="str">
        <x:f t="shared" si="8"/>
        <x:v/>
      </x:c>
      <x:c r="AZ24" s="1328" t="str">
        <x:f t="shared" si="9"/>
        <x:v/>
      </x:c>
      <x:c r="BA24" s="1262" t="str">
        <x:f t="shared" si="10"/>
        <x:v/>
      </x:c>
      <x:c r="BB24" s="1603" t="str">
        <x:f t="shared" si="11"/>
        <x:v/>
      </x:c>
      <x:c r="BC24" s="1410" t="str">
        <x:f t="shared" si="11"/>
        <x:v/>
      </x:c>
      <x:c r="BD24" s="1328" t="str">
        <x:f t="shared" si="12"/>
        <x:v/>
      </x:c>
      <x:c r="BE24" s="1262" t="str">
        <x:f t="shared" si="13"/>
        <x:v/>
      </x:c>
      <x:c r="BF24" s="1603" t="str">
        <x:f t="shared" si="14"/>
        <x:v/>
      </x:c>
      <x:c r="BG24" s="1410" t="str">
        <x:f t="shared" si="14"/>
        <x:v/>
      </x:c>
      <x:c r="BH24" s="322"/>
      <x:c r="BJ24" s="1258" t="str">
        <x:f t="shared" si="57"/>
        <x:v>G27</x:v>
      </x:c>
      <x:c r="BK24" s="1256" t="b">
        <x:f t="shared" si="15"/>
        <x:v>0</x:v>
      </x:c>
      <x:c r="BL24" s="2002" t="b">
        <x:v>0</x:v>
      </x:c>
      <x:c r="BM24" s="1251">
        <x:f t="shared" si="16"/>
        <x:v>54</x:v>
      </x:c>
      <x:c r="BN24" s="1251" t="str">
        <x:f t="shared" si="17"/>
        <x:v>G</x:v>
      </x:c>
      <x:c r="BO24" s="1251">
        <x:f t="shared" si="18"/>
        <x:v>7</x:v>
      </x:c>
      <x:c r="BP24" s="1251">
        <x:f t="shared" si="19"/>
        <x:v>13.4</x:v>
      </x:c>
      <x:c r="BQ24" s="1251">
        <x:f t="shared" si="20"/>
        <x:v>3.9</x:v>
      </x:c>
      <x:c r="BR24" s="1251" t="b">
        <x:f t="shared" si="21"/>
        <x:v>1</x:v>
      </x:c>
      <x:c r="BS24" s="1252">
        <x:f t="shared" si="22"/>
        <x:v>7.75</x:v>
      </x:c>
      <x:c r="BT24" s="1252" t="str">
        <x:f t="shared" si="23"/>
        <x:v>Yes</x:v>
      </x:c>
      <x:c r="BU24" s="1252">
        <x:f t="shared" si="24"/>
        <x:v>7.75</x:v>
      </x:c>
      <x:c r="BV24" s="1252" t="str">
        <x:f t="shared" si="25"/>
        <x:v>Yes</x:v>
      </x:c>
      <x:c r="BW24" s="1253">
        <x:f t="shared" si="26"/>
        <x:v>3</x:v>
      </x:c>
      <x:c r="BX24" s="1254" t="str">
        <x:f t="shared" si="27"/>
        <x:v>G25</x:v>
      </x:c>
      <x:c r="BY24" s="1254" t="b">
        <x:f t="shared" si="28"/>
        <x:v>0</x:v>
      </x:c>
      <x:c r="BZ24" s="1253" t="b">
        <x:f t="shared" si="49"/>
        <x:v>0</x:v>
      </x:c>
      <x:c r="CB24" s="842"/>
      <x:c r="CC24" s="894"/>
      <x:c r="CD24" s="883"/>
      <x:c r="CE24" s="884"/>
      <x:c r="CF24" s="885"/>
      <x:c r="CG24" s="901"/>
      <x:c r="CH24" s="902"/>
      <x:c r="CI24" s="903"/>
      <x:c r="CJ24" s="902"/>
      <x:c r="CK24" s="903"/>
      <x:c r="CL24" s="904"/>
      <x:c r="CM24" s="944"/>
      <x:c r="CN24" s="901"/>
      <x:c r="CO24" s="902"/>
      <x:c r="CP24" s="903"/>
      <x:c r="CQ24" s="902"/>
      <x:c r="CR24" s="903"/>
      <x:c r="CS24" s="904"/>
      <x:c r="CT24" s="944"/>
      <x:c r="CU24" s="906"/>
      <x:c r="CV24" s="886"/>
      <x:c r="CW24" s="887"/>
      <x:c r="CX24" s="915"/>
      <x:c r="CY24" s="916"/>
      <x:c r="CZ24" s="932"/>
      <x:c r="DA24" s="933"/>
      <x:c r="DB24" s="932"/>
      <x:c r="DC24" s="933"/>
      <x:c r="DD24" s="1149"/>
      <x:c r="DE24" s="1150"/>
      <x:c r="DF24" s="173"/>
      <x:c r="DG24" s="173"/>
      <x:c r="DH24" s="842"/>
      <x:c r="DI24" s="843"/>
      <x:c r="DJ24" s="872"/>
      <x:c r="DK24" s="873"/>
      <x:c r="DL24" s="844"/>
      <x:c r="DM24" s="874"/>
      <x:c r="DN24" s="875"/>
      <x:c r="DO24" s="845"/>
      <x:c r="DP24" s="846"/>
      <x:c r="DQ24" s="847"/>
      <x:c r="DR24" s="847"/>
      <x:c r="DS24" s="848"/>
      <x:c r="DT24" s="836"/>
      <x:c r="DU24" s="837"/>
      <x:c r="DV24" s="849"/>
      <x:c r="DW24" s="850"/>
      <x:c r="DX24" s="851"/>
      <x:c r="DY24" s="852"/>
      <x:c r="DZ24" s="849"/>
      <x:c r="EA24" s="850"/>
      <x:c r="EB24" s="851"/>
      <x:c r="EC24" s="852"/>
      <x:c r="ED24" s="849"/>
      <x:c r="EE24" s="850"/>
      <x:c r="EF24" s="851"/>
      <x:c r="EG24" s="852"/>
      <x:c r="EH24" s="849"/>
      <x:c r="EI24" s="850"/>
      <x:c r="EJ24" s="851"/>
      <x:c r="EK24" s="853"/>
      <x:c r="EL24" s="798" t="str">
        <x:f t="shared" si="29"/>
        <x:v/>
      </x:c>
      <x:c r="EM24" s="799" t="str">
        <x:f t="shared" si="30"/>
        <x:v/>
      </x:c>
      <x:c r="EN24" s="800" t="str">
        <x:f t="shared" si="31"/>
        <x:v/>
      </x:c>
      <x:c r="EO24" s="1030" t="str">
        <x:f t="shared" si="32"/>
        <x:v/>
      </x:c>
      <x:c r="EP24" s="726" t="str">
        <x:f t="shared" si="33"/>
        <x:v/>
      </x:c>
      <x:c r="EQ24" s="727" t="str">
        <x:f t="shared" si="34"/>
        <x:v/>
      </x:c>
      <x:c r="ER24" s="961" t="str">
        <x:f t="shared" si="35"/>
        <x:v/>
      </x:c>
      <x:c r="ES24" s="962" t="str">
        <x:f t="shared" si="50"/>
        <x:v/>
      </x:c>
      <x:c r="ET24" s="963" t="str">
        <x:f t="shared" si="36"/>
        <x:v/>
      </x:c>
      <x:c r="EU24" s="964" t="str">
        <x:f t="shared" si="37"/>
        <x:v/>
      </x:c>
      <x:c r="EX24" s="1194" t="str">
        <x:f t="shared" si="51"/>
        <x:v>G25B</x:v>
      </x:c>
      <x:c r="EY24" s="1196" t="str">
        <x:f t="shared" si="38"/>
        <x:v/>
      </x:c>
      <x:c r="EZ24" s="1196" t="str">
        <x:f t="shared" si="52"/>
        <x:v/>
      </x:c>
      <x:c r="FA24" s="1217" t="e">
        <x:f t="shared" si="58"/>
        <x:v>#N/A</x:v>
      </x:c>
      <x:c r="FB24" s="1218" t="e">
        <x:f t="shared" si="53"/>
        <x:v>#N/A</x:v>
      </x:c>
      <x:c r="FC24" s="1218">
        <x:f t="shared" si="39"/>
        <x:v>0</x:v>
      </x:c>
      <x:c r="FD24" s="1218">
        <x:f t="shared" si="40"/>
        <x:v>102</x:v>
      </x:c>
      <x:c r="FE24" s="1218">
        <x:f t="shared" si="41"/>
        <x:v>0</x:v>
      </x:c>
      <x:c r="FF24" s="1218">
        <x:f t="shared" si="54"/>
        <x:v>521.625</x:v>
      </x:c>
      <x:c r="FN24" s="969" t="b">
        <x:v>0</x:v>
      </x:c>
      <x:c r="FO24" s="969" t="b">
        <x:f t="shared" si="42"/>
        <x:v>1</x:v>
      </x:c>
      <x:c r="FP24" s="969" t="b">
        <x:v>0</x:v>
      </x:c>
      <x:c r="FQ24" s="969" t="b">
        <x:f t="shared" si="55"/>
        <x:v>1</x:v>
      </x:c>
      <x:c r="FW24" s="2"/>
      <x:c r="FX24" s="2"/>
      <x:c r="FZ24" s="2"/>
      <x:c r="GA24" s="1935">
        <x:v>52</x:v>
      </x:c>
      <x:c r="GB24" s="1936">
        <x:v>0</x:v>
      </x:c>
      <x:c r="GC24" s="1937">
        <x:v>-0.25</x:v>
      </x:c>
      <x:c r="GD24" s="1938">
        <x:v>-0.25</x:v>
      </x:c>
      <x:c r="GE24" s="1939">
        <x:f t="shared" si="56"/>
        <x:v>0</x:v>
      </x:c>
      <x:c r="GF24" s="1940" t="str">
        <x:f t="shared" si="43"/>
        <x:v>G27</x:v>
      </x:c>
      <x:c r="GG24" s="1457"/>
      <x:c r="GH24" s="1459"/>
      <x:c r="GI24" s="1457"/>
      <x:c r="GJ24" s="1459"/>
      <x:c r="GK24" s="326">
        <x:f t="shared" si="44"/>
        <x:v>623.5</x:v>
      </x:c>
      <x:c r="GL24" s="326">
        <x:f t="shared" si="45"/>
        <x:v>623.5</x:v>
      </x:c>
      <x:c r="GM24" s="327">
        <x:f>IF(ABS(GK24-GL24)&gt;='Job Info.'!$L$22,ABS(GK24-GL24),0)</x:f>
        <x:v>0</x:v>
      </x:c>
      <x:c r="HA24" s="1612" t="s">
        <x:v>1290</x:v>
      </x:c>
      <x:c r="HB24" s="1613">
        <x:v>1</x:v>
      </x:c>
      <x:c r="HC24" s="1613" t="s">
        <x:v>1954</x:v>
      </x:c>
      <x:c r="HD24" s="1614">
        <x:v>51</x:v>
      </x:c>
      <x:c r="HE24" s="1615">
        <x:v>11.5</x:v>
      </x:c>
      <x:c r="HF24" s="1613">
        <x:v>11.125</x:v>
      </x:c>
      <x:c r="HG24" s="1613">
        <x:v>0</x:v>
      </x:c>
      <x:c r="HH24" s="1613">
        <x:v>1.75</x:v>
      </x:c>
      <x:c r="HI24" s="1613" t="s">
        <x:v>114</x:v>
      </x:c>
      <x:c r="HJ24" s="1613">
        <x:v>0</x:v>
      </x:c>
      <x:c r="HK24" s="1613">
        <x:v>1.75</x:v>
      </x:c>
      <x:c r="HL24" s="1613" t="s">
        <x:v>114</x:v>
      </x:c>
      <x:c r="HM24" s="1613">
        <x:v>7.5</x:v>
      </x:c>
      <x:c r="HN24" s="1613">
        <x:v>7.5</x:v>
      </x:c>
      <x:c r="HO24" s="1613">
        <x:v>0</x:v>
      </x:c>
      <x:c r="HP24" s="1613">
        <x:v>6.75</x:v>
      </x:c>
      <x:c r="HQ24" s="1613">
        <x:v>0</x:v>
      </x:c>
      <x:c r="HR24" s="1613">
        <x:v>6.75</x:v>
      </x:c>
      <x:c r="HS24" s="1613">
        <x:v>0</x:v>
      </x:c>
      <x:c r="HT24" s="1613">
        <x:v>6.25</x:v>
      </x:c>
      <x:c r="HU24" s="1613">
        <x:v>0</x:v>
      </x:c>
      <x:c r="HV24" s="1613">
        <x:v>6.25</x:v>
      </x:c>
      <x:c r="HW24" s="1613">
        <x:v>5</x:v>
      </x:c>
      <x:c r="HX24" s="1613" t="s">
        <x:v>117</x:v>
      </x:c>
      <x:c r="HY24" s="1617" t="s">
        <x:v>117</x:v>
      </x:c>
      <x:c r="HZ24" s="1617" t="s">
        <x:v>2028</x:v>
      </x:c>
      <x:c r="IA24" s="1617" t="s">
        <x:v>117</x:v>
      </x:c>
      <x:c r="IB24" s="1617"/>
      <x:c r="IC24" s="1617"/>
      <x:c r="ID24" s="1632"/>
      <x:c r="IE24" s="1612" t="s">
        <x:v>117</x:v>
      </x:c>
      <x:c r="IF24" s="1613" t="s">
        <x:v>1703</x:v>
      </x:c>
      <x:c r="IG24" s="1614">
        <x:v>7</x:v>
      </x:c>
      <x:c r="IH24" s="1615">
        <x:v>10</x:v>
      </x:c>
      <x:c r="II24" s="1613">
        <x:v>5</x:v>
      </x:c>
      <x:c r="IJ24" s="1614">
        <x:v>8</x:v>
      </x:c>
      <x:c r="IK24" s="1615">
        <x:v>0</x:v>
      </x:c>
      <x:c r="IL24" s="1613">
        <x:v>10</x:v>
      </x:c>
      <x:c r="IM24" s="1613">
        <x:v>11.625</x:v>
      </x:c>
      <x:c r="IN24" s="1613" t="s">
        <x:v>117</x:v>
      </x:c>
      <x:c r="IO24" s="1613" t="s">
        <x:v>117</x:v>
      </x:c>
      <x:c r="IP24" s="1613" t="s">
        <x:v>117</x:v>
      </x:c>
      <x:c r="IQ24" s="1613" t="s">
        <x:v>117</x:v>
      </x:c>
      <x:c r="IR24" s="1613" t="s">
        <x:v>117</x:v>
      </x:c>
      <x:c r="IS24" s="1614" t="s">
        <x:v>117</x:v>
      </x:c>
      <x:c r="IT24" s="1615" t="s">
        <x:v>117</x:v>
      </x:c>
      <x:c r="IU24" s="1613" t="s">
        <x:v>117</x:v>
      </x:c>
      <x:c r="IV24" s="1613" t="s">
        <x:v>117</x:v>
      </x:c>
      <x:c r="IW24" s="1614" t="s">
        <x:v>117</x:v>
      </x:c>
      <x:c r="IX24" s="1615" t="s">
        <x:v>117</x:v>
      </x:c>
      <x:c r="IY24" s="1613" t="s">
        <x:v>117</x:v>
      </x:c>
      <x:c r="IZ24" s="1613" t="s">
        <x:v>117</x:v>
      </x:c>
      <x:c r="JA24" s="1614" t="s">
        <x:v>117</x:v>
      </x:c>
      <x:c r="JB24" s="1615" t="s">
        <x:v>117</x:v>
      </x:c>
      <x:c r="JC24" s="1613" t="s">
        <x:v>117</x:v>
      </x:c>
      <x:c r="JD24" s="1613" t="s">
        <x:v>117</x:v>
      </x:c>
      <x:c r="JE24" s="1614" t="s">
        <x:v>117</x:v>
      </x:c>
      <x:c r="JF24" s="1615" t="s">
        <x:v>117</x:v>
      </x:c>
      <x:c r="JG24" s="1613" t="s">
        <x:v>117</x:v>
      </x:c>
      <x:c r="JH24" s="1613" t="s">
        <x:v>117</x:v>
      </x:c>
      <x:c r="JI24" s="1613" t="s">
        <x:v>117</x:v>
      </x:c>
      <x:c r="JJ24" s="1616" t="s">
        <x:v>117</x:v>
      </x:c>
      <x:c r="JK24" s="1613"/>
      <x:c r="JL24" s="1521">
        <x:f t="shared" ca="1" si="59"/>
        <x:v>2</x:v>
      </x:c>
    </x:row>
    <x:row r="25" spans="1:272" ht="12.6" customHeight="1" x14ac:dyDescent="0.25">
      <x:c r="A25" s="1583" t="s">
        <x:v>1291</x:v>
      </x:c>
      <x:c r="B25" s="1584">
        <x:v>2</x:v>
      </x:c>
      <x:c r="C25" s="1585" t="s">
        <x:v>1954</x:v>
      </x:c>
      <x:c r="D25" s="1586">
        <x:v>51</x:v>
      </x:c>
      <x:c r="E25" s="1587">
        <x:v>11.5</x:v>
      </x:c>
      <x:c r="F25" s="1588">
        <x:v>11.125</x:v>
      </x:c>
      <x:c r="G25" s="1589">
        <x:v>0</x:v>
      </x:c>
      <x:c r="H25" s="1590">
        <x:v>1.75</x:v>
      </x:c>
      <x:c r="I25" s="1591" t="s">
        <x:v>114</x:v>
      </x:c>
      <x:c r="J25" s="1586">
        <x:v>0</x:v>
      </x:c>
      <x:c r="K25" s="1590">
        <x:v>1.75</x:v>
      </x:c>
      <x:c r="L25" s="1592" t="s">
        <x:v>114</x:v>
      </x:c>
      <x:c r="M25" s="1593">
        <x:v>7.5</x:v>
      </x:c>
      <x:c r="N25" s="1594">
        <x:v>7.5</x:v>
      </x:c>
      <x:c r="O25" s="1589">
        <x:v>0</x:v>
      </x:c>
      <x:c r="P25" s="1590">
        <x:v>6.75</x:v>
      </x:c>
      <x:c r="Q25" s="1586">
        <x:v>0</x:v>
      </x:c>
      <x:c r="R25" s="1587">
        <x:v>6.75</x:v>
      </x:c>
      <x:c r="S25" s="1595">
        <x:v>0</x:v>
      </x:c>
      <x:c r="T25" s="1590">
        <x:v>6.25</x:v>
      </x:c>
      <x:c r="U25" s="1586">
        <x:v>0</x:v>
      </x:c>
      <x:c r="V25" s="1590">
        <x:v>6.25</x:v>
      </x:c>
      <x:c r="W25" s="1594">
        <x:v>5</x:v>
      </x:c>
      <x:c r="X25" s="1596" t="str">
        <x:f t="shared" si="0"/>
        <x:v/>
      </x:c>
      <x:c r="Y25" s="1597" t="str">
        <x:f t="shared" si="1"/>
        <x:v/>
      </x:c>
      <x:c r="Z25" s="2210" t="s">
        <x:v>2310</x:v>
      </x:c>
      <x:c r="AA25" s="1605" t="str">
        <x:f t="shared" si="2"/>
        <x:v/>
      </x:c>
      <x:c r="AB25" s="2170"/>
      <x:c r="AC25" s="2194"/>
      <x:c r="AD25" s="2195"/>
      <x:c r="AE25" s="2122"/>
      <x:c r="AF25" s="2194">
        <x:v>4</x:v>
      </x:c>
      <x:c r="AG25" s="1261">
        <x:v>8</x:v>
      </x:c>
      <x:c r="AH25" s="1262">
        <x:v>0</x:v>
      </x:c>
      <x:c r="AI25" s="2195">
        <x:v>2</x:v>
      </x:c>
      <x:c r="AJ25" s="2122">
        <x:v>11.625</x:v>
      </x:c>
      <x:c r="AK25" s="1599"/>
      <x:c r="AL25" s="1600"/>
      <x:c r="AM25" s="2196"/>
      <x:c r="AN25" s="2194"/>
      <x:c r="AO25" s="2197"/>
      <x:c r="AP25" s="1327" t="str">
        <x:f t="shared" si="4"/>
        <x:v/>
      </x:c>
      <x:c r="AQ25" s="1602"/>
      <x:c r="AR25" s="2157"/>
      <x:c r="AS25" s="2122"/>
      <x:c r="AT25" s="1603"/>
      <x:c r="AU25" s="2123"/>
      <x:c r="AV25" s="1328" t="str">
        <x:f t="shared" si="6"/>
        <x:v/>
      </x:c>
      <x:c r="AW25" s="1262"/>
      <x:c r="AX25" s="1603" t="str">
        <x:f t="shared" si="8"/>
        <x:v/>
      </x:c>
      <x:c r="AY25" s="1410" t="str">
        <x:f t="shared" si="8"/>
        <x:v/>
      </x:c>
      <x:c r="AZ25" s="1328" t="str">
        <x:f t="shared" si="9"/>
        <x:v/>
      </x:c>
      <x:c r="BA25" s="1262" t="str">
        <x:f t="shared" si="10"/>
        <x:v/>
      </x:c>
      <x:c r="BB25" s="1603" t="str">
        <x:f t="shared" si="11"/>
        <x:v/>
      </x:c>
      <x:c r="BC25" s="1410" t="str">
        <x:f t="shared" si="11"/>
        <x:v/>
      </x:c>
      <x:c r="BD25" s="1328" t="str">
        <x:f t="shared" si="12"/>
        <x:v/>
      </x:c>
      <x:c r="BE25" s="1262" t="str">
        <x:f t="shared" si="13"/>
        <x:v/>
      </x:c>
      <x:c r="BF25" s="1603" t="str">
        <x:f t="shared" si="14"/>
        <x:v/>
      </x:c>
      <x:c r="BG25" s="1410" t="str">
        <x:f t="shared" si="14"/>
        <x:v/>
      </x:c>
      <x:c r="BH25" s="322"/>
      <x:c r="BJ25" s="1258" t="str">
        <x:f t="shared" si="57"/>
        <x:v>G28</x:v>
      </x:c>
      <x:c r="BK25" s="1256" t="b">
        <x:f t="shared" si="15"/>
        <x:v>0</x:v>
      </x:c>
      <x:c r="BL25" s="2002" t="b">
        <x:v>0</x:v>
      </x:c>
      <x:c r="BM25" s="1251">
        <x:f t="shared" si="16"/>
        <x:v>54</x:v>
      </x:c>
      <x:c r="BN25" s="1251" t="str">
        <x:f t="shared" si="17"/>
        <x:v>G</x:v>
      </x:c>
      <x:c r="BO25" s="1251">
        <x:f t="shared" si="18"/>
        <x:v>7</x:v>
      </x:c>
      <x:c r="BP25" s="1251">
        <x:f t="shared" si="19"/>
        <x:v>13.4</x:v>
      </x:c>
      <x:c r="BQ25" s="1251">
        <x:f t="shared" si="20"/>
        <x:v>3.9</x:v>
      </x:c>
      <x:c r="BR25" s="1251" t="b">
        <x:f t="shared" si="21"/>
        <x:v>1</x:v>
      </x:c>
      <x:c r="BS25" s="1252">
        <x:f t="shared" si="22"/>
        <x:v>7.75</x:v>
      </x:c>
      <x:c r="BT25" s="1252" t="str">
        <x:f t="shared" si="23"/>
        <x:v>Yes</x:v>
      </x:c>
      <x:c r="BU25" s="1252">
        <x:f t="shared" si="24"/>
        <x:v>7.75</x:v>
      </x:c>
      <x:c r="BV25" s="1252" t="str">
        <x:f t="shared" si="25"/>
        <x:v>Yes</x:v>
      </x:c>
      <x:c r="BW25" s="1253">
        <x:f t="shared" si="26"/>
        <x:v>5</x:v>
      </x:c>
      <x:c r="BX25" s="1254" t="str">
        <x:f t="shared" si="27"/>
        <x:v>G25</x:v>
      </x:c>
      <x:c r="BY25" s="1254" t="b">
        <x:f t="shared" si="28"/>
        <x:v>0</x:v>
      </x:c>
      <x:c r="BZ25" s="1253" t="b">
        <x:f t="shared" si="49"/>
        <x:v>0</x:v>
      </x:c>
      <x:c r="CB25" s="842"/>
      <x:c r="CC25" s="894"/>
      <x:c r="CD25" s="883"/>
      <x:c r="CE25" s="884"/>
      <x:c r="CF25" s="885"/>
      <x:c r="CG25" s="901"/>
      <x:c r="CH25" s="902"/>
      <x:c r="CI25" s="903"/>
      <x:c r="CJ25" s="902"/>
      <x:c r="CK25" s="903"/>
      <x:c r="CL25" s="904"/>
      <x:c r="CM25" s="944"/>
      <x:c r="CN25" s="901"/>
      <x:c r="CO25" s="902"/>
      <x:c r="CP25" s="903"/>
      <x:c r="CQ25" s="902"/>
      <x:c r="CR25" s="903"/>
      <x:c r="CS25" s="904"/>
      <x:c r="CT25" s="944"/>
      <x:c r="CU25" s="906"/>
      <x:c r="CV25" s="886"/>
      <x:c r="CW25" s="887"/>
      <x:c r="CX25" s="915"/>
      <x:c r="CY25" s="916"/>
      <x:c r="CZ25" s="932"/>
      <x:c r="DA25" s="933"/>
      <x:c r="DB25" s="932"/>
      <x:c r="DC25" s="933"/>
      <x:c r="DD25" s="1149"/>
      <x:c r="DE25" s="1150"/>
      <x:c r="DF25" s="173"/>
      <x:c r="DG25" s="173"/>
      <x:c r="DH25" s="842"/>
      <x:c r="DI25" s="843"/>
      <x:c r="DJ25" s="872"/>
      <x:c r="DK25" s="873"/>
      <x:c r="DL25" s="844"/>
      <x:c r="DM25" s="874"/>
      <x:c r="DN25" s="875"/>
      <x:c r="DO25" s="845"/>
      <x:c r="DP25" s="846"/>
      <x:c r="DQ25" s="847"/>
      <x:c r="DR25" s="847"/>
      <x:c r="DS25" s="848"/>
      <x:c r="DT25" s="836"/>
      <x:c r="DU25" s="837"/>
      <x:c r="DV25" s="849"/>
      <x:c r="DW25" s="850"/>
      <x:c r="DX25" s="851"/>
      <x:c r="DY25" s="852"/>
      <x:c r="DZ25" s="849"/>
      <x:c r="EA25" s="850"/>
      <x:c r="EB25" s="851"/>
      <x:c r="EC25" s="852"/>
      <x:c r="ED25" s="849"/>
      <x:c r="EE25" s="850"/>
      <x:c r="EF25" s="851"/>
      <x:c r="EG25" s="852"/>
      <x:c r="EH25" s="849"/>
      <x:c r="EI25" s="850"/>
      <x:c r="EJ25" s="851"/>
      <x:c r="EK25" s="853"/>
      <x:c r="EL25" s="798" t="str">
        <x:f t="shared" si="29"/>
        <x:v/>
      </x:c>
      <x:c r="EM25" s="799" t="str">
        <x:f t="shared" si="30"/>
        <x:v/>
      </x:c>
      <x:c r="EN25" s="800" t="str">
        <x:f t="shared" si="31"/>
        <x:v/>
      </x:c>
      <x:c r="EO25" s="1030" t="str">
        <x:f t="shared" si="32"/>
        <x:v/>
      </x:c>
      <x:c r="EP25" s="726" t="str">
        <x:f t="shared" si="33"/>
        <x:v/>
      </x:c>
      <x:c r="EQ25" s="727" t="str">
        <x:f t="shared" si="34"/>
        <x:v/>
      </x:c>
      <x:c r="ER25" s="961" t="str">
        <x:f t="shared" si="35"/>
        <x:v/>
      </x:c>
      <x:c r="ES25" s="962" t="str">
        <x:f t="shared" si="50"/>
        <x:v/>
      </x:c>
      <x:c r="ET25" s="963" t="str">
        <x:f t="shared" si="36"/>
        <x:v/>
      </x:c>
      <x:c r="EU25" s="964" t="str">
        <x:f t="shared" si="37"/>
        <x:v/>
      </x:c>
      <x:c r="EX25" s="1194" t="str">
        <x:f t="shared" si="51"/>
        <x:v>G25B</x:v>
      </x:c>
      <x:c r="EY25" s="1196" t="str">
        <x:f t="shared" si="38"/>
        <x:v/>
      </x:c>
      <x:c r="EZ25" s="1196" t="str">
        <x:f t="shared" si="52"/>
        <x:v/>
      </x:c>
      <x:c r="FA25" s="1217" t="e">
        <x:f t="shared" si="58"/>
        <x:v>#N/A</x:v>
      </x:c>
      <x:c r="FB25" s="1218" t="e">
        <x:f t="shared" si="53"/>
        <x:v>#N/A</x:v>
      </x:c>
      <x:c r="FC25" s="1218">
        <x:f t="shared" si="39"/>
        <x:v>0</x:v>
      </x:c>
      <x:c r="FD25" s="1218">
        <x:f t="shared" si="40"/>
        <x:v>384</x:v>
      </x:c>
      <x:c r="FE25" s="1218">
        <x:f t="shared" si="41"/>
        <x:v>35.625</x:v>
      </x:c>
      <x:c r="FF25" s="1218">
        <x:f t="shared" si="54"/>
        <x:v>419.625</x:v>
      </x:c>
      <x:c r="FN25" s="969" t="b">
        <x:v>0</x:v>
      </x:c>
      <x:c r="FO25" s="969" t="b">
        <x:f t="shared" si="42"/>
        <x:v>1</x:v>
      </x:c>
      <x:c r="FP25" s="969" t="b">
        <x:v>0</x:v>
      </x:c>
      <x:c r="FQ25" s="969" t="b">
        <x:f t="shared" si="55"/>
        <x:v>0</x:v>
      </x:c>
      <x:c r="FW25" s="2"/>
      <x:c r="FX25" s="2"/>
      <x:c r="FZ25" s="2"/>
      <x:c r="GA25" s="1935">
        <x:v>52</x:v>
      </x:c>
      <x:c r="GB25" s="1936">
        <x:v>0</x:v>
      </x:c>
      <x:c r="GC25" s="1937">
        <x:v>-0.25</x:v>
      </x:c>
      <x:c r="GD25" s="1938">
        <x:v>-0.25</x:v>
      </x:c>
      <x:c r="GE25" s="1939">
        <x:f t="shared" si="56"/>
        <x:v>0</x:v>
      </x:c>
      <x:c r="GF25" s="1940" t="str">
        <x:f t="shared" si="43"/>
        <x:v>G28</x:v>
      </x:c>
      <x:c r="GG25" s="1457"/>
      <x:c r="GH25" s="1459"/>
      <x:c r="GI25" s="1457"/>
      <x:c r="GJ25" s="1459"/>
      <x:c r="GK25" s="326">
        <x:f t="shared" si="44"/>
        <x:v>623.5</x:v>
      </x:c>
      <x:c r="GL25" s="326">
        <x:f t="shared" si="45"/>
        <x:v>623.5</x:v>
      </x:c>
      <x:c r="GM25" s="327">
        <x:f>IF(ABS(GK25-GL25)&gt;='Job Info.'!$L$22,ABS(GK25-GL25),0)</x:f>
        <x:v>0</x:v>
      </x:c>
      <x:c r="HA25" s="1612" t="s">
        <x:v>1291</x:v>
      </x:c>
      <x:c r="HB25" s="1613">
        <x:v>2</x:v>
      </x:c>
      <x:c r="HC25" s="1613" t="s">
        <x:v>1954</x:v>
      </x:c>
      <x:c r="HD25" s="1614">
        <x:v>51</x:v>
      </x:c>
      <x:c r="HE25" s="1615">
        <x:v>11.5</x:v>
      </x:c>
      <x:c r="HF25" s="1613">
        <x:v>11.125</x:v>
      </x:c>
      <x:c r="HG25" s="1613">
        <x:v>0</x:v>
      </x:c>
      <x:c r="HH25" s="1613">
        <x:v>1.75</x:v>
      </x:c>
      <x:c r="HI25" s="1613" t="s">
        <x:v>114</x:v>
      </x:c>
      <x:c r="HJ25" s="1613">
        <x:v>0</x:v>
      </x:c>
      <x:c r="HK25" s="1613">
        <x:v>1.75</x:v>
      </x:c>
      <x:c r="HL25" s="1613" t="s">
        <x:v>114</x:v>
      </x:c>
      <x:c r="HM25" s="1613">
        <x:v>7.5</x:v>
      </x:c>
      <x:c r="HN25" s="1613">
        <x:v>7.5</x:v>
      </x:c>
      <x:c r="HO25" s="1613">
        <x:v>0</x:v>
      </x:c>
      <x:c r="HP25" s="1613">
        <x:v>6.75</x:v>
      </x:c>
      <x:c r="HQ25" s="1613">
        <x:v>0</x:v>
      </x:c>
      <x:c r="HR25" s="1613">
        <x:v>6.75</x:v>
      </x:c>
      <x:c r="HS25" s="1613">
        <x:v>0</x:v>
      </x:c>
      <x:c r="HT25" s="1613">
        <x:v>6.25</x:v>
      </x:c>
      <x:c r="HU25" s="1613">
        <x:v>0</x:v>
      </x:c>
      <x:c r="HV25" s="1613">
        <x:v>6.25</x:v>
      </x:c>
      <x:c r="HW25" s="1613">
        <x:v>5</x:v>
      </x:c>
      <x:c r="HX25" s="1613" t="s">
        <x:v>117</x:v>
      </x:c>
      <x:c r="HY25" s="1617" t="s">
        <x:v>117</x:v>
      </x:c>
      <x:c r="HZ25" s="1617" t="s">
        <x:v>2042</x:v>
      </x:c>
      <x:c r="IA25" s="1617" t="s">
        <x:v>117</x:v>
      </x:c>
      <x:c r="IB25" s="1617"/>
      <x:c r="IC25" s="1617"/>
      <x:c r="ID25" s="1632"/>
      <x:c r="IE25" s="1612" t="s">
        <x:v>1289</x:v>
      </x:c>
      <x:c r="IF25" s="1613" t="s">
        <x:v>35</x:v>
      </x:c>
      <x:c r="IG25" s="1614">
        <x:v>3</x:v>
      </x:c>
      <x:c r="IH25" s="1615">
        <x:v>10</x:v>
      </x:c>
      <x:c r="II25" s="1613">
        <x:v>5</x:v>
      </x:c>
      <x:c r="IJ25" s="1614">
        <x:v>8</x:v>
      </x:c>
      <x:c r="IK25" s="1615">
        <x:v>0</x:v>
      </x:c>
      <x:c r="IL25" s="1613">
        <x:v>7</x:v>
      </x:c>
      <x:c r="IM25" s="1613">
        <x:v>1.75</x:v>
      </x:c>
      <x:c r="IN25" s="1613" t="s">
        <x:v>117</x:v>
      </x:c>
      <x:c r="IO25" s="1613" t="s">
        <x:v>117</x:v>
      </x:c>
      <x:c r="IP25" s="1613">
        <x:v>5</x:v>
      </x:c>
      <x:c r="IQ25" s="1613">
        <x:v>13</x:v>
      </x:c>
      <x:c r="IR25" s="1613">
        <x:v>4</x:v>
      </x:c>
      <x:c r="IS25" s="1614" t="s">
        <x:v>117</x:v>
      </x:c>
      <x:c r="IT25" s="1615" t="s">
        <x:v>117</x:v>
      </x:c>
      <x:c r="IU25" s="1613" t="s">
        <x:v>1061</x:v>
      </x:c>
      <x:c r="IV25" s="1613" t="s">
        <x:v>1956</x:v>
      </x:c>
      <x:c r="IW25" s="1614" t="s">
        <x:v>117</x:v>
      </x:c>
      <x:c r="IX25" s="1615" t="s">
        <x:v>35</x:v>
      </x:c>
      <x:c r="IY25" s="1613" t="s">
        <x:v>117</x:v>
      </x:c>
      <x:c r="IZ25" s="1613" t="s">
        <x:v>117</x:v>
      </x:c>
      <x:c r="JA25" s="1614" t="s">
        <x:v>117</x:v>
      </x:c>
      <x:c r="JB25" s="1615" t="s">
        <x:v>117</x:v>
      </x:c>
      <x:c r="JC25" s="1613" t="s">
        <x:v>117</x:v>
      </x:c>
      <x:c r="JD25" s="1613" t="s">
        <x:v>117</x:v>
      </x:c>
      <x:c r="JE25" s="1614" t="s">
        <x:v>117</x:v>
      </x:c>
      <x:c r="JF25" s="1615" t="s">
        <x:v>117</x:v>
      </x:c>
      <x:c r="JG25" s="1613" t="s">
        <x:v>117</x:v>
      </x:c>
      <x:c r="JH25" s="1613" t="s">
        <x:v>117</x:v>
      </x:c>
      <x:c r="JI25" s="1613" t="s">
        <x:v>117</x:v>
      </x:c>
      <x:c r="JJ25" s="1616" t="s">
        <x:v>117</x:v>
      </x:c>
      <x:c r="JK25" s="1613">
        <x:v>1</x:v>
      </x:c>
      <x:c r="JL25" s="1521">
        <x:f t="shared" ca="1" si="59"/>
        <x:v>1</x:v>
      </x:c>
    </x:row>
    <x:row r="26" spans="1:272" ht="12.6" customHeight="1" x14ac:dyDescent="0.25">
      <x:c r="A26" s="1583" t="s">
        <x:v>1292</x:v>
      </x:c>
      <x:c r="B26" s="1584">
        <x:v>7</x:v>
      </x:c>
      <x:c r="C26" s="1585" t="s">
        <x:v>1954</x:v>
      </x:c>
      <x:c r="D26" s="1586">
        <x:v>51</x:v>
      </x:c>
      <x:c r="E26" s="1587">
        <x:v>11.5</x:v>
      </x:c>
      <x:c r="F26" s="1588">
        <x:v>11.125</x:v>
      </x:c>
      <x:c r="G26" s="1589">
        <x:v>0</x:v>
      </x:c>
      <x:c r="H26" s="1590">
        <x:v>1.75</x:v>
      </x:c>
      <x:c r="I26" s="1591" t="s">
        <x:v>114</x:v>
      </x:c>
      <x:c r="J26" s="1586">
        <x:v>0</x:v>
      </x:c>
      <x:c r="K26" s="1590">
        <x:v>1.75</x:v>
      </x:c>
      <x:c r="L26" s="1592" t="s">
        <x:v>114</x:v>
      </x:c>
      <x:c r="M26" s="1593">
        <x:v>7.5</x:v>
      </x:c>
      <x:c r="N26" s="1594">
        <x:v>7.5</x:v>
      </x:c>
      <x:c r="O26" s="1589">
        <x:v>0</x:v>
      </x:c>
      <x:c r="P26" s="1590">
        <x:v>6.75</x:v>
      </x:c>
      <x:c r="Q26" s="1586">
        <x:v>0</x:v>
      </x:c>
      <x:c r="R26" s="1587">
        <x:v>6.75</x:v>
      </x:c>
      <x:c r="S26" s="1595">
        <x:v>0</x:v>
      </x:c>
      <x:c r="T26" s="1590">
        <x:v>6.25</x:v>
      </x:c>
      <x:c r="U26" s="1586">
        <x:v>0</x:v>
      </x:c>
      <x:c r="V26" s="1590">
        <x:v>6.25</x:v>
      </x:c>
      <x:c r="W26" s="1594">
        <x:v>5</x:v>
      </x:c>
      <x:c r="X26" s="1596" t="str">
        <x:f t="shared" si="0"/>
        <x:v/>
      </x:c>
      <x:c r="Y26" s="1597" t="str">
        <x:f t="shared" si="1"/>
        <x:v/>
      </x:c>
      <x:c r="Z26" s="2210" t="s">
        <x:v>2311</x:v>
      </x:c>
      <x:c r="AA26" s="1605" t="str">
        <x:f t="shared" si="2"/>
        <x:v/>
      </x:c>
      <x:c r="AB26" s="1264" t="s">
        <x:v>1289</x:v>
      </x:c>
      <x:c r="AC26" s="1260" t="s">
        <x:v>35</x:v>
      </x:c>
      <x:c r="AD26" s="1261">
        <x:v>3</x:v>
      </x:c>
      <x:c r="AE26" s="1262">
        <x:v>10</x:v>
      </x:c>
      <x:c r="AF26" s="1260">
        <x:v>5</x:v>
      </x:c>
      <x:c r="AG26" s="1261">
        <x:v>8</x:v>
      </x:c>
      <x:c r="AH26" s="1262">
        <x:v>0</x:v>
      </x:c>
      <x:c r="AI26" s="1261">
        <x:v>7</x:v>
      </x:c>
      <x:c r="AJ26" s="1262">
        <x:v>1.75</x:v>
      </x:c>
      <x:c r="AK26" s="1599" t="str">
        <x:f t="shared" ref="AK26:AK41" si="66">IF(ISBLANK(DO26),"",DO26)</x:f>
        <x:v/>
      </x:c>
      <x:c r="AL26" s="1600" t="str">
        <x:f t="shared" ref="AL26:AL36" si="67">IF(ISBLANK(DP26),"",DP26)</x:f>
        <x:v/>
      </x:c>
      <x:c r="AM26" s="1601">
        <x:v>5</x:v>
      </x:c>
      <x:c r="AN26" s="1260">
        <x:v>13</x:v>
      </x:c>
      <x:c r="AO26" s="1329">
        <x:v>4</x:v>
      </x:c>
      <x:c r="AP26" s="1327" t="str">
        <x:f t="shared" ref="AP26:AP36" si="68">IF(OR(GD66="",GD66=0),"",GD66)</x:f>
        <x:v/>
      </x:c>
      <x:c r="AQ26" s="2198" t="str">
        <x:f t="shared" ref="AQ26" si="69">IF(OR(GE66="",GE66=0),"",GE66)</x:f>
        <x:v/>
      </x:c>
      <x:c r="AR26" s="1263" t="s">
        <x:v>1061</x:v>
      </x:c>
      <x:c r="AS26" s="1262" t="s">
        <x:v>1956</x:v>
      </x:c>
      <x:c r="AT26" s="1603" t="str">
        <x:f t="shared" ref="AT26:AT41" si="70">IF(ISBLANK(DX26),"",DX26)</x:f>
        <x:v/>
      </x:c>
      <x:c r="AU26" s="1410" t="s">
        <x:v>35</x:v>
      </x:c>
      <x:c r="AV26" s="2121" t="str">
        <x:f t="shared" ref="AV26" si="71">IF(GG66="","",IF(ISTEXT(GG66),"P",TRUNC(GG66/12)))</x:f>
        <x:v/>
      </x:c>
      <x:c r="AW26" s="2122" t="str">
        <x:f t="shared" ref="AW26" si="72">IF(GG66="","",IF(AV26="P",GG66,GG66-(AV26*12)))</x:f>
        <x:v/>
      </x:c>
      <x:c r="AX26" s="1603" t="str">
        <x:f t="shared" ref="AX26:AX41" si="73">IF(ISBLANK(EB26),"",EB26)</x:f>
        <x:v/>
      </x:c>
      <x:c r="AY26" s="2123" t="str">
        <x:f t="shared" ref="AY26" si="74">IF(ISBLANK(EC26),"",EC26)</x:f>
        <x:v/>
      </x:c>
      <x:c r="AZ26" s="1328" t="str">
        <x:f t="shared" ref="AZ26" si="75">IF(GH66="","",IF(ISTEXT(GH66),"P",TRUNC(GH66/12)))</x:f>
        <x:v/>
      </x:c>
      <x:c r="BA26" s="1262" t="str">
        <x:f t="shared" ref="BA26" si="76">IF(GH66="","",IF(AZ26="P",GH66,GH66-(AZ26*12)))</x:f>
        <x:v/>
      </x:c>
      <x:c r="BB26" s="1603" t="str">
        <x:f t="shared" ref="BB26:BB41" si="77">IF(ISBLANK(EF26),"",EF26)</x:f>
        <x:v/>
      </x:c>
      <x:c r="BC26" s="1410" t="str">
        <x:f t="shared" ref="BC26" si="78">IF(ISBLANK(EG26),"",EG26)</x:f>
        <x:v/>
      </x:c>
      <x:c r="BD26" s="1328" t="str">
        <x:f t="shared" ref="BD26:BD41" si="79">IF(GI66="","",IF(ISTEXT(GI66),"P",TRUNC(GI66/12)))</x:f>
        <x:v/>
      </x:c>
      <x:c r="BE26" s="1262" t="str">
        <x:f t="shared" ref="BE26:BE41" si="80">IF(GI66="","",IF(BD26="P",GI66,GI66-(BD26*12)))</x:f>
        <x:v/>
      </x:c>
      <x:c r="BF26" s="1603" t="str">
        <x:f t="shared" ref="BF26:BF41" si="81">IF(ISBLANK(EJ26),"",EJ26)</x:f>
        <x:v/>
      </x:c>
      <x:c r="BG26" s="1410" t="str">
        <x:f t="shared" ref="BG26:BG41" si="82">IF(ISBLANK(EK26),"",EK26)</x:f>
        <x:v/>
      </x:c>
      <x:c r="BH26" s="322"/>
      <x:c r="BJ26" s="1258" t="str">
        <x:f t="shared" si="57"/>
        <x:v>G29</x:v>
      </x:c>
      <x:c r="BK26" s="1256" t="b">
        <x:f t="shared" si="15"/>
        <x:v>0</x:v>
      </x:c>
      <x:c r="BL26" s="2002" t="b">
        <x:v>0</x:v>
      </x:c>
      <x:c r="BM26" s="1251">
        <x:f t="shared" si="16"/>
        <x:v>54</x:v>
      </x:c>
      <x:c r="BN26" s="1251" t="str">
        <x:f t="shared" si="17"/>
        <x:v>G</x:v>
      </x:c>
      <x:c r="BO26" s="1251">
        <x:f t="shared" si="18"/>
        <x:v>7</x:v>
      </x:c>
      <x:c r="BP26" s="1251">
        <x:f t="shared" si="19"/>
        <x:v>13.4</x:v>
      </x:c>
      <x:c r="BQ26" s="1251">
        <x:f t="shared" si="20"/>
        <x:v>3.9</x:v>
      </x:c>
      <x:c r="BR26" s="1251" t="b">
        <x:f t="shared" si="21"/>
        <x:v>1</x:v>
      </x:c>
      <x:c r="BS26" s="1252">
        <x:f t="shared" si="22"/>
        <x:v>7.75</x:v>
      </x:c>
      <x:c r="BT26" s="1252" t="str">
        <x:f t="shared" si="23"/>
        <x:v>Yes</x:v>
      </x:c>
      <x:c r="BU26" s="1252">
        <x:f t="shared" si="24"/>
        <x:v>7.75</x:v>
      </x:c>
      <x:c r="BV26" s="1252" t="str">
        <x:f t="shared" si="25"/>
        <x:v>Yes</x:v>
      </x:c>
      <x:c r="BW26" s="1253">
        <x:f t="shared" si="26"/>
        <x:v>15</x:v>
      </x:c>
      <x:c r="BX26" s="1254" t="str">
        <x:f t="shared" si="27"/>
        <x:v>G26</x:v>
      </x:c>
      <x:c r="BY26" s="1254" t="b">
        <x:f t="shared" si="28"/>
        <x:v>0</x:v>
      </x:c>
      <x:c r="BZ26" s="1253" t="b">
        <x:f t="shared" si="49"/>
        <x:v>0</x:v>
      </x:c>
      <x:c r="CB26" s="842"/>
      <x:c r="CC26" s="894"/>
      <x:c r="CD26" s="883"/>
      <x:c r="CE26" s="884"/>
      <x:c r="CF26" s="885"/>
      <x:c r="CG26" s="901"/>
      <x:c r="CH26" s="902"/>
      <x:c r="CI26" s="903"/>
      <x:c r="CJ26" s="902"/>
      <x:c r="CK26" s="903"/>
      <x:c r="CL26" s="904"/>
      <x:c r="CM26" s="944"/>
      <x:c r="CN26" s="901"/>
      <x:c r="CO26" s="902"/>
      <x:c r="CP26" s="903"/>
      <x:c r="CQ26" s="902"/>
      <x:c r="CR26" s="903"/>
      <x:c r="CS26" s="904"/>
      <x:c r="CT26" s="944"/>
      <x:c r="CU26" s="906"/>
      <x:c r="CV26" s="886"/>
      <x:c r="CW26" s="887"/>
      <x:c r="CX26" s="915"/>
      <x:c r="CY26" s="916"/>
      <x:c r="CZ26" s="932"/>
      <x:c r="DA26" s="933"/>
      <x:c r="DB26" s="932"/>
      <x:c r="DC26" s="933"/>
      <x:c r="DD26" s="1149"/>
      <x:c r="DE26" s="1150"/>
      <x:c r="DF26" s="173"/>
      <x:c r="DG26" s="173"/>
      <x:c r="DH26" s="842"/>
      <x:c r="DI26" s="843"/>
      <x:c r="DJ26" s="872"/>
      <x:c r="DK26" s="873"/>
      <x:c r="DL26" s="844"/>
      <x:c r="DM26" s="874"/>
      <x:c r="DN26" s="875"/>
      <x:c r="DO26" s="845"/>
      <x:c r="DP26" s="846"/>
      <x:c r="DQ26" s="847"/>
      <x:c r="DR26" s="847"/>
      <x:c r="DS26" s="848"/>
      <x:c r="DT26" s="836"/>
      <x:c r="DU26" s="837"/>
      <x:c r="DV26" s="849"/>
      <x:c r="DW26" s="850"/>
      <x:c r="DX26" s="851"/>
      <x:c r="DY26" s="852"/>
      <x:c r="DZ26" s="849"/>
      <x:c r="EA26" s="850"/>
      <x:c r="EB26" s="851"/>
      <x:c r="EC26" s="852"/>
      <x:c r="ED26" s="849"/>
      <x:c r="EE26" s="850"/>
      <x:c r="EF26" s="851"/>
      <x:c r="EG26" s="852"/>
      <x:c r="EH26" s="849"/>
      <x:c r="EI26" s="850"/>
      <x:c r="EJ26" s="851"/>
      <x:c r="EK26" s="853"/>
      <x:c r="EL26" s="798" t="str">
        <x:f t="shared" si="29"/>
        <x:v/>
      </x:c>
      <x:c r="EM26" s="799" t="str">
        <x:f t="shared" si="30"/>
        <x:v/>
      </x:c>
      <x:c r="EN26" s="800" t="str">
        <x:f t="shared" si="31"/>
        <x:v/>
      </x:c>
      <x:c r="EO26" s="1030" t="str">
        <x:f t="shared" si="32"/>
        <x:v/>
      </x:c>
      <x:c r="EP26" s="726" t="str">
        <x:f t="shared" si="33"/>
        <x:v/>
      </x:c>
      <x:c r="EQ26" s="727" t="str">
        <x:f t="shared" si="34"/>
        <x:v/>
      </x:c>
      <x:c r="ER26" s="961" t="str">
        <x:f t="shared" si="35"/>
        <x:v/>
      </x:c>
      <x:c r="ES26" s="962" t="str">
        <x:f t="shared" si="50"/>
        <x:v/>
      </x:c>
      <x:c r="ET26" s="963" t="str">
        <x:f t="shared" si="36"/>
        <x:v/>
      </x:c>
      <x:c r="EU26" s="964" t="str">
        <x:f t="shared" si="37"/>
        <x:v/>
      </x:c>
      <x:c r="EX26" s="1194" t="str">
        <x:f t="shared" si="51"/>
        <x:v>G26B</x:v>
      </x:c>
      <x:c r="EY26" s="1196" t="b">
        <x:f t="shared" ca="1" si="38"/>
        <x:v>1</x:v>
      </x:c>
      <x:c r="EZ26" s="1196">
        <x:f t="shared" si="52"/>
        <x:v>5</x:v>
      </x:c>
      <x:c r="FA26" s="1217" t="e">
        <x:f t="shared" si="58"/>
        <x:v>#N/A</x:v>
      </x:c>
      <x:c r="FB26" s="1218" t="e">
        <x:f t="shared" si="53"/>
        <x:v>#N/A</x:v>
      </x:c>
      <x:c r="FC26" s="1218">
        <x:f t="shared" si="39"/>
        <x:v>46</x:v>
      </x:c>
      <x:c r="FD26" s="1218">
        <x:f t="shared" si="40"/>
        <x:v>480</x:v>
      </x:c>
      <x:c r="FE26" s="1218">
        <x:f t="shared" si="41"/>
        <x:v>85.75</x:v>
      </x:c>
      <x:c r="FF26" s="1218">
        <x:f t="shared" si="54"/>
        <x:v>611.75</x:v>
      </x:c>
      <x:c r="FN26" s="969" t="b">
        <x:v>0</x:v>
      </x:c>
      <x:c r="FO26" s="969" t="b">
        <x:f t="shared" si="42"/>
        <x:v>1</x:v>
      </x:c>
      <x:c r="FP26" s="969" t="b">
        <x:v>0</x:v>
      </x:c>
      <x:c r="FQ26" s="969" t="b">
        <x:f t="shared" si="55"/>
        <x:v>1</x:v>
      </x:c>
      <x:c r="FW26" s="2"/>
      <x:c r="FX26" s="2"/>
      <x:c r="FZ26" s="2"/>
      <x:c r="GA26" s="1935">
        <x:v>52</x:v>
      </x:c>
      <x:c r="GB26" s="1936">
        <x:v>0</x:v>
      </x:c>
      <x:c r="GC26" s="1937">
        <x:v>-0.25</x:v>
      </x:c>
      <x:c r="GD26" s="1938">
        <x:v>-0.25</x:v>
      </x:c>
      <x:c r="GE26" s="1939">
        <x:f t="shared" si="56"/>
        <x:v>0</x:v>
      </x:c>
      <x:c r="GF26" s="1940" t="str">
        <x:f t="shared" si="43"/>
        <x:v>G29</x:v>
      </x:c>
      <x:c r="GG26" s="1457"/>
      <x:c r="GH26" s="1459"/>
      <x:c r="GI26" s="1457"/>
      <x:c r="GJ26" s="1459"/>
      <x:c r="GK26" s="326">
        <x:f t="shared" si="44"/>
        <x:v>623.5</x:v>
      </x:c>
      <x:c r="GL26" s="326">
        <x:f t="shared" si="45"/>
        <x:v>623.5</x:v>
      </x:c>
      <x:c r="GM26" s="327">
        <x:f>IF(ABS(GK26-GL26)&gt;='Job Info.'!$L$22,ABS(GK26-GL26),0)</x:f>
        <x:v>0</x:v>
      </x:c>
      <x:c r="GZ26" s="183"/>
      <x:c r="HA26" s="1612" t="s">
        <x:v>1292</x:v>
      </x:c>
      <x:c r="HB26" s="1613">
        <x:v>7</x:v>
      </x:c>
      <x:c r="HC26" s="1613" t="s">
        <x:v>1954</x:v>
      </x:c>
      <x:c r="HD26" s="1614">
        <x:v>51</x:v>
      </x:c>
      <x:c r="HE26" s="1615">
        <x:v>11.5</x:v>
      </x:c>
      <x:c r="HF26" s="1613">
        <x:v>11.125</x:v>
      </x:c>
      <x:c r="HG26" s="1613">
        <x:v>0</x:v>
      </x:c>
      <x:c r="HH26" s="1613">
        <x:v>1.75</x:v>
      </x:c>
      <x:c r="HI26" s="1613" t="s">
        <x:v>114</x:v>
      </x:c>
      <x:c r="HJ26" s="1613">
        <x:v>0</x:v>
      </x:c>
      <x:c r="HK26" s="1613">
        <x:v>1.75</x:v>
      </x:c>
      <x:c r="HL26" s="1613" t="s">
        <x:v>114</x:v>
      </x:c>
      <x:c r="HM26" s="1613">
        <x:v>7.5</x:v>
      </x:c>
      <x:c r="HN26" s="1613">
        <x:v>7.5</x:v>
      </x:c>
      <x:c r="HO26" s="1613">
        <x:v>0</x:v>
      </x:c>
      <x:c r="HP26" s="1613">
        <x:v>6.75</x:v>
      </x:c>
      <x:c r="HQ26" s="1613">
        <x:v>0</x:v>
      </x:c>
      <x:c r="HR26" s="1613">
        <x:v>6.75</x:v>
      </x:c>
      <x:c r="HS26" s="1613">
        <x:v>0</x:v>
      </x:c>
      <x:c r="HT26" s="1613">
        <x:v>6.25</x:v>
      </x:c>
      <x:c r="HU26" s="1613">
        <x:v>0</x:v>
      </x:c>
      <x:c r="HV26" s="1613">
        <x:v>6.25</x:v>
      </x:c>
      <x:c r="HW26" s="1613">
        <x:v>5</x:v>
      </x:c>
      <x:c r="HX26" s="1613" t="s">
        <x:v>117</x:v>
      </x:c>
      <x:c r="HY26" s="1617" t="s">
        <x:v>117</x:v>
      </x:c>
      <x:c r="HZ26" s="1617" t="s">
        <x:v>2043</x:v>
      </x:c>
      <x:c r="IA26" s="1617" t="s">
        <x:v>117</x:v>
      </x:c>
      <x:c r="IB26" s="1617"/>
      <x:c r="IC26" s="1617"/>
      <x:c r="ID26" s="1632"/>
      <x:c r="IE26" s="1612" t="s">
        <x:v>1289</x:v>
      </x:c>
      <x:c r="IF26" s="1613" t="s">
        <x:v>35</x:v>
      </x:c>
      <x:c r="IG26" s="1614">
        <x:v>3</x:v>
      </x:c>
      <x:c r="IH26" s="1615">
        <x:v>10</x:v>
      </x:c>
      <x:c r="II26" s="1613">
        <x:v>5</x:v>
      </x:c>
      <x:c r="IJ26" s="1614">
        <x:v>8</x:v>
      </x:c>
      <x:c r="IK26" s="1615">
        <x:v>0</x:v>
      </x:c>
      <x:c r="IL26" s="1613">
        <x:v>7</x:v>
      </x:c>
      <x:c r="IM26" s="1613">
        <x:v>1.75</x:v>
      </x:c>
      <x:c r="IN26" s="1613" t="s">
        <x:v>117</x:v>
      </x:c>
      <x:c r="IO26" s="1613" t="s">
        <x:v>117</x:v>
      </x:c>
      <x:c r="IP26" s="1613">
        <x:v>5</x:v>
      </x:c>
      <x:c r="IQ26" s="1613">
        <x:v>13</x:v>
      </x:c>
      <x:c r="IR26" s="1613">
        <x:v>4</x:v>
      </x:c>
      <x:c r="IS26" s="1614" t="s">
        <x:v>117</x:v>
      </x:c>
      <x:c r="IT26" s="1615">
        <x:v>1.75</x:v>
      </x:c>
      <x:c r="IU26" s="1613" t="s">
        <x:v>1061</x:v>
      </x:c>
      <x:c r="IV26" s="1613" t="s">
        <x:v>1956</x:v>
      </x:c>
      <x:c r="IW26" s="1614" t="s">
        <x:v>117</x:v>
      </x:c>
      <x:c r="IX26" s="1615" t="s">
        <x:v>35</x:v>
      </x:c>
      <x:c r="IY26" s="1613" t="s">
        <x:v>1061</x:v>
      </x:c>
      <x:c r="IZ26" s="1613" t="s">
        <x:v>1958</x:v>
      </x:c>
      <x:c r="JA26" s="1614" t="s">
        <x:v>117</x:v>
      </x:c>
      <x:c r="JB26" s="1615" t="s">
        <x:v>1703</x:v>
      </x:c>
      <x:c r="JC26" s="1613" t="s">
        <x:v>117</x:v>
      </x:c>
      <x:c r="JD26" s="1613" t="s">
        <x:v>117</x:v>
      </x:c>
      <x:c r="JE26" s="1614" t="s">
        <x:v>117</x:v>
      </x:c>
      <x:c r="JF26" s="1615" t="s">
        <x:v>117</x:v>
      </x:c>
      <x:c r="JG26" s="1613" t="s">
        <x:v>117</x:v>
      </x:c>
      <x:c r="JH26" s="1613" t="s">
        <x:v>117</x:v>
      </x:c>
      <x:c r="JI26" s="1613" t="s">
        <x:v>117</x:v>
      </x:c>
      <x:c r="JJ26" s="1616" t="s">
        <x:v>117</x:v>
      </x:c>
      <x:c r="JK26" s="1613">
        <x:v>1</x:v>
      </x:c>
      <x:c r="JL26" s="1521">
        <x:f t="shared" ca="1" si="59"/>
        <x:v>1</x:v>
      </x:c>
    </x:row>
    <x:row r="27" spans="1:272" ht="12.6" customHeight="1" x14ac:dyDescent="0.25">
      <x:c r="A27" s="1583" t="s">
        <x:v>1293</x:v>
      </x:c>
      <x:c r="B27" s="1584">
        <x:v>8</x:v>
      </x:c>
      <x:c r="C27" s="1585" t="s">
        <x:v>1954</x:v>
      </x:c>
      <x:c r="D27" s="1586">
        <x:v>51</x:v>
      </x:c>
      <x:c r="E27" s="1587">
        <x:v>11.5</x:v>
      </x:c>
      <x:c r="F27" s="1588">
        <x:v>11.125</x:v>
      </x:c>
      <x:c r="G27" s="1589">
        <x:v>0</x:v>
      </x:c>
      <x:c r="H27" s="1590">
        <x:v>1.75</x:v>
      </x:c>
      <x:c r="I27" s="1591" t="s">
        <x:v>114</x:v>
      </x:c>
      <x:c r="J27" s="1586">
        <x:v>0</x:v>
      </x:c>
      <x:c r="K27" s="1590">
        <x:v>1.75</x:v>
      </x:c>
      <x:c r="L27" s="1592" t="s">
        <x:v>114</x:v>
      </x:c>
      <x:c r="M27" s="1593">
        <x:v>7.5</x:v>
      </x:c>
      <x:c r="N27" s="1594">
        <x:v>7.5</x:v>
      </x:c>
      <x:c r="O27" s="1589">
        <x:v>0</x:v>
      </x:c>
      <x:c r="P27" s="1590">
        <x:v>6.75</x:v>
      </x:c>
      <x:c r="Q27" s="1586">
        <x:v>0</x:v>
      </x:c>
      <x:c r="R27" s="1587">
        <x:v>6.75</x:v>
      </x:c>
      <x:c r="S27" s="1595">
        <x:v>0</x:v>
      </x:c>
      <x:c r="T27" s="1590">
        <x:v>6.25</x:v>
      </x:c>
      <x:c r="U27" s="1586">
        <x:v>0</x:v>
      </x:c>
      <x:c r="V27" s="1590">
        <x:v>6.25</x:v>
      </x:c>
      <x:c r="W27" s="1594">
        <x:v>5</x:v>
      </x:c>
      <x:c r="X27" s="1596" t="str">
        <x:f t="shared" si="0"/>
        <x:v/>
      </x:c>
      <x:c r="Y27" s="1597" t="str">
        <x:f t="shared" si="1"/>
        <x:v/>
      </x:c>
      <x:c r="Z27" s="2210" t="s">
        <x:v>2310</x:v>
      </x:c>
      <x:c r="AA27" s="1605" t="str">
        <x:f t="shared" si="2"/>
        <x:v/>
      </x:c>
      <x:c r="AB27" s="1264" t="s">
        <x:v>1290</x:v>
      </x:c>
      <x:c r="AC27" s="1260" t="s">
        <x:v>35</x:v>
      </x:c>
      <x:c r="AD27" s="1261">
        <x:v>3</x:v>
      </x:c>
      <x:c r="AE27" s="1262">
        <x:v>10</x:v>
      </x:c>
      <x:c r="AF27" s="1260">
        <x:v>5</x:v>
      </x:c>
      <x:c r="AG27" s="1261">
        <x:v>8</x:v>
      </x:c>
      <x:c r="AH27" s="1262">
        <x:v>0</x:v>
      </x:c>
      <x:c r="AI27" s="1261">
        <x:v>7</x:v>
      </x:c>
      <x:c r="AJ27" s="1262">
        <x:v>10</x:v>
      </x:c>
      <x:c r="AK27" s="1599" t="str">
        <x:f t="shared" si="66"/>
        <x:v/>
      </x:c>
      <x:c r="AL27" s="1600" t="str">
        <x:f t="shared" si="67"/>
        <x:v/>
      </x:c>
      <x:c r="AM27" s="1601">
        <x:v>5</x:v>
      </x:c>
      <x:c r="AN27" s="1260">
        <x:v>13</x:v>
      </x:c>
      <x:c r="AO27" s="1329">
        <x:v>4</x:v>
      </x:c>
      <x:c r="AP27" s="1327" t="str">
        <x:f t="shared" si="68"/>
        <x:v/>
      </x:c>
      <x:c r="AQ27" s="1602">
        <x:v>1.75</x:v>
      </x:c>
      <x:c r="AR27" s="1263" t="s">
        <x:v>1061</x:v>
      </x:c>
      <x:c r="AS27" s="1262" t="s">
        <x:v>1956</x:v>
      </x:c>
      <x:c r="AT27" s="1603" t="str">
        <x:f t="shared" si="70"/>
        <x:v/>
      </x:c>
      <x:c r="AU27" s="1410" t="s">
        <x:v>35</x:v>
      </x:c>
      <x:c r="AV27" s="1328" t="s">
        <x:v>1061</x:v>
      </x:c>
      <x:c r="AW27" s="1262" t="s">
        <x:v>1958</x:v>
      </x:c>
      <x:c r="AX27" s="1603" t="str">
        <x:f t="shared" si="73"/>
        <x:v/>
      </x:c>
      <x:c r="AY27" s="1410" t="s">
        <x:v>1703</x:v>
      </x:c>
      <x:c r="AZ27" s="2121">
        <x:v>51</x:v>
      </x:c>
      <x:c r="BA27" s="2122">
        <x:v>0</x:v>
      </x:c>
      <x:c r="BB27" s="1603" t="str">
        <x:f t="shared" si="77"/>
        <x:v/>
      </x:c>
      <x:c r="BC27" s="2123" t="s">
        <x:v>35</x:v>
      </x:c>
      <x:c r="BD27" s="1328" t="str">
        <x:f t="shared" si="79"/>
        <x:v/>
      </x:c>
      <x:c r="BE27" s="1262" t="str">
        <x:f t="shared" si="80"/>
        <x:v/>
      </x:c>
      <x:c r="BF27" s="1603" t="str">
        <x:f t="shared" si="81"/>
        <x:v/>
      </x:c>
      <x:c r="BG27" s="1410" t="str">
        <x:f t="shared" si="82"/>
        <x:v/>
      </x:c>
      <x:c r="BH27" s="322"/>
      <x:c r="BJ27" s="1258" t="str">
        <x:f t="shared" si="57"/>
        <x:v>G30</x:v>
      </x:c>
      <x:c r="BK27" s="1256" t="b">
        <x:f t="shared" si="15"/>
        <x:v>0</x:v>
      </x:c>
      <x:c r="BL27" s="2002" t="b">
        <x:v>0</x:v>
      </x:c>
      <x:c r="BM27" s="1251">
        <x:f t="shared" si="16"/>
        <x:v>54</x:v>
      </x:c>
      <x:c r="BN27" s="1251" t="str">
        <x:f t="shared" si="17"/>
        <x:v>G</x:v>
      </x:c>
      <x:c r="BO27" s="1251">
        <x:f t="shared" si="18"/>
        <x:v>7</x:v>
      </x:c>
      <x:c r="BP27" s="1251">
        <x:f t="shared" si="19"/>
        <x:v>13.4</x:v>
      </x:c>
      <x:c r="BQ27" s="1251">
        <x:f t="shared" si="20"/>
        <x:v>3.9</x:v>
      </x:c>
      <x:c r="BR27" s="1251" t="b">
        <x:f t="shared" si="21"/>
        <x:v>1</x:v>
      </x:c>
      <x:c r="BS27" s="1252">
        <x:f t="shared" si="22"/>
        <x:v>7.75</x:v>
      </x:c>
      <x:c r="BT27" s="1252" t="str">
        <x:f t="shared" si="23"/>
        <x:v>Yes</x:v>
      </x:c>
      <x:c r="BU27" s="1252">
        <x:f t="shared" si="24"/>
        <x:v>7.75</x:v>
      </x:c>
      <x:c r="BV27" s="1252" t="str">
        <x:f t="shared" si="25"/>
        <x:v>Yes</x:v>
      </x:c>
      <x:c r="BW27" s="1253">
        <x:f t="shared" si="26"/>
        <x:v>22</x:v>
      </x:c>
      <x:c r="BX27" s="1254" t="str">
        <x:f t="shared" si="27"/>
        <x:v>G27</x:v>
      </x:c>
      <x:c r="BY27" s="1254" t="b">
        <x:f t="shared" si="28"/>
        <x:v>0</x:v>
      </x:c>
      <x:c r="BZ27" s="1253" t="b">
        <x:f t="shared" si="49"/>
        <x:v>0</x:v>
      </x:c>
      <x:c r="CB27" s="842"/>
      <x:c r="CC27" s="894"/>
      <x:c r="CD27" s="883"/>
      <x:c r="CE27" s="884"/>
      <x:c r="CF27" s="885"/>
      <x:c r="CG27" s="901"/>
      <x:c r="CH27" s="902"/>
      <x:c r="CI27" s="903"/>
      <x:c r="CJ27" s="902"/>
      <x:c r="CK27" s="903"/>
      <x:c r="CL27" s="904"/>
      <x:c r="CM27" s="944"/>
      <x:c r="CN27" s="901"/>
      <x:c r="CO27" s="902"/>
      <x:c r="CP27" s="903"/>
      <x:c r="CQ27" s="902"/>
      <x:c r="CR27" s="903"/>
      <x:c r="CS27" s="904"/>
      <x:c r="CT27" s="944"/>
      <x:c r="CU27" s="906"/>
      <x:c r="CV27" s="886"/>
      <x:c r="CW27" s="887"/>
      <x:c r="CX27" s="915"/>
      <x:c r="CY27" s="916"/>
      <x:c r="CZ27" s="932"/>
      <x:c r="DA27" s="933"/>
      <x:c r="DB27" s="932"/>
      <x:c r="DC27" s="933"/>
      <x:c r="DD27" s="1149"/>
      <x:c r="DE27" s="1150"/>
      <x:c r="DF27" s="173"/>
      <x:c r="DG27" s="173"/>
      <x:c r="DH27" s="842"/>
      <x:c r="DI27" s="843"/>
      <x:c r="DJ27" s="872"/>
      <x:c r="DK27" s="873"/>
      <x:c r="DL27" s="844"/>
      <x:c r="DM27" s="874"/>
      <x:c r="DN27" s="875"/>
      <x:c r="DO27" s="845"/>
      <x:c r="DP27" s="846"/>
      <x:c r="DQ27" s="847"/>
      <x:c r="DR27" s="847"/>
      <x:c r="DS27" s="848"/>
      <x:c r="DT27" s="836"/>
      <x:c r="DU27" s="837"/>
      <x:c r="DV27" s="849"/>
      <x:c r="DW27" s="850"/>
      <x:c r="DX27" s="851"/>
      <x:c r="DY27" s="852"/>
      <x:c r="DZ27" s="849"/>
      <x:c r="EA27" s="850"/>
      <x:c r="EB27" s="851"/>
      <x:c r="EC27" s="852"/>
      <x:c r="ED27" s="849"/>
      <x:c r="EE27" s="850"/>
      <x:c r="EF27" s="851"/>
      <x:c r="EG27" s="852"/>
      <x:c r="EH27" s="849"/>
      <x:c r="EI27" s="850"/>
      <x:c r="EJ27" s="851"/>
      <x:c r="EK27" s="853"/>
      <x:c r="EL27" s="798" t="str">
        <x:f t="shared" si="29"/>
        <x:v/>
      </x:c>
      <x:c r="EM27" s="799" t="str">
        <x:f t="shared" si="30"/>
        <x:v/>
      </x:c>
      <x:c r="EN27" s="800" t="str">
        <x:f t="shared" si="31"/>
        <x:v/>
      </x:c>
      <x:c r="EO27" s="1030" t="str">
        <x:f t="shared" si="32"/>
        <x:v/>
      </x:c>
      <x:c r="EP27" s="726" t="str">
        <x:f t="shared" si="33"/>
        <x:v/>
      </x:c>
      <x:c r="EQ27" s="727" t="str">
        <x:f t="shared" si="34"/>
        <x:v/>
      </x:c>
      <x:c r="ER27" s="961" t="str">
        <x:f t="shared" si="35"/>
        <x:v/>
      </x:c>
      <x:c r="ES27" s="962" t="str">
        <x:f t="shared" si="50"/>
        <x:v/>
      </x:c>
      <x:c r="ET27" s="963" t="str">
        <x:f t="shared" si="36"/>
        <x:v/>
      </x:c>
      <x:c r="EU27" s="964" t="str">
        <x:f t="shared" si="37"/>
        <x:v/>
      </x:c>
      <x:c r="EX27" s="1194" t="str">
        <x:f t="shared" si="51"/>
        <x:v>G27B</x:v>
      </x:c>
      <x:c r="EY27" s="1196" t="b">
        <x:f t="shared" ca="1" si="38"/>
        <x:v>1</x:v>
      </x:c>
      <x:c r="EZ27" s="1196">
        <x:f t="shared" si="52"/>
        <x:v>5</x:v>
      </x:c>
      <x:c r="FA27" s="1217" t="e">
        <x:f t="shared" si="58"/>
        <x:v>#N/A</x:v>
      </x:c>
      <x:c r="FB27" s="1218" t="e">
        <x:f t="shared" si="53"/>
        <x:v>#N/A</x:v>
      </x:c>
      <x:c r="FC27" s="1218">
        <x:f t="shared" si="39"/>
        <x:v>46</x:v>
      </x:c>
      <x:c r="FD27" s="1218">
        <x:f t="shared" si="40"/>
        <x:v>480</x:v>
      </x:c>
      <x:c r="FE27" s="1218">
        <x:f t="shared" si="41"/>
        <x:v>94</x:v>
      </x:c>
      <x:c r="FF27" s="1218">
        <x:f t="shared" si="54"/>
        <x:v>620</x:v>
      </x:c>
      <x:c r="FN27" s="969" t="b">
        <x:v>0</x:v>
      </x:c>
      <x:c r="FO27" s="969" t="b">
        <x:f t="shared" si="42"/>
        <x:v>1</x:v>
      </x:c>
      <x:c r="FP27" s="969" t="b">
        <x:v>0</x:v>
      </x:c>
      <x:c r="FQ27" s="969" t="b">
        <x:f t="shared" si="55"/>
        <x:v>1</x:v>
      </x:c>
      <x:c r="FW27" s="2"/>
      <x:c r="FX27" s="2"/>
      <x:c r="FZ27" s="2"/>
      <x:c r="GA27" s="1935">
        <x:v>52</x:v>
      </x:c>
      <x:c r="GB27" s="1936">
        <x:v>0</x:v>
      </x:c>
      <x:c r="GC27" s="1937">
        <x:v>-0.25</x:v>
      </x:c>
      <x:c r="GD27" s="1938">
        <x:v>-0.25</x:v>
      </x:c>
      <x:c r="GE27" s="1939">
        <x:f t="shared" si="56"/>
        <x:v>0</x:v>
      </x:c>
      <x:c r="GF27" s="1940" t="str">
        <x:f t="shared" si="43"/>
        <x:v>G30</x:v>
      </x:c>
      <x:c r="GG27" s="1457"/>
      <x:c r="GH27" s="1459"/>
      <x:c r="GI27" s="1457"/>
      <x:c r="GJ27" s="1459"/>
      <x:c r="GK27" s="326">
        <x:f t="shared" si="44"/>
        <x:v>623.5</x:v>
      </x:c>
      <x:c r="GL27" s="326">
        <x:f t="shared" si="45"/>
        <x:v>623.5</x:v>
      </x:c>
      <x:c r="GM27" s="327">
        <x:f>IF(ABS(GK27-GL27)&gt;='Job Info.'!$L$22,ABS(GK27-GL27),0)</x:f>
        <x:v>0</x:v>
      </x:c>
      <x:c r="GZ27" s="183"/>
      <x:c r="HA27" s="1612" t="s">
        <x:v>1293</x:v>
      </x:c>
      <x:c r="HB27" s="1613">
        <x:v>8</x:v>
      </x:c>
      <x:c r="HC27" s="1613" t="s">
        <x:v>1954</x:v>
      </x:c>
      <x:c r="HD27" s="1614">
        <x:v>51</x:v>
      </x:c>
      <x:c r="HE27" s="1615">
        <x:v>11.5</x:v>
      </x:c>
      <x:c r="HF27" s="1613">
        <x:v>11.125</x:v>
      </x:c>
      <x:c r="HG27" s="1613">
        <x:v>0</x:v>
      </x:c>
      <x:c r="HH27" s="1613">
        <x:v>1.75</x:v>
      </x:c>
      <x:c r="HI27" s="1613" t="s">
        <x:v>114</x:v>
      </x:c>
      <x:c r="HJ27" s="1613">
        <x:v>0</x:v>
      </x:c>
      <x:c r="HK27" s="1613">
        <x:v>1.75</x:v>
      </x:c>
      <x:c r="HL27" s="1613" t="s">
        <x:v>114</x:v>
      </x:c>
      <x:c r="HM27" s="1613">
        <x:v>7.5</x:v>
      </x:c>
      <x:c r="HN27" s="1613">
        <x:v>7.5</x:v>
      </x:c>
      <x:c r="HO27" s="1613">
        <x:v>0</x:v>
      </x:c>
      <x:c r="HP27" s="1613">
        <x:v>6.75</x:v>
      </x:c>
      <x:c r="HQ27" s="1613">
        <x:v>0</x:v>
      </x:c>
      <x:c r="HR27" s="1613">
        <x:v>6.75</x:v>
      </x:c>
      <x:c r="HS27" s="1613">
        <x:v>0</x:v>
      </x:c>
      <x:c r="HT27" s="1613">
        <x:v>6.25</x:v>
      </x:c>
      <x:c r="HU27" s="1613">
        <x:v>0</x:v>
      </x:c>
      <x:c r="HV27" s="1613">
        <x:v>6.25</x:v>
      </x:c>
      <x:c r="HW27" s="1613">
        <x:v>5</x:v>
      </x:c>
      <x:c r="HX27" s="1613" t="s">
        <x:v>117</x:v>
      </x:c>
      <x:c r="HY27" s="1617" t="s">
        <x:v>117</x:v>
      </x:c>
      <x:c r="HZ27" s="1617" t="s">
        <x:v>2042</x:v>
      </x:c>
      <x:c r="IA27" s="1617" t="s">
        <x:v>117</x:v>
      </x:c>
      <x:c r="IB27" s="1617"/>
      <x:c r="IC27" s="1617"/>
      <x:c r="ID27" s="1632"/>
      <x:c r="IE27" s="1612" t="s">
        <x:v>1290</x:v>
      </x:c>
      <x:c r="IF27" s="1613" t="s">
        <x:v>35</x:v>
      </x:c>
      <x:c r="IG27" s="1614">
        <x:v>3</x:v>
      </x:c>
      <x:c r="IH27" s="1615">
        <x:v>10</x:v>
      </x:c>
      <x:c r="II27" s="1613">
        <x:v>5</x:v>
      </x:c>
      <x:c r="IJ27" s="1614">
        <x:v>8</x:v>
      </x:c>
      <x:c r="IK27" s="1615">
        <x:v>0</x:v>
      </x:c>
      <x:c r="IL27" s="1613">
        <x:v>7</x:v>
      </x:c>
      <x:c r="IM27" s="1613">
        <x:v>10</x:v>
      </x:c>
      <x:c r="IN27" s="1613" t="s">
        <x:v>117</x:v>
      </x:c>
      <x:c r="IO27" s="1613" t="s">
        <x:v>117</x:v>
      </x:c>
      <x:c r="IP27" s="1613">
        <x:v>5</x:v>
      </x:c>
      <x:c r="IQ27" s="1613">
        <x:v>13</x:v>
      </x:c>
      <x:c r="IR27" s="1613">
        <x:v>4</x:v>
      </x:c>
      <x:c r="IS27" s="1614" t="s">
        <x:v>117</x:v>
      </x:c>
      <x:c r="IT27" s="1615">
        <x:v>1.75</x:v>
      </x:c>
      <x:c r="IU27" s="1613" t="s">
        <x:v>1061</x:v>
      </x:c>
      <x:c r="IV27" s="1613" t="s">
        <x:v>1956</x:v>
      </x:c>
      <x:c r="IW27" s="1614" t="s">
        <x:v>117</x:v>
      </x:c>
      <x:c r="IX27" s="1615" t="s">
        <x:v>35</x:v>
      </x:c>
      <x:c r="IY27" s="1613" t="s">
        <x:v>1061</x:v>
      </x:c>
      <x:c r="IZ27" s="1613" t="s">
        <x:v>1958</x:v>
      </x:c>
      <x:c r="JA27" s="1614" t="s">
        <x:v>117</x:v>
      </x:c>
      <x:c r="JB27" s="1615" t="s">
        <x:v>1703</x:v>
      </x:c>
      <x:c r="JC27" s="1613" t="s">
        <x:v>117</x:v>
      </x:c>
      <x:c r="JD27" s="1613" t="s">
        <x:v>117</x:v>
      </x:c>
      <x:c r="JE27" s="1614" t="s">
        <x:v>117</x:v>
      </x:c>
      <x:c r="JF27" s="1615" t="s">
        <x:v>117</x:v>
      </x:c>
      <x:c r="JG27" s="1613" t="s">
        <x:v>117</x:v>
      </x:c>
      <x:c r="JH27" s="1613" t="s">
        <x:v>117</x:v>
      </x:c>
      <x:c r="JI27" s="1613" t="s">
        <x:v>117</x:v>
      </x:c>
      <x:c r="JJ27" s="1616" t="s">
        <x:v>117</x:v>
      </x:c>
      <x:c r="JK27" s="1613">
        <x:v>1</x:v>
      </x:c>
      <x:c r="JL27" s="1521">
        <x:f t="shared" ca="1" si="59"/>
        <x:v>1</x:v>
      </x:c>
    </x:row>
    <x:row r="28" spans="1:272" ht="12.6" customHeight="1" x14ac:dyDescent="0.3">
      <x:c r="A28" s="1583" t="s">
        <x:v>1294</x:v>
      </x:c>
      <x:c r="B28" s="1584">
        <x:v>4</x:v>
      </x:c>
      <x:c r="C28" s="1585" t="s">
        <x:v>1954</x:v>
      </x:c>
      <x:c r="D28" s="1586">
        <x:v>51</x:v>
      </x:c>
      <x:c r="E28" s="1587">
        <x:v>11.5</x:v>
      </x:c>
      <x:c r="F28" s="1588">
        <x:v>11.125</x:v>
      </x:c>
      <x:c r="G28" s="1589">
        <x:v>0</x:v>
      </x:c>
      <x:c r="H28" s="1590">
        <x:v>1.75</x:v>
      </x:c>
      <x:c r="I28" s="1591" t="s">
        <x:v>114</x:v>
      </x:c>
      <x:c r="J28" s="1586">
        <x:v>0</x:v>
      </x:c>
      <x:c r="K28" s="1590">
        <x:v>1.75</x:v>
      </x:c>
      <x:c r="L28" s="1592" t="s">
        <x:v>114</x:v>
      </x:c>
      <x:c r="M28" s="1593">
        <x:v>7.5</x:v>
      </x:c>
      <x:c r="N28" s="1594">
        <x:v>7.5</x:v>
      </x:c>
      <x:c r="O28" s="1589">
        <x:v>0</x:v>
      </x:c>
      <x:c r="P28" s="1590">
        <x:v>6.75</x:v>
      </x:c>
      <x:c r="Q28" s="1586">
        <x:v>0</x:v>
      </x:c>
      <x:c r="R28" s="1587">
        <x:v>6.75</x:v>
      </x:c>
      <x:c r="S28" s="1595">
        <x:v>0</x:v>
      </x:c>
      <x:c r="T28" s="1590">
        <x:v>6.25</x:v>
      </x:c>
      <x:c r="U28" s="1586">
        <x:v>0</x:v>
      </x:c>
      <x:c r="V28" s="1590">
        <x:v>6.25</x:v>
      </x:c>
      <x:c r="W28" s="1594">
        <x:v>5</x:v>
      </x:c>
      <x:c r="X28" s="1596" t="str">
        <x:f t="shared" si="0"/>
        <x:v/>
      </x:c>
      <x:c r="Y28" s="1597" t="str">
        <x:f t="shared" si="1"/>
        <x:v/>
      </x:c>
      <x:c r="Z28" s="2210" t="s">
        <x:v>2312</x:v>
      </x:c>
      <x:c r="AA28" s="1605" t="str">
        <x:f t="shared" si="2"/>
        <x:v/>
      </x:c>
      <x:c r="AB28" s="1264" t="s">
        <x:v>1291</x:v>
      </x:c>
      <x:c r="AC28" s="1260" t="s">
        <x:v>35</x:v>
      </x:c>
      <x:c r="AD28" s="1261">
        <x:v>3</x:v>
      </x:c>
      <x:c r="AE28" s="1262">
        <x:v>10</x:v>
      </x:c>
      <x:c r="AF28" s="1260">
        <x:v>5</x:v>
      </x:c>
      <x:c r="AG28" s="1261">
        <x:v>8</x:v>
      </x:c>
      <x:c r="AH28" s="1262">
        <x:v>0</x:v>
      </x:c>
      <x:c r="AI28" s="1261">
        <x:v>7</x:v>
      </x:c>
      <x:c r="AJ28" s="1262">
        <x:v>10</x:v>
      </x:c>
      <x:c r="AK28" s="1599" t="str">
        <x:f t="shared" si="66"/>
        <x:v/>
      </x:c>
      <x:c r="AL28" s="1600" t="str">
        <x:f t="shared" si="67"/>
        <x:v/>
      </x:c>
      <x:c r="AM28" s="1601">
        <x:v>5</x:v>
      </x:c>
      <x:c r="AN28" s="1260">
        <x:v>13</x:v>
      </x:c>
      <x:c r="AO28" s="1329">
        <x:v>4</x:v>
      </x:c>
      <x:c r="AP28" s="1327" t="str">
        <x:f t="shared" si="68"/>
        <x:v/>
      </x:c>
      <x:c r="AQ28" s="2198" t="str">
        <x:f t="shared" ref="AQ28" si="83">IF(OR(GE68="",GE68=0),"",GE68)</x:f>
        <x:v/>
      </x:c>
      <x:c r="AR28" s="1263" t="s">
        <x:v>1061</x:v>
      </x:c>
      <x:c r="AS28" s="1262" t="s">
        <x:v>1956</x:v>
      </x:c>
      <x:c r="AT28" s="1603" t="str">
        <x:f t="shared" si="70"/>
        <x:v/>
      </x:c>
      <x:c r="AU28" s="1410" t="s">
        <x:v>35</x:v>
      </x:c>
      <x:c r="AV28" s="1328" t="str">
        <x:f t="shared" ref="AV28" si="84">IF(GG68="","",IF(ISTEXT(GG68),"P",TRUNC(GG68/12)))</x:f>
        <x:v/>
      </x:c>
      <x:c r="AW28" s="1262" t="str">
        <x:f t="shared" ref="AW28" si="85">IF(GG68="","",IF(AV28="P",GG68,GG68-(AV28*12)))</x:f>
        <x:v/>
      </x:c>
      <x:c r="AX28" s="1603" t="str">
        <x:f t="shared" si="73"/>
        <x:v/>
      </x:c>
      <x:c r="AY28" s="1410" t="str">
        <x:f t="shared" ref="AY28" si="86">IF(ISBLANK(EC28),"",EC28)</x:f>
        <x:v/>
      </x:c>
      <x:c r="AZ28" s="1328" t="str">
        <x:f t="shared" ref="AZ28" si="87">IF(GH68="","",IF(ISTEXT(GH68),"P",TRUNC(GH68/12)))</x:f>
        <x:v/>
      </x:c>
      <x:c r="BA28" s="1262" t="str">
        <x:f t="shared" ref="BA28:BA41" si="88">IF(GH68="","",IF(AZ28="P",GH68,GH68-(AZ28*12)))</x:f>
        <x:v/>
      </x:c>
      <x:c r="BB28" s="1603" t="str">
        <x:f t="shared" si="77"/>
        <x:v/>
      </x:c>
      <x:c r="BC28" s="1410" t="str">
        <x:f t="shared" ref="BC28:BC41" si="89">IF(ISBLANK(EG28),"",EG28)</x:f>
        <x:v/>
      </x:c>
      <x:c r="BD28" s="1328" t="str">
        <x:f t="shared" si="79"/>
        <x:v/>
      </x:c>
      <x:c r="BE28" s="1262" t="str">
        <x:f t="shared" si="80"/>
        <x:v/>
      </x:c>
      <x:c r="BF28" s="1603" t="str">
        <x:f t="shared" si="81"/>
        <x:v/>
      </x:c>
      <x:c r="BG28" s="1410" t="str">
        <x:f t="shared" si="82"/>
        <x:v/>
      </x:c>
      <x:c r="BH28" s="322"/>
      <x:c r="BJ28" s="1258" t="str">
        <x:f t="shared" si="57"/>
        <x:v>G31</x:v>
      </x:c>
      <x:c r="BK28" s="1256" t="b">
        <x:f t="shared" si="15"/>
        <x:v>0</x:v>
      </x:c>
      <x:c r="BL28" s="2002" t="b">
        <x:v>0</x:v>
      </x:c>
      <x:c r="BM28" s="1251">
        <x:f t="shared" si="16"/>
        <x:v>54</x:v>
      </x:c>
      <x:c r="BN28" s="1251" t="str">
        <x:f t="shared" si="17"/>
        <x:v>G</x:v>
      </x:c>
      <x:c r="BO28" s="1251">
        <x:f t="shared" si="18"/>
        <x:v>7</x:v>
      </x:c>
      <x:c r="BP28" s="1251">
        <x:f t="shared" si="19"/>
        <x:v>13.4</x:v>
      </x:c>
      <x:c r="BQ28" s="1251">
        <x:f t="shared" si="20"/>
        <x:v>3.9</x:v>
      </x:c>
      <x:c r="BR28" s="1251" t="b">
        <x:f t="shared" si="21"/>
        <x:v>1</x:v>
      </x:c>
      <x:c r="BS28" s="1252">
        <x:f t="shared" si="22"/>
        <x:v>7.75</x:v>
      </x:c>
      <x:c r="BT28" s="1252" t="str">
        <x:f t="shared" si="23"/>
        <x:v>Yes</x:v>
      </x:c>
      <x:c r="BU28" s="1252">
        <x:f t="shared" si="24"/>
        <x:v>7.75</x:v>
      </x:c>
      <x:c r="BV28" s="1252" t="str">
        <x:f t="shared" si="25"/>
        <x:v>Yes</x:v>
      </x:c>
      <x:c r="BW28" s="1253">
        <x:f t="shared" si="26"/>
        <x:v>15</x:v>
      </x:c>
      <x:c r="BX28" s="1254" t="str">
        <x:f t="shared" si="27"/>
        <x:v>G28</x:v>
      </x:c>
      <x:c r="BY28" s="1254" t="b">
        <x:f t="shared" si="28"/>
        <x:v>0</x:v>
      </x:c>
      <x:c r="BZ28" s="1253" t="b">
        <x:f t="shared" si="49"/>
        <x:v>0</x:v>
      </x:c>
      <x:c r="CB28" s="842"/>
      <x:c r="CC28" s="894"/>
      <x:c r="CD28" s="883"/>
      <x:c r="CE28" s="884"/>
      <x:c r="CF28" s="885"/>
      <x:c r="CG28" s="901"/>
      <x:c r="CH28" s="902"/>
      <x:c r="CI28" s="903"/>
      <x:c r="CJ28" s="902"/>
      <x:c r="CK28" s="903"/>
      <x:c r="CL28" s="904"/>
      <x:c r="CM28" s="944"/>
      <x:c r="CN28" s="901"/>
      <x:c r="CO28" s="902"/>
      <x:c r="CP28" s="903"/>
      <x:c r="CQ28" s="902"/>
      <x:c r="CR28" s="903"/>
      <x:c r="CS28" s="904"/>
      <x:c r="CT28" s="944"/>
      <x:c r="CU28" s="906"/>
      <x:c r="CV28" s="886"/>
      <x:c r="CW28" s="887"/>
      <x:c r="CX28" s="915"/>
      <x:c r="CY28" s="916"/>
      <x:c r="CZ28" s="932"/>
      <x:c r="DA28" s="933"/>
      <x:c r="DB28" s="932"/>
      <x:c r="DC28" s="933"/>
      <x:c r="DD28" s="1149"/>
      <x:c r="DE28" s="1150"/>
      <x:c r="DF28" s="173"/>
      <x:c r="DG28" s="173"/>
      <x:c r="DH28" s="842"/>
      <x:c r="DI28" s="843"/>
      <x:c r="DJ28" s="872"/>
      <x:c r="DK28" s="873"/>
      <x:c r="DL28" s="844"/>
      <x:c r="DM28" s="874"/>
      <x:c r="DN28" s="875"/>
      <x:c r="DO28" s="845"/>
      <x:c r="DP28" s="846"/>
      <x:c r="DQ28" s="847"/>
      <x:c r="DR28" s="847"/>
      <x:c r="DS28" s="848"/>
      <x:c r="DT28" s="836"/>
      <x:c r="DU28" s="837"/>
      <x:c r="DV28" s="849"/>
      <x:c r="DW28" s="850"/>
      <x:c r="DX28" s="851"/>
      <x:c r="DY28" s="852"/>
      <x:c r="DZ28" s="849"/>
      <x:c r="EA28" s="850"/>
      <x:c r="EB28" s="851"/>
      <x:c r="EC28" s="852"/>
      <x:c r="ED28" s="849"/>
      <x:c r="EE28" s="850"/>
      <x:c r="EF28" s="851"/>
      <x:c r="EG28" s="852"/>
      <x:c r="EH28" s="849"/>
      <x:c r="EI28" s="850"/>
      <x:c r="EJ28" s="851"/>
      <x:c r="EK28" s="853"/>
      <x:c r="EL28" s="798" t="str">
        <x:f t="shared" si="29"/>
        <x:v/>
      </x:c>
      <x:c r="EM28" s="799" t="str">
        <x:f t="shared" si="30"/>
        <x:v/>
      </x:c>
      <x:c r="EN28" s="800" t="str">
        <x:f t="shared" si="31"/>
        <x:v/>
      </x:c>
      <x:c r="EO28" s="1030" t="str">
        <x:f t="shared" si="32"/>
        <x:v/>
      </x:c>
      <x:c r="EP28" s="726" t="str">
        <x:f t="shared" si="33"/>
        <x:v/>
      </x:c>
      <x:c r="EQ28" s="727" t="str">
        <x:f t="shared" si="34"/>
        <x:v/>
      </x:c>
      <x:c r="ER28" s="961" t="str">
        <x:f t="shared" si="35"/>
        <x:v/>
      </x:c>
      <x:c r="ES28" s="962" t="str">
        <x:f t="shared" si="50"/>
        <x:v/>
      </x:c>
      <x:c r="ET28" s="963" t="str">
        <x:f t="shared" si="36"/>
        <x:v/>
      </x:c>
      <x:c r="EU28" s="964" t="str">
        <x:f t="shared" si="37"/>
        <x:v/>
      </x:c>
      <x:c r="EX28" s="1194" t="str">
        <x:f t="shared" si="51"/>
        <x:v>G28B</x:v>
      </x:c>
      <x:c r="EY28" s="1196" t="b">
        <x:f t="shared" ca="1" si="38"/>
        <x:v>1</x:v>
      </x:c>
      <x:c r="EZ28" s="1196">
        <x:f t="shared" si="52"/>
        <x:v>5</x:v>
      </x:c>
      <x:c r="FA28" s="1217" t="e">
        <x:f t="shared" si="58"/>
        <x:v>#N/A</x:v>
      </x:c>
      <x:c r="FB28" s="1218" t="e">
        <x:f t="shared" si="53"/>
        <x:v>#N/A</x:v>
      </x:c>
      <x:c r="FC28" s="1218">
        <x:f t="shared" si="39"/>
        <x:v>46</x:v>
      </x:c>
      <x:c r="FD28" s="1218">
        <x:f t="shared" si="40"/>
        <x:v>480</x:v>
      </x:c>
      <x:c r="FE28" s="1218">
        <x:f t="shared" si="41"/>
        <x:v>94</x:v>
      </x:c>
      <x:c r="FF28" s="1218">
        <x:f t="shared" si="54"/>
        <x:v>620</x:v>
      </x:c>
      <x:c r="FN28" s="969" t="b">
        <x:v>0</x:v>
      </x:c>
      <x:c r="FO28" s="969" t="b">
        <x:f t="shared" si="42"/>
        <x:v>1</x:v>
      </x:c>
      <x:c r="FP28" s="969" t="b">
        <x:v>0</x:v>
      </x:c>
      <x:c r="FQ28" s="969" t="b">
        <x:f t="shared" si="55"/>
        <x:v>1</x:v>
      </x:c>
      <x:c r="FW28" s="2"/>
      <x:c r="FX28" s="2"/>
      <x:c r="FZ28" s="2"/>
      <x:c r="GA28" s="1935">
        <x:v>52</x:v>
      </x:c>
      <x:c r="GB28" s="1936">
        <x:v>0</x:v>
      </x:c>
      <x:c r="GC28" s="1937">
        <x:v>-0.25</x:v>
      </x:c>
      <x:c r="GD28" s="1938">
        <x:v>-0.25</x:v>
      </x:c>
      <x:c r="GE28" s="1939">
        <x:f t="shared" si="56"/>
        <x:v>0</x:v>
      </x:c>
      <x:c r="GF28" s="1940" t="str">
        <x:f t="shared" si="43"/>
        <x:v>G31</x:v>
      </x:c>
      <x:c r="GG28" s="1457"/>
      <x:c r="GH28" s="1459"/>
      <x:c r="GI28" s="1457"/>
      <x:c r="GJ28" s="1459"/>
      <x:c r="GK28" s="326">
        <x:f t="shared" si="44"/>
        <x:v>623.5</x:v>
      </x:c>
      <x:c r="GL28" s="326">
        <x:f t="shared" si="45"/>
        <x:v>623.5</x:v>
      </x:c>
      <x:c r="GM28" s="327">
        <x:f>IF(ABS(GK28-GL28)&gt;='Job Info.'!$L$22,ABS(GK28-GL28),0)</x:f>
        <x:v>0</x:v>
      </x:c>
      <x:c r="GZ28" s="179"/>
      <x:c r="HA28" s="1612" t="s">
        <x:v>1294</x:v>
      </x:c>
      <x:c r="HB28" s="1613">
        <x:v>4</x:v>
      </x:c>
      <x:c r="HC28" s="1613" t="s">
        <x:v>1954</x:v>
      </x:c>
      <x:c r="HD28" s="1614">
        <x:v>51</x:v>
      </x:c>
      <x:c r="HE28" s="1615">
        <x:v>11.5</x:v>
      </x:c>
      <x:c r="HF28" s="1613">
        <x:v>11.125</x:v>
      </x:c>
      <x:c r="HG28" s="1613">
        <x:v>0</x:v>
      </x:c>
      <x:c r="HH28" s="1613">
        <x:v>1.75</x:v>
      </x:c>
      <x:c r="HI28" s="1613" t="s">
        <x:v>114</x:v>
      </x:c>
      <x:c r="HJ28" s="1613">
        <x:v>0</x:v>
      </x:c>
      <x:c r="HK28" s="1613">
        <x:v>1.75</x:v>
      </x:c>
      <x:c r="HL28" s="1613" t="s">
        <x:v>114</x:v>
      </x:c>
      <x:c r="HM28" s="1613">
        <x:v>7.5</x:v>
      </x:c>
      <x:c r="HN28" s="1613">
        <x:v>7.5</x:v>
      </x:c>
      <x:c r="HO28" s="1613">
        <x:v>0</x:v>
      </x:c>
      <x:c r="HP28" s="1613">
        <x:v>6.75</x:v>
      </x:c>
      <x:c r="HQ28" s="1613">
        <x:v>0</x:v>
      </x:c>
      <x:c r="HR28" s="1613">
        <x:v>6.75</x:v>
      </x:c>
      <x:c r="HS28" s="1613">
        <x:v>0</x:v>
      </x:c>
      <x:c r="HT28" s="1613">
        <x:v>6.25</x:v>
      </x:c>
      <x:c r="HU28" s="1613">
        <x:v>0</x:v>
      </x:c>
      <x:c r="HV28" s="1613">
        <x:v>6.25</x:v>
      </x:c>
      <x:c r="HW28" s="1613">
        <x:v>5</x:v>
      </x:c>
      <x:c r="HX28" s="1613" t="s">
        <x:v>117</x:v>
      </x:c>
      <x:c r="HY28" s="1617" t="s">
        <x:v>117</x:v>
      </x:c>
      <x:c r="HZ28" s="1617" t="s">
        <x:v>2044</x:v>
      </x:c>
      <x:c r="IA28" s="1617" t="s">
        <x:v>117</x:v>
      </x:c>
      <x:c r="IB28" s="1617"/>
      <x:c r="IC28" s="1617"/>
      <x:c r="ID28" s="1632"/>
      <x:c r="IE28" s="1612" t="s">
        <x:v>1291</x:v>
      </x:c>
      <x:c r="IF28" s="1613" t="s">
        <x:v>35</x:v>
      </x:c>
      <x:c r="IG28" s="1614">
        <x:v>3</x:v>
      </x:c>
      <x:c r="IH28" s="1615">
        <x:v>10</x:v>
      </x:c>
      <x:c r="II28" s="1613">
        <x:v>5</x:v>
      </x:c>
      <x:c r="IJ28" s="1614">
        <x:v>8</x:v>
      </x:c>
      <x:c r="IK28" s="1615">
        <x:v>0</x:v>
      </x:c>
      <x:c r="IL28" s="1613">
        <x:v>7</x:v>
      </x:c>
      <x:c r="IM28" s="1613">
        <x:v>10</x:v>
      </x:c>
      <x:c r="IN28" s="1613" t="s">
        <x:v>117</x:v>
      </x:c>
      <x:c r="IO28" s="1613" t="s">
        <x:v>117</x:v>
      </x:c>
      <x:c r="IP28" s="1613">
        <x:v>5</x:v>
      </x:c>
      <x:c r="IQ28" s="1613">
        <x:v>13</x:v>
      </x:c>
      <x:c r="IR28" s="1613">
        <x:v>4</x:v>
      </x:c>
      <x:c r="IS28" s="1614" t="s">
        <x:v>117</x:v>
      </x:c>
      <x:c r="IT28" s="1615">
        <x:v>1.75</x:v>
      </x:c>
      <x:c r="IU28" s="1613" t="s">
        <x:v>1061</x:v>
      </x:c>
      <x:c r="IV28" s="1613" t="s">
        <x:v>1956</x:v>
      </x:c>
      <x:c r="IW28" s="1614" t="s">
        <x:v>117</x:v>
      </x:c>
      <x:c r="IX28" s="1615" t="s">
        <x:v>35</x:v>
      </x:c>
      <x:c r="IY28" s="1613" t="s">
        <x:v>117</x:v>
      </x:c>
      <x:c r="IZ28" s="1613" t="s">
        <x:v>117</x:v>
      </x:c>
      <x:c r="JA28" s="1614" t="s">
        <x:v>117</x:v>
      </x:c>
      <x:c r="JB28" s="1615" t="s">
        <x:v>117</x:v>
      </x:c>
      <x:c r="JC28" s="1613" t="s">
        <x:v>117</x:v>
      </x:c>
      <x:c r="JD28" s="1613" t="s">
        <x:v>117</x:v>
      </x:c>
      <x:c r="JE28" s="1614" t="s">
        <x:v>117</x:v>
      </x:c>
      <x:c r="JF28" s="1615" t="s">
        <x:v>117</x:v>
      </x:c>
      <x:c r="JG28" s="1613" t="s">
        <x:v>117</x:v>
      </x:c>
      <x:c r="JH28" s="1613" t="s">
        <x:v>117</x:v>
      </x:c>
      <x:c r="JI28" s="1613" t="s">
        <x:v>117</x:v>
      </x:c>
      <x:c r="JJ28" s="1616" t="s">
        <x:v>117</x:v>
      </x:c>
      <x:c r="JK28" s="1613">
        <x:v>1</x:v>
      </x:c>
      <x:c r="JL28" s="1521">
        <x:f t="shared" ca="1" si="59"/>
        <x:v>1</x:v>
      </x:c>
    </x:row>
    <x:row r="29" spans="1:272" ht="12.6" customHeight="1" x14ac:dyDescent="0.25">
      <x:c r="A29" s="1583" t="s">
        <x:v>1295</x:v>
      </x:c>
      <x:c r="B29" s="1584">
        <x:v>1</x:v>
      </x:c>
      <x:c r="C29" s="1585" t="s">
        <x:v>1954</x:v>
      </x:c>
      <x:c r="D29" s="1586">
        <x:v>48</x:v>
      </x:c>
      <x:c r="E29" s="1587">
        <x:v>5.875</x:v>
      </x:c>
      <x:c r="F29" s="1588">
        <x:v>11.125</x:v>
      </x:c>
      <x:c r="G29" s="1589">
        <x:v>0</x:v>
      </x:c>
      <x:c r="H29" s="1590">
        <x:v>1.75</x:v>
      </x:c>
      <x:c r="I29" s="1591" t="s">
        <x:v>114</x:v>
      </x:c>
      <x:c r="J29" s="2202">
        <x:v>0</x:v>
      </x:c>
      <x:c r="K29" s="2203">
        <x:v>0.25</x:v>
      </x:c>
      <x:c r="L29" s="2204" t="s">
        <x:v>114</x:v>
      </x:c>
      <x:c r="M29" s="1593">
        <x:v>7.5</x:v>
      </x:c>
      <x:c r="N29" s="1594">
        <x:v>7.5</x:v>
      </x:c>
      <x:c r="O29" s="1589">
        <x:v>0</x:v>
      </x:c>
      <x:c r="P29" s="1590">
        <x:v>6.75</x:v>
      </x:c>
      <x:c r="Q29" s="1586">
        <x:v>0</x:v>
      </x:c>
      <x:c r="R29" s="1587">
        <x:v>1</x:v>
      </x:c>
      <x:c r="S29" s="1595">
        <x:v>0</x:v>
      </x:c>
      <x:c r="T29" s="1590">
        <x:v>6.25</x:v>
      </x:c>
      <x:c r="U29" s="1586">
        <x:v>0</x:v>
      </x:c>
      <x:c r="V29" s="1590">
        <x:v>3.875</x:v>
      </x:c>
      <x:c r="W29" s="1594">
        <x:v>5</x:v>
      </x:c>
      <x:c r="X29" s="1596" t="str">
        <x:f t="shared" si="0"/>
        <x:v/>
      </x:c>
      <x:c r="Y29" s="1597" t="str">
        <x:f t="shared" si="1"/>
        <x:v/>
      </x:c>
      <x:c r="Z29" s="2210" t="s">
        <x:v>2313</x:v>
      </x:c>
      <x:c r="AA29" s="1605" t="str">
        <x:f t="shared" si="2"/>
        <x:v/>
      </x:c>
      <x:c r="AB29" s="1264" t="s">
        <x:v>1292</x:v>
      </x:c>
      <x:c r="AC29" s="1260" t="s">
        <x:v>35</x:v>
      </x:c>
      <x:c r="AD29" s="1261">
        <x:v>3</x:v>
      </x:c>
      <x:c r="AE29" s="1262">
        <x:v>10</x:v>
      </x:c>
      <x:c r="AF29" s="1260">
        <x:v>5</x:v>
      </x:c>
      <x:c r="AG29" s="1261">
        <x:v>8</x:v>
      </x:c>
      <x:c r="AH29" s="1262">
        <x:v>0</x:v>
      </x:c>
      <x:c r="AI29" s="1261">
        <x:v>7</x:v>
      </x:c>
      <x:c r="AJ29" s="1262">
        <x:v>10</x:v>
      </x:c>
      <x:c r="AK29" s="1599" t="str">
        <x:f t="shared" si="66"/>
        <x:v/>
      </x:c>
      <x:c r="AL29" s="1600" t="str">
        <x:f t="shared" si="67"/>
        <x:v/>
      </x:c>
      <x:c r="AM29" s="1601">
        <x:v>5</x:v>
      </x:c>
      <x:c r="AN29" s="1260">
        <x:v>13</x:v>
      </x:c>
      <x:c r="AO29" s="1329">
        <x:v>4</x:v>
      </x:c>
      <x:c r="AP29" s="1327" t="str">
        <x:f t="shared" si="68"/>
        <x:v/>
      </x:c>
      <x:c r="AQ29" s="1602">
        <x:v>1.75</x:v>
      </x:c>
      <x:c r="AR29" s="1263" t="s">
        <x:v>1061</x:v>
      </x:c>
      <x:c r="AS29" s="1262" t="s">
        <x:v>1956</x:v>
      </x:c>
      <x:c r="AT29" s="1603" t="str">
        <x:f t="shared" si="70"/>
        <x:v/>
      </x:c>
      <x:c r="AU29" s="1410" t="s">
        <x:v>35</x:v>
      </x:c>
      <x:c r="AV29" s="2121">
        <x:v>51</x:v>
      </x:c>
      <x:c r="AW29" s="2122">
        <x:v>0</x:v>
      </x:c>
      <x:c r="AX29" s="1603" t="str">
        <x:f t="shared" si="73"/>
        <x:v/>
      </x:c>
      <x:c r="AY29" s="2123" t="s">
        <x:v>35</x:v>
      </x:c>
      <x:c r="AZ29" s="1328" t="str">
        <x:f>IF(GH69="","",IF(ISTEXT(GH69),"P",TRUNC(GH69/12)))</x:f>
        <x:v/>
      </x:c>
      <x:c r="BA29" s="1262" t="str">
        <x:f t="shared" si="88"/>
        <x:v/>
      </x:c>
      <x:c r="BB29" s="1603" t="str">
        <x:f t="shared" si="77"/>
        <x:v/>
      </x:c>
      <x:c r="BC29" s="1410" t="str">
        <x:f t="shared" si="89"/>
        <x:v/>
      </x:c>
      <x:c r="BD29" s="1328" t="str">
        <x:f t="shared" si="79"/>
        <x:v/>
      </x:c>
      <x:c r="BE29" s="1262" t="str">
        <x:f t="shared" si="80"/>
        <x:v/>
      </x:c>
      <x:c r="BF29" s="1603" t="str">
        <x:f t="shared" si="81"/>
        <x:v/>
      </x:c>
      <x:c r="BG29" s="1410" t="str">
        <x:f t="shared" si="82"/>
        <x:v/>
      </x:c>
      <x:c r="BH29" s="322"/>
      <x:c r="BJ29" s="1258" t="str">
        <x:f t="shared" si="57"/>
        <x:v>G32</x:v>
      </x:c>
      <x:c r="BK29" s="1256" t="b">
        <x:f t="shared" si="15"/>
        <x:v>0</x:v>
      </x:c>
      <x:c r="BL29" s="2002" t="b">
        <x:v>0</x:v>
      </x:c>
      <x:c r="BM29" s="1251">
        <x:f t="shared" si="16"/>
        <x:v>54</x:v>
      </x:c>
      <x:c r="BN29" s="1251" t="str">
        <x:f t="shared" si="17"/>
        <x:v>G</x:v>
      </x:c>
      <x:c r="BO29" s="1251">
        <x:f t="shared" si="18"/>
        <x:v>7</x:v>
      </x:c>
      <x:c r="BP29" s="1251">
        <x:f t="shared" si="19"/>
        <x:v>13.4</x:v>
      </x:c>
      <x:c r="BQ29" s="1251">
        <x:f t="shared" si="20"/>
        <x:v>3.9</x:v>
      </x:c>
      <x:c r="BR29" s="1251" t="b">
        <x:f t="shared" si="21"/>
        <x:v>1</x:v>
      </x:c>
      <x:c r="BS29" s="1252">
        <x:f t="shared" si="22"/>
        <x:v>7.75</x:v>
      </x:c>
      <x:c r="BT29" s="1252" t="str">
        <x:f t="shared" si="23"/>
        <x:v>Yes</x:v>
      </x:c>
      <x:c r="BU29" s="1252">
        <x:f t="shared" si="24"/>
        <x:v>6.25</x:v>
      </x:c>
      <x:c r="BV29" s="1252" t="str">
        <x:f t="shared" si="25"/>
        <x:v>Yes</x:v>
      </x:c>
      <x:c r="BW29" s="1253">
        <x:f t="shared" si="26"/>
        <x:v>19</x:v>
      </x:c>
      <x:c r="BX29" s="1254" t="str">
        <x:f t="shared" si="27"/>
        <x:v>G29</x:v>
      </x:c>
      <x:c r="BY29" s="1254" t="b">
        <x:f t="shared" si="28"/>
        <x:v>0</x:v>
      </x:c>
      <x:c r="BZ29" s="1253" t="b">
        <x:f t="shared" si="49"/>
        <x:v>0</x:v>
      </x:c>
      <x:c r="CB29" s="842"/>
      <x:c r="CC29" s="894"/>
      <x:c r="CD29" s="883"/>
      <x:c r="CE29" s="884"/>
      <x:c r="CF29" s="885"/>
      <x:c r="CG29" s="901"/>
      <x:c r="CH29" s="902"/>
      <x:c r="CI29" s="903"/>
      <x:c r="CJ29" s="902"/>
      <x:c r="CK29" s="903"/>
      <x:c r="CL29" s="904"/>
      <x:c r="CM29" s="944"/>
      <x:c r="CN29" s="901"/>
      <x:c r="CO29" s="902"/>
      <x:c r="CP29" s="903"/>
      <x:c r="CQ29" s="902"/>
      <x:c r="CR29" s="903"/>
      <x:c r="CS29" s="904"/>
      <x:c r="CT29" s="944"/>
      <x:c r="CU29" s="906"/>
      <x:c r="CV29" s="886"/>
      <x:c r="CW29" s="887"/>
      <x:c r="CX29" s="915"/>
      <x:c r="CY29" s="916"/>
      <x:c r="CZ29" s="932"/>
      <x:c r="DA29" s="933"/>
      <x:c r="DB29" s="932"/>
      <x:c r="DC29" s="933"/>
      <x:c r="DD29" s="1149"/>
      <x:c r="DE29" s="1150"/>
      <x:c r="DF29" s="173"/>
      <x:c r="DG29" s="173"/>
      <x:c r="DH29" s="842"/>
      <x:c r="DI29" s="843"/>
      <x:c r="DJ29" s="872"/>
      <x:c r="DK29" s="873"/>
      <x:c r="DL29" s="844"/>
      <x:c r="DM29" s="874"/>
      <x:c r="DN29" s="875"/>
      <x:c r="DO29" s="845"/>
      <x:c r="DP29" s="846"/>
      <x:c r="DQ29" s="847"/>
      <x:c r="DR29" s="847"/>
      <x:c r="DS29" s="848"/>
      <x:c r="DT29" s="836"/>
      <x:c r="DU29" s="837"/>
      <x:c r="DV29" s="849"/>
      <x:c r="DW29" s="850"/>
      <x:c r="DX29" s="851"/>
      <x:c r="DY29" s="852"/>
      <x:c r="DZ29" s="849"/>
      <x:c r="EA29" s="850"/>
      <x:c r="EB29" s="851"/>
      <x:c r="EC29" s="852"/>
      <x:c r="ED29" s="849"/>
      <x:c r="EE29" s="850"/>
      <x:c r="EF29" s="851"/>
      <x:c r="EG29" s="852"/>
      <x:c r="EH29" s="849"/>
      <x:c r="EI29" s="850"/>
      <x:c r="EJ29" s="851"/>
      <x:c r="EK29" s="853"/>
      <x:c r="EL29" s="798" t="str">
        <x:f t="shared" si="29"/>
        <x:v/>
      </x:c>
      <x:c r="EM29" s="799" t="str">
        <x:f t="shared" si="30"/>
        <x:v/>
      </x:c>
      <x:c r="EN29" s="800" t="str">
        <x:f t="shared" si="31"/>
        <x:v/>
      </x:c>
      <x:c r="EO29" s="1030" t="str">
        <x:f t="shared" si="32"/>
        <x:v/>
      </x:c>
      <x:c r="EP29" s="726" t="str">
        <x:f t="shared" si="33"/>
        <x:v/>
      </x:c>
      <x:c r="EQ29" s="727" t="str">
        <x:f t="shared" si="34"/>
        <x:v/>
      </x:c>
      <x:c r="ER29" s="961" t="str">
        <x:f t="shared" si="35"/>
        <x:v/>
      </x:c>
      <x:c r="ES29" s="962" t="str">
        <x:f t="shared" si="50"/>
        <x:v/>
      </x:c>
      <x:c r="ET29" s="963" t="str">
        <x:f t="shared" si="36"/>
        <x:v/>
      </x:c>
      <x:c r="EU29" s="964" t="str">
        <x:f t="shared" si="37"/>
        <x:v/>
      </x:c>
      <x:c r="EX29" s="1194" t="str">
        <x:f t="shared" si="51"/>
        <x:v>G29B</x:v>
      </x:c>
      <x:c r="EY29" s="1196" t="b">
        <x:f t="shared" ca="1" si="38"/>
        <x:v>1</x:v>
      </x:c>
      <x:c r="EZ29" s="1196">
        <x:f t="shared" si="52"/>
        <x:v>5</x:v>
      </x:c>
      <x:c r="FA29" s="1217" t="e">
        <x:f t="shared" si="58"/>
        <x:v>#N/A</x:v>
      </x:c>
      <x:c r="FB29" s="1218" t="e">
        <x:f t="shared" si="53"/>
        <x:v>#N/A</x:v>
      </x:c>
      <x:c r="FC29" s="1218">
        <x:f t="shared" si="39"/>
        <x:v>46</x:v>
      </x:c>
      <x:c r="FD29" s="1218">
        <x:f t="shared" si="40"/>
        <x:v>480</x:v>
      </x:c>
      <x:c r="FE29" s="1218">
        <x:f t="shared" si="41"/>
        <x:v>94</x:v>
      </x:c>
      <x:c r="FF29" s="1218">
        <x:f t="shared" si="54"/>
        <x:v>620</x:v>
      </x:c>
      <x:c r="FN29" s="969" t="b">
        <x:v>0</x:v>
      </x:c>
      <x:c r="FO29" s="969" t="b">
        <x:f t="shared" si="42"/>
        <x:v>1</x:v>
      </x:c>
      <x:c r="FP29" s="969" t="b">
        <x:v>0</x:v>
      </x:c>
      <x:c r="FQ29" s="969" t="b">
        <x:f t="shared" si="55"/>
        <x:v>1</x:v>
      </x:c>
      <x:c r="FW29" s="2"/>
      <x:c r="FX29" s="2"/>
      <x:c r="FZ29" s="2"/>
      <x:c r="GA29" s="1935">
        <x:v>48</x:v>
      </x:c>
      <x:c r="GB29" s="1936">
        <x:v>7.125</x:v>
      </x:c>
      <x:c r="GC29" s="1937">
        <x:v>-0.25</x:v>
      </x:c>
      <x:c r="GD29" s="1938">
        <x:v>-1</x:v>
      </x:c>
      <x:c r="GE29" s="1939">
        <x:v>6.1740223311300697E-2</x:v>
      </x:c>
      <x:c r="GF29" s="1940" t="str">
        <x:f t="shared" si="43"/>
        <x:v>G32</x:v>
      </x:c>
      <x:c r="GG29" s="1457"/>
      <x:c r="GH29" s="1459"/>
      <x:c r="GI29" s="1457"/>
      <x:c r="GJ29" s="1459"/>
      <x:c r="GK29" s="326">
        <x:f t="shared" si="44"/>
        <x:v>581.875</x:v>
      </x:c>
      <x:c r="GL29" s="326">
        <x:f t="shared" si="45"/>
        <x:v>581.88270141858141</x:v>
      </x:c>
      <x:c r="GM29" s="327">
        <x:f>IF(ABS(GK29-GL29)&gt;='Job Info.'!$L$22,ABS(GK29-GL29),0)</x:f>
        <x:v>0</x:v>
      </x:c>
      <x:c r="HA29" s="1612" t="s">
        <x:v>1295</x:v>
      </x:c>
      <x:c r="HB29" s="1613">
        <x:v>1</x:v>
      </x:c>
      <x:c r="HC29" s="1613" t="s">
        <x:v>1954</x:v>
      </x:c>
      <x:c r="HD29" s="1614">
        <x:v>48</x:v>
      </x:c>
      <x:c r="HE29" s="1615">
        <x:v>5.875</x:v>
      </x:c>
      <x:c r="HF29" s="1613">
        <x:v>11.125</x:v>
      </x:c>
      <x:c r="HG29" s="1613">
        <x:v>0</x:v>
      </x:c>
      <x:c r="HH29" s="1613">
        <x:v>1.75</x:v>
      </x:c>
      <x:c r="HI29" s="1613" t="s">
        <x:v>114</x:v>
      </x:c>
      <x:c r="HJ29" s="1613" t="s">
        <x:v>117</x:v>
      </x:c>
      <x:c r="HK29" s="1613" t="s">
        <x:v>117</x:v>
      </x:c>
      <x:c r="HL29" s="1613" t="s">
        <x:v>117</x:v>
      </x:c>
      <x:c r="HM29" s="1613">
        <x:v>7.5</x:v>
      </x:c>
      <x:c r="HN29" s="1613">
        <x:v>7.5</x:v>
      </x:c>
      <x:c r="HO29" s="1613">
        <x:v>0</x:v>
      </x:c>
      <x:c r="HP29" s="1613">
        <x:v>6.75</x:v>
      </x:c>
      <x:c r="HQ29" s="1613">
        <x:v>0</x:v>
      </x:c>
      <x:c r="HR29" s="1613">
        <x:v>1</x:v>
      </x:c>
      <x:c r="HS29" s="1613">
        <x:v>0</x:v>
      </x:c>
      <x:c r="HT29" s="1613">
        <x:v>6.25</x:v>
      </x:c>
      <x:c r="HU29" s="1613">
        <x:v>0</x:v>
      </x:c>
      <x:c r="HV29" s="1613">
        <x:v>3.875</x:v>
      </x:c>
      <x:c r="HW29" s="1613">
        <x:v>5</x:v>
      </x:c>
      <x:c r="HX29" s="1613" t="s">
        <x:v>117</x:v>
      </x:c>
      <x:c r="HY29" s="1617" t="s">
        <x:v>117</x:v>
      </x:c>
      <x:c r="HZ29" s="1617" t="s">
        <x:v>2045</x:v>
      </x:c>
      <x:c r="IA29" s="1617" t="s">
        <x:v>117</x:v>
      </x:c>
      <x:c r="IB29" s="1617"/>
      <x:c r="IC29" s="1617"/>
      <x:c r="ID29" s="1632"/>
      <x:c r="IE29" s="1612" t="s">
        <x:v>1292</x:v>
      </x:c>
      <x:c r="IF29" s="1613" t="s">
        <x:v>35</x:v>
      </x:c>
      <x:c r="IG29" s="1614">
        <x:v>3</x:v>
      </x:c>
      <x:c r="IH29" s="1615">
        <x:v>10</x:v>
      </x:c>
      <x:c r="II29" s="1613">
        <x:v>5</x:v>
      </x:c>
      <x:c r="IJ29" s="1614">
        <x:v>8</x:v>
      </x:c>
      <x:c r="IK29" s="1615">
        <x:v>0</x:v>
      </x:c>
      <x:c r="IL29" s="1613">
        <x:v>7</x:v>
      </x:c>
      <x:c r="IM29" s="1613">
        <x:v>10</x:v>
      </x:c>
      <x:c r="IN29" s="1613" t="s">
        <x:v>117</x:v>
      </x:c>
      <x:c r="IO29" s="1613" t="s">
        <x:v>117</x:v>
      </x:c>
      <x:c r="IP29" s="1613">
        <x:v>5</x:v>
      </x:c>
      <x:c r="IQ29" s="1613">
        <x:v>13</x:v>
      </x:c>
      <x:c r="IR29" s="1613">
        <x:v>4</x:v>
      </x:c>
      <x:c r="IS29" s="1614" t="s">
        <x:v>117</x:v>
      </x:c>
      <x:c r="IT29" s="1615">
        <x:v>1.75</x:v>
      </x:c>
      <x:c r="IU29" s="1613" t="s">
        <x:v>1061</x:v>
      </x:c>
      <x:c r="IV29" s="1613" t="s">
        <x:v>1956</x:v>
      </x:c>
      <x:c r="IW29" s="1614" t="s">
        <x:v>117</x:v>
      </x:c>
      <x:c r="IX29" s="1615" t="s">
        <x:v>35</x:v>
      </x:c>
      <x:c r="IY29" s="1613" t="s">
        <x:v>117</x:v>
      </x:c>
      <x:c r="IZ29" s="1613" t="s">
        <x:v>117</x:v>
      </x:c>
      <x:c r="JA29" s="1614" t="s">
        <x:v>117</x:v>
      </x:c>
      <x:c r="JB29" s="1615" t="s">
        <x:v>117</x:v>
      </x:c>
      <x:c r="JC29" s="1613" t="s">
        <x:v>117</x:v>
      </x:c>
      <x:c r="JD29" s="1613" t="s">
        <x:v>117</x:v>
      </x:c>
      <x:c r="JE29" s="1614" t="s">
        <x:v>117</x:v>
      </x:c>
      <x:c r="JF29" s="1615" t="s">
        <x:v>117</x:v>
      </x:c>
      <x:c r="JG29" s="1613" t="s">
        <x:v>117</x:v>
      </x:c>
      <x:c r="JH29" s="1613" t="s">
        <x:v>117</x:v>
      </x:c>
      <x:c r="JI29" s="1613" t="s">
        <x:v>117</x:v>
      </x:c>
      <x:c r="JJ29" s="1616" t="s">
        <x:v>117</x:v>
      </x:c>
      <x:c r="JK29" s="1613">
        <x:v>1</x:v>
      </x:c>
      <x:c r="JL29" s="1521">
        <x:f t="shared" ca="1" si="59"/>
        <x:v>1</x:v>
      </x:c>
    </x:row>
    <x:row r="30" spans="1:272" s="183" customFormat="1" ht="12.6" customHeight="1" x14ac:dyDescent="0.25">
      <x:c r="A30" s="1583" t="s">
        <x:v>1296</x:v>
      </x:c>
      <x:c r="B30" s="1584">
        <x:v>1</x:v>
      </x:c>
      <x:c r="C30" s="1585" t="s">
        <x:v>1954</x:v>
      </x:c>
      <x:c r="D30" s="1586">
        <x:v>51</x:v>
      </x:c>
      <x:c r="E30" s="1587">
        <x:v>11.5</x:v>
      </x:c>
      <x:c r="F30" s="1588">
        <x:v>11.125</x:v>
      </x:c>
      <x:c r="G30" s="1589">
        <x:v>0</x:v>
      </x:c>
      <x:c r="H30" s="1590">
        <x:v>1.75</x:v>
      </x:c>
      <x:c r="I30" s="1591" t="s">
        <x:v>114</x:v>
      </x:c>
      <x:c r="J30" s="1586">
        <x:v>0</x:v>
      </x:c>
      <x:c r="K30" s="1590">
        <x:v>1.75</x:v>
      </x:c>
      <x:c r="L30" s="1592" t="s">
        <x:v>114</x:v>
      </x:c>
      <x:c r="M30" s="1593">
        <x:v>7.5</x:v>
      </x:c>
      <x:c r="N30" s="1594">
        <x:v>7.5</x:v>
      </x:c>
      <x:c r="O30" s="1589">
        <x:v>0</x:v>
      </x:c>
      <x:c r="P30" s="1590">
        <x:v>6.75</x:v>
      </x:c>
      <x:c r="Q30" s="1586">
        <x:v>0</x:v>
      </x:c>
      <x:c r="R30" s="1587">
        <x:v>6.75</x:v>
      </x:c>
      <x:c r="S30" s="1595">
        <x:v>0</x:v>
      </x:c>
      <x:c r="T30" s="1590">
        <x:v>6.25</x:v>
      </x:c>
      <x:c r="U30" s="1586">
        <x:v>0</x:v>
      </x:c>
      <x:c r="V30" s="1590">
        <x:v>6.25</x:v>
      </x:c>
      <x:c r="W30" s="1594">
        <x:v>5</x:v>
      </x:c>
      <x:c r="X30" s="1596" t="str">
        <x:f t="shared" si="0"/>
        <x:v/>
      </x:c>
      <x:c r="Y30" s="1597" t="str">
        <x:f t="shared" si="1"/>
        <x:v/>
      </x:c>
      <x:c r="Z30" s="2210" t="s">
        <x:v>2310</x:v>
      </x:c>
      <x:c r="AA30" s="1605" t="str">
        <x:f t="shared" si="2"/>
        <x:v/>
      </x:c>
      <x:c r="AB30" s="1264" t="s">
        <x:v>1293</x:v>
      </x:c>
      <x:c r="AC30" s="1260" t="s">
        <x:v>35</x:v>
      </x:c>
      <x:c r="AD30" s="1261">
        <x:v>3</x:v>
      </x:c>
      <x:c r="AE30" s="1262">
        <x:v>10</x:v>
      </x:c>
      <x:c r="AF30" s="1260">
        <x:v>5</x:v>
      </x:c>
      <x:c r="AG30" s="1261">
        <x:v>8</x:v>
      </x:c>
      <x:c r="AH30" s="1262">
        <x:v>0</x:v>
      </x:c>
      <x:c r="AI30" s="1261">
        <x:v>7</x:v>
      </x:c>
      <x:c r="AJ30" s="1262">
        <x:v>10</x:v>
      </x:c>
      <x:c r="AK30" s="1599" t="str">
        <x:f t="shared" si="66"/>
        <x:v/>
      </x:c>
      <x:c r="AL30" s="1600" t="str">
        <x:f t="shared" si="67"/>
        <x:v/>
      </x:c>
      <x:c r="AM30" s="1601">
        <x:v>5</x:v>
      </x:c>
      <x:c r="AN30" s="1260">
        <x:v>13</x:v>
      </x:c>
      <x:c r="AO30" s="1329">
        <x:v>4</x:v>
      </x:c>
      <x:c r="AP30" s="1327" t="str">
        <x:f t="shared" si="68"/>
        <x:v/>
      </x:c>
      <x:c r="AQ30" s="1602">
        <x:v>1.75</x:v>
      </x:c>
      <x:c r="AR30" s="1263" t="s">
        <x:v>1061</x:v>
      </x:c>
      <x:c r="AS30" s="1262" t="s">
        <x:v>1956</x:v>
      </x:c>
      <x:c r="AT30" s="1603" t="str">
        <x:f t="shared" si="70"/>
        <x:v/>
      </x:c>
      <x:c r="AU30" s="1410" t="s">
        <x:v>35</x:v>
      </x:c>
      <x:c r="AV30" s="2121">
        <x:v>51</x:v>
      </x:c>
      <x:c r="AW30" s="2122">
        <x:v>0</x:v>
      </x:c>
      <x:c r="AX30" s="1603" t="str">
        <x:f t="shared" si="73"/>
        <x:v/>
      </x:c>
      <x:c r="AY30" s="2123" t="s">
        <x:v>35</x:v>
      </x:c>
      <x:c r="AZ30" s="1328" t="str">
        <x:f t="shared" ref="AZ30:AZ41" si="90">IF(GH70="","",IF(ISTEXT(GH70),"P",TRUNC(GH70/12)))</x:f>
        <x:v/>
      </x:c>
      <x:c r="BA30" s="1262" t="str">
        <x:f t="shared" si="88"/>
        <x:v/>
      </x:c>
      <x:c r="BB30" s="1603" t="str">
        <x:f t="shared" si="77"/>
        <x:v/>
      </x:c>
      <x:c r="BC30" s="1410" t="str">
        <x:f t="shared" si="89"/>
        <x:v/>
      </x:c>
      <x:c r="BD30" s="1328" t="str">
        <x:f t="shared" si="79"/>
        <x:v/>
      </x:c>
      <x:c r="BE30" s="1262" t="str">
        <x:f t="shared" si="80"/>
        <x:v/>
      </x:c>
      <x:c r="BF30" s="1603" t="str">
        <x:f t="shared" si="81"/>
        <x:v/>
      </x:c>
      <x:c r="BG30" s="1410" t="str">
        <x:f t="shared" si="82"/>
        <x:v/>
      </x:c>
      <x:c r="BH30" s="322"/>
      <x:c r="BJ30" s="1258" t="str">
        <x:f t="shared" si="57"/>
        <x:v>G33</x:v>
      </x:c>
      <x:c r="BK30" s="1256" t="b">
        <x:f t="shared" si="15"/>
        <x:v>0</x:v>
      </x:c>
      <x:c r="BL30" s="2002" t="b">
        <x:v>0</x:v>
      </x:c>
      <x:c r="BM30" s="1251">
        <x:f t="shared" si="16"/>
        <x:v>54</x:v>
      </x:c>
      <x:c r="BN30" s="1251" t="str">
        <x:f t="shared" si="17"/>
        <x:v>G</x:v>
      </x:c>
      <x:c r="BO30" s="1251">
        <x:f t="shared" si="18"/>
        <x:v>7</x:v>
      </x:c>
      <x:c r="BP30" s="1251">
        <x:f t="shared" si="19"/>
        <x:v>13.4</x:v>
      </x:c>
      <x:c r="BQ30" s="1251">
        <x:f t="shared" si="20"/>
        <x:v>3.9</x:v>
      </x:c>
      <x:c r="BR30" s="1251" t="b">
        <x:f t="shared" si="21"/>
        <x:v>1</x:v>
      </x:c>
      <x:c r="BS30" s="1252">
        <x:f t="shared" si="22"/>
        <x:v>7.75</x:v>
      </x:c>
      <x:c r="BT30" s="1252" t="str">
        <x:f t="shared" si="23"/>
        <x:v>Yes</x:v>
      </x:c>
      <x:c r="BU30" s="1252">
        <x:f t="shared" si="24"/>
        <x:v>7.75</x:v>
      </x:c>
      <x:c r="BV30" s="1252" t="str">
        <x:f t="shared" si="25"/>
        <x:v>Yes</x:v>
      </x:c>
      <x:c r="BW30" s="1253">
        <x:f t="shared" si="26"/>
        <x:v>19</x:v>
      </x:c>
      <x:c r="BX30" s="1254" t="str">
        <x:f t="shared" si="27"/>
        <x:v>G30</x:v>
      </x:c>
      <x:c r="BY30" s="1254" t="b">
        <x:f t="shared" si="28"/>
        <x:v>0</x:v>
      </x:c>
      <x:c r="BZ30" s="1253" t="b">
        <x:f t="shared" si="49"/>
        <x:v>0</x:v>
      </x:c>
      <x:c r="CB30" s="842"/>
      <x:c r="CC30" s="894"/>
      <x:c r="CD30" s="883"/>
      <x:c r="CE30" s="884"/>
      <x:c r="CF30" s="885"/>
      <x:c r="CG30" s="901"/>
      <x:c r="CH30" s="902"/>
      <x:c r="CI30" s="903"/>
      <x:c r="CJ30" s="902"/>
      <x:c r="CK30" s="903"/>
      <x:c r="CL30" s="904"/>
      <x:c r="CM30" s="944"/>
      <x:c r="CN30" s="901"/>
      <x:c r="CO30" s="902"/>
      <x:c r="CP30" s="903"/>
      <x:c r="CQ30" s="902"/>
      <x:c r="CR30" s="903"/>
      <x:c r="CS30" s="904"/>
      <x:c r="CT30" s="944"/>
      <x:c r="CU30" s="906"/>
      <x:c r="CV30" s="886"/>
      <x:c r="CW30" s="887"/>
      <x:c r="CX30" s="915"/>
      <x:c r="CY30" s="916"/>
      <x:c r="CZ30" s="932"/>
      <x:c r="DA30" s="933"/>
      <x:c r="DB30" s="932"/>
      <x:c r="DC30" s="933"/>
      <x:c r="DD30" s="1149"/>
      <x:c r="DE30" s="1150"/>
      <x:c r="DF30" s="173"/>
      <x:c r="DG30" s="173"/>
      <x:c r="DH30" s="842"/>
      <x:c r="DI30" s="843"/>
      <x:c r="DJ30" s="872"/>
      <x:c r="DK30" s="873"/>
      <x:c r="DL30" s="844"/>
      <x:c r="DM30" s="874"/>
      <x:c r="DN30" s="875"/>
      <x:c r="DO30" s="845"/>
      <x:c r="DP30" s="846"/>
      <x:c r="DQ30" s="847"/>
      <x:c r="DR30" s="847"/>
      <x:c r="DS30" s="848"/>
      <x:c r="DT30" s="836"/>
      <x:c r="DU30" s="837"/>
      <x:c r="DV30" s="849"/>
      <x:c r="DW30" s="850"/>
      <x:c r="DX30" s="851"/>
      <x:c r="DY30" s="852"/>
      <x:c r="DZ30" s="849"/>
      <x:c r="EA30" s="850"/>
      <x:c r="EB30" s="851"/>
      <x:c r="EC30" s="852"/>
      <x:c r="ED30" s="849"/>
      <x:c r="EE30" s="850"/>
      <x:c r="EF30" s="851"/>
      <x:c r="EG30" s="852"/>
      <x:c r="EH30" s="849"/>
      <x:c r="EI30" s="850"/>
      <x:c r="EJ30" s="851"/>
      <x:c r="EK30" s="853"/>
      <x:c r="EL30" s="798" t="str">
        <x:f t="shared" si="29"/>
        <x:v/>
      </x:c>
      <x:c r="EM30" s="799" t="str">
        <x:f t="shared" si="30"/>
        <x:v/>
      </x:c>
      <x:c r="EN30" s="800" t="str">
        <x:f t="shared" si="31"/>
        <x:v/>
      </x:c>
      <x:c r="EO30" s="1030" t="str">
        <x:f t="shared" si="32"/>
        <x:v/>
      </x:c>
      <x:c r="EP30" s="726" t="str">
        <x:f t="shared" si="33"/>
        <x:v/>
      </x:c>
      <x:c r="EQ30" s="727" t="str">
        <x:f t="shared" si="34"/>
        <x:v/>
      </x:c>
      <x:c r="ER30" s="961" t="str">
        <x:f t="shared" si="35"/>
        <x:v/>
      </x:c>
      <x:c r="ES30" s="962" t="str">
        <x:f t="shared" si="50"/>
        <x:v/>
      </x:c>
      <x:c r="ET30" s="963" t="str">
        <x:f t="shared" si="36"/>
        <x:v/>
      </x:c>
      <x:c r="EU30" s="964" t="str">
        <x:f t="shared" si="37"/>
        <x:v/>
      </x:c>
      <x:c r="EX30" s="1194" t="str">
        <x:f t="shared" si="51"/>
        <x:v>G30B</x:v>
      </x:c>
      <x:c r="EY30" s="1196" t="b">
        <x:f t="shared" ca="1" si="38"/>
        <x:v>1</x:v>
      </x:c>
      <x:c r="EZ30" s="1196">
        <x:f t="shared" si="52"/>
        <x:v>5</x:v>
      </x:c>
      <x:c r="FA30" s="1217" t="e">
        <x:f t="shared" si="58"/>
        <x:v>#N/A</x:v>
      </x:c>
      <x:c r="FB30" s="1218" t="e">
        <x:f t="shared" si="53"/>
        <x:v>#N/A</x:v>
      </x:c>
      <x:c r="FC30" s="1218">
        <x:f t="shared" si="39"/>
        <x:v>46</x:v>
      </x:c>
      <x:c r="FD30" s="1218">
        <x:f t="shared" si="40"/>
        <x:v>480</x:v>
      </x:c>
      <x:c r="FE30" s="1218">
        <x:f t="shared" si="41"/>
        <x:v>94</x:v>
      </x:c>
      <x:c r="FF30" s="1218">
        <x:f t="shared" si="54"/>
        <x:v>620</x:v>
      </x:c>
      <x:c r="FN30" s="969" t="b">
        <x:v>0</x:v>
      </x:c>
      <x:c r="FO30" s="970" t="b">
        <x:f t="shared" si="42"/>
        <x:v>1</x:v>
      </x:c>
      <x:c r="FP30" s="970" t="b">
        <x:v>0</x:v>
      </x:c>
      <x:c r="FQ30" s="970" t="b">
        <x:f t="shared" si="55"/>
        <x:v>1</x:v>
      </x:c>
      <x:c r="FW30" s="2"/>
      <x:c r="FX30" s="2"/>
      <x:c r="FZ30" s="2"/>
      <x:c r="GA30" s="1935">
        <x:v>52</x:v>
      </x:c>
      <x:c r="GB30" s="1936">
        <x:v>0</x:v>
      </x:c>
      <x:c r="GC30" s="1937">
        <x:v>-0.25</x:v>
      </x:c>
      <x:c r="GD30" s="1938">
        <x:v>-0.25</x:v>
      </x:c>
      <x:c r="GE30" s="1939">
        <x:f t="shared" si="56"/>
        <x:v>0</x:v>
      </x:c>
      <x:c r="GF30" s="1940" t="str">
        <x:f t="shared" si="43"/>
        <x:v>G33</x:v>
      </x:c>
      <x:c r="GG30" s="1457"/>
      <x:c r="GH30" s="1459"/>
      <x:c r="GI30" s="1457"/>
      <x:c r="GJ30" s="1459"/>
      <x:c r="GK30" s="326">
        <x:f t="shared" si="44"/>
        <x:v>623.5</x:v>
      </x:c>
      <x:c r="GL30" s="326">
        <x:f t="shared" si="45"/>
        <x:v>623.5</x:v>
      </x:c>
      <x:c r="GM30" s="327">
        <x:f>IF(ABS(GK30-GL30)&gt;='Job Info.'!$L$22,ABS(GK30-GL30),0)</x:f>
        <x:v>0</x:v>
      </x:c>
      <x:c r="GZ30" s="161"/>
      <x:c r="HA30" s="1612" t="s">
        <x:v>1296</x:v>
      </x:c>
      <x:c r="HB30" s="1613">
        <x:v>1</x:v>
      </x:c>
      <x:c r="HC30" s="1613" t="s">
        <x:v>1954</x:v>
      </x:c>
      <x:c r="HD30" s="1614">
        <x:v>51</x:v>
      </x:c>
      <x:c r="HE30" s="1615">
        <x:v>11.5</x:v>
      </x:c>
      <x:c r="HF30" s="1613">
        <x:v>11.125</x:v>
      </x:c>
      <x:c r="HG30" s="1613">
        <x:v>0</x:v>
      </x:c>
      <x:c r="HH30" s="1613">
        <x:v>1.75</x:v>
      </x:c>
      <x:c r="HI30" s="1613" t="s">
        <x:v>114</x:v>
      </x:c>
      <x:c r="HJ30" s="1613">
        <x:v>0</x:v>
      </x:c>
      <x:c r="HK30" s="1613">
        <x:v>1.75</x:v>
      </x:c>
      <x:c r="HL30" s="1613" t="s">
        <x:v>114</x:v>
      </x:c>
      <x:c r="HM30" s="1613">
        <x:v>7.5</x:v>
      </x:c>
      <x:c r="HN30" s="1613">
        <x:v>7.5</x:v>
      </x:c>
      <x:c r="HO30" s="1613">
        <x:v>0</x:v>
      </x:c>
      <x:c r="HP30" s="1613">
        <x:v>6.75</x:v>
      </x:c>
      <x:c r="HQ30" s="1613">
        <x:v>0</x:v>
      </x:c>
      <x:c r="HR30" s="1613">
        <x:v>6.75</x:v>
      </x:c>
      <x:c r="HS30" s="1613">
        <x:v>0</x:v>
      </x:c>
      <x:c r="HT30" s="1613">
        <x:v>6.25</x:v>
      </x:c>
      <x:c r="HU30" s="1613">
        <x:v>0</x:v>
      </x:c>
      <x:c r="HV30" s="1613">
        <x:v>6.25</x:v>
      </x:c>
      <x:c r="HW30" s="1613">
        <x:v>5</x:v>
      </x:c>
      <x:c r="HX30" s="1613" t="s">
        <x:v>117</x:v>
      </x:c>
      <x:c r="HY30" s="1617" t="s">
        <x:v>117</x:v>
      </x:c>
      <x:c r="HZ30" s="1617" t="s">
        <x:v>2042</x:v>
      </x:c>
      <x:c r="IA30" s="1617" t="s">
        <x:v>117</x:v>
      </x:c>
      <x:c r="IB30" s="1617"/>
      <x:c r="IC30" s="1617"/>
      <x:c r="ID30" s="1632"/>
      <x:c r="IE30" s="1612" t="s">
        <x:v>1293</x:v>
      </x:c>
      <x:c r="IF30" s="1613" t="s">
        <x:v>35</x:v>
      </x:c>
      <x:c r="IG30" s="1614">
        <x:v>3</x:v>
      </x:c>
      <x:c r="IH30" s="1615">
        <x:v>10</x:v>
      </x:c>
      <x:c r="II30" s="1613">
        <x:v>5</x:v>
      </x:c>
      <x:c r="IJ30" s="1614">
        <x:v>8</x:v>
      </x:c>
      <x:c r="IK30" s="1615">
        <x:v>0</x:v>
      </x:c>
      <x:c r="IL30" s="1613">
        <x:v>7</x:v>
      </x:c>
      <x:c r="IM30" s="1613">
        <x:v>10</x:v>
      </x:c>
      <x:c r="IN30" s="1613" t="s">
        <x:v>117</x:v>
      </x:c>
      <x:c r="IO30" s="1613" t="s">
        <x:v>117</x:v>
      </x:c>
      <x:c r="IP30" s="1613">
        <x:v>5</x:v>
      </x:c>
      <x:c r="IQ30" s="1613">
        <x:v>13</x:v>
      </x:c>
      <x:c r="IR30" s="1613">
        <x:v>4</x:v>
      </x:c>
      <x:c r="IS30" s="1614" t="s">
        <x:v>117</x:v>
      </x:c>
      <x:c r="IT30" s="1615">
        <x:v>1.75</x:v>
      </x:c>
      <x:c r="IU30" s="1613" t="s">
        <x:v>1061</x:v>
      </x:c>
      <x:c r="IV30" s="1613" t="s">
        <x:v>1956</x:v>
      </x:c>
      <x:c r="IW30" s="1614" t="s">
        <x:v>117</x:v>
      </x:c>
      <x:c r="IX30" s="1615" t="s">
        <x:v>35</x:v>
      </x:c>
      <x:c r="IY30" s="1613" t="s">
        <x:v>117</x:v>
      </x:c>
      <x:c r="IZ30" s="1613" t="s">
        <x:v>117</x:v>
      </x:c>
      <x:c r="JA30" s="1614" t="s">
        <x:v>117</x:v>
      </x:c>
      <x:c r="JB30" s="1615" t="s">
        <x:v>117</x:v>
      </x:c>
      <x:c r="JC30" s="1613" t="s">
        <x:v>117</x:v>
      </x:c>
      <x:c r="JD30" s="1613" t="s">
        <x:v>117</x:v>
      </x:c>
      <x:c r="JE30" s="1614" t="s">
        <x:v>117</x:v>
      </x:c>
      <x:c r="JF30" s="1615" t="s">
        <x:v>117</x:v>
      </x:c>
      <x:c r="JG30" s="1613" t="s">
        <x:v>117</x:v>
      </x:c>
      <x:c r="JH30" s="1613" t="s">
        <x:v>117</x:v>
      </x:c>
      <x:c r="JI30" s="1613" t="s">
        <x:v>117</x:v>
      </x:c>
      <x:c r="JJ30" s="1619" t="s">
        <x:v>117</x:v>
      </x:c>
      <x:c r="JK30" s="1613">
        <x:v>1</x:v>
      </x:c>
      <x:c r="JL30" s="1521">
        <x:f t="shared" ca="1" si="59"/>
        <x:v>1</x:v>
      </x:c>
    </x:row>
    <x:row r="31" spans="1:272" s="183" customFormat="1" ht="12.6" customHeight="1" x14ac:dyDescent="0.25">
      <x:c r="A31" s="1583" t="s">
        <x:v>1297</x:v>
      </x:c>
      <x:c r="B31" s="1584">
        <x:v>1</x:v>
      </x:c>
      <x:c r="C31" s="1585" t="s">
        <x:v>1954</x:v>
      </x:c>
      <x:c r="D31" s="1586">
        <x:v>51</x:v>
      </x:c>
      <x:c r="E31" s="1587">
        <x:v>11.5</x:v>
      </x:c>
      <x:c r="F31" s="1588">
        <x:v>11.125</x:v>
      </x:c>
      <x:c r="G31" s="1589">
        <x:v>0</x:v>
      </x:c>
      <x:c r="H31" s="1590">
        <x:v>1.75</x:v>
      </x:c>
      <x:c r="I31" s="1591" t="s">
        <x:v>114</x:v>
      </x:c>
      <x:c r="J31" s="1586">
        <x:v>0</x:v>
      </x:c>
      <x:c r="K31" s="1590">
        <x:v>1.75</x:v>
      </x:c>
      <x:c r="L31" s="1592" t="s">
        <x:v>114</x:v>
      </x:c>
      <x:c r="M31" s="1593">
        <x:v>7.5</x:v>
      </x:c>
      <x:c r="N31" s="1594">
        <x:v>7.5</x:v>
      </x:c>
      <x:c r="O31" s="1589">
        <x:v>0</x:v>
      </x:c>
      <x:c r="P31" s="1590">
        <x:v>6.75</x:v>
      </x:c>
      <x:c r="Q31" s="1586">
        <x:v>0</x:v>
      </x:c>
      <x:c r="R31" s="1587">
        <x:v>6.75</x:v>
      </x:c>
      <x:c r="S31" s="1595">
        <x:v>0</x:v>
      </x:c>
      <x:c r="T31" s="1590">
        <x:v>6.25</x:v>
      </x:c>
      <x:c r="U31" s="1586">
        <x:v>0</x:v>
      </x:c>
      <x:c r="V31" s="1590">
        <x:v>6.25</x:v>
      </x:c>
      <x:c r="W31" s="1594">
        <x:v>5</x:v>
      </x:c>
      <x:c r="X31" s="1596" t="str">
        <x:f t="shared" si="0"/>
        <x:v/>
      </x:c>
      <x:c r="Y31" s="1597" t="str">
        <x:f t="shared" si="1"/>
        <x:v/>
      </x:c>
      <x:c r="Z31" s="2210" t="s">
        <x:v>2311</x:v>
      </x:c>
      <x:c r="AA31" s="1605" t="str">
        <x:f t="shared" si="2"/>
        <x:v/>
      </x:c>
      <x:c r="AB31" s="1264" t="s">
        <x:v>1294</x:v>
      </x:c>
      <x:c r="AC31" s="1260" t="s">
        <x:v>35</x:v>
      </x:c>
      <x:c r="AD31" s="1261">
        <x:v>3</x:v>
      </x:c>
      <x:c r="AE31" s="1262">
        <x:v>10</x:v>
      </x:c>
      <x:c r="AF31" s="1260">
        <x:v>5</x:v>
      </x:c>
      <x:c r="AG31" s="1261">
        <x:v>8</x:v>
      </x:c>
      <x:c r="AH31" s="1262">
        <x:v>0</x:v>
      </x:c>
      <x:c r="AI31" s="1261">
        <x:v>7</x:v>
      </x:c>
      <x:c r="AJ31" s="1262">
        <x:v>10</x:v>
      </x:c>
      <x:c r="AK31" s="1599" t="str">
        <x:f t="shared" si="66"/>
        <x:v/>
      </x:c>
      <x:c r="AL31" s="1600" t="str">
        <x:f t="shared" si="67"/>
        <x:v/>
      </x:c>
      <x:c r="AM31" s="1601">
        <x:v>5</x:v>
      </x:c>
      <x:c r="AN31" s="1260">
        <x:v>13</x:v>
      </x:c>
      <x:c r="AO31" s="1329">
        <x:v>4</x:v>
      </x:c>
      <x:c r="AP31" s="1327" t="str">
        <x:f t="shared" si="68"/>
        <x:v/>
      </x:c>
      <x:c r="AQ31" s="1602">
        <x:v>1.75</x:v>
      </x:c>
      <x:c r="AR31" s="1263" t="s">
        <x:v>1061</x:v>
      </x:c>
      <x:c r="AS31" s="1262" t="s">
        <x:v>1956</x:v>
      </x:c>
      <x:c r="AT31" s="1603" t="str">
        <x:f t="shared" si="70"/>
        <x:v/>
      </x:c>
      <x:c r="AU31" s="1410" t="s">
        <x:v>35</x:v>
      </x:c>
      <x:c r="AV31" s="2121">
        <x:v>51</x:v>
      </x:c>
      <x:c r="AW31" s="2122">
        <x:v>0</x:v>
      </x:c>
      <x:c r="AX31" s="1603" t="str">
        <x:f t="shared" si="73"/>
        <x:v/>
      </x:c>
      <x:c r="AY31" s="2123" t="s">
        <x:v>35</x:v>
      </x:c>
      <x:c r="AZ31" s="1328" t="str">
        <x:f t="shared" si="90"/>
        <x:v/>
      </x:c>
      <x:c r="BA31" s="1262" t="str">
        <x:f t="shared" si="88"/>
        <x:v/>
      </x:c>
      <x:c r="BB31" s="1603" t="str">
        <x:f t="shared" si="77"/>
        <x:v/>
      </x:c>
      <x:c r="BC31" s="1410" t="str">
        <x:f t="shared" si="89"/>
        <x:v/>
      </x:c>
      <x:c r="BD31" s="1328" t="str">
        <x:f t="shared" si="79"/>
        <x:v/>
      </x:c>
      <x:c r="BE31" s="1262" t="str">
        <x:f t="shared" si="80"/>
        <x:v/>
      </x:c>
      <x:c r="BF31" s="1603" t="str">
        <x:f t="shared" si="81"/>
        <x:v/>
      </x:c>
      <x:c r="BG31" s="1410" t="str">
        <x:f t="shared" si="82"/>
        <x:v/>
      </x:c>
      <x:c r="BH31" s="322"/>
      <x:c r="BJ31" s="1258" t="str">
        <x:f t="shared" si="57"/>
        <x:v>G34</x:v>
      </x:c>
      <x:c r="BK31" s="1256" t="b">
        <x:f t="shared" si="15"/>
        <x:v>0</x:v>
      </x:c>
      <x:c r="BL31" s="2002" t="b">
        <x:v>0</x:v>
      </x:c>
      <x:c r="BM31" s="1251">
        <x:f t="shared" si="16"/>
        <x:v>54</x:v>
      </x:c>
      <x:c r="BN31" s="1251" t="str">
        <x:f t="shared" si="17"/>
        <x:v>G</x:v>
      </x:c>
      <x:c r="BO31" s="1251">
        <x:f t="shared" si="18"/>
        <x:v>7</x:v>
      </x:c>
      <x:c r="BP31" s="1251">
        <x:f t="shared" si="19"/>
        <x:v>13.4</x:v>
      </x:c>
      <x:c r="BQ31" s="1251">
        <x:f t="shared" si="20"/>
        <x:v>3.9</x:v>
      </x:c>
      <x:c r="BR31" s="1251" t="b">
        <x:f t="shared" si="21"/>
        <x:v>1</x:v>
      </x:c>
      <x:c r="BS31" s="1252">
        <x:f t="shared" si="22"/>
        <x:v>7.75</x:v>
      </x:c>
      <x:c r="BT31" s="1252" t="str">
        <x:f t="shared" si="23"/>
        <x:v>Yes</x:v>
      </x:c>
      <x:c r="BU31" s="1252">
        <x:f t="shared" si="24"/>
        <x:v>7.75</x:v>
      </x:c>
      <x:c r="BV31" s="1252" t="str">
        <x:f t="shared" si="25"/>
        <x:v>Yes</x:v>
      </x:c>
      <x:c r="BW31" s="1253">
        <x:f t="shared" si="26"/>
        <x:v>19</x:v>
      </x:c>
      <x:c r="BX31" s="1254" t="str">
        <x:f t="shared" si="27"/>
        <x:v>G31</x:v>
      </x:c>
      <x:c r="BY31" s="1254" t="b">
        <x:f t="shared" si="28"/>
        <x:v>0</x:v>
      </x:c>
      <x:c r="BZ31" s="1253" t="b">
        <x:f t="shared" si="49"/>
        <x:v>0</x:v>
      </x:c>
      <x:c r="CB31" s="842"/>
      <x:c r="CC31" s="894"/>
      <x:c r="CD31" s="883"/>
      <x:c r="CE31" s="884"/>
      <x:c r="CF31" s="885"/>
      <x:c r="CG31" s="901"/>
      <x:c r="CH31" s="902"/>
      <x:c r="CI31" s="903"/>
      <x:c r="CJ31" s="902"/>
      <x:c r="CK31" s="903"/>
      <x:c r="CL31" s="904"/>
      <x:c r="CM31" s="944"/>
      <x:c r="CN31" s="901"/>
      <x:c r="CO31" s="902"/>
      <x:c r="CP31" s="903"/>
      <x:c r="CQ31" s="902"/>
      <x:c r="CR31" s="903"/>
      <x:c r="CS31" s="904"/>
      <x:c r="CT31" s="944"/>
      <x:c r="CU31" s="906"/>
      <x:c r="CV31" s="886"/>
      <x:c r="CW31" s="887"/>
      <x:c r="CX31" s="915"/>
      <x:c r="CY31" s="916"/>
      <x:c r="CZ31" s="932"/>
      <x:c r="DA31" s="933"/>
      <x:c r="DB31" s="932"/>
      <x:c r="DC31" s="933"/>
      <x:c r="DD31" s="1149"/>
      <x:c r="DE31" s="1150"/>
      <x:c r="DF31" s="173"/>
      <x:c r="DG31" s="173"/>
      <x:c r="DH31" s="842"/>
      <x:c r="DI31" s="843"/>
      <x:c r="DJ31" s="872"/>
      <x:c r="DK31" s="873"/>
      <x:c r="DL31" s="844"/>
      <x:c r="DM31" s="874"/>
      <x:c r="DN31" s="875"/>
      <x:c r="DO31" s="845"/>
      <x:c r="DP31" s="846"/>
      <x:c r="DQ31" s="847"/>
      <x:c r="DR31" s="847"/>
      <x:c r="DS31" s="848"/>
      <x:c r="DT31" s="836"/>
      <x:c r="DU31" s="837"/>
      <x:c r="DV31" s="849"/>
      <x:c r="DW31" s="850"/>
      <x:c r="DX31" s="851"/>
      <x:c r="DY31" s="852"/>
      <x:c r="DZ31" s="849"/>
      <x:c r="EA31" s="850"/>
      <x:c r="EB31" s="851"/>
      <x:c r="EC31" s="852"/>
      <x:c r="ED31" s="849"/>
      <x:c r="EE31" s="850"/>
      <x:c r="EF31" s="851"/>
      <x:c r="EG31" s="852"/>
      <x:c r="EH31" s="849"/>
      <x:c r="EI31" s="850"/>
      <x:c r="EJ31" s="851"/>
      <x:c r="EK31" s="853"/>
      <x:c r="EL31" s="798" t="str">
        <x:f t="shared" si="29"/>
        <x:v/>
      </x:c>
      <x:c r="EM31" s="799" t="str">
        <x:f t="shared" si="30"/>
        <x:v/>
      </x:c>
      <x:c r="EN31" s="800" t="str">
        <x:f t="shared" si="31"/>
        <x:v/>
      </x:c>
      <x:c r="EO31" s="1030" t="str">
        <x:f t="shared" si="32"/>
        <x:v/>
      </x:c>
      <x:c r="EP31" s="726" t="str">
        <x:f t="shared" si="33"/>
        <x:v/>
      </x:c>
      <x:c r="EQ31" s="727" t="str">
        <x:f t="shared" si="34"/>
        <x:v/>
      </x:c>
      <x:c r="ER31" s="961" t="str">
        <x:f t="shared" si="35"/>
        <x:v/>
      </x:c>
      <x:c r="ES31" s="962" t="str">
        <x:f t="shared" si="50"/>
        <x:v/>
      </x:c>
      <x:c r="ET31" s="963" t="str">
        <x:f t="shared" si="36"/>
        <x:v/>
      </x:c>
      <x:c r="EU31" s="964" t="str">
        <x:f t="shared" si="37"/>
        <x:v/>
      </x:c>
      <x:c r="EX31" s="1194" t="str">
        <x:f t="shared" si="51"/>
        <x:v>G31B</x:v>
      </x:c>
      <x:c r="EY31" s="1196" t="b">
        <x:f t="shared" ca="1" si="38"/>
        <x:v>1</x:v>
      </x:c>
      <x:c r="EZ31" s="1196">
        <x:f t="shared" si="52"/>
        <x:v>5</x:v>
      </x:c>
      <x:c r="FA31" s="1217" t="b">
        <x:f t="shared" si="58"/>
        <x:v>1</x:v>
      </x:c>
      <x:c r="FB31" s="1218">
        <x:f t="shared" si="53"/>
        <x:v>620</x:v>
      </x:c>
      <x:c r="FC31" s="1218">
        <x:f t="shared" si="39"/>
        <x:v>46</x:v>
      </x:c>
      <x:c r="FD31" s="1218">
        <x:f t="shared" si="40"/>
        <x:v>480</x:v>
      </x:c>
      <x:c r="FE31" s="1218">
        <x:f t="shared" si="41"/>
        <x:v>94</x:v>
      </x:c>
      <x:c r="FF31" s="1218">
        <x:f t="shared" si="54"/>
        <x:v>620</x:v>
      </x:c>
      <x:c r="FN31" s="969" t="b">
        <x:v>0</x:v>
      </x:c>
      <x:c r="FO31" s="970" t="b">
        <x:f t="shared" si="42"/>
        <x:v>1</x:v>
      </x:c>
      <x:c r="FP31" s="970" t="b">
        <x:v>0</x:v>
      </x:c>
      <x:c r="FQ31" s="970" t="b">
        <x:f t="shared" si="55"/>
        <x:v>1</x:v>
      </x:c>
      <x:c r="FW31" s="2"/>
      <x:c r="FX31" s="2"/>
      <x:c r="FZ31" s="2"/>
      <x:c r="GA31" s="1935">
        <x:v>52</x:v>
      </x:c>
      <x:c r="GB31" s="1936">
        <x:v>0</x:v>
      </x:c>
      <x:c r="GC31" s="1937">
        <x:v>-0.25</x:v>
      </x:c>
      <x:c r="GD31" s="1938">
        <x:v>-0.25</x:v>
      </x:c>
      <x:c r="GE31" s="1939">
        <x:f t="shared" si="56"/>
        <x:v>0</x:v>
      </x:c>
      <x:c r="GF31" s="1940" t="str">
        <x:f t="shared" si="43"/>
        <x:v>G34</x:v>
      </x:c>
      <x:c r="GG31" s="1457"/>
      <x:c r="GH31" s="1459"/>
      <x:c r="GI31" s="1457"/>
      <x:c r="GJ31" s="1459"/>
      <x:c r="GK31" s="326">
        <x:f t="shared" si="44"/>
        <x:v>623.5</x:v>
      </x:c>
      <x:c r="GL31" s="326">
        <x:f t="shared" si="45"/>
        <x:v>623.5</x:v>
      </x:c>
      <x:c r="GM31" s="327">
        <x:f>IF(ABS(GK31-GL31)&gt;='Job Info.'!$L$22,ABS(GK31-GL31),0)</x:f>
        <x:v>0</x:v>
      </x:c>
      <x:c r="GZ31" s="161"/>
      <x:c r="HA31" s="1612" t="s">
        <x:v>1297</x:v>
      </x:c>
      <x:c r="HB31" s="1613">
        <x:v>1</x:v>
      </x:c>
      <x:c r="HC31" s="1613" t="s">
        <x:v>1954</x:v>
      </x:c>
      <x:c r="HD31" s="1614">
        <x:v>51</x:v>
      </x:c>
      <x:c r="HE31" s="1615">
        <x:v>11.5</x:v>
      </x:c>
      <x:c r="HF31" s="1613">
        <x:v>11.125</x:v>
      </x:c>
      <x:c r="HG31" s="1613">
        <x:v>0</x:v>
      </x:c>
      <x:c r="HH31" s="1613">
        <x:v>1.75</x:v>
      </x:c>
      <x:c r="HI31" s="1613" t="s">
        <x:v>114</x:v>
      </x:c>
      <x:c r="HJ31" s="1613">
        <x:v>0</x:v>
      </x:c>
      <x:c r="HK31" s="1613">
        <x:v>1.75</x:v>
      </x:c>
      <x:c r="HL31" s="1613" t="s">
        <x:v>114</x:v>
      </x:c>
      <x:c r="HM31" s="1613">
        <x:v>7.5</x:v>
      </x:c>
      <x:c r="HN31" s="1613">
        <x:v>7.5</x:v>
      </x:c>
      <x:c r="HO31" s="1613">
        <x:v>0</x:v>
      </x:c>
      <x:c r="HP31" s="1613">
        <x:v>6.75</x:v>
      </x:c>
      <x:c r="HQ31" s="1613">
        <x:v>0</x:v>
      </x:c>
      <x:c r="HR31" s="1613">
        <x:v>6.75</x:v>
      </x:c>
      <x:c r="HS31" s="1613">
        <x:v>0</x:v>
      </x:c>
      <x:c r="HT31" s="1613">
        <x:v>6.25</x:v>
      </x:c>
      <x:c r="HU31" s="1613">
        <x:v>0</x:v>
      </x:c>
      <x:c r="HV31" s="1613">
        <x:v>6.25</x:v>
      </x:c>
      <x:c r="HW31" s="1613">
        <x:v>5</x:v>
      </x:c>
      <x:c r="HX31" s="1613" t="s">
        <x:v>117</x:v>
      </x:c>
      <x:c r="HY31" s="1617" t="s">
        <x:v>117</x:v>
      </x:c>
      <x:c r="HZ31" s="1617" t="s">
        <x:v>2046</x:v>
      </x:c>
      <x:c r="IA31" s="1617" t="s">
        <x:v>117</x:v>
      </x:c>
      <x:c r="IB31" s="1617"/>
      <x:c r="IC31" s="1617"/>
      <x:c r="ID31" s="1632"/>
      <x:c r="IE31" s="1612" t="s">
        <x:v>1294</x:v>
      </x:c>
      <x:c r="IF31" s="1613" t="s">
        <x:v>35</x:v>
      </x:c>
      <x:c r="IG31" s="1614">
        <x:v>3</x:v>
      </x:c>
      <x:c r="IH31" s="1615">
        <x:v>10</x:v>
      </x:c>
      <x:c r="II31" s="1613">
        <x:v>5</x:v>
      </x:c>
      <x:c r="IJ31" s="1614">
        <x:v>8</x:v>
      </x:c>
      <x:c r="IK31" s="1615">
        <x:v>0</x:v>
      </x:c>
      <x:c r="IL31" s="1613">
        <x:v>7</x:v>
      </x:c>
      <x:c r="IM31" s="1613">
        <x:v>10</x:v>
      </x:c>
      <x:c r="IN31" s="1613" t="s">
        <x:v>117</x:v>
      </x:c>
      <x:c r="IO31" s="1613" t="s">
        <x:v>117</x:v>
      </x:c>
      <x:c r="IP31" s="1613">
        <x:v>5</x:v>
      </x:c>
      <x:c r="IQ31" s="1613">
        <x:v>13</x:v>
      </x:c>
      <x:c r="IR31" s="1613">
        <x:v>4</x:v>
      </x:c>
      <x:c r="IS31" s="1614" t="s">
        <x:v>117</x:v>
      </x:c>
      <x:c r="IT31" s="1615">
        <x:v>1.75</x:v>
      </x:c>
      <x:c r="IU31" s="1613" t="s">
        <x:v>1061</x:v>
      </x:c>
      <x:c r="IV31" s="1613" t="s">
        <x:v>1956</x:v>
      </x:c>
      <x:c r="IW31" s="1614" t="s">
        <x:v>117</x:v>
      </x:c>
      <x:c r="IX31" s="1615" t="s">
        <x:v>35</x:v>
      </x:c>
      <x:c r="IY31" s="1613" t="s">
        <x:v>117</x:v>
      </x:c>
      <x:c r="IZ31" s="1613" t="s">
        <x:v>117</x:v>
      </x:c>
      <x:c r="JA31" s="1614" t="s">
        <x:v>117</x:v>
      </x:c>
      <x:c r="JB31" s="1615" t="s">
        <x:v>117</x:v>
      </x:c>
      <x:c r="JC31" s="1613" t="s">
        <x:v>117</x:v>
      </x:c>
      <x:c r="JD31" s="1613" t="s">
        <x:v>117</x:v>
      </x:c>
      <x:c r="JE31" s="1614" t="s">
        <x:v>117</x:v>
      </x:c>
      <x:c r="JF31" s="1615" t="s">
        <x:v>117</x:v>
      </x:c>
      <x:c r="JG31" s="1613" t="s">
        <x:v>117</x:v>
      </x:c>
      <x:c r="JH31" s="1613" t="s">
        <x:v>117</x:v>
      </x:c>
      <x:c r="JI31" s="1613" t="s">
        <x:v>117</x:v>
      </x:c>
      <x:c r="JJ31" s="1619" t="s">
        <x:v>117</x:v>
      </x:c>
      <x:c r="JK31" s="1613">
        <x:v>1</x:v>
      </x:c>
      <x:c r="JL31" s="1521">
        <x:f t="shared" ca="1" si="59"/>
        <x:v>1</x:v>
      </x:c>
    </x:row>
    <x:row r="32" spans="1:272" ht="12.6" customHeight="1" x14ac:dyDescent="0.25">
      <x:c r="A32" s="1583" t="s">
        <x:v>1298</x:v>
      </x:c>
      <x:c r="B32" s="1584">
        <x:v>1</x:v>
      </x:c>
      <x:c r="C32" s="1585" t="s">
        <x:v>1957</x:v>
      </x:c>
      <x:c r="D32" s="1586">
        <x:v>64</x:v>
      </x:c>
      <x:c r="E32" s="1587">
        <x:v>8.625</x:v>
      </x:c>
      <x:c r="F32" s="1588">
        <x:v>11.125</x:v>
      </x:c>
      <x:c r="G32" s="1589">
        <x:v>0</x:v>
      </x:c>
      <x:c r="H32" s="1590">
        <x:v>1.75</x:v>
      </x:c>
      <x:c r="I32" s="1591" t="s">
        <x:v>114</x:v>
      </x:c>
      <x:c r="J32" s="2202">
        <x:v>0</x:v>
      </x:c>
      <x:c r="K32" s="2203">
        <x:v>0.25</x:v>
      </x:c>
      <x:c r="L32" s="2204" t="s">
        <x:v>114</x:v>
      </x:c>
      <x:c r="M32" s="1593">
        <x:v>7.5</x:v>
      </x:c>
      <x:c r="N32" s="1594">
        <x:v>7.5</x:v>
      </x:c>
      <x:c r="O32" s="1589">
        <x:v>0</x:v>
      </x:c>
      <x:c r="P32" s="1590">
        <x:v>6.75</x:v>
      </x:c>
      <x:c r="Q32" s="1586">
        <x:v>0</x:v>
      </x:c>
      <x:c r="R32" s="1587">
        <x:v>1</x:v>
      </x:c>
      <x:c r="S32" s="1595">
        <x:v>0</x:v>
      </x:c>
      <x:c r="T32" s="1590">
        <x:v>6.25</x:v>
      </x:c>
      <x:c r="U32" s="1586">
        <x:v>0</x:v>
      </x:c>
      <x:c r="V32" s="1590">
        <x:v>3.875</x:v>
      </x:c>
      <x:c r="W32" s="1594">
        <x:v>5</x:v>
      </x:c>
      <x:c r="X32" s="1596" t="str">
        <x:f t="shared" si="0"/>
        <x:v/>
      </x:c>
      <x:c r="Y32" s="1597" t="str">
        <x:f t="shared" si="1"/>
        <x:v/>
      </x:c>
      <x:c r="Z32" s="2088" t="s">
        <x:v>2047</x:v>
      </x:c>
      <x:c r="AA32" s="1605" t="str">
        <x:f t="shared" si="2"/>
        <x:v/>
      </x:c>
      <x:c r="AB32" s="1264" t="s">
        <x:v>1295</x:v>
      </x:c>
      <x:c r="AC32" s="1260" t="s">
        <x:v>35</x:v>
      </x:c>
      <x:c r="AD32" s="1261">
        <x:v>7</x:v>
      </x:c>
      <x:c r="AE32" s="1262">
        <x:v>10</x:v>
      </x:c>
      <x:c r="AF32" s="1260">
        <x:v>4</x:v>
      </x:c>
      <x:c r="AG32" s="1261">
        <x:v>8</x:v>
      </x:c>
      <x:c r="AH32" s="1262">
        <x:v>0</x:v>
      </x:c>
      <x:c r="AI32" s="1261">
        <x:v>8</x:v>
      </x:c>
      <x:c r="AJ32" s="1262">
        <x:v>6.125</x:v>
      </x:c>
      <x:c r="AK32" s="1599" t="str">
        <x:f t="shared" si="66"/>
        <x:v/>
      </x:c>
      <x:c r="AL32" s="1600" t="str">
        <x:f t="shared" si="67"/>
        <x:v/>
      </x:c>
      <x:c r="AM32" s="1601">
        <x:v>5</x:v>
      </x:c>
      <x:c r="AN32" s="1260">
        <x:v>13</x:v>
      </x:c>
      <x:c r="AO32" s="1329">
        <x:v>4</x:v>
      </x:c>
      <x:c r="AP32" s="1327" t="str">
        <x:f t="shared" si="68"/>
        <x:v/>
      </x:c>
      <x:c r="AQ32" s="1602" t="str">
        <x:f t="shared" ref="AQ32:AQ33" si="91">IF(OR(GE72="",GE72=0),"",GE72)</x:f>
        <x:v/>
      </x:c>
      <x:c r="AR32" s="2157">
        <x:v>1</x:v>
      </x:c>
      <x:c r="AS32" s="2122">
        <x:v>0</x:v>
      </x:c>
      <x:c r="AT32" s="1603" t="str">
        <x:f t="shared" si="70"/>
        <x:v/>
      </x:c>
      <x:c r="AU32" s="2123" t="s">
        <x:v>1703</x:v>
      </x:c>
      <x:c r="AV32" s="1328" t="str">
        <x:f t="shared" ref="AV32" si="92">IF(GG72="","",IF(ISTEXT(GG72),"P",TRUNC(GG72/12)))</x:f>
        <x:v/>
      </x:c>
      <x:c r="AW32" s="1262" t="str">
        <x:f t="shared" ref="AW32" si="93">IF(GG72="","",IF(AV32="P",GG72,GG72-(AV32*12)))</x:f>
        <x:v/>
      </x:c>
      <x:c r="AX32" s="1603" t="str">
        <x:f t="shared" si="73"/>
        <x:v/>
      </x:c>
      <x:c r="AY32" s="1410" t="str">
        <x:f t="shared" ref="AY32" si="94">IF(ISBLANK(EC32),"",EC32)</x:f>
        <x:v/>
      </x:c>
      <x:c r="AZ32" s="1328" t="str">
        <x:f t="shared" si="90"/>
        <x:v/>
      </x:c>
      <x:c r="BA32" s="1262" t="str">
        <x:f t="shared" si="88"/>
        <x:v/>
      </x:c>
      <x:c r="BB32" s="1603" t="str">
        <x:f t="shared" si="77"/>
        <x:v/>
      </x:c>
      <x:c r="BC32" s="1410" t="str">
        <x:f t="shared" si="89"/>
        <x:v/>
      </x:c>
      <x:c r="BD32" s="1328" t="str">
        <x:f t="shared" si="79"/>
        <x:v/>
      </x:c>
      <x:c r="BE32" s="1262" t="str">
        <x:f t="shared" si="80"/>
        <x:v/>
      </x:c>
      <x:c r="BF32" s="1603" t="str">
        <x:f t="shared" si="81"/>
        <x:v/>
      </x:c>
      <x:c r="BG32" s="1410" t="str">
        <x:f t="shared" si="82"/>
        <x:v/>
      </x:c>
      <x:c r="BH32" s="322"/>
      <x:c r="BJ32" s="1258" t="str">
        <x:f t="shared" si="57"/>
        <x:v>G35</x:v>
      </x:c>
      <x:c r="BK32" s="1256" t="b">
        <x:f t="shared" si="15"/>
        <x:v>0</x:v>
      </x:c>
      <x:c r="BL32" s="2002" t="b">
        <x:v>0</x:v>
      </x:c>
      <x:c r="BM32" s="1251">
        <x:f t="shared" si="16"/>
        <x:v>54</x:v>
      </x:c>
      <x:c r="BN32" s="1251" t="str">
        <x:f t="shared" si="17"/>
        <x:v>G</x:v>
      </x:c>
      <x:c r="BO32" s="1251">
        <x:f t="shared" si="18"/>
        <x:v>8</x:v>
      </x:c>
      <x:c r="BP32" s="1251">
        <x:f t="shared" si="19"/>
        <x:v>13.4</x:v>
      </x:c>
      <x:c r="BQ32" s="1251">
        <x:f t="shared" si="20"/>
        <x:v>3.9</x:v>
      </x:c>
      <x:c r="BR32" s="1251" t="b">
        <x:f t="shared" si="21"/>
        <x:v>1</x:v>
      </x:c>
      <x:c r="BS32" s="1252">
        <x:f t="shared" si="22"/>
        <x:v>7.75</x:v>
      </x:c>
      <x:c r="BT32" s="1252" t="str">
        <x:f t="shared" si="23"/>
        <x:v>Yes</x:v>
      </x:c>
      <x:c r="BU32" s="1252">
        <x:f t="shared" si="24"/>
        <x:v>6.25</x:v>
      </x:c>
      <x:c r="BV32" s="1252" t="str">
        <x:f t="shared" si="25"/>
        <x:v>Yes</x:v>
      </x:c>
      <x:c r="BW32" s="1253">
        <x:f t="shared" si="26"/>
        <x:v>15</x:v>
      </x:c>
      <x:c r="BX32" s="1254" t="str">
        <x:f t="shared" si="27"/>
        <x:v>G32</x:v>
      </x:c>
      <x:c r="BY32" s="1254" t="b">
        <x:f t="shared" si="28"/>
        <x:v>0</x:v>
      </x:c>
      <x:c r="BZ32" s="1253" t="b">
        <x:f t="shared" si="49"/>
        <x:v>0</x:v>
      </x:c>
      <x:c r="CB32" s="842"/>
      <x:c r="CC32" s="894"/>
      <x:c r="CD32" s="883"/>
      <x:c r="CE32" s="884"/>
      <x:c r="CF32" s="885"/>
      <x:c r="CG32" s="901"/>
      <x:c r="CH32" s="902"/>
      <x:c r="CI32" s="903"/>
      <x:c r="CJ32" s="902"/>
      <x:c r="CK32" s="903"/>
      <x:c r="CL32" s="904"/>
      <x:c r="CM32" s="944"/>
      <x:c r="CN32" s="901"/>
      <x:c r="CO32" s="902"/>
      <x:c r="CP32" s="903"/>
      <x:c r="CQ32" s="902"/>
      <x:c r="CR32" s="903"/>
      <x:c r="CS32" s="904"/>
      <x:c r="CT32" s="944"/>
      <x:c r="CU32" s="906"/>
      <x:c r="CV32" s="886"/>
      <x:c r="CW32" s="887"/>
      <x:c r="CX32" s="915"/>
      <x:c r="CY32" s="916"/>
      <x:c r="CZ32" s="932"/>
      <x:c r="DA32" s="933"/>
      <x:c r="DB32" s="932"/>
      <x:c r="DC32" s="933"/>
      <x:c r="DD32" s="1149"/>
      <x:c r="DE32" s="1150"/>
      <x:c r="DF32" s="173"/>
      <x:c r="DG32" s="173"/>
      <x:c r="DH32" s="842"/>
      <x:c r="DI32" s="843"/>
      <x:c r="DJ32" s="872"/>
      <x:c r="DK32" s="873"/>
      <x:c r="DL32" s="844"/>
      <x:c r="DM32" s="874"/>
      <x:c r="DN32" s="875"/>
      <x:c r="DO32" s="845"/>
      <x:c r="DP32" s="846"/>
      <x:c r="DQ32" s="847"/>
      <x:c r="DR32" s="847"/>
      <x:c r="DS32" s="848"/>
      <x:c r="DT32" s="836"/>
      <x:c r="DU32" s="837"/>
      <x:c r="DV32" s="849"/>
      <x:c r="DW32" s="850"/>
      <x:c r="DX32" s="851"/>
      <x:c r="DY32" s="852"/>
      <x:c r="DZ32" s="849"/>
      <x:c r="EA32" s="850"/>
      <x:c r="EB32" s="851"/>
      <x:c r="EC32" s="852"/>
      <x:c r="ED32" s="849"/>
      <x:c r="EE32" s="850"/>
      <x:c r="EF32" s="851"/>
      <x:c r="EG32" s="852"/>
      <x:c r="EH32" s="849"/>
      <x:c r="EI32" s="850"/>
      <x:c r="EJ32" s="851"/>
      <x:c r="EK32" s="853"/>
      <x:c r="EL32" s="798" t="str">
        <x:f t="shared" si="29"/>
        <x:v/>
      </x:c>
      <x:c r="EM32" s="799" t="str">
        <x:f t="shared" si="30"/>
        <x:v/>
      </x:c>
      <x:c r="EN32" s="800" t="str">
        <x:f t="shared" si="31"/>
        <x:v/>
      </x:c>
      <x:c r="EO32" s="1030" t="str">
        <x:f t="shared" si="32"/>
        <x:v/>
      </x:c>
      <x:c r="EP32" s="726" t="str">
        <x:f t="shared" si="33"/>
        <x:v/>
      </x:c>
      <x:c r="EQ32" s="727" t="str">
        <x:f t="shared" si="34"/>
        <x:v/>
      </x:c>
      <x:c r="ER32" s="961" t="str">
        <x:f t="shared" si="35"/>
        <x:v/>
      </x:c>
      <x:c r="ES32" s="962" t="str">
        <x:f t="shared" si="50"/>
        <x:v/>
      </x:c>
      <x:c r="ET32" s="963" t="str">
        <x:f t="shared" si="36"/>
        <x:v/>
      </x:c>
      <x:c r="EU32" s="964" t="str">
        <x:f t="shared" si="37"/>
        <x:v/>
      </x:c>
      <x:c r="EX32" s="1194" t="str">
        <x:f t="shared" si="51"/>
        <x:v>G32B</x:v>
      </x:c>
      <x:c r="EY32" s="1196" t="b">
        <x:f t="shared" ca="1" si="38"/>
        <x:v>0</x:v>
      </x:c>
      <x:c r="EZ32" s="1196">
        <x:f t="shared" si="52"/>
        <x:v>5</x:v>
      </x:c>
      <x:c r="FA32" s="1217" t="b">
        <x:f t="shared" si="58"/>
        <x:v>0</x:v>
      </x:c>
      <x:c r="FB32" s="1218">
        <x:f t="shared" si="53"/>
        <x:v>579.875</x:v>
      </x:c>
      <x:c r="FC32" s="1218">
        <x:f t="shared" si="39"/>
        <x:v>94</x:v>
      </x:c>
      <x:c r="FD32" s="1218">
        <x:f t="shared" si="40"/>
        <x:v>384</x:v>
      </x:c>
      <x:c r="FE32" s="1218">
        <x:f t="shared" si="41"/>
        <x:v>102.125</x:v>
      </x:c>
      <x:c r="FF32" s="1218">
        <x:f t="shared" si="54"/>
        <x:v>580.125</x:v>
      </x:c>
      <x:c r="FN32" s="969" t="b">
        <x:v>0</x:v>
      </x:c>
      <x:c r="FO32" s="969" t="b">
        <x:f t="shared" si="42"/>
        <x:v>1</x:v>
      </x:c>
      <x:c r="FP32" s="969" t="b">
        <x:v>0</x:v>
      </x:c>
      <x:c r="FQ32" s="969" t="b">
        <x:f t="shared" si="55"/>
        <x:v>1</x:v>
      </x:c>
      <x:c r="FW32" s="2"/>
      <x:c r="FX32" s="2"/>
      <x:c r="FZ32" s="2"/>
      <x:c r="GA32" s="1935">
        <x:v>64</x:v>
      </x:c>
      <x:c r="GB32" s="1936">
        <x:v>9.875</x:v>
      </x:c>
      <x:c r="GC32" s="1937">
        <x:v>-0.25</x:v>
      </x:c>
      <x:c r="GD32" s="1938">
        <x:v>-1</x:v>
      </x:c>
      <x:c r="GE32" s="1939">
        <x:f t="shared" si="56"/>
        <x:v>0</x:v>
      </x:c>
      <x:c r="GF32" s="1940" t="str">
        <x:f t="shared" si="43"/>
        <x:v>G35</x:v>
      </x:c>
      <x:c r="GG32" s="1457"/>
      <x:c r="GH32" s="1459"/>
      <x:c r="GI32" s="1457"/>
      <x:c r="GJ32" s="1459"/>
      <x:c r="GK32" s="326">
        <x:f t="shared" si="44"/>
        <x:v>776.625</x:v>
      </x:c>
      <x:c r="GL32" s="326">
        <x:f t="shared" si="45"/>
        <x:v>776.625</x:v>
      </x:c>
      <x:c r="GM32" s="327">
        <x:f>IF(ABS(GK32-GL32)&gt;='Job Info.'!$L$22,ABS(GK32-GL32),0)</x:f>
        <x:v>0</x:v>
      </x:c>
      <x:c r="HA32" s="1612" t="s">
        <x:v>1298</x:v>
      </x:c>
      <x:c r="HB32" s="1613">
        <x:v>1</x:v>
      </x:c>
      <x:c r="HC32" s="1613" t="s">
        <x:v>1957</x:v>
      </x:c>
      <x:c r="HD32" s="1614">
        <x:v>64</x:v>
      </x:c>
      <x:c r="HE32" s="1615">
        <x:v>8.625</x:v>
      </x:c>
      <x:c r="HF32" s="1613">
        <x:v>11.125</x:v>
      </x:c>
      <x:c r="HG32" s="1613">
        <x:v>0</x:v>
      </x:c>
      <x:c r="HH32" s="1613">
        <x:v>1.75</x:v>
      </x:c>
      <x:c r="HI32" s="1613" t="s">
        <x:v>114</x:v>
      </x:c>
      <x:c r="HJ32" s="1613" t="s">
        <x:v>117</x:v>
      </x:c>
      <x:c r="HK32" s="1613" t="s">
        <x:v>117</x:v>
      </x:c>
      <x:c r="HL32" s="1613" t="s">
        <x:v>117</x:v>
      </x:c>
      <x:c r="HM32" s="1613">
        <x:v>7.5</x:v>
      </x:c>
      <x:c r="HN32" s="1613">
        <x:v>7.5</x:v>
      </x:c>
      <x:c r="HO32" s="1613">
        <x:v>0</x:v>
      </x:c>
      <x:c r="HP32" s="1613">
        <x:v>6.75</x:v>
      </x:c>
      <x:c r="HQ32" s="1613">
        <x:v>0</x:v>
      </x:c>
      <x:c r="HR32" s="1613">
        <x:v>1</x:v>
      </x:c>
      <x:c r="HS32" s="1613">
        <x:v>0</x:v>
      </x:c>
      <x:c r="HT32" s="1613">
        <x:v>6.25</x:v>
      </x:c>
      <x:c r="HU32" s="1613">
        <x:v>0</x:v>
      </x:c>
      <x:c r="HV32" s="1613">
        <x:v>3.875</x:v>
      </x:c>
      <x:c r="HW32" s="1613">
        <x:v>5</x:v>
      </x:c>
      <x:c r="HX32" s="1613" t="s">
        <x:v>117</x:v>
      </x:c>
      <x:c r="HY32" s="1617" t="s">
        <x:v>117</x:v>
      </x:c>
      <x:c r="HZ32" s="1617" t="s">
        <x:v>2047</x:v>
      </x:c>
      <x:c r="IA32" s="1617" t="s">
        <x:v>117</x:v>
      </x:c>
      <x:c r="IB32" s="1617"/>
      <x:c r="IC32" s="1617"/>
      <x:c r="ID32" s="1632"/>
      <x:c r="IE32" s="1612" t="s">
        <x:v>1295</x:v>
      </x:c>
      <x:c r="IF32" s="1613" t="s">
        <x:v>35</x:v>
      </x:c>
      <x:c r="IG32" s="1614">
        <x:v>7</x:v>
      </x:c>
      <x:c r="IH32" s="1615">
        <x:v>10</x:v>
      </x:c>
      <x:c r="II32" s="1613">
        <x:v>4</x:v>
      </x:c>
      <x:c r="IJ32" s="1614">
        <x:v>8</x:v>
      </x:c>
      <x:c r="IK32" s="1615">
        <x:v>0</x:v>
      </x:c>
      <x:c r="IL32" s="1613">
        <x:v>8</x:v>
      </x:c>
      <x:c r="IM32" s="1613">
        <x:v>6.125</x:v>
      </x:c>
      <x:c r="IN32" s="1613" t="s">
        <x:v>117</x:v>
      </x:c>
      <x:c r="IO32" s="1613" t="s">
        <x:v>117</x:v>
      </x:c>
      <x:c r="IP32" s="1613">
        <x:v>5</x:v>
      </x:c>
      <x:c r="IQ32" s="1613">
        <x:v>13</x:v>
      </x:c>
      <x:c r="IR32" s="1613">
        <x:v>4</x:v>
      </x:c>
      <x:c r="IS32" s="1614" t="s">
        <x:v>117</x:v>
      </x:c>
      <x:c r="IT32" s="1615" t="s">
        <x:v>117</x:v>
      </x:c>
      <x:c r="IU32" s="1613" t="s">
        <x:v>1061</x:v>
      </x:c>
      <x:c r="IV32" s="1613" t="s">
        <x:v>1956</x:v>
      </x:c>
      <x:c r="IW32" s="1614" t="s">
        <x:v>117</x:v>
      </x:c>
      <x:c r="IX32" s="1615" t="s">
        <x:v>35</x:v>
      </x:c>
      <x:c r="IY32" s="1613" t="s">
        <x:v>117</x:v>
      </x:c>
      <x:c r="IZ32" s="1613" t="s">
        <x:v>117</x:v>
      </x:c>
      <x:c r="JA32" s="1614" t="s">
        <x:v>117</x:v>
      </x:c>
      <x:c r="JB32" s="1615" t="s">
        <x:v>117</x:v>
      </x:c>
      <x:c r="JC32" s="1613" t="s">
        <x:v>117</x:v>
      </x:c>
      <x:c r="JD32" s="1613" t="s">
        <x:v>117</x:v>
      </x:c>
      <x:c r="JE32" s="1614" t="s">
        <x:v>117</x:v>
      </x:c>
      <x:c r="JF32" s="1615" t="s">
        <x:v>117</x:v>
      </x:c>
      <x:c r="JG32" s="1613" t="s">
        <x:v>117</x:v>
      </x:c>
      <x:c r="JH32" s="1613" t="s">
        <x:v>117</x:v>
      </x:c>
      <x:c r="JI32" s="1613" t="s">
        <x:v>117</x:v>
      </x:c>
      <x:c r="JJ32" s="1616" t="s">
        <x:v>117</x:v>
      </x:c>
      <x:c r="JK32" s="1613">
        <x:v>1</x:v>
      </x:c>
      <x:c r="JL32" s="1521">
        <x:f t="shared" ca="1" si="59"/>
        <x:v>1</x:v>
      </x:c>
    </x:row>
    <x:row r="33" spans="1:272" ht="12.6" customHeight="1" x14ac:dyDescent="0.25">
      <x:c r="A33" s="1583" t="s">
        <x:v>1299</x:v>
      </x:c>
      <x:c r="B33" s="1584">
        <x:v>1</x:v>
      </x:c>
      <x:c r="C33" s="1585" t="s">
        <x:v>1953</x:v>
      </x:c>
      <x:c r="D33" s="1586">
        <x:v>59</x:v>
      </x:c>
      <x:c r="E33" s="1587">
        <x:v>5.75</x:v>
      </x:c>
      <x:c r="F33" s="1588">
        <x:v>11.125</x:v>
      </x:c>
      <x:c r="G33" s="1589">
        <x:v>0</x:v>
      </x:c>
      <x:c r="H33" s="1590">
        <x:v>1.75</x:v>
      </x:c>
      <x:c r="I33" s="1591" t="s">
        <x:v>114</x:v>
      </x:c>
      <x:c r="J33" s="1586" t="str">
        <x:f t="shared" si="63"/>
        <x:v/>
      </x:c>
      <x:c r="K33" s="1590" t="str">
        <x:f t="shared" si="64"/>
        <x:v/>
      </x:c>
      <x:c r="L33" s="1592" t="str">
        <x:f t="shared" si="65"/>
        <x:v/>
      </x:c>
      <x:c r="M33" s="1593">
        <x:v>7.5</x:v>
      </x:c>
      <x:c r="N33" s="1594">
        <x:v>7.5</x:v>
      </x:c>
      <x:c r="O33" s="1589">
        <x:v>0</x:v>
      </x:c>
      <x:c r="P33" s="1590">
        <x:v>6.75</x:v>
      </x:c>
      <x:c r="Q33" s="1586">
        <x:v>0</x:v>
      </x:c>
      <x:c r="R33" s="1587">
        <x:v>1.5</x:v>
      </x:c>
      <x:c r="S33" s="1595">
        <x:v>0</x:v>
      </x:c>
      <x:c r="T33" s="1590">
        <x:v>6.25</x:v>
      </x:c>
      <x:c r="U33" s="1586">
        <x:v>0</x:v>
      </x:c>
      <x:c r="V33" s="1590">
        <x:v>2</x:v>
      </x:c>
      <x:c r="W33" s="1594">
        <x:v>5</x:v>
      </x:c>
      <x:c r="X33" s="1596" t="str">
        <x:f t="shared" si="0"/>
        <x:v/>
      </x:c>
      <x:c r="Y33" s="1597" t="str">
        <x:f t="shared" si="1"/>
        <x:v/>
      </x:c>
      <x:c r="Z33" s="2210" t="s">
        <x:v>2317</x:v>
      </x:c>
      <x:c r="AA33" s="1605" t="str">
        <x:f t="shared" si="2"/>
        <x:v/>
      </x:c>
      <x:c r="AB33" s="1264" t="s">
        <x:v>1296</x:v>
      </x:c>
      <x:c r="AC33" s="1260" t="s">
        <x:v>35</x:v>
      </x:c>
      <x:c r="AD33" s="1261">
        <x:v>3</x:v>
      </x:c>
      <x:c r="AE33" s="1262">
        <x:v>10</x:v>
      </x:c>
      <x:c r="AF33" s="1260">
        <x:v>5</x:v>
      </x:c>
      <x:c r="AG33" s="1261">
        <x:v>8</x:v>
      </x:c>
      <x:c r="AH33" s="1262">
        <x:v>0</x:v>
      </x:c>
      <x:c r="AI33" s="1261">
        <x:v>7</x:v>
      </x:c>
      <x:c r="AJ33" s="1262">
        <x:v>10</x:v>
      </x:c>
      <x:c r="AK33" s="1599" t="str">
        <x:f t="shared" si="66"/>
        <x:v/>
      </x:c>
      <x:c r="AL33" s="1600" t="str">
        <x:f t="shared" si="67"/>
        <x:v/>
      </x:c>
      <x:c r="AM33" s="1601">
        <x:v>5</x:v>
      </x:c>
      <x:c r="AN33" s="1260">
        <x:v>13</x:v>
      </x:c>
      <x:c r="AO33" s="1329">
        <x:v>4</x:v>
      </x:c>
      <x:c r="AP33" s="1327" t="str">
        <x:f t="shared" si="68"/>
        <x:v/>
      </x:c>
      <x:c r="AQ33" s="2198" t="str">
        <x:f t="shared" si="91"/>
        <x:v/>
      </x:c>
      <x:c r="AR33" s="1263" t="s">
        <x:v>1061</x:v>
      </x:c>
      <x:c r="AS33" s="1262" t="s">
        <x:v>1956</x:v>
      </x:c>
      <x:c r="AT33" s="1603" t="str">
        <x:f t="shared" si="70"/>
        <x:v/>
      </x:c>
      <x:c r="AU33" s="1410" t="s">
        <x:v>35</x:v>
      </x:c>
      <x:c r="AV33" s="2121">
        <x:v>51</x:v>
      </x:c>
      <x:c r="AW33" s="2122">
        <x:v>0</x:v>
      </x:c>
      <x:c r="AX33" s="1603" t="str">
        <x:f t="shared" si="73"/>
        <x:v/>
      </x:c>
      <x:c r="AY33" s="2123" t="s">
        <x:v>1703</x:v>
      </x:c>
      <x:c r="AZ33" s="1328" t="str">
        <x:f t="shared" si="90"/>
        <x:v/>
      </x:c>
      <x:c r="BA33" s="1262" t="str">
        <x:f t="shared" si="88"/>
        <x:v/>
      </x:c>
      <x:c r="BB33" s="1603" t="str">
        <x:f t="shared" si="77"/>
        <x:v/>
      </x:c>
      <x:c r="BC33" s="1410" t="str">
        <x:f t="shared" si="89"/>
        <x:v/>
      </x:c>
      <x:c r="BD33" s="1328" t="str">
        <x:f t="shared" si="79"/>
        <x:v/>
      </x:c>
      <x:c r="BE33" s="1262" t="str">
        <x:f t="shared" si="80"/>
        <x:v/>
      </x:c>
      <x:c r="BF33" s="1603" t="str">
        <x:f t="shared" si="81"/>
        <x:v/>
      </x:c>
      <x:c r="BG33" s="1410" t="str">
        <x:f t="shared" si="82"/>
        <x:v/>
      </x:c>
      <x:c r="BH33" s="322"/>
      <x:c r="BJ33" s="1258" t="str">
        <x:f t="shared" si="57"/>
        <x:v>G36</x:v>
      </x:c>
      <x:c r="BK33" s="1256" t="b">
        <x:f t="shared" si="15"/>
        <x:v>0</x:v>
      </x:c>
      <x:c r="BL33" s="2002" t="b">
        <x:v>0</x:v>
      </x:c>
      <x:c r="BM33" s="1251">
        <x:f t="shared" si="16"/>
        <x:v>54</x:v>
      </x:c>
      <x:c r="BN33" s="1251" t="str">
        <x:f t="shared" si="17"/>
        <x:v>G</x:v>
      </x:c>
      <x:c r="BO33" s="1251">
        <x:f t="shared" si="18"/>
        <x:v>8</x:v>
      </x:c>
      <x:c r="BP33" s="1251">
        <x:f t="shared" si="19"/>
        <x:v>6.5</x:v>
      </x:c>
      <x:c r="BQ33" s="1251">
        <x:f t="shared" si="20"/>
        <x:v>2.1</x:v>
      </x:c>
      <x:c r="BR33" s="1251" t="b">
        <x:f t="shared" si="21"/>
        <x:v>1</x:v>
      </x:c>
      <x:c r="BS33" s="1252">
        <x:f t="shared" si="22"/>
        <x:v>7.75</x:v>
      </x:c>
      <x:c r="BT33" s="1252" t="str">
        <x:f t="shared" si="23"/>
        <x:v>Yes</x:v>
      </x:c>
      <x:c r="BU33" s="1252">
        <x:f t="shared" si="24"/>
        <x:v>6</x:v>
      </x:c>
      <x:c r="BV33" s="1252" t="str">
        <x:f t="shared" si="25"/>
        <x:v>Yes</x:v>
      </x:c>
      <x:c r="BW33" s="1253">
        <x:f t="shared" si="26"/>
        <x:v>18</x:v>
      </x:c>
      <x:c r="BX33" s="1254" t="str">
        <x:f t="shared" si="27"/>
        <x:v>G33</x:v>
      </x:c>
      <x:c r="BY33" s="1254" t="b">
        <x:f t="shared" si="28"/>
        <x:v>0</x:v>
      </x:c>
      <x:c r="BZ33" s="1253" t="b">
        <x:f t="shared" si="49"/>
        <x:v>0</x:v>
      </x:c>
      <x:c r="CB33" s="842"/>
      <x:c r="CC33" s="894"/>
      <x:c r="CD33" s="883"/>
      <x:c r="CE33" s="884"/>
      <x:c r="CF33" s="885"/>
      <x:c r="CG33" s="901"/>
      <x:c r="CH33" s="902"/>
      <x:c r="CI33" s="903"/>
      <x:c r="CJ33" s="902"/>
      <x:c r="CK33" s="903"/>
      <x:c r="CL33" s="904"/>
      <x:c r="CM33" s="944"/>
      <x:c r="CN33" s="901"/>
      <x:c r="CO33" s="902"/>
      <x:c r="CP33" s="903"/>
      <x:c r="CQ33" s="902"/>
      <x:c r="CR33" s="903"/>
      <x:c r="CS33" s="904"/>
      <x:c r="CT33" s="944"/>
      <x:c r="CU33" s="906"/>
      <x:c r="CV33" s="886"/>
      <x:c r="CW33" s="887"/>
      <x:c r="CX33" s="915"/>
      <x:c r="CY33" s="916"/>
      <x:c r="CZ33" s="932"/>
      <x:c r="DA33" s="933"/>
      <x:c r="DB33" s="932"/>
      <x:c r="DC33" s="933"/>
      <x:c r="DD33" s="1149"/>
      <x:c r="DE33" s="1150"/>
      <x:c r="DF33" s="173"/>
      <x:c r="DG33" s="173"/>
      <x:c r="DH33" s="842"/>
      <x:c r="DI33" s="843"/>
      <x:c r="DJ33" s="872"/>
      <x:c r="DK33" s="873"/>
      <x:c r="DL33" s="844"/>
      <x:c r="DM33" s="874"/>
      <x:c r="DN33" s="875"/>
      <x:c r="DO33" s="845"/>
      <x:c r="DP33" s="846"/>
      <x:c r="DQ33" s="847"/>
      <x:c r="DR33" s="847"/>
      <x:c r="DS33" s="848"/>
      <x:c r="DT33" s="836"/>
      <x:c r="DU33" s="837"/>
      <x:c r="DV33" s="849"/>
      <x:c r="DW33" s="850"/>
      <x:c r="DX33" s="851"/>
      <x:c r="DY33" s="852"/>
      <x:c r="DZ33" s="849"/>
      <x:c r="EA33" s="850"/>
      <x:c r="EB33" s="851"/>
      <x:c r="EC33" s="852"/>
      <x:c r="ED33" s="849"/>
      <x:c r="EE33" s="850"/>
      <x:c r="EF33" s="851"/>
      <x:c r="EG33" s="852"/>
      <x:c r="EH33" s="849"/>
      <x:c r="EI33" s="850"/>
      <x:c r="EJ33" s="851"/>
      <x:c r="EK33" s="853"/>
      <x:c r="EL33" s="798" t="str">
        <x:f t="shared" si="29"/>
        <x:v/>
      </x:c>
      <x:c r="EM33" s="799" t="str">
        <x:f t="shared" si="30"/>
        <x:v/>
      </x:c>
      <x:c r="EN33" s="800" t="str">
        <x:f t="shared" si="31"/>
        <x:v/>
      </x:c>
      <x:c r="EO33" s="1030" t="str">
        <x:f t="shared" si="32"/>
        <x:v/>
      </x:c>
      <x:c r="EP33" s="726" t="str">
        <x:f t="shared" si="33"/>
        <x:v/>
      </x:c>
      <x:c r="EQ33" s="727" t="str">
        <x:f t="shared" si="34"/>
        <x:v/>
      </x:c>
      <x:c r="ER33" s="961" t="str">
        <x:f t="shared" si="35"/>
        <x:v/>
      </x:c>
      <x:c r="ES33" s="962" t="str">
        <x:f t="shared" si="50"/>
        <x:v/>
      </x:c>
      <x:c r="ET33" s="963" t="str">
        <x:f t="shared" si="36"/>
        <x:v/>
      </x:c>
      <x:c r="EU33" s="964" t="str">
        <x:f t="shared" si="37"/>
        <x:v/>
      </x:c>
      <x:c r="EX33" s="1194" t="str">
        <x:f t="shared" si="51"/>
        <x:v>G33B</x:v>
      </x:c>
      <x:c r="EY33" s="1196" t="b">
        <x:f t="shared" ca="1" si="38"/>
        <x:v>1</x:v>
      </x:c>
      <x:c r="EZ33" s="1196">
        <x:f t="shared" si="52"/>
        <x:v>5</x:v>
      </x:c>
      <x:c r="FA33" s="1217" t="b">
        <x:f t="shared" si="58"/>
        <x:v>1</x:v>
      </x:c>
      <x:c r="FB33" s="1218">
        <x:f t="shared" si="53"/>
        <x:v>620</x:v>
      </x:c>
      <x:c r="FC33" s="1218">
        <x:f t="shared" si="39"/>
        <x:v>46</x:v>
      </x:c>
      <x:c r="FD33" s="1218">
        <x:f t="shared" si="40"/>
        <x:v>480</x:v>
      </x:c>
      <x:c r="FE33" s="1218">
        <x:f t="shared" si="41"/>
        <x:v>94</x:v>
      </x:c>
      <x:c r="FF33" s="1218">
        <x:f t="shared" si="54"/>
        <x:v>620</x:v>
      </x:c>
      <x:c r="FN33" s="969" t="b">
        <x:v>0</x:v>
      </x:c>
      <x:c r="FO33" s="969" t="b">
        <x:f t="shared" si="42"/>
        <x:v>1</x:v>
      </x:c>
      <x:c r="FP33" s="969" t="b">
        <x:v>0</x:v>
      </x:c>
      <x:c r="FQ33" s="969" t="b">
        <x:f t="shared" si="55"/>
        <x:v>1</x:v>
      </x:c>
      <x:c r="FW33" s="2"/>
      <x:c r="FX33" s="2"/>
      <x:c r="FZ33" s="2"/>
      <x:c r="GA33" s="1935">
        <x:v>60</x:v>
      </x:c>
      <x:c r="GB33" s="1936">
        <x:v>0</x:v>
      </x:c>
      <x:c r="GC33" s="1937">
        <x:v>-0.25</x:v>
      </x:c>
      <x:c r="GD33" s="1938">
        <x:v>-6</x:v>
      </x:c>
      <x:c r="GE33" s="1939">
        <x:v>0.116666666666667</x:v>
      </x:c>
      <x:c r="GF33" s="1940" t="str">
        <x:f t="shared" si="43"/>
        <x:v>G36</x:v>
      </x:c>
      <x:c r="GG33" s="1457"/>
      <x:c r="GH33" s="1459"/>
      <x:c r="GI33" s="1457"/>
      <x:c r="GJ33" s="1459"/>
      <x:c r="GK33" s="326">
        <x:f t="shared" si="44"/>
        <x:v>713.75</x:v>
      </x:c>
      <x:c r="GL33" s="326">
        <x:f t="shared" si="45"/>
        <x:v>713.78373160068998</x:v>
      </x:c>
      <x:c r="GM33" s="327">
        <x:f>IF(ABS(GK33-GL33)&gt;='Job Info.'!$L$22,ABS(GK33-GL33),0)</x:f>
        <x:v>0</x:v>
      </x:c>
      <x:c r="HA33" s="1612" t="s">
        <x:v>1299</x:v>
      </x:c>
      <x:c r="HB33" s="1613">
        <x:v>1</x:v>
      </x:c>
      <x:c r="HC33" s="1613" t="s">
        <x:v>1953</x:v>
      </x:c>
      <x:c r="HD33" s="1614">
        <x:v>59</x:v>
      </x:c>
      <x:c r="HE33" s="1615">
        <x:v>5.75</x:v>
      </x:c>
      <x:c r="HF33" s="1613">
        <x:v>11.125</x:v>
      </x:c>
      <x:c r="HG33" s="1613">
        <x:v>0</x:v>
      </x:c>
      <x:c r="HH33" s="1613">
        <x:v>1.75</x:v>
      </x:c>
      <x:c r="HI33" s="1613" t="s">
        <x:v>114</x:v>
      </x:c>
      <x:c r="HJ33" s="1613" t="s">
        <x:v>117</x:v>
      </x:c>
      <x:c r="HK33" s="1613" t="s">
        <x:v>117</x:v>
      </x:c>
      <x:c r="HL33" s="1613" t="s">
        <x:v>117</x:v>
      </x:c>
      <x:c r="HM33" s="1613">
        <x:v>7.5</x:v>
      </x:c>
      <x:c r="HN33" s="1613">
        <x:v>7.5</x:v>
      </x:c>
      <x:c r="HO33" s="1613">
        <x:v>0</x:v>
      </x:c>
      <x:c r="HP33" s="1613">
        <x:v>6.75</x:v>
      </x:c>
      <x:c r="HQ33" s="1613">
        <x:v>0</x:v>
      </x:c>
      <x:c r="HR33" s="1613">
        <x:v>1.5</x:v>
      </x:c>
      <x:c r="HS33" s="1613">
        <x:v>0</x:v>
      </x:c>
      <x:c r="HT33" s="1613">
        <x:v>6.25</x:v>
      </x:c>
      <x:c r="HU33" s="1613">
        <x:v>0</x:v>
      </x:c>
      <x:c r="HV33" s="1613">
        <x:v>2</x:v>
      </x:c>
      <x:c r="HW33" s="1613">
        <x:v>5</x:v>
      </x:c>
      <x:c r="HX33" s="1613" t="s">
        <x:v>117</x:v>
      </x:c>
      <x:c r="HY33" s="1617" t="s">
        <x:v>117</x:v>
      </x:c>
      <x:c r="HZ33" s="1617" t="s">
        <x:v>2048</x:v>
      </x:c>
      <x:c r="IA33" s="1617" t="s">
        <x:v>117</x:v>
      </x:c>
      <x:c r="IB33" s="1617"/>
      <x:c r="IC33" s="1617"/>
      <x:c r="ID33" s="1632"/>
      <x:c r="IE33" s="1612" t="s">
        <x:v>1296</x:v>
      </x:c>
      <x:c r="IF33" s="1613" t="s">
        <x:v>35</x:v>
      </x:c>
      <x:c r="IG33" s="1614">
        <x:v>3</x:v>
      </x:c>
      <x:c r="IH33" s="1615">
        <x:v>10</x:v>
      </x:c>
      <x:c r="II33" s="1613">
        <x:v>5</x:v>
      </x:c>
      <x:c r="IJ33" s="1614">
        <x:v>8</x:v>
      </x:c>
      <x:c r="IK33" s="1615">
        <x:v>0</x:v>
      </x:c>
      <x:c r="IL33" s="1613">
        <x:v>7</x:v>
      </x:c>
      <x:c r="IM33" s="1613">
        <x:v>10</x:v>
      </x:c>
      <x:c r="IN33" s="1613" t="s">
        <x:v>117</x:v>
      </x:c>
      <x:c r="IO33" s="1613" t="s">
        <x:v>117</x:v>
      </x:c>
      <x:c r="IP33" s="1613">
        <x:v>5</x:v>
      </x:c>
      <x:c r="IQ33" s="1613">
        <x:v>13</x:v>
      </x:c>
      <x:c r="IR33" s="1613">
        <x:v>4</x:v>
      </x:c>
      <x:c r="IS33" s="1614" t="s">
        <x:v>117</x:v>
      </x:c>
      <x:c r="IT33" s="1615">
        <x:v>1.75</x:v>
      </x:c>
      <x:c r="IU33" s="1613" t="s">
        <x:v>1061</x:v>
      </x:c>
      <x:c r="IV33" s="1613" t="s">
        <x:v>1956</x:v>
      </x:c>
      <x:c r="IW33" s="1614" t="s">
        <x:v>117</x:v>
      </x:c>
      <x:c r="IX33" s="1615" t="s">
        <x:v>35</x:v>
      </x:c>
      <x:c r="IY33" s="1613" t="s">
        <x:v>117</x:v>
      </x:c>
      <x:c r="IZ33" s="1613" t="s">
        <x:v>117</x:v>
      </x:c>
      <x:c r="JA33" s="1614" t="s">
        <x:v>117</x:v>
      </x:c>
      <x:c r="JB33" s="1615" t="s">
        <x:v>117</x:v>
      </x:c>
      <x:c r="JC33" s="1613" t="s">
        <x:v>117</x:v>
      </x:c>
      <x:c r="JD33" s="1613" t="s">
        <x:v>117</x:v>
      </x:c>
      <x:c r="JE33" s="1614" t="s">
        <x:v>117</x:v>
      </x:c>
      <x:c r="JF33" s="1615" t="s">
        <x:v>117</x:v>
      </x:c>
      <x:c r="JG33" s="1613" t="s">
        <x:v>117</x:v>
      </x:c>
      <x:c r="JH33" s="1613" t="s">
        <x:v>117</x:v>
      </x:c>
      <x:c r="JI33" s="1613" t="s">
        <x:v>117</x:v>
      </x:c>
      <x:c r="JJ33" s="1616" t="s">
        <x:v>117</x:v>
      </x:c>
      <x:c r="JK33" s="1613">
        <x:v>1</x:v>
      </x:c>
      <x:c r="JL33" s="1521">
        <x:f t="shared" ca="1" si="59"/>
        <x:v>1</x:v>
      </x:c>
    </x:row>
    <x:row r="34" spans="1:272" ht="12.6" customHeight="1" x14ac:dyDescent="0.25">
      <x:c r="A34" s="1583" t="s">
        <x:v>1300</x:v>
      </x:c>
      <x:c r="B34" s="1584">
        <x:v>1</x:v>
      </x:c>
      <x:c r="C34" s="1585" t="s">
        <x:v>1952</x:v>
      </x:c>
      <x:c r="D34" s="1586">
        <x:v>49</x:v>
      </x:c>
      <x:c r="E34" s="1587">
        <x:v>11.5</x:v>
      </x:c>
      <x:c r="F34" s="1588">
        <x:v>11.125</x:v>
      </x:c>
      <x:c r="G34" s="1589">
        <x:v>0</x:v>
      </x:c>
      <x:c r="H34" s="1590">
        <x:v>1.75</x:v>
      </x:c>
      <x:c r="I34" s="1591" t="s">
        <x:v>114</x:v>
      </x:c>
      <x:c r="J34" s="1586">
        <x:v>0</x:v>
      </x:c>
      <x:c r="K34" s="1590">
        <x:v>1.75</x:v>
      </x:c>
      <x:c r="L34" s="1592" t="s">
        <x:v>114</x:v>
      </x:c>
      <x:c r="M34" s="1593">
        <x:v>7.5</x:v>
      </x:c>
      <x:c r="N34" s="1594">
        <x:v>7.5</x:v>
      </x:c>
      <x:c r="O34" s="1589">
        <x:v>0</x:v>
      </x:c>
      <x:c r="P34" s="1590">
        <x:v>5.75</x:v>
      </x:c>
      <x:c r="Q34" s="1586">
        <x:v>0</x:v>
      </x:c>
      <x:c r="R34" s="1587">
        <x:v>7.875</x:v>
      </x:c>
      <x:c r="S34" s="1595">
        <x:v>0</x:v>
      </x:c>
      <x:c r="T34" s="1590">
        <x:v>6.25</x:v>
      </x:c>
      <x:c r="U34" s="1586">
        <x:v>0</x:v>
      </x:c>
      <x:c r="V34" s="1590">
        <x:v>6.25</x:v>
      </x:c>
      <x:c r="W34" s="1594">
        <x:v>5</x:v>
      </x:c>
      <x:c r="X34" s="1596" t="str">
        <x:f t="shared" si="0"/>
        <x:v/>
      </x:c>
      <x:c r="Y34" s="1597" t="str">
        <x:f t="shared" si="1"/>
        <x:v/>
      </x:c>
      <x:c r="Z34" s="2210" t="s">
        <x:v>2318</x:v>
      </x:c>
      <x:c r="AA34" s="1605" t="str">
        <x:f t="shared" si="2"/>
        <x:v/>
      </x:c>
      <x:c r="AB34" s="1264" t="s">
        <x:v>1297</x:v>
      </x:c>
      <x:c r="AC34" s="1260" t="s">
        <x:v>35</x:v>
      </x:c>
      <x:c r="AD34" s="1261">
        <x:v>3</x:v>
      </x:c>
      <x:c r="AE34" s="1262">
        <x:v>10</x:v>
      </x:c>
      <x:c r="AF34" s="1260">
        <x:v>5</x:v>
      </x:c>
      <x:c r="AG34" s="1261">
        <x:v>8</x:v>
      </x:c>
      <x:c r="AH34" s="1262">
        <x:v>0</x:v>
      </x:c>
      <x:c r="AI34" s="1261">
        <x:v>7</x:v>
      </x:c>
      <x:c r="AJ34" s="1262">
        <x:v>10</x:v>
      </x:c>
      <x:c r="AK34" s="1599" t="str">
        <x:f t="shared" si="66"/>
        <x:v/>
      </x:c>
      <x:c r="AL34" s="1600" t="str">
        <x:f t="shared" si="67"/>
        <x:v/>
      </x:c>
      <x:c r="AM34" s="1601">
        <x:v>5</x:v>
      </x:c>
      <x:c r="AN34" s="1260">
        <x:v>13</x:v>
      </x:c>
      <x:c r="AO34" s="1329">
        <x:v>4</x:v>
      </x:c>
      <x:c r="AP34" s="1327" t="str">
        <x:f t="shared" si="68"/>
        <x:v/>
      </x:c>
      <x:c r="AQ34" s="1602">
        <x:v>1.75</x:v>
      </x:c>
      <x:c r="AR34" s="1263" t="s">
        <x:v>1061</x:v>
      </x:c>
      <x:c r="AS34" s="1262" t="s">
        <x:v>1956</x:v>
      </x:c>
      <x:c r="AT34" s="1603" t="str">
        <x:f t="shared" si="70"/>
        <x:v/>
      </x:c>
      <x:c r="AU34" s="1410" t="s">
        <x:v>35</x:v>
      </x:c>
      <x:c r="AV34" s="2121">
        <x:v>51</x:v>
      </x:c>
      <x:c r="AW34" s="2122">
        <x:v>0</x:v>
      </x:c>
      <x:c r="AX34" s="1603" t="str">
        <x:f t="shared" si="73"/>
        <x:v/>
      </x:c>
      <x:c r="AY34" s="2123" t="s">
        <x:v>35</x:v>
      </x:c>
      <x:c r="AZ34" s="1328" t="str">
        <x:f t="shared" si="90"/>
        <x:v/>
      </x:c>
      <x:c r="BA34" s="1262" t="str">
        <x:f t="shared" si="88"/>
        <x:v/>
      </x:c>
      <x:c r="BB34" s="1603" t="str">
        <x:f t="shared" si="77"/>
        <x:v/>
      </x:c>
      <x:c r="BC34" s="1410" t="str">
        <x:f t="shared" si="89"/>
        <x:v/>
      </x:c>
      <x:c r="BD34" s="1328" t="str">
        <x:f t="shared" si="79"/>
        <x:v/>
      </x:c>
      <x:c r="BE34" s="1262" t="str">
        <x:f t="shared" si="80"/>
        <x:v/>
      </x:c>
      <x:c r="BF34" s="1603" t="str">
        <x:f t="shared" si="81"/>
        <x:v/>
      </x:c>
      <x:c r="BG34" s="1410" t="str">
        <x:f t="shared" si="82"/>
        <x:v/>
      </x:c>
      <x:c r="BH34" s="322"/>
      <x:c r="BJ34" s="1258" t="str">
        <x:f t="shared" si="57"/>
        <x:v>G37</x:v>
      </x:c>
      <x:c r="BK34" s="1256" t="b">
        <x:f t="shared" si="15"/>
        <x:v>0</x:v>
      </x:c>
      <x:c r="BL34" s="2002" t="b">
        <x:v>0</x:v>
      </x:c>
      <x:c r="BM34" s="1251">
        <x:f t="shared" si="16"/>
        <x:v>54</x:v>
      </x:c>
      <x:c r="BN34" s="1251" t="str">
        <x:f t="shared" si="17"/>
        <x:v>G</x:v>
      </x:c>
      <x:c r="BO34" s="1251">
        <x:f t="shared" si="18"/>
        <x:v>7</x:v>
      </x:c>
      <x:c r="BP34" s="1251">
        <x:f t="shared" si="19"/>
        <x:v>6.5</x:v>
      </x:c>
      <x:c r="BQ34" s="1251">
        <x:f t="shared" si="20"/>
        <x:v>2.1</x:v>
      </x:c>
      <x:c r="BR34" s="1251" t="b">
        <x:f t="shared" si="21"/>
        <x:v>1</x:v>
      </x:c>
      <x:c r="BS34" s="1252">
        <x:f t="shared" si="22"/>
        <x:v>7.75</x:v>
      </x:c>
      <x:c r="BT34" s="1252" t="str">
        <x:f t="shared" si="23"/>
        <x:v>Yes</x:v>
      </x:c>
      <x:c r="BU34" s="1252">
        <x:f t="shared" si="24"/>
        <x:v>7.75</x:v>
      </x:c>
      <x:c r="BV34" s="1252" t="str">
        <x:f t="shared" si="25"/>
        <x:v>Yes</x:v>
      </x:c>
      <x:c r="BW34" s="1253">
        <x:f t="shared" si="26"/>
        <x:v>19</x:v>
      </x:c>
      <x:c r="BX34" s="1254" t="str">
        <x:f t="shared" si="27"/>
        <x:v>G34</x:v>
      </x:c>
      <x:c r="BY34" s="1254" t="b">
        <x:f t="shared" si="28"/>
        <x:v>0</x:v>
      </x:c>
      <x:c r="BZ34" s="1253" t="b">
        <x:f t="shared" si="49"/>
        <x:v>0</x:v>
      </x:c>
      <x:c r="CB34" s="842"/>
      <x:c r="CC34" s="894"/>
      <x:c r="CD34" s="883"/>
      <x:c r="CE34" s="884"/>
      <x:c r="CF34" s="885"/>
      <x:c r="CG34" s="901"/>
      <x:c r="CH34" s="902"/>
      <x:c r="CI34" s="903"/>
      <x:c r="CJ34" s="902"/>
      <x:c r="CK34" s="903"/>
      <x:c r="CL34" s="904"/>
      <x:c r="CM34" s="944"/>
      <x:c r="CN34" s="901"/>
      <x:c r="CO34" s="902"/>
      <x:c r="CP34" s="903"/>
      <x:c r="CQ34" s="902"/>
      <x:c r="CR34" s="903"/>
      <x:c r="CS34" s="904"/>
      <x:c r="CT34" s="944"/>
      <x:c r="CU34" s="906"/>
      <x:c r="CV34" s="886"/>
      <x:c r="CW34" s="887"/>
      <x:c r="CX34" s="915"/>
      <x:c r="CY34" s="916"/>
      <x:c r="CZ34" s="932"/>
      <x:c r="DA34" s="933"/>
      <x:c r="DB34" s="932"/>
      <x:c r="DC34" s="933"/>
      <x:c r="DD34" s="1149"/>
      <x:c r="DE34" s="1150"/>
      <x:c r="DF34" s="173"/>
      <x:c r="DG34" s="173"/>
      <x:c r="DH34" s="842"/>
      <x:c r="DI34" s="843"/>
      <x:c r="DJ34" s="872"/>
      <x:c r="DK34" s="873"/>
      <x:c r="DL34" s="844"/>
      <x:c r="DM34" s="874"/>
      <x:c r="DN34" s="875"/>
      <x:c r="DO34" s="845"/>
      <x:c r="DP34" s="846"/>
      <x:c r="DQ34" s="847"/>
      <x:c r="DR34" s="847"/>
      <x:c r="DS34" s="848"/>
      <x:c r="DT34" s="836"/>
      <x:c r="DU34" s="837"/>
      <x:c r="DV34" s="849"/>
      <x:c r="DW34" s="850"/>
      <x:c r="DX34" s="851"/>
      <x:c r="DY34" s="852"/>
      <x:c r="DZ34" s="849"/>
      <x:c r="EA34" s="850"/>
      <x:c r="EB34" s="851"/>
      <x:c r="EC34" s="852"/>
      <x:c r="ED34" s="849"/>
      <x:c r="EE34" s="850"/>
      <x:c r="EF34" s="851"/>
      <x:c r="EG34" s="852"/>
      <x:c r="EH34" s="849"/>
      <x:c r="EI34" s="850"/>
      <x:c r="EJ34" s="851"/>
      <x:c r="EK34" s="853"/>
      <x:c r="EL34" s="798" t="str">
        <x:f t="shared" si="29"/>
        <x:v/>
      </x:c>
      <x:c r="EM34" s="799" t="str">
        <x:f t="shared" si="30"/>
        <x:v/>
      </x:c>
      <x:c r="EN34" s="800" t="str">
        <x:f t="shared" si="31"/>
        <x:v/>
      </x:c>
      <x:c r="EO34" s="1030" t="str">
        <x:f t="shared" si="32"/>
        <x:v/>
      </x:c>
      <x:c r="EP34" s="726" t="str">
        <x:f t="shared" si="33"/>
        <x:v/>
      </x:c>
      <x:c r="EQ34" s="727" t="str">
        <x:f t="shared" si="34"/>
        <x:v/>
      </x:c>
      <x:c r="ER34" s="961" t="str">
        <x:f t="shared" si="35"/>
        <x:v/>
      </x:c>
      <x:c r="ES34" s="962" t="str">
        <x:f t="shared" si="50"/>
        <x:v/>
      </x:c>
      <x:c r="ET34" s="963" t="str">
        <x:f t="shared" si="36"/>
        <x:v/>
      </x:c>
      <x:c r="EU34" s="964" t="str">
        <x:f t="shared" si="37"/>
        <x:v/>
      </x:c>
      <x:c r="EX34" s="1194" t="str">
        <x:f t="shared" si="51"/>
        <x:v>G34B</x:v>
      </x:c>
      <x:c r="EY34" s="1196" t="b">
        <x:f t="shared" ca="1" si="38"/>
        <x:v>1</x:v>
      </x:c>
      <x:c r="EZ34" s="1196">
        <x:f t="shared" si="52"/>
        <x:v>5</x:v>
      </x:c>
      <x:c r="FA34" s="1217" t="b">
        <x:f t="shared" si="58"/>
        <x:v>1</x:v>
      </x:c>
      <x:c r="FB34" s="1218">
        <x:f t="shared" si="53"/>
        <x:v>620</x:v>
      </x:c>
      <x:c r="FC34" s="1218">
        <x:f t="shared" si="39"/>
        <x:v>46</x:v>
      </x:c>
      <x:c r="FD34" s="1218">
        <x:f t="shared" si="40"/>
        <x:v>480</x:v>
      </x:c>
      <x:c r="FE34" s="1218">
        <x:f t="shared" si="41"/>
        <x:v>94</x:v>
      </x:c>
      <x:c r="FF34" s="1218">
        <x:f t="shared" si="54"/>
        <x:v>620</x:v>
      </x:c>
      <x:c r="FN34" s="969" t="b">
        <x:v>0</x:v>
      </x:c>
      <x:c r="FO34" s="969" t="b">
        <x:f t="shared" si="42"/>
        <x:v>1</x:v>
      </x:c>
      <x:c r="FP34" s="969" t="b">
        <x:v>0</x:v>
      </x:c>
      <x:c r="FQ34" s="969" t="b">
        <x:f t="shared" si="55"/>
        <x:v>1</x:v>
      </x:c>
      <x:c r="FW34" s="2"/>
      <x:c r="FX34" s="2"/>
      <x:c r="FZ34" s="2"/>
      <x:c r="GA34" s="1935">
        <x:v>50</x:v>
      </x:c>
      <x:c r="GB34" s="1936">
        <x:v>0</x:v>
      </x:c>
      <x:c r="GC34" s="1937">
        <x:v>-0.25</x:v>
      </x:c>
      <x:c r="GD34" s="1938">
        <x:v>-0.25</x:v>
      </x:c>
      <x:c r="GE34" s="1939">
        <x:v>0.26</x:v>
      </x:c>
      <x:c r="GF34" s="1940" t="str">
        <x:f t="shared" si="43"/>
        <x:v>G37</x:v>
      </x:c>
      <x:c r="GG34" s="1457"/>
      <x:c r="GH34" s="1459"/>
      <x:c r="GI34" s="1457"/>
      <x:c r="GJ34" s="1459"/>
      <x:c r="GK34" s="326">
        <x:f t="shared" si="44"/>
        <x:v>599.5</x:v>
      </x:c>
      <x:c r="GL34" s="326">
        <x:f t="shared" si="45"/>
        <x:v>599.6406994615146</x:v>
      </x:c>
      <x:c r="GM34" s="327">
        <x:f>IF(ABS(GK34-GL34)&gt;='Job Info.'!$L$22,ABS(GK34-GL34),0)</x:f>
        <x:v>0</x:v>
      </x:c>
      <x:c r="HA34" s="1612" t="s">
        <x:v>1300</x:v>
      </x:c>
      <x:c r="HB34" s="1613">
        <x:v>1</x:v>
      </x:c>
      <x:c r="HC34" s="1613" t="s">
        <x:v>1952</x:v>
      </x:c>
      <x:c r="HD34" s="1614">
        <x:v>49</x:v>
      </x:c>
      <x:c r="HE34" s="1615">
        <x:v>11.5</x:v>
      </x:c>
      <x:c r="HF34" s="1613">
        <x:v>11.125</x:v>
      </x:c>
      <x:c r="HG34" s="1613">
        <x:v>0</x:v>
      </x:c>
      <x:c r="HH34" s="1613">
        <x:v>1.75</x:v>
      </x:c>
      <x:c r="HI34" s="1613" t="s">
        <x:v>114</x:v>
      </x:c>
      <x:c r="HJ34" s="1613">
        <x:v>0</x:v>
      </x:c>
      <x:c r="HK34" s="1613">
        <x:v>1.75</x:v>
      </x:c>
      <x:c r="HL34" s="1613" t="s">
        <x:v>114</x:v>
      </x:c>
      <x:c r="HM34" s="1613">
        <x:v>7.5</x:v>
      </x:c>
      <x:c r="HN34" s="1613">
        <x:v>7.5</x:v>
      </x:c>
      <x:c r="HO34" s="1613">
        <x:v>0</x:v>
      </x:c>
      <x:c r="HP34" s="1613">
        <x:v>5.75</x:v>
      </x:c>
      <x:c r="HQ34" s="1613">
        <x:v>0</x:v>
      </x:c>
      <x:c r="HR34" s="1613">
        <x:v>7.875</x:v>
      </x:c>
      <x:c r="HS34" s="1613">
        <x:v>0</x:v>
      </x:c>
      <x:c r="HT34" s="1613">
        <x:v>6.25</x:v>
      </x:c>
      <x:c r="HU34" s="1613">
        <x:v>0</x:v>
      </x:c>
      <x:c r="HV34" s="1613">
        <x:v>6.25</x:v>
      </x:c>
      <x:c r="HW34" s="1613">
        <x:v>5</x:v>
      </x:c>
      <x:c r="HX34" s="1613" t="s">
        <x:v>117</x:v>
      </x:c>
      <x:c r="HY34" s="1617" t="s">
        <x:v>117</x:v>
      </x:c>
      <x:c r="HZ34" s="1617" t="s">
        <x:v>2024</x:v>
      </x:c>
      <x:c r="IA34" s="1617" t="s">
        <x:v>117</x:v>
      </x:c>
      <x:c r="IB34" s="1617"/>
      <x:c r="IC34" s="1617"/>
      <x:c r="ID34" s="1632"/>
      <x:c r="IE34" s="1612" t="s">
        <x:v>1297</x:v>
      </x:c>
      <x:c r="IF34" s="1613" t="s">
        <x:v>35</x:v>
      </x:c>
      <x:c r="IG34" s="1614">
        <x:v>3</x:v>
      </x:c>
      <x:c r="IH34" s="1615">
        <x:v>10</x:v>
      </x:c>
      <x:c r="II34" s="1613">
        <x:v>5</x:v>
      </x:c>
      <x:c r="IJ34" s="1614">
        <x:v>8</x:v>
      </x:c>
      <x:c r="IK34" s="1615">
        <x:v>0</x:v>
      </x:c>
      <x:c r="IL34" s="1613">
        <x:v>7</x:v>
      </x:c>
      <x:c r="IM34" s="1613">
        <x:v>10</x:v>
      </x:c>
      <x:c r="IN34" s="1613" t="s">
        <x:v>117</x:v>
      </x:c>
      <x:c r="IO34" s="1613" t="s">
        <x:v>117</x:v>
      </x:c>
      <x:c r="IP34" s="1613">
        <x:v>5</x:v>
      </x:c>
      <x:c r="IQ34" s="1613">
        <x:v>13</x:v>
      </x:c>
      <x:c r="IR34" s="1613">
        <x:v>4</x:v>
      </x:c>
      <x:c r="IS34" s="1614" t="s">
        <x:v>117</x:v>
      </x:c>
      <x:c r="IT34" s="1615">
        <x:v>1.75</x:v>
      </x:c>
      <x:c r="IU34" s="1613" t="s">
        <x:v>1061</x:v>
      </x:c>
      <x:c r="IV34" s="1613" t="s">
        <x:v>1956</x:v>
      </x:c>
      <x:c r="IW34" s="1614" t="s">
        <x:v>117</x:v>
      </x:c>
      <x:c r="IX34" s="1615" t="s">
        <x:v>35</x:v>
      </x:c>
      <x:c r="IY34" s="1613" t="s">
        <x:v>1061</x:v>
      </x:c>
      <x:c r="IZ34" s="1613" t="s">
        <x:v>1959</x:v>
      </x:c>
      <x:c r="JA34" s="1614" t="s">
        <x:v>117</x:v>
      </x:c>
      <x:c r="JB34" s="1615" t="s">
        <x:v>34</x:v>
      </x:c>
      <x:c r="JC34" s="1613" t="s">
        <x:v>117</x:v>
      </x:c>
      <x:c r="JD34" s="1613" t="s">
        <x:v>117</x:v>
      </x:c>
      <x:c r="JE34" s="1614" t="s">
        <x:v>117</x:v>
      </x:c>
      <x:c r="JF34" s="1615" t="s">
        <x:v>117</x:v>
      </x:c>
      <x:c r="JG34" s="1613" t="s">
        <x:v>117</x:v>
      </x:c>
      <x:c r="JH34" s="1613" t="s">
        <x:v>117</x:v>
      </x:c>
      <x:c r="JI34" s="1613" t="s">
        <x:v>117</x:v>
      </x:c>
      <x:c r="JJ34" s="1616" t="s">
        <x:v>117</x:v>
      </x:c>
      <x:c r="JK34" s="1613">
        <x:v>1</x:v>
      </x:c>
      <x:c r="JL34" s="1521">
        <x:f t="shared" ca="1" si="59"/>
        <x:v>1</x:v>
      </x:c>
    </x:row>
    <x:row r="35" spans="1:272" ht="12.6" customHeight="1" x14ac:dyDescent="0.25">
      <x:c r="A35" s="1583" t="s">
        <x:v>1301</x:v>
      </x:c>
      <x:c r="B35" s="1584">
        <x:v>2</x:v>
      </x:c>
      <x:c r="C35" s="1585" t="s">
        <x:v>1952</x:v>
      </x:c>
      <x:c r="D35" s="1586">
        <x:v>49</x:v>
      </x:c>
      <x:c r="E35" s="1587">
        <x:v>11.5</x:v>
      </x:c>
      <x:c r="F35" s="1588">
        <x:v>11.125</x:v>
      </x:c>
      <x:c r="G35" s="1589">
        <x:v>0</x:v>
      </x:c>
      <x:c r="H35" s="1590">
        <x:v>1.75</x:v>
      </x:c>
      <x:c r="I35" s="1591" t="s">
        <x:v>114</x:v>
      </x:c>
      <x:c r="J35" s="1586">
        <x:v>0</x:v>
      </x:c>
      <x:c r="K35" s="1590">
        <x:v>1.75</x:v>
      </x:c>
      <x:c r="L35" s="1592" t="s">
        <x:v>114</x:v>
      </x:c>
      <x:c r="M35" s="1593">
        <x:v>7.5</x:v>
      </x:c>
      <x:c r="N35" s="1594">
        <x:v>7.5</x:v>
      </x:c>
      <x:c r="O35" s="1589">
        <x:v>0</x:v>
      </x:c>
      <x:c r="P35" s="1590">
        <x:v>7.875</x:v>
      </x:c>
      <x:c r="Q35" s="1586">
        <x:v>0</x:v>
      </x:c>
      <x:c r="R35" s="1587">
        <x:v>5.75</x:v>
      </x:c>
      <x:c r="S35" s="1595">
        <x:v>0</x:v>
      </x:c>
      <x:c r="T35" s="1590">
        <x:v>6.25</x:v>
      </x:c>
      <x:c r="U35" s="1586">
        <x:v>0</x:v>
      </x:c>
      <x:c r="V35" s="1590">
        <x:v>6.25</x:v>
      </x:c>
      <x:c r="W35" s="1594">
        <x:v>5</x:v>
      </x:c>
      <x:c r="X35" s="1596" t="str">
        <x:f t="shared" si="0"/>
        <x:v/>
      </x:c>
      <x:c r="Y35" s="1597" t="str">
        <x:f t="shared" si="1"/>
        <x:v/>
      </x:c>
      <x:c r="Z35" s="2210" t="s">
        <x:v>2318</x:v>
      </x:c>
      <x:c r="AA35" s="1605" t="str">
        <x:f t="shared" si="2"/>
        <x:v/>
      </x:c>
      <x:c r="AB35" s="1264" t="s">
        <x:v>1298</x:v>
      </x:c>
      <x:c r="AC35" s="2194" t="s">
        <x:v>35</x:v>
      </x:c>
      <x:c r="AD35" s="1261">
        <x:v>3</x:v>
      </x:c>
      <x:c r="AE35" s="1262">
        <x:v>10</x:v>
      </x:c>
      <x:c r="AF35" s="2194">
        <x:v>7</x:v>
      </x:c>
      <x:c r="AG35" s="1261">
        <x:v>8</x:v>
      </x:c>
      <x:c r="AH35" s="1262">
        <x:v>0</x:v>
      </x:c>
      <x:c r="AI35" s="2195">
        <x:v>4</x:v>
      </x:c>
      <x:c r="AJ35" s="1262">
        <x:v>8.875</x:v>
      </x:c>
      <x:c r="AK35" s="1599" t="str">
        <x:f t="shared" si="66"/>
        <x:v/>
      </x:c>
      <x:c r="AL35" s="1600" t="str">
        <x:f t="shared" si="67"/>
        <x:v/>
      </x:c>
      <x:c r="AM35" s="2196">
        <x:v>5</x:v>
      </x:c>
      <x:c r="AN35" s="2194">
        <x:v>13</x:v>
      </x:c>
      <x:c r="AO35" s="2197">
        <x:v>4</x:v>
      </x:c>
      <x:c r="AP35" s="1327" t="str">
        <x:f t="shared" si="68"/>
        <x:v/>
      </x:c>
      <x:c r="AQ35" s="1602" t="str">
        <x:f t="shared" ref="AQ35:AQ37" si="95">IF(OR(GE75="",GE75=0),"",GE75)</x:f>
        <x:v/>
      </x:c>
      <x:c r="AR35" s="2157" t="s">
        <x:v>1061</x:v>
      </x:c>
      <x:c r="AS35" s="2122" t="s">
        <x:v>1956</x:v>
      </x:c>
      <x:c r="AT35" s="1603" t="str">
        <x:f t="shared" si="70"/>
        <x:v/>
      </x:c>
      <x:c r="AU35" s="2123" t="s">
        <x:v>35</x:v>
      </x:c>
      <x:c r="AV35" s="2121" t="s">
        <x:v>1061</x:v>
      </x:c>
      <x:c r="AW35" s="2122" t="s">
        <x:v>1959</x:v>
      </x:c>
      <x:c r="AX35" s="1603" t="str">
        <x:f t="shared" si="73"/>
        <x:v/>
      </x:c>
      <x:c r="AY35" s="2123" t="s">
        <x:v>34</x:v>
      </x:c>
      <x:c r="AZ35" s="1328" t="str">
        <x:f t="shared" si="90"/>
        <x:v/>
      </x:c>
      <x:c r="BA35" s="1262" t="str">
        <x:f t="shared" si="88"/>
        <x:v/>
      </x:c>
      <x:c r="BB35" s="1603" t="str">
        <x:f t="shared" si="77"/>
        <x:v/>
      </x:c>
      <x:c r="BC35" s="1410" t="str">
        <x:f t="shared" si="89"/>
        <x:v/>
      </x:c>
      <x:c r="BD35" s="1328" t="str">
        <x:f t="shared" si="79"/>
        <x:v/>
      </x:c>
      <x:c r="BE35" s="1262" t="str">
        <x:f t="shared" si="80"/>
        <x:v/>
      </x:c>
      <x:c r="BF35" s="1603" t="str">
        <x:f t="shared" si="81"/>
        <x:v/>
      </x:c>
      <x:c r="BG35" s="1410" t="str">
        <x:f t="shared" si="82"/>
        <x:v/>
      </x:c>
      <x:c r="BH35" s="322"/>
      <x:c r="BJ35" s="1258" t="str">
        <x:f t="shared" si="57"/>
        <x:v>G38</x:v>
      </x:c>
      <x:c r="BK35" s="1256" t="b">
        <x:f t="shared" si="15"/>
        <x:v>0</x:v>
      </x:c>
      <x:c r="BL35" s="2002" t="b">
        <x:v>0</x:v>
      </x:c>
      <x:c r="BM35" s="1251">
        <x:f t="shared" si="16"/>
        <x:v>54</x:v>
      </x:c>
      <x:c r="BN35" s="1251" t="str">
        <x:f t="shared" si="17"/>
        <x:v>G</x:v>
      </x:c>
      <x:c r="BO35" s="1251">
        <x:f t="shared" si="18"/>
        <x:v>7</x:v>
      </x:c>
      <x:c r="BP35" s="1251">
        <x:f t="shared" si="19"/>
        <x:v>6.5</x:v>
      </x:c>
      <x:c r="BQ35" s="1251">
        <x:f t="shared" si="20"/>
        <x:v>2.1</x:v>
      </x:c>
      <x:c r="BR35" s="1251" t="b">
        <x:f t="shared" si="21"/>
        <x:v>1</x:v>
      </x:c>
      <x:c r="BS35" s="1252">
        <x:f t="shared" si="22"/>
        <x:v>7.75</x:v>
      </x:c>
      <x:c r="BT35" s="1252" t="str">
        <x:f t="shared" si="23"/>
        <x:v>Yes</x:v>
      </x:c>
      <x:c r="BU35" s="1252">
        <x:f t="shared" si="24"/>
        <x:v>7.75</x:v>
      </x:c>
      <x:c r="BV35" s="1252" t="str">
        <x:f t="shared" si="25"/>
        <x:v>Yes</x:v>
      </x:c>
      <x:c r="BW35" s="1253">
        <x:f t="shared" si="26"/>
        <x:v>18</x:v>
      </x:c>
      <x:c r="BX35" s="1254" t="str">
        <x:f t="shared" si="27"/>
        <x:v>G35</x:v>
      </x:c>
      <x:c r="BY35" s="1254" t="b">
        <x:f t="shared" si="28"/>
        <x:v>0</x:v>
      </x:c>
      <x:c r="BZ35" s="1253" t="b">
        <x:f t="shared" si="49"/>
        <x:v>0</x:v>
      </x:c>
      <x:c r="CB35" s="842"/>
      <x:c r="CC35" s="894"/>
      <x:c r="CD35" s="883"/>
      <x:c r="CE35" s="884"/>
      <x:c r="CF35" s="885"/>
      <x:c r="CG35" s="901"/>
      <x:c r="CH35" s="902"/>
      <x:c r="CI35" s="903"/>
      <x:c r="CJ35" s="902"/>
      <x:c r="CK35" s="903"/>
      <x:c r="CL35" s="904"/>
      <x:c r="CM35" s="944"/>
      <x:c r="CN35" s="901"/>
      <x:c r="CO35" s="902"/>
      <x:c r="CP35" s="903"/>
      <x:c r="CQ35" s="902"/>
      <x:c r="CR35" s="903"/>
      <x:c r="CS35" s="904"/>
      <x:c r="CT35" s="944"/>
      <x:c r="CU35" s="906"/>
      <x:c r="CV35" s="886"/>
      <x:c r="CW35" s="887"/>
      <x:c r="CX35" s="915"/>
      <x:c r="CY35" s="916"/>
      <x:c r="CZ35" s="932"/>
      <x:c r="DA35" s="933"/>
      <x:c r="DB35" s="932"/>
      <x:c r="DC35" s="933"/>
      <x:c r="DD35" s="1149"/>
      <x:c r="DE35" s="1150"/>
      <x:c r="DF35" s="173"/>
      <x:c r="DG35" s="173"/>
      <x:c r="DH35" s="842"/>
      <x:c r="DI35" s="843"/>
      <x:c r="DJ35" s="872"/>
      <x:c r="DK35" s="873"/>
      <x:c r="DL35" s="844"/>
      <x:c r="DM35" s="874"/>
      <x:c r="DN35" s="875"/>
      <x:c r="DO35" s="845"/>
      <x:c r="DP35" s="846"/>
      <x:c r="DQ35" s="847"/>
      <x:c r="DR35" s="847"/>
      <x:c r="DS35" s="848"/>
      <x:c r="DT35" s="836"/>
      <x:c r="DU35" s="837"/>
      <x:c r="DV35" s="849"/>
      <x:c r="DW35" s="850"/>
      <x:c r="DX35" s="851"/>
      <x:c r="DY35" s="852"/>
      <x:c r="DZ35" s="849"/>
      <x:c r="EA35" s="850"/>
      <x:c r="EB35" s="851"/>
      <x:c r="EC35" s="852"/>
      <x:c r="ED35" s="849"/>
      <x:c r="EE35" s="850"/>
      <x:c r="EF35" s="851"/>
      <x:c r="EG35" s="852"/>
      <x:c r="EH35" s="849"/>
      <x:c r="EI35" s="850"/>
      <x:c r="EJ35" s="851"/>
      <x:c r="EK35" s="853"/>
      <x:c r="EL35" s="798" t="str">
        <x:f t="shared" si="29"/>
        <x:v/>
      </x:c>
      <x:c r="EM35" s="799" t="str">
        <x:f t="shared" si="30"/>
        <x:v/>
      </x:c>
      <x:c r="EN35" s="800" t="str">
        <x:f t="shared" si="31"/>
        <x:v/>
      </x:c>
      <x:c r="EO35" s="1030" t="str">
        <x:f t="shared" si="32"/>
        <x:v/>
      </x:c>
      <x:c r="EP35" s="726" t="str">
        <x:f t="shared" si="33"/>
        <x:v/>
      </x:c>
      <x:c r="EQ35" s="727" t="str">
        <x:f t="shared" si="34"/>
        <x:v/>
      </x:c>
      <x:c r="ER35" s="961" t="str">
        <x:f t="shared" si="35"/>
        <x:v/>
      </x:c>
      <x:c r="ES35" s="962" t="str">
        <x:f t="shared" si="50"/>
        <x:v/>
      </x:c>
      <x:c r="ET35" s="963" t="str">
        <x:f t="shared" si="36"/>
        <x:v/>
      </x:c>
      <x:c r="EU35" s="964" t="str">
        <x:f t="shared" si="37"/>
        <x:v/>
      </x:c>
      <x:c r="EX35" s="1194" t="str">
        <x:f t="shared" si="51"/>
        <x:v>G35B</x:v>
      </x:c>
      <x:c r="EY35" s="1196" t="b">
        <x:f t="shared" ca="1" si="38"/>
        <x:v>0</x:v>
      </x:c>
      <x:c r="EZ35" s="1196">
        <x:f t="shared" si="52"/>
        <x:v>5</x:v>
      </x:c>
      <x:c r="FA35" s="1217" t="b">
        <x:f t="shared" si="58"/>
        <x:v>0</x:v>
      </x:c>
      <x:c r="FB35" s="1218">
        <x:f t="shared" si="53"/>
        <x:v>774.625</x:v>
      </x:c>
      <x:c r="FC35" s="1218">
        <x:f t="shared" si="39"/>
        <x:v>46</x:v>
      </x:c>
      <x:c r="FD35" s="1218">
        <x:f t="shared" si="40"/>
        <x:v>672</x:v>
      </x:c>
      <x:c r="FE35" s="1218">
        <x:f t="shared" si="41"/>
        <x:v>56.875</x:v>
      </x:c>
      <x:c r="FF35" s="1218">
        <x:f t="shared" si="54"/>
        <x:v>774.875</x:v>
      </x:c>
      <x:c r="FN35" s="969" t="b">
        <x:v>0</x:v>
      </x:c>
      <x:c r="FO35" s="969" t="b">
        <x:f t="shared" si="42"/>
        <x:v>1</x:v>
      </x:c>
      <x:c r="FP35" s="969" t="b">
        <x:v>0</x:v>
      </x:c>
      <x:c r="FQ35" s="969" t="b">
        <x:f t="shared" si="55"/>
        <x:v>1</x:v>
      </x:c>
      <x:c r="FW35" s="2"/>
      <x:c r="FX35" s="2"/>
      <x:c r="FZ35" s="2"/>
      <x:c r="GA35" s="1935">
        <x:v>50</x:v>
      </x:c>
      <x:c r="GB35" s="1936">
        <x:v>0</x:v>
      </x:c>
      <x:c r="GC35" s="1937">
        <x:v>-0.25</x:v>
      </x:c>
      <x:c r="GD35" s="1938">
        <x:v>-0.25</x:v>
      </x:c>
      <x:c r="GE35" s="1939">
        <x:v>-0.26</x:v>
      </x:c>
      <x:c r="GF35" s="1940" t="str">
        <x:f t="shared" si="43"/>
        <x:v>G38</x:v>
      </x:c>
      <x:c r="GG35" s="1457"/>
      <x:c r="GH35" s="1459"/>
      <x:c r="GI35" s="1457"/>
      <x:c r="GJ35" s="1459"/>
      <x:c r="GK35" s="326">
        <x:f t="shared" si="44"/>
        <x:v>599.5</x:v>
      </x:c>
      <x:c r="GL35" s="326">
        <x:f t="shared" si="45"/>
        <x:v>599.6406994615146</x:v>
      </x:c>
      <x:c r="GM35" s="327">
        <x:f>IF(ABS(GK35-GL35)&gt;='Job Info.'!$L$22,ABS(GK35-GL35),0)</x:f>
        <x:v>0</x:v>
      </x:c>
      <x:c r="HA35" s="1612" t="s">
        <x:v>1301</x:v>
      </x:c>
      <x:c r="HB35" s="1613">
        <x:v>2</x:v>
      </x:c>
      <x:c r="HC35" s="1613" t="s">
        <x:v>1952</x:v>
      </x:c>
      <x:c r="HD35" s="1614">
        <x:v>49</x:v>
      </x:c>
      <x:c r="HE35" s="1615">
        <x:v>11.5</x:v>
      </x:c>
      <x:c r="HF35" s="1613">
        <x:v>11.125</x:v>
      </x:c>
      <x:c r="HG35" s="1613">
        <x:v>0</x:v>
      </x:c>
      <x:c r="HH35" s="1613">
        <x:v>1.75</x:v>
      </x:c>
      <x:c r="HI35" s="1613" t="s">
        <x:v>114</x:v>
      </x:c>
      <x:c r="HJ35" s="1613">
        <x:v>0</x:v>
      </x:c>
      <x:c r="HK35" s="1613">
        <x:v>1.75</x:v>
      </x:c>
      <x:c r="HL35" s="1613" t="s">
        <x:v>114</x:v>
      </x:c>
      <x:c r="HM35" s="1613">
        <x:v>7.5</x:v>
      </x:c>
      <x:c r="HN35" s="1613">
        <x:v>7.5</x:v>
      </x:c>
      <x:c r="HO35" s="1613">
        <x:v>0</x:v>
      </x:c>
      <x:c r="HP35" s="1613">
        <x:v>7.875</x:v>
      </x:c>
      <x:c r="HQ35" s="1613">
        <x:v>0</x:v>
      </x:c>
      <x:c r="HR35" s="1613">
        <x:v>5.75</x:v>
      </x:c>
      <x:c r="HS35" s="1613">
        <x:v>0</x:v>
      </x:c>
      <x:c r="HT35" s="1613">
        <x:v>6.25</x:v>
      </x:c>
      <x:c r="HU35" s="1613">
        <x:v>0</x:v>
      </x:c>
      <x:c r="HV35" s="1613">
        <x:v>6.25</x:v>
      </x:c>
      <x:c r="HW35" s="1613">
        <x:v>5</x:v>
      </x:c>
      <x:c r="HX35" s="1613" t="s">
        <x:v>117</x:v>
      </x:c>
      <x:c r="HY35" s="1617" t="s">
        <x:v>117</x:v>
      </x:c>
      <x:c r="HZ35" s="1617" t="s">
        <x:v>2024</x:v>
      </x:c>
      <x:c r="IA35" s="1617" t="s">
        <x:v>117</x:v>
      </x:c>
      <x:c r="IB35" s="1617"/>
      <x:c r="IC35" s="1617"/>
      <x:c r="ID35" s="1632"/>
      <x:c r="IE35" s="1612" t="s">
        <x:v>117</x:v>
      </x:c>
      <x:c r="IF35" s="1613" t="s">
        <x:v>1703</x:v>
      </x:c>
      <x:c r="IG35" s="1614">
        <x:v>3</x:v>
      </x:c>
      <x:c r="IH35" s="1615">
        <x:v>10</x:v>
      </x:c>
      <x:c r="II35" s="1613">
        <x:v>5</x:v>
      </x:c>
      <x:c r="IJ35" s="1614">
        <x:v>8</x:v>
      </x:c>
      <x:c r="IK35" s="1615">
        <x:v>0</x:v>
      </x:c>
      <x:c r="IL35" s="1613">
        <x:v>20</x:v>
      </x:c>
      <x:c r="IM35" s="1613">
        <x:v>8.875</x:v>
      </x:c>
      <x:c r="IN35" s="1613" t="s">
        <x:v>117</x:v>
      </x:c>
      <x:c r="IO35" s="1613" t="s">
        <x:v>117</x:v>
      </x:c>
      <x:c r="IP35" s="1613" t="s">
        <x:v>117</x:v>
      </x:c>
      <x:c r="IQ35" s="1613" t="s">
        <x:v>117</x:v>
      </x:c>
      <x:c r="IR35" s="1613" t="s">
        <x:v>117</x:v>
      </x:c>
      <x:c r="IS35" s="1614" t="s">
        <x:v>117</x:v>
      </x:c>
      <x:c r="IT35" s="1615" t="s">
        <x:v>117</x:v>
      </x:c>
      <x:c r="IU35" s="1613" t="s">
        <x:v>117</x:v>
      </x:c>
      <x:c r="IV35" s="1613" t="s">
        <x:v>117</x:v>
      </x:c>
      <x:c r="IW35" s="1614" t="s">
        <x:v>117</x:v>
      </x:c>
      <x:c r="IX35" s="1615" t="s">
        <x:v>117</x:v>
      </x:c>
      <x:c r="IY35" s="1613" t="s">
        <x:v>117</x:v>
      </x:c>
      <x:c r="IZ35" s="1613" t="s">
        <x:v>117</x:v>
      </x:c>
      <x:c r="JA35" s="1614" t="s">
        <x:v>117</x:v>
      </x:c>
      <x:c r="JB35" s="1615" t="s">
        <x:v>117</x:v>
      </x:c>
      <x:c r="JC35" s="1613" t="s">
        <x:v>117</x:v>
      </x:c>
      <x:c r="JD35" s="1613" t="s">
        <x:v>117</x:v>
      </x:c>
      <x:c r="JE35" s="1614" t="s">
        <x:v>117</x:v>
      </x:c>
      <x:c r="JF35" s="1615" t="s">
        <x:v>117</x:v>
      </x:c>
      <x:c r="JG35" s="1613" t="s">
        <x:v>117</x:v>
      </x:c>
      <x:c r="JH35" s="1613" t="s">
        <x:v>117</x:v>
      </x:c>
      <x:c r="JI35" s="1613" t="s">
        <x:v>117</x:v>
      </x:c>
      <x:c r="JJ35" s="1616" t="s">
        <x:v>117</x:v>
      </x:c>
      <x:c r="JK35" s="1613"/>
      <x:c r="JL35" s="1521">
        <x:f t="shared" ca="1" si="59"/>
        <x:v>0</x:v>
      </x:c>
    </x:row>
    <x:row r="36" spans="1:272" ht="12.6" customHeight="1" x14ac:dyDescent="0.25">
      <x:c r="A36" s="1583" t="s">
        <x:v>1302</x:v>
      </x:c>
      <x:c r="B36" s="1584">
        <x:v>1</x:v>
      </x:c>
      <x:c r="C36" s="1585" t="s">
        <x:v>1952</x:v>
      </x:c>
      <x:c r="D36" s="1586">
        <x:v>49</x:v>
      </x:c>
      <x:c r="E36" s="1587">
        <x:v>1.75</x:v>
      </x:c>
      <x:c r="F36" s="1588">
        <x:v>11.125</x:v>
      </x:c>
      <x:c r="G36" s="1589" t="str">
        <x:f t="shared" si="60"/>
        <x:v/>
      </x:c>
      <x:c r="H36" s="1590" t="str">
        <x:f t="shared" si="61"/>
        <x:v/>
      </x:c>
      <x:c r="I36" s="1591" t="str">
        <x:f t="shared" si="62"/>
        <x:v/>
      </x:c>
      <x:c r="J36" s="1586">
        <x:v>0</x:v>
      </x:c>
      <x:c r="K36" s="1590">
        <x:v>1.75</x:v>
      </x:c>
      <x:c r="L36" s="1592" t="s">
        <x:v>114</x:v>
      </x:c>
      <x:c r="M36" s="1593">
        <x:v>7.5</x:v>
      </x:c>
      <x:c r="N36" s="1594">
        <x:v>7.5</x:v>
      </x:c>
      <x:c r="O36" s="1589">
        <x:v>-9.9999999999999995E-8</x:v>
      </x:c>
      <x:c r="P36" s="1590">
        <x:v>-0.625</x:v>
      </x:c>
      <x:c r="Q36" s="1586">
        <x:v>0</x:v>
      </x:c>
      <x:c r="R36" s="1587">
        <x:v>8.5</x:v>
      </x:c>
      <x:c r="S36" s="1595">
        <x:v>0</x:v>
      </x:c>
      <x:c r="T36" s="1590">
        <x:v>3</x:v>
      </x:c>
      <x:c r="U36" s="1586">
        <x:v>0</x:v>
      </x:c>
      <x:c r="V36" s="1590">
        <x:v>6.25</x:v>
      </x:c>
      <x:c r="W36" s="1594">
        <x:v>5</x:v>
      </x:c>
      <x:c r="X36" s="1596">
        <x:v>0.38595006347862898</x:v>
      </x:c>
      <x:c r="Y36" s="1597">
        <x:v>-0.38595006347862898</x:v>
      </x:c>
      <x:c r="Z36" s="2210" t="s">
        <x:v>2319</x:v>
      </x:c>
      <x:c r="AA36" s="1605" t="str">
        <x:f t="shared" si="2"/>
        <x:v/>
      </x:c>
      <x:c r="AB36" s="1264" t="str">
        <x:f t="shared" ref="AB36" si="96">IF(ISBLANK(DH36),"",DH36)</x:f>
        <x:v/>
      </x:c>
      <x:c r="AC36" s="2194"/>
      <x:c r="AD36" s="2195"/>
      <x:c r="AE36" s="2122"/>
      <x:c r="AF36" s="2194"/>
      <x:c r="AG36" s="2195"/>
      <x:c r="AH36" s="1262"/>
      <x:c r="AI36" s="2195"/>
      <x:c r="AJ36" s="2122"/>
      <x:c r="AK36" s="1599" t="str">
        <x:f t="shared" si="66"/>
        <x:v/>
      </x:c>
      <x:c r="AL36" s="2199" t="str">
        <x:f t="shared" si="67"/>
        <x:v/>
      </x:c>
      <x:c r="AM36" s="2196" t="str">
        <x:f t="shared" ref="AM36" si="97">IF(ISBLANK(DQ36),"",DQ36)</x:f>
        <x:v/>
      </x:c>
      <x:c r="AN36" s="2194" t="str">
        <x:f t="shared" ref="AN36" si="98">IF(ISBLANK(DR36),"",DR36)</x:f>
        <x:v/>
      </x:c>
      <x:c r="AO36" s="2197" t="str">
        <x:f t="shared" ref="AO36" si="99">IF(ISBLANK(DS36),"",DS36)</x:f>
        <x:v/>
      </x:c>
      <x:c r="AP36" s="2200" t="str">
        <x:f t="shared" si="68"/>
        <x:v/>
      </x:c>
      <x:c r="AQ36" s="1602" t="str">
        <x:f t="shared" si="95"/>
        <x:v/>
      </x:c>
      <x:c r="AR36" s="1263" t="str">
        <x:f t="shared" ref="AR36" si="100">IF(GF76="","",IF(ISTEXT(GF76),"P",TRUNC(GF76/12)))</x:f>
        <x:v/>
      </x:c>
      <x:c r="AS36" s="1262" t="str">
        <x:f t="shared" ref="AS36" si="101">IF(GF76="","",IF(AR36="P",GF76,GF76-(AR36*12)))</x:f>
        <x:v/>
      </x:c>
      <x:c r="AT36" s="1603" t="str">
        <x:f t="shared" si="70"/>
        <x:v/>
      </x:c>
      <x:c r="AU36" s="1410" t="str">
        <x:f t="shared" ref="AU36" si="102">IF(ISBLANK(DY36),"",DY36)</x:f>
        <x:v/>
      </x:c>
      <x:c r="AV36" s="1328" t="str">
        <x:f t="shared" ref="AV36:AV41" si="103">IF(GG76="","",IF(ISTEXT(GG76),"P",TRUNC(GG76/12)))</x:f>
        <x:v/>
      </x:c>
      <x:c r="AW36" s="1262" t="str">
        <x:f t="shared" ref="AW36:AW41" si="104">IF(GG76="","",IF(AV36="P",GG76,GG76-(AV36*12)))</x:f>
        <x:v/>
      </x:c>
      <x:c r="AX36" s="1603" t="str">
        <x:f t="shared" si="73"/>
        <x:v/>
      </x:c>
      <x:c r="AY36" s="1410" t="str">
        <x:f t="shared" ref="AY36:AY41" si="105">IF(ISBLANK(EC36),"",EC36)</x:f>
        <x:v/>
      </x:c>
      <x:c r="AZ36" s="1328" t="str">
        <x:f t="shared" si="90"/>
        <x:v/>
      </x:c>
      <x:c r="BA36" s="1262" t="str">
        <x:f t="shared" si="88"/>
        <x:v/>
      </x:c>
      <x:c r="BB36" s="1603" t="str">
        <x:f t="shared" si="77"/>
        <x:v/>
      </x:c>
      <x:c r="BC36" s="1410" t="str">
        <x:f t="shared" si="89"/>
        <x:v/>
      </x:c>
      <x:c r="BD36" s="1328" t="str">
        <x:f t="shared" si="79"/>
        <x:v/>
      </x:c>
      <x:c r="BE36" s="1262" t="str">
        <x:f t="shared" si="80"/>
        <x:v/>
      </x:c>
      <x:c r="BF36" s="1603" t="str">
        <x:f t="shared" si="81"/>
        <x:v/>
      </x:c>
      <x:c r="BG36" s="1410" t="str">
        <x:f t="shared" si="82"/>
        <x:v/>
      </x:c>
      <x:c r="BH36" s="322"/>
      <x:c r="BJ36" s="1258" t="str">
        <x:f t="shared" si="57"/>
        <x:v>G39</x:v>
      </x:c>
      <x:c r="BK36" s="1256" t="b">
        <x:f t="shared" si="15"/>
        <x:v>0</x:v>
      </x:c>
      <x:c r="BL36" s="2002" t="b">
        <x:v>0</x:v>
      </x:c>
      <x:c r="BM36" s="1251">
        <x:f t="shared" si="16"/>
        <x:v>54</x:v>
      </x:c>
      <x:c r="BN36" s="1251" t="str">
        <x:f t="shared" si="17"/>
        <x:v>G</x:v>
      </x:c>
      <x:c r="BO36" s="1251">
        <x:f t="shared" si="18"/>
        <x:v>7</x:v>
      </x:c>
      <x:c r="BP36" s="1251">
        <x:f t="shared" si="19"/>
        <x:v>6.5</x:v>
      </x:c>
      <x:c r="BQ36" s="1251">
        <x:f t="shared" si="20"/>
        <x:v>2.1</x:v>
      </x:c>
      <x:c r="BR36" s="1251" t="b">
        <x:f t="shared" si="21"/>
        <x:v>1</x:v>
      </x:c>
      <x:c r="BS36" s="1252">
        <x:f t="shared" si="22"/>
        <x:v>6</x:v>
      </x:c>
      <x:c r="BT36" s="1252" t="str">
        <x:f t="shared" si="23"/>
        <x:v>Yes</x:v>
      </x:c>
      <x:c r="BU36" s="1252">
        <x:f t="shared" si="24"/>
        <x:v>7.75</x:v>
      </x:c>
      <x:c r="BV36" s="1252" t="str">
        <x:f t="shared" si="25"/>
        <x:v>Yes</x:v>
      </x:c>
      <x:c r="BW36" s="1253">
        <x:f t="shared" si="26"/>
        <x:v>0</x:v>
      </x:c>
      <x:c r="BX36" s="1254" t="str">
        <x:f t="shared" si="27"/>
        <x:v/>
      </x:c>
      <x:c r="BY36" s="1254" t="b">
        <x:f t="shared" si="28"/>
        <x:v>0</x:v>
      </x:c>
      <x:c r="BZ36" s="1253" t="b">
        <x:f t="shared" si="49"/>
        <x:v>0</x:v>
      </x:c>
      <x:c r="CB36" s="842"/>
      <x:c r="CC36" s="894"/>
      <x:c r="CD36" s="883"/>
      <x:c r="CE36" s="884"/>
      <x:c r="CF36" s="885"/>
      <x:c r="CG36" s="901"/>
      <x:c r="CH36" s="902"/>
      <x:c r="CI36" s="903"/>
      <x:c r="CJ36" s="902"/>
      <x:c r="CK36" s="903"/>
      <x:c r="CL36" s="904"/>
      <x:c r="CM36" s="944"/>
      <x:c r="CN36" s="901"/>
      <x:c r="CO36" s="902"/>
      <x:c r="CP36" s="903"/>
      <x:c r="CQ36" s="902"/>
      <x:c r="CR36" s="903"/>
      <x:c r="CS36" s="904"/>
      <x:c r="CT36" s="944"/>
      <x:c r="CU36" s="906"/>
      <x:c r="CV36" s="886"/>
      <x:c r="CW36" s="887"/>
      <x:c r="CX36" s="915"/>
      <x:c r="CY36" s="916"/>
      <x:c r="CZ36" s="932"/>
      <x:c r="DA36" s="933"/>
      <x:c r="DB36" s="932"/>
      <x:c r="DC36" s="933"/>
      <x:c r="DD36" s="1149"/>
      <x:c r="DE36" s="1150"/>
      <x:c r="DF36" s="173"/>
      <x:c r="DG36" s="173"/>
      <x:c r="DH36" s="842"/>
      <x:c r="DI36" s="843"/>
      <x:c r="DJ36" s="872"/>
      <x:c r="DK36" s="873"/>
      <x:c r="DL36" s="844"/>
      <x:c r="DM36" s="874"/>
      <x:c r="DN36" s="875"/>
      <x:c r="DO36" s="845"/>
      <x:c r="DP36" s="846"/>
      <x:c r="DQ36" s="847"/>
      <x:c r="DR36" s="847"/>
      <x:c r="DS36" s="848"/>
      <x:c r="DT36" s="836"/>
      <x:c r="DU36" s="837"/>
      <x:c r="DV36" s="849"/>
      <x:c r="DW36" s="850"/>
      <x:c r="DX36" s="851"/>
      <x:c r="DY36" s="852"/>
      <x:c r="DZ36" s="849"/>
      <x:c r="EA36" s="850"/>
      <x:c r="EB36" s="851"/>
      <x:c r="EC36" s="852"/>
      <x:c r="ED36" s="849"/>
      <x:c r="EE36" s="850"/>
      <x:c r="EF36" s="851"/>
      <x:c r="EG36" s="852"/>
      <x:c r="EH36" s="849"/>
      <x:c r="EI36" s="850"/>
      <x:c r="EJ36" s="851"/>
      <x:c r="EK36" s="853"/>
      <x:c r="EL36" s="798" t="str">
        <x:f t="shared" si="29"/>
        <x:v/>
      </x:c>
      <x:c r="EM36" s="799" t="str">
        <x:f t="shared" si="30"/>
        <x:v/>
      </x:c>
      <x:c r="EN36" s="800" t="str">
        <x:f t="shared" si="31"/>
        <x:v/>
      </x:c>
      <x:c r="EO36" s="1030" t="str">
        <x:f t="shared" si="32"/>
        <x:v/>
      </x:c>
      <x:c r="EP36" s="726" t="str">
        <x:f t="shared" si="33"/>
        <x:v/>
      </x:c>
      <x:c r="EQ36" s="727" t="str">
        <x:f t="shared" si="34"/>
        <x:v/>
      </x:c>
      <x:c r="ER36" s="961" t="str">
        <x:f t="shared" si="35"/>
        <x:v/>
      </x:c>
      <x:c r="ES36" s="962" t="str">
        <x:f t="shared" si="50"/>
        <x:v/>
      </x:c>
      <x:c r="ET36" s="963" t="str">
        <x:f t="shared" si="36"/>
        <x:v/>
      </x:c>
      <x:c r="EU36" s="964" t="str">
        <x:f t="shared" si="37"/>
        <x:v/>
      </x:c>
      <x:c r="EX36" s="1194" t="str">
        <x:f t="shared" si="51"/>
        <x:v/>
      </x:c>
      <x:c r="EY36" s="1196" t="str">
        <x:f t="shared" si="38"/>
        <x:v/>
      </x:c>
      <x:c r="EZ36" s="1196" t="str">
        <x:f t="shared" si="52"/>
        <x:v/>
      </x:c>
      <x:c r="FA36" s="1217" t="str">
        <x:f t="shared" si="58"/>
        <x:v/>
      </x:c>
      <x:c r="FB36" s="1218" t="str">
        <x:f t="shared" si="53"/>
        <x:v/>
      </x:c>
      <x:c r="FC36" s="1218">
        <x:f t="shared" si="39"/>
        <x:v>0</x:v>
      </x:c>
      <x:c r="FD36" s="1218">
        <x:f t="shared" si="40"/>
        <x:v>0</x:v>
      </x:c>
      <x:c r="FE36" s="1218">
        <x:f t="shared" si="41"/>
        <x:v>0</x:v>
      </x:c>
      <x:c r="FF36" s="1218">
        <x:f t="shared" si="54"/>
        <x:v>712</x:v>
      </x:c>
      <x:c r="FN36" s="969" t="b">
        <x:v>0</x:v>
      </x:c>
      <x:c r="FO36" s="969" t="b">
        <x:f t="shared" si="42"/>
        <x:v>1</x:v>
      </x:c>
      <x:c r="FP36" s="1815" t="b">
        <x:v>0</x:v>
      </x:c>
      <x:c r="FQ36" s="969" t="b">
        <x:f t="shared" si="55"/>
        <x:v>1</x:v>
      </x:c>
      <x:c r="FW36" s="2"/>
      <x:c r="FX36" s="2"/>
      <x:c r="FZ36" s="2"/>
      <x:c r="GA36" s="1935">
        <x:v>49</x:v>
      </x:c>
      <x:c r="GB36" s="1936">
        <x:v>2.75</x:v>
      </x:c>
      <x:c r="GC36" s="1937">
        <x:v>-1</x:v>
      </x:c>
      <x:c r="GD36" s="1938">
        <x:v>-0.25</x:v>
      </x:c>
      <x:c r="GE36" s="1939">
        <x:v>0.38595006347862898</x:v>
      </x:c>
      <x:c r="GF36" s="1940" t="str">
        <x:f t="shared" si="43"/>
        <x:v>G39</x:v>
      </x:c>
      <x:c r="GG36" s="1457"/>
      <x:c r="GH36" s="1459"/>
      <x:c r="GI36" s="1457"/>
      <x:c r="GJ36" s="1459"/>
      <x:c r="GK36" s="326">
        <x:f t="shared" si="44"/>
        <x:v>589.75</x:v>
      </x:c>
      <x:c r="GL36" s="326">
        <x:f t="shared" si="45"/>
        <x:v>589.80481847581621</x:v>
      </x:c>
      <x:c r="GM36" s="327">
        <x:f>IF(ABS(GK36-GL36)&gt;='Job Info.'!$L$22,ABS(GK36-GL36),0)</x:f>
        <x:v>0</x:v>
      </x:c>
      <x:c r="HA36" s="1612" t="s">
        <x:v>1302</x:v>
      </x:c>
      <x:c r="HB36" s="1613">
        <x:v>1</x:v>
      </x:c>
      <x:c r="HC36" s="1613" t="s">
        <x:v>1952</x:v>
      </x:c>
      <x:c r="HD36" s="1614">
        <x:v>49</x:v>
      </x:c>
      <x:c r="HE36" s="1615">
        <x:v>1.75</x:v>
      </x:c>
      <x:c r="HF36" s="1613">
        <x:v>11.125</x:v>
      </x:c>
      <x:c r="HG36" s="1613" t="s">
        <x:v>117</x:v>
      </x:c>
      <x:c r="HH36" s="1613" t="s">
        <x:v>117</x:v>
      </x:c>
      <x:c r="HI36" s="1613" t="s">
        <x:v>117</x:v>
      </x:c>
      <x:c r="HJ36" s="1613">
        <x:v>0</x:v>
      </x:c>
      <x:c r="HK36" s="1613">
        <x:v>1.75</x:v>
      </x:c>
      <x:c r="HL36" s="1613" t="s">
        <x:v>114</x:v>
      </x:c>
      <x:c r="HM36" s="1613">
        <x:v>7.5</x:v>
      </x:c>
      <x:c r="HN36" s="1613">
        <x:v>7.5</x:v>
      </x:c>
      <x:c r="HO36" s="1613">
        <x:v>-9.9999999999999995E-8</x:v>
      </x:c>
      <x:c r="HP36" s="1613">
        <x:v>-0.625</x:v>
      </x:c>
      <x:c r="HQ36" s="1613">
        <x:v>0</x:v>
      </x:c>
      <x:c r="HR36" s="1613">
        <x:v>8.5</x:v>
      </x:c>
      <x:c r="HS36" s="1613">
        <x:v>0</x:v>
      </x:c>
      <x:c r="HT36" s="1613">
        <x:v>3</x:v>
      </x:c>
      <x:c r="HU36" s="1613">
        <x:v>0</x:v>
      </x:c>
      <x:c r="HV36" s="1613">
        <x:v>6.25</x:v>
      </x:c>
      <x:c r="HW36" s="1613">
        <x:v>5</x:v>
      </x:c>
      <x:c r="HX36" s="1613">
        <x:v>0.38595006347862898</x:v>
      </x:c>
      <x:c r="HY36" s="1617">
        <x:v>-0.38595006347862898</x:v>
      </x:c>
      <x:c r="HZ36" s="1617" t="s">
        <x:v>2049</x:v>
      </x:c>
      <x:c r="IA36" s="1617" t="s">
        <x:v>117</x:v>
      </x:c>
      <x:c r="IB36" s="1617"/>
      <x:c r="IC36" s="1617"/>
      <x:c r="ID36" s="1632"/>
      <x:c r="IE36" s="1612" t="s">
        <x:v>1299</x:v>
      </x:c>
      <x:c r="IF36" s="1613" t="s">
        <x:v>35</x:v>
      </x:c>
      <x:c r="IG36" s="1614">
        <x:v>3</x:v>
      </x:c>
      <x:c r="IH36" s="1615">
        <x:v>10</x:v>
      </x:c>
      <x:c r="II36" s="1613">
        <x:v>6</x:v>
      </x:c>
      <x:c r="IJ36" s="1614">
        <x:v>8</x:v>
      </x:c>
      <x:c r="IK36" s="1615">
        <x:v>0</x:v>
      </x:c>
      <x:c r="IL36" s="1613">
        <x:v>7</x:v>
      </x:c>
      <x:c r="IM36" s="1613">
        <x:v>6</x:v>
      </x:c>
      <x:c r="IN36" s="1613" t="s">
        <x:v>117</x:v>
      </x:c>
      <x:c r="IO36" s="1613" t="s">
        <x:v>34</x:v>
      </x:c>
      <x:c r="IP36" s="1613">
        <x:v>5</x:v>
      </x:c>
      <x:c r="IQ36" s="1613">
        <x:v>13</x:v>
      </x:c>
      <x:c r="IR36" s="1613">
        <x:v>4</x:v>
      </x:c>
      <x:c r="IS36" s="1614">
        <x:v>1.75</x:v>
      </x:c>
      <x:c r="IT36" s="1615" t="s">
        <x:v>117</x:v>
      </x:c>
      <x:c r="IU36" s="1613" t="s">
        <x:v>117</x:v>
      </x:c>
      <x:c r="IV36" s="1613" t="s">
        <x:v>117</x:v>
      </x:c>
      <x:c r="IW36" s="1614" t="s">
        <x:v>117</x:v>
      </x:c>
      <x:c r="IX36" s="1615" t="s">
        <x:v>117</x:v>
      </x:c>
      <x:c r="IY36" s="1613" t="s">
        <x:v>117</x:v>
      </x:c>
      <x:c r="IZ36" s="1613" t="s">
        <x:v>117</x:v>
      </x:c>
      <x:c r="JA36" s="1614" t="s">
        <x:v>117</x:v>
      </x:c>
      <x:c r="JB36" s="1615" t="s">
        <x:v>117</x:v>
      </x:c>
      <x:c r="JC36" s="1613" t="s">
        <x:v>117</x:v>
      </x:c>
      <x:c r="JD36" s="1613" t="s">
        <x:v>117</x:v>
      </x:c>
      <x:c r="JE36" s="1614" t="s">
        <x:v>117</x:v>
      </x:c>
      <x:c r="JF36" s="1615" t="s">
        <x:v>117</x:v>
      </x:c>
      <x:c r="JG36" s="1613" t="s">
        <x:v>117</x:v>
      </x:c>
      <x:c r="JH36" s="1613" t="s">
        <x:v>117</x:v>
      </x:c>
      <x:c r="JI36" s="1613" t="s">
        <x:v>117</x:v>
      </x:c>
      <x:c r="JJ36" s="1616" t="s">
        <x:v>117</x:v>
      </x:c>
      <x:c r="JK36" s="1613">
        <x:v>1</x:v>
      </x:c>
      <x:c r="JL36" s="1521">
        <x:f t="shared" ca="1" si="59"/>
        <x:v>1</x:v>
      </x:c>
    </x:row>
    <x:row r="37" spans="1:272" ht="12.6" customHeight="1" x14ac:dyDescent="0.25">
      <x:c r="A37" s="1583" t="s">
        <x:v>1303</x:v>
      </x:c>
      <x:c r="B37" s="1584">
        <x:v>1</x:v>
      </x:c>
      <x:c r="C37" s="1585" t="s">
        <x:v>1952</x:v>
      </x:c>
      <x:c r="D37" s="1586">
        <x:v>50</x:v>
      </x:c>
      <x:c r="E37" s="1587">
        <x:v>7.75</x:v>
      </x:c>
      <x:c r="F37" s="1588">
        <x:v>11.125</x:v>
      </x:c>
      <x:c r="G37" s="1589" t="str">
        <x:f t="shared" si="60"/>
        <x:v/>
      </x:c>
      <x:c r="H37" s="1590" t="str">
        <x:f t="shared" si="61"/>
        <x:v/>
      </x:c>
      <x:c r="I37" s="1591" t="str">
        <x:f t="shared" si="62"/>
        <x:v/>
      </x:c>
      <x:c r="J37" s="1586" t="str">
        <x:f t="shared" si="63"/>
        <x:v/>
      </x:c>
      <x:c r="K37" s="1590" t="str">
        <x:f t="shared" si="64"/>
        <x:v/>
      </x:c>
      <x:c r="L37" s="1592" t="str">
        <x:f t="shared" si="65"/>
        <x:v/>
      </x:c>
      <x:c r="M37" s="1593">
        <x:v>7.5</x:v>
      </x:c>
      <x:c r="N37" s="1594">
        <x:v>7.5</x:v>
      </x:c>
      <x:c r="O37" s="1589">
        <x:v>0</x:v>
      </x:c>
      <x:c r="P37" s="1590">
        <x:v>1</x:v>
      </x:c>
      <x:c r="Q37" s="1586">
        <x:v>0</x:v>
      </x:c>
      <x:c r="R37" s="1587">
        <x:v>1</x:v>
      </x:c>
      <x:c r="S37" s="1595">
        <x:v>0</x:v>
      </x:c>
      <x:c r="T37" s="1590">
        <x:v>3</x:v>
      </x:c>
      <x:c r="U37" s="1586">
        <x:v>0</x:v>
      </x:c>
      <x:c r="V37" s="1590">
        <x:v>2</x:v>
      </x:c>
      <x:c r="W37" s="1594">
        <x:v>5</x:v>
      </x:c>
      <x:c r="X37" s="1596" t="str">
        <x:f t="shared" si="0"/>
        <x:v/>
      </x:c>
      <x:c r="Y37" s="1597" t="str">
        <x:f t="shared" si="1"/>
        <x:v/>
      </x:c>
      <x:c r="Z37" s="2210" t="s">
        <x:v>2320</x:v>
      </x:c>
      <x:c r="AA37" s="1605" t="str">
        <x:f t="shared" si="2"/>
        <x:v/>
      </x:c>
      <x:c r="AB37" s="1264" t="s">
        <x:v>1299</x:v>
      </x:c>
      <x:c r="AC37" s="1260" t="s">
        <x:v>35</x:v>
      </x:c>
      <x:c r="AD37" s="1261">
        <x:v>3</x:v>
      </x:c>
      <x:c r="AE37" s="1262">
        <x:v>10</x:v>
      </x:c>
      <x:c r="AF37" s="1260">
        <x:v>6</x:v>
      </x:c>
      <x:c r="AG37" s="1261">
        <x:v>8</x:v>
      </x:c>
      <x:c r="AH37" s="1262">
        <x:v>0</x:v>
      </x:c>
      <x:c r="AI37" s="1261">
        <x:v>7</x:v>
      </x:c>
      <x:c r="AJ37" s="1262">
        <x:v>6</x:v>
      </x:c>
      <x:c r="AK37" s="1599" t="str">
        <x:f t="shared" si="66"/>
        <x:v/>
      </x:c>
      <x:c r="AL37" s="1600" t="s">
        <x:v>34</x:v>
      </x:c>
      <x:c r="AM37" s="1601">
        <x:v>5</x:v>
      </x:c>
      <x:c r="AN37" s="1260">
        <x:v>13</x:v>
      </x:c>
      <x:c r="AO37" s="1329">
        <x:v>4</x:v>
      </x:c>
      <x:c r="AP37" s="1327">
        <x:v>1.75</x:v>
      </x:c>
      <x:c r="AQ37" s="2198" t="str">
        <x:f t="shared" si="95"/>
        <x:v/>
      </x:c>
      <x:c r="AR37" s="2157">
        <x:v>1</x:v>
      </x:c>
      <x:c r="AS37" s="2122">
        <x:v>0</x:v>
      </x:c>
      <x:c r="AT37" s="1603" t="str">
        <x:f t="shared" si="70"/>
        <x:v/>
      </x:c>
      <x:c r="AU37" s="2123" t="s">
        <x:v>1703</x:v>
      </x:c>
      <x:c r="AV37" s="1328" t="str">
        <x:f t="shared" si="103"/>
        <x:v/>
      </x:c>
      <x:c r="AW37" s="1262" t="str">
        <x:f t="shared" si="104"/>
        <x:v/>
      </x:c>
      <x:c r="AX37" s="1603" t="str">
        <x:f t="shared" si="73"/>
        <x:v/>
      </x:c>
      <x:c r="AY37" s="1410" t="str">
        <x:f t="shared" si="105"/>
        <x:v/>
      </x:c>
      <x:c r="AZ37" s="1328" t="str">
        <x:f t="shared" si="90"/>
        <x:v/>
      </x:c>
      <x:c r="BA37" s="1262" t="str">
        <x:f t="shared" si="88"/>
        <x:v/>
      </x:c>
      <x:c r="BB37" s="1603" t="str">
        <x:f t="shared" si="77"/>
        <x:v/>
      </x:c>
      <x:c r="BC37" s="1410" t="str">
        <x:f t="shared" si="89"/>
        <x:v/>
      </x:c>
      <x:c r="BD37" s="1328" t="str">
        <x:f t="shared" si="79"/>
        <x:v/>
      </x:c>
      <x:c r="BE37" s="1262" t="str">
        <x:f t="shared" si="80"/>
        <x:v/>
      </x:c>
      <x:c r="BF37" s="1603" t="str">
        <x:f t="shared" si="81"/>
        <x:v/>
      </x:c>
      <x:c r="BG37" s="1410" t="str">
        <x:f t="shared" si="82"/>
        <x:v/>
      </x:c>
      <x:c r="BH37" s="322"/>
      <x:c r="BJ37" s="1258" t="str">
        <x:f t="shared" si="57"/>
        <x:v>G40</x:v>
      </x:c>
      <x:c r="BK37" s="1256" t="b">
        <x:f t="shared" si="15"/>
        <x:v>0</x:v>
      </x:c>
      <x:c r="BL37" s="2002" t="b">
        <x:v>0</x:v>
      </x:c>
      <x:c r="BM37" s="1251">
        <x:f t="shared" si="16"/>
        <x:v>54</x:v>
      </x:c>
      <x:c r="BN37" s="1251" t="str">
        <x:f t="shared" si="17"/>
        <x:v>G</x:v>
      </x:c>
      <x:c r="BO37" s="1251">
        <x:f t="shared" si="18"/>
        <x:v>7</x:v>
      </x:c>
      <x:c r="BP37" s="1251">
        <x:f t="shared" si="19"/>
        <x:v>6.5</x:v>
      </x:c>
      <x:c r="BQ37" s="1251">
        <x:f t="shared" si="20"/>
        <x:v>2.1</x:v>
      </x:c>
      <x:c r="BR37" s="1251" t="b">
        <x:f t="shared" si="21"/>
        <x:v>1</x:v>
      </x:c>
      <x:c r="BS37" s="1252">
        <x:f t="shared" si="22"/>
        <x:v>6</x:v>
      </x:c>
      <x:c r="BT37" s="1252" t="str">
        <x:f t="shared" si="23"/>
        <x:v>Yes</x:v>
      </x:c>
      <x:c r="BU37" s="1252">
        <x:f t="shared" si="24"/>
        <x:v>6</x:v>
      </x:c>
      <x:c r="BV37" s="1252" t="str">
        <x:f t="shared" si="25"/>
        <x:v>Yes</x:v>
      </x:c>
      <x:c r="BW37" s="1253">
        <x:f t="shared" si="26"/>
        <x:v>17</x:v>
      </x:c>
      <x:c r="BX37" s="1254" t="str">
        <x:f t="shared" si="27"/>
        <x:v>G36</x:v>
      </x:c>
      <x:c r="BY37" s="1254" t="b">
        <x:f t="shared" si="28"/>
        <x:v>0</x:v>
      </x:c>
      <x:c r="BZ37" s="1253" t="b">
        <x:f t="shared" si="49"/>
        <x:v>0</x:v>
      </x:c>
      <x:c r="CB37" s="842"/>
      <x:c r="CC37" s="894"/>
      <x:c r="CD37" s="883"/>
      <x:c r="CE37" s="884"/>
      <x:c r="CF37" s="885"/>
      <x:c r="CG37" s="901"/>
      <x:c r="CH37" s="902"/>
      <x:c r="CI37" s="903"/>
      <x:c r="CJ37" s="902"/>
      <x:c r="CK37" s="903"/>
      <x:c r="CL37" s="904"/>
      <x:c r="CM37" s="944"/>
      <x:c r="CN37" s="901"/>
      <x:c r="CO37" s="902"/>
      <x:c r="CP37" s="903"/>
      <x:c r="CQ37" s="902"/>
      <x:c r="CR37" s="903"/>
      <x:c r="CS37" s="904"/>
      <x:c r="CT37" s="944"/>
      <x:c r="CU37" s="906"/>
      <x:c r="CV37" s="886"/>
      <x:c r="CW37" s="887"/>
      <x:c r="CX37" s="915"/>
      <x:c r="CY37" s="916"/>
      <x:c r="CZ37" s="932"/>
      <x:c r="DA37" s="933"/>
      <x:c r="DB37" s="932"/>
      <x:c r="DC37" s="933"/>
      <x:c r="DD37" s="1149"/>
      <x:c r="DE37" s="1150"/>
      <x:c r="DF37" s="173"/>
      <x:c r="DG37" s="173"/>
      <x:c r="DH37" s="842"/>
      <x:c r="DI37" s="843"/>
      <x:c r="DJ37" s="872"/>
      <x:c r="DK37" s="873"/>
      <x:c r="DL37" s="844"/>
      <x:c r="DM37" s="874"/>
      <x:c r="DN37" s="875"/>
      <x:c r="DO37" s="845"/>
      <x:c r="DP37" s="846"/>
      <x:c r="DQ37" s="847"/>
      <x:c r="DR37" s="847"/>
      <x:c r="DS37" s="848"/>
      <x:c r="DT37" s="836"/>
      <x:c r="DU37" s="837"/>
      <x:c r="DV37" s="849"/>
      <x:c r="DW37" s="850"/>
      <x:c r="DX37" s="851"/>
      <x:c r="DY37" s="852"/>
      <x:c r="DZ37" s="849"/>
      <x:c r="EA37" s="850"/>
      <x:c r="EB37" s="851"/>
      <x:c r="EC37" s="852"/>
      <x:c r="ED37" s="849"/>
      <x:c r="EE37" s="850"/>
      <x:c r="EF37" s="851"/>
      <x:c r="EG37" s="852"/>
      <x:c r="EH37" s="849"/>
      <x:c r="EI37" s="850"/>
      <x:c r="EJ37" s="851"/>
      <x:c r="EK37" s="853"/>
      <x:c r="EL37" s="798" t="str">
        <x:f t="shared" si="29"/>
        <x:v/>
      </x:c>
      <x:c r="EM37" s="799" t="str">
        <x:f t="shared" si="30"/>
        <x:v/>
      </x:c>
      <x:c r="EN37" s="800" t="str">
        <x:f t="shared" si="31"/>
        <x:v/>
      </x:c>
      <x:c r="EO37" s="1030" t="str">
        <x:f t="shared" si="32"/>
        <x:v/>
      </x:c>
      <x:c r="EP37" s="726" t="str">
        <x:f t="shared" si="33"/>
        <x:v/>
      </x:c>
      <x:c r="EQ37" s="727" t="str">
        <x:f t="shared" si="34"/>
        <x:v/>
      </x:c>
      <x:c r="ER37" s="961" t="str">
        <x:f t="shared" si="35"/>
        <x:v/>
      </x:c>
      <x:c r="ES37" s="962" t="str">
        <x:f t="shared" si="50"/>
        <x:v/>
      </x:c>
      <x:c r="ET37" s="963" t="str">
        <x:f t="shared" si="36"/>
        <x:v/>
      </x:c>
      <x:c r="EU37" s="964" t="str">
        <x:f t="shared" si="37"/>
        <x:v/>
      </x:c>
      <x:c r="EX37" s="1194" t="str">
        <x:f t="shared" si="51"/>
        <x:v>G36B</x:v>
      </x:c>
      <x:c r="EY37" s="1196" t="b">
        <x:f t="shared" ca="1" si="38"/>
        <x:v>1</x:v>
      </x:c>
      <x:c r="EZ37" s="1196">
        <x:f t="shared" si="52"/>
        <x:v>5</x:v>
      </x:c>
      <x:c r="FA37" s="1217" t="b">
        <x:f t="shared" si="58"/>
        <x:v>1</x:v>
      </x:c>
      <x:c r="FB37" s="1218">
        <x:f t="shared" si="53"/>
        <x:v>712</x:v>
      </x:c>
      <x:c r="FC37" s="1218">
        <x:f t="shared" si="39"/>
        <x:v>46</x:v>
      </x:c>
      <x:c r="FD37" s="1218">
        <x:f t="shared" si="40"/>
        <x:v>576</x:v>
      </x:c>
      <x:c r="FE37" s="1218">
        <x:f t="shared" si="41"/>
        <x:v>90</x:v>
      </x:c>
      <x:c r="FF37" s="1218">
        <x:f t="shared" si="54"/>
        <x:v>712</x:v>
      </x:c>
      <x:c r="FN37" s="969" t="b">
        <x:v>0</x:v>
      </x:c>
      <x:c r="FO37" s="969" t="b">
        <x:f t="shared" si="42"/>
        <x:v>1</x:v>
      </x:c>
      <x:c r="FP37" s="1815" t="b">
        <x:v>0</x:v>
      </x:c>
      <x:c r="FQ37" s="969" t="b">
        <x:f t="shared" si="55"/>
        <x:v>1</x:v>
      </x:c>
      <x:c r="FW37" s="2"/>
      <x:c r="FX37" s="2"/>
      <x:c r="FZ37" s="2"/>
      <x:c r="GA37" s="1935">
        <x:v>51</x:v>
      </x:c>
      <x:c r="GB37" s="1936">
        <x:v>2.75</x:v>
      </x:c>
      <x:c r="GC37" s="1937">
        <x:v>-1</x:v>
      </x:c>
      <x:c r="GD37" s="1938">
        <x:v>-6</x:v>
      </x:c>
      <x:c r="GE37" s="1939">
        <x:f t="shared" si="56"/>
        <x:v>0</x:v>
      </x:c>
      <x:c r="GF37" s="1940" t="str">
        <x:f t="shared" si="43"/>
        <x:v>G40</x:v>
      </x:c>
      <x:c r="GG37" s="1457"/>
      <x:c r="GH37" s="1459"/>
      <x:c r="GI37" s="1457"/>
      <x:c r="GJ37" s="1459"/>
      <x:c r="GK37" s="326">
        <x:f t="shared" si="44"/>
        <x:v>607.75</x:v>
      </x:c>
      <x:c r="GL37" s="326">
        <x:f t="shared" si="45"/>
        <x:v>607.75</x:v>
      </x:c>
      <x:c r="GM37" s="327">
        <x:f>IF(ABS(GK37-GL37)&gt;='Job Info.'!$L$22,ABS(GK37-GL37),0)</x:f>
        <x:v>0</x:v>
      </x:c>
      <x:c r="HA37" s="1612" t="s">
        <x:v>1303</x:v>
      </x:c>
      <x:c r="HB37" s="1613">
        <x:v>1</x:v>
      </x:c>
      <x:c r="HC37" s="1613" t="s">
        <x:v>1952</x:v>
      </x:c>
      <x:c r="HD37" s="1614">
        <x:v>50</x:v>
      </x:c>
      <x:c r="HE37" s="1615">
        <x:v>7.75</x:v>
      </x:c>
      <x:c r="HF37" s="1613">
        <x:v>11.125</x:v>
      </x:c>
      <x:c r="HG37" s="1613" t="s">
        <x:v>117</x:v>
      </x:c>
      <x:c r="HH37" s="1613" t="s">
        <x:v>117</x:v>
      </x:c>
      <x:c r="HI37" s="1613" t="s">
        <x:v>117</x:v>
      </x:c>
      <x:c r="HJ37" s="1613" t="s">
        <x:v>117</x:v>
      </x:c>
      <x:c r="HK37" s="1613" t="s">
        <x:v>117</x:v>
      </x:c>
      <x:c r="HL37" s="1613" t="s">
        <x:v>117</x:v>
      </x:c>
      <x:c r="HM37" s="1613">
        <x:v>7.5</x:v>
      </x:c>
      <x:c r="HN37" s="1613">
        <x:v>7.5</x:v>
      </x:c>
      <x:c r="HO37" s="1613">
        <x:v>0</x:v>
      </x:c>
      <x:c r="HP37" s="1613">
        <x:v>1</x:v>
      </x:c>
      <x:c r="HQ37" s="1613">
        <x:v>0</x:v>
      </x:c>
      <x:c r="HR37" s="1613">
        <x:v>1</x:v>
      </x:c>
      <x:c r="HS37" s="1613">
        <x:v>0</x:v>
      </x:c>
      <x:c r="HT37" s="1613">
        <x:v>3</x:v>
      </x:c>
      <x:c r="HU37" s="1613">
        <x:v>0</x:v>
      </x:c>
      <x:c r="HV37" s="1613">
        <x:v>2</x:v>
      </x:c>
      <x:c r="HW37" s="1613">
        <x:v>5</x:v>
      </x:c>
      <x:c r="HX37" s="1613" t="s">
        <x:v>117</x:v>
      </x:c>
      <x:c r="HY37" s="1617" t="s">
        <x:v>117</x:v>
      </x:c>
      <x:c r="HZ37" s="1617" t="s">
        <x:v>2050</x:v>
      </x:c>
      <x:c r="IA37" s="1617" t="s">
        <x:v>117</x:v>
      </x:c>
      <x:c r="IB37" s="1617"/>
      <x:c r="IC37" s="1617"/>
      <x:c r="ID37" s="1632"/>
      <x:c r="IE37" s="1612" t="s">
        <x:v>1299</x:v>
      </x:c>
      <x:c r="IF37" s="1613" t="s">
        <x:v>35</x:v>
      </x:c>
      <x:c r="IG37" s="1614">
        <x:v>3</x:v>
      </x:c>
      <x:c r="IH37" s="1615">
        <x:v>10</x:v>
      </x:c>
      <x:c r="II37" s="1613">
        <x:v>6</x:v>
      </x:c>
      <x:c r="IJ37" s="1614">
        <x:v>8</x:v>
      </x:c>
      <x:c r="IK37" s="1615">
        <x:v>0</x:v>
      </x:c>
      <x:c r="IL37" s="1613">
        <x:v>7</x:v>
      </x:c>
      <x:c r="IM37" s="1613">
        <x:v>6</x:v>
      </x:c>
      <x:c r="IN37" s="1613" t="s">
        <x:v>117</x:v>
      </x:c>
      <x:c r="IO37" s="1613" t="s">
        <x:v>34</x:v>
      </x:c>
      <x:c r="IP37" s="1613">
        <x:v>5</x:v>
      </x:c>
      <x:c r="IQ37" s="1613">
        <x:v>13</x:v>
      </x:c>
      <x:c r="IR37" s="1613">
        <x:v>4</x:v>
      </x:c>
      <x:c r="IS37" s="1614">
        <x:v>1.75</x:v>
      </x:c>
      <x:c r="IT37" s="1615">
        <x:v>1.75</x:v>
      </x:c>
      <x:c r="IU37" s="1613" t="s">
        <x:v>117</x:v>
      </x:c>
      <x:c r="IV37" s="1613" t="s">
        <x:v>117</x:v>
      </x:c>
      <x:c r="IW37" s="1614" t="s">
        <x:v>117</x:v>
      </x:c>
      <x:c r="IX37" s="1615" t="s">
        <x:v>117</x:v>
      </x:c>
      <x:c r="IY37" s="1613" t="s">
        <x:v>117</x:v>
      </x:c>
      <x:c r="IZ37" s="1613" t="s">
        <x:v>117</x:v>
      </x:c>
      <x:c r="JA37" s="1614" t="s">
        <x:v>117</x:v>
      </x:c>
      <x:c r="JB37" s="1615" t="s">
        <x:v>117</x:v>
      </x:c>
      <x:c r="JC37" s="1613" t="s">
        <x:v>117</x:v>
      </x:c>
      <x:c r="JD37" s="1613" t="s">
        <x:v>117</x:v>
      </x:c>
      <x:c r="JE37" s="1614" t="s">
        <x:v>117</x:v>
      </x:c>
      <x:c r="JF37" s="1615" t="s">
        <x:v>117</x:v>
      </x:c>
      <x:c r="JG37" s="1613" t="s">
        <x:v>117</x:v>
      </x:c>
      <x:c r="JH37" s="1613" t="s">
        <x:v>117</x:v>
      </x:c>
      <x:c r="JI37" s="1613" t="s">
        <x:v>117</x:v>
      </x:c>
      <x:c r="JJ37" s="1616" t="s">
        <x:v>117</x:v>
      </x:c>
      <x:c r="JK37" s="1613">
        <x:v>1</x:v>
      </x:c>
      <x:c r="JL37" s="1521">
        <x:f t="shared" ca="1" si="59"/>
        <x:v>1</x:v>
      </x:c>
    </x:row>
    <x:row r="38" spans="1:272" ht="12.6" customHeight="1" x14ac:dyDescent="0.25">
      <x:c r="A38" s="1583" t="str">
        <x:f t="shared" ref="A38:C45" si="106">IF(ISBLANK(CB38),"",CB38)</x:f>
        <x:v/>
      </x:c>
      <x:c r="B38" s="1584"/>
      <x:c r="C38" s="1585" t="str">
        <x:f t="shared" si="106"/>
        <x:v/>
      </x:c>
      <x:c r="D38" s="1586" t="str">
        <x:f t="shared" ref="D38:D45" si="107">IF(CV78="","",TRUNC(CV78/12))</x:f>
        <x:v/>
      </x:c>
      <x:c r="E38" s="1587" t="str">
        <x:f t="shared" ref="E38:E45" si="108">IF(CV78="","",CV78-(D38*12))</x:f>
        <x:v/>
      </x:c>
      <x:c r="F38" s="1588" t="str">
        <x:f t="shared" ref="F38:F45" si="109">IF(ISBLANK(CY38),"",CY38)</x:f>
        <x:v/>
      </x:c>
      <x:c r="G38" s="1589" t="str">
        <x:f t="shared" si="60"/>
        <x:v/>
      </x:c>
      <x:c r="H38" s="1590" t="str">
        <x:f t="shared" si="61"/>
        <x:v/>
      </x:c>
      <x:c r="I38" s="1591" t="str">
        <x:f t="shared" si="62"/>
        <x:v/>
      </x:c>
      <x:c r="J38" s="1586" t="str">
        <x:f t="shared" si="63"/>
        <x:v/>
      </x:c>
      <x:c r="K38" s="1590" t="str">
        <x:f t="shared" si="64"/>
        <x:v/>
      </x:c>
      <x:c r="L38" s="1592" t="str">
        <x:f t="shared" si="65"/>
        <x:v/>
      </x:c>
      <x:c r="M38" s="1593" t="str">
        <x:f t="shared" ref="M38:N45" si="110">IF(CW78="","",CW78)</x:f>
        <x:v/>
      </x:c>
      <x:c r="N38" s="1594" t="str">
        <x:f t="shared" si="110"/>
        <x:v/>
      </x:c>
      <x:c r="O38" s="1589" t="str">
        <x:f t="shared" ref="O38:O45" si="111">IF(DZ78="","",IF(AND(DZ78&gt;-12,DZ78&lt;0),-0.000001,TRUNC(DZ78/12)))</x:f>
        <x:v/>
      </x:c>
      <x:c r="P38" s="1590" t="str">
        <x:f t="shared" ref="P38:P45" si="112">IF(DZ78="","",IF(AND(DZ78&lt;0,DZ78-(O38*12)=0),-0.00001,DZ78-(O38*12)))</x:f>
        <x:v/>
      </x:c>
      <x:c r="Q38" s="1586" t="str">
        <x:f t="shared" ref="Q38:Q45" si="113">IF(EA78="","",IF(AND(EA78&gt;-12,EA78&lt;0),-0.000001,TRUNC(EA78/12)))</x:f>
        <x:v/>
      </x:c>
      <x:c r="R38" s="1587" t="str">
        <x:f t="shared" ref="R38:R45" si="114">IF(EA78="","",IF(AND(EA78&lt;0,EA78-(Q38*12)=0),-0.00001,EA78-(Q38*12)))</x:f>
        <x:v/>
      </x:c>
      <x:c r="S38" s="1595" t="str">
        <x:f t="shared" ref="S38:S45" si="115">IF(DR78="","",IF(DR78="ERR",TRUNC(DQ78/12),TRUNC(DR78/12)))</x:f>
        <x:v/>
      </x:c>
      <x:c r="T38" s="1590" t="str">
        <x:f t="shared" ref="T38:T45" si="116">IF(DR78="","",IF(DR78="ERR",DQ78-(S38*12),DR78-(S38*12)))</x:f>
        <x:v/>
      </x:c>
      <x:c r="U38" s="1586" t="str">
        <x:f t="shared" ref="U38:U45" si="117">IF(DY78="","",IF(DY78="ERR",TRUNC(DX78/12),TRUNC(DY78/12)))</x:f>
        <x:v/>
      </x:c>
      <x:c r="V38" s="1590" t="str">
        <x:f t="shared" ref="V38:V45" si="118">IF(DY78="","",IF(DY78="ERR",DX78-(U38*12),DY78-(U38*12)))</x:f>
        <x:v/>
      </x:c>
      <x:c r="W38" s="1594">
        <x:f t="shared" ref="W38:W45" si="119">IF(EC78="",0,EC78)</x:f>
        <x:v>0</x:v>
      </x:c>
      <x:c r="X38" s="1596" t="str">
        <x:f t="shared" si="0"/>
        <x:v/>
      </x:c>
      <x:c r="Y38" s="1597" t="str">
        <x:f t="shared" si="1"/>
        <x:v/>
      </x:c>
      <x:c r="Z38" s="2088"/>
      <x:c r="AA38" s="1605" t="str">
        <x:f t="shared" si="2"/>
        <x:v/>
      </x:c>
      <x:c r="AB38" s="1264" t="s">
        <x:v>1300</x:v>
      </x:c>
      <x:c r="AC38" s="1260" t="s">
        <x:v>1703</x:v>
      </x:c>
      <x:c r="AD38" s="1261">
        <x:v>7</x:v>
      </x:c>
      <x:c r="AE38" s="1262">
        <x:v>10</x:v>
      </x:c>
      <x:c r="AF38" s="1260">
        <x:v>5</x:v>
      </x:c>
      <x:c r="AG38" s="1261">
        <x:v>8</x:v>
      </x:c>
      <x:c r="AH38" s="1262">
        <x:v>0</x:v>
      </x:c>
      <x:c r="AI38" s="1261">
        <x:v>1</x:v>
      </x:c>
      <x:c r="AJ38" s="1262">
        <x:v>10</x:v>
      </x:c>
      <x:c r="AK38" s="1599" t="str">
        <x:f t="shared" si="66"/>
        <x:v/>
      </x:c>
      <x:c r="AL38" s="1600" t="str">
        <x:f t="shared" ref="AL38:AL41" si="120">IF(ISBLANK(DP38),"",DP38)</x:f>
        <x:v/>
      </x:c>
      <x:c r="AM38" s="1601">
        <x:v>5</x:v>
      </x:c>
      <x:c r="AN38" s="1260">
        <x:v>13</x:v>
      </x:c>
      <x:c r="AO38" s="1329">
        <x:v>4</x:v>
      </x:c>
      <x:c r="AP38" s="1327">
        <x:v>1.75</x:v>
      </x:c>
      <x:c r="AQ38" s="1602">
        <x:v>1.75</x:v>
      </x:c>
      <x:c r="AR38" s="2157">
        <x:v>1</x:v>
      </x:c>
      <x:c r="AS38" s="2122">
        <x:v>0</x:v>
      </x:c>
      <x:c r="AT38" s="1603" t="str">
        <x:f t="shared" si="70"/>
        <x:v/>
      </x:c>
      <x:c r="AU38" s="2123" t="s">
        <x:v>1703</x:v>
      </x:c>
      <x:c r="AV38" s="2121">
        <x:v>49</x:v>
      </x:c>
      <x:c r="AW38" s="2122">
        <x:v>0</x:v>
      </x:c>
      <x:c r="AX38" s="1603"/>
      <x:c r="AY38" s="2123" t="s">
        <x:v>1703</x:v>
      </x:c>
      <x:c r="AZ38" s="1328" t="str">
        <x:f t="shared" si="90"/>
        <x:v/>
      </x:c>
      <x:c r="BA38" s="1262" t="str">
        <x:f t="shared" si="88"/>
        <x:v/>
      </x:c>
      <x:c r="BB38" s="1603" t="str">
        <x:f t="shared" si="77"/>
        <x:v/>
      </x:c>
      <x:c r="BC38" s="1410" t="str">
        <x:f t="shared" si="89"/>
        <x:v/>
      </x:c>
      <x:c r="BD38" s="1328" t="str">
        <x:f t="shared" si="79"/>
        <x:v/>
      </x:c>
      <x:c r="BE38" s="1262" t="str">
        <x:f t="shared" si="80"/>
        <x:v/>
      </x:c>
      <x:c r="BF38" s="1603" t="str">
        <x:f t="shared" si="81"/>
        <x:v/>
      </x:c>
      <x:c r="BG38" s="1410" t="str">
        <x:f t="shared" si="82"/>
        <x:v/>
      </x:c>
      <x:c r="BH38" s="322"/>
      <x:c r="BJ38" s="1258" t="str">
        <x:f t="shared" si="57"/>
        <x:v/>
      </x:c>
      <x:c r="BK38" s="1256" t="b">
        <x:f t="shared" si="15"/>
        <x:v>0</x:v>
      </x:c>
      <x:c r="BL38" s="2002" t="b">
        <x:v>0</x:v>
      </x:c>
      <x:c r="BM38" s="1251">
        <x:f t="shared" si="16"/>
        <x:v>0</x:v>
      </x:c>
      <x:c r="BN38" s="1251">
        <x:f t="shared" si="17"/>
        <x:v>0</x:v>
      </x:c>
      <x:c r="BO38" s="1251">
        <x:f t="shared" si="18"/>
        <x:v>0</x:v>
      </x:c>
      <x:c r="BP38" s="1251">
        <x:f t="shared" si="19"/>
        <x:v>0</x:v>
      </x:c>
      <x:c r="BQ38" s="1251">
        <x:f t="shared" si="20"/>
        <x:v>0</x:v>
      </x:c>
      <x:c r="BR38" s="1251" t="b">
        <x:f t="shared" si="21"/>
        <x:v>1</x:v>
      </x:c>
      <x:c r="BS38" s="1252">
        <x:f t="shared" si="22"/>
        <x:v>6</x:v>
      </x:c>
      <x:c r="BT38" s="1252" t="str">
        <x:f t="shared" si="23"/>
        <x:v>No</x:v>
      </x:c>
      <x:c r="BU38" s="1252">
        <x:f t="shared" si="24"/>
        <x:v>6</x:v>
      </x:c>
      <x:c r="BV38" s="1252" t="str">
        <x:f t="shared" si="25"/>
        <x:v>No</x:v>
      </x:c>
      <x:c r="BW38" s="1253">
        <x:f t="shared" si="26"/>
        <x:v>20</x:v>
      </x:c>
      <x:c r="BX38" s="1254" t="str">
        <x:f t="shared" si="27"/>
        <x:v>G37</x:v>
      </x:c>
      <x:c r="BY38" s="1254" t="b">
        <x:f t="shared" si="28"/>
        <x:v>0</x:v>
      </x:c>
      <x:c r="BZ38" s="1253" t="b">
        <x:f t="shared" si="49"/>
        <x:v>0</x:v>
      </x:c>
      <x:c r="CB38" s="842"/>
      <x:c r="CC38" s="894"/>
      <x:c r="CD38" s="883"/>
      <x:c r="CE38" s="884"/>
      <x:c r="CF38" s="885"/>
      <x:c r="CG38" s="901"/>
      <x:c r="CH38" s="902"/>
      <x:c r="CI38" s="903"/>
      <x:c r="CJ38" s="902"/>
      <x:c r="CK38" s="903"/>
      <x:c r="CL38" s="904"/>
      <x:c r="CM38" s="944"/>
      <x:c r="CN38" s="901"/>
      <x:c r="CO38" s="902"/>
      <x:c r="CP38" s="903"/>
      <x:c r="CQ38" s="902"/>
      <x:c r="CR38" s="903"/>
      <x:c r="CS38" s="904"/>
      <x:c r="CT38" s="944"/>
      <x:c r="CU38" s="906"/>
      <x:c r="CV38" s="886"/>
      <x:c r="CW38" s="887"/>
      <x:c r="CX38" s="915"/>
      <x:c r="CY38" s="916"/>
      <x:c r="CZ38" s="932"/>
      <x:c r="DA38" s="933"/>
      <x:c r="DB38" s="932"/>
      <x:c r="DC38" s="933"/>
      <x:c r="DD38" s="1149"/>
      <x:c r="DE38" s="1150"/>
      <x:c r="DF38" s="173"/>
      <x:c r="DG38" s="173"/>
      <x:c r="DH38" s="842"/>
      <x:c r="DI38" s="843"/>
      <x:c r="DJ38" s="872"/>
      <x:c r="DK38" s="873"/>
      <x:c r="DL38" s="844"/>
      <x:c r="DM38" s="874"/>
      <x:c r="DN38" s="875"/>
      <x:c r="DO38" s="845"/>
      <x:c r="DP38" s="846"/>
      <x:c r="DQ38" s="847"/>
      <x:c r="DR38" s="847"/>
      <x:c r="DS38" s="848"/>
      <x:c r="DT38" s="836"/>
      <x:c r="DU38" s="837"/>
      <x:c r="DV38" s="849"/>
      <x:c r="DW38" s="850"/>
      <x:c r="DX38" s="851"/>
      <x:c r="DY38" s="852"/>
      <x:c r="DZ38" s="849"/>
      <x:c r="EA38" s="850"/>
      <x:c r="EB38" s="851"/>
      <x:c r="EC38" s="852"/>
      <x:c r="ED38" s="849"/>
      <x:c r="EE38" s="850"/>
      <x:c r="EF38" s="851"/>
      <x:c r="EG38" s="852"/>
      <x:c r="EH38" s="849"/>
      <x:c r="EI38" s="850"/>
      <x:c r="EJ38" s="851"/>
      <x:c r="EK38" s="853"/>
      <x:c r="EL38" s="798" t="str">
        <x:f t="shared" si="29"/>
        <x:v/>
      </x:c>
      <x:c r="EM38" s="799" t="str">
        <x:f t="shared" si="30"/>
        <x:v/>
      </x:c>
      <x:c r="EN38" s="800" t="str">
        <x:f t="shared" si="31"/>
        <x:v/>
      </x:c>
      <x:c r="EO38" s="1030" t="str">
        <x:f t="shared" si="32"/>
        <x:v/>
      </x:c>
      <x:c r="EP38" s="726" t="str">
        <x:f t="shared" si="33"/>
        <x:v/>
      </x:c>
      <x:c r="EQ38" s="727" t="str">
        <x:f t="shared" si="34"/>
        <x:v/>
      </x:c>
      <x:c r="ER38" s="961" t="str">
        <x:f t="shared" si="35"/>
        <x:v/>
      </x:c>
      <x:c r="ES38" s="962" t="str">
        <x:f t="shared" si="50"/>
        <x:v/>
      </x:c>
      <x:c r="ET38" s="963" t="str">
        <x:f t="shared" si="36"/>
        <x:v/>
      </x:c>
      <x:c r="EU38" s="964" t="str">
        <x:f t="shared" si="37"/>
        <x:v/>
      </x:c>
      <x:c r="EX38" s="1194" t="str">
        <x:f t="shared" si="51"/>
        <x:v>G37F</x:v>
      </x:c>
      <x:c r="EY38" s="1196" t="b">
        <x:f t="shared" ca="1" si="38"/>
        <x:v>1</x:v>
      </x:c>
      <x:c r="EZ38" s="1196">
        <x:f t="shared" si="52"/>
        <x:v>5</x:v>
      </x:c>
      <x:c r="FA38" s="1217" t="b">
        <x:f t="shared" si="58"/>
        <x:v>1</x:v>
      </x:c>
      <x:c r="FB38" s="1218">
        <x:f t="shared" si="53"/>
        <x:v>596</x:v>
      </x:c>
      <x:c r="FC38" s="1218">
        <x:f t="shared" si="39"/>
        <x:v>94</x:v>
      </x:c>
      <x:c r="FD38" s="1218">
        <x:f t="shared" si="40"/>
        <x:v>480</x:v>
      </x:c>
      <x:c r="FE38" s="1218">
        <x:f t="shared" si="41"/>
        <x:v>22</x:v>
      </x:c>
      <x:c r="FF38" s="1218">
        <x:f t="shared" si="54"/>
        <x:v>596</x:v>
      </x:c>
      <x:c r="FN38" s="969" t="b">
        <x:v>0</x:v>
      </x:c>
      <x:c r="FO38" s="969" t="b">
        <x:f t="shared" si="42"/>
        <x:v>1</x:v>
      </x:c>
      <x:c r="FP38" s="1815" t="b">
        <x:v>0</x:v>
      </x:c>
      <x:c r="FQ38" s="969" t="b">
        <x:f t="shared" si="55"/>
        <x:v>1</x:v>
      </x:c>
      <x:c r="FW38" s="2"/>
      <x:c r="FX38" s="2"/>
      <x:c r="FZ38" s="2"/>
      <x:c r="GA38" s="1935" t="str">
        <x:f t="shared" ref="GA38:GA45" si="121">IF(GF38="","",CE38)</x:f>
        <x:v/>
      </x:c>
      <x:c r="GB38" s="1936" t="str">
        <x:f t="shared" ref="GB38:GB45" si="122">IF(GF38="","",CF38)</x:f>
        <x:v/>
      </x:c>
      <x:c r="GC38" s="1937" t="str">
        <x:f t="shared" ref="GC38:GC45" si="123">IF(GF38="","",IF(CD78="",0,CD78))</x:f>
        <x:v/>
      </x:c>
      <x:c r="GD38" s="1938" t="str">
        <x:f t="shared" ref="GD38:GD45" si="124">IF(GF38="","",IF(CM78="",0,CM78))</x:f>
        <x:v/>
      </x:c>
      <x:c r="GE38" s="1939" t="str">
        <x:f t="shared" si="56"/>
        <x:v/>
      </x:c>
      <x:c r="GF38" s="1940" t="str">
        <x:f t="shared" si="43"/>
        <x:v/>
      </x:c>
      <x:c r="GG38" s="1457"/>
      <x:c r="GH38" s="1459"/>
      <x:c r="GI38" s="1457"/>
      <x:c r="GJ38" s="1459"/>
      <x:c r="GK38" s="326">
        <x:f t="shared" si="44"/>
        <x:v>0</x:v>
      </x:c>
      <x:c r="GL38" s="326" t="e">
        <x:f t="shared" si="45"/>
        <x:v>#VALUE!</x:v>
      </x:c>
      <x:c r="GM38" s="327" t="e">
        <x:f>IF(ABS(GK38-GL38)&gt;='Job Info.'!$L$22,ABS(GK38-GL38),0)</x:f>
        <x:v>#VALUE!</x:v>
      </x:c>
      <x:c r="HA38" s="1612"/>
      <x:c r="HB38" s="1613"/>
      <x:c r="HC38" s="1613"/>
      <x:c r="HD38" s="1614"/>
      <x:c r="HE38" s="1615"/>
      <x:c r="HF38" s="1613"/>
      <x:c r="HG38" s="1613"/>
      <x:c r="HH38" s="1613"/>
      <x:c r="HI38" s="1613"/>
      <x:c r="HJ38" s="1613"/>
      <x:c r="HK38" s="1613"/>
      <x:c r="HL38" s="1613"/>
      <x:c r="HM38" s="1613"/>
      <x:c r="HN38" s="1613"/>
      <x:c r="HO38" s="1613"/>
      <x:c r="HP38" s="1613"/>
      <x:c r="HQ38" s="1613"/>
      <x:c r="HR38" s="1613"/>
      <x:c r="HS38" s="1613"/>
      <x:c r="HT38" s="1613"/>
      <x:c r="HU38" s="1613"/>
      <x:c r="HV38" s="1613"/>
      <x:c r="HW38" s="1613"/>
      <x:c r="HX38" s="1613"/>
      <x:c r="HY38" s="1617"/>
      <x:c r="HZ38" s="1617"/>
      <x:c r="IA38" s="1617"/>
      <x:c r="IB38" s="1617"/>
      <x:c r="IC38" s="1617"/>
      <x:c r="ID38" s="1632"/>
      <x:c r="IE38" s="1612" t="s">
        <x:v>1300</x:v>
      </x:c>
      <x:c r="IF38" s="1613" t="s">
        <x:v>1703</x:v>
      </x:c>
      <x:c r="IG38" s="1614">
        <x:v>7</x:v>
      </x:c>
      <x:c r="IH38" s="1615">
        <x:v>10</x:v>
      </x:c>
      <x:c r="II38" s="1613">
        <x:v>5</x:v>
      </x:c>
      <x:c r="IJ38" s="1614">
        <x:v>8</x:v>
      </x:c>
      <x:c r="IK38" s="1615">
        <x:v>0</x:v>
      </x:c>
      <x:c r="IL38" s="1613">
        <x:v>1</x:v>
      </x:c>
      <x:c r="IM38" s="1613">
        <x:v>10</x:v>
      </x:c>
      <x:c r="IN38" s="1613" t="s">
        <x:v>117</x:v>
      </x:c>
      <x:c r="IO38" s="1613" t="s">
        <x:v>117</x:v>
      </x:c>
      <x:c r="IP38" s="1613">
        <x:v>5</x:v>
      </x:c>
      <x:c r="IQ38" s="1613">
        <x:v>13</x:v>
      </x:c>
      <x:c r="IR38" s="1613">
        <x:v>4</x:v>
      </x:c>
      <x:c r="IS38" s="1614">
        <x:v>1.75</x:v>
      </x:c>
      <x:c r="IT38" s="1615">
        <x:v>1.75</x:v>
      </x:c>
      <x:c r="IU38" s="1613" t="s">
        <x:v>117</x:v>
      </x:c>
      <x:c r="IV38" s="1613" t="s">
        <x:v>117</x:v>
      </x:c>
      <x:c r="IW38" s="1614" t="s">
        <x:v>117</x:v>
      </x:c>
      <x:c r="IX38" s="1615" t="s">
        <x:v>117</x:v>
      </x:c>
      <x:c r="IY38" s="1613" t="s">
        <x:v>117</x:v>
      </x:c>
      <x:c r="IZ38" s="1613" t="s">
        <x:v>117</x:v>
      </x:c>
      <x:c r="JA38" s="1614" t="s">
        <x:v>117</x:v>
      </x:c>
      <x:c r="JB38" s="1615" t="s">
        <x:v>117</x:v>
      </x:c>
      <x:c r="JC38" s="1613" t="s">
        <x:v>117</x:v>
      </x:c>
      <x:c r="JD38" s="1613" t="s">
        <x:v>117</x:v>
      </x:c>
      <x:c r="JE38" s="1614" t="s">
        <x:v>117</x:v>
      </x:c>
      <x:c r="JF38" s="1615" t="s">
        <x:v>117</x:v>
      </x:c>
      <x:c r="JG38" s="1613" t="s">
        <x:v>117</x:v>
      </x:c>
      <x:c r="JH38" s="1613" t="s">
        <x:v>117</x:v>
      </x:c>
      <x:c r="JI38" s="1613" t="s">
        <x:v>117</x:v>
      </x:c>
      <x:c r="JJ38" s="1616" t="s">
        <x:v>117</x:v>
      </x:c>
      <x:c r="JK38" s="1613">
        <x:v>1</x:v>
      </x:c>
      <x:c r="JL38" s="1521">
        <x:f t="shared" ca="1" si="59"/>
        <x:v>1</x:v>
      </x:c>
    </x:row>
    <x:row r="39" spans="1:272" ht="12.6" customHeight="1" x14ac:dyDescent="0.25">
      <x:c r="A39" s="1583" t="str">
        <x:f t="shared" si="106"/>
        <x:v/>
      </x:c>
      <x:c r="B39" s="1584"/>
      <x:c r="C39" s="1585" t="str">
        <x:f t="shared" si="106"/>
        <x:v/>
      </x:c>
      <x:c r="D39" s="1586" t="str">
        <x:f t="shared" si="107"/>
        <x:v/>
      </x:c>
      <x:c r="E39" s="1587" t="str">
        <x:f t="shared" si="108"/>
        <x:v/>
      </x:c>
      <x:c r="F39" s="1588" t="str">
        <x:f t="shared" si="109"/>
        <x:v/>
      </x:c>
      <x:c r="G39" s="1589" t="str">
        <x:f t="shared" si="60"/>
        <x:v/>
      </x:c>
      <x:c r="H39" s="1590" t="str">
        <x:f t="shared" si="61"/>
        <x:v/>
      </x:c>
      <x:c r="I39" s="1591" t="str">
        <x:f t="shared" si="62"/>
        <x:v/>
      </x:c>
      <x:c r="J39" s="1586" t="str">
        <x:f t="shared" si="63"/>
        <x:v/>
      </x:c>
      <x:c r="K39" s="1590" t="str">
        <x:f t="shared" si="64"/>
        <x:v/>
      </x:c>
      <x:c r="L39" s="1592" t="str">
        <x:f t="shared" si="65"/>
        <x:v/>
      </x:c>
      <x:c r="M39" s="1593" t="str">
        <x:f t="shared" si="110"/>
        <x:v/>
      </x:c>
      <x:c r="N39" s="1594" t="str">
        <x:f t="shared" si="110"/>
        <x:v/>
      </x:c>
      <x:c r="O39" s="1589" t="str">
        <x:f t="shared" si="111"/>
        <x:v/>
      </x:c>
      <x:c r="P39" s="1590" t="str">
        <x:f t="shared" si="112"/>
        <x:v/>
      </x:c>
      <x:c r="Q39" s="1586" t="str">
        <x:f t="shared" si="113"/>
        <x:v/>
      </x:c>
      <x:c r="R39" s="1587" t="str">
        <x:f t="shared" si="114"/>
        <x:v/>
      </x:c>
      <x:c r="S39" s="1595" t="str">
        <x:f t="shared" si="115"/>
        <x:v/>
      </x:c>
      <x:c r="T39" s="1590" t="str">
        <x:f t="shared" si="116"/>
        <x:v/>
      </x:c>
      <x:c r="U39" s="1586" t="str">
        <x:f t="shared" si="117"/>
        <x:v/>
      </x:c>
      <x:c r="V39" s="1590" t="str">
        <x:f t="shared" si="118"/>
        <x:v/>
      </x:c>
      <x:c r="W39" s="1594">
        <x:f t="shared" si="119"/>
        <x:v>0</x:v>
      </x:c>
      <x:c r="X39" s="1596" t="str">
        <x:f t="shared" si="0"/>
        <x:v/>
      </x:c>
      <x:c r="Y39" s="1597" t="str">
        <x:f t="shared" si="1"/>
        <x:v/>
      </x:c>
      <x:c r="Z39" s="2088"/>
      <x:c r="AA39" s="1605" t="str">
        <x:f t="shared" si="2"/>
        <x:v/>
      </x:c>
      <x:c r="AB39" s="1264" t="s">
        <x:v>1301</x:v>
      </x:c>
      <x:c r="AC39" s="1260" t="s">
        <x:v>1703</x:v>
      </x:c>
      <x:c r="AD39" s="1261">
        <x:v>6</x:v>
      </x:c>
      <x:c r="AE39" s="1262">
        <x:v>10</x:v>
      </x:c>
      <x:c r="AF39" s="1260">
        <x:v>5</x:v>
      </x:c>
      <x:c r="AG39" s="1261">
        <x:v>7</x:v>
      </x:c>
      <x:c r="AH39" s="1262">
        <x:v>2</x:v>
      </x:c>
      <x:c r="AI39" s="1261">
        <x:v>7</x:v>
      </x:c>
      <x:c r="AJ39" s="1262">
        <x:v>0</x:v>
      </x:c>
      <x:c r="AK39" s="1599" t="str">
        <x:f t="shared" si="66"/>
        <x:v/>
      </x:c>
      <x:c r="AL39" s="1600" t="str">
        <x:f t="shared" si="120"/>
        <x:v/>
      </x:c>
      <x:c r="AM39" s="1601">
        <x:v>5</x:v>
      </x:c>
      <x:c r="AN39" s="1260">
        <x:v>13</x:v>
      </x:c>
      <x:c r="AO39" s="1329">
        <x:v>4</x:v>
      </x:c>
      <x:c r="AP39" s="1327">
        <x:v>1.75</x:v>
      </x:c>
      <x:c r="AQ39" s="1602">
        <x:v>1.75</x:v>
      </x:c>
      <x:c r="AR39" s="2157">
        <x:v>1</x:v>
      </x:c>
      <x:c r="AS39" s="2122">
        <x:v>0</x:v>
      </x:c>
      <x:c r="AT39" s="1603" t="str">
        <x:f t="shared" si="70"/>
        <x:v/>
      </x:c>
      <x:c r="AU39" s="2123" t="s">
        <x:v>1703</x:v>
      </x:c>
      <x:c r="AV39" s="2121">
        <x:v>49</x:v>
      </x:c>
      <x:c r="AW39" s="2122">
        <x:v>0</x:v>
      </x:c>
      <x:c r="AX39" s="1603"/>
      <x:c r="AY39" s="2123" t="s">
        <x:v>1703</x:v>
      </x:c>
      <x:c r="AZ39" s="1328" t="str">
        <x:f t="shared" si="90"/>
        <x:v/>
      </x:c>
      <x:c r="BA39" s="1262" t="str">
        <x:f t="shared" si="88"/>
        <x:v/>
      </x:c>
      <x:c r="BB39" s="1603" t="str">
        <x:f t="shared" si="77"/>
        <x:v/>
      </x:c>
      <x:c r="BC39" s="1410" t="str">
        <x:f t="shared" si="89"/>
        <x:v/>
      </x:c>
      <x:c r="BD39" s="1328" t="str">
        <x:f t="shared" si="79"/>
        <x:v/>
      </x:c>
      <x:c r="BE39" s="1262" t="str">
        <x:f t="shared" si="80"/>
        <x:v/>
      </x:c>
      <x:c r="BF39" s="1603" t="str">
        <x:f t="shared" si="81"/>
        <x:v/>
      </x:c>
      <x:c r="BG39" s="1410" t="str">
        <x:f t="shared" si="82"/>
        <x:v/>
      </x:c>
      <x:c r="BH39" s="322"/>
      <x:c r="BJ39" s="1258" t="str">
        <x:f t="shared" si="57"/>
        <x:v/>
      </x:c>
      <x:c r="BK39" s="1256" t="b">
        <x:f t="shared" si="15"/>
        <x:v>0</x:v>
      </x:c>
      <x:c r="BL39" s="2002" t="b">
        <x:v>0</x:v>
      </x:c>
      <x:c r="BM39" s="1251">
        <x:f t="shared" si="16"/>
        <x:v>0</x:v>
      </x:c>
      <x:c r="BN39" s="1251">
        <x:f t="shared" si="17"/>
        <x:v>0</x:v>
      </x:c>
      <x:c r="BO39" s="1251">
        <x:f t="shared" si="18"/>
        <x:v>0</x:v>
      </x:c>
      <x:c r="BP39" s="1251">
        <x:f t="shared" si="19"/>
        <x:v>0</x:v>
      </x:c>
      <x:c r="BQ39" s="1251">
        <x:f t="shared" si="20"/>
        <x:v>0</x:v>
      </x:c>
      <x:c r="BR39" s="1251" t="b">
        <x:f t="shared" si="21"/>
        <x:v>1</x:v>
      </x:c>
      <x:c r="BS39" s="1252">
        <x:f t="shared" si="22"/>
        <x:v>6</x:v>
      </x:c>
      <x:c r="BT39" s="1252" t="str">
        <x:f t="shared" si="23"/>
        <x:v>No</x:v>
      </x:c>
      <x:c r="BU39" s="1252">
        <x:f t="shared" si="24"/>
        <x:v>6</x:v>
      </x:c>
      <x:c r="BV39" s="1252" t="str">
        <x:f t="shared" si="25"/>
        <x:v>No</x:v>
      </x:c>
      <x:c r="BW39" s="1253">
        <x:f t="shared" si="26"/>
        <x:v>20</x:v>
      </x:c>
      <x:c r="BX39" s="1254" t="str">
        <x:f t="shared" si="27"/>
        <x:v>G38</x:v>
      </x:c>
      <x:c r="BY39" s="1254" t="b">
        <x:f t="shared" si="28"/>
        <x:v>0</x:v>
      </x:c>
      <x:c r="BZ39" s="1253" t="b">
        <x:f t="shared" si="49"/>
        <x:v>0</x:v>
      </x:c>
      <x:c r="CB39" s="842"/>
      <x:c r="CC39" s="894"/>
      <x:c r="CD39" s="883"/>
      <x:c r="CE39" s="884"/>
      <x:c r="CF39" s="885"/>
      <x:c r="CG39" s="901"/>
      <x:c r="CH39" s="902"/>
      <x:c r="CI39" s="903"/>
      <x:c r="CJ39" s="902"/>
      <x:c r="CK39" s="903"/>
      <x:c r="CL39" s="904"/>
      <x:c r="CM39" s="944"/>
      <x:c r="CN39" s="901"/>
      <x:c r="CO39" s="902"/>
      <x:c r="CP39" s="903"/>
      <x:c r="CQ39" s="902"/>
      <x:c r="CR39" s="903"/>
      <x:c r="CS39" s="904"/>
      <x:c r="CT39" s="944"/>
      <x:c r="CU39" s="906"/>
      <x:c r="CV39" s="886"/>
      <x:c r="CW39" s="887"/>
      <x:c r="CX39" s="915"/>
      <x:c r="CY39" s="916"/>
      <x:c r="CZ39" s="932"/>
      <x:c r="DA39" s="933"/>
      <x:c r="DB39" s="932"/>
      <x:c r="DC39" s="933"/>
      <x:c r="DD39" s="1149"/>
      <x:c r="DE39" s="1150"/>
      <x:c r="DF39" s="173"/>
      <x:c r="DG39" s="173"/>
      <x:c r="DH39" s="842"/>
      <x:c r="DI39" s="843"/>
      <x:c r="DJ39" s="872"/>
      <x:c r="DK39" s="873"/>
      <x:c r="DL39" s="844"/>
      <x:c r="DM39" s="874"/>
      <x:c r="DN39" s="875"/>
      <x:c r="DO39" s="845"/>
      <x:c r="DP39" s="846"/>
      <x:c r="DQ39" s="847"/>
      <x:c r="DR39" s="847"/>
      <x:c r="DS39" s="848"/>
      <x:c r="DT39" s="836"/>
      <x:c r="DU39" s="837"/>
      <x:c r="DV39" s="849"/>
      <x:c r="DW39" s="850"/>
      <x:c r="DX39" s="851"/>
      <x:c r="DY39" s="852"/>
      <x:c r="DZ39" s="849"/>
      <x:c r="EA39" s="850"/>
      <x:c r="EB39" s="851"/>
      <x:c r="EC39" s="852"/>
      <x:c r="ED39" s="849"/>
      <x:c r="EE39" s="850"/>
      <x:c r="EF39" s="851"/>
      <x:c r="EG39" s="852"/>
      <x:c r="EH39" s="849"/>
      <x:c r="EI39" s="850"/>
      <x:c r="EJ39" s="851"/>
      <x:c r="EK39" s="853"/>
      <x:c r="EL39" s="798" t="str">
        <x:f t="shared" si="29"/>
        <x:v/>
      </x:c>
      <x:c r="EM39" s="799" t="str">
        <x:f t="shared" si="30"/>
        <x:v/>
      </x:c>
      <x:c r="EN39" s="800" t="str">
        <x:f t="shared" si="31"/>
        <x:v/>
      </x:c>
      <x:c r="EO39" s="1030" t="str">
        <x:f t="shared" si="32"/>
        <x:v/>
      </x:c>
      <x:c r="EP39" s="726" t="str">
        <x:f t="shared" si="33"/>
        <x:v/>
      </x:c>
      <x:c r="EQ39" s="727" t="str">
        <x:f t="shared" si="34"/>
        <x:v/>
      </x:c>
      <x:c r="ER39" s="961" t="str">
        <x:f t="shared" si="35"/>
        <x:v/>
      </x:c>
      <x:c r="ES39" s="962" t="str">
        <x:f t="shared" si="50"/>
        <x:v/>
      </x:c>
      <x:c r="ET39" s="963" t="str">
        <x:f t="shared" si="36"/>
        <x:v/>
      </x:c>
      <x:c r="EU39" s="964" t="str">
        <x:f t="shared" si="37"/>
        <x:v/>
      </x:c>
      <x:c r="EX39" s="1194" t="str">
        <x:f t="shared" si="51"/>
        <x:v>G38F</x:v>
      </x:c>
      <x:c r="EY39" s="1196" t="b">
        <x:f t="shared" ca="1" si="38"/>
        <x:v>1</x:v>
      </x:c>
      <x:c r="EZ39" s="1196">
        <x:f t="shared" si="52"/>
        <x:v>5</x:v>
      </x:c>
      <x:c r="FA39" s="1217" t="b">
        <x:f t="shared" si="58"/>
        <x:v>1</x:v>
      </x:c>
      <x:c r="FB39" s="1218">
        <x:f t="shared" si="53"/>
        <x:v>596</x:v>
      </x:c>
      <x:c r="FC39" s="1218">
        <x:f t="shared" si="39"/>
        <x:v>82</x:v>
      </x:c>
      <x:c r="FD39" s="1218">
        <x:f t="shared" si="40"/>
        <x:v>430</x:v>
      </x:c>
      <x:c r="FE39" s="1218">
        <x:f t="shared" si="41"/>
        <x:v>84</x:v>
      </x:c>
      <x:c r="FF39" s="1218">
        <x:f t="shared" si="54"/>
        <x:v>596</x:v>
      </x:c>
      <x:c r="FN39" s="969" t="b">
        <x:v>0</x:v>
      </x:c>
      <x:c r="FO39" s="969" t="b">
        <x:f t="shared" si="42"/>
        <x:v>1</x:v>
      </x:c>
      <x:c r="FP39" s="1815" t="b">
        <x:v>0</x:v>
      </x:c>
      <x:c r="FQ39" s="969" t="b">
        <x:f t="shared" si="55"/>
        <x:v>1</x:v>
      </x:c>
      <x:c r="FW39" s="2"/>
      <x:c r="FX39" s="2"/>
      <x:c r="FZ39" s="2"/>
      <x:c r="GA39" s="1935" t="str">
        <x:f t="shared" si="121"/>
        <x:v/>
      </x:c>
      <x:c r="GB39" s="1936" t="str">
        <x:f t="shared" si="122"/>
        <x:v/>
      </x:c>
      <x:c r="GC39" s="1937" t="str">
        <x:f t="shared" si="123"/>
        <x:v/>
      </x:c>
      <x:c r="GD39" s="1938" t="str">
        <x:f t="shared" si="124"/>
        <x:v/>
      </x:c>
      <x:c r="GE39" s="1939" t="str">
        <x:f t="shared" si="56"/>
        <x:v/>
      </x:c>
      <x:c r="GF39" s="1940" t="str">
        <x:f t="shared" si="43"/>
        <x:v/>
      </x:c>
      <x:c r="GG39" s="1457"/>
      <x:c r="GH39" s="1459"/>
      <x:c r="GI39" s="1457"/>
      <x:c r="GJ39" s="1459"/>
      <x:c r="GK39" s="326">
        <x:f t="shared" si="44"/>
        <x:v>0</x:v>
      </x:c>
      <x:c r="GL39" s="326" t="e">
        <x:f t="shared" si="45"/>
        <x:v>#VALUE!</x:v>
      </x:c>
      <x:c r="GM39" s="327" t="e">
        <x:f>IF(ABS(GK39-GL39)&gt;='Job Info.'!$L$22,ABS(GK39-GL39),0)</x:f>
        <x:v>#VALUE!</x:v>
      </x:c>
      <x:c r="HA39" s="1612"/>
      <x:c r="HB39" s="1613"/>
      <x:c r="HC39" s="1613"/>
      <x:c r="HD39" s="1614"/>
      <x:c r="HE39" s="1615"/>
      <x:c r="HF39" s="1613"/>
      <x:c r="HG39" s="1613"/>
      <x:c r="HH39" s="1613"/>
      <x:c r="HI39" s="1613"/>
      <x:c r="HJ39" s="1613"/>
      <x:c r="HK39" s="1613"/>
      <x:c r="HL39" s="1613"/>
      <x:c r="HM39" s="1613"/>
      <x:c r="HN39" s="1613"/>
      <x:c r="HO39" s="1613"/>
      <x:c r="HP39" s="1613"/>
      <x:c r="HQ39" s="1613"/>
      <x:c r="HR39" s="1613"/>
      <x:c r="HS39" s="1613"/>
      <x:c r="HT39" s="1613"/>
      <x:c r="HU39" s="1613"/>
      <x:c r="HV39" s="1613"/>
      <x:c r="HW39" s="1613"/>
      <x:c r="HX39" s="1613"/>
      <x:c r="HY39" s="1617"/>
      <x:c r="HZ39" s="1617"/>
      <x:c r="IA39" s="1617"/>
      <x:c r="IB39" s="1617"/>
      <x:c r="IC39" s="1617"/>
      <x:c r="ID39" s="1632"/>
      <x:c r="IE39" s="1612" t="s">
        <x:v>1301</x:v>
      </x:c>
      <x:c r="IF39" s="1613" t="s">
        <x:v>1703</x:v>
      </x:c>
      <x:c r="IG39" s="1614">
        <x:v>6</x:v>
      </x:c>
      <x:c r="IH39" s="1615">
        <x:v>10</x:v>
      </x:c>
      <x:c r="II39" s="1613">
        <x:v>5</x:v>
      </x:c>
      <x:c r="IJ39" s="1614">
        <x:v>7</x:v>
      </x:c>
      <x:c r="IK39" s="1615">
        <x:v>2</x:v>
      </x:c>
      <x:c r="IL39" s="1613">
        <x:v>7</x:v>
      </x:c>
      <x:c r="IM39" s="1613">
        <x:v>0</x:v>
      </x:c>
      <x:c r="IN39" s="1613" t="s">
        <x:v>117</x:v>
      </x:c>
      <x:c r="IO39" s="1613" t="s">
        <x:v>117</x:v>
      </x:c>
      <x:c r="IP39" s="1613">
        <x:v>5</x:v>
      </x:c>
      <x:c r="IQ39" s="1613">
        <x:v>13</x:v>
      </x:c>
      <x:c r="IR39" s="1613">
        <x:v>4</x:v>
      </x:c>
      <x:c r="IS39" s="1614">
        <x:v>1.75</x:v>
      </x:c>
      <x:c r="IT39" s="1615">
        <x:v>1.75</x:v>
      </x:c>
      <x:c r="IU39" s="1613" t="s">
        <x:v>117</x:v>
      </x:c>
      <x:c r="IV39" s="1613" t="s">
        <x:v>117</x:v>
      </x:c>
      <x:c r="IW39" s="1614" t="s">
        <x:v>117</x:v>
      </x:c>
      <x:c r="IX39" s="1615" t="s">
        <x:v>117</x:v>
      </x:c>
      <x:c r="IY39" s="1613" t="s">
        <x:v>117</x:v>
      </x:c>
      <x:c r="IZ39" s="1613" t="s">
        <x:v>117</x:v>
      </x:c>
      <x:c r="JA39" s="1614" t="s">
        <x:v>117</x:v>
      </x:c>
      <x:c r="JB39" s="1615" t="s">
        <x:v>117</x:v>
      </x:c>
      <x:c r="JC39" s="1613" t="s">
        <x:v>117</x:v>
      </x:c>
      <x:c r="JD39" s="1613" t="s">
        <x:v>117</x:v>
      </x:c>
      <x:c r="JE39" s="1614" t="s">
        <x:v>117</x:v>
      </x:c>
      <x:c r="JF39" s="1615" t="s">
        <x:v>117</x:v>
      </x:c>
      <x:c r="JG39" s="1613" t="s">
        <x:v>117</x:v>
      </x:c>
      <x:c r="JH39" s="1613" t="s">
        <x:v>117</x:v>
      </x:c>
      <x:c r="JI39" s="1613" t="s">
        <x:v>117</x:v>
      </x:c>
      <x:c r="JJ39" s="1616" t="s">
        <x:v>117</x:v>
      </x:c>
      <x:c r="JK39" s="1613">
        <x:v>1</x:v>
      </x:c>
      <x:c r="JL39" s="1521">
        <x:f t="shared" ca="1" si="59"/>
        <x:v>1</x:v>
      </x:c>
    </x:row>
    <x:row r="40" spans="1:272" ht="12.6" customHeight="1" x14ac:dyDescent="0.25">
      <x:c r="A40" s="1583" t="str">
        <x:f t="shared" si="106"/>
        <x:v/>
      </x:c>
      <x:c r="B40" s="1584"/>
      <x:c r="C40" s="1585" t="str">
        <x:f t="shared" si="106"/>
        <x:v/>
      </x:c>
      <x:c r="D40" s="1586" t="str">
        <x:f t="shared" si="107"/>
        <x:v/>
      </x:c>
      <x:c r="E40" s="1587" t="str">
        <x:f t="shared" si="108"/>
        <x:v/>
      </x:c>
      <x:c r="F40" s="1588" t="str">
        <x:f t="shared" si="109"/>
        <x:v/>
      </x:c>
      <x:c r="G40" s="1589" t="str">
        <x:f t="shared" si="60"/>
        <x:v/>
      </x:c>
      <x:c r="H40" s="1590" t="str">
        <x:f t="shared" si="61"/>
        <x:v/>
      </x:c>
      <x:c r="I40" s="1591" t="str">
        <x:f t="shared" si="62"/>
        <x:v/>
      </x:c>
      <x:c r="J40" s="1586" t="str">
        <x:f t="shared" si="63"/>
        <x:v/>
      </x:c>
      <x:c r="K40" s="1590" t="str">
        <x:f t="shared" si="64"/>
        <x:v/>
      </x:c>
      <x:c r="L40" s="1592" t="str">
        <x:f t="shared" si="65"/>
        <x:v/>
      </x:c>
      <x:c r="M40" s="1593" t="str">
        <x:f t="shared" si="110"/>
        <x:v/>
      </x:c>
      <x:c r="N40" s="1594" t="str">
        <x:f t="shared" si="110"/>
        <x:v/>
      </x:c>
      <x:c r="O40" s="1589" t="str">
        <x:f t="shared" si="111"/>
        <x:v/>
      </x:c>
      <x:c r="P40" s="1590" t="str">
        <x:f t="shared" si="112"/>
        <x:v/>
      </x:c>
      <x:c r="Q40" s="1586" t="str">
        <x:f t="shared" si="113"/>
        <x:v/>
      </x:c>
      <x:c r="R40" s="1587" t="str">
        <x:f t="shared" si="114"/>
        <x:v/>
      </x:c>
      <x:c r="S40" s="1595" t="str">
        <x:f t="shared" si="115"/>
        <x:v/>
      </x:c>
      <x:c r="T40" s="1590" t="str">
        <x:f t="shared" si="116"/>
        <x:v/>
      </x:c>
      <x:c r="U40" s="1586" t="str">
        <x:f t="shared" si="117"/>
        <x:v/>
      </x:c>
      <x:c r="V40" s="1590" t="str">
        <x:f t="shared" si="118"/>
        <x:v/>
      </x:c>
      <x:c r="W40" s="1594">
        <x:f t="shared" si="119"/>
        <x:v>0</x:v>
      </x:c>
      <x:c r="X40" s="1596" t="str">
        <x:f t="shared" si="0"/>
        <x:v/>
      </x:c>
      <x:c r="Y40" s="1597" t="str">
        <x:f t="shared" si="1"/>
        <x:v/>
      </x:c>
      <x:c r="Z40" s="2088"/>
      <x:c r="AA40" s="1605" t="str">
        <x:f t="shared" si="2"/>
        <x:v/>
      </x:c>
      <x:c r="AB40" s="1264" t="s">
        <x:v>1302</x:v>
      </x:c>
      <x:c r="AC40" s="1260" t="s">
        <x:v>34</x:v>
      </x:c>
      <x:c r="AD40" s="1261">
        <x:v>6</x:v>
      </x:c>
      <x:c r="AE40" s="1262">
        <x:v>1.875</x:v>
      </x:c>
      <x:c r="AF40" s="1260">
        <x:v>5</x:v>
      </x:c>
      <x:c r="AG40" s="1261">
        <x:v>7</x:v>
      </x:c>
      <x:c r="AH40" s="1262">
        <x:v>2</x:v>
      </x:c>
      <x:c r="AI40" s="1261">
        <x:v>7</x:v>
      </x:c>
      <x:c r="AJ40" s="1262">
        <x:v>0.125</x:v>
      </x:c>
      <x:c r="AK40" s="1599" t="str">
        <x:f t="shared" si="66"/>
        <x:v/>
      </x:c>
      <x:c r="AL40" s="1600" t="str">
        <x:f t="shared" si="120"/>
        <x:v/>
      </x:c>
      <x:c r="AM40" s="1601">
        <x:v>5</x:v>
      </x:c>
      <x:c r="AN40" s="1260">
        <x:v>13</x:v>
      </x:c>
      <x:c r="AO40" s="1329">
        <x:v>4</x:v>
      </x:c>
      <x:c r="AP40" s="1327" t="str">
        <x:f t="shared" ref="AP40:AP41" si="125">IF(OR(GD80="",GD80=0),"",GD80)</x:f>
        <x:v/>
      </x:c>
      <x:c r="AQ40" s="1602">
        <x:v>1.75</x:v>
      </x:c>
      <x:c r="AR40" s="2157">
        <x:v>48</x:v>
      </x:c>
      <x:c r="AS40" s="2122">
        <x:v>2</x:v>
      </x:c>
      <x:c r="AT40" s="1603" t="str">
        <x:f t="shared" si="70"/>
        <x:v/>
      </x:c>
      <x:c r="AU40" s="2123" t="s">
        <x:v>34</x:v>
      </x:c>
      <x:c r="AV40" s="1328" t="str">
        <x:f t="shared" si="103"/>
        <x:v/>
      </x:c>
      <x:c r="AW40" s="1262" t="str">
        <x:f t="shared" si="104"/>
        <x:v/>
      </x:c>
      <x:c r="AX40" s="1603" t="str">
        <x:f t="shared" si="73"/>
        <x:v/>
      </x:c>
      <x:c r="AY40" s="1410" t="str">
        <x:f t="shared" si="105"/>
        <x:v/>
      </x:c>
      <x:c r="AZ40" s="1328" t="str">
        <x:f t="shared" si="90"/>
        <x:v/>
      </x:c>
      <x:c r="BA40" s="1262" t="str">
        <x:f t="shared" si="88"/>
        <x:v/>
      </x:c>
      <x:c r="BB40" s="1603" t="str">
        <x:f t="shared" si="77"/>
        <x:v/>
      </x:c>
      <x:c r="BC40" s="1410" t="str">
        <x:f t="shared" si="89"/>
        <x:v/>
      </x:c>
      <x:c r="BD40" s="1328" t="str">
        <x:f t="shared" si="79"/>
        <x:v/>
      </x:c>
      <x:c r="BE40" s="1262" t="str">
        <x:f t="shared" si="80"/>
        <x:v/>
      </x:c>
      <x:c r="BF40" s="1603" t="str">
        <x:f t="shared" si="81"/>
        <x:v/>
      </x:c>
      <x:c r="BG40" s="1410" t="str">
        <x:f t="shared" si="82"/>
        <x:v/>
      </x:c>
      <x:c r="BH40" s="322"/>
      <x:c r="BJ40" s="1258" t="str">
        <x:f t="shared" si="57"/>
        <x:v/>
      </x:c>
      <x:c r="BK40" s="1256" t="b">
        <x:f t="shared" si="15"/>
        <x:v>0</x:v>
      </x:c>
      <x:c r="BL40" s="2002" t="b">
        <x:v>0</x:v>
      </x:c>
      <x:c r="BM40" s="1251">
        <x:f t="shared" si="16"/>
        <x:v>0</x:v>
      </x:c>
      <x:c r="BN40" s="1251">
        <x:f t="shared" si="17"/>
        <x:v>0</x:v>
      </x:c>
      <x:c r="BO40" s="1251">
        <x:f t="shared" si="18"/>
        <x:v>0</x:v>
      </x:c>
      <x:c r="BP40" s="1251">
        <x:f t="shared" si="19"/>
        <x:v>0</x:v>
      </x:c>
      <x:c r="BQ40" s="1251">
        <x:f t="shared" si="20"/>
        <x:v>0</x:v>
      </x:c>
      <x:c r="BR40" s="1251" t="b">
        <x:f t="shared" si="21"/>
        <x:v>1</x:v>
      </x:c>
      <x:c r="BS40" s="1252">
        <x:f t="shared" si="22"/>
        <x:v>6</x:v>
      </x:c>
      <x:c r="BT40" s="1252" t="str">
        <x:f t="shared" si="23"/>
        <x:v>No</x:v>
      </x:c>
      <x:c r="BU40" s="1252">
        <x:f t="shared" si="24"/>
        <x:v>6</x:v>
      </x:c>
      <x:c r="BV40" s="1252" t="str">
        <x:f t="shared" si="25"/>
        <x:v>No</x:v>
      </x:c>
      <x:c r="BW40" s="1253">
        <x:f t="shared" si="26"/>
        <x:v>16</x:v>
      </x:c>
      <x:c r="BX40" s="1254" t="str">
        <x:f t="shared" si="27"/>
        <x:v>G39</x:v>
      </x:c>
      <x:c r="BY40" s="1254" t="b">
        <x:f t="shared" si="28"/>
        <x:v>0</x:v>
      </x:c>
      <x:c r="BZ40" s="1253" t="b">
        <x:f t="shared" si="49"/>
        <x:v>0</x:v>
      </x:c>
      <x:c r="CB40" s="842"/>
      <x:c r="CC40" s="894"/>
      <x:c r="CD40" s="883"/>
      <x:c r="CE40" s="884"/>
      <x:c r="CF40" s="885"/>
      <x:c r="CG40" s="901"/>
      <x:c r="CH40" s="902"/>
      <x:c r="CI40" s="903"/>
      <x:c r="CJ40" s="902"/>
      <x:c r="CK40" s="903"/>
      <x:c r="CL40" s="904"/>
      <x:c r="CM40" s="944"/>
      <x:c r="CN40" s="901"/>
      <x:c r="CO40" s="902"/>
      <x:c r="CP40" s="903"/>
      <x:c r="CQ40" s="902"/>
      <x:c r="CR40" s="903"/>
      <x:c r="CS40" s="904"/>
      <x:c r="CT40" s="944"/>
      <x:c r="CU40" s="906"/>
      <x:c r="CV40" s="886"/>
      <x:c r="CW40" s="887"/>
      <x:c r="CX40" s="915"/>
      <x:c r="CY40" s="916"/>
      <x:c r="CZ40" s="932"/>
      <x:c r="DA40" s="933"/>
      <x:c r="DB40" s="932"/>
      <x:c r="DC40" s="933"/>
      <x:c r="DD40" s="1149"/>
      <x:c r="DE40" s="1150"/>
      <x:c r="DF40" s="173"/>
      <x:c r="DG40" s="173"/>
      <x:c r="DH40" s="842"/>
      <x:c r="DI40" s="843"/>
      <x:c r="DJ40" s="872"/>
      <x:c r="DK40" s="873"/>
      <x:c r="DL40" s="844"/>
      <x:c r="DM40" s="874"/>
      <x:c r="DN40" s="875"/>
      <x:c r="DO40" s="845"/>
      <x:c r="DP40" s="846"/>
      <x:c r="DQ40" s="847"/>
      <x:c r="DR40" s="847"/>
      <x:c r="DS40" s="848"/>
      <x:c r="DT40" s="836"/>
      <x:c r="DU40" s="837"/>
      <x:c r="DV40" s="849"/>
      <x:c r="DW40" s="850"/>
      <x:c r="DX40" s="851"/>
      <x:c r="DY40" s="852"/>
      <x:c r="DZ40" s="849"/>
      <x:c r="EA40" s="850"/>
      <x:c r="EB40" s="851"/>
      <x:c r="EC40" s="852"/>
      <x:c r="ED40" s="849"/>
      <x:c r="EE40" s="850"/>
      <x:c r="EF40" s="851"/>
      <x:c r="EG40" s="852"/>
      <x:c r="EH40" s="849"/>
      <x:c r="EI40" s="850"/>
      <x:c r="EJ40" s="851"/>
      <x:c r="EK40" s="853"/>
      <x:c r="EL40" s="798" t="str">
        <x:f t="shared" si="29"/>
        <x:v/>
      </x:c>
      <x:c r="EM40" s="799" t="str">
        <x:f t="shared" si="30"/>
        <x:v/>
      </x:c>
      <x:c r="EN40" s="800" t="str">
        <x:f t="shared" si="31"/>
        <x:v/>
      </x:c>
      <x:c r="EO40" s="1030" t="str">
        <x:f t="shared" si="32"/>
        <x:v/>
      </x:c>
      <x:c r="EP40" s="726" t="str">
        <x:f t="shared" si="33"/>
        <x:v/>
      </x:c>
      <x:c r="EQ40" s="727" t="str">
        <x:f t="shared" si="34"/>
        <x:v/>
      </x:c>
      <x:c r="ER40" s="961" t="str">
        <x:f t="shared" si="35"/>
        <x:v/>
      </x:c>
      <x:c r="ES40" s="962" t="str">
        <x:f t="shared" si="50"/>
        <x:v/>
      </x:c>
      <x:c r="ET40" s="963" t="str">
        <x:f t="shared" si="36"/>
        <x:v/>
      </x:c>
      <x:c r="EU40" s="964" t="str">
        <x:f t="shared" si="37"/>
        <x:v/>
      </x:c>
      <x:c r="EX40" s="1194" t="str">
        <x:f t="shared" si="51"/>
        <x:v>G39N</x:v>
      </x:c>
      <x:c r="EY40" s="1196" t="b">
        <x:f t="shared" ca="1" si="38"/>
        <x:v>1</x:v>
      </x:c>
      <x:c r="EZ40" s="1196">
        <x:f t="shared" si="52"/>
        <x:v>5</x:v>
      </x:c>
      <x:c r="FA40" s="1217" t="b">
        <x:f t="shared" si="58"/>
        <x:v>1</x:v>
      </x:c>
      <x:c r="FB40" s="1218">
        <x:f t="shared" si="53"/>
        <x:v>588</x:v>
      </x:c>
      <x:c r="FC40" s="1218">
        <x:f t="shared" si="39"/>
        <x:v>73.875</x:v>
      </x:c>
      <x:c r="FD40" s="1218">
        <x:f t="shared" si="40"/>
        <x:v>430</x:v>
      </x:c>
      <x:c r="FE40" s="1218">
        <x:f t="shared" si="41"/>
        <x:v>84.125</x:v>
      </x:c>
      <x:c r="FF40" s="1218">
        <x:f t="shared" si="54"/>
        <x:v>588</x:v>
      </x:c>
      <x:c r="FN40" s="969" t="b">
        <x:v>0</x:v>
      </x:c>
      <x:c r="FO40" s="969" t="b">
        <x:f t="shared" si="42"/>
        <x:v>1</x:v>
      </x:c>
      <x:c r="FP40" s="1815" t="b">
        <x:v>0</x:v>
      </x:c>
      <x:c r="FQ40" s="969" t="b">
        <x:f t="shared" si="55"/>
        <x:v>1</x:v>
      </x:c>
      <x:c r="FW40" s="2"/>
      <x:c r="FX40" s="2"/>
      <x:c r="FZ40" s="2"/>
      <x:c r="GA40" s="1935" t="str">
        <x:f t="shared" si="121"/>
        <x:v/>
      </x:c>
      <x:c r="GB40" s="1936" t="str">
        <x:f t="shared" si="122"/>
        <x:v/>
      </x:c>
      <x:c r="GC40" s="1937" t="str">
        <x:f t="shared" si="123"/>
        <x:v/>
      </x:c>
      <x:c r="GD40" s="1938" t="str">
        <x:f t="shared" si="124"/>
        <x:v/>
      </x:c>
      <x:c r="GE40" s="1939" t="str">
        <x:f t="shared" si="56"/>
        <x:v/>
      </x:c>
      <x:c r="GF40" s="1940" t="str">
        <x:f t="shared" si="43"/>
        <x:v/>
      </x:c>
      <x:c r="GG40" s="1457"/>
      <x:c r="GH40" s="1459"/>
      <x:c r="GI40" s="1457"/>
      <x:c r="GJ40" s="1459"/>
      <x:c r="GK40" s="326">
        <x:f t="shared" si="44"/>
        <x:v>0</x:v>
      </x:c>
      <x:c r="GL40" s="326" t="e">
        <x:f t="shared" si="45"/>
        <x:v>#VALUE!</x:v>
      </x:c>
      <x:c r="GM40" s="327" t="e">
        <x:f>IF(ABS(GK40-GL40)&gt;='Job Info.'!$L$22,ABS(GK40-GL40),0)</x:f>
        <x:v>#VALUE!</x:v>
      </x:c>
      <x:c r="HA40" s="1612"/>
      <x:c r="HB40" s="1613"/>
      <x:c r="HC40" s="1613"/>
      <x:c r="HD40" s="1614"/>
      <x:c r="HE40" s="1615"/>
      <x:c r="HF40" s="1613"/>
      <x:c r="HG40" s="1613"/>
      <x:c r="HH40" s="1613"/>
      <x:c r="HI40" s="1613"/>
      <x:c r="HJ40" s="1613"/>
      <x:c r="HK40" s="1613"/>
      <x:c r="HL40" s="1613"/>
      <x:c r="HM40" s="1613"/>
      <x:c r="HN40" s="1613"/>
      <x:c r="HO40" s="1613"/>
      <x:c r="HP40" s="1613"/>
      <x:c r="HQ40" s="1613"/>
      <x:c r="HR40" s="1613"/>
      <x:c r="HS40" s="1613"/>
      <x:c r="HT40" s="1613"/>
      <x:c r="HU40" s="1613"/>
      <x:c r="HV40" s="1613"/>
      <x:c r="HW40" s="1613"/>
      <x:c r="HX40" s="1613"/>
      <x:c r="HY40" s="1617"/>
      <x:c r="HZ40" s="1617"/>
      <x:c r="IA40" s="1617"/>
      <x:c r="IB40" s="1617"/>
      <x:c r="IC40" s="1617"/>
      <x:c r="ID40" s="1632"/>
      <x:c r="IE40" s="1612" t="s">
        <x:v>1302</x:v>
      </x:c>
      <x:c r="IF40" s="1613" t="s">
        <x:v>34</x:v>
      </x:c>
      <x:c r="IG40" s="1614">
        <x:v>6</x:v>
      </x:c>
      <x:c r="IH40" s="1615">
        <x:v>1.875</x:v>
      </x:c>
      <x:c r="II40" s="1613">
        <x:v>5</x:v>
      </x:c>
      <x:c r="IJ40" s="1614">
        <x:v>7</x:v>
      </x:c>
      <x:c r="IK40" s="1615">
        <x:v>2</x:v>
      </x:c>
      <x:c r="IL40" s="1613">
        <x:v>7</x:v>
      </x:c>
      <x:c r="IM40" s="1613">
        <x:v>0.125</x:v>
      </x:c>
      <x:c r="IN40" s="1613" t="s">
        <x:v>117</x:v>
      </x:c>
      <x:c r="IO40" s="1613" t="s">
        <x:v>117</x:v>
      </x:c>
      <x:c r="IP40" s="1613">
        <x:v>5</x:v>
      </x:c>
      <x:c r="IQ40" s="1613">
        <x:v>13</x:v>
      </x:c>
      <x:c r="IR40" s="1613">
        <x:v>4</x:v>
      </x:c>
      <x:c r="IS40" s="1614" t="s">
        <x:v>117</x:v>
      </x:c>
      <x:c r="IT40" s="1615">
        <x:v>1.75</x:v>
      </x:c>
      <x:c r="IU40" s="1613" t="s">
        <x:v>117</x:v>
      </x:c>
      <x:c r="IV40" s="1613" t="s">
        <x:v>117</x:v>
      </x:c>
      <x:c r="IW40" s="1614" t="s">
        <x:v>117</x:v>
      </x:c>
      <x:c r="IX40" s="1615" t="s">
        <x:v>117</x:v>
      </x:c>
      <x:c r="IY40" s="1613" t="s">
        <x:v>117</x:v>
      </x:c>
      <x:c r="IZ40" s="1613" t="s">
        <x:v>117</x:v>
      </x:c>
      <x:c r="JA40" s="1614" t="s">
        <x:v>117</x:v>
      </x:c>
      <x:c r="JB40" s="1615" t="s">
        <x:v>117</x:v>
      </x:c>
      <x:c r="JC40" s="1613" t="s">
        <x:v>117</x:v>
      </x:c>
      <x:c r="JD40" s="1613" t="s">
        <x:v>117</x:v>
      </x:c>
      <x:c r="JE40" s="1614" t="s">
        <x:v>117</x:v>
      </x:c>
      <x:c r="JF40" s="1615" t="s">
        <x:v>117</x:v>
      </x:c>
      <x:c r="JG40" s="1613" t="s">
        <x:v>117</x:v>
      </x:c>
      <x:c r="JH40" s="1613" t="s">
        <x:v>117</x:v>
      </x:c>
      <x:c r="JI40" s="1613" t="s">
        <x:v>117</x:v>
      </x:c>
      <x:c r="JJ40" s="1616" t="s">
        <x:v>117</x:v>
      </x:c>
      <x:c r="JK40" s="1613">
        <x:v>1</x:v>
      </x:c>
      <x:c r="JL40" s="1521">
        <x:f t="shared" ca="1" si="59"/>
        <x:v>1</x:v>
      </x:c>
    </x:row>
    <x:row r="41" spans="1:272" ht="12.6" customHeight="1" x14ac:dyDescent="0.25">
      <x:c r="A41" s="1583" t="str">
        <x:f t="shared" si="106"/>
        <x:v/>
      </x:c>
      <x:c r="B41" s="1584"/>
      <x:c r="C41" s="1585" t="str">
        <x:f t="shared" si="106"/>
        <x:v/>
      </x:c>
      <x:c r="D41" s="1586" t="str">
        <x:f t="shared" si="107"/>
        <x:v/>
      </x:c>
      <x:c r="E41" s="1587" t="str">
        <x:f t="shared" si="108"/>
        <x:v/>
      </x:c>
      <x:c r="F41" s="1588" t="str">
        <x:f t="shared" si="109"/>
        <x:v/>
      </x:c>
      <x:c r="G41" s="1589" t="str">
        <x:f t="shared" si="60"/>
        <x:v/>
      </x:c>
      <x:c r="H41" s="1590" t="str">
        <x:f t="shared" si="61"/>
        <x:v/>
      </x:c>
      <x:c r="I41" s="1591" t="str">
        <x:f t="shared" si="62"/>
        <x:v/>
      </x:c>
      <x:c r="J41" s="1586" t="str">
        <x:f t="shared" si="63"/>
        <x:v/>
      </x:c>
      <x:c r="K41" s="1590" t="str">
        <x:f t="shared" si="64"/>
        <x:v/>
      </x:c>
      <x:c r="L41" s="1592" t="str">
        <x:f t="shared" si="65"/>
        <x:v/>
      </x:c>
      <x:c r="M41" s="1593" t="str">
        <x:f t="shared" si="110"/>
        <x:v/>
      </x:c>
      <x:c r="N41" s="1594" t="str">
        <x:f t="shared" si="110"/>
        <x:v/>
      </x:c>
      <x:c r="O41" s="1589" t="str">
        <x:f t="shared" si="111"/>
        <x:v/>
      </x:c>
      <x:c r="P41" s="1590" t="str">
        <x:f t="shared" si="112"/>
        <x:v/>
      </x:c>
      <x:c r="Q41" s="1586" t="str">
        <x:f t="shared" si="113"/>
        <x:v/>
      </x:c>
      <x:c r="R41" s="1587" t="str">
        <x:f t="shared" si="114"/>
        <x:v/>
      </x:c>
      <x:c r="S41" s="1595" t="str">
        <x:f t="shared" si="115"/>
        <x:v/>
      </x:c>
      <x:c r="T41" s="1590" t="str">
        <x:f t="shared" si="116"/>
        <x:v/>
      </x:c>
      <x:c r="U41" s="1586" t="str">
        <x:f t="shared" si="117"/>
        <x:v/>
      </x:c>
      <x:c r="V41" s="1590" t="str">
        <x:f t="shared" si="118"/>
        <x:v/>
      </x:c>
      <x:c r="W41" s="1594">
        <x:f t="shared" si="119"/>
        <x:v>0</x:v>
      </x:c>
      <x:c r="X41" s="1596" t="str">
        <x:f t="shared" si="0"/>
        <x:v/>
      </x:c>
      <x:c r="Y41" s="1597" t="str">
        <x:f t="shared" si="1"/>
        <x:v/>
      </x:c>
      <x:c r="Z41" s="2088"/>
      <x:c r="AA41" s="1605" t="str">
        <x:f t="shared" si="2"/>
        <x:v/>
      </x:c>
      <x:c r="AB41" s="1264" t="s">
        <x:v>1303</x:v>
      </x:c>
      <x:c r="AC41" s="1260" t="s">
        <x:v>34</x:v>
      </x:c>
      <x:c r="AD41" s="1261">
        <x:v>7</x:v>
      </x:c>
      <x:c r="AE41" s="1262">
        <x:v>1.75</x:v>
      </x:c>
      <x:c r="AF41" s="1260">
        <x:v>5</x:v>
      </x:c>
      <x:c r="AG41" s="1261">
        <x:v>8</x:v>
      </x:c>
      <x:c r="AH41" s="1262">
        <x:v>0</x:v>
      </x:c>
      <x:c r="AI41" s="1261">
        <x:v>3</x:v>
      </x:c>
      <x:c r="AJ41" s="1262">
        <x:v>6</x:v>
      </x:c>
      <x:c r="AK41" s="1599" t="str">
        <x:f t="shared" si="66"/>
        <x:v/>
      </x:c>
      <x:c r="AL41" s="1600" t="str">
        <x:f t="shared" si="120"/>
        <x:v/>
      </x:c>
      <x:c r="AM41" s="1601">
        <x:v>5</x:v>
      </x:c>
      <x:c r="AN41" s="1260">
        <x:v>13</x:v>
      </x:c>
      <x:c r="AO41" s="1329">
        <x:v>4</x:v>
      </x:c>
      <x:c r="AP41" s="1327" t="str">
        <x:f t="shared" si="125"/>
        <x:v/>
      </x:c>
      <x:c r="AQ41" s="1602" t="str">
        <x:f t="shared" ref="AQ41" si="126">IF(OR(GE81="",GE81=0),"",GE81)</x:f>
        <x:v/>
      </x:c>
      <x:c r="AR41" s="1263" t="str">
        <x:f t="shared" ref="AR41" si="127">IF(GF81="","",IF(ISTEXT(GF81),"P",TRUNC(GF81/12)))</x:f>
        <x:v/>
      </x:c>
      <x:c r="AS41" s="1262" t="str">
        <x:f t="shared" ref="AS41" si="128">IF(GF81="","",IF(AR41="P",GF81,GF81-(AR41*12)))</x:f>
        <x:v/>
      </x:c>
      <x:c r="AT41" s="1603" t="str">
        <x:f t="shared" si="70"/>
        <x:v/>
      </x:c>
      <x:c r="AU41" s="1410" t="str">
        <x:f t="shared" ref="AU41" si="129">IF(ISBLANK(DY41),"",DY41)</x:f>
        <x:v/>
      </x:c>
      <x:c r="AV41" s="1328" t="str">
        <x:f t="shared" si="103"/>
        <x:v/>
      </x:c>
      <x:c r="AW41" s="1262" t="str">
        <x:f t="shared" si="104"/>
        <x:v/>
      </x:c>
      <x:c r="AX41" s="1603" t="str">
        <x:f t="shared" si="73"/>
        <x:v/>
      </x:c>
      <x:c r="AY41" s="1410" t="str">
        <x:f t="shared" si="105"/>
        <x:v/>
      </x:c>
      <x:c r="AZ41" s="1328" t="str">
        <x:f t="shared" si="90"/>
        <x:v/>
      </x:c>
      <x:c r="BA41" s="1262" t="str">
        <x:f t="shared" si="88"/>
        <x:v/>
      </x:c>
      <x:c r="BB41" s="1603" t="str">
        <x:f t="shared" si="77"/>
        <x:v/>
      </x:c>
      <x:c r="BC41" s="1410" t="str">
        <x:f t="shared" si="89"/>
        <x:v/>
      </x:c>
      <x:c r="BD41" s="1328" t="str">
        <x:f t="shared" si="79"/>
        <x:v/>
      </x:c>
      <x:c r="BE41" s="1262" t="str">
        <x:f t="shared" si="80"/>
        <x:v/>
      </x:c>
      <x:c r="BF41" s="1603" t="str">
        <x:f t="shared" si="81"/>
        <x:v/>
      </x:c>
      <x:c r="BG41" s="1410" t="str">
        <x:f t="shared" si="82"/>
        <x:v/>
      </x:c>
      <x:c r="BH41" s="322"/>
      <x:c r="BJ41" s="1258" t="str">
        <x:f t="shared" si="57"/>
        <x:v/>
      </x:c>
      <x:c r="BK41" s="1256" t="b">
        <x:f t="shared" si="15"/>
        <x:v>0</x:v>
      </x:c>
      <x:c r="BL41" s="2002" t="b">
        <x:v>0</x:v>
      </x:c>
      <x:c r="BM41" s="1251">
        <x:f t="shared" si="16"/>
        <x:v>0</x:v>
      </x:c>
      <x:c r="BN41" s="1251">
        <x:f t="shared" si="17"/>
        <x:v>0</x:v>
      </x:c>
      <x:c r="BO41" s="1251">
        <x:f t="shared" si="18"/>
        <x:v>0</x:v>
      </x:c>
      <x:c r="BP41" s="1251">
        <x:f t="shared" si="19"/>
        <x:v>0</x:v>
      </x:c>
      <x:c r="BQ41" s="1251">
        <x:f t="shared" si="20"/>
        <x:v>0</x:v>
      </x:c>
      <x:c r="BR41" s="1251" t="b">
        <x:f t="shared" si="21"/>
        <x:v>1</x:v>
      </x:c>
      <x:c r="BS41" s="1252">
        <x:f t="shared" si="22"/>
        <x:v>6</x:v>
      </x:c>
      <x:c r="BT41" s="1252" t="str">
        <x:f t="shared" si="23"/>
        <x:v>No</x:v>
      </x:c>
      <x:c r="BU41" s="1252">
        <x:f t="shared" si="24"/>
        <x:v>6</x:v>
      </x:c>
      <x:c r="BV41" s="1252" t="str">
        <x:f t="shared" si="25"/>
        <x:v>No</x:v>
      </x:c>
      <x:c r="BW41" s="1253">
        <x:f t="shared" si="26"/>
        <x:v>12</x:v>
      </x:c>
      <x:c r="BX41" s="1254" t="str">
        <x:f t="shared" si="27"/>
        <x:v>G40</x:v>
      </x:c>
      <x:c r="BY41" s="1254" t="b">
        <x:f t="shared" si="28"/>
        <x:v>0</x:v>
      </x:c>
      <x:c r="BZ41" s="1253" t="b">
        <x:f t="shared" si="49"/>
        <x:v>0</x:v>
      </x:c>
      <x:c r="CB41" s="842"/>
      <x:c r="CC41" s="894"/>
      <x:c r="CD41" s="883"/>
      <x:c r="CE41" s="884"/>
      <x:c r="CF41" s="885"/>
      <x:c r="CG41" s="901"/>
      <x:c r="CH41" s="902"/>
      <x:c r="CI41" s="903"/>
      <x:c r="CJ41" s="902"/>
      <x:c r="CK41" s="903"/>
      <x:c r="CL41" s="904"/>
      <x:c r="CM41" s="944"/>
      <x:c r="CN41" s="901"/>
      <x:c r="CO41" s="902"/>
      <x:c r="CP41" s="903"/>
      <x:c r="CQ41" s="902"/>
      <x:c r="CR41" s="903"/>
      <x:c r="CS41" s="904"/>
      <x:c r="CT41" s="944"/>
      <x:c r="CU41" s="906"/>
      <x:c r="CV41" s="886"/>
      <x:c r="CW41" s="887"/>
      <x:c r="CX41" s="915"/>
      <x:c r="CY41" s="916"/>
      <x:c r="CZ41" s="932"/>
      <x:c r="DA41" s="933"/>
      <x:c r="DB41" s="932"/>
      <x:c r="DC41" s="933"/>
      <x:c r="DD41" s="1149"/>
      <x:c r="DE41" s="1150"/>
      <x:c r="DF41" s="173"/>
      <x:c r="DG41" s="173"/>
      <x:c r="DH41" s="842"/>
      <x:c r="DI41" s="843"/>
      <x:c r="DJ41" s="872"/>
      <x:c r="DK41" s="873"/>
      <x:c r="DL41" s="844"/>
      <x:c r="DM41" s="874"/>
      <x:c r="DN41" s="875"/>
      <x:c r="DO41" s="845"/>
      <x:c r="DP41" s="846"/>
      <x:c r="DQ41" s="847"/>
      <x:c r="DR41" s="847"/>
      <x:c r="DS41" s="848"/>
      <x:c r="DT41" s="836"/>
      <x:c r="DU41" s="837"/>
      <x:c r="DV41" s="849"/>
      <x:c r="DW41" s="850"/>
      <x:c r="DX41" s="851"/>
      <x:c r="DY41" s="852"/>
      <x:c r="DZ41" s="849"/>
      <x:c r="EA41" s="850"/>
      <x:c r="EB41" s="851"/>
      <x:c r="EC41" s="852"/>
      <x:c r="ED41" s="849"/>
      <x:c r="EE41" s="850"/>
      <x:c r="EF41" s="851"/>
      <x:c r="EG41" s="852"/>
      <x:c r="EH41" s="849"/>
      <x:c r="EI41" s="850"/>
      <x:c r="EJ41" s="851"/>
      <x:c r="EK41" s="853"/>
      <x:c r="EL41" s="798" t="str">
        <x:f t="shared" si="29"/>
        <x:v/>
      </x:c>
      <x:c r="EM41" s="799" t="str">
        <x:f t="shared" si="30"/>
        <x:v/>
      </x:c>
      <x:c r="EN41" s="800" t="str">
        <x:f t="shared" si="31"/>
        <x:v/>
      </x:c>
      <x:c r="EO41" s="1030" t="str">
        <x:f t="shared" si="32"/>
        <x:v/>
      </x:c>
      <x:c r="EP41" s="726" t="str">
        <x:f t="shared" si="33"/>
        <x:v/>
      </x:c>
      <x:c r="EQ41" s="727" t="str">
        <x:f t="shared" si="34"/>
        <x:v/>
      </x:c>
      <x:c r="ER41" s="961" t="str">
        <x:f t="shared" si="35"/>
        <x:v/>
      </x:c>
      <x:c r="ES41" s="962" t="str">
        <x:f t="shared" si="50"/>
        <x:v/>
      </x:c>
      <x:c r="ET41" s="963" t="str">
        <x:f t="shared" si="36"/>
        <x:v/>
      </x:c>
      <x:c r="EU41" s="964" t="str">
        <x:f t="shared" si="37"/>
        <x:v/>
      </x:c>
      <x:c r="EX41" s="1194" t="str">
        <x:f t="shared" si="51"/>
        <x:v>G40N</x:v>
      </x:c>
      <x:c r="EY41" s="1196" t="b">
        <x:f t="shared" ca="1" si="38"/>
        <x:v>1</x:v>
      </x:c>
      <x:c r="EZ41" s="1196">
        <x:f t="shared" si="52"/>
        <x:v>5</x:v>
      </x:c>
      <x:c r="FA41" s="1217" t="b">
        <x:f t="shared" si="58"/>
        <x:v>1</x:v>
      </x:c>
      <x:c r="FB41" s="1218">
        <x:f t="shared" si="53"/>
        <x:v>607.75</x:v>
      </x:c>
      <x:c r="FC41" s="1218">
        <x:f t="shared" si="39"/>
        <x:v>85.75</x:v>
      </x:c>
      <x:c r="FD41" s="1218">
        <x:f t="shared" si="40"/>
        <x:v>480</x:v>
      </x:c>
      <x:c r="FE41" s="1218">
        <x:f t="shared" si="41"/>
        <x:v>42</x:v>
      </x:c>
      <x:c r="FF41" s="1218">
        <x:f t="shared" si="54"/>
        <x:v>607.75</x:v>
      </x:c>
      <x:c r="FN41" s="969" t="b">
        <x:v>0</x:v>
      </x:c>
      <x:c r="FO41" s="969" t="b">
        <x:f t="shared" si="42"/>
        <x:v>1</x:v>
      </x:c>
      <x:c r="FP41" s="1815" t="b">
        <x:v>0</x:v>
      </x:c>
      <x:c r="FQ41" s="969" t="b">
        <x:f t="shared" si="55"/>
        <x:v>1</x:v>
      </x:c>
      <x:c r="FW41" s="2"/>
      <x:c r="FX41" s="2"/>
      <x:c r="FZ41" s="2"/>
      <x:c r="GA41" s="1935" t="str">
        <x:f t="shared" si="121"/>
        <x:v/>
      </x:c>
      <x:c r="GB41" s="1936" t="str">
        <x:f t="shared" si="122"/>
        <x:v/>
      </x:c>
      <x:c r="GC41" s="1937" t="str">
        <x:f t="shared" si="123"/>
        <x:v/>
      </x:c>
      <x:c r="GD41" s="1938" t="str">
        <x:f t="shared" si="124"/>
        <x:v/>
      </x:c>
      <x:c r="GE41" s="1939" t="str">
        <x:f t="shared" si="56"/>
        <x:v/>
      </x:c>
      <x:c r="GF41" s="1940" t="str">
        <x:f t="shared" si="43"/>
        <x:v/>
      </x:c>
      <x:c r="GG41" s="1457"/>
      <x:c r="GH41" s="1459"/>
      <x:c r="GI41" s="1457"/>
      <x:c r="GJ41" s="1459"/>
      <x:c r="GK41" s="326">
        <x:f t="shared" si="44"/>
        <x:v>0</x:v>
      </x:c>
      <x:c r="GL41" s="326" t="e">
        <x:f t="shared" si="45"/>
        <x:v>#VALUE!</x:v>
      </x:c>
      <x:c r="GM41" s="327" t="e">
        <x:f>IF(ABS(GK41-GL41)&gt;='Job Info.'!$L$22,ABS(GK41-GL41),0)</x:f>
        <x:v>#VALUE!</x:v>
      </x:c>
      <x:c r="HA41" s="1612"/>
      <x:c r="HB41" s="1613"/>
      <x:c r="HC41" s="1613"/>
      <x:c r="HD41" s="1614"/>
      <x:c r="HE41" s="1615"/>
      <x:c r="HF41" s="1613"/>
      <x:c r="HG41" s="1613"/>
      <x:c r="HH41" s="1613"/>
      <x:c r="HI41" s="1613"/>
      <x:c r="HJ41" s="1613"/>
      <x:c r="HK41" s="1613"/>
      <x:c r="HL41" s="1613"/>
      <x:c r="HM41" s="1613"/>
      <x:c r="HN41" s="1613"/>
      <x:c r="HO41" s="1613"/>
      <x:c r="HP41" s="1613"/>
      <x:c r="HQ41" s="1613"/>
      <x:c r="HR41" s="1613"/>
      <x:c r="HS41" s="1613"/>
      <x:c r="HT41" s="1613"/>
      <x:c r="HU41" s="1613"/>
      <x:c r="HV41" s="1613"/>
      <x:c r="HW41" s="1613"/>
      <x:c r="HX41" s="1613"/>
      <x:c r="HY41" s="1617"/>
      <x:c r="HZ41" s="1617"/>
      <x:c r="IA41" s="1617"/>
      <x:c r="IB41" s="1617"/>
      <x:c r="IC41" s="1617"/>
      <x:c r="ID41" s="1632"/>
      <x:c r="IE41" s="1612" t="s">
        <x:v>1303</x:v>
      </x:c>
      <x:c r="IF41" s="1613" t="s">
        <x:v>34</x:v>
      </x:c>
      <x:c r="IG41" s="1614">
        <x:v>7</x:v>
      </x:c>
      <x:c r="IH41" s="1615">
        <x:v>1.75</x:v>
      </x:c>
      <x:c r="II41" s="1613">
        <x:v>5</x:v>
      </x:c>
      <x:c r="IJ41" s="1614">
        <x:v>8</x:v>
      </x:c>
      <x:c r="IK41" s="1615">
        <x:v>0</x:v>
      </x:c>
      <x:c r="IL41" s="1613">
        <x:v>3</x:v>
      </x:c>
      <x:c r="IM41" s="1613">
        <x:v>6</x:v>
      </x:c>
      <x:c r="IN41" s="1613"/>
      <x:c r="IO41" s="1613"/>
      <x:c r="IP41" s="1613">
        <x:v>5</x:v>
      </x:c>
      <x:c r="IQ41" s="1613">
        <x:v>13</x:v>
      </x:c>
      <x:c r="IR41" s="1613">
        <x:v>4</x:v>
      </x:c>
      <x:c r="IS41" s="1614"/>
      <x:c r="IT41" s="1615"/>
      <x:c r="IU41" s="1613"/>
      <x:c r="IV41" s="1613"/>
      <x:c r="IW41" s="1614"/>
      <x:c r="IX41" s="1615"/>
      <x:c r="IY41" s="1613"/>
      <x:c r="IZ41" s="1613"/>
      <x:c r="JA41" s="1614"/>
      <x:c r="JB41" s="1615"/>
      <x:c r="JC41" s="1613"/>
      <x:c r="JD41" s="1613"/>
      <x:c r="JE41" s="1614"/>
      <x:c r="JF41" s="1615"/>
      <x:c r="JG41" s="1613"/>
      <x:c r="JH41" s="1613"/>
      <x:c r="JI41" s="1613"/>
      <x:c r="JJ41" s="1616"/>
      <x:c r="JK41" s="1613">
        <x:v>1</x:v>
      </x:c>
      <x:c r="JL41" s="1521">
        <x:f t="shared" ca="1" si="59"/>
        <x:v>1</x:v>
      </x:c>
    </x:row>
    <x:row r="42" spans="1:272" ht="12.6" customHeight="1" x14ac:dyDescent="0.25">
      <x:c r="A42" s="1583" t="str">
        <x:f t="shared" si="106"/>
        <x:v/>
      </x:c>
      <x:c r="B42" s="1584"/>
      <x:c r="C42" s="1585" t="str">
        <x:f t="shared" si="106"/>
        <x:v/>
      </x:c>
      <x:c r="D42" s="1586" t="str">
        <x:f t="shared" si="107"/>
        <x:v/>
      </x:c>
      <x:c r="E42" s="1587" t="str">
        <x:f t="shared" si="108"/>
        <x:v/>
      </x:c>
      <x:c r="F42" s="1588" t="str">
        <x:f t="shared" si="109"/>
        <x:v/>
      </x:c>
      <x:c r="G42" s="1589" t="str">
        <x:f t="shared" si="60"/>
        <x:v/>
      </x:c>
      <x:c r="H42" s="1590" t="str">
        <x:f t="shared" si="61"/>
        <x:v/>
      </x:c>
      <x:c r="I42" s="1591" t="str">
        <x:f t="shared" si="62"/>
        <x:v/>
      </x:c>
      <x:c r="J42" s="1586" t="str">
        <x:f t="shared" si="63"/>
        <x:v/>
      </x:c>
      <x:c r="K42" s="1590" t="str">
        <x:f t="shared" si="64"/>
        <x:v/>
      </x:c>
      <x:c r="L42" s="1592" t="str">
        <x:f t="shared" si="65"/>
        <x:v/>
      </x:c>
      <x:c r="M42" s="1593" t="str">
        <x:f t="shared" si="110"/>
        <x:v/>
      </x:c>
      <x:c r="N42" s="1594" t="str">
        <x:f t="shared" si="110"/>
        <x:v/>
      </x:c>
      <x:c r="O42" s="1589" t="str">
        <x:f t="shared" si="111"/>
        <x:v/>
      </x:c>
      <x:c r="P42" s="1590" t="str">
        <x:f t="shared" si="112"/>
        <x:v/>
      </x:c>
      <x:c r="Q42" s="1586" t="str">
        <x:f t="shared" si="113"/>
        <x:v/>
      </x:c>
      <x:c r="R42" s="1587" t="str">
        <x:f t="shared" si="114"/>
        <x:v/>
      </x:c>
      <x:c r="S42" s="1595" t="str">
        <x:f t="shared" si="115"/>
        <x:v/>
      </x:c>
      <x:c r="T42" s="1590" t="str">
        <x:f t="shared" si="116"/>
        <x:v/>
      </x:c>
      <x:c r="U42" s="1586" t="str">
        <x:f t="shared" si="117"/>
        <x:v/>
      </x:c>
      <x:c r="V42" s="1590" t="str">
        <x:f t="shared" si="118"/>
        <x:v/>
      </x:c>
      <x:c r="W42" s="1594">
        <x:f t="shared" si="119"/>
        <x:v>0</x:v>
      </x:c>
      <x:c r="X42" s="1596" t="str">
        <x:f t="shared" si="0"/>
        <x:v/>
      </x:c>
      <x:c r="Y42" s="1597" t="str">
        <x:f t="shared" si="1"/>
        <x:v/>
      </x:c>
      <x:c r="Z42" s="2088"/>
      <x:c r="AA42" s="1605" t="str">
        <x:f t="shared" si="2"/>
        <x:v/>
      </x:c>
      <x:c r="AB42" s="1264" t="str">
        <x:f t="shared" si="46"/>
        <x:v/>
      </x:c>
      <x:c r="AC42" s="1260" t="str">
        <x:f t="shared" si="46"/>
        <x:v/>
      </x:c>
      <x:c r="AD42" s="1261" t="str">
        <x:f t="shared" ref="AD42:AD45" ca="1" si="130">IF(ISERROR(FV82),"",IF(FV82="","",TRUNC(FV82/12)))</x:f>
        <x:v/>
      </x:c>
      <x:c r="AE42" s="1262" t="str">
        <x:f t="shared" ref="AE42:AE45" ca="1" si="131">IF(ISERROR(FV82),"",IF(FV82="","",FV82-(AD42*12)))</x:f>
        <x:v/>
      </x:c>
      <x:c r="AF42" s="1260" t="str">
        <x:f t="shared" ref="AF42:AF45" ca="1" si="132">IF(ISERROR(FO82),"",IF(FO82="","",FO82))</x:f>
        <x:v/>
      </x:c>
      <x:c r="AG42" s="1261" t="str">
        <x:f t="shared" ref="AG42:AG45" ca="1" si="133">IF(ISERROR(FX82),"",IF(FX82="","",TRUNC(FX82/12)))</x:f>
        <x:v/>
      </x:c>
      <x:c r="AH42" s="1262" t="str">
        <x:f t="shared" ref="AH42:AH45" ca="1" si="134">IF(ISERROR(FX82),"",IF(FX82="","",FX82-(AG42*12)))</x:f>
        <x:v/>
      </x:c>
      <x:c r="AI42" s="1261" t="str">
        <x:f t="shared" ref="AI42:AI45" ca="1" si="135">IF(ISERROR(FZ82),"",IF(FZ82="","",TRUNC(FZ82/12)))</x:f>
        <x:v/>
      </x:c>
      <x:c r="AJ42" s="1262" t="str">
        <x:f t="shared" ref="AJ42:AJ45" ca="1" si="136">IF(ISERROR(FZ82),"",IF(FZ82="","",FZ82-(AI42*12)))</x:f>
        <x:v/>
      </x:c>
      <x:c r="AK42" s="1599" t="str">
        <x:f t="shared" si="3"/>
        <x:v/>
      </x:c>
      <x:c r="AL42" s="1600" t="str">
        <x:f t="shared" si="3"/>
        <x:v/>
      </x:c>
      <x:c r="AM42" s="1601" t="str">
        <x:f t="shared" si="3"/>
        <x:v/>
      </x:c>
      <x:c r="AN42" s="1260" t="str">
        <x:f t="shared" si="3"/>
        <x:v/>
      </x:c>
      <x:c r="AO42" s="1329" t="str">
        <x:f t="shared" si="3"/>
        <x:v/>
      </x:c>
      <x:c r="AP42" s="1327" t="str">
        <x:f t="shared" si="4"/>
        <x:v/>
      </x:c>
      <x:c r="AQ42" s="1602" t="str">
        <x:f t="shared" si="4"/>
        <x:v/>
      </x:c>
      <x:c r="AR42" s="1263" t="str">
        <x:f t="shared" si="47"/>
        <x:v/>
      </x:c>
      <x:c r="AS42" s="1262" t="str">
        <x:f t="shared" si="48"/>
        <x:v/>
      </x:c>
      <x:c r="AT42" s="1603" t="str">
        <x:f t="shared" si="5"/>
        <x:v/>
      </x:c>
      <x:c r="AU42" s="1410" t="str">
        <x:f t="shared" si="5"/>
        <x:v/>
      </x:c>
      <x:c r="AV42" s="1328" t="str">
        <x:f t="shared" si="6"/>
        <x:v/>
      </x:c>
      <x:c r="AW42" s="1262" t="str">
        <x:f t="shared" si="7"/>
        <x:v/>
      </x:c>
      <x:c r="AX42" s="1603" t="str">
        <x:f t="shared" si="8"/>
        <x:v/>
      </x:c>
      <x:c r="AY42" s="1410" t="str">
        <x:f t="shared" si="8"/>
        <x:v/>
      </x:c>
      <x:c r="AZ42" s="1328" t="str">
        <x:f t="shared" si="9"/>
        <x:v/>
      </x:c>
      <x:c r="BA42" s="1262" t="str">
        <x:f t="shared" si="10"/>
        <x:v/>
      </x:c>
      <x:c r="BB42" s="1603" t="str">
        <x:f t="shared" si="11"/>
        <x:v/>
      </x:c>
      <x:c r="BC42" s="1410" t="str">
        <x:f t="shared" si="11"/>
        <x:v/>
      </x:c>
      <x:c r="BD42" s="1328" t="str">
        <x:f t="shared" si="12"/>
        <x:v/>
      </x:c>
      <x:c r="BE42" s="1262" t="str">
        <x:f t="shared" si="13"/>
        <x:v/>
      </x:c>
      <x:c r="BF42" s="1603" t="str">
        <x:f t="shared" si="14"/>
        <x:v/>
      </x:c>
      <x:c r="BG42" s="1410" t="str">
        <x:f t="shared" si="14"/>
        <x:v/>
      </x:c>
      <x:c r="BH42" s="322"/>
      <x:c r="BJ42" s="1258" t="str">
        <x:f t="shared" si="57"/>
        <x:v/>
      </x:c>
      <x:c r="BK42" s="1256" t="b">
        <x:f t="shared" si="15"/>
        <x:v>0</x:v>
      </x:c>
      <x:c r="BL42" s="2002" t="b">
        <x:v>0</x:v>
      </x:c>
      <x:c r="BM42" s="1251">
        <x:f t="shared" si="16"/>
        <x:v>0</x:v>
      </x:c>
      <x:c r="BN42" s="1251">
        <x:f t="shared" si="17"/>
        <x:v>0</x:v>
      </x:c>
      <x:c r="BO42" s="1251">
        <x:f t="shared" si="18"/>
        <x:v>0</x:v>
      </x:c>
      <x:c r="BP42" s="1251">
        <x:f t="shared" si="19"/>
        <x:v>0</x:v>
      </x:c>
      <x:c r="BQ42" s="1251">
        <x:f t="shared" si="20"/>
        <x:v>0</x:v>
      </x:c>
      <x:c r="BR42" s="1251" t="b">
        <x:f t="shared" si="21"/>
        <x:v>1</x:v>
      </x:c>
      <x:c r="BS42" s="1252">
        <x:f t="shared" si="22"/>
        <x:v>6</x:v>
      </x:c>
      <x:c r="BT42" s="1252" t="str">
        <x:f t="shared" si="23"/>
        <x:v>No</x:v>
      </x:c>
      <x:c r="BU42" s="1252">
        <x:f t="shared" si="24"/>
        <x:v>6</x:v>
      </x:c>
      <x:c r="BV42" s="1252" t="str">
        <x:f t="shared" si="25"/>
        <x:v>No</x:v>
      </x:c>
      <x:c r="BW42" s="1253">
        <x:f t="shared" ca="1" si="26"/>
        <x:v>0</x:v>
      </x:c>
      <x:c r="BX42" s="1254" t="str">
        <x:f t="shared" ca="1" si="27"/>
        <x:v/>
      </x:c>
      <x:c r="BY42" s="1254" t="b">
        <x:f t="shared" ca="1" si="28"/>
        <x:v>0</x:v>
      </x:c>
      <x:c r="BZ42" s="1253" t="b">
        <x:f t="shared" si="49"/>
        <x:v>0</x:v>
      </x:c>
      <x:c r="CB42" s="842"/>
      <x:c r="CC42" s="894"/>
      <x:c r="CD42" s="883"/>
      <x:c r="CE42" s="884"/>
      <x:c r="CF42" s="885"/>
      <x:c r="CG42" s="901"/>
      <x:c r="CH42" s="902"/>
      <x:c r="CI42" s="903"/>
      <x:c r="CJ42" s="902"/>
      <x:c r="CK42" s="903"/>
      <x:c r="CL42" s="904"/>
      <x:c r="CM42" s="944"/>
      <x:c r="CN42" s="901"/>
      <x:c r="CO42" s="902"/>
      <x:c r="CP42" s="903"/>
      <x:c r="CQ42" s="902"/>
      <x:c r="CR42" s="903"/>
      <x:c r="CS42" s="904"/>
      <x:c r="CT42" s="944"/>
      <x:c r="CU42" s="906"/>
      <x:c r="CV42" s="886"/>
      <x:c r="CW42" s="887"/>
      <x:c r="CX42" s="915"/>
      <x:c r="CY42" s="916"/>
      <x:c r="CZ42" s="932"/>
      <x:c r="DA42" s="933"/>
      <x:c r="DB42" s="932"/>
      <x:c r="DC42" s="933"/>
      <x:c r="DD42" s="1149"/>
      <x:c r="DE42" s="1150"/>
      <x:c r="DF42" s="173"/>
      <x:c r="DG42" s="173"/>
      <x:c r="DH42" s="842"/>
      <x:c r="DI42" s="843"/>
      <x:c r="DJ42" s="872"/>
      <x:c r="DK42" s="873"/>
      <x:c r="DL42" s="844"/>
      <x:c r="DM42" s="874"/>
      <x:c r="DN42" s="875"/>
      <x:c r="DO42" s="845"/>
      <x:c r="DP42" s="846"/>
      <x:c r="DQ42" s="847"/>
      <x:c r="DR42" s="847"/>
      <x:c r="DS42" s="848"/>
      <x:c r="DT42" s="836"/>
      <x:c r="DU42" s="837"/>
      <x:c r="DV42" s="849"/>
      <x:c r="DW42" s="850"/>
      <x:c r="DX42" s="851"/>
      <x:c r="DY42" s="852"/>
      <x:c r="DZ42" s="849"/>
      <x:c r="EA42" s="850"/>
      <x:c r="EB42" s="851"/>
      <x:c r="EC42" s="852"/>
      <x:c r="ED42" s="849"/>
      <x:c r="EE42" s="850"/>
      <x:c r="EF42" s="851"/>
      <x:c r="EG42" s="852"/>
      <x:c r="EH42" s="849"/>
      <x:c r="EI42" s="850"/>
      <x:c r="EJ42" s="851"/>
      <x:c r="EK42" s="853"/>
      <x:c r="EL42" s="798" t="str">
        <x:f t="shared" si="29"/>
        <x:v/>
      </x:c>
      <x:c r="EM42" s="799" t="str">
        <x:f t="shared" si="30"/>
        <x:v/>
      </x:c>
      <x:c r="EN42" s="800" t="str">
        <x:f t="shared" si="31"/>
        <x:v/>
      </x:c>
      <x:c r="EO42" s="1030" t="str">
        <x:f t="shared" si="32"/>
        <x:v/>
      </x:c>
      <x:c r="EP42" s="726" t="str">
        <x:f t="shared" si="33"/>
        <x:v/>
      </x:c>
      <x:c r="EQ42" s="727" t="str">
        <x:f t="shared" si="34"/>
        <x:v/>
      </x:c>
      <x:c r="ER42" s="961" t="str">
        <x:f t="shared" si="35"/>
        <x:v/>
      </x:c>
      <x:c r="ES42" s="962" t="str">
        <x:f t="shared" si="50"/>
        <x:v/>
      </x:c>
      <x:c r="ET42" s="963" t="str">
        <x:f t="shared" si="36"/>
        <x:v/>
      </x:c>
      <x:c r="EU42" s="964" t="str">
        <x:f t="shared" si="37"/>
        <x:v/>
      </x:c>
      <x:c r="EX42" s="1194" t="str">
        <x:f t="shared" ca="1" si="51"/>
        <x:v/>
      </x:c>
      <x:c r="EY42" s="1196" t="str">
        <x:f t="shared" si="38"/>
        <x:v/>
      </x:c>
      <x:c r="EZ42" s="1196" t="str">
        <x:f t="shared" si="52"/>
        <x:v/>
      </x:c>
      <x:c r="FA42" s="1217" t="str">
        <x:f t="shared" ca="1" si="58"/>
        <x:v/>
      </x:c>
      <x:c r="FB42" s="1218" t="str">
        <x:f t="shared" ca="1" si="53"/>
        <x:v/>
      </x:c>
      <x:c r="FC42" s="1218">
        <x:f t="shared" ca="1" si="39"/>
        <x:v>0</x:v>
      </x:c>
      <x:c r="FD42" s="1218">
        <x:f t="shared" ca="1" si="40"/>
        <x:v>0</x:v>
      </x:c>
      <x:c r="FE42" s="1218">
        <x:f t="shared" ca="1" si="41"/>
        <x:v>0</x:v>
      </x:c>
      <x:c r="FF42" s="1218">
        <x:f t="shared" ca="1" si="54"/>
        <x:v>0</x:v>
      </x:c>
      <x:c r="FN42" s="969" t="b">
        <x:v>0</x:v>
      </x:c>
      <x:c r="FO42" s="969" t="b">
        <x:f t="shared" si="42"/>
        <x:v>1</x:v>
      </x:c>
      <x:c r="FP42" s="1815" t="b">
        <x:v>0</x:v>
      </x:c>
      <x:c r="FQ42" s="969" t="b">
        <x:f t="shared" si="55"/>
        <x:v>1</x:v>
      </x:c>
      <x:c r="GA42" s="1935" t="str">
        <x:f t="shared" si="121"/>
        <x:v/>
      </x:c>
      <x:c r="GB42" s="1936" t="str">
        <x:f t="shared" si="122"/>
        <x:v/>
      </x:c>
      <x:c r="GC42" s="1937" t="str">
        <x:f t="shared" si="123"/>
        <x:v/>
      </x:c>
      <x:c r="GD42" s="1938" t="str">
        <x:f t="shared" si="124"/>
        <x:v/>
      </x:c>
      <x:c r="GE42" s="1939" t="str">
        <x:f t="shared" si="56"/>
        <x:v/>
      </x:c>
      <x:c r="GF42" s="1940" t="str">
        <x:f t="shared" si="43"/>
        <x:v/>
      </x:c>
      <x:c r="GG42" s="1457"/>
      <x:c r="GH42" s="1459"/>
      <x:c r="GI42" s="1457"/>
      <x:c r="GJ42" s="1459"/>
      <x:c r="GK42" s="326">
        <x:f t="shared" si="44"/>
        <x:v>0</x:v>
      </x:c>
      <x:c r="GL42" s="326" t="e">
        <x:f t="shared" si="45"/>
        <x:v>#VALUE!</x:v>
      </x:c>
      <x:c r="GM42" s="327" t="e">
        <x:f>IF(ABS(GK42-GL42)&gt;='Job Info.'!$L$22,ABS(GK42-GL42),0)</x:f>
        <x:v>#VALUE!</x:v>
      </x:c>
      <x:c r="HA42" s="1612"/>
      <x:c r="HB42" s="1613"/>
      <x:c r="HC42" s="1613"/>
      <x:c r="HD42" s="1614"/>
      <x:c r="HE42" s="1615"/>
      <x:c r="HF42" s="1613"/>
      <x:c r="HG42" s="1613"/>
      <x:c r="HH42" s="1613"/>
      <x:c r="HI42" s="1613"/>
      <x:c r="HJ42" s="1613"/>
      <x:c r="HK42" s="1613"/>
      <x:c r="HL42" s="1613"/>
      <x:c r="HM42" s="1613"/>
      <x:c r="HN42" s="1613"/>
      <x:c r="HO42" s="1613"/>
      <x:c r="HP42" s="1613"/>
      <x:c r="HQ42" s="1613"/>
      <x:c r="HR42" s="1613"/>
      <x:c r="HS42" s="1613"/>
      <x:c r="HT42" s="1613"/>
      <x:c r="HU42" s="1613"/>
      <x:c r="HV42" s="1613"/>
      <x:c r="HW42" s="1613"/>
      <x:c r="HX42" s="1613"/>
      <x:c r="HY42" s="1617"/>
      <x:c r="HZ42" s="1617"/>
      <x:c r="IA42" s="1617"/>
      <x:c r="IB42" s="1617"/>
      <x:c r="IC42" s="1617"/>
      <x:c r="ID42" s="1632"/>
      <x:c r="IE42" s="1612"/>
      <x:c r="IF42" s="1613"/>
      <x:c r="IG42" s="1614"/>
      <x:c r="IH42" s="1615"/>
      <x:c r="II42" s="1613"/>
      <x:c r="IJ42" s="1614"/>
      <x:c r="IK42" s="1615"/>
      <x:c r="IL42" s="1613"/>
      <x:c r="IM42" s="1613"/>
      <x:c r="IN42" s="1613"/>
      <x:c r="IO42" s="1613"/>
      <x:c r="IP42" s="1613"/>
      <x:c r="IQ42" s="1613"/>
      <x:c r="IR42" s="1613"/>
      <x:c r="IS42" s="1614"/>
      <x:c r="IT42" s="1615"/>
      <x:c r="IU42" s="1613"/>
      <x:c r="IV42" s="1613"/>
      <x:c r="IW42" s="1614"/>
      <x:c r="IX42" s="1615"/>
      <x:c r="IY42" s="1613"/>
      <x:c r="IZ42" s="1613"/>
      <x:c r="JA42" s="1614"/>
      <x:c r="JB42" s="1615"/>
      <x:c r="JC42" s="1613"/>
      <x:c r="JD42" s="1613"/>
      <x:c r="JE42" s="1614"/>
      <x:c r="JF42" s="1615"/>
      <x:c r="JG42" s="1613"/>
      <x:c r="JH42" s="1613"/>
      <x:c r="JI42" s="1613"/>
      <x:c r="JJ42" s="1616"/>
      <x:c r="JK42" s="1613"/>
      <x:c r="JL42" s="1521">
        <x:f t="shared" ca="1" si="59"/>
        <x:v>0</x:v>
      </x:c>
    </x:row>
    <x:row r="43" spans="1:272" ht="12.6" customHeight="1" x14ac:dyDescent="0.25">
      <x:c r="A43" s="1583" t="str">
        <x:f t="shared" si="106"/>
        <x:v/>
      </x:c>
      <x:c r="B43" s="1584"/>
      <x:c r="C43" s="1585" t="str">
        <x:f t="shared" si="106"/>
        <x:v/>
      </x:c>
      <x:c r="D43" s="1586" t="str">
        <x:f t="shared" si="107"/>
        <x:v/>
      </x:c>
      <x:c r="E43" s="1587" t="str">
        <x:f t="shared" si="108"/>
        <x:v/>
      </x:c>
      <x:c r="F43" s="1588" t="str">
        <x:f t="shared" si="109"/>
        <x:v/>
      </x:c>
      <x:c r="G43" s="1589" t="str">
        <x:f t="shared" si="60"/>
        <x:v/>
      </x:c>
      <x:c r="H43" s="1590" t="str">
        <x:f t="shared" si="61"/>
        <x:v/>
      </x:c>
      <x:c r="I43" s="1591" t="str">
        <x:f t="shared" si="62"/>
        <x:v/>
      </x:c>
      <x:c r="J43" s="1586" t="str">
        <x:f t="shared" si="63"/>
        <x:v/>
      </x:c>
      <x:c r="K43" s="1590" t="str">
        <x:f t="shared" si="64"/>
        <x:v/>
      </x:c>
      <x:c r="L43" s="1592" t="str">
        <x:f t="shared" si="65"/>
        <x:v/>
      </x:c>
      <x:c r="M43" s="1593" t="str">
        <x:f t="shared" si="110"/>
        <x:v/>
      </x:c>
      <x:c r="N43" s="1594" t="str">
        <x:f t="shared" si="110"/>
        <x:v/>
      </x:c>
      <x:c r="O43" s="1589" t="str">
        <x:f t="shared" si="111"/>
        <x:v/>
      </x:c>
      <x:c r="P43" s="1590" t="str">
        <x:f t="shared" si="112"/>
        <x:v/>
      </x:c>
      <x:c r="Q43" s="1586" t="str">
        <x:f t="shared" si="113"/>
        <x:v/>
      </x:c>
      <x:c r="R43" s="1587" t="str">
        <x:f t="shared" si="114"/>
        <x:v/>
      </x:c>
      <x:c r="S43" s="1595" t="str">
        <x:f t="shared" si="115"/>
        <x:v/>
      </x:c>
      <x:c r="T43" s="1590" t="str">
        <x:f t="shared" si="116"/>
        <x:v/>
      </x:c>
      <x:c r="U43" s="1586" t="str">
        <x:f t="shared" si="117"/>
        <x:v/>
      </x:c>
      <x:c r="V43" s="1590" t="str">
        <x:f t="shared" si="118"/>
        <x:v/>
      </x:c>
      <x:c r="W43" s="1594">
        <x:f t="shared" si="119"/>
        <x:v>0</x:v>
      </x:c>
      <x:c r="X43" s="1596" t="str">
        <x:f t="shared" si="0"/>
        <x:v/>
      </x:c>
      <x:c r="Y43" s="1597" t="str">
        <x:f t="shared" si="1"/>
        <x:v/>
      </x:c>
      <x:c r="Z43" s="2088"/>
      <x:c r="AA43" s="1605" t="str">
        <x:f t="shared" si="2"/>
        <x:v/>
      </x:c>
      <x:c r="AB43" s="1264" t="str">
        <x:f t="shared" si="46"/>
        <x:v/>
      </x:c>
      <x:c r="AC43" s="1260" t="str">
        <x:f t="shared" si="46"/>
        <x:v/>
      </x:c>
      <x:c r="AD43" s="1261" t="str">
        <x:f t="shared" ca="1" si="130"/>
        <x:v/>
      </x:c>
      <x:c r="AE43" s="1262" t="str">
        <x:f t="shared" ca="1" si="131"/>
        <x:v/>
      </x:c>
      <x:c r="AF43" s="1260" t="str">
        <x:f t="shared" ca="1" si="132"/>
        <x:v/>
      </x:c>
      <x:c r="AG43" s="1261" t="str">
        <x:f t="shared" ca="1" si="133"/>
        <x:v/>
      </x:c>
      <x:c r="AH43" s="1262" t="str">
        <x:f t="shared" ca="1" si="134"/>
        <x:v/>
      </x:c>
      <x:c r="AI43" s="1261" t="str">
        <x:f t="shared" ca="1" si="135"/>
        <x:v/>
      </x:c>
      <x:c r="AJ43" s="1262" t="str">
        <x:f t="shared" ca="1" si="136"/>
        <x:v/>
      </x:c>
      <x:c r="AK43" s="1599" t="str">
        <x:f t="shared" si="3"/>
        <x:v/>
      </x:c>
      <x:c r="AL43" s="1600" t="str">
        <x:f t="shared" si="3"/>
        <x:v/>
      </x:c>
      <x:c r="AM43" s="1601" t="str">
        <x:f t="shared" si="3"/>
        <x:v/>
      </x:c>
      <x:c r="AN43" s="1260" t="str">
        <x:f t="shared" si="3"/>
        <x:v/>
      </x:c>
      <x:c r="AO43" s="1329" t="str">
        <x:f t="shared" si="3"/>
        <x:v/>
      </x:c>
      <x:c r="AP43" s="1327" t="str">
        <x:f t="shared" si="4"/>
        <x:v/>
      </x:c>
      <x:c r="AQ43" s="1602" t="str">
        <x:f t="shared" si="4"/>
        <x:v/>
      </x:c>
      <x:c r="AR43" s="1263" t="str">
        <x:f t="shared" si="47"/>
        <x:v/>
      </x:c>
      <x:c r="AS43" s="1262" t="str">
        <x:f t="shared" si="48"/>
        <x:v/>
      </x:c>
      <x:c r="AT43" s="1603" t="str">
        <x:f t="shared" si="5"/>
        <x:v/>
      </x:c>
      <x:c r="AU43" s="1410" t="str">
        <x:f t="shared" si="5"/>
        <x:v/>
      </x:c>
      <x:c r="AV43" s="1328" t="str">
        <x:f t="shared" si="6"/>
        <x:v/>
      </x:c>
      <x:c r="AW43" s="1262" t="str">
        <x:f t="shared" si="7"/>
        <x:v/>
      </x:c>
      <x:c r="AX43" s="1603" t="str">
        <x:f t="shared" si="8"/>
        <x:v/>
      </x:c>
      <x:c r="AY43" s="1410" t="str">
        <x:f t="shared" si="8"/>
        <x:v/>
      </x:c>
      <x:c r="AZ43" s="1328" t="str">
        <x:f t="shared" si="9"/>
        <x:v/>
      </x:c>
      <x:c r="BA43" s="1262" t="str">
        <x:f t="shared" si="10"/>
        <x:v/>
      </x:c>
      <x:c r="BB43" s="1603" t="str">
        <x:f t="shared" si="11"/>
        <x:v/>
      </x:c>
      <x:c r="BC43" s="1410" t="str">
        <x:f t="shared" si="11"/>
        <x:v/>
      </x:c>
      <x:c r="BD43" s="1328" t="str">
        <x:f t="shared" si="12"/>
        <x:v/>
      </x:c>
      <x:c r="BE43" s="1262" t="str">
        <x:f t="shared" si="13"/>
        <x:v/>
      </x:c>
      <x:c r="BF43" s="1603" t="str">
        <x:f t="shared" si="14"/>
        <x:v/>
      </x:c>
      <x:c r="BG43" s="1410" t="str">
        <x:f t="shared" si="14"/>
        <x:v/>
      </x:c>
      <x:c r="BH43" s="322"/>
      <x:c r="BJ43" s="1258" t="str">
        <x:f t="shared" si="57"/>
        <x:v/>
      </x:c>
      <x:c r="BK43" s="1256" t="b">
        <x:f t="shared" si="15"/>
        <x:v>0</x:v>
      </x:c>
      <x:c r="BL43" s="2002" t="b">
        <x:v>0</x:v>
      </x:c>
      <x:c r="BM43" s="1251">
        <x:f t="shared" si="16"/>
        <x:v>0</x:v>
      </x:c>
      <x:c r="BN43" s="1251">
        <x:f t="shared" si="17"/>
        <x:v>0</x:v>
      </x:c>
      <x:c r="BO43" s="1251">
        <x:f t="shared" si="18"/>
        <x:v>0</x:v>
      </x:c>
      <x:c r="BP43" s="1251">
        <x:f t="shared" si="19"/>
        <x:v>0</x:v>
      </x:c>
      <x:c r="BQ43" s="1251">
        <x:f t="shared" si="20"/>
        <x:v>0</x:v>
      </x:c>
      <x:c r="BR43" s="1251" t="b">
        <x:f t="shared" si="21"/>
        <x:v>1</x:v>
      </x:c>
      <x:c r="BS43" s="1252">
        <x:f t="shared" si="22"/>
        <x:v>6</x:v>
      </x:c>
      <x:c r="BT43" s="1252" t="str">
        <x:f t="shared" si="23"/>
        <x:v>No</x:v>
      </x:c>
      <x:c r="BU43" s="1252">
        <x:f t="shared" si="24"/>
        <x:v>6</x:v>
      </x:c>
      <x:c r="BV43" s="1252" t="str">
        <x:f t="shared" si="25"/>
        <x:v>No</x:v>
      </x:c>
      <x:c r="BW43" s="1253">
        <x:f t="shared" ca="1" si="26"/>
        <x:v>0</x:v>
      </x:c>
      <x:c r="BX43" s="1254" t="str">
        <x:f t="shared" ca="1" si="27"/>
        <x:v/>
      </x:c>
      <x:c r="BY43" s="1254" t="b">
        <x:f t="shared" ca="1" si="28"/>
        <x:v>0</x:v>
      </x:c>
      <x:c r="BZ43" s="1253" t="b">
        <x:f t="shared" si="49"/>
        <x:v>0</x:v>
      </x:c>
      <x:c r="CB43" s="842"/>
      <x:c r="CC43" s="894"/>
      <x:c r="CD43" s="883"/>
      <x:c r="CE43" s="884"/>
      <x:c r="CF43" s="885"/>
      <x:c r="CG43" s="901"/>
      <x:c r="CH43" s="902"/>
      <x:c r="CI43" s="903"/>
      <x:c r="CJ43" s="902"/>
      <x:c r="CK43" s="903"/>
      <x:c r="CL43" s="904"/>
      <x:c r="CM43" s="944"/>
      <x:c r="CN43" s="901"/>
      <x:c r="CO43" s="902"/>
      <x:c r="CP43" s="903"/>
      <x:c r="CQ43" s="902"/>
      <x:c r="CR43" s="903"/>
      <x:c r="CS43" s="904"/>
      <x:c r="CT43" s="944"/>
      <x:c r="CU43" s="906"/>
      <x:c r="CV43" s="886"/>
      <x:c r="CW43" s="887"/>
      <x:c r="CX43" s="915"/>
      <x:c r="CY43" s="916"/>
      <x:c r="CZ43" s="932"/>
      <x:c r="DA43" s="933"/>
      <x:c r="DB43" s="932"/>
      <x:c r="DC43" s="933"/>
      <x:c r="DD43" s="1149"/>
      <x:c r="DE43" s="1150"/>
      <x:c r="DF43" s="173"/>
      <x:c r="DG43" s="173"/>
      <x:c r="DH43" s="842"/>
      <x:c r="DI43" s="843"/>
      <x:c r="DJ43" s="872"/>
      <x:c r="DK43" s="873"/>
      <x:c r="DL43" s="844"/>
      <x:c r="DM43" s="874"/>
      <x:c r="DN43" s="875"/>
      <x:c r="DO43" s="845"/>
      <x:c r="DP43" s="846"/>
      <x:c r="DQ43" s="847"/>
      <x:c r="DR43" s="847"/>
      <x:c r="DS43" s="848"/>
      <x:c r="DT43" s="836"/>
      <x:c r="DU43" s="837"/>
      <x:c r="DV43" s="849"/>
      <x:c r="DW43" s="850"/>
      <x:c r="DX43" s="851"/>
      <x:c r="DY43" s="852"/>
      <x:c r="DZ43" s="849"/>
      <x:c r="EA43" s="850"/>
      <x:c r="EB43" s="851"/>
      <x:c r="EC43" s="852"/>
      <x:c r="ED43" s="849"/>
      <x:c r="EE43" s="850"/>
      <x:c r="EF43" s="851"/>
      <x:c r="EG43" s="852"/>
      <x:c r="EH43" s="849"/>
      <x:c r="EI43" s="850"/>
      <x:c r="EJ43" s="851"/>
      <x:c r="EK43" s="853"/>
      <x:c r="EL43" s="798" t="str">
        <x:f t="shared" si="29"/>
        <x:v/>
      </x:c>
      <x:c r="EM43" s="799" t="str">
        <x:f t="shared" si="30"/>
        <x:v/>
      </x:c>
      <x:c r="EN43" s="800" t="str">
        <x:f t="shared" si="31"/>
        <x:v/>
      </x:c>
      <x:c r="EO43" s="1030" t="str">
        <x:f t="shared" si="32"/>
        <x:v/>
      </x:c>
      <x:c r="EP43" s="726" t="str">
        <x:f t="shared" si="33"/>
        <x:v/>
      </x:c>
      <x:c r="EQ43" s="727" t="str">
        <x:f t="shared" si="34"/>
        <x:v/>
      </x:c>
      <x:c r="ER43" s="961" t="str">
        <x:f t="shared" si="35"/>
        <x:v/>
      </x:c>
      <x:c r="ES43" s="962" t="str">
        <x:f t="shared" si="50"/>
        <x:v/>
      </x:c>
      <x:c r="ET43" s="963" t="str">
        <x:f t="shared" si="36"/>
        <x:v/>
      </x:c>
      <x:c r="EU43" s="964" t="str">
        <x:f t="shared" si="37"/>
        <x:v/>
      </x:c>
      <x:c r="EX43" s="1194" t="str">
        <x:f t="shared" ca="1" si="51"/>
        <x:v/>
      </x:c>
      <x:c r="EY43" s="1196" t="str">
        <x:f t="shared" si="38"/>
        <x:v/>
      </x:c>
      <x:c r="EZ43" s="1196" t="str">
        <x:f t="shared" si="52"/>
        <x:v/>
      </x:c>
      <x:c r="FA43" s="1217" t="str">
        <x:f t="shared" ca="1" si="58"/>
        <x:v/>
      </x:c>
      <x:c r="FB43" s="1218" t="str">
        <x:f t="shared" ca="1" si="53"/>
        <x:v/>
      </x:c>
      <x:c r="FC43" s="1218">
        <x:f t="shared" ca="1" si="39"/>
        <x:v>0</x:v>
      </x:c>
      <x:c r="FD43" s="1218">
        <x:f t="shared" ca="1" si="40"/>
        <x:v>0</x:v>
      </x:c>
      <x:c r="FE43" s="1218">
        <x:f t="shared" ca="1" si="41"/>
        <x:v>0</x:v>
      </x:c>
      <x:c r="FF43" s="1218">
        <x:f t="shared" ca="1" si="54"/>
        <x:v>0</x:v>
      </x:c>
      <x:c r="FN43" s="969" t="b">
        <x:v>0</x:v>
      </x:c>
      <x:c r="FO43" s="969" t="b">
        <x:f t="shared" si="42"/>
        <x:v>1</x:v>
      </x:c>
      <x:c r="FP43" s="1815" t="b">
        <x:v>0</x:v>
      </x:c>
      <x:c r="FQ43" s="969" t="b">
        <x:f t="shared" si="55"/>
        <x:v>1</x:v>
      </x:c>
      <x:c r="GA43" s="1935" t="str">
        <x:f t="shared" si="121"/>
        <x:v/>
      </x:c>
      <x:c r="GB43" s="1936" t="str">
        <x:f t="shared" si="122"/>
        <x:v/>
      </x:c>
      <x:c r="GC43" s="1937" t="str">
        <x:f t="shared" si="123"/>
        <x:v/>
      </x:c>
      <x:c r="GD43" s="1938" t="str">
        <x:f t="shared" si="124"/>
        <x:v/>
      </x:c>
      <x:c r="GE43" s="1939" t="str">
        <x:f t="shared" si="56"/>
        <x:v/>
      </x:c>
      <x:c r="GF43" s="1940" t="str">
        <x:f t="shared" si="43"/>
        <x:v/>
      </x:c>
      <x:c r="GG43" s="1457"/>
      <x:c r="GH43" s="1459"/>
      <x:c r="GI43" s="1457"/>
      <x:c r="GJ43" s="1459"/>
      <x:c r="GK43" s="326">
        <x:f t="shared" si="44"/>
        <x:v>0</x:v>
      </x:c>
      <x:c r="GL43" s="326" t="e">
        <x:f t="shared" si="45"/>
        <x:v>#VALUE!</x:v>
      </x:c>
      <x:c r="GM43" s="327" t="e">
        <x:f>IF(ABS(GK43-GL43)&gt;='Job Info.'!$L$22,ABS(GK43-GL43),0)</x:f>
        <x:v>#VALUE!</x:v>
      </x:c>
      <x:c r="HA43" s="1612"/>
      <x:c r="HB43" s="1613"/>
      <x:c r="HC43" s="1613"/>
      <x:c r="HD43" s="1614"/>
      <x:c r="HE43" s="1615"/>
      <x:c r="HF43" s="1613"/>
      <x:c r="HG43" s="1613"/>
      <x:c r="HH43" s="1613"/>
      <x:c r="HI43" s="1613"/>
      <x:c r="HJ43" s="1613"/>
      <x:c r="HK43" s="1613"/>
      <x:c r="HL43" s="1613"/>
      <x:c r="HM43" s="1613"/>
      <x:c r="HN43" s="1613"/>
      <x:c r="HO43" s="1613"/>
      <x:c r="HP43" s="1613"/>
      <x:c r="HQ43" s="1613"/>
      <x:c r="HR43" s="1613"/>
      <x:c r="HS43" s="1613"/>
      <x:c r="HT43" s="1613"/>
      <x:c r="HU43" s="1613"/>
      <x:c r="HV43" s="1613"/>
      <x:c r="HW43" s="1613"/>
      <x:c r="HX43" s="1613"/>
      <x:c r="HY43" s="1617"/>
      <x:c r="HZ43" s="1617"/>
      <x:c r="IA43" s="1617"/>
      <x:c r="IB43" s="1617"/>
      <x:c r="IC43" s="1617"/>
      <x:c r="ID43" s="1632"/>
      <x:c r="IE43" s="1612"/>
      <x:c r="IF43" s="1613"/>
      <x:c r="IG43" s="1614"/>
      <x:c r="IH43" s="1615"/>
      <x:c r="II43" s="1613"/>
      <x:c r="IJ43" s="1614"/>
      <x:c r="IK43" s="1615"/>
      <x:c r="IL43" s="1613"/>
      <x:c r="IM43" s="1613"/>
      <x:c r="IN43" s="1613"/>
      <x:c r="IO43" s="1613"/>
      <x:c r="IP43" s="1613"/>
      <x:c r="IQ43" s="1613"/>
      <x:c r="IR43" s="1613"/>
      <x:c r="IS43" s="1614"/>
      <x:c r="IT43" s="1615"/>
      <x:c r="IU43" s="1613"/>
      <x:c r="IV43" s="1613"/>
      <x:c r="IW43" s="1614"/>
      <x:c r="IX43" s="1615"/>
      <x:c r="IY43" s="1613"/>
      <x:c r="IZ43" s="1613"/>
      <x:c r="JA43" s="1614"/>
      <x:c r="JB43" s="1615"/>
      <x:c r="JC43" s="1613"/>
      <x:c r="JD43" s="1613"/>
      <x:c r="JE43" s="1614"/>
      <x:c r="JF43" s="1615"/>
      <x:c r="JG43" s="1613"/>
      <x:c r="JH43" s="1613"/>
      <x:c r="JI43" s="1613"/>
      <x:c r="JJ43" s="1616"/>
      <x:c r="JK43" s="1613"/>
      <x:c r="JL43" s="1521">
        <x:f t="shared" ca="1" si="59"/>
        <x:v>0</x:v>
      </x:c>
    </x:row>
    <x:row r="44" spans="1:272" ht="12.6" customHeight="1" x14ac:dyDescent="0.25">
      <x:c r="A44" s="1583" t="str">
        <x:f t="shared" si="106"/>
        <x:v/>
      </x:c>
      <x:c r="B44" s="1584"/>
      <x:c r="C44" s="1585" t="str">
        <x:f t="shared" si="106"/>
        <x:v/>
      </x:c>
      <x:c r="D44" s="1586" t="str">
        <x:f t="shared" si="107"/>
        <x:v/>
      </x:c>
      <x:c r="E44" s="1587" t="str">
        <x:f t="shared" si="108"/>
        <x:v/>
      </x:c>
      <x:c r="F44" s="1588" t="str">
        <x:f t="shared" si="109"/>
        <x:v/>
      </x:c>
      <x:c r="G44" s="1589" t="str">
        <x:f t="shared" si="60"/>
        <x:v/>
      </x:c>
      <x:c r="H44" s="1590" t="str">
        <x:f t="shared" si="61"/>
        <x:v/>
      </x:c>
      <x:c r="I44" s="1591" t="str">
        <x:f t="shared" si="62"/>
        <x:v/>
      </x:c>
      <x:c r="J44" s="1586" t="str">
        <x:f t="shared" si="63"/>
        <x:v/>
      </x:c>
      <x:c r="K44" s="1590" t="str">
        <x:f t="shared" si="64"/>
        <x:v/>
      </x:c>
      <x:c r="L44" s="1592" t="str">
        <x:f t="shared" si="65"/>
        <x:v/>
      </x:c>
      <x:c r="M44" s="1593" t="str">
        <x:f t="shared" si="110"/>
        <x:v/>
      </x:c>
      <x:c r="N44" s="1594" t="str">
        <x:f t="shared" si="110"/>
        <x:v/>
      </x:c>
      <x:c r="O44" s="1589" t="str">
        <x:f t="shared" si="111"/>
        <x:v/>
      </x:c>
      <x:c r="P44" s="1590" t="str">
        <x:f t="shared" si="112"/>
        <x:v/>
      </x:c>
      <x:c r="Q44" s="1586" t="str">
        <x:f t="shared" si="113"/>
        <x:v/>
      </x:c>
      <x:c r="R44" s="1587" t="str">
        <x:f t="shared" si="114"/>
        <x:v/>
      </x:c>
      <x:c r="S44" s="1595" t="str">
        <x:f t="shared" si="115"/>
        <x:v/>
      </x:c>
      <x:c r="T44" s="1590" t="str">
        <x:f t="shared" si="116"/>
        <x:v/>
      </x:c>
      <x:c r="U44" s="1586" t="str">
        <x:f t="shared" si="117"/>
        <x:v/>
      </x:c>
      <x:c r="V44" s="1590" t="str">
        <x:f t="shared" si="118"/>
        <x:v/>
      </x:c>
      <x:c r="W44" s="1594">
        <x:f t="shared" si="119"/>
        <x:v>0</x:v>
      </x:c>
      <x:c r="X44" s="1596" t="str">
        <x:f t="shared" si="0"/>
        <x:v/>
      </x:c>
      <x:c r="Y44" s="1597" t="str">
        <x:f t="shared" si="1"/>
        <x:v/>
      </x:c>
      <x:c r="Z44" s="2088"/>
      <x:c r="AA44" s="1605" t="str">
        <x:f t="shared" si="2"/>
        <x:v/>
      </x:c>
      <x:c r="AB44" s="1264" t="str">
        <x:f t="shared" si="46"/>
        <x:v/>
      </x:c>
      <x:c r="AC44" s="1260" t="str">
        <x:f t="shared" si="46"/>
        <x:v/>
      </x:c>
      <x:c r="AD44" s="1261" t="str">
        <x:f t="shared" ca="1" si="130"/>
        <x:v/>
      </x:c>
      <x:c r="AE44" s="1262" t="str">
        <x:f t="shared" ca="1" si="131"/>
        <x:v/>
      </x:c>
      <x:c r="AF44" s="1260" t="str">
        <x:f t="shared" ca="1" si="132"/>
        <x:v/>
      </x:c>
      <x:c r="AG44" s="1261" t="str">
        <x:f t="shared" ca="1" si="133"/>
        <x:v/>
      </x:c>
      <x:c r="AH44" s="1262" t="str">
        <x:f t="shared" ca="1" si="134"/>
        <x:v/>
      </x:c>
      <x:c r="AI44" s="1261" t="str">
        <x:f t="shared" ca="1" si="135"/>
        <x:v/>
      </x:c>
      <x:c r="AJ44" s="1262" t="str">
        <x:f t="shared" ca="1" si="136"/>
        <x:v/>
      </x:c>
      <x:c r="AK44" s="1599" t="str">
        <x:f t="shared" si="3"/>
        <x:v/>
      </x:c>
      <x:c r="AL44" s="1600" t="str">
        <x:f t="shared" si="3"/>
        <x:v/>
      </x:c>
      <x:c r="AM44" s="1601" t="str">
        <x:f t="shared" si="3"/>
        <x:v/>
      </x:c>
      <x:c r="AN44" s="1260" t="str">
        <x:f t="shared" si="3"/>
        <x:v/>
      </x:c>
      <x:c r="AO44" s="1329" t="str">
        <x:f t="shared" si="3"/>
        <x:v/>
      </x:c>
      <x:c r="AP44" s="1327" t="str">
        <x:f t="shared" si="4"/>
        <x:v/>
      </x:c>
      <x:c r="AQ44" s="1602" t="str">
        <x:f t="shared" si="4"/>
        <x:v/>
      </x:c>
      <x:c r="AR44" s="1263" t="str">
        <x:f t="shared" si="47"/>
        <x:v/>
      </x:c>
      <x:c r="AS44" s="1262" t="str">
        <x:f t="shared" si="48"/>
        <x:v/>
      </x:c>
      <x:c r="AT44" s="1603" t="str">
        <x:f t="shared" si="5"/>
        <x:v/>
      </x:c>
      <x:c r="AU44" s="1410" t="str">
        <x:f t="shared" si="5"/>
        <x:v/>
      </x:c>
      <x:c r="AV44" s="1328" t="str">
        <x:f t="shared" si="6"/>
        <x:v/>
      </x:c>
      <x:c r="AW44" s="1262" t="str">
        <x:f t="shared" si="7"/>
        <x:v/>
      </x:c>
      <x:c r="AX44" s="1603" t="str">
        <x:f t="shared" si="8"/>
        <x:v/>
      </x:c>
      <x:c r="AY44" s="1410" t="str">
        <x:f t="shared" si="8"/>
        <x:v/>
      </x:c>
      <x:c r="AZ44" s="1328" t="str">
        <x:f t="shared" si="9"/>
        <x:v/>
      </x:c>
      <x:c r="BA44" s="1262" t="str">
        <x:f t="shared" si="10"/>
        <x:v/>
      </x:c>
      <x:c r="BB44" s="1603" t="str">
        <x:f t="shared" si="11"/>
        <x:v/>
      </x:c>
      <x:c r="BC44" s="1410" t="str">
        <x:f t="shared" si="11"/>
        <x:v/>
      </x:c>
      <x:c r="BD44" s="1328" t="str">
        <x:f t="shared" si="12"/>
        <x:v/>
      </x:c>
      <x:c r="BE44" s="1262" t="str">
        <x:f t="shared" si="13"/>
        <x:v/>
      </x:c>
      <x:c r="BF44" s="1603" t="str">
        <x:f t="shared" si="14"/>
        <x:v/>
      </x:c>
      <x:c r="BG44" s="1410" t="str">
        <x:f t="shared" si="14"/>
        <x:v/>
      </x:c>
      <x:c r="BH44" s="322"/>
      <x:c r="BJ44" s="1258" t="str">
        <x:f t="shared" si="57"/>
        <x:v/>
      </x:c>
      <x:c r="BK44" s="1256" t="b">
        <x:f t="shared" si="15"/>
        <x:v>0</x:v>
      </x:c>
      <x:c r="BL44" s="2002" t="b">
        <x:v>0</x:v>
      </x:c>
      <x:c r="BM44" s="1251">
        <x:f t="shared" si="16"/>
        <x:v>0</x:v>
      </x:c>
      <x:c r="BN44" s="1251">
        <x:f t="shared" si="17"/>
        <x:v>0</x:v>
      </x:c>
      <x:c r="BO44" s="1251">
        <x:f t="shared" si="18"/>
        <x:v>0</x:v>
      </x:c>
      <x:c r="BP44" s="1251">
        <x:f t="shared" si="19"/>
        <x:v>0</x:v>
      </x:c>
      <x:c r="BQ44" s="1251">
        <x:f t="shared" si="20"/>
        <x:v>0</x:v>
      </x:c>
      <x:c r="BR44" s="1251" t="b">
        <x:f t="shared" si="21"/>
        <x:v>1</x:v>
      </x:c>
      <x:c r="BS44" s="1252">
        <x:f t="shared" si="22"/>
        <x:v>6</x:v>
      </x:c>
      <x:c r="BT44" s="1252" t="str">
        <x:f t="shared" si="23"/>
        <x:v>No</x:v>
      </x:c>
      <x:c r="BU44" s="1252">
        <x:f t="shared" si="24"/>
        <x:v>6</x:v>
      </x:c>
      <x:c r="BV44" s="1252" t="str">
        <x:f t="shared" si="25"/>
        <x:v>No</x:v>
      </x:c>
      <x:c r="BW44" s="1253">
        <x:f t="shared" ca="1" si="26"/>
        <x:v>0</x:v>
      </x:c>
      <x:c r="BX44" s="1254" t="str">
        <x:f t="shared" ca="1" si="27"/>
        <x:v/>
      </x:c>
      <x:c r="BY44" s="1254" t="b">
        <x:f t="shared" ca="1" si="28"/>
        <x:v>0</x:v>
      </x:c>
      <x:c r="BZ44" s="1253" t="b">
        <x:f t="shared" si="49"/>
        <x:v>0</x:v>
      </x:c>
      <x:c r="CB44" s="842"/>
      <x:c r="CC44" s="894"/>
      <x:c r="CD44" s="883"/>
      <x:c r="CE44" s="884"/>
      <x:c r="CF44" s="885"/>
      <x:c r="CG44" s="901"/>
      <x:c r="CH44" s="902"/>
      <x:c r="CI44" s="903"/>
      <x:c r="CJ44" s="902"/>
      <x:c r="CK44" s="903"/>
      <x:c r="CL44" s="904"/>
      <x:c r="CM44" s="944"/>
      <x:c r="CN44" s="901"/>
      <x:c r="CO44" s="902"/>
      <x:c r="CP44" s="903"/>
      <x:c r="CQ44" s="902"/>
      <x:c r="CR44" s="903"/>
      <x:c r="CS44" s="904"/>
      <x:c r="CT44" s="944"/>
      <x:c r="CU44" s="906"/>
      <x:c r="CV44" s="886"/>
      <x:c r="CW44" s="887"/>
      <x:c r="CX44" s="915"/>
      <x:c r="CY44" s="916"/>
      <x:c r="CZ44" s="932"/>
      <x:c r="DA44" s="933"/>
      <x:c r="DB44" s="932"/>
      <x:c r="DC44" s="933"/>
      <x:c r="DD44" s="1149"/>
      <x:c r="DE44" s="1150"/>
      <x:c r="DF44" s="173"/>
      <x:c r="DG44" s="173"/>
      <x:c r="DH44" s="842"/>
      <x:c r="DI44" s="843"/>
      <x:c r="DJ44" s="872"/>
      <x:c r="DK44" s="873"/>
      <x:c r="DL44" s="844"/>
      <x:c r="DM44" s="874"/>
      <x:c r="DN44" s="875"/>
      <x:c r="DO44" s="845"/>
      <x:c r="DP44" s="846"/>
      <x:c r="DQ44" s="847"/>
      <x:c r="DR44" s="847"/>
      <x:c r="DS44" s="848"/>
      <x:c r="DT44" s="836"/>
      <x:c r="DU44" s="837"/>
      <x:c r="DV44" s="849"/>
      <x:c r="DW44" s="850"/>
      <x:c r="DX44" s="851"/>
      <x:c r="DY44" s="852"/>
      <x:c r="DZ44" s="849"/>
      <x:c r="EA44" s="850"/>
      <x:c r="EB44" s="851"/>
      <x:c r="EC44" s="852"/>
      <x:c r="ED44" s="849"/>
      <x:c r="EE44" s="850"/>
      <x:c r="EF44" s="851"/>
      <x:c r="EG44" s="852"/>
      <x:c r="EH44" s="849"/>
      <x:c r="EI44" s="850"/>
      <x:c r="EJ44" s="851"/>
      <x:c r="EK44" s="853"/>
      <x:c r="EL44" s="798" t="str">
        <x:f t="shared" si="29"/>
        <x:v/>
      </x:c>
      <x:c r="EM44" s="799" t="str">
        <x:f t="shared" si="30"/>
        <x:v/>
      </x:c>
      <x:c r="EN44" s="800" t="str">
        <x:f t="shared" si="31"/>
        <x:v/>
      </x:c>
      <x:c r="EO44" s="1030" t="str">
        <x:f t="shared" si="32"/>
        <x:v/>
      </x:c>
      <x:c r="EP44" s="726" t="str">
        <x:f t="shared" si="33"/>
        <x:v/>
      </x:c>
      <x:c r="EQ44" s="727" t="str">
        <x:f t="shared" si="34"/>
        <x:v/>
      </x:c>
      <x:c r="ER44" s="961" t="str">
        <x:f t="shared" si="35"/>
        <x:v/>
      </x:c>
      <x:c r="ES44" s="962" t="str">
        <x:f t="shared" si="50"/>
        <x:v/>
      </x:c>
      <x:c r="ET44" s="963" t="str">
        <x:f t="shared" si="36"/>
        <x:v/>
      </x:c>
      <x:c r="EU44" s="964" t="str">
        <x:f t="shared" si="37"/>
        <x:v/>
      </x:c>
      <x:c r="EX44" s="1194" t="str">
        <x:f t="shared" ca="1" si="51"/>
        <x:v/>
      </x:c>
      <x:c r="EY44" s="1196" t="str">
        <x:f t="shared" si="38"/>
        <x:v/>
      </x:c>
      <x:c r="EZ44" s="1196" t="str">
        <x:f t="shared" si="52"/>
        <x:v/>
      </x:c>
      <x:c r="FA44" s="1217" t="str">
        <x:f t="shared" ca="1" si="58"/>
        <x:v/>
      </x:c>
      <x:c r="FB44" s="1218" t="str">
        <x:f t="shared" ca="1" si="53"/>
        <x:v/>
      </x:c>
      <x:c r="FC44" s="1218">
        <x:f t="shared" ca="1" si="39"/>
        <x:v>0</x:v>
      </x:c>
      <x:c r="FD44" s="1218">
        <x:f t="shared" ca="1" si="40"/>
        <x:v>0</x:v>
      </x:c>
      <x:c r="FE44" s="1218">
        <x:f t="shared" ca="1" si="41"/>
        <x:v>0</x:v>
      </x:c>
      <x:c r="FF44" s="1218">
        <x:f t="shared" ca="1" si="54"/>
        <x:v>0</x:v>
      </x:c>
      <x:c r="FN44" s="969" t="b">
        <x:v>0</x:v>
      </x:c>
      <x:c r="FO44" s="969" t="b">
        <x:f t="shared" si="42"/>
        <x:v>1</x:v>
      </x:c>
      <x:c r="FP44" s="1815" t="b">
        <x:v>0</x:v>
      </x:c>
      <x:c r="FQ44" s="969" t="b">
        <x:f t="shared" si="55"/>
        <x:v>1</x:v>
      </x:c>
      <x:c r="GA44" s="1935" t="str">
        <x:f t="shared" si="121"/>
        <x:v/>
      </x:c>
      <x:c r="GB44" s="1936" t="str">
        <x:f t="shared" si="122"/>
        <x:v/>
      </x:c>
      <x:c r="GC44" s="1937" t="str">
        <x:f t="shared" si="123"/>
        <x:v/>
      </x:c>
      <x:c r="GD44" s="1938" t="str">
        <x:f t="shared" si="124"/>
        <x:v/>
      </x:c>
      <x:c r="GE44" s="1939" t="str">
        <x:f t="shared" si="56"/>
        <x:v/>
      </x:c>
      <x:c r="GF44" s="1940" t="str">
        <x:f t="shared" si="43"/>
        <x:v/>
      </x:c>
      <x:c r="GG44" s="1457"/>
      <x:c r="GH44" s="1459"/>
      <x:c r="GI44" s="1457"/>
      <x:c r="GJ44" s="1459"/>
      <x:c r="GK44" s="326">
        <x:f t="shared" si="44"/>
        <x:v>0</x:v>
      </x:c>
      <x:c r="GL44" s="326" t="e">
        <x:f t="shared" si="45"/>
        <x:v>#VALUE!</x:v>
      </x:c>
      <x:c r="GM44" s="327" t="e">
        <x:f>IF(ABS(GK44-GL44)&gt;='Job Info.'!$L$22,ABS(GK44-GL44),0)</x:f>
        <x:v>#VALUE!</x:v>
      </x:c>
      <x:c r="GN44" s="171"/>
      <x:c r="GO44" s="172"/>
      <x:c r="GP44" s="174"/>
      <x:c r="HA44" s="1612"/>
      <x:c r="HB44" s="1613"/>
      <x:c r="HC44" s="1613"/>
      <x:c r="HD44" s="1614"/>
      <x:c r="HE44" s="1615"/>
      <x:c r="HF44" s="1613"/>
      <x:c r="HG44" s="1613"/>
      <x:c r="HH44" s="1613"/>
      <x:c r="HI44" s="1613"/>
      <x:c r="HJ44" s="1613"/>
      <x:c r="HK44" s="1613"/>
      <x:c r="HL44" s="1613"/>
      <x:c r="HM44" s="1613"/>
      <x:c r="HN44" s="1613"/>
      <x:c r="HO44" s="1613"/>
      <x:c r="HP44" s="1613"/>
      <x:c r="HQ44" s="1613"/>
      <x:c r="HR44" s="1613"/>
      <x:c r="HS44" s="1613"/>
      <x:c r="HT44" s="1613"/>
      <x:c r="HU44" s="1613"/>
      <x:c r="HV44" s="1613"/>
      <x:c r="HW44" s="1613"/>
      <x:c r="HX44" s="1613"/>
      <x:c r="HY44" s="1617"/>
      <x:c r="HZ44" s="1617"/>
      <x:c r="IA44" s="1617"/>
      <x:c r="IB44" s="1617"/>
      <x:c r="IC44" s="1617"/>
      <x:c r="ID44" s="1632"/>
      <x:c r="IE44" s="1612"/>
      <x:c r="IF44" s="1613"/>
      <x:c r="IG44" s="1614"/>
      <x:c r="IH44" s="1615"/>
      <x:c r="II44" s="1613"/>
      <x:c r="IJ44" s="1614"/>
      <x:c r="IK44" s="1615"/>
      <x:c r="IL44" s="1613"/>
      <x:c r="IM44" s="1613"/>
      <x:c r="IN44" s="1613"/>
      <x:c r="IO44" s="1613"/>
      <x:c r="IP44" s="1613"/>
      <x:c r="IQ44" s="1613"/>
      <x:c r="IR44" s="1613"/>
      <x:c r="IS44" s="1614"/>
      <x:c r="IT44" s="1615"/>
      <x:c r="IU44" s="1613"/>
      <x:c r="IV44" s="1613"/>
      <x:c r="IW44" s="1614"/>
      <x:c r="IX44" s="1615"/>
      <x:c r="IY44" s="1613"/>
      <x:c r="IZ44" s="1613"/>
      <x:c r="JA44" s="1614"/>
      <x:c r="JB44" s="1615"/>
      <x:c r="JC44" s="1613"/>
      <x:c r="JD44" s="1613"/>
      <x:c r="JE44" s="1614"/>
      <x:c r="JF44" s="1615"/>
      <x:c r="JG44" s="1613"/>
      <x:c r="JH44" s="1613"/>
      <x:c r="JI44" s="1613"/>
      <x:c r="JJ44" s="1616"/>
      <x:c r="JK44" s="1613"/>
      <x:c r="JL44" s="1521">
        <x:f t="shared" ca="1" si="59"/>
        <x:v>0</x:v>
      </x:c>
    </x:row>
    <x:row r="45" spans="1:272" ht="12.6" customHeight="1" thickBot="1" x14ac:dyDescent="0.35">
      <x:c r="A45" s="2090" t="str">
        <x:f t="shared" si="106"/>
        <x:v/>
      </x:c>
      <x:c r="B45" s="2091"/>
      <x:c r="C45" s="2092" t="str">
        <x:f t="shared" si="106"/>
        <x:v/>
      </x:c>
      <x:c r="D45" s="2093" t="str">
        <x:f t="shared" si="107"/>
        <x:v/>
      </x:c>
      <x:c r="E45" s="2094" t="str">
        <x:f t="shared" si="108"/>
        <x:v/>
      </x:c>
      <x:c r="F45" s="2095" t="str">
        <x:f t="shared" si="109"/>
        <x:v/>
      </x:c>
      <x:c r="G45" s="2096" t="str">
        <x:f t="shared" si="60"/>
        <x:v/>
      </x:c>
      <x:c r="H45" s="2097" t="str">
        <x:f t="shared" si="61"/>
        <x:v/>
      </x:c>
      <x:c r="I45" s="2098" t="str">
        <x:f t="shared" si="62"/>
        <x:v/>
      </x:c>
      <x:c r="J45" s="2093" t="str">
        <x:f t="shared" si="63"/>
        <x:v/>
      </x:c>
      <x:c r="K45" s="2097" t="str">
        <x:f t="shared" si="64"/>
        <x:v/>
      </x:c>
      <x:c r="L45" s="2099" t="str">
        <x:f t="shared" si="65"/>
        <x:v/>
      </x:c>
      <x:c r="M45" s="2100" t="str">
        <x:f t="shared" si="110"/>
        <x:v/>
      </x:c>
      <x:c r="N45" s="2101" t="str">
        <x:f t="shared" si="110"/>
        <x:v/>
      </x:c>
      <x:c r="O45" s="2096" t="str">
        <x:f t="shared" si="111"/>
        <x:v/>
      </x:c>
      <x:c r="P45" s="2097" t="str">
        <x:f t="shared" si="112"/>
        <x:v/>
      </x:c>
      <x:c r="Q45" s="2093" t="str">
        <x:f t="shared" si="113"/>
        <x:v/>
      </x:c>
      <x:c r="R45" s="2094" t="str">
        <x:f t="shared" si="114"/>
        <x:v/>
      </x:c>
      <x:c r="S45" s="2102" t="str">
        <x:f t="shared" si="115"/>
        <x:v/>
      </x:c>
      <x:c r="T45" s="2097" t="str">
        <x:f t="shared" si="116"/>
        <x:v/>
      </x:c>
      <x:c r="U45" s="2093" t="str">
        <x:f t="shared" si="117"/>
        <x:v/>
      </x:c>
      <x:c r="V45" s="2097" t="str">
        <x:f t="shared" si="118"/>
        <x:v/>
      </x:c>
      <x:c r="W45" s="2101">
        <x:f t="shared" si="119"/>
        <x:v>0</x:v>
      </x:c>
      <x:c r="X45" s="2103" t="str">
        <x:f t="shared" si="0"/>
        <x:v/>
      </x:c>
      <x:c r="Y45" s="2104" t="str">
        <x:f t="shared" si="1"/>
        <x:v/>
      </x:c>
      <x:c r="Z45" s="2088"/>
      <x:c r="AA45" s="2154" t="str">
        <x:f t="shared" si="2"/>
        <x:v/>
      </x:c>
      <x:c r="AB45" s="2124" t="str">
        <x:f t="shared" si="46"/>
        <x:v/>
      </x:c>
      <x:c r="AC45" s="2125" t="str">
        <x:f t="shared" si="46"/>
        <x:v/>
      </x:c>
      <x:c r="AD45" s="2126" t="str">
        <x:f t="shared" ca="1" si="130"/>
        <x:v/>
      </x:c>
      <x:c r="AE45" s="2127" t="str">
        <x:f t="shared" ca="1" si="131"/>
        <x:v/>
      </x:c>
      <x:c r="AF45" s="2125" t="str">
        <x:f t="shared" ca="1" si="132"/>
        <x:v/>
      </x:c>
      <x:c r="AG45" s="2126" t="str">
        <x:f t="shared" ca="1" si="133"/>
        <x:v/>
      </x:c>
      <x:c r="AH45" s="2127" t="str">
        <x:f t="shared" ca="1" si="134"/>
        <x:v/>
      </x:c>
      <x:c r="AI45" s="2126" t="str">
        <x:f t="shared" ca="1" si="135"/>
        <x:v/>
      </x:c>
      <x:c r="AJ45" s="2127" t="str">
        <x:f t="shared" ca="1" si="136"/>
        <x:v/>
      </x:c>
      <x:c r="AK45" s="2128" t="str">
        <x:f t="shared" si="3"/>
        <x:v/>
      </x:c>
      <x:c r="AL45" s="2129" t="str">
        <x:f t="shared" si="3"/>
        <x:v/>
      </x:c>
      <x:c r="AM45" s="2130" t="str">
        <x:f t="shared" si="3"/>
        <x:v/>
      </x:c>
      <x:c r="AN45" s="2125" t="str">
        <x:f t="shared" si="3"/>
        <x:v/>
      </x:c>
      <x:c r="AO45" s="2158" t="str">
        <x:f t="shared" si="3"/>
        <x:v/>
      </x:c>
      <x:c r="AP45" s="2132" t="str">
        <x:f t="shared" si="4"/>
        <x:v/>
      </x:c>
      <x:c r="AQ45" s="2133" t="str">
        <x:f t="shared" si="4"/>
        <x:v/>
      </x:c>
      <x:c r="AR45" s="2134" t="str">
        <x:f t="shared" si="47"/>
        <x:v/>
      </x:c>
      <x:c r="AS45" s="2127" t="str">
        <x:f t="shared" si="48"/>
        <x:v/>
      </x:c>
      <x:c r="AT45" s="2135" t="str">
        <x:f t="shared" si="5"/>
        <x:v/>
      </x:c>
      <x:c r="AU45" s="2136" t="str">
        <x:f t="shared" si="5"/>
        <x:v/>
      </x:c>
      <x:c r="AV45" s="2137" t="str">
        <x:f t="shared" si="6"/>
        <x:v/>
      </x:c>
      <x:c r="AW45" s="2127" t="str">
        <x:f t="shared" si="7"/>
        <x:v/>
      </x:c>
      <x:c r="AX45" s="2135" t="str">
        <x:f t="shared" si="8"/>
        <x:v/>
      </x:c>
      <x:c r="AY45" s="2136" t="str">
        <x:f t="shared" si="8"/>
        <x:v/>
      </x:c>
      <x:c r="AZ45" s="2137" t="str">
        <x:f t="shared" si="9"/>
        <x:v/>
      </x:c>
      <x:c r="BA45" s="2127" t="str">
        <x:f t="shared" si="10"/>
        <x:v/>
      </x:c>
      <x:c r="BB45" s="2135" t="str">
        <x:f t="shared" si="11"/>
        <x:v/>
      </x:c>
      <x:c r="BC45" s="2136" t="str">
        <x:f t="shared" si="11"/>
        <x:v/>
      </x:c>
      <x:c r="BD45" s="2137" t="str">
        <x:f t="shared" si="12"/>
        <x:v/>
      </x:c>
      <x:c r="BE45" s="2127" t="str">
        <x:f t="shared" si="13"/>
        <x:v/>
      </x:c>
      <x:c r="BF45" s="2135" t="str">
        <x:f t="shared" si="14"/>
        <x:v/>
      </x:c>
      <x:c r="BG45" s="2136" t="str">
        <x:f t="shared" si="14"/>
        <x:v/>
      </x:c>
      <x:c r="BH45" s="322"/>
      <x:c r="BJ45" s="1258" t="str">
        <x:f t="shared" si="57"/>
        <x:v/>
      </x:c>
      <x:c r="BK45" s="1256" t="b">
        <x:f t="shared" si="15"/>
        <x:v>0</x:v>
      </x:c>
      <x:c r="BL45" s="2002" t="b">
        <x:v>0</x:v>
      </x:c>
      <x:c r="BM45" s="1251">
        <x:f t="shared" si="16"/>
        <x:v>0</x:v>
      </x:c>
      <x:c r="BN45" s="1251">
        <x:f t="shared" si="17"/>
        <x:v>0</x:v>
      </x:c>
      <x:c r="BO45" s="1251">
        <x:f t="shared" si="18"/>
        <x:v>0</x:v>
      </x:c>
      <x:c r="BP45" s="1251">
        <x:f t="shared" si="19"/>
        <x:v>0</x:v>
      </x:c>
      <x:c r="BQ45" s="1251">
        <x:f t="shared" si="20"/>
        <x:v>0</x:v>
      </x:c>
      <x:c r="BR45" s="1251" t="b">
        <x:f t="shared" si="21"/>
        <x:v>1</x:v>
      </x:c>
      <x:c r="BS45" s="1252">
        <x:f t="shared" si="22"/>
        <x:v>6</x:v>
      </x:c>
      <x:c r="BT45" s="1252" t="str">
        <x:f t="shared" si="23"/>
        <x:v>No</x:v>
      </x:c>
      <x:c r="BU45" s="1252">
        <x:f t="shared" si="24"/>
        <x:v>6</x:v>
      </x:c>
      <x:c r="BV45" s="1252" t="str">
        <x:f t="shared" si="25"/>
        <x:v>No</x:v>
      </x:c>
      <x:c r="BW45" s="1253">
        <x:f t="shared" ca="1" si="26"/>
        <x:v>0</x:v>
      </x:c>
      <x:c r="BX45" s="1254" t="str">
        <x:f t="shared" ca="1" si="27"/>
        <x:v/>
      </x:c>
      <x:c r="BY45" s="1254" t="b">
        <x:f t="shared" ca="1" si="28"/>
        <x:v>0</x:v>
      </x:c>
      <x:c r="BZ45" s="1253" t="b">
        <x:f t="shared" si="49"/>
        <x:v>0</x:v>
      </x:c>
      <x:c r="CB45" s="854"/>
      <x:c r="CC45" s="895"/>
      <x:c r="CD45" s="888"/>
      <x:c r="CE45" s="889"/>
      <x:c r="CF45" s="890"/>
      <x:c r="CG45" s="907"/>
      <x:c r="CH45" s="908"/>
      <x:c r="CI45" s="909"/>
      <x:c r="CJ45" s="908"/>
      <x:c r="CK45" s="909"/>
      <x:c r="CL45" s="910"/>
      <x:c r="CM45" s="945"/>
      <x:c r="CN45" s="907"/>
      <x:c r="CO45" s="908"/>
      <x:c r="CP45" s="909"/>
      <x:c r="CQ45" s="908"/>
      <x:c r="CR45" s="909"/>
      <x:c r="CS45" s="910"/>
      <x:c r="CT45" s="945"/>
      <x:c r="CU45" s="912"/>
      <x:c r="CV45" s="891"/>
      <x:c r="CW45" s="892"/>
      <x:c r="CX45" s="917"/>
      <x:c r="CY45" s="918"/>
      <x:c r="CZ45" s="939"/>
      <x:c r="DA45" s="940"/>
      <x:c r="DB45" s="939"/>
      <x:c r="DC45" s="940"/>
      <x:c r="DD45" s="1151"/>
      <x:c r="DE45" s="1152"/>
      <x:c r="DF45" s="173"/>
      <x:c r="DG45" s="173"/>
      <x:c r="DH45" s="1004"/>
      <x:c r="DI45" s="855"/>
      <x:c r="DJ45" s="876"/>
      <x:c r="DK45" s="877"/>
      <x:c r="DL45" s="856"/>
      <x:c r="DM45" s="878"/>
      <x:c r="DN45" s="879"/>
      <x:c r="DO45" s="857"/>
      <x:c r="DP45" s="858"/>
      <x:c r="DQ45" s="859"/>
      <x:c r="DR45" s="859"/>
      <x:c r="DS45" s="860"/>
      <x:c r="DT45" s="861"/>
      <x:c r="DU45" s="862"/>
      <x:c r="DV45" s="863"/>
      <x:c r="DW45" s="864"/>
      <x:c r="DX45" s="865"/>
      <x:c r="DY45" s="866"/>
      <x:c r="DZ45" s="863"/>
      <x:c r="EA45" s="864"/>
      <x:c r="EB45" s="865"/>
      <x:c r="EC45" s="866"/>
      <x:c r="ED45" s="863"/>
      <x:c r="EE45" s="864"/>
      <x:c r="EF45" s="865"/>
      <x:c r="EG45" s="866"/>
      <x:c r="EH45" s="863"/>
      <x:c r="EI45" s="864"/>
      <x:c r="EJ45" s="865"/>
      <x:c r="EK45" s="867"/>
      <x:c r="EL45" s="801" t="str">
        <x:f t="shared" si="29"/>
        <x:v/>
      </x:c>
      <x:c r="EM45" s="802" t="str">
        <x:f t="shared" si="30"/>
        <x:v/>
      </x:c>
      <x:c r="EN45" s="803" t="str">
        <x:f t="shared" si="31"/>
        <x:v/>
      </x:c>
      <x:c r="EO45" s="1031" t="str">
        <x:f t="shared" si="32"/>
        <x:v/>
      </x:c>
      <x:c r="EP45" s="728" t="str">
        <x:f t="shared" si="33"/>
        <x:v/>
      </x:c>
      <x:c r="EQ45" s="729" t="str">
        <x:f t="shared" si="34"/>
        <x:v/>
      </x:c>
      <x:c r="ER45" s="965" t="str">
        <x:f t="shared" si="35"/>
        <x:v/>
      </x:c>
      <x:c r="ES45" s="966" t="str">
        <x:f t="shared" si="50"/>
        <x:v/>
      </x:c>
      <x:c r="ET45" s="967" t="str">
        <x:f t="shared" si="36"/>
        <x:v/>
      </x:c>
      <x:c r="EU45" s="968" t="str">
        <x:f t="shared" si="37"/>
        <x:v/>
      </x:c>
      <x:c r="EX45" s="1194" t="str">
        <x:f t="shared" ca="1" si="51"/>
        <x:v/>
      </x:c>
      <x:c r="EY45" s="1196" t="str">
        <x:f t="shared" si="38"/>
        <x:v/>
      </x:c>
      <x:c r="EZ45" s="1196" t="str">
        <x:f t="shared" si="52"/>
        <x:v/>
      </x:c>
      <x:c r="FA45" s="1217" t="str">
        <x:f t="shared" ca="1" si="58"/>
        <x:v/>
      </x:c>
      <x:c r="FB45" s="1218" t="str">
        <x:f t="shared" ca="1" si="53"/>
        <x:v/>
      </x:c>
      <x:c r="FC45" s="1218">
        <x:f t="shared" ca="1" si="39"/>
        <x:v>0</x:v>
      </x:c>
      <x:c r="FD45" s="1218">
        <x:f t="shared" ca="1" si="40"/>
        <x:v>0</x:v>
      </x:c>
      <x:c r="FE45" s="1218">
        <x:f t="shared" ca="1" si="41"/>
        <x:v>0</x:v>
      </x:c>
      <x:c r="FF45" s="1218">
        <x:f t="shared" ca="1" si="54"/>
        <x:v>0</x:v>
      </x:c>
      <x:c r="FN45" s="969" t="b">
        <x:v>0</x:v>
      </x:c>
      <x:c r="FO45" s="969" t="b">
        <x:f t="shared" si="42"/>
        <x:v>1</x:v>
      </x:c>
      <x:c r="FP45" s="1815" t="b">
        <x:v>0</x:v>
      </x:c>
      <x:c r="FQ45" s="969" t="b">
        <x:f t="shared" si="55"/>
        <x:v>1</x:v>
      </x:c>
      <x:c r="FW45" s="122"/>
      <x:c r="FX45" s="122"/>
      <x:c r="FZ45" s="124"/>
      <x:c r="GA45" s="1935" t="str">
        <x:f t="shared" si="121"/>
        <x:v/>
      </x:c>
      <x:c r="GB45" s="1936" t="str">
        <x:f t="shared" si="122"/>
        <x:v/>
      </x:c>
      <x:c r="GC45" s="1937" t="str">
        <x:f t="shared" si="123"/>
        <x:v/>
      </x:c>
      <x:c r="GD45" s="1938" t="str">
        <x:f t="shared" si="124"/>
        <x:v/>
      </x:c>
      <x:c r="GE45" s="1939" t="str">
        <x:f t="shared" si="56"/>
        <x:v/>
      </x:c>
      <x:c r="GF45" s="1940" t="str">
        <x:f t="shared" si="43"/>
        <x:v/>
      </x:c>
      <x:c r="GG45" s="1460"/>
      <x:c r="GH45" s="1461"/>
      <x:c r="GI45" s="1460"/>
      <x:c r="GJ45" s="1461"/>
      <x:c r="GK45" s="326">
        <x:f t="shared" si="44"/>
        <x:v>0</x:v>
      </x:c>
      <x:c r="GL45" s="326" t="e">
        <x:f t="shared" si="45"/>
        <x:v>#VALUE!</x:v>
      </x:c>
      <x:c r="GM45" s="327" t="e">
        <x:f>IF(ABS(GK45-GL45)&gt;='Job Info.'!$L$22,ABS(GK45-GL45),0)</x:f>
        <x:v>#VALUE!</x:v>
      </x:c>
      <x:c r="GN45" s="171"/>
      <x:c r="GO45" s="171"/>
      <x:c r="GP45" s="171"/>
      <x:c r="GZ45" s="179"/>
      <x:c r="HA45" s="1620"/>
      <x:c r="HB45" s="1621"/>
      <x:c r="HC45" s="1621"/>
      <x:c r="HD45" s="1622"/>
      <x:c r="HE45" s="1623"/>
      <x:c r="HF45" s="1621"/>
      <x:c r="HG45" s="1621"/>
      <x:c r="HH45" s="1621"/>
      <x:c r="HI45" s="1621"/>
      <x:c r="HJ45" s="1621"/>
      <x:c r="HK45" s="1621"/>
      <x:c r="HL45" s="1621"/>
      <x:c r="HM45" s="1621"/>
      <x:c r="HN45" s="1621"/>
      <x:c r="HO45" s="1621"/>
      <x:c r="HP45" s="1621"/>
      <x:c r="HQ45" s="1621"/>
      <x:c r="HR45" s="1621"/>
      <x:c r="HS45" s="1621"/>
      <x:c r="HT45" s="1621"/>
      <x:c r="HU45" s="1621"/>
      <x:c r="HV45" s="1621"/>
      <x:c r="HW45" s="1621"/>
      <x:c r="HX45" s="1621"/>
      <x:c r="HY45" s="1624"/>
      <x:c r="HZ45" s="1624"/>
      <x:c r="IA45" s="1624"/>
      <x:c r="IB45" s="1624"/>
      <x:c r="IC45" s="1624"/>
      <x:c r="ID45" s="1633"/>
      <x:c r="IE45" s="1620"/>
      <x:c r="IF45" s="1621"/>
      <x:c r="IG45" s="1622"/>
      <x:c r="IH45" s="1623"/>
      <x:c r="II45" s="1621"/>
      <x:c r="IJ45" s="1622"/>
      <x:c r="IK45" s="1623"/>
      <x:c r="IL45" s="1621"/>
      <x:c r="IM45" s="1621"/>
      <x:c r="IN45" s="1621"/>
      <x:c r="IO45" s="1621"/>
      <x:c r="IP45" s="1621"/>
      <x:c r="IQ45" s="1621"/>
      <x:c r="IR45" s="1621"/>
      <x:c r="IS45" s="1622"/>
      <x:c r="IT45" s="1623"/>
      <x:c r="IU45" s="1621"/>
      <x:c r="IV45" s="1621"/>
      <x:c r="IW45" s="1622"/>
      <x:c r="IX45" s="1623"/>
      <x:c r="IY45" s="1621"/>
      <x:c r="IZ45" s="1621"/>
      <x:c r="JA45" s="1622"/>
      <x:c r="JB45" s="1623"/>
      <x:c r="JC45" s="1621"/>
      <x:c r="JD45" s="1621"/>
      <x:c r="JE45" s="1622"/>
      <x:c r="JF45" s="1623"/>
      <x:c r="JG45" s="1621"/>
      <x:c r="JH45" s="1621"/>
      <x:c r="JI45" s="1621"/>
      <x:c r="JJ45" s="1626"/>
      <x:c r="JK45" s="1621"/>
      <x:c r="JL45" s="1522">
        <x:f t="shared" ca="1" si="59"/>
        <x:v>0</x:v>
      </x:c>
    </x:row>
    <x:row r="46" spans="1:272" ht="20.100000000000001" customHeight="1" thickTop="1" x14ac:dyDescent="0.2">
      <x:c r="A46" s="319"/>
      <x:c r="B46" s="319"/>
      <x:c r="C46" s="319"/>
      <x:c r="D46" s="319"/>
      <x:c r="E46" s="319"/>
      <x:c r="F46" s="319"/>
      <x:c r="G46" s="319"/>
      <x:c r="H46" s="319"/>
      <x:c r="I46" s="319"/>
      <x:c r="J46" s="319"/>
      <x:c r="K46" s="319"/>
      <x:c r="L46" s="319"/>
      <x:c r="M46" s="319"/>
      <x:c r="N46" s="319"/>
      <x:c r="O46" s="319"/>
      <x:c r="P46" s="319"/>
      <x:c r="Q46" s="319"/>
      <x:c r="R46" s="319"/>
      <x:c r="S46" s="319"/>
      <x:c r="T46" s="319"/>
      <x:c r="U46" s="319"/>
      <x:c r="V46" s="319"/>
      <x:c r="W46" s="319"/>
      <x:c r="X46" s="319"/>
      <x:c r="Y46" s="319"/>
      <x:c r="Z46" s="1466"/>
      <x:c r="AA46" s="319"/>
      <x:c r="AB46" s="319"/>
      <x:c r="AC46" s="319"/>
      <x:c r="AD46" s="319"/>
      <x:c r="AE46" s="319"/>
      <x:c r="AF46" s="319"/>
      <x:c r="AG46" s="319"/>
      <x:c r="AH46" s="319"/>
      <x:c r="AI46" s="319"/>
      <x:c r="AJ46" s="319"/>
      <x:c r="AK46" s="319"/>
      <x:c r="AL46" s="319"/>
      <x:c r="AM46" s="319"/>
      <x:c r="AN46" s="319"/>
      <x:c r="AO46" s="319"/>
      <x:c r="AP46" s="319"/>
      <x:c r="AQ46" s="319"/>
      <x:c r="AR46" s="319"/>
      <x:c r="AS46" s="319"/>
      <x:c r="AT46" s="319"/>
      <x:c r="AU46" s="319"/>
      <x:c r="AV46" s="319"/>
      <x:c r="AW46" s="319"/>
      <x:c r="AX46" s="319"/>
      <x:c r="AY46" s="319"/>
      <x:c r="AZ46" s="319"/>
      <x:c r="BA46" s="319"/>
      <x:c r="BB46" s="319"/>
      <x:c r="BC46" s="319"/>
      <x:c r="BD46" s="319"/>
      <x:c r="BE46" s="319"/>
      <x:c r="BF46" s="319"/>
      <x:c r="BG46" s="319"/>
      <x:c r="BH46" s="320"/>
      <x:c r="CA46" s="138"/>
      <x:c r="CB46" s="125"/>
      <x:c r="CC46" s="125"/>
      <x:c r="CD46" s="125"/>
      <x:c r="CE46" s="125"/>
      <x:c r="CF46" s="125"/>
      <x:c r="CG46" s="125"/>
      <x:c r="CH46" s="125"/>
      <x:c r="CI46" s="125"/>
      <x:c r="CJ46" s="125"/>
      <x:c r="CK46" s="125"/>
      <x:c r="CL46" s="125"/>
      <x:c r="CM46" s="125"/>
      <x:c r="CN46" s="125"/>
      <x:c r="CO46" s="125"/>
      <x:c r="CP46" s="125"/>
      <x:c r="CQ46" s="125"/>
      <x:c r="CR46" s="125"/>
      <x:c r="CS46" s="125"/>
      <x:c r="CT46" s="125"/>
      <x:c r="CU46" s="125"/>
      <x:c r="CV46" s="125"/>
      <x:c r="CW46" s="125"/>
      <x:c r="CX46" s="125"/>
      <x:c r="CY46" s="125"/>
      <x:c r="CZ46" s="125"/>
      <x:c r="DA46" s="125"/>
      <x:c r="DB46" s="122"/>
      <x:c r="DC46" s="122"/>
      <x:c r="DD46" s="122"/>
      <x:c r="DE46" s="122"/>
      <x:c r="DF46" s="122"/>
      <x:c r="DG46" s="122"/>
      <x:c r="DH46" s="170"/>
      <x:c r="DI46" s="170"/>
      <x:c r="DJ46" s="170"/>
      <x:c r="DK46" s="170"/>
      <x:c r="DL46" s="170"/>
      <x:c r="DM46" s="170"/>
      <x:c r="DN46" s="170"/>
      <x:c r="DO46" s="170"/>
      <x:c r="DP46" s="170"/>
      <x:c r="DQ46" s="170"/>
      <x:c r="DR46" s="170"/>
      <x:c r="DS46" s="170"/>
      <x:c r="DT46" s="776"/>
      <x:c r="DU46" s="776"/>
      <x:c r="DV46" s="170"/>
      <x:c r="DW46" s="170"/>
      <x:c r="DX46" s="170"/>
      <x:c r="DY46" s="170"/>
      <x:c r="DZ46" s="170"/>
      <x:c r="EA46" s="170"/>
      <x:c r="EB46" s="170"/>
      <x:c r="EC46" s="170"/>
      <x:c r="ED46" s="170"/>
      <x:c r="EE46" s="170"/>
      <x:c r="EF46" s="170"/>
      <x:c r="EG46" s="170"/>
      <x:c r="EH46" s="170"/>
      <x:c r="EI46" s="170"/>
      <x:c r="EJ46" s="170"/>
      <x:c r="EK46" s="170"/>
      <x:c r="EL46" s="122"/>
      <x:c r="EM46" s="121"/>
      <x:c r="EN46" s="127"/>
      <x:c r="EO46" s="355"/>
      <x:c r="EP46" s="356"/>
      <x:c r="EQ46" s="356"/>
      <x:c r="ER46" s="356"/>
      <x:c r="ES46" s="357"/>
      <x:c r="ET46" s="358"/>
      <x:c r="EU46" s="358"/>
      <x:c r="EV46" s="358"/>
      <x:c r="EW46" s="358"/>
      <x:c r="EX46" s="358"/>
      <x:c r="EY46" s="358"/>
      <x:c r="EZ46" s="358"/>
      <x:c r="FA46" s="358"/>
      <x:c r="FB46" s="358"/>
      <x:c r="FC46" s="358"/>
      <x:c r="FD46" s="355"/>
      <x:c r="FE46" s="355"/>
      <x:c r="FF46" s="355"/>
      <x:c r="FG46" s="355"/>
      <x:c r="FH46" s="355"/>
      <x:c r="FI46" s="355"/>
      <x:c r="FJ46" s="355"/>
      <x:c r="FK46" s="355"/>
      <x:c r="FL46" s="355"/>
      <x:c r="FM46" s="355"/>
      <x:c r="FN46" s="122"/>
      <x:c r="FO46" s="122"/>
      <x:c r="FP46" s="122"/>
      <x:c r="FQ46" s="122"/>
      <x:c r="FR46" s="122"/>
      <x:c r="FS46" s="122"/>
      <x:c r="FT46" s="122"/>
      <x:c r="FU46" s="122"/>
      <x:c r="FV46" s="122"/>
      <x:c r="FW46" s="122"/>
      <x:c r="FX46" s="122"/>
      <x:c r="FY46" s="122"/>
      <x:c r="FZ46" s="124"/>
      <x:c r="GA46" s="164"/>
      <x:c r="GB46" s="1462"/>
      <x:c r="GC46" s="1462"/>
      <x:c r="GD46" s="1462"/>
      <x:c r="GE46" s="1462"/>
      <x:c r="GF46" s="1462"/>
      <x:c r="GG46" s="1462"/>
      <x:c r="GH46" s="1462"/>
      <x:c r="GI46" s="171"/>
      <x:c r="GJ46" s="171"/>
      <x:c r="GK46" s="171"/>
      <x:c r="GL46" s="171"/>
      <x:c r="GM46" s="171"/>
      <x:c r="GN46" s="171"/>
      <x:c r="GO46" s="171"/>
      <x:c r="GP46" s="171"/>
      <x:c r="GQ46" s="171"/>
      <x:c r="GR46" s="171"/>
      <x:c r="GS46" s="171"/>
      <x:c r="GT46" s="171"/>
      <x:c r="GU46" s="171"/>
      <x:c r="GV46" s="171"/>
      <x:c r="GW46" s="171"/>
      <x:c r="GX46" s="171"/>
      <x:c r="GY46" s="171"/>
    </x:row>
    <x:row r="47" spans="1:272" ht="12.75" customHeight="1" x14ac:dyDescent="0.2">
      <x:c r="B47" s="649" t="s">
        <x:v>761</x:v>
      </x:c>
      <x:c r="AL47" s="319"/>
      <x:c r="AM47" s="319"/>
      <x:c r="AN47" s="319"/>
      <x:c r="AO47" s="319"/>
      <x:c r="AP47" s="319"/>
      <x:c r="AQ47" s="319"/>
      <x:c r="CA47" s="138"/>
      <x:c r="CB47" s="125"/>
      <x:c r="CC47" s="125"/>
      <x:c r="CD47" s="125"/>
      <x:c r="CE47" s="125"/>
      <x:c r="CF47" s="125"/>
      <x:c r="CG47" s="125"/>
      <x:c r="CH47" s="125"/>
      <x:c r="CI47" s="125"/>
      <x:c r="CJ47" s="125"/>
      <x:c r="CK47" s="125"/>
      <x:c r="CL47" s="125"/>
      <x:c r="CM47" s="125"/>
      <x:c r="CN47" s="125"/>
      <x:c r="CO47" s="125"/>
      <x:c r="CP47" s="125"/>
      <x:c r="CQ47" s="125"/>
      <x:c r="CR47" s="125"/>
      <x:c r="CS47" s="125"/>
      <x:c r="CT47" s="125"/>
      <x:c r="CU47" s="125"/>
      <x:c r="CV47" s="125"/>
      <x:c r="CW47" s="125"/>
      <x:c r="CX47" s="125"/>
      <x:c r="CY47" s="125"/>
      <x:c r="DD47" s="125"/>
      <x:c r="DE47" s="125"/>
      <x:c r="DF47" s="125"/>
      <x:c r="DG47" s="125"/>
      <x:c r="DH47" s="170"/>
      <x:c r="DI47" s="170"/>
      <x:c r="DJ47" s="170"/>
      <x:c r="DK47" s="170"/>
      <x:c r="DL47" s="170"/>
      <x:c r="DM47" s="170"/>
      <x:c r="DN47" s="170"/>
      <x:c r="DO47" s="170"/>
      <x:c r="DP47" s="170"/>
      <x:c r="DQ47" s="170"/>
      <x:c r="DR47" s="170"/>
      <x:c r="DS47" s="170"/>
      <x:c r="DT47" s="170"/>
      <x:c r="DU47" s="170"/>
      <x:c r="DV47" s="170"/>
      <x:c r="DW47" s="170"/>
      <x:c r="DX47" s="170"/>
      <x:c r="DY47" s="170"/>
      <x:c r="DZ47" s="170"/>
      <x:c r="EA47" s="170"/>
      <x:c r="EB47" s="170"/>
      <x:c r="EC47" s="170"/>
      <x:c r="ED47" s="170"/>
      <x:c r="EE47" s="170"/>
      <x:c r="EF47" s="170"/>
      <x:c r="EG47" s="170"/>
      <x:c r="EH47" s="170"/>
      <x:c r="EI47" s="170"/>
      <x:c r="EJ47" s="170"/>
      <x:c r="EK47" s="170"/>
      <x:c r="EL47" s="122"/>
      <x:c r="EM47" s="122"/>
      <x:c r="EN47" s="124"/>
      <x:c r="EO47" s="122"/>
      <x:c r="EP47" s="123"/>
      <x:c r="EQ47" s="123"/>
      <x:c r="ER47" s="123"/>
      <x:c r="ES47" s="126"/>
      <x:c r="ET47" s="122"/>
      <x:c r="EU47" s="122"/>
      <x:c r="EV47" s="122"/>
      <x:c r="EW47" s="122"/>
      <x:c r="EX47" s="122"/>
      <x:c r="EY47" s="122"/>
      <x:c r="EZ47" s="122"/>
      <x:c r="FA47" s="122"/>
      <x:c r="FB47" s="122"/>
      <x:c r="FC47" s="122"/>
      <x:c r="FD47" s="122"/>
      <x:c r="FE47" s="122"/>
      <x:c r="FF47" s="122"/>
      <x:c r="FG47" s="122"/>
      <x:c r="FH47" s="122"/>
      <x:c r="FI47" s="122"/>
      <x:c r="FJ47" s="122"/>
      <x:c r="FK47" s="122"/>
      <x:c r="FL47" s="122"/>
      <x:c r="FM47" s="122"/>
      <x:c r="FN47" s="122"/>
      <x:c r="FO47" s="122"/>
      <x:c r="FP47" s="122"/>
      <x:c r="FQ47" s="122"/>
      <x:c r="FR47" s="122"/>
      <x:c r="FS47" s="122"/>
      <x:c r="FT47" s="122"/>
      <x:c r="FU47" s="122"/>
      <x:c r="FV47" s="122"/>
      <x:c r="FW47" s="122"/>
      <x:c r="FX47" s="122"/>
      <x:c r="FY47" s="122"/>
      <x:c r="FZ47" s="124"/>
      <x:c r="GA47" s="122"/>
      <x:c r="GB47" s="171"/>
      <x:c r="GC47" s="171"/>
      <x:c r="GD47" s="171"/>
      <x:c r="GE47" s="171"/>
      <x:c r="GF47" s="171"/>
      <x:c r="GG47" s="171"/>
      <x:c r="GH47" s="171"/>
      <x:c r="GI47" s="171"/>
      <x:c r="GJ47" s="171"/>
      <x:c r="GK47" s="171"/>
      <x:c r="GL47" s="171"/>
      <x:c r="GM47" s="171"/>
      <x:c r="GN47" s="171"/>
      <x:c r="GO47" s="171"/>
      <x:c r="GP47" s="171"/>
      <x:c r="GQ47" s="171"/>
      <x:c r="GR47" s="125"/>
      <x:c r="GS47" s="125"/>
      <x:c r="GT47" s="125"/>
      <x:c r="GU47" s="125"/>
      <x:c r="GV47" s="125"/>
      <x:c r="GW47" s="125"/>
      <x:c r="GX47" s="125"/>
      <x:c r="GY47" s="125"/>
      <x:c r="GZ47" s="125"/>
      <x:c r="HA47" s="125"/>
      <x:c r="HB47" s="125"/>
      <x:c r="HC47" s="125"/>
      <x:c r="HD47" s="125"/>
      <x:c r="HE47" s="125"/>
      <x:c r="HF47" s="125"/>
      <x:c r="HG47" s="125"/>
      <x:c r="HH47" s="125"/>
      <x:c r="HI47" s="125"/>
      <x:c r="HJ47" s="125"/>
      <x:c r="HK47" s="125"/>
      <x:c r="HL47" s="125"/>
      <x:c r="HM47" s="125"/>
      <x:c r="HN47" s="125"/>
      <x:c r="HO47" s="125"/>
      <x:c r="HP47" s="170"/>
      <x:c r="HQ47" s="125"/>
      <x:c r="HR47" s="125"/>
      <x:c r="HS47" s="125"/>
      <x:c r="HT47" s="125"/>
      <x:c r="HU47" s="125"/>
      <x:c r="HV47" s="125"/>
      <x:c r="HW47" s="125"/>
      <x:c r="HX47" s="125"/>
      <x:c r="HY47" s="125"/>
      <x:c r="HZ47" s="125"/>
      <x:c r="IA47" s="125"/>
      <x:c r="IB47" s="125"/>
      <x:c r="IC47" s="125"/>
      <x:c r="ID47" s="125"/>
      <x:c r="IE47" s="125"/>
      <x:c r="IF47" s="125"/>
      <x:c r="IG47" s="125"/>
      <x:c r="IH47" s="125"/>
      <x:c r="II47" s="125"/>
      <x:c r="IJ47" s="125"/>
      <x:c r="IK47" s="125"/>
      <x:c r="IL47" s="125"/>
      <x:c r="IM47" s="125"/>
      <x:c r="IN47" s="125"/>
      <x:c r="IO47" s="125"/>
      <x:c r="IP47" s="125"/>
      <x:c r="IQ47" s="125"/>
      <x:c r="IR47" s="125"/>
      <x:c r="IS47" s="125"/>
      <x:c r="IT47" s="125"/>
      <x:c r="IU47" s="125"/>
    </x:row>
    <x:row r="48" spans="1:272" ht="12" hidden="1" customHeight="1" thickTop="1" thickBot="1" x14ac:dyDescent="0.25">
      <x:c r="B48" s="184">
        <x:f>SUM(B14:B45)</x:f>
        <x:v>62</x:v>
      </x:c>
      <x:c r="CA48" s="138"/>
      <x:c r="CB48" s="125"/>
      <x:c r="CC48" s="125"/>
      <x:c r="CD48" s="125"/>
      <x:c r="CE48" s="125"/>
      <x:c r="CF48" s="125"/>
      <x:c r="CG48" s="125"/>
      <x:c r="CH48" s="125"/>
      <x:c r="CI48" s="125"/>
      <x:c r="CJ48" s="125"/>
      <x:c r="CK48" s="125"/>
      <x:c r="CL48" s="125"/>
      <x:c r="CM48" s="125"/>
      <x:c r="CN48" s="125"/>
      <x:c r="CO48" s="125"/>
      <x:c r="CP48" s="125"/>
      <x:c r="CQ48" s="125"/>
      <x:c r="CR48" s="125"/>
      <x:c r="CS48" s="125"/>
      <x:c r="CT48" s="125"/>
      <x:c r="CU48" s="125"/>
      <x:c r="CV48" s="125"/>
      <x:c r="CW48" s="125"/>
      <x:c r="CX48" s="125"/>
      <x:c r="CY48" s="125"/>
      <x:c r="DD48" s="122"/>
      <x:c r="DE48" s="122"/>
      <x:c r="DF48" s="122"/>
      <x:c r="DG48" s="122"/>
      <x:c r="DH48" s="170"/>
      <x:c r="DI48" s="170"/>
      <x:c r="DJ48" s="170"/>
      <x:c r="DK48" s="170"/>
      <x:c r="DL48" s="170"/>
      <x:c r="DM48" s="170"/>
      <x:c r="DN48" s="170"/>
      <x:c r="DO48" s="170"/>
      <x:c r="DP48" s="170"/>
      <x:c r="DQ48" s="170"/>
      <x:c r="DR48" s="170"/>
      <x:c r="DS48" s="170"/>
      <x:c r="DT48" s="170"/>
      <x:c r="DU48" s="170"/>
      <x:c r="DV48" s="170"/>
      <x:c r="DW48" s="170"/>
      <x:c r="DX48" s="170"/>
      <x:c r="DY48" s="170"/>
      <x:c r="DZ48" s="170"/>
      <x:c r="EA48" s="170"/>
      <x:c r="EB48" s="170"/>
      <x:c r="EC48" s="170"/>
      <x:c r="ED48" s="170"/>
      <x:c r="EE48" s="170"/>
      <x:c r="EF48" s="170"/>
      <x:c r="EG48" s="170"/>
      <x:c r="EH48" s="170"/>
      <x:c r="EI48" s="170"/>
      <x:c r="EJ48" s="170"/>
      <x:c r="EK48" s="170"/>
      <x:c r="EL48" s="122"/>
      <x:c r="EM48" s="122"/>
      <x:c r="EN48" s="124"/>
      <x:c r="EO48" s="122"/>
      <x:c r="EP48" s="123"/>
      <x:c r="EQ48" s="123"/>
      <x:c r="ER48" s="123"/>
      <x:c r="ES48" s="126"/>
      <x:c r="ET48" s="122"/>
      <x:c r="EU48" s="122"/>
      <x:c r="EV48" s="122"/>
      <x:c r="EW48" s="122"/>
      <x:c r="EX48" s="122"/>
      <x:c r="EY48" s="122"/>
      <x:c r="EZ48" s="122"/>
      <x:c r="FA48" s="122"/>
      <x:c r="FB48" s="122"/>
      <x:c r="FC48" s="122"/>
      <x:c r="FD48" s="122"/>
      <x:c r="FE48" s="122"/>
      <x:c r="FF48" s="122"/>
      <x:c r="FG48" s="122"/>
      <x:c r="FH48" s="122"/>
      <x:c r="FI48" s="122"/>
      <x:c r="FJ48" s="122"/>
      <x:c r="FK48" s="122"/>
      <x:c r="FL48" s="122"/>
      <x:c r="FM48" s="122"/>
      <x:c r="FZ48" s="1162" t="s">
        <x:v>1102</x:v>
      </x:c>
      <x:c r="GA48" s="722" t="str">
        <x:f>IF(GF48="","",CE48)</x:f>
        <x:v/>
      </x:c>
      <x:c r="GB48" s="770" t="str">
        <x:f>IF(GF48="","",CF48)</x:f>
        <x:v/>
      </x:c>
      <x:c r="GC48" s="772" t="str">
        <x:f>IF(GF48="","",IF(CD88="",0,CD88))</x:f>
        <x:v/>
      </x:c>
      <x:c r="GD48" s="773" t="str">
        <x:f>IF(GF48="","",IF(CM88="",0,CM88))</x:f>
        <x:v/>
      </x:c>
      <x:c r="GE48" s="771" t="str">
        <x:f>IF(GF48="","",IF(ISBLANK(CU48),IF(X48=Y48,0,MAX(ABS(X48),ABS(Y48))*IF(X48&lt;0,-1,1)),CU48))</x:f>
        <x:v/>
      </x:c>
      <x:c r="GF48" s="723" t="str">
        <x:f>IF(A48=0,"",A48)</x:f>
        <x:v/>
      </x:c>
      <x:c r="GG48" s="1457"/>
      <x:c r="GH48" s="1459"/>
      <x:c r="GI48" s="1457"/>
      <x:c r="GJ48" s="1459"/>
      <x:c r="GK48" s="171"/>
      <x:c r="GL48" s="171"/>
      <x:c r="GM48" s="171"/>
      <x:c r="GN48" s="171"/>
      <x:c r="GO48" s="171"/>
      <x:c r="GP48" s="171"/>
      <x:c r="GQ48" s="171"/>
      <x:c r="GR48" s="194" t="str">
        <x:f>IF(ISERROR(VLOOKUP($CB48,#REF!,HA$7,FALSE)),"",VLOOKUP($CB48,#REF!,HA$7,FALSE))</x:f>
        <x:v/>
      </x:c>
      <x:c r="GS48" s="195" t="str">
        <x:f>IF(ISERROR(VLOOKUP($CB48,#REF!,HB$7,FALSE)),"",IF(VLOOKUP($CB48,#REF!,HB$7,FALSE)="","",VLOOKUP($CB48,#REF!,HB$7,FALSE)))</x:f>
        <x:v/>
      </x:c>
      <x:c r="GT48" s="196" t="str">
        <x:f>IF(ISERROR(VLOOKUP($CB48,#REF!,HC$7,FALSE)),"",IF(VLOOKUP($CB48,#REF!,HC$7,FALSE)="","",VLOOKUP($CB48,#REF!,HC$7,FALSE)))</x:f>
        <x:v/>
      </x:c>
      <x:c r="GU48" s="197" t="str">
        <x:f>IF(ISERROR(VLOOKUP($CB48,#REF!,HD$7,FALSE)),"",IF(VLOOKUP($CB48,#REF!,HD$7,FALSE)="","",VLOOKUP($CB48,#REF!,HD$7,FALSE)))</x:f>
        <x:v/>
      </x:c>
      <x:c r="GV48" s="198" t="str">
        <x:f>IF(ISERROR(VLOOKUP($CB48,#REF!,HE$7,FALSE)),"",IF(VLOOKUP($CB48,#REF!,HE$7,FALSE)="","",VLOOKUP($CB48,#REF!,HE$7,FALSE)))</x:f>
        <x:v/>
      </x:c>
      <x:c r="GW48" s="199" t="str">
        <x:f>IF(ISERROR(VLOOKUP($CB48,#REF!,HF$7,FALSE)),"",IF(VLOOKUP($CB48,#REF!,HF$7,FALSE)="","",VLOOKUP($CB48,#REF!,HF$7,FALSE)))</x:f>
        <x:v/>
      </x:c>
      <x:c r="GX48" s="200" t="str">
        <x:f>IF(ISERROR(VLOOKUP($CB48,#REF!,HG$7,FALSE)),"",IF(VLOOKUP($CB48,#REF!,HG$7,FALSE)="","",VLOOKUP($CB48,#REF!,HG$7,FALSE)))</x:f>
        <x:v/>
      </x:c>
      <x:c r="GY48" s="201" t="str">
        <x:f>IF(ISERROR(VLOOKUP($CB48,#REF!,HH$7,FALSE)),"",IF(VLOOKUP($CB48,#REF!,HH$7,FALSE)="","",VLOOKUP($CB48,#REF!,HH$7,FALSE)))</x:f>
        <x:v/>
      </x:c>
      <x:c r="GZ48" s="200" t="str">
        <x:f>IF(ISERROR(VLOOKUP($CB48,#REF!,HI$7,FALSE)),"",IF(VLOOKUP($CB48,#REF!,HI$7,FALSE)="","",VLOOKUP($CB48,#REF!,HI$7,FALSE)))</x:f>
        <x:v/>
      </x:c>
      <x:c r="HA48" s="201" t="str">
        <x:f>IF(ISERROR(VLOOKUP($CB48,#REF!,HJ$7,FALSE)),"",IF(VLOOKUP($CB48,#REF!,HJ$7,FALSE)="","",VLOOKUP($CB48,#REF!,HJ$7,FALSE)))</x:f>
        <x:v/>
      </x:c>
      <x:c r="HB48" s="202" t="str">
        <x:f>IF(ISERROR(VLOOKUP($CB48,#REF!,HK$7,FALSE)),"",IF(VLOOKUP($CB48,#REF!,HK$7,FALSE)="","",VLOOKUP($CB48,#REF!,HK$7,FALSE)))</x:f>
        <x:v/>
      </x:c>
      <x:c r="HC48" s="203" t="str">
        <x:f>IF(ISERROR(VLOOKUP($CB48,#REF!,HL$7,FALSE)),"",IF(VLOOKUP($CB48,#REF!,HL$7,FALSE)="","",VLOOKUP($CB48,#REF!,HL$7,FALSE)))</x:f>
        <x:v/>
      </x:c>
      <x:c r="HD48" s="199" t="str">
        <x:f>IF(ISERROR(VLOOKUP($CB48,#REF!,HM$7,FALSE)),"",IF(VLOOKUP($CB48,#REF!,HM$7,FALSE)="","",VLOOKUP($CB48,#REF!,HM$7,FALSE)))</x:f>
        <x:v/>
      </x:c>
      <x:c r="HE48" s="200" t="str">
        <x:f>IF(ISERROR(VLOOKUP($CB48,#REF!,HN$7,FALSE)),"",IF(VLOOKUP($CB48,#REF!,HN$7,FALSE)="","",VLOOKUP($CB48,#REF!,HN$7,FALSE)))</x:f>
        <x:v/>
      </x:c>
      <x:c r="HF48" s="201" t="str">
        <x:f>IF(ISERROR(VLOOKUP($CB48,#REF!,HO$7,FALSE)),"",IF(VLOOKUP($CB48,#REF!,HO$7,FALSE)="","",VLOOKUP($CB48,#REF!,HO$7,FALSE)))</x:f>
        <x:v/>
      </x:c>
      <x:c r="HG48" s="200" t="str">
        <x:f>IF(ISERROR(VLOOKUP($CB48,#REF!,HP$7,FALSE)),"",IF(VLOOKUP($CB48,#REF!,HP$7,FALSE)="","",VLOOKUP($CB48,#REF!,HP$7,FALSE)))</x:f>
        <x:v/>
      </x:c>
      <x:c r="HH48" s="201" t="str">
        <x:f>IF(ISERROR(VLOOKUP($CB48,#REF!,HQ$7,FALSE)),"",IF(VLOOKUP($CB48,#REF!,HQ$7,FALSE)="","",VLOOKUP($CB48,#REF!,HQ$7,FALSE)))</x:f>
        <x:v/>
      </x:c>
      <x:c r="HI48" s="202" t="str">
        <x:f>IF(ISERROR(VLOOKUP($CB48,#REF!,HR$7,FALSE)),"",IF(VLOOKUP($CB48,#REF!,HR$7,FALSE)="","",VLOOKUP($CB48,#REF!,HR$7,FALSE)))</x:f>
        <x:v/>
      </x:c>
      <x:c r="HJ48" s="203" t="str">
        <x:f>IF(ISERROR(VLOOKUP($CB48,#REF!,HS$7,FALSE)),"",IF(VLOOKUP($CB48,#REF!,HS$7,FALSE)="","",VLOOKUP($CB48,#REF!,HS$7,FALSE)))</x:f>
        <x:v/>
      </x:c>
      <x:c r="HK48" s="204" t="str">
        <x:f>IF(ISERROR(VLOOKUP($CB48,#REF!,HT$7,FALSE)),"",IF(VLOOKUP($CB48,#REF!,HT$7,FALSE)="","",VLOOKUP($CB48,#REF!,HT$7,FALSE)))</x:f>
        <x:v/>
      </x:c>
      <x:c r="HL48" s="194" t="str">
        <x:f>IF(ISERROR(VLOOKUP($CB48,#REF!,HU$7,FALSE)),"",IF(VLOOKUP($CB48,#REF!,HU$7,FALSE)="","",VLOOKUP($CB48,#REF!,HU$7,FALSE)))</x:f>
        <x:v/>
      </x:c>
      <x:c r="HM48" s="205" t="str">
        <x:f>IF(ISERROR(VLOOKUP($CB48,#REF!,HV$7,FALSE)),"",IF(VLOOKUP($CB48,#REF!,HV$7,FALSE)="","",VLOOKUP($CB48,#REF!,HV$7,FALSE)))</x:f>
        <x:v/>
      </x:c>
      <x:c r="HN48" s="206" t="str">
        <x:f>IF(ISERROR(VLOOKUP($CB48,#REF!,HW$7,FALSE)),"",IF(VLOOKUP($CB48,#REF!,HW$7,FALSE)="","",VLOOKUP($CB48,#REF!,HW$7,FALSE)))</x:f>
        <x:v/>
      </x:c>
      <x:c r="HO48" s="207" t="str">
        <x:f>IF(ISERROR(VLOOKUP($CB48,#REF!,HX$7,FALSE)),"",IF(VLOOKUP($CB48,#REF!,HX$7,FALSE)="","",VLOOKUP($CB48,#REF!,HX$7,FALSE)))</x:f>
        <x:v/>
      </x:c>
      <x:c r="HP48" s="186">
        <x:f>IF(IU48="",0,1)</x:f>
        <x:v>0</x:v>
      </x:c>
      <x:c r="HQ48" s="194" t="str">
        <x:f ca="1">IF($HP48=0,"",IF(ISBLANK(OFFSET(#REF!,MATCH(OFFSET($DH48,($HP48-1)*-1,0),#REF!,0)+($HP48-2),HZ$9-1)),"",OFFSET(#REF!,MATCH(OFFSET($DH48,($HP48-1)*-1,0),#REF!,0)+($HP48-2),HZ$9-1)))</x:f>
        <x:v/>
      </x:c>
      <x:c r="HR48" s="208" t="str">
        <x:f ca="1">IF($HP48=0,"",IF(ISBLANK(OFFSET(#REF!,MATCH(OFFSET($DH48,($HP48-1)*-1,0),#REF!,0)+($HP48-2),IA$9-1)),"",OFFSET(#REF!,MATCH(OFFSET($DH48,($HP48-1)*-1,0),#REF!,0)+($HP48-2),IA$9-1)))</x:f>
        <x:v/>
      </x:c>
      <x:c r="HS48" s="209" t="str">
        <x:f ca="1">IF($HP48=0,"",IF(ISBLANK(OFFSET(#REF!,MATCH(OFFSET($DH48,($HP48-1)*-1,0),#REF!,0)+($HP48-2),IB$9-1)),"",OFFSET(#REF!,MATCH(OFFSET($DH48,($HP48-1)*-1,0),#REF!,0)+($HP48-2),IB$9-1)))</x:f>
        <x:v/>
      </x:c>
      <x:c r="HT48" s="210" t="str">
        <x:f ca="1">IF($HP48=0,"",IF(ISBLANK(OFFSET(#REF!,MATCH(OFFSET($DH48,($HP48-1)*-1,0),#REF!,0)+($HP48-2),IC$9-1)),"",OFFSET(#REF!,MATCH(OFFSET($DH48,($HP48-1)*-1,0),#REF!,0)+($HP48-2),IC$9-1)))</x:f>
        <x:v/>
      </x:c>
      <x:c r="HU48" s="211" t="str">
        <x:f ca="1">IF($HP48=0,"",IF(ISBLANK(OFFSET(#REF!,MATCH(OFFSET($DH48,($HP48-1)*-1,0),#REF!,0)+($HP48-2),ID$9-1)),"",OFFSET(#REF!,MATCH(OFFSET($DH48,($HP48-1)*-1,0),#REF!,0)+($HP48-2),ID$9-1)))</x:f>
        <x:v/>
      </x:c>
      <x:c r="HV48" s="212" t="str">
        <x:f ca="1">IF($HP48=0,"",IF(ISBLANK(OFFSET(#REF!,MATCH(OFFSET($DH48,($HP48-1)*-1,0),#REF!,0)+($HP48-2),IE$9-1)),"",OFFSET(#REF!,MATCH(OFFSET($DH48,($HP48-1)*-1,0),#REF!,0)+($HP48-2),IE$9-1)))</x:f>
        <x:v/>
      </x:c>
      <x:c r="HW48" s="213" t="str">
        <x:f ca="1">IF($HP48=0,"",IF(ISBLANK(OFFSET(#REF!,MATCH(OFFSET($DH48,($HP48-1)*-1,0),#REF!,0)+($HP48-2),IF$9-1)),"",OFFSET(#REF!,MATCH(OFFSET($DH48,($HP48-1)*-1,0),#REF!,0)+($HP48-2),IF$9-1)))</x:f>
        <x:v/>
      </x:c>
      <x:c r="HX48" s="214" t="str">
        <x:f ca="1">IF($HP48=0,"",IF(ISBLANK(OFFSET(#REF!,MATCH(OFFSET($DH48,($HP48-1)*-1,0),#REF!,0)+($HP48-2),IG$9-1)),"",OFFSET(#REF!,MATCH(OFFSET($DH48,($HP48-1)*-1,0),#REF!,0)+($HP48-2),IG$9-1)))</x:f>
        <x:v/>
      </x:c>
      <x:c r="HY48" s="215" t="str">
        <x:f ca="1">IF($HP48=0,"",IF(ISBLANK(OFFSET(#REF!,MATCH(OFFSET($DH48,($HP48-1)*-1,0),#REF!,0)+($HP48-2),IH$9-1)),"",OFFSET(#REF!,MATCH(OFFSET($DH48,($HP48-1)*-1,0),#REF!,0)+($HP48-2),IH$9-1)))</x:f>
        <x:v/>
      </x:c>
      <x:c r="HZ48" s="216" t="str">
        <x:f ca="1">IF($HP48=0,"",IF(ISBLANK(OFFSET(#REF!,MATCH(OFFSET($DH48,($HP48-1)*-1,0),#REF!,0)+($HP48-2),II$9-1)),"",OFFSET(#REF!,MATCH(OFFSET($DH48,($HP48-1)*-1,0),#REF!,0)+($HP48-2),II$9-1)))</x:f>
        <x:v/>
      </x:c>
      <x:c r="IA48" s="216" t="str">
        <x:f ca="1">IF($HP48=0,"",IF(ISBLANK(OFFSET(#REF!,MATCH(OFFSET($DH48,($HP48-1)*-1,0),#REF!,0)+($HP48-2),IJ$9-1)),"",OFFSET(#REF!,MATCH(OFFSET($DH48,($HP48-1)*-1,0),#REF!,0)+($HP48-2),IJ$9-1)))</x:f>
        <x:v/>
      </x:c>
      <x:c r="IB48" s="216" t="str">
        <x:f ca="1">IF($HP48=0,"",IF(ISBLANK(OFFSET(#REF!,MATCH(OFFSET($DH48,($HP48-1)*-1,0),#REF!,0)+($HP48-2),IK$9-1)),"",OFFSET(#REF!,MATCH(OFFSET($DH48,($HP48-1)*-1,0),#REF!,0)+($HP48-2),IK$9-1)))</x:f>
        <x:v/>
      </x:c>
      <x:c r="IC48" s="217" t="str">
        <x:f ca="1">IF($HP48=0,"",IF(ISBLANK(OFFSET(#REF!,MATCH(OFFSET($DH48,($HP48-1)*-1,0),#REF!,0)+($HP48-2),IL$9-1)),"",OFFSET(#REF!,MATCH(OFFSET($DH48,($HP48-1)*-1,0),#REF!,0)+($HP48-2),IL$9-1)))</x:f>
        <x:v/>
      </x:c>
      <x:c r="ID48" s="218" t="str">
        <x:f ca="1">IF($HP48=0,"",IF(ISBLANK(OFFSET(#REF!,MATCH(OFFSET($DH48,($HP48-1)*-1,0),#REF!,0)+($HP48-2),IM$9-1)),"",OFFSET(#REF!,MATCH(OFFSET($DH48,($HP48-1)*-1,0),#REF!,0)+($HP48-2),IM$9-1)))</x:f>
        <x:v/>
      </x:c>
      <x:c r="IE48" s="219" t="str">
        <x:f ca="1">IF($HP48=0,"",IF(ISBLANK(OFFSET(#REF!,MATCH(OFFSET($DH48,($HP48-1)*-1,0),#REF!,0)+($HP48-2),IN$9-1)),"",OFFSET(#REF!,MATCH(OFFSET($DH48,($HP48-1)*-1,0),#REF!,0)+($HP48-2),IN$9-1)))</x:f>
        <x:v/>
      </x:c>
      <x:c r="IF48" s="220" t="str">
        <x:f ca="1">IF($HP48=0,"",IF(ISBLANK(OFFSET(#REF!,MATCH(OFFSET($DH48,($HP48-1)*-1,0),#REF!,0)+($HP48-2),IO$9-1)),"",OFFSET(#REF!,MATCH(OFFSET($DH48,($HP48-1)*-1,0),#REF!,0)+($HP48-2),IO$9-1)))</x:f>
        <x:v/>
      </x:c>
      <x:c r="IG48" s="221" t="str">
        <x:f ca="1">IF($HP48=0,"",IF(ISBLANK(OFFSET(#REF!,MATCH(OFFSET($DH48,($HP48-1)*-1,0),#REF!,0)+($HP48-2),IP$9-1)),"",OFFSET(#REF!,MATCH(OFFSET($DH48,($HP48-1)*-1,0),#REF!,0)+($HP48-2),IP$9-1)))</x:f>
        <x:v/>
      </x:c>
      <x:c r="IH48" s="222" t="str">
        <x:f ca="1">IF($HP48=0,"",IF(ISBLANK(OFFSET(#REF!,MATCH(OFFSET($DH48,($HP48-1)*-1,0),#REF!,0)+($HP48-2),IQ$9-1)),"",OFFSET(#REF!,MATCH(OFFSET($DH48,($HP48-1)*-1,0),#REF!,0)+($HP48-2),IQ$9-1)))</x:f>
        <x:v/>
      </x:c>
      <x:c r="II48" s="219" t="str">
        <x:f ca="1">IF($HP48=0,"",IF(ISBLANK(OFFSET(#REF!,MATCH(OFFSET($DH48,($HP48-1)*-1,0),#REF!,0)+($HP48-2),IR$9-1)),"",OFFSET(#REF!,MATCH(OFFSET($DH48,($HP48-1)*-1,0),#REF!,0)+($HP48-2),IR$9-1)))</x:f>
        <x:v/>
      </x:c>
      <x:c r="IJ48" s="220" t="str">
        <x:f ca="1">IF($HP48=0,"",IF(ISBLANK(OFFSET(#REF!,MATCH(OFFSET($DH48,($HP48-1)*-1,0),#REF!,0)+($HP48-2),IS$9-1)),"",OFFSET(#REF!,MATCH(OFFSET($DH48,($HP48-1)*-1,0),#REF!,0)+($HP48-2),IS$9-1)))</x:f>
        <x:v/>
      </x:c>
      <x:c r="IK48" s="221" t="str">
        <x:f ca="1">IF($HP48=0,"",IF(ISBLANK(OFFSET(#REF!,MATCH(OFFSET($DH48,($HP48-1)*-1,0),#REF!,0)+($HP48-2),IT$9-1)),"",OFFSET(#REF!,MATCH(OFFSET($DH48,($HP48-1)*-1,0),#REF!,0)+($HP48-2),IT$9-1)))</x:f>
        <x:v/>
      </x:c>
      <x:c r="IL48" s="222" t="str">
        <x:f ca="1">IF($HP48=0,"",IF(ISBLANK(OFFSET(#REF!,MATCH(OFFSET($DH48,($HP48-1)*-1,0),#REF!,0)+($HP48-2),IU$9-1)),"",OFFSET(#REF!,MATCH(OFFSET($DH48,($HP48-1)*-1,0),#REF!,0)+($HP48-2),IU$9-1)))</x:f>
        <x:v/>
      </x:c>
      <x:c r="IM48" s="219" t="str">
        <x:f ca="1">IF($HP48=0,"",IF(ISBLANK(OFFSET(#REF!,MATCH(OFFSET($DH48,($HP48-1)*-1,0),#REF!,0)+($HP48-2),IV$9-1)),"",OFFSET(#REF!,MATCH(OFFSET($DH48,($HP48-1)*-1,0),#REF!,0)+($HP48-2),IV$9-1)))</x:f>
        <x:v/>
      </x:c>
      <x:c r="IN48" s="223" t="str">
        <x:f ca="1">IF($HP48=0,"",IF(ISBLANK(OFFSET(#REF!,MATCH(OFFSET($DH48,($HP48-1)*-1,0),#REF!,0)+($HP48-2),IW$9-1)),"",OFFSET(#REF!,MATCH(OFFSET($DH48,($HP48-1)*-1,0),#REF!,0)+($HP48-2),IW$9-1)))</x:f>
        <x:v/>
      </x:c>
      <x:c r="IO48" s="221" t="str">
        <x:f ca="1">IF($HP48=0,"",IF(ISBLANK(OFFSET(#REF!,MATCH(OFFSET($DH48,($HP48-1)*-1,0),#REF!,0)+($HP48-2),IX$9-1)),"",OFFSET(#REF!,MATCH(OFFSET($DH48,($HP48-1)*-1,0),#REF!,0)+($HP48-2),IX$9-1)))</x:f>
        <x:v/>
      </x:c>
      <x:c r="IP48" s="222" t="str">
        <x:f ca="1">IF($HP48=0,"",IF(ISBLANK(OFFSET(#REF!,MATCH(OFFSET($DH48,($HP48-1)*-1,0),#REF!,0)+($HP48-2),IY$9-1)),"",OFFSET(#REF!,MATCH(OFFSET($DH48,($HP48-1)*-1,0),#REF!,0)+($HP48-2),IY$9-1)))</x:f>
        <x:v/>
      </x:c>
      <x:c r="IQ48" s="224" t="str">
        <x:f ca="1">IF($HP48=0,"",IF(ISBLANK(OFFSET(#REF!,MATCH(OFFSET($DH48,($HP48-1)*-1,0),#REF!,0)+($HP48-2),IZ$9-1)),"",OFFSET(#REF!,MATCH(OFFSET($DH48,($HP48-1)*-1,0),#REF!,0)+($HP48-2),IZ$9-1)))</x:f>
        <x:v/>
      </x:c>
      <x:c r="IR48" s="223" t="str">
        <x:f ca="1">IF($HP48=0,"",IF(ISBLANK(OFFSET(#REF!,MATCH(OFFSET($DH48,($HP48-1)*-1,0),#REF!,0)+($HP48-2),JA$9-1)),"",OFFSET(#REF!,MATCH(OFFSET($DH48,($HP48-1)*-1,0),#REF!,0)+($HP48-2),JA$9-1)))</x:f>
        <x:v/>
      </x:c>
      <x:c r="IS48" s="221" t="str">
        <x:f ca="1">IF($HP48=0,"",IF(ISBLANK(OFFSET(#REF!,MATCH(OFFSET($DH48,($HP48-1)*-1,0),#REF!,0)+($HP48-2),JB$9-1)),"",OFFSET(#REF!,MATCH(OFFSET($DH48,($HP48-1)*-1,0),#REF!,0)+($HP48-2),JB$9-1)))</x:f>
        <x:v/>
      </x:c>
      <x:c r="IT48" s="225" t="str">
        <x:f ca="1">IF($HP48=0,"",IF(ISBLANK(OFFSET(#REF!,MATCH(OFFSET($DH48,($HP48-1)*-1,0),#REF!,0)+($HP48-2),JC$9-1)),"",OFFSET(#REF!,MATCH(OFFSET($DH48,($HP48-1)*-1,0),#REF!,0)+($HP48-2),JC$9-1)))</x:f>
        <x:v/>
      </x:c>
      <x:c r="IU48" s="226" t="str">
        <x:f>IF(ISERROR(VLOOKUP($DH48,#REF!,JD$9,FALSE)),"",IF(VLOOKUP($DH48,#REF!,JD$9,FALSE)="","",VLOOKUP($DH48,#REF!,JD$9,FALSE)))</x:f>
        <x:v/>
      </x:c>
    </x:row>
    <x:row r="49" spans="1:222" ht="12.6" hidden="1" customHeight="1" thickBot="1" x14ac:dyDescent="0.25">
      <x:c r="B49" s="283">
        <x:v>0</x:v>
      </x:c>
      <x:c r="C49" s="185"/>
      <x:c r="CI49" s="125"/>
      <x:c r="CJ49" s="125"/>
      <x:c r="CK49" s="125"/>
      <x:c r="CL49" s="125"/>
      <x:c r="CM49" s="125"/>
      <x:c r="CN49" s="125"/>
      <x:c r="CO49" s="125"/>
      <x:c r="GD49" s="171"/>
      <x:c r="GE49" s="171"/>
      <x:c r="GF49" s="171"/>
      <x:c r="GG49" s="171"/>
      <x:c r="GH49" s="171"/>
      <x:c r="GI49" s="171"/>
      <x:c r="GJ49" s="171"/>
      <x:c r="GK49" s="171"/>
      <x:c r="GL49" s="171"/>
      <x:c r="GM49" s="171"/>
      <x:c r="GN49" s="171"/>
      <x:c r="GO49" s="171"/>
      <x:c r="GP49" s="171"/>
      <x:c r="GQ49" s="171"/>
      <x:c r="GR49" s="171"/>
      <x:c r="GS49" s="171"/>
      <x:c r="GT49" s="171"/>
      <x:c r="GU49" s="171"/>
      <x:c r="GV49" s="171"/>
      <x:c r="GW49" s="171"/>
      <x:c r="GX49" s="171"/>
      <x:c r="GY49" s="171"/>
      <x:c r="GZ49" s="171"/>
      <x:c r="HB49" s="174"/>
      <x:c r="HC49" s="174"/>
      <x:c r="HD49" s="175"/>
      <x:c r="HE49" s="176"/>
      <x:c r="HF49" s="174"/>
      <x:c r="HG49" s="174"/>
      <x:c r="HH49" s="174"/>
      <x:c r="HI49" s="174"/>
      <x:c r="HJ49" s="174"/>
      <x:c r="HK49" s="174"/>
      <x:c r="HL49" s="174"/>
      <x:c r="HM49" s="174"/>
      <x:c r="HN49" s="174"/>
    </x:row>
    <x:row r="50" spans="1:222" ht="12.6" hidden="1" customHeight="1" thickBot="1" x14ac:dyDescent="0.25">
      <x:c r="BZ50" s="360"/>
      <x:c r="CA50" s="360"/>
      <x:c r="CB50" s="360"/>
      <x:c r="CC50" s="360"/>
      <x:c r="CD50" s="360"/>
      <x:c r="CE50" s="360"/>
      <x:c r="CF50" s="360"/>
      <x:c r="CG50" s="360"/>
      <x:c r="CH50" s="360"/>
      <x:c r="CI50" s="360"/>
      <x:c r="CJ50" s="360"/>
      <x:c r="CK50" s="360"/>
      <x:c r="CL50" s="360"/>
      <x:c r="CM50" s="360"/>
      <x:c r="CN50" s="360"/>
      <x:c r="CO50" s="360"/>
      <x:c r="CP50" s="360"/>
      <x:c r="CQ50" s="360"/>
      <x:c r="CR50" s="360"/>
      <x:c r="CS50" s="360"/>
      <x:c r="CT50" s="360"/>
      <x:c r="CU50" s="404"/>
      <x:c r="CV50" s="405"/>
      <x:c r="CW50" s="405"/>
      <x:c r="CX50" s="359"/>
      <x:c r="CY50" s="360"/>
      <x:c r="CZ50" s="360"/>
      <x:c r="DA50" s="360"/>
      <x:c r="DB50" s="360"/>
      <x:c r="DC50" s="360"/>
      <x:c r="DD50" s="360"/>
      <x:c r="DE50" s="360"/>
      <x:c r="DF50" s="360"/>
      <x:c r="DG50" s="360"/>
      <x:c r="DH50" s="360"/>
      <x:c r="DI50" s="377"/>
      <x:c r="DJ50" s="377"/>
      <x:c r="DK50" s="377"/>
      <x:c r="DL50" s="360"/>
      <x:c r="DM50" s="360"/>
      <x:c r="DN50" s="359"/>
      <x:c r="DO50" s="360"/>
      <x:c r="DP50" s="360"/>
      <x:c r="DQ50" s="360"/>
      <x:c r="DR50" s="360"/>
      <x:c r="DS50" s="360"/>
      <x:c r="DT50" s="360"/>
      <x:c r="DU50" s="360"/>
      <x:c r="DV50" s="360"/>
      <x:c r="DW50" s="360"/>
      <x:c r="DX50" s="360"/>
      <x:c r="DY50" s="360"/>
      <x:c r="DZ50" s="360"/>
      <x:c r="EA50" s="360"/>
      <x:c r="EB50" s="359"/>
      <x:c r="EC50" s="406"/>
      <x:c r="ED50" s="2385" t="s">
        <x:v>509</x:v>
      </x:c>
      <x:c r="EE50" s="2385" t="s">
        <x:v>562</x:v>
      </x:c>
      <x:c r="EF50" s="2385" t="s">
        <x:v>563</x:v>
      </x:c>
      <x:c r="EG50" s="2385" t="s">
        <x:v>564</x:v>
      </x:c>
      <x:c r="EH50" s="2385" t="s">
        <x:v>565</x:v>
      </x:c>
      <x:c r="EI50" s="2385" t="s">
        <x:v>566</x:v>
      </x:c>
      <x:c r="EJ50" s="2385" t="s">
        <x:v>567</x:v>
      </x:c>
      <x:c r="EK50" s="2385" t="s">
        <x:v>568</x:v>
      </x:c>
      <x:c r="EL50" s="2385" t="s">
        <x:v>510</x:v>
      </x:c>
      <x:c r="EM50" s="2385" t="s">
        <x:v>569</x:v>
      </x:c>
      <x:c r="EN50" s="2385" t="s">
        <x:v>623</x:v>
      </x:c>
      <x:c r="EO50" s="2385" t="s">
        <x:v>511</x:v>
      </x:c>
      <x:c r="EP50" s="2385" t="s">
        <x:v>570</x:v>
      </x:c>
      <x:c r="EQ50" s="2385" t="s">
        <x:v>512</x:v>
      </x:c>
      <x:c r="ER50" s="2385" t="s">
        <x:v>571</x:v>
      </x:c>
      <x:c r="ES50" s="2385" t="s">
        <x:v>624</x:v>
      </x:c>
      <x:c r="ET50" s="2385" t="s">
        <x:v>513</x:v>
      </x:c>
      <x:c r="EU50" s="2385" t="s">
        <x:v>514</x:v>
      </x:c>
      <x:c r="EV50" s="360"/>
      <x:c r="EW50" s="360"/>
      <x:c r="EX50" s="360"/>
      <x:c r="EY50" s="363"/>
      <x:c r="EZ50" s="363"/>
      <x:c r="FA50" s="363"/>
      <x:c r="FB50" s="360"/>
      <x:c r="FC50" s="360"/>
      <x:c r="FD50" s="360"/>
      <x:c r="FG50" s="139"/>
      <x:c r="FH50" s="139"/>
      <x:c r="FI50" s="139"/>
      <x:c r="FJ50" s="139"/>
      <x:c r="FK50" s="139"/>
      <x:c r="FL50" s="296"/>
      <x:c r="FM50" s="296"/>
      <x:c r="FN50" s="2553" t="s">
        <x:v>656</x:v>
      </x:c>
      <x:c r="FO50" s="2554"/>
      <x:c r="FP50" s="2554"/>
      <x:c r="FQ50" s="2554"/>
      <x:c r="FR50" s="2554"/>
      <x:c r="FS50" s="2555"/>
      <x:c r="FT50" s="2519" t="s">
        <x:v>657</x:v>
      </x:c>
      <x:c r="FU50" s="2520"/>
      <x:c r="FV50" s="2520"/>
      <x:c r="FW50" s="2520"/>
      <x:c r="FX50" s="2520"/>
      <x:c r="FY50" s="2520"/>
      <x:c r="FZ50" s="2521"/>
      <x:c r="GA50" s="295"/>
      <x:c r="GB50" s="295"/>
      <x:c r="GC50" s="295"/>
      <x:c r="GD50" s="295"/>
      <x:c r="GE50" s="295"/>
      <x:c r="GF50" s="295"/>
      <x:c r="GG50" s="295"/>
      <x:c r="GH50" s="295"/>
      <x:c r="GI50" s="295"/>
      <x:c r="GJ50" s="295"/>
      <x:c r="GK50" s="295"/>
      <x:c r="GL50" s="171"/>
      <x:c r="GM50" s="171"/>
      <x:c r="GN50" s="171"/>
      <x:c r="GO50" s="171"/>
      <x:c r="GP50" s="171"/>
      <x:c r="GQ50" s="171"/>
      <x:c r="GR50" s="171"/>
      <x:c r="GS50" s="171"/>
      <x:c r="GT50" s="171"/>
      <x:c r="GU50" s="171"/>
      <x:c r="GV50" s="171"/>
      <x:c r="GW50" s="171"/>
      <x:c r="GX50" s="171"/>
      <x:c r="GY50" s="171"/>
      <x:c r="GZ50" s="171"/>
      <x:c r="HB50" s="174"/>
      <x:c r="HC50" s="174"/>
      <x:c r="HD50" s="175"/>
      <x:c r="HE50" s="176"/>
      <x:c r="HF50" s="174"/>
      <x:c r="HG50" s="174"/>
      <x:c r="HH50" s="174"/>
      <x:c r="HI50" s="174"/>
      <x:c r="HJ50" s="174"/>
      <x:c r="HK50" s="174"/>
      <x:c r="HL50" s="174"/>
      <x:c r="HM50" s="174"/>
      <x:c r="HN50" s="174"/>
    </x:row>
    <x:row r="51" spans="1:222" ht="12.6" hidden="1" customHeight="1" thickTop="1" thickBot="1" x14ac:dyDescent="0.25">
      <x:c r="BZ51" s="360"/>
      <x:c r="CA51" s="360"/>
      <x:c r="CB51" s="360"/>
      <x:c r="CC51" s="2408" t="s">
        <x:v>654</x:v>
      </x:c>
      <x:c r="CD51" s="2409"/>
      <x:c r="CE51" s="2409"/>
      <x:c r="CF51" s="2409"/>
      <x:c r="CG51" s="2409"/>
      <x:c r="CH51" s="2409"/>
      <x:c r="CI51" s="2409"/>
      <x:c r="CJ51" s="2409"/>
      <x:c r="CK51" s="2410"/>
      <x:c r="CL51" s="2408" t="s">
        <x:v>507</x:v>
      </x:c>
      <x:c r="CM51" s="2409"/>
      <x:c r="CN51" s="2409"/>
      <x:c r="CO51" s="2409"/>
      <x:c r="CP51" s="2409"/>
      <x:c r="CQ51" s="2409"/>
      <x:c r="CR51" s="2409"/>
      <x:c r="CS51" s="2409"/>
      <x:c r="CT51" s="2410"/>
      <x:c r="CU51" s="407"/>
      <x:c r="CV51" s="408"/>
      <x:c r="CW51" s="408"/>
      <x:c r="CX51" s="408"/>
      <x:c r="CY51" s="408"/>
      <x:c r="CZ51" s="408"/>
      <x:c r="DA51" s="408"/>
      <x:c r="DB51" s="408"/>
      <x:c r="DC51" s="408"/>
      <x:c r="DD51" s="408"/>
      <x:c r="DE51" s="408"/>
      <x:c r="DF51" s="408"/>
      <x:c r="DG51" s="408"/>
      <x:c r="DH51" s="408"/>
      <x:c r="DI51" s="408"/>
      <x:c r="DJ51" s="408"/>
      <x:c r="DK51" s="408"/>
      <x:c r="DL51" s="408"/>
      <x:c r="DM51" s="408"/>
      <x:c r="DN51" s="409"/>
      <x:c r="DO51" s="408"/>
      <x:c r="DP51" s="408"/>
      <x:c r="DQ51" s="408"/>
      <x:c r="DR51" s="408"/>
      <x:c r="DS51" s="408"/>
      <x:c r="DT51" s="408"/>
      <x:c r="DU51" s="408"/>
      <x:c r="DV51" s="408"/>
      <x:c r="DW51" s="408"/>
      <x:c r="DX51" s="408"/>
      <x:c r="DY51" s="408"/>
      <x:c r="DZ51" s="408"/>
      <x:c r="EA51" s="408"/>
      <x:c r="EB51" s="410"/>
      <x:c r="EC51" s="411"/>
      <x:c r="ED51" s="2387"/>
      <x:c r="EE51" s="2386"/>
      <x:c r="EF51" s="2386"/>
      <x:c r="EG51" s="2395"/>
      <x:c r="EH51" s="2386"/>
      <x:c r="EI51" s="2386"/>
      <x:c r="EJ51" s="2386"/>
      <x:c r="EK51" s="2387"/>
      <x:c r="EL51" s="2387"/>
      <x:c r="EM51" s="2387"/>
      <x:c r="EN51" s="2386"/>
      <x:c r="EO51" s="2387"/>
      <x:c r="EP51" s="2387"/>
      <x:c r="EQ51" s="2387"/>
      <x:c r="ER51" s="2387"/>
      <x:c r="ES51" s="2387"/>
      <x:c r="ET51" s="2387"/>
      <x:c r="EU51" s="2387"/>
      <x:c r="EV51" s="360"/>
      <x:c r="EW51" s="360"/>
      <x:c r="EX51" s="2515" t="s">
        <x:v>658</x:v>
      </x:c>
      <x:c r="EY51" s="2606" t="s">
        <x:v>659</x:v>
      </x:c>
      <x:c r="EZ51" s="360"/>
      <x:c r="FA51" s="360"/>
      <x:c r="FB51" s="360"/>
      <x:c r="FC51" s="360"/>
      <x:c r="FD51" s="360"/>
      <x:c r="FF51" s="2603" t="s">
        <x:v>990</x:v>
      </x:c>
      <x:c r="FG51" s="2604"/>
      <x:c r="FH51" s="2604"/>
      <x:c r="FI51" s="2604"/>
      <x:c r="FL51" s="296"/>
      <x:c r="FM51" s="296"/>
      <x:c r="FN51" s="2556"/>
      <x:c r="FO51" s="2557"/>
      <x:c r="FP51" s="2557"/>
      <x:c r="FQ51" s="2557"/>
      <x:c r="FR51" s="2557"/>
      <x:c r="FS51" s="2558"/>
      <x:c r="FT51" s="2522"/>
      <x:c r="FU51" s="2523"/>
      <x:c r="FV51" s="2523"/>
      <x:c r="FW51" s="2523"/>
      <x:c r="FX51" s="2523"/>
      <x:c r="FY51" s="2523"/>
      <x:c r="FZ51" s="2524"/>
      <x:c r="GA51" s="295"/>
      <x:c r="GB51" s="295"/>
      <x:c r="GC51" s="295"/>
      <x:c r="GD51" s="295"/>
      <x:c r="GE51" s="295"/>
      <x:c r="GF51" s="295"/>
      <x:c r="GG51" s="295"/>
      <x:c r="GH51" s="295"/>
      <x:c r="GI51" s="295"/>
      <x:c r="GJ51" s="295"/>
      <x:c r="GK51" s="2"/>
      <x:c r="GL51" s="171"/>
      <x:c r="GM51" s="171"/>
      <x:c r="GN51" s="171"/>
      <x:c r="GO51" s="171"/>
      <x:c r="GP51" s="171"/>
      <x:c r="GQ51" s="171"/>
      <x:c r="GR51" s="171"/>
      <x:c r="GS51" s="171"/>
      <x:c r="GT51" s="171"/>
      <x:c r="GU51" s="171"/>
      <x:c r="GV51" s="171"/>
      <x:c r="GW51" s="171"/>
      <x:c r="GX51" s="171"/>
      <x:c r="GY51" s="171"/>
      <x:c r="GZ51" s="171"/>
      <x:c r="HB51" s="174"/>
      <x:c r="HC51" s="174"/>
      <x:c r="HD51" s="175"/>
      <x:c r="HE51" s="176"/>
      <x:c r="HF51" s="174"/>
      <x:c r="HG51" s="174"/>
      <x:c r="HH51" s="174"/>
      <x:c r="HI51" s="174"/>
      <x:c r="HJ51" s="174"/>
      <x:c r="HK51" s="174"/>
      <x:c r="HL51" s="174"/>
      <x:c r="HM51" s="174"/>
      <x:c r="HN51" s="174"/>
    </x:row>
    <x:row r="52" spans="1:222" ht="12.6" hidden="1" customHeight="1" thickTop="1" thickBot="1" x14ac:dyDescent="0.25">
      <x:c r="BZ52" s="360"/>
      <x:c r="CA52" s="360"/>
      <x:c r="CB52" s="2503" t="s">
        <x:v>653</x:v>
      </x:c>
      <x:c r="CC52" s="2401" t="s">
        <x:v>535</x:v>
      </x:c>
      <x:c r="CD52" s="2403" t="s">
        <x:v>536</x:v>
      </x:c>
      <x:c r="CE52" s="2403" t="s">
        <x:v>537</x:v>
      </x:c>
      <x:c r="CF52" s="2403" t="s">
        <x:v>538</x:v>
      </x:c>
      <x:c r="CG52" s="2403" t="s">
        <x:v>599</x:v>
      </x:c>
      <x:c r="CH52" s="2403" t="s">
        <x:v>539</x:v>
      </x:c>
      <x:c r="CI52" s="2403" t="s">
        <x:v>619</x:v>
      </x:c>
      <x:c r="CJ52" s="2403" t="s">
        <x:v>540</x:v>
      </x:c>
      <x:c r="CK52" s="2405" t="s">
        <x:v>541</x:v>
      </x:c>
      <x:c r="CL52" s="2401" t="s">
        <x:v>535</x:v>
      </x:c>
      <x:c r="CM52" s="2403" t="s">
        <x:v>536</x:v>
      </x:c>
      <x:c r="CN52" s="2403" t="s">
        <x:v>542</x:v>
      </x:c>
      <x:c r="CO52" s="2403" t="s">
        <x:v>538</x:v>
      </x:c>
      <x:c r="CP52" s="2403" t="s">
        <x:v>599</x:v>
      </x:c>
      <x:c r="CQ52" s="2403" t="s">
        <x:v>539</x:v>
      </x:c>
      <x:c r="CR52" s="2403" t="s">
        <x:v>619</x:v>
      </x:c>
      <x:c r="CS52" s="2403" t="s">
        <x:v>540</x:v>
      </x:c>
      <x:c r="CT52" s="2405" t="s">
        <x:v>541</x:v>
      </x:c>
      <x:c r="CU52" s="2510" t="s">
        <x:v>528</x:v>
      </x:c>
      <x:c r="CV52" s="2393" t="s">
        <x:v>543</x:v>
      </x:c>
      <x:c r="CW52" s="2393" t="s">
        <x:v>544</x:v>
      </x:c>
      <x:c r="CX52" s="2391" t="s">
        <x:v>545</x:v>
      </x:c>
      <x:c r="CY52" s="2397" t="s">
        <x:v>582</x:v>
      </x:c>
      <x:c r="CZ52" s="2513" t="s">
        <x:v>546</x:v>
      </x:c>
      <x:c r="DA52" s="2514"/>
      <x:c r="DB52" s="2397" t="s">
        <x:v>547</x:v>
      </x:c>
      <x:c r="DC52" s="2393" t="s">
        <x:v>550</x:v>
      </x:c>
      <x:c r="DD52" s="2393" t="s">
        <x:v>551</x:v>
      </x:c>
      <x:c r="DE52" s="2397" t="s">
        <x:v>583</x:v>
      </x:c>
      <x:c r="DF52" s="2513" t="s">
        <x:v>548</x:v>
      </x:c>
      <x:c r="DG52" s="2514"/>
      <x:c r="DH52" s="2393" t="s">
        <x:v>549</x:v>
      </x:c>
      <x:c r="DI52" s="2393" t="s">
        <x:v>552</x:v>
      </x:c>
      <x:c r="DJ52" s="2393" t="s">
        <x:v>553</x:v>
      </x:c>
      <x:c r="DK52" s="2393" t="s">
        <x:v>554</x:v>
      </x:c>
      <x:c r="DL52" s="2393" t="s">
        <x:v>584</x:v>
      </x:c>
      <x:c r="DM52" s="2388" t="s">
        <x:v>585</x:v>
      </x:c>
      <x:c r="DN52" s="2389"/>
      <x:c r="DO52" s="2388" t="s">
        <x:v>586</x:v>
      </x:c>
      <x:c r="DP52" s="2390"/>
      <x:c r="DQ52" s="2391" t="s">
        <x:v>587</x:v>
      </x:c>
      <x:c r="DR52" s="2392"/>
      <x:c r="DS52" s="2393" t="s">
        <x:v>608</x:v>
      </x:c>
      <x:c r="DT52" s="2388" t="s">
        <x:v>588</x:v>
      </x:c>
      <x:c r="DU52" s="2389"/>
      <x:c r="DV52" s="2388" t="s">
        <x:v>589</x:v>
      </x:c>
      <x:c r="DW52" s="2390"/>
      <x:c r="DX52" s="2391" t="s">
        <x:v>590</x:v>
      </x:c>
      <x:c r="DY52" s="2392"/>
      <x:c r="DZ52" s="2393" t="s">
        <x:v>12</x:v>
      </x:c>
      <x:c r="EA52" s="2393" t="s">
        <x:v>13</x:v>
      </x:c>
      <x:c r="EB52" s="2393" t="s">
        <x:v>622</x:v>
      </x:c>
      <x:c r="EC52" s="2393" t="s">
        <x:v>621</x:v>
      </x:c>
      <x:c r="ED52" s="2387"/>
      <x:c r="EE52" s="2386"/>
      <x:c r="EF52" s="2386"/>
      <x:c r="EG52" s="2395"/>
      <x:c r="EH52" s="2386"/>
      <x:c r="EI52" s="2386"/>
      <x:c r="EJ52" s="2386"/>
      <x:c r="EK52" s="2387"/>
      <x:c r="EL52" s="2387"/>
      <x:c r="EM52" s="2387"/>
      <x:c r="EN52" s="2386"/>
      <x:c r="EO52" s="2387"/>
      <x:c r="EP52" s="2387"/>
      <x:c r="EQ52" s="2387"/>
      <x:c r="ER52" s="2387"/>
      <x:c r="ES52" s="2387"/>
      <x:c r="ET52" s="2387"/>
      <x:c r="EU52" s="2387"/>
      <x:c r="EV52" s="2393" t="s">
        <x:v>630</x:v>
      </x:c>
      <x:c r="EW52" s="2393" t="s">
        <x:v>631</x:v>
      </x:c>
      <x:c r="EX52" s="2516"/>
      <x:c r="EY52" s="2606"/>
      <x:c r="EZ52" s="2488" t="s">
        <x:v>555</x:v>
      </x:c>
      <x:c r="FA52" s="2490" t="s">
        <x:v>556</x:v>
      </x:c>
      <x:c r="FB52" s="2517" t="s">
        <x:v>723</x:v>
      </x:c>
      <x:c r="FC52" s="2517" t="s">
        <x:v>724</x:v>
      </x:c>
      <x:c r="FD52" s="2543" t="s">
        <x:v>828</x:v>
      </x:c>
      <x:c r="FE52" s="2544"/>
      <x:c r="FF52" s="296" t="s">
        <x:v>991</x:v>
      </x:c>
      <x:c r="FK52" s="2529" t="s">
        <x:v>831</x:v>
      </x:c>
      <x:c r="FL52" s="2531" t="s">
        <x:v>660</x:v>
      </x:c>
      <x:c r="FM52" s="2533" t="s">
        <x:v>527</x:v>
      </x:c>
      <x:c r="FN52" s="2541" t="s">
        <x:v>529</x:v>
      </x:c>
      <x:c r="FO52" s="2646" t="s">
        <x:v>530</x:v>
      </x:c>
      <x:c r="FP52" s="2649" t="s">
        <x:v>531</x:v>
      </x:c>
      <x:c r="FQ52" s="2649" t="s">
        <x:v>532</x:v>
      </x:c>
      <x:c r="FR52" s="2653" t="s">
        <x:v>533</x:v>
      </x:c>
      <x:c r="FS52" s="2650" t="s">
        <x:v>534</x:v>
      </x:c>
      <x:c r="FT52" s="2527" t="s">
        <x:v>683</x:v>
      </x:c>
      <x:c r="FU52" s="2525" t="s">
        <x:v>521</x:v>
      </x:c>
      <x:c r="FV52" s="2525" t="s">
        <x:v>686</x:v>
      </x:c>
      <x:c r="FW52" s="2525" t="s">
        <x:v>685</x:v>
      </x:c>
      <x:c r="FX52" s="2525" t="s">
        <x:v>522</x:v>
      </x:c>
      <x:c r="FY52" s="2525" t="s">
        <x:v>684</x:v>
      </x:c>
      <x:c r="FZ52" s="2525" t="s">
        <x:v>687</x:v>
      </x:c>
      <x:c r="GA52" s="2525" t="s">
        <x:v>523</x:v>
      </x:c>
      <x:c r="GB52" s="2549" t="s">
        <x:v>524</x:v>
      </x:c>
      <x:c r="GC52" s="2547" t="s">
        <x:v>665</x:v>
      </x:c>
      <x:c r="GD52" s="249"/>
      <x:c r="GE52" s="164"/>
      <x:c r="GF52" s="164"/>
      <x:c r="GG52" s="168"/>
      <x:c r="GH52" s="168"/>
      <x:c r="GI52" s="169"/>
      <x:c r="GJ52" s="2545" t="s">
        <x:v>688</x:v>
      </x:c>
      <x:c r="GK52" s="2"/>
      <x:c r="GL52" s="171"/>
      <x:c r="GM52" s="171"/>
    </x:row>
    <x:row r="53" spans="1:222" ht="12.6" hidden="1" customHeight="1" thickTop="1" thickBot="1" x14ac:dyDescent="0.25">
      <x:c r="BZ53" s="360"/>
      <x:c r="CA53" s="360"/>
      <x:c r="CB53" s="2504"/>
      <x:c r="CC53" s="2402"/>
      <x:c r="CD53" s="2407"/>
      <x:c r="CE53" s="2407"/>
      <x:c r="CF53" s="2404"/>
      <x:c r="CG53" s="2404"/>
      <x:c r="CH53" s="2404"/>
      <x:c r="CI53" s="2404"/>
      <x:c r="CJ53" s="2404"/>
      <x:c r="CK53" s="2406"/>
      <x:c r="CL53" s="2402"/>
      <x:c r="CM53" s="2407"/>
      <x:c r="CN53" s="2407"/>
      <x:c r="CO53" s="2404"/>
      <x:c r="CP53" s="2404"/>
      <x:c r="CQ53" s="2404"/>
      <x:c r="CR53" s="2404"/>
      <x:c r="CS53" s="2404"/>
      <x:c r="CT53" s="2406"/>
      <x:c r="CU53" s="2511"/>
      <x:c r="CV53" s="2394"/>
      <x:c r="CW53" s="2509"/>
      <x:c r="CX53" s="2512"/>
      <x:c r="CY53" s="2387"/>
      <x:c r="CZ53" s="412" t="s">
        <x:v>593</x:v>
      </x:c>
      <x:c r="DA53" s="412" t="s">
        <x:v>594</x:v>
      </x:c>
      <x:c r="DB53" s="2387"/>
      <x:c r="DC53" s="2394"/>
      <x:c r="DD53" s="2394"/>
      <x:c r="DE53" s="2387"/>
      <x:c r="DF53" s="412" t="s">
        <x:v>593</x:v>
      </x:c>
      <x:c r="DG53" s="412" t="s">
        <x:v>594</x:v>
      </x:c>
      <x:c r="DH53" s="2394"/>
      <x:c r="DI53" s="2394"/>
      <x:c r="DJ53" s="2394"/>
      <x:c r="DK53" s="2394"/>
      <x:c r="DL53" s="2394"/>
      <x:c r="DM53" s="413" t="s">
        <x:v>558</x:v>
      </x:c>
      <x:c r="DN53" s="413" t="s">
        <x:v>559</x:v>
      </x:c>
      <x:c r="DO53" s="413" t="s">
        <x:v>558</x:v>
      </x:c>
      <x:c r="DP53" s="413" t="s">
        <x:v>559</x:v>
      </x:c>
      <x:c r="DQ53" s="413" t="s">
        <x:v>558</x:v>
      </x:c>
      <x:c r="DR53" s="413" t="s">
        <x:v>559</x:v>
      </x:c>
      <x:c r="DS53" s="2394"/>
      <x:c r="DT53" s="413" t="s">
        <x:v>558</x:v>
      </x:c>
      <x:c r="DU53" s="413" t="s">
        <x:v>559</x:v>
      </x:c>
      <x:c r="DV53" s="413" t="s">
        <x:v>558</x:v>
      </x:c>
      <x:c r="DW53" s="413" t="s">
        <x:v>559</x:v>
      </x:c>
      <x:c r="DX53" s="413" t="s">
        <x:v>558</x:v>
      </x:c>
      <x:c r="DY53" s="413" t="s">
        <x:v>559</x:v>
      </x:c>
      <x:c r="DZ53" s="2394"/>
      <x:c r="EA53" s="2394"/>
      <x:c r="EB53" s="2396"/>
      <x:c r="EC53" s="2396"/>
      <x:c r="ED53" s="2387"/>
      <x:c r="EE53" s="2386"/>
      <x:c r="EF53" s="2386"/>
      <x:c r="EG53" s="2395"/>
      <x:c r="EH53" s="2386"/>
      <x:c r="EI53" s="2386"/>
      <x:c r="EJ53" s="2386"/>
      <x:c r="EK53" s="2387"/>
      <x:c r="EL53" s="2387"/>
      <x:c r="EM53" s="2387"/>
      <x:c r="EN53" s="2386"/>
      <x:c r="EO53" s="2387"/>
      <x:c r="EP53" s="2387"/>
      <x:c r="EQ53" s="2387"/>
      <x:c r="ER53" s="2387"/>
      <x:c r="ES53" s="2387"/>
      <x:c r="ET53" s="2387"/>
      <x:c r="EU53" s="2387"/>
      <x:c r="EV53" s="2394"/>
      <x:c r="EW53" s="2394"/>
      <x:c r="EX53" s="2516"/>
      <x:c r="EY53" s="2607"/>
      <x:c r="EZ53" s="2489"/>
      <x:c r="FA53" s="2406"/>
      <x:c r="FB53" s="2518"/>
      <x:c r="FC53" s="2518"/>
      <x:c r="FD53" s="610" t="s">
        <x:v>646</x:v>
      </x:c>
      <x:c r="FE53" s="611" t="s">
        <x:v>647</x:v>
      </x:c>
      <x:c r="FF53" s="303" t="s">
        <x:v>992</x:v>
      </x:c>
      <x:c r="FG53" s="303" t="s">
        <x:v>993</x:v>
      </x:c>
      <x:c r="FH53" s="303" t="s">
        <x:v>994</x:v>
      </x:c>
      <x:c r="FI53" s="303" t="s">
        <x:v>995</x:v>
      </x:c>
      <x:c r="FK53" s="2530"/>
      <x:c r="FL53" s="2532"/>
      <x:c r="FM53" s="2534"/>
      <x:c r="FN53" s="2542"/>
      <x:c r="FO53" s="2647"/>
      <x:c r="FP53" s="2647"/>
      <x:c r="FQ53" s="2647"/>
      <x:c r="FR53" s="2647"/>
      <x:c r="FS53" s="2651"/>
      <x:c r="FT53" s="2652"/>
      <x:c r="FU53" s="2654"/>
      <x:c r="FV53" s="2654"/>
      <x:c r="FW53" s="2654"/>
      <x:c r="FX53" s="2654"/>
      <x:c r="FY53" s="2654"/>
      <x:c r="FZ53" s="2654"/>
      <x:c r="GA53" s="2661"/>
      <x:c r="GB53" s="2648"/>
      <x:c r="GC53" s="2660"/>
      <x:c r="GD53" s="250" t="s">
        <x:v>663</x:v>
      </x:c>
      <x:c r="GE53" s="177" t="s">
        <x:v>664</x:v>
      </x:c>
      <x:c r="GF53" s="166" t="s">
        <x:v>667</x:v>
      </x:c>
      <x:c r="GG53" s="166" t="s">
        <x:v>668</x:v>
      </x:c>
      <x:c r="GH53" s="166" t="s">
        <x:v>669</x:v>
      </x:c>
      <x:c r="GI53" s="167" t="s">
        <x:v>670</x:v>
      </x:c>
      <x:c r="GJ53" s="2546"/>
      <x:c r="GK53" s="972" t="s">
        <x:v>996</x:v>
      </x:c>
      <x:c r="GL53" s="171"/>
      <x:c r="GM53" s="171"/>
    </x:row>
    <x:row r="54" spans="1:222" ht="12.6" hidden="1" customHeight="1" thickTop="1" x14ac:dyDescent="0.2">
      <x:c r="BZ54" s="360"/>
      <x:c r="CA54" s="360"/>
      <x:c r="CB54" s="435" t="str">
        <x:f t="shared" ref="CB54:CB85" si="137">IF(CB14="","",CB14)</x:f>
        <x:v/>
      </x:c>
      <x:c r="CC54" s="436" t="str">
        <x:f>IF(CG14="","",VLOOKUP(CG14,SectInfo!$B:$N,12,FALSE))</x:f>
        <x:v/>
      </x:c>
      <x:c r="CD54" s="1172" t="str">
        <x:f>IF(ISBLANK(CZ14),IF(CG14="","",VLOOKUP(CG14,SectInfo!$B:$N,13,FALSE)),CZ14)</x:f>
        <x:v/>
      </x:c>
      <x:c r="CE54" s="437" t="str">
        <x:f>IF(CG14="","",IF(VLOOKUP(CG14,SectInfo!$B:$N,5,FALSE)="","R",UPPER(VLOOKUP(CG14,SectInfo!$B:$N,5,FALSE))))</x:f>
        <x:v/>
      </x:c>
      <x:c r="CF54" s="1172" t="str">
        <x:f>IF(ISBLANK(DD14),IF(CG14="","",VLOOKUP(CG14,SectInfo!$B:$N,6,FALSE)),DD14)</x:f>
        <x:v/>
      </x:c>
      <x:c r="CG54" s="437" t="str">
        <x:f>IF(CG14="","",IF(VLOOKUP(CG14,SectInfo!$B:$N,10,FALSE)="","",(VLOOKUP(CG14,SectInfo!$B:$N,10,FALSE)*-1)))</x:f>
        <x:v/>
      </x:c>
      <x:c r="CH54" s="437" t="str">
        <x:f>IF(CG14="","",IF(VLOOKUP(CG14,SectInfo!$B:$N,7,FALSE)="","",(VLOOKUP(CG14,SectInfo!$B:$N,7,FALSE)*-1)))</x:f>
        <x:v/>
      </x:c>
      <x:c r="CI54" s="437" t="str">
        <x:f>IF(CG14="","",IF(VLOOKUP(CG14,SectInfo!$B:$N,8,FALSE)="",$FC$4,(VLOOKUP(CG14,SectInfo!$B:$N,8,FALSE))))</x:f>
        <x:v/>
      </x:c>
      <x:c r="CJ54" s="437" t="str">
        <x:f>IF(CG14="","",VLOOKUP(CG14,SectInfo!$B:$N,9,FALSE))</x:f>
        <x:v/>
      </x:c>
      <x:c r="CK54" s="438">
        <x:f>CM14*-1</x:f>
        <x:v>0</x:v>
      </x:c>
      <x:c r="CL54" s="436" t="str">
        <x:f>IF(CN14="","",VLOOKUP(CN14,SectInfo!$B:$N,12,FALSE))</x:f>
        <x:v/>
      </x:c>
      <x:c r="CM54" s="1172" t="str">
        <x:f>IF(ISBLANK(DA14),IF(CN14="","",VLOOKUP(CN14,SectInfo!$B:$N,13,FALSE)),DA14)</x:f>
        <x:v/>
      </x:c>
      <x:c r="CN54" s="437" t="str">
        <x:f>IF(CN14="","",IF(VLOOKUP(CN14,SectInfo!$B:$N,5,FALSE)="","R",UPPER(VLOOKUP(CN14,SectInfo!$B:$N,5,FALSE))))</x:f>
        <x:v/>
      </x:c>
      <x:c r="CO54" s="1172" t="str">
        <x:f>IF(ISBLANK(DE14),IF(CN14="","",VLOOKUP(CN14,SectInfo!$B:$N,6,FALSE)),DE14)</x:f>
        <x:v/>
      </x:c>
      <x:c r="CP54" s="437" t="str">
        <x:f>IF(CN14="","",IF(VLOOKUP(CN14,SectInfo!$B:$N,10,FALSE)="","",(VLOOKUP(CN14,SectInfo!$B:$N,10,FALSE)*-1)))</x:f>
        <x:v/>
      </x:c>
      <x:c r="CQ54" s="437" t="str">
        <x:f>IF(CN14="","",IF(VLOOKUP(CN14,SectInfo!$B:$N,7,FALSE)="","",(VLOOKUP(CN14,SectInfo!$B:$N,7,FALSE)*-1)))</x:f>
        <x:v/>
      </x:c>
      <x:c r="CR54" s="437" t="str">
        <x:f>IF(CN14="","",IF(VLOOKUP(CN14,SectInfo!$B:$N,8,FALSE)="",$FC$4,(VLOOKUP(CN14,SectInfo!$B:$N,8,FALSE))))</x:f>
        <x:v/>
      </x:c>
      <x:c r="CS54" s="437" t="str">
        <x:f>IF(CN14="","",VLOOKUP(CN14,SectInfo!$B:$N,9,FALSE))</x:f>
        <x:v/>
      </x:c>
      <x:c r="CT54" s="438">
        <x:f>CT14*-1</x:f>
        <x:v>0</x:v>
      </x:c>
      <x:c r="CU54" s="439">
        <x:f t="shared" ref="CU54:CU85" si="138">IF(CU14="",0,ATAN(CU14/12))</x:f>
        <x:v>0</x:v>
      </x:c>
      <x:c r="CV54" s="339" t="str">
        <x:f t="shared" ref="CV54:CV85" si="139">IF(OR(CD54="",CE14="",CM54=""),"",CEILING(IF(AND(CE14="",CF14=""),"",((CE14*12+CF14)+CD54+CM54)/COS(EU54))-0.0625,0.125))</x:f>
        <x:v/>
      </x:c>
      <x:c r="CW54" s="339" t="str">
        <x:f t="shared" ref="CW54:CW85" si="140">IF(CF54="","",IF(ABS(EM54)&lt;ABS($FA$2),CF54,IF(EM54=0,CF54,CEILING((CF54+((DC54-CD54)/12)*EM54)-0.0625,0.125))))</x:f>
        <x:v/>
      </x:c>
      <x:c r="CX54" s="339" t="str">
        <x:f t="shared" ref="CX54:CX85" si="141">IF(CO54="","",IF(ABS(ER54)&lt;ABS($FA$2),CO54,IF(ER54=0,CO54,CEILING((CO54+((DI54-CM54)/12)*ER54)-0.0625,0.125))))</x:f>
        <x:v/>
      </x:c>
      <x:c r="CY54" s="1109">
        <x:f t="shared" ref="CY54:CY85" si="142">RADIANS(ABS(CL14))</x:f>
        <x:v>0</x:v>
      </x:c>
      <x:c r="CZ54" s="1109">
        <x:f t="shared" ref="CZ54:CZ85" si="143">MIN(IF(CH14&gt;0,CH14/2,MAX(CI14/2,CJ54)),IF(CI14&gt;0,CI14/2,MAX(CH14/2,CJ54)),IF(CJ54&gt;0,CJ54,MAX(CI14/2,CH14/2)))/IF(OR(CC54="C",AND(CC54="M",$FG$1="N")),1,COS(CY54))</x:f>
        <x:v>0</x:v>
      </x:c>
      <x:c r="DA54" s="1109" t="str">
        <x:f t="shared" ref="DA54:DA85" si="144">IF(CD54="","",IF(CJ54&gt;=0,MAX(CH14/2,CI14/2,CJ54),CJ54)/IF(OR(CC54="C",AND(CC54="M",$FG$1="N")),1,COS(CY54)))</x:f>
        <x:v/>
      </x:c>
      <x:c r="DB54" s="1125" t="str">
        <x:f>IF(CD54="","",CD54+DA54+($EY$4*TAN(CY54)))</x:f>
        <x:v/>
      </x:c>
      <x:c r="DC54" s="1125" t="str">
        <x:f t="shared" ref="DC54:DC85" si="145">IF(CD54="","",IF(NOT(ISBLANK(DB14)),CD54-DB14,MAX(IF(AND(CZ54&gt;=$FB$4,DA54&lt;=$FA$4,OR($FA$1=1,$FA$1=4)),CD54,IF(OR($FA$1=3,$FA$1=4),DB54-$FA$4,DB54+MAX(($FA$4-$FB$4)-(DA54-CZ54)-$EY$4/2*TAN(CY54),0)-$FA$4))-EO54,0)))</x:f>
        <x:v/>
      </x:c>
      <x:c r="DD54" s="1110">
        <x:f>IF(CD54="",0,IF(DC54/COS(EU54)&lt;0.0625,0,CEILING(DC54/COS(EU54)-0.03125,0.125)))</x:f>
        <x:v>0</x:v>
      </x:c>
      <x:c r="DE54" s="1108">
        <x:f>RADIANS(ABS(CS14))</x:f>
        <x:v>0</x:v>
      </x:c>
      <x:c r="DF54" s="1109">
        <x:f t="shared" ref="DF54:DF85" si="146">MIN(IF(CO14&gt;0,CO14/2,MAX(CP14/2,CS54)),IF(CP14&gt;0,CP14/2,MAX(CO14/2,CS54)),IF(CS54&gt;0,CS54,MAX(CP14/2,CO14/2)))/IF(OR(CL54="C",AND(CL54="M",$FG$1="N")),1,COS(DE54))</x:f>
        <x:v>0</x:v>
      </x:c>
      <x:c r="DG54" s="1109" t="str">
        <x:f t="shared" ref="DG54:DG85" si="147">IF(CM54="","",IF(CS54&gt;=0,MAX(CO14/2,CP14/2,CS54),CS54)/IF(OR(CL54="C",AND(CL54="M",$FG$1="N")),1,COS(DE54)))</x:f>
        <x:v/>
      </x:c>
      <x:c r="DH54" s="1125" t="str">
        <x:f>IF(CM54="","",CM54+DG54+($EY$4*TAN(DE54)))</x:f>
        <x:v/>
      </x:c>
      <x:c r="DI54" s="1125" t="str">
        <x:f>IF(CM54="","",IF(NOT(ISBLANK(DC14)),CM54-DC14,MAX(IF(AND(DF54&gt;=$FB$4,DG54&lt;=$FA$4,OR($FA$1=1,$FA$1=4)),CM54,IF(OR($FA$1=3,$FA$1=4),DH54-$FA$4,DH54+MAX(($FA$4-$FB$4)-(DG54-DF54)-$EY$4/2*TAN(DE54),0)-$FA$4))-ET54,0)-DC14))</x:f>
        <x:v/>
      </x:c>
      <x:c r="DJ54" s="1110">
        <x:f>IF(CM54="",0,IF(DI54/COS(EU54)&lt;0.0625,0,CEILING(DI54/COS(EU54)-0.03125,0.125)))</x:f>
        <x:v>0</x:v>
      </x:c>
      <x:c r="DK54" s="1108" t="str">
        <x:f t="shared" ref="DK54:DK85" si="148">IF(CV54="","",CEILING(CV54-DD54-DJ54-0.0625,0.125))</x:f>
        <x:v/>
      </x:c>
      <x:c r="DL54" s="1108" t="str">
        <x:f t="shared" ref="DL54:DL85" si="149">IF(AND(EG54="",CH54=""),"",IF(EG54="ERR","ERR",IF(ISNUMBER(EG54),(EG54/2)*-1,CH54)))</x:f>
        <x:v/>
      </x:c>
      <x:c r="DM54" s="1108" t="str">
        <x:f t="shared" ref="DM54:DM85" si="150">IF(DL54="ERR","ERR",IF(DL54="","",IF(CR54*TAN(CY54)&lt;=($FE$4-($FD$4-0.0625)),CD54-(DL54-EO54)/IF(OR(CC54="C",AND(CC54="M",$FG$1="N")),1,COS(CY54))-IF(MID(CE54,1,1)="R",0,DC54),(ABS(DL54-EO54)/IF(OR(CC54="C",AND(CC54="M",$FG$1="N")),1,COS(CY54))+CD54)-((CR54/2)*TAN(CY54))-IF(MID(CE54,1,1)="R",0,DC54))))</x:f>
        <x:v/>
      </x:c>
      <x:c r="DN54" s="1108" t="str">
        <x:f t="shared" ref="DN54:DN85" si="151">IF(DL54="ERR","ERR",IF(DL54="","",IF(CI54*TAN(CY54)&lt;=($FE$4-($FD$4-0.0625)),CD54-(DL54-EO54)/IF(OR(CC54="C",AND(CC54="M",$FG$1="N")),1,COS(CY54))-IF(MID(CE54,1,1)="R",0,DC54),(ABS(DL54-EO54)/IF(OR(CC54="C",AND(CC54="M",$FG$1="N")),1,COS(CY54))+CD54)+((CI54/2)*TAN(CY54))-IF(MID(CE54,1,1)="R",0,DC54))))</x:f>
        <x:v/>
      </x:c>
      <x:c r="DO54" s="1125" t="str">
        <x:f t="shared" ref="DO54:DO85" si="152">IF(ISBLANK(DB14),IF(DM54&lt;0.5+($FD$4-0.0625)/2,"ERR",IF(DM54&lt;0.5+$FE$4/2,($FE$4/2+0.5),IF(DM54&lt;$FA$4+IF(MID(CE54,1,1)="R",DC54+DB14,0)-$FE$4/2-0.5,DM54,IF(DM54&lt;=$FA$4+IF(MID(CE54,1,1)="R",DC54,0)-($FD$4-0.0625)/2-0.5,$FA$4+IF(MID(CE54,1,1)="R",DC54,0)-($FE$4/2+0.5),"ERR")))),DM54)</x:f>
        <x:v>ERR</x:v>
      </x:c>
      <x:c r="DP54" s="1125" t="str">
        <x:f t="shared" ref="DP54:DP85" si="153">IF(ISBLANK(DB14),IF(DN54&lt;0.5+($FD$4-0.0625)/2,"ERR",IF(DN54&lt;0.5+$FE$4/2,($FE$4/2+0.5),IF(DN54&lt;$FA$4+IF(MID(CE54,1,1)="R",DC54+DB14,0)-$FE$4/2-0.5,DN54,IF(DN54&lt;=$FA$4+IF(MID(CE54,1,1)="R",DC54,0)-($FD$4-0.0625)/2-0.5,$FA$4+IF(MID(CE54,1,1)="R",DC54,0)-($FE$4/2+0.5),"ERR")))),DN54)</x:f>
        <x:v>ERR</x:v>
      </x:c>
      <x:c r="DQ54" s="1108" t="str">
        <x:f t="shared" ref="DQ54:DR85" si="154">IF(ISERROR(DM54),"ERR",IF(DM54="","",IF(DO54="ERR","ERR",CEILING(DO54-0.0625,0.125))))</x:f>
        <x:v/>
      </x:c>
      <x:c r="DR54" s="1108" t="str">
        <x:f t="shared" si="154"/>
        <x:v/>
      </x:c>
      <x:c r="DS54" s="1108" t="str">
        <x:f t="shared" ref="DS54:DS85" si="155">IF(AND(EJ54="",CQ54=""),"",IF(EJ54="ERR","ERR",IF(ISNUMBER(EJ54),(EJ54/2)*-1,CQ54)))</x:f>
        <x:v/>
      </x:c>
      <x:c r="DT54" s="1108" t="str">
        <x:f t="shared" ref="DT54:DT85" si="156">IF(DS54="ERR","ERR",IF(DS54="","",IF(CR54*TAN(DE54)&lt;=($FE$4-($FD$4-0.0625)),CM54-(DS54-ET54)/IF(OR(CL54="C",AND(CL54="M",$FG$1="N")),1,COS(DE54))-IF(MID(CN54,1,1)="R",0,DI54),(ABS(DS54-ET54)/IF(OR(CL54="C",AND(CL54="M",$FG$1="N")),1,COS(DE54))+CM54)-((CR54/2)*TAN(DE54))-IF(MID(CN54,1,1)="R",0,DI54))))</x:f>
        <x:v/>
      </x:c>
      <x:c r="DU54" s="1108" t="str">
        <x:f t="shared" ref="DU54:DU85" si="157">IF(DS54="ERR","ERR",IF(DS54="","",IF(CR54*TAN(DE54)&lt;=($FE$4-($FD$4-0.0625)),CM54-(DS54-ET54)/IF(OR(CL54="C",AND(CL54="M",$FG$1="N")),1,COS(DE54))-IF(MID(CN54,1,1)="R",0,DI54),(ABS(DS54-ET54)/IF(OR(CL54="C",AND(CL54="M",$FG$1="N")),1,COS(DE54))+CM54)+((CR54/2)*TAN(DE54))-IF(MID(CN54,1,1)="R",0,DI54))))</x:f>
        <x:v/>
      </x:c>
      <x:c r="DV54" s="1125" t="str">
        <x:f t="shared" ref="DV54:DV85" si="158">IF(ISBLANK(DC14),IF(DT54&lt;0.5+($FD$4-0.0625)/2,"ERR",IF(DT54&lt;0.5+$FE$4/2,($FE$4/2+0.5),IF(DT54&lt;$FA$4+IF(MID(CN54,1,1)="R",DI54+DC14,0)-$FE$4/2-0.5,DT54,IF(DT54&lt;=$FA$4+IF(MID(CN54,1,1)="R",DI54,0)-($FD$4-0.0625)/2-0.5,$FA$4+IF(MID(CN54,1,1)="R",DI54,0)-($FE$4/2+0.5),"ERR")))),DT54)</x:f>
        <x:v>ERR</x:v>
      </x:c>
      <x:c r="DW54" s="1125" t="str">
        <x:f t="shared" ref="DW54:DW85" si="159">IF(ISBLANK(DC14),IF(DU54&lt;0.5+($FD$4-0.0625)/2,"ERR",IF(DU54&lt;0.5+$FE$4/2,($FE$4/2+0.5),IF(DU54&lt;$FA$4+IF(MID(CN54,1,1)="R",DI54+DC14,0)-$FE$4/2-0.5,DU54,IF(DU54&lt;=$FA$4+IF(MID(CN54,1,1)="R",DI54,0)-($FD$4-0.0625)/2-0.5,$FA$4+IF(MID(CN54,1,1)="R",DI54,0)-($FE$4/2+0.5),"ERR")))),DU54)</x:f>
        <x:v>ERR</x:v>
      </x:c>
      <x:c r="DX54" s="1108" t="str">
        <x:f t="shared" ref="DX54:DY74" si="160">IF(ISERROR(DT54),"ERR",IF(DT54="","",IF(DV54="ERR","ERR",CEILING(DV54-0.0625,0.125))))</x:f>
        <x:v/>
      </x:c>
      <x:c r="DY54" s="1108" t="str">
        <x:f t="shared" si="160"/>
        <x:v/>
      </x:c>
      <x:c r="DZ54" s="1108" t="str">
        <x:f t="shared" ref="DZ54:DZ84" si="161">IF(CG54="","",IF((CD54-CG54)/COS(CU54)-FB54&lt;=-0.0625,CEILING((CD54-CG54)/COS(CU54)-FB54+0.0625,-0.125),IF((CD54-CG54)/COS(CU54)-FB54&gt;=0.0625,CEILING((CD54-CG54)/COS(CU54)-FB54-0.0625,0.125),0)))</x:f>
        <x:v/>
      </x:c>
      <x:c r="EA54" s="1108" t="str">
        <x:f t="shared" ref="EA54:EA84" si="162">IF(CP54="","",IF((CM54-CP54)/COS(CU54)-FC54&lt;=-0.0625,CEILING((CM54-CP54)/COS(CU54)-FC54+0.0625,-0.125),IF((CM54-CP54)/COS(CU54)-FC54&gt;=0.0625,CEILING((CM54-CP54)/COS(CU54)-FC54-0.0625,0.125),0)))</x:f>
        <x:v/>
      </x:c>
      <x:c r="EB54" s="1111" t="str">
        <x:f t="shared" ref="EB54:EB85" si="163">IF(CD14="","",$FC$4)</x:f>
        <x:v/>
      </x:c>
      <x:c r="EC54" s="1112" t="str">
        <x:f t="shared" ref="EC54:EC85" si="164">IF(AND(DR54="",DY54=""),"",IF(OR(CI54=EB54,CR54=EB54),EB54,CI54))</x:f>
        <x:v/>
      </x:c>
      <x:c r="ED54" s="1111" t="str">
        <x:f t="shared" ref="ED54:ED85" si="165">IF(CU14="","",CEILING(($EZ$4/COS(CU54)+$FA$4/12*ABS(CU14)+0.5),0.125))</x:f>
        <x:v/>
      </x:c>
      <x:c r="EE54" s="1111" t="str">
        <x:f t="shared" ref="EE54:EE85" si="166">(IF(CC54="B",MIN(CJ14:CK14),""))</x:f>
        <x:v/>
      </x:c>
      <x:c r="EF54" s="1111" t="str">
        <x:f t="shared" ref="EF54:EF85" si="167">(IF(CC54="B",MAX(CJ14:CK14),""))</x:f>
        <x:v/>
      </x:c>
      <x:c r="EG54" s="1111" t="str">
        <x:f t="shared" ref="EG54:EG85" si="168">IF(EE54="","",IF((EF54-EE54)/2&lt;=($FE$4-($FD$4-0.0625)),(EE54+EF54)/2,"ERR"))</x:f>
        <x:v/>
      </x:c>
      <x:c r="EH54" s="1111" t="str">
        <x:f t="shared" ref="EH54:EH85" si="169">IF(CL54="B",MIN(CQ14:CR14),"")</x:f>
        <x:v/>
      </x:c>
      <x:c r="EI54" s="1111" t="str">
        <x:f t="shared" ref="EI54:EI85" si="170">IF(CL54="B",MAX(CQ14:CR14),"")</x:f>
        <x:v/>
      </x:c>
      <x:c r="EJ54" s="1111" t="str">
        <x:f t="shared" ref="EJ54:EJ85" si="171">IF(EH54="","",IF((EI54-EH54)/2&lt;=($FE$4-($FD$4-0.0625)),(EH54+EI54)/2,"ERR"))</x:f>
        <x:v/>
      </x:c>
      <x:c r="EK54" s="1109">
        <x:f t="shared" ref="EK54:EK85" si="172">IF(CK54="",0,ATAN(CK54/12))</x:f>
        <x:v>0</x:v>
      </x:c>
      <x:c r="EL54" s="1109">
        <x:f t="shared" ref="EL54:EL85" si="173">CU54-EK54</x:f>
        <x:v>0</x:v>
      </x:c>
      <x:c r="EM54" s="1109">
        <x:f t="shared" ref="EM54:EM85" si="174">TAN(EL54)*12</x:f>
        <x:v>0</x:v>
      </x:c>
      <x:c r="EN54" s="1109" t="str">
        <x:f t="shared" ref="EN54:EN85" si="175">IF(ABS(EM54)&lt;$FA$2,"",IF(EM54&gt;0,CEILING(EM54-0.0625,0.125),CEILING(EM54+0.0625,-0.125)))</x:f>
        <x:v/>
      </x:c>
      <x:c r="EO54" s="1108" t="str">
        <x:f t="shared" ref="EO54:EO85" si="176">IF(CF54="","",CF54*TAN(EK54))</x:f>
        <x:v/>
      </x:c>
      <x:c r="EP54" s="1109">
        <x:f t="shared" ref="EP54:EP85" si="177">IF(CT54="",0,ATAN(CT54/12))</x:f>
        <x:v>0</x:v>
      </x:c>
      <x:c r="EQ54" s="1109">
        <x:f t="shared" ref="EQ54:EQ85" si="178">CU54+EP54</x:f>
        <x:v>0</x:v>
      </x:c>
      <x:c r="ER54" s="1109">
        <x:f t="shared" ref="ER54:ER85" si="179">TAN(EQ54)*-12</x:f>
        <x:v>0</x:v>
      </x:c>
      <x:c r="ES54" s="1109" t="str">
        <x:f t="shared" ref="ES54:ES85" si="180">IF(ABS(ER54)&lt;$FA$2,"",IF(ER54&gt;0,CEILING(ER54-0.0625,0.125),CEILING(ER54+0.0625,-0.125)))</x:f>
        <x:v/>
      </x:c>
      <x:c r="ET54" s="1108" t="str">
        <x:f t="shared" ref="ET54:ET85" si="181">IF(CO54="","",CO54*TAN(EP54))</x:f>
        <x:v/>
      </x:c>
      <x:c r="EU54" s="1108">
        <x:f t="shared" ref="EU54:EU85" si="182">IF((CE14*12+CF14)/COS(CU54)-(CE14*12+CF14)&lt;$FE$2,0,CU54)</x:f>
        <x:v>0</x:v>
      </x:c>
      <x:c r="EV54" s="1111" t="e">
        <x:f t="shared" ref="EV54:EV84" si="183">MIN(IF(CH14&gt;0,CH14/2,MAX(CI14/2,CJ54)),IF(CI14&gt;0,CI14/2,MAX(CH14/2,CJ54)),IF(CJ54&gt;0,CJ54,MAX(CI14/2,CH14/2)))/COS(CY54)+CD54-DC54</x:f>
        <x:v>#VALUE!</x:v>
      </x:c>
      <x:c r="EW54" s="1111" t="e">
        <x:f t="shared" ref="EW54:EW84" si="184">MIN(IF(CO14&gt;0,CO14/2,MAX(CP14/2,CS54)),IF(CP14&gt;0,CP14/2,MAX(CO14/2,CS54)),IF(CS54&gt;0,CS54,MAX(CP14/2,CO14/2)))/COS(DE54)+CM54-DI54</x:f>
        <x:v>#VALUE!</x:v>
      </x:c>
      <x:c r="EX54" s="1113" t="str">
        <x:f>IF(CD14="","",IF(EZ54&lt;1.2,5+$EX$4,IF(EZ54&lt;1.79,6+$EX$4,IF(EZ54&lt;2.3,7+$EX$4,IF(EZ54&lt;3.76,8+$EX$4,IF(EZ54&lt;4.76,10+$EX$4,IF(EZ54&lt;8.45,12+$EX$4,"ERR")))))))</x:f>
        <x:v/>
      </x:c>
      <x:c r="EY54" s="1114">
        <x:f t="shared" ref="EY54:EY85" si="185">TRUNC(IF(FA54&lt;1.03,25.667,IF(FA54&lt;1.2,29.667,IF(FA54&lt;1.79,33.583,IF(FA54&lt;2.3,37.75,IF(FA54&lt;3.76,42,IF(FA54&lt;4.76,50.167,IF(FA54&lt;8.45,58.167,"ERR"))))))))</x:f>
        <x:v>25</x:v>
      </x:c>
      <x:c r="EZ54" s="1219">
        <x:f t="shared" ref="EZ54:EZ85" si="186">(0.03*BP14*((CE14+CF14/12)/BO14)*(BO14^2-IF(ISEVEN(BO14),0,1)))/BM14</x:f>
        <x:v>0</x:v>
      </x:c>
      <x:c r="FA54" s="1220">
        <x:f t="shared" ref="FA54:FA85" si="187">(0.026*BP14*((CE14+CF14/12)/BO14)*(BO14^2-IF(ISEVEN(BO14),0,1)))/BM14</x:f>
        <x:v>0</x:v>
      </x:c>
      <x:c r="FB54" s="1115" t="str">
        <x:f t="shared" ref="FB54:FB85" si="188">IF(CG54="","",IF(ABS(CU14*((BM14-IF(CU14&gt;0,$FF$4,0))/12))&gt;$CX$2,CU14*((BM14-IF(CU14&gt;0,$FF$4,0))/12),0))</x:f>
        <x:v/>
      </x:c>
      <x:c r="FC54" s="1116" t="str">
        <x:f t="shared" ref="FC54:FC85" si="189">IF(CP54="","",IF(ABS(CU14*((BM14-IF(CU14&lt;0,$FF$4,0))/12))&gt;$CX$2,CU14*((BM14-IF(CU14&lt;0,$FF$4,0))/12)*-1,0))</x:f>
        <x:v/>
      </x:c>
      <x:c r="FD54" s="1126">
        <x:f t="shared" ref="FD54:FD85" si="190">IF(CF54="",0,MAX(0,DB54-$FA$4))</x:f>
        <x:v>0</x:v>
      </x:c>
      <x:c r="FE54" s="1066">
        <x:f t="shared" ref="FE54:FE85" si="191">IF(CO54="",0,MAX(0,DH54-$FA$4))</x:f>
        <x:v>0</x:v>
      </x:c>
      <x:c r="FF54" s="969" t="b">
        <x:f t="shared" ref="FF54:FF85" si="192">IF(ISERROR(AR14),TRUE,IF(OR(AR14="",ISBLANK(AR14)),FALSE,IF(ISTEXT(AR14),IF(AND(AR14="P",LEFT(AS14,1)="#"),FALSE,TRUE),IF(ISTEXT(AS14),TRUE,FALSE))))</x:f>
        <x:v>0</x:v>
      </x:c>
      <x:c r="FG54" s="969" t="b">
        <x:f t="shared" ref="FG54:FG85" si="193">IF(ISERROR(AV14),TRUE,IF(OR(AV14="",ISBLANK(AV14)),FALSE,IF(ISTEXT(AV14),IF(AND(AV14="P",LEFT(AW14,1)="#"),FALSE,TRUE),IF(ISTEXT(AW14),TRUE,FALSE))))</x:f>
        <x:v>0</x:v>
      </x:c>
      <x:c r="FH54" s="969" t="b">
        <x:f t="shared" ref="FH54:FH85" si="194">IF(ISERROR(AZ14),TRUE,IF(OR(AZ14="",ISBLANK(AZ14)),FALSE,IF(ISTEXT(AZ14),IF(AND(AZ14="P",LEFT(BA14,1)="#"),FALSE,TRUE),IF(ISTEXT(BA14),TRUE,FALSE))))</x:f>
        <x:v>0</x:v>
      </x:c>
      <x:c r="FI54" s="969" t="b">
        <x:f t="shared" ref="FI54:FI85" si="195">IF(ISERROR(BD14),TRUE,IF(OR(BD14="",ISBLANK(BD14)),FALSE,IF(ISTEXT(BD14),IF(AND(BD14="P",LEFT(BE14,1)="#"),FALSE,TRUE),IF(ISTEXT(BE14),TRUE,FALSE))))</x:f>
        <x:v>0</x:v>
      </x:c>
      <x:c r="FJ54" s="1003"/>
      <x:c r="FK54" s="648" t="str">
        <x:f>IF(ISBLANK(DH14),"",DH14)</x:f>
        <x:v/>
      </x:c>
      <x:c r="FL54" s="379" t="e">
        <x:f>VLOOKUP(DH14,$CB$54:$DK$85,36,FALSE)</x:f>
        <x:v>#N/A</x:v>
      </x:c>
      <x:c r="FM54" s="380" t="str">
        <x:f t="shared" ref="FM54:FM85" si="196">IF(ISBLANK(DH15),IF(SUM(DJ15:DN15)=0,"",IF(ISBLANK(DI15),"X","")),"")</x:f>
        <x:v/>
      </x:c>
      <x:c r="FN54" s="328" t="str">
        <x:f>IF(SUM(DJ14:DN14)=0,"",IF(OR(FS54=0,DL14=""),"",CEILING(IF(AND(DJ14="",DK14=""),IF(AND(DM14="",DN14=""),(FS54-FO54*FP54)/2,(DJ14*12+DK14+(DL14*(DM14*12+DN14)))-FO54*FP54),(DJ14*12+DK14))-0.0625,0.125)))</x:f>
        <x:v/>
      </x:c>
      <x:c r="FO54" s="329" t="str">
        <x:f>IF(SUM(DJ14:DN14)=0,"",IF(OR(FS54=0,DL14=""),"",DL14-IF(AND(DJ14="",DK14=""),1,0)-IF(AND(DM14="",DN14="",FM54=""),1,0)))</x:f>
        <x:v/>
      </x:c>
      <x:c r="FP54" s="330" t="str">
        <x:f>IF(SUM(DJ14:DN14)=0,"",IF(OR(FS54=0,DL14=""),"",CEILING(IF(AND(DM14="",DN14=""),IF(DL14=FO54,(FS54-FN54-FQ54)/FO54,(FS54-IF(AND(DJ14="",DK14=""),0,FN54)-IF(FM54="",0,FQ54))/DL14),DM14*12+DN14)-0.0625,0.125)))</x:f>
        <x:v/>
      </x:c>
      <x:c r="FQ54" s="330" t="str">
        <x:f>IF(SUM(DJ14:DN14)=0,"",IF(OR(FS54=0,DL14=""),"",IF(UPPER(FM54)="X",0,FS54-FN54-FO54*FP54)))</x:f>
        <x:v/>
      </x:c>
      <x:c r="FR54" s="381">
        <x:f>IF(FS54="",0,IF(OR(FS54=0,DL14=""),0,FS54-(FN54+FO54*FP54+FQ54)))</x:f>
        <x:v>0</x:v>
      </x:c>
      <x:c r="FS54" s="382" t="str">
        <x:f>IF(SUM(DJ14:DN14)=0,"",VLOOKUP(DH14,CB14:CF45,4,FALSE)*12+VLOOKUP(DH14,CB14:CF45,5,FALSE))</x:f>
        <x:v/>
      </x:c>
      <x:c r="FT54" s="328" t="str">
        <x:f>IF(SUM(DJ14:DN14)=0,"",IF(FU54="","",FL54))</x:f>
        <x:v/>
      </x:c>
      <x:c r="FU54" s="331" t="str">
        <x:f>IF(SUM(DJ14:DN14)=0,"",1)</x:f>
        <x:v/>
      </x:c>
      <x:c r="FV54" s="383" t="str">
        <x:f t="shared" ref="FV54:FV85" si="197">IF(FW54="","",CEILING(FW54+GJ54-0.0625,0.125))</x:f>
        <x:v/>
      </x:c>
      <x:c r="FW54" s="332" t="str">
        <x:f>IF(SUM(DJ14:DN14)=0,"",IF(OR(FN54=0,FN54=""),"",(FN54+VLOOKUP(DH14,CB54:CD85,3,FALSE)-VLOOKUP(DH14,CB54:DD85,29,FALSE))/COS(VLOOKUP(DH14,$CB$54:$EU$85,72,FALSE))))</x:f>
        <x:v/>
      </x:c>
      <x:c r="FX54" s="332" t="str">
        <x:f>IF(SUM(DJ14:DN14)=0,"",IF(FO54=0,0,IF(FP54="","",CEILING(FP54/COS(VLOOKUP(FK54,$CB$54:$EU$85,72,FALSE))-0.0625,0.125))))</x:f>
        <x:v/>
      </x:c>
      <x:c r="FY54" s="332" t="str">
        <x:f>IF(SUM(DJ14:DN14)=0,"",IF(OR(FQ54=0,FQ54=""),"",FT54-IF(FW54="",0,FW54)-FO54*FX54))</x:f>
        <x:v/>
      </x:c>
      <x:c r="FZ54" s="341" t="str">
        <x:f>IF(FY54="","",CEILING(FT54-IF(FV54="",0,FV54)-(FO54*FX54)-0.0625,0.125))</x:f>
        <x:v/>
      </x:c>
      <x:c r="GA54" s="332" t="str">
        <x:f>IF(SUM(DJ14:DN14)=0,"",IF(FW54="",0,FW54)+FO54*FX54+IF(FY54="",0,FY54))</x:f>
        <x:v/>
      </x:c>
      <x:c r="GB54" s="333" t="str">
        <x:f ca="1">IF(SUM(DJ14:DN14)=0,"",IF(FY54="","",2+SUM(FO54:OFFSET(FO54,(FU54-1)*-1,0))))</x:f>
        <x:v/>
      </x:c>
      <x:c r="GC54" s="384" t="e">
        <x:f>VLOOKUP(DH14,$CB$54:$CD$85,3,FALSE)</x:f>
        <x:v>#N/A</x:v>
      </x:c>
      <x:c r="GD54" s="385" t="str">
        <x:f t="shared" ref="GD54:GD85" si="198">IF(ISBLANK(DT14),"",MAX(0,DT14+VLOOKUP(FK54,$CB$54:$CD$85,3,FALSE)))</x:f>
        <x:v/>
      </x:c>
      <x:c r="GE54" s="386" t="str">
        <x:f t="shared" ref="GE54:GE85" si="199">IF(ISBLANK(DU14),"",MAX(0,DU14+VLOOKUP(FK54,$CB$54:$CM$85,12,FALSE)))</x:f>
        <x:v/>
      </x:c>
      <x:c r="GF54" s="334" t="str">
        <x:f t="shared" ref="GF54:GF85" si="200">IF(AND(ISBLANK(DV14),ISBLANK(DW14)),"",IF(DV14="P",IF(ISNUMBER(DW14),CONCATENATE("#", DW14),DW14),CEILING((DV14*12+DW14+GC54)/COS(VLOOKUP(FK54,$CB$54:$EU$85,72,FALSE))-0.0625,0.125)))</x:f>
        <x:v/>
      </x:c>
      <x:c r="GG54" s="335" t="str">
        <x:f t="shared" ref="GG54:GG85" si="201">IF(AND(ISBLANK(DZ14),ISBLANK(EA14)),"",IF(DZ14="P",IF(ISNUMBER(EA14),CONCATENATE("#", EA14),EA14),CEILING((DZ14*12+EA14+GC54)/COS(VLOOKUP(FK54,$CB$54:$EU$85,72,FALSE))-0.0625,0.125)))</x:f>
        <x:v/>
      </x:c>
      <x:c r="GH54" s="335" t="str">
        <x:f t="shared" ref="GH54:GH85" si="202">IF(AND(ISBLANK(ED14),ISBLANK(EE14)),"",IF(ED14="P",IF(ISNUMBER(EE14),CONCATENATE("#", EE14),EE14),CEILING((ED14*12+EE14+GC54)/COS(VLOOKUP(FK54,$CB$54:$EU$85,72,FALSE))-0.0625,0.125)))</x:f>
        <x:v/>
      </x:c>
      <x:c r="GI54" s="336" t="str">
        <x:f t="shared" ref="GI54:GI85" si="203">IF(AND(ISBLANK(EH14),ISBLANK(EI14)),"",IF(EH14="P",IF(ISNUMBER(EI14),CONCATENATE("#", EI14),EI14),CEILING((EH14*12+EI14+GC54)/COS(VLOOKUP(FK54,$CB$54:$EU$85,72,FALSE))-0.0625,0.125)))</x:f>
        <x:v/>
      </x:c>
      <x:c r="GJ54" s="645">
        <x:f t="shared" ref="GJ54:GJ84" ca="1" si="204">IF(FY54="",GJ55,(FY54-(FQ54+VLOOKUP(FK54,$CB$54:$EU$85,12,FALSE)-VLOOKUP(FK54,$CB$54:$EU$85,34,FALSE))/COS(VLOOKUP(FK54,$CB$54:$EU$85,72,FALSE)))/2)</x:f>
        <x:v>0</x:v>
      </x:c>
      <x:c r="GK54" s="1131" t="str">
        <x:f ca="1">CONCATENATE(IF(AND(AD14&lt;&gt;"",AE14&lt;&gt;""),IF(AD14*12+AE14&lt;VLOOKUP(BX14,$BJ$14:$BM$45,4,FALSE)/$EX$5,"A",""),""),IF(AND(AI14&lt;&gt;"",AJ14&lt;&gt;""),IF(AI14*12+AJ14&lt;VLOOKUP(BX14,$BJ$14:$BM$45,4,FALSE)/$EX$5,"B",""),""))</x:f>
        <x:v/>
      </x:c>
      <x:c r="GL54" s="171"/>
      <x:c r="GM54" s="171"/>
    </x:row>
    <x:row r="55" spans="1:222" ht="12.6" hidden="1" customHeight="1" x14ac:dyDescent="0.2">
      <x:c r="BZ55" s="360"/>
      <x:c r="CA55" s="360"/>
      <x:c r="CB55" s="435" t="str">
        <x:f t="shared" si="137"/>
        <x:v/>
      </x:c>
      <x:c r="CC55" s="436" t="str">
        <x:f>IF(CG15="","",VLOOKUP(CG15,SectInfo!$B:$N,12,FALSE))</x:f>
        <x:v/>
      </x:c>
      <x:c r="CD55" s="1172" t="str">
        <x:f>IF(ISBLANK(CZ15),IF(CG15="","",VLOOKUP(CG15,SectInfo!$B:$N,13,FALSE)),CZ15)</x:f>
        <x:v/>
      </x:c>
      <x:c r="CE55" s="437" t="str">
        <x:f>IF(CG15="","",IF(VLOOKUP(CG15,SectInfo!$B:$N,5,FALSE)="","R",UPPER(VLOOKUP(CG15,SectInfo!$B:$N,5,FALSE))))</x:f>
        <x:v/>
      </x:c>
      <x:c r="CF55" s="1172" t="str">
        <x:f>IF(ISBLANK(DD15),IF(CG15="","",VLOOKUP(CG15,SectInfo!$B:$N,6,FALSE)),DD15)</x:f>
        <x:v/>
      </x:c>
      <x:c r="CG55" s="437" t="str">
        <x:f>IF(CG15="","",IF(VLOOKUP(CG15,SectInfo!$B:$N,10,FALSE)="","",(VLOOKUP(CG15,SectInfo!$B:$N,10,FALSE)*-1)))</x:f>
        <x:v/>
      </x:c>
      <x:c r="CH55" s="437" t="str">
        <x:f>IF(CG15="","",IF(VLOOKUP(CG15,SectInfo!$B:$N,7,FALSE)="","",(VLOOKUP(CG15,SectInfo!$B:$N,7,FALSE)*-1)))</x:f>
        <x:v/>
      </x:c>
      <x:c r="CI55" s="437" t="str">
        <x:f>IF(CG15="","",IF(VLOOKUP(CG15,SectInfo!$B:$N,8,FALSE)="",$FC$4,(VLOOKUP(CG15,SectInfo!$B:$N,8,FALSE))))</x:f>
        <x:v/>
      </x:c>
      <x:c r="CJ55" s="437" t="str">
        <x:f>IF(CG15="","",VLOOKUP(CG15,SectInfo!$B:$N,9,FALSE))</x:f>
        <x:v/>
      </x:c>
      <x:c r="CK55" s="438">
        <x:f t="shared" ref="CK55:CK85" si="205">CM15*-1</x:f>
        <x:v>0</x:v>
      </x:c>
      <x:c r="CL55" s="436" t="str">
        <x:f>IF(CN15="","",VLOOKUP(CN15,SectInfo!$B:$N,12,FALSE))</x:f>
        <x:v/>
      </x:c>
      <x:c r="CM55" s="1172" t="str">
        <x:f>IF(ISBLANK(DA15),IF(CN15="","",VLOOKUP(CN15,SectInfo!$B:$N,13,FALSE)),DA15)</x:f>
        <x:v/>
      </x:c>
      <x:c r="CN55" s="437" t="str">
        <x:f>IF(CN15="","",IF(VLOOKUP(CN15,SectInfo!$B:$N,5,FALSE)="","R",UPPER(VLOOKUP(CN15,SectInfo!$B:$N,5,FALSE))))</x:f>
        <x:v/>
      </x:c>
      <x:c r="CO55" s="1172" t="str">
        <x:f>IF(ISBLANK(DE15),IF(CN15="","",VLOOKUP(CN15,SectInfo!$B:$N,6,FALSE)),DE15)</x:f>
        <x:v/>
      </x:c>
      <x:c r="CP55" s="437" t="str">
        <x:f>IF(CN15="","",IF(VLOOKUP(CN15,SectInfo!$B:$N,10,FALSE)="","",(VLOOKUP(CN15,SectInfo!$B:$N,10,FALSE)*-1)))</x:f>
        <x:v/>
      </x:c>
      <x:c r="CQ55" s="437" t="str">
        <x:f>IF(CN15="","",IF(VLOOKUP(CN15,SectInfo!$B:$N,7,FALSE)="","",(VLOOKUP(CN15,SectInfo!$B:$N,7,FALSE)*-1)))</x:f>
        <x:v/>
      </x:c>
      <x:c r="CR55" s="437" t="str">
        <x:f>IF(CN15="","",IF(VLOOKUP(CN15,SectInfo!$B:$N,8,FALSE)="",$FC$4,(VLOOKUP(CN15,SectInfo!$B:$N,8,FALSE))))</x:f>
        <x:v/>
      </x:c>
      <x:c r="CS55" s="437" t="str">
        <x:f>IF(CN15="","",VLOOKUP(CN15,SectInfo!$B:$N,9,FALSE))</x:f>
        <x:v/>
      </x:c>
      <x:c r="CT55" s="438">
        <x:f t="shared" ref="CT55:CT85" si="206">CT15*-1</x:f>
        <x:v>0</x:v>
      </x:c>
      <x:c r="CU55" s="439">
        <x:f t="shared" si="138"/>
        <x:v>0</x:v>
      </x:c>
      <x:c r="CV55" s="339" t="str">
        <x:f t="shared" si="139"/>
        <x:v/>
      </x:c>
      <x:c r="CW55" s="339" t="str">
        <x:f t="shared" si="140"/>
        <x:v/>
      </x:c>
      <x:c r="CX55" s="339" t="str">
        <x:f t="shared" si="141"/>
        <x:v/>
      </x:c>
      <x:c r="CY55" s="1109">
        <x:f t="shared" si="142"/>
        <x:v>0</x:v>
      </x:c>
      <x:c r="CZ55" s="1109">
        <x:f t="shared" si="143"/>
        <x:v>0</x:v>
      </x:c>
      <x:c r="DA55" s="1109" t="str">
        <x:f t="shared" si="144"/>
        <x:v/>
      </x:c>
      <x:c r="DB55" s="1125" t="str">
        <x:f t="shared" ref="DB55:DB85" si="207">IF(CD55="","",CD55+DA55+($EY$4*TAN(CY55)))</x:f>
        <x:v/>
      </x:c>
      <x:c r="DC55" s="1125" t="str">
        <x:f t="shared" si="145"/>
        <x:v/>
      </x:c>
      <x:c r="DD55" s="1110">
        <x:f t="shared" ref="DD55:DD85" si="208">IF(CD55="",0,IF(DC55/COS(EU55)&lt;0.0625,0,CEILING(DC55/COS(EU55)-0.03125,0.125)))</x:f>
        <x:v>0</x:v>
      </x:c>
      <x:c r="DE55" s="1108">
        <x:f t="shared" ref="DE55:DE85" si="209">RADIANS(ABS(CS15))</x:f>
        <x:v>0</x:v>
      </x:c>
      <x:c r="DF55" s="1109">
        <x:f t="shared" si="146"/>
        <x:v>0</x:v>
      </x:c>
      <x:c r="DG55" s="1109" t="str">
        <x:f t="shared" si="147"/>
        <x:v/>
      </x:c>
      <x:c r="DH55" s="1125" t="str">
        <x:f t="shared" ref="DH55:DH85" si="210">IF(CM55="","",CM55+DG55+($EY$4*TAN(DE55)))</x:f>
        <x:v/>
      </x:c>
      <x:c r="DI55" s="1125" t="str">
        <x:f t="shared" ref="DI55:DI85" si="211">IF(CM55="","",IF(NOT(ISBLANK(DC15)),CM55-DC15,MAX(IF(AND(DF55&gt;=$FB$4,DG55&lt;=$FA$4,OR($FA$1=1,$FA$1=4)),CM55,IF(OR($FA$1=3,$FA$1=4),DH55-$FA$4,DH55+MAX(($FA$4-$FB$4)-(DG55-DF55)-$EY$4/2*TAN(DE55),0)-$FA$4))-ET55,0)-DC15))</x:f>
        <x:v/>
      </x:c>
      <x:c r="DJ55" s="1110">
        <x:f t="shared" ref="DJ55:DJ85" si="212">IF(CM55="",0,IF(DI55/COS(EU55)&lt;0.0625,0,CEILING(DI55/COS(EU55)-0.03125,0.125)))</x:f>
        <x:v>0</x:v>
      </x:c>
      <x:c r="DK55" s="1108" t="str">
        <x:f t="shared" si="148"/>
        <x:v/>
      </x:c>
      <x:c r="DL55" s="1108" t="str">
        <x:f t="shared" si="149"/>
        <x:v/>
      </x:c>
      <x:c r="DM55" s="1108" t="str">
        <x:f t="shared" si="150"/>
        <x:v/>
      </x:c>
      <x:c r="DN55" s="1108" t="str">
        <x:f t="shared" si="151"/>
        <x:v/>
      </x:c>
      <x:c r="DO55" s="1125" t="str">
        <x:f t="shared" si="152"/>
        <x:v>ERR</x:v>
      </x:c>
      <x:c r="DP55" s="1125" t="str">
        <x:f t="shared" si="153"/>
        <x:v>ERR</x:v>
      </x:c>
      <x:c r="DQ55" s="1108" t="str">
        <x:f t="shared" si="154"/>
        <x:v/>
      </x:c>
      <x:c r="DR55" s="1108" t="str">
        <x:f t="shared" si="154"/>
        <x:v/>
      </x:c>
      <x:c r="DS55" s="1108" t="str">
        <x:f t="shared" si="155"/>
        <x:v/>
      </x:c>
      <x:c r="DT55" s="1108" t="str">
        <x:f t="shared" si="156"/>
        <x:v/>
      </x:c>
      <x:c r="DU55" s="1108" t="str">
        <x:f t="shared" si="157"/>
        <x:v/>
      </x:c>
      <x:c r="DV55" s="1125" t="str">
        <x:f t="shared" si="158"/>
        <x:v>ERR</x:v>
      </x:c>
      <x:c r="DW55" s="1125" t="str">
        <x:f t="shared" si="159"/>
        <x:v>ERR</x:v>
      </x:c>
      <x:c r="DX55" s="1108" t="str">
        <x:f t="shared" si="160"/>
        <x:v/>
      </x:c>
      <x:c r="DY55" s="1108" t="str">
        <x:f t="shared" si="160"/>
        <x:v/>
      </x:c>
      <x:c r="DZ55" s="1108" t="str">
        <x:f t="shared" si="161"/>
        <x:v/>
      </x:c>
      <x:c r="EA55" s="1108" t="str">
        <x:f t="shared" si="162"/>
        <x:v/>
      </x:c>
      <x:c r="EB55" s="1111" t="str">
        <x:f t="shared" si="163"/>
        <x:v/>
      </x:c>
      <x:c r="EC55" s="1112" t="str">
        <x:f t="shared" si="164"/>
        <x:v/>
      </x:c>
      <x:c r="ED55" s="1111" t="str">
        <x:f t="shared" si="165"/>
        <x:v/>
      </x:c>
      <x:c r="EE55" s="1111" t="str">
        <x:f t="shared" si="166"/>
        <x:v/>
      </x:c>
      <x:c r="EF55" s="1111" t="str">
        <x:f t="shared" si="167"/>
        <x:v/>
      </x:c>
      <x:c r="EG55" s="1111" t="str">
        <x:f t="shared" si="168"/>
        <x:v/>
      </x:c>
      <x:c r="EH55" s="1111" t="str">
        <x:f t="shared" si="169"/>
        <x:v/>
      </x:c>
      <x:c r="EI55" s="1111" t="str">
        <x:f t="shared" si="170"/>
        <x:v/>
      </x:c>
      <x:c r="EJ55" s="1111" t="str">
        <x:f t="shared" si="171"/>
        <x:v/>
      </x:c>
      <x:c r="EK55" s="1109">
        <x:f t="shared" si="172"/>
        <x:v>0</x:v>
      </x:c>
      <x:c r="EL55" s="1109">
        <x:f t="shared" si="173"/>
        <x:v>0</x:v>
      </x:c>
      <x:c r="EM55" s="1109">
        <x:f t="shared" si="174"/>
        <x:v>0</x:v>
      </x:c>
      <x:c r="EN55" s="1109" t="str">
        <x:f t="shared" si="175"/>
        <x:v/>
      </x:c>
      <x:c r="EO55" s="1108" t="str">
        <x:f t="shared" si="176"/>
        <x:v/>
      </x:c>
      <x:c r="EP55" s="1109">
        <x:f t="shared" si="177"/>
        <x:v>0</x:v>
      </x:c>
      <x:c r="EQ55" s="1109">
        <x:f t="shared" si="178"/>
        <x:v>0</x:v>
      </x:c>
      <x:c r="ER55" s="1109">
        <x:f t="shared" si="179"/>
        <x:v>0</x:v>
      </x:c>
      <x:c r="ES55" s="1109" t="str">
        <x:f t="shared" si="180"/>
        <x:v/>
      </x:c>
      <x:c r="ET55" s="1108" t="str">
        <x:f t="shared" si="181"/>
        <x:v/>
      </x:c>
      <x:c r="EU55" s="1108">
        <x:f t="shared" si="182"/>
        <x:v>0</x:v>
      </x:c>
      <x:c r="EV55" s="1111" t="e">
        <x:f t="shared" si="183"/>
        <x:v>#VALUE!</x:v>
      </x:c>
      <x:c r="EW55" s="1111" t="e">
        <x:f t="shared" si="184"/>
        <x:v>#VALUE!</x:v>
      </x:c>
      <x:c r="EX55" s="1113" t="str">
        <x:f t="shared" ref="EX55:EX85" si="213">IF(CD15="","",IF(EZ55&lt;1.2,5+$EX$4,IF(EZ55&lt;1.79,6+$EX$4,IF(EZ55&lt;2.3,7+$EX$4,IF(EZ55&lt;3.76,8+$EX$4,IF(EZ55&lt;4.76,10+$EX$4,IF(EZ55&lt;8.45,12+$EX$4,"ERR")))))))</x:f>
        <x:v/>
      </x:c>
      <x:c r="EY55" s="1114">
        <x:f t="shared" si="185"/>
        <x:v>25</x:v>
      </x:c>
      <x:c r="EZ55" s="1219">
        <x:f t="shared" si="186"/>
        <x:v>0</x:v>
      </x:c>
      <x:c r="FA55" s="1220">
        <x:f t="shared" si="187"/>
        <x:v>0</x:v>
      </x:c>
      <x:c r="FB55" s="1115" t="str">
        <x:f t="shared" si="188"/>
        <x:v/>
      </x:c>
      <x:c r="FC55" s="1116" t="str">
        <x:f t="shared" si="189"/>
        <x:v/>
      </x:c>
      <x:c r="FD55" s="1126">
        <x:f t="shared" si="190"/>
        <x:v>0</x:v>
      </x:c>
      <x:c r="FE55" s="1066">
        <x:f t="shared" si="191"/>
        <x:v>0</x:v>
      </x:c>
      <x:c r="FF55" s="969" t="b">
        <x:f t="shared" si="192"/>
        <x:v>0</x:v>
      </x:c>
      <x:c r="FG55" s="969" t="b">
        <x:f t="shared" si="193"/>
        <x:v>0</x:v>
      </x:c>
      <x:c r="FH55" s="969" t="b">
        <x:f t="shared" si="194"/>
        <x:v>0</x:v>
      </x:c>
      <x:c r="FI55" s="969" t="b">
        <x:f t="shared" si="195"/>
        <x:v>0</x:v>
      </x:c>
      <x:c r="FJ55" s="1161" t="str">
        <x:f t="shared" ref="FJ55:FJ85" si="214">IF(AND(COUNTA(DH15:EK15)&gt;0,FK55=FK54,FK55&lt;&gt;""),"G","")</x:f>
        <x:v/>
      </x:c>
      <x:c r="FK55" s="1160" t="str">
        <x:f t="shared" ref="FK55:FK85" si="215">IF(ISBLANK(DH15),FK54,DH15)</x:f>
        <x:v/>
      </x:c>
      <x:c r="FL55" s="388" t="e">
        <x:f t="shared" ref="FL55:FL85" si="216">IF(ISERROR(VLOOKUP(DH15,$CB$54:$DK$85,36,FALSE)),FL54,VLOOKUP(DH15,$CB$54:$DK$85,36,FALSE))</x:f>
        <x:v>#N/A</x:v>
      </x:c>
      <x:c r="FM55" s="380" t="str">
        <x:f t="shared" si="196"/>
        <x:v/>
      </x:c>
      <x:c r="FN55" s="337" t="str">
        <x:f t="shared" ref="FN55:FN85" ca="1" si="217">IF(OR(FS55=0,DL15=""),"",IF(UPPER(FM54)="X",0,CEILING(IF(AND(DJ15="",DK15=""),IF(UPPER(FM55)="X",FP55,IF(AND(DM15="",DN15=""),(FS55-FO55*FP55)/2,(DJ15*12+DK15+(DL15*(DM15*12+DN15)))-FO55*FP55)),(DJ15*12+DK15))-0.0625,0.125)))</x:f>
        <x:v/>
      </x:c>
      <x:c r="FO55" s="338" t="str">
        <x:f t="shared" ref="FO55:FO85" ca="1" si="218">IF(OR(FS55=0,DL15=""),"",DL15-IF(AND(DJ15="",DK15="",FM54&lt;&gt;"X"),1,0)-IF(AND(DM15="",DN15="",FM55=""),1,0))</x:f>
        <x:v/>
      </x:c>
      <x:c r="FP55" s="339" t="str">
        <x:f t="shared" ref="FP55:FP85" ca="1" si="219">IF(OR(FS55=0,DL15=""),"",CEILING(IF(AND(DM15="",DN15=""),IF(DL15=FO55,(FS55-FN55-FQ55)/FO55,(FS55-IF(AND(DJ15="",DK15=""),0,FN55)-IF(FM55="",0,FQ55))/DL15),DM15*12+DN15)-0.0625,0.125))</x:f>
        <x:v/>
      </x:c>
      <x:c r="FQ55" s="339" t="str">
        <x:f t="shared" ref="FQ55:FQ85" ca="1" si="220">IF(OR(FS55=0,DL15=""),"",IF(UPPER(FM55)="X",0,FS55-FN55-FO55*FP55))</x:f>
        <x:v/>
      </x:c>
      <x:c r="FR55" s="389">
        <x:f t="shared" ref="FR55:FR85" ca="1" si="221">IF(OR(FS55=0,DL15=""),0,FS55-(FN55+FO55*FP55+FQ55))</x:f>
        <x:v>0</x:v>
      </x:c>
      <x:c r="FS55" s="390">
        <x:f t="shared" ref="FS55:FS85" ca="1" si="222">IF(ISBLANK(DH15),IF(FR54=0,IF(OR(DI15="F",DI15="N"),OFFSET(FS54,(-1*(FU54-1)),0),0),FR54),VLOOKUP(DH15,$CB$14:$CF$45,4,FALSE)*12+VLOOKUP(DH15,$CB$14:$CF$45,5,FALSE))</x:f>
        <x:v>0</x:v>
      </x:c>
      <x:c r="FT55" s="337" t="str">
        <x:f t="shared" ref="FT55:FT85" ca="1" si="223">IF(FU55="","",IF(FU55=1,IF(FL55="",OFFSET(FL55,(-1*FU54),0),FL55),FT54-GA54))</x:f>
        <x:v/>
      </x:c>
      <x:c r="FU55" s="340" t="str">
        <x:f t="shared" ref="FU55:FU85" ca="1" si="224">IF(FS55=0,"",IF(FR54=0,1,FU54+1))</x:f>
        <x:v/>
      </x:c>
      <x:c r="FV55" s="391" t="str">
        <x:f t="shared" ca="1" si="197"/>
        <x:v/>
      </x:c>
      <x:c r="FW55" s="341" t="str">
        <x:f t="shared" ref="FW55:FW85" ca="1" si="225">IF(OR(FN55=0,FN55=""),"",(FN55+VLOOKUP(FK55,$CB$54:$CD$85,3,FALSE)-VLOOKUP(FK55,$CB$54:$DD$85,29,FALSE))/COS(VLOOKUP(FK55,$CB$54:$EU$85,72,FALSE)))</x:f>
        <x:v/>
      </x:c>
      <x:c r="FX55" s="341" t="str">
        <x:f t="shared" ref="FX55:FX85" ca="1" si="226">IF(FO55=0,0,IF(FP55="","",CEILING(FP55/COS(VLOOKUP(FK55,$CB$54:$EU$85,72,FALSE))-0.0625,0.125)))</x:f>
        <x:v/>
      </x:c>
      <x:c r="FY55" s="341" t="str">
        <x:f t="shared" ref="FY55:FY85" ca="1" si="227">IF(OR(FQ55=0,FQ55=""),"",FT55-IF(FW55="",0,FW55)-FO55*FX55)</x:f>
        <x:v/>
      </x:c>
      <x:c r="FZ55" s="341" t="str">
        <x:f t="shared" ref="FZ55:FZ85" ca="1" si="228">IF(FY55="","",CEILING(FT55-IF(FV55="",0,FV55)-(FO55*FX55)-0.0625,0.125))</x:f>
        <x:v/>
      </x:c>
      <x:c r="GA55" s="341" t="str">
        <x:f t="shared" ref="GA55:GA85" ca="1" si="229">IF(FP55="","",IF(FW55="",0,FW55)+FO55*FX55+IF(FY55="",0,FY55))</x:f>
        <x:v/>
      </x:c>
      <x:c r="GB55" s="342" t="str">
        <x:f ca="1">IF(FY55="","",2+SUM(FO55:OFFSET(FO55,(FU55-1)*-1,0)))</x:f>
        <x:v/>
      </x:c>
      <x:c r="GC55" s="384" t="e">
        <x:f t="shared" ref="GC55:GC85" si="230">IF(ISERROR(VLOOKUP(DH15,$CB$54:$CD$85,3,FALSE)),GC54,VLOOKUP(DH15,$CB$54:$CD$85,3,FALSE))</x:f>
        <x:v>#N/A</x:v>
      </x:c>
      <x:c r="GD55" s="392" t="str">
        <x:f t="shared" si="198"/>
        <x:v/>
      </x:c>
      <x:c r="GE55" s="393" t="str">
        <x:f t="shared" si="199"/>
        <x:v/>
      </x:c>
      <x:c r="GF55" s="343" t="str">
        <x:f t="shared" si="200"/>
        <x:v/>
      </x:c>
      <x:c r="GG55" s="344" t="str">
        <x:f t="shared" si="201"/>
        <x:v/>
      </x:c>
      <x:c r="GH55" s="344" t="str">
        <x:f t="shared" si="202"/>
        <x:v/>
      </x:c>
      <x:c r="GI55" s="345" t="str">
        <x:f t="shared" si="203"/>
        <x:v/>
      </x:c>
      <x:c r="GJ55" s="646">
        <x:f t="shared" ca="1" si="204"/>
        <x:v>0</x:v>
      </x:c>
      <x:c r="GK55" s="1131" t="str">
        <x:f t="shared" ref="GK55:GK85" ca="1" si="231">CONCATENATE(IF(AND(AD15&lt;&gt;"",AE15&lt;&gt;""),IF(AD15*12+AE15&lt;VLOOKUP(BX15,$BJ$14:$BM$45,4,FALSE)/$EX$5,"A",""),""),IF(AND(AI15&lt;&gt;"",AJ15&lt;&gt;""),IF(AI15*12+AJ15&lt;VLOOKUP(BX15,$BJ$14:$BM$45,4,FALSE)/$EX$5,"B",""),""))</x:f>
        <x:v>B</x:v>
      </x:c>
      <x:c r="GL55" s="171"/>
      <x:c r="GM55" s="171"/>
    </x:row>
    <x:row r="56" spans="1:222" ht="12.6" hidden="1" customHeight="1" x14ac:dyDescent="0.2">
      <x:c r="BZ56" s="360"/>
      <x:c r="CA56" s="360"/>
      <x:c r="CB56" s="435" t="str">
        <x:f t="shared" si="137"/>
        <x:v/>
      </x:c>
      <x:c r="CC56" s="436" t="str">
        <x:f>IF(CG16="","",VLOOKUP(CG16,SectInfo!$B:$N,12,FALSE))</x:f>
        <x:v/>
      </x:c>
      <x:c r="CD56" s="1172" t="str">
        <x:f>IF(ISBLANK(CZ16),IF(CG16="","",VLOOKUP(CG16,SectInfo!$B:$N,13,FALSE)),CZ16)</x:f>
        <x:v/>
      </x:c>
      <x:c r="CE56" s="437" t="str">
        <x:f>IF(CG16="","",IF(VLOOKUP(CG16,SectInfo!$B:$N,5,FALSE)="","R",UPPER(VLOOKUP(CG16,SectInfo!$B:$N,5,FALSE))))</x:f>
        <x:v/>
      </x:c>
      <x:c r="CF56" s="1172" t="str">
        <x:f>IF(ISBLANK(DD16),IF(CG16="","",VLOOKUP(CG16,SectInfo!$B:$N,6,FALSE)),DD16)</x:f>
        <x:v/>
      </x:c>
      <x:c r="CG56" s="437" t="str">
        <x:f>IF(CG16="","",IF(VLOOKUP(CG16,SectInfo!$B:$N,10,FALSE)="","",(VLOOKUP(CG16,SectInfo!$B:$N,10,FALSE)*-1)))</x:f>
        <x:v/>
      </x:c>
      <x:c r="CH56" s="437" t="str">
        <x:f>IF(CG16="","",IF(VLOOKUP(CG16,SectInfo!$B:$N,7,FALSE)="","",(VLOOKUP(CG16,SectInfo!$B:$N,7,FALSE)*-1)))</x:f>
        <x:v/>
      </x:c>
      <x:c r="CI56" s="437" t="str">
        <x:f>IF(CG16="","",IF(VLOOKUP(CG16,SectInfo!$B:$N,8,FALSE)="",$FC$4,(VLOOKUP(CG16,SectInfo!$B:$N,8,FALSE))))</x:f>
        <x:v/>
      </x:c>
      <x:c r="CJ56" s="437" t="str">
        <x:f>IF(CG16="","",VLOOKUP(CG16,SectInfo!$B:$N,9,FALSE))</x:f>
        <x:v/>
      </x:c>
      <x:c r="CK56" s="438">
        <x:f t="shared" si="205"/>
        <x:v>0</x:v>
      </x:c>
      <x:c r="CL56" s="436" t="str">
        <x:f>IF(CN16="","",VLOOKUP(CN16,SectInfo!$B:$N,12,FALSE))</x:f>
        <x:v/>
      </x:c>
      <x:c r="CM56" s="1172" t="str">
        <x:f>IF(ISBLANK(DA16),IF(CN16="","",VLOOKUP(CN16,SectInfo!$B:$N,13,FALSE)),DA16)</x:f>
        <x:v/>
      </x:c>
      <x:c r="CN56" s="437" t="str">
        <x:f>IF(CN16="","",IF(VLOOKUP(CN16,SectInfo!$B:$N,5,FALSE)="","R",UPPER(VLOOKUP(CN16,SectInfo!$B:$N,5,FALSE))))</x:f>
        <x:v/>
      </x:c>
      <x:c r="CO56" s="1172" t="str">
        <x:f>IF(ISBLANK(DE16),IF(CN16="","",VLOOKUP(CN16,SectInfo!$B:$N,6,FALSE)),DE16)</x:f>
        <x:v/>
      </x:c>
      <x:c r="CP56" s="437" t="str">
        <x:f>IF(CN16="","",IF(VLOOKUP(CN16,SectInfo!$B:$N,10,FALSE)="","",(VLOOKUP(CN16,SectInfo!$B:$N,10,FALSE)*-1)))</x:f>
        <x:v/>
      </x:c>
      <x:c r="CQ56" s="437" t="str">
        <x:f>IF(CN16="","",IF(VLOOKUP(CN16,SectInfo!$B:$N,7,FALSE)="","",(VLOOKUP(CN16,SectInfo!$B:$N,7,FALSE)*-1)))</x:f>
        <x:v/>
      </x:c>
      <x:c r="CR56" s="437" t="str">
        <x:f>IF(CN16="","",IF(VLOOKUP(CN16,SectInfo!$B:$N,8,FALSE)="",$FC$4,(VLOOKUP(CN16,SectInfo!$B:$N,8,FALSE))))</x:f>
        <x:v/>
      </x:c>
      <x:c r="CS56" s="437" t="str">
        <x:f>IF(CN16="","",VLOOKUP(CN16,SectInfo!$B:$N,9,FALSE))</x:f>
        <x:v/>
      </x:c>
      <x:c r="CT56" s="438">
        <x:f t="shared" si="206"/>
        <x:v>0</x:v>
      </x:c>
      <x:c r="CU56" s="439">
        <x:f t="shared" si="138"/>
        <x:v>0</x:v>
      </x:c>
      <x:c r="CV56" s="339" t="str">
        <x:f t="shared" si="139"/>
        <x:v/>
      </x:c>
      <x:c r="CW56" s="339" t="str">
        <x:f t="shared" si="140"/>
        <x:v/>
      </x:c>
      <x:c r="CX56" s="339" t="str">
        <x:f t="shared" si="141"/>
        <x:v/>
      </x:c>
      <x:c r="CY56" s="1109">
        <x:f t="shared" si="142"/>
        <x:v>0</x:v>
      </x:c>
      <x:c r="CZ56" s="1109">
        <x:f t="shared" si="143"/>
        <x:v>0</x:v>
      </x:c>
      <x:c r="DA56" s="1109" t="str">
        <x:f t="shared" si="144"/>
        <x:v/>
      </x:c>
      <x:c r="DB56" s="1125" t="str">
        <x:f t="shared" si="207"/>
        <x:v/>
      </x:c>
      <x:c r="DC56" s="1125" t="str">
        <x:f t="shared" si="145"/>
        <x:v/>
      </x:c>
      <x:c r="DD56" s="1110">
        <x:f t="shared" si="208"/>
        <x:v>0</x:v>
      </x:c>
      <x:c r="DE56" s="1108">
        <x:f t="shared" si="209"/>
        <x:v>0</x:v>
      </x:c>
      <x:c r="DF56" s="1109">
        <x:f t="shared" si="146"/>
        <x:v>0</x:v>
      </x:c>
      <x:c r="DG56" s="1109" t="str">
        <x:f t="shared" si="147"/>
        <x:v/>
      </x:c>
      <x:c r="DH56" s="1125" t="str">
        <x:f t="shared" si="210"/>
        <x:v/>
      </x:c>
      <x:c r="DI56" s="1125" t="str">
        <x:f t="shared" si="211"/>
        <x:v/>
      </x:c>
      <x:c r="DJ56" s="1110">
        <x:f t="shared" si="212"/>
        <x:v>0</x:v>
      </x:c>
      <x:c r="DK56" s="1108" t="str">
        <x:f t="shared" si="148"/>
        <x:v/>
      </x:c>
      <x:c r="DL56" s="1108" t="str">
        <x:f t="shared" si="149"/>
        <x:v/>
      </x:c>
      <x:c r="DM56" s="1108" t="str">
        <x:f t="shared" si="150"/>
        <x:v/>
      </x:c>
      <x:c r="DN56" s="1108" t="str">
        <x:f t="shared" si="151"/>
        <x:v/>
      </x:c>
      <x:c r="DO56" s="1125" t="str">
        <x:f t="shared" si="152"/>
        <x:v>ERR</x:v>
      </x:c>
      <x:c r="DP56" s="1125" t="str">
        <x:f t="shared" si="153"/>
        <x:v>ERR</x:v>
      </x:c>
      <x:c r="DQ56" s="1108" t="str">
        <x:f t="shared" si="154"/>
        <x:v/>
      </x:c>
      <x:c r="DR56" s="1108" t="str">
        <x:f t="shared" si="154"/>
        <x:v/>
      </x:c>
      <x:c r="DS56" s="1108" t="str">
        <x:f t="shared" si="155"/>
        <x:v/>
      </x:c>
      <x:c r="DT56" s="1108" t="str">
        <x:f t="shared" si="156"/>
        <x:v/>
      </x:c>
      <x:c r="DU56" s="1108" t="str">
        <x:f t="shared" si="157"/>
        <x:v/>
      </x:c>
      <x:c r="DV56" s="1125" t="str">
        <x:f t="shared" si="158"/>
        <x:v>ERR</x:v>
      </x:c>
      <x:c r="DW56" s="1125" t="str">
        <x:f t="shared" si="159"/>
        <x:v>ERR</x:v>
      </x:c>
      <x:c r="DX56" s="1108" t="str">
        <x:f t="shared" si="160"/>
        <x:v/>
      </x:c>
      <x:c r="DY56" s="1108" t="str">
        <x:f t="shared" si="160"/>
        <x:v/>
      </x:c>
      <x:c r="DZ56" s="1108" t="str">
        <x:f t="shared" si="161"/>
        <x:v/>
      </x:c>
      <x:c r="EA56" s="1108" t="str">
        <x:f t="shared" si="162"/>
        <x:v/>
      </x:c>
      <x:c r="EB56" s="1111" t="str">
        <x:f t="shared" si="163"/>
        <x:v/>
      </x:c>
      <x:c r="EC56" s="1112" t="str">
        <x:f t="shared" si="164"/>
        <x:v/>
      </x:c>
      <x:c r="ED56" s="1111" t="str">
        <x:f t="shared" si="165"/>
        <x:v/>
      </x:c>
      <x:c r="EE56" s="1111" t="str">
        <x:f t="shared" si="166"/>
        <x:v/>
      </x:c>
      <x:c r="EF56" s="1111" t="str">
        <x:f t="shared" si="167"/>
        <x:v/>
      </x:c>
      <x:c r="EG56" s="1111" t="str">
        <x:f t="shared" si="168"/>
        <x:v/>
      </x:c>
      <x:c r="EH56" s="1111" t="str">
        <x:f t="shared" si="169"/>
        <x:v/>
      </x:c>
      <x:c r="EI56" s="1111" t="str">
        <x:f t="shared" si="170"/>
        <x:v/>
      </x:c>
      <x:c r="EJ56" s="1111" t="str">
        <x:f t="shared" si="171"/>
        <x:v/>
      </x:c>
      <x:c r="EK56" s="1109">
        <x:f t="shared" si="172"/>
        <x:v>0</x:v>
      </x:c>
      <x:c r="EL56" s="1109">
        <x:f t="shared" si="173"/>
        <x:v>0</x:v>
      </x:c>
      <x:c r="EM56" s="1109">
        <x:f t="shared" si="174"/>
        <x:v>0</x:v>
      </x:c>
      <x:c r="EN56" s="1109" t="str">
        <x:f t="shared" si="175"/>
        <x:v/>
      </x:c>
      <x:c r="EO56" s="1108" t="str">
        <x:f t="shared" si="176"/>
        <x:v/>
      </x:c>
      <x:c r="EP56" s="1109">
        <x:f t="shared" si="177"/>
        <x:v>0</x:v>
      </x:c>
      <x:c r="EQ56" s="1109">
        <x:f t="shared" si="178"/>
        <x:v>0</x:v>
      </x:c>
      <x:c r="ER56" s="1109">
        <x:f t="shared" si="179"/>
        <x:v>0</x:v>
      </x:c>
      <x:c r="ES56" s="1109" t="str">
        <x:f t="shared" si="180"/>
        <x:v/>
      </x:c>
      <x:c r="ET56" s="1108" t="str">
        <x:f t="shared" si="181"/>
        <x:v/>
      </x:c>
      <x:c r="EU56" s="1108">
        <x:f t="shared" si="182"/>
        <x:v>0</x:v>
      </x:c>
      <x:c r="EV56" s="1111" t="e">
        <x:f t="shared" si="183"/>
        <x:v>#VALUE!</x:v>
      </x:c>
      <x:c r="EW56" s="1111" t="e">
        <x:f t="shared" si="184"/>
        <x:v>#VALUE!</x:v>
      </x:c>
      <x:c r="EX56" s="1113" t="str">
        <x:f t="shared" si="213"/>
        <x:v/>
      </x:c>
      <x:c r="EY56" s="1114">
        <x:f t="shared" si="185"/>
        <x:v>25</x:v>
      </x:c>
      <x:c r="EZ56" s="1219">
        <x:f t="shared" si="186"/>
        <x:v>0</x:v>
      </x:c>
      <x:c r="FA56" s="1220">
        <x:f t="shared" si="187"/>
        <x:v>0</x:v>
      </x:c>
      <x:c r="FB56" s="1115" t="str">
        <x:f t="shared" si="188"/>
        <x:v/>
      </x:c>
      <x:c r="FC56" s="1116" t="str">
        <x:f t="shared" si="189"/>
        <x:v/>
      </x:c>
      <x:c r="FD56" s="1126">
        <x:f t="shared" si="190"/>
        <x:v>0</x:v>
      </x:c>
      <x:c r="FE56" s="1066">
        <x:f t="shared" si="191"/>
        <x:v>0</x:v>
      </x:c>
      <x:c r="FF56" s="969" t="b">
        <x:f t="shared" si="192"/>
        <x:v>0</x:v>
      </x:c>
      <x:c r="FG56" s="969" t="b">
        <x:f t="shared" si="193"/>
        <x:v>0</x:v>
      </x:c>
      <x:c r="FH56" s="969" t="b">
        <x:f t="shared" si="194"/>
        <x:v>0</x:v>
      </x:c>
      <x:c r="FI56" s="969" t="b">
        <x:f t="shared" si="195"/>
        <x:v>0</x:v>
      </x:c>
      <x:c r="FJ56" s="1161" t="str">
        <x:f t="shared" si="214"/>
        <x:v/>
      </x:c>
      <x:c r="FK56" s="1160" t="str">
        <x:f t="shared" si="215"/>
        <x:v/>
      </x:c>
      <x:c r="FL56" s="388" t="e">
        <x:f t="shared" si="216"/>
        <x:v>#N/A</x:v>
      </x:c>
      <x:c r="FM56" s="380" t="str">
        <x:f t="shared" si="196"/>
        <x:v/>
      </x:c>
      <x:c r="FN56" s="337" t="str">
        <x:f t="shared" ca="1" si="217"/>
        <x:v/>
      </x:c>
      <x:c r="FO56" s="338" t="str">
        <x:f t="shared" ca="1" si="218"/>
        <x:v/>
      </x:c>
      <x:c r="FP56" s="339" t="str">
        <x:f t="shared" ca="1" si="219"/>
        <x:v/>
      </x:c>
      <x:c r="FQ56" s="339" t="str">
        <x:f t="shared" ca="1" si="220"/>
        <x:v/>
      </x:c>
      <x:c r="FR56" s="389">
        <x:f t="shared" ca="1" si="221"/>
        <x:v>0</x:v>
      </x:c>
      <x:c r="FS56" s="390">
        <x:f t="shared" ca="1" si="222"/>
        <x:v>0</x:v>
      </x:c>
      <x:c r="FT56" s="337" t="str">
        <x:f t="shared" ca="1" si="223"/>
        <x:v/>
      </x:c>
      <x:c r="FU56" s="340" t="str">
        <x:f t="shared" ca="1" si="224"/>
        <x:v/>
      </x:c>
      <x:c r="FV56" s="391" t="str">
        <x:f t="shared" ca="1" si="197"/>
        <x:v/>
      </x:c>
      <x:c r="FW56" s="341" t="str">
        <x:f t="shared" ca="1" si="225"/>
        <x:v/>
      </x:c>
      <x:c r="FX56" s="341" t="str">
        <x:f t="shared" ca="1" si="226"/>
        <x:v/>
      </x:c>
      <x:c r="FY56" s="341" t="str">
        <x:f t="shared" ca="1" si="227"/>
        <x:v/>
      </x:c>
      <x:c r="FZ56" s="341" t="str">
        <x:f t="shared" ca="1" si="228"/>
        <x:v/>
      </x:c>
      <x:c r="GA56" s="341" t="str">
        <x:f t="shared" ca="1" si="229"/>
        <x:v/>
      </x:c>
      <x:c r="GB56" s="342" t="str">
        <x:f ca="1">IF(FY56="","",2+SUM(FO56:OFFSET(FO56,(FU56-1)*-1,0)))</x:f>
        <x:v/>
      </x:c>
      <x:c r="GC56" s="384" t="e">
        <x:f t="shared" si="230"/>
        <x:v>#N/A</x:v>
      </x:c>
      <x:c r="GD56" s="392" t="str">
        <x:f t="shared" si="198"/>
        <x:v/>
      </x:c>
      <x:c r="GE56" s="393" t="str">
        <x:f t="shared" si="199"/>
        <x:v/>
      </x:c>
      <x:c r="GF56" s="343" t="str">
        <x:f t="shared" si="200"/>
        <x:v/>
      </x:c>
      <x:c r="GG56" s="344" t="str">
        <x:f t="shared" si="201"/>
        <x:v/>
      </x:c>
      <x:c r="GH56" s="344" t="str">
        <x:f t="shared" si="202"/>
        <x:v/>
      </x:c>
      <x:c r="GI56" s="345" t="str">
        <x:f t="shared" si="203"/>
        <x:v/>
      </x:c>
      <x:c r="GJ56" s="646">
        <x:f t="shared" ca="1" si="204"/>
        <x:v>0</x:v>
      </x:c>
      <x:c r="GK56" s="1131" t="str">
        <x:f t="shared" ca="1" si="231"/>
        <x:v>A</x:v>
      </x:c>
      <x:c r="GL56" s="171"/>
      <x:c r="GM56" s="171"/>
    </x:row>
    <x:row r="57" spans="1:222" ht="12.6" hidden="1" customHeight="1" x14ac:dyDescent="0.2">
      <x:c r="BZ57" s="360"/>
      <x:c r="CA57" s="360"/>
      <x:c r="CB57" s="435" t="str">
        <x:f t="shared" si="137"/>
        <x:v/>
      </x:c>
      <x:c r="CC57" s="436" t="str">
        <x:f>IF(CG17="","",VLOOKUP(CG17,SectInfo!$B:$N,12,FALSE))</x:f>
        <x:v/>
      </x:c>
      <x:c r="CD57" s="1172" t="str">
        <x:f>IF(ISBLANK(CZ17),IF(CG17="","",VLOOKUP(CG17,SectInfo!$B:$N,13,FALSE)),CZ17)</x:f>
        <x:v/>
      </x:c>
      <x:c r="CE57" s="437" t="str">
        <x:f>IF(CG17="","",IF(VLOOKUP(CG17,SectInfo!$B:$N,5,FALSE)="","R",UPPER(VLOOKUP(CG17,SectInfo!$B:$N,5,FALSE))))</x:f>
        <x:v/>
      </x:c>
      <x:c r="CF57" s="1172" t="str">
        <x:f>IF(ISBLANK(DD17),IF(CG17="","",VLOOKUP(CG17,SectInfo!$B:$N,6,FALSE)),DD17)</x:f>
        <x:v/>
      </x:c>
      <x:c r="CG57" s="437" t="str">
        <x:f>IF(CG17="","",IF(VLOOKUP(CG17,SectInfo!$B:$N,10,FALSE)="","",(VLOOKUP(CG17,SectInfo!$B:$N,10,FALSE)*-1)))</x:f>
        <x:v/>
      </x:c>
      <x:c r="CH57" s="437" t="str">
        <x:f>IF(CG17="","",IF(VLOOKUP(CG17,SectInfo!$B:$N,7,FALSE)="","",(VLOOKUP(CG17,SectInfo!$B:$N,7,FALSE)*-1)))</x:f>
        <x:v/>
      </x:c>
      <x:c r="CI57" s="437" t="str">
        <x:f>IF(CG17="","",IF(VLOOKUP(CG17,SectInfo!$B:$N,8,FALSE)="",$FC$4,(VLOOKUP(CG17,SectInfo!$B:$N,8,FALSE))))</x:f>
        <x:v/>
      </x:c>
      <x:c r="CJ57" s="437" t="str">
        <x:f>IF(CG17="","",VLOOKUP(CG17,SectInfo!$B:$N,9,FALSE))</x:f>
        <x:v/>
      </x:c>
      <x:c r="CK57" s="438">
        <x:f t="shared" si="205"/>
        <x:v>0</x:v>
      </x:c>
      <x:c r="CL57" s="436" t="str">
        <x:f>IF(CN17="","",VLOOKUP(CN17,SectInfo!$B:$N,12,FALSE))</x:f>
        <x:v/>
      </x:c>
      <x:c r="CM57" s="1172" t="str">
        <x:f>IF(ISBLANK(DA17),IF(CN17="","",VLOOKUP(CN17,SectInfo!$B:$N,13,FALSE)),DA17)</x:f>
        <x:v/>
      </x:c>
      <x:c r="CN57" s="437" t="str">
        <x:f>IF(CN17="","",IF(VLOOKUP(CN17,SectInfo!$B:$N,5,FALSE)="","R",UPPER(VLOOKUP(CN17,SectInfo!$B:$N,5,FALSE))))</x:f>
        <x:v/>
      </x:c>
      <x:c r="CO57" s="1172" t="str">
        <x:f>IF(ISBLANK(DE17),IF(CN17="","",VLOOKUP(CN17,SectInfo!$B:$N,6,FALSE)),DE17)</x:f>
        <x:v/>
      </x:c>
      <x:c r="CP57" s="437" t="str">
        <x:f>IF(CN17="","",IF(VLOOKUP(CN17,SectInfo!$B:$N,10,FALSE)="","",(VLOOKUP(CN17,SectInfo!$B:$N,10,FALSE)*-1)))</x:f>
        <x:v/>
      </x:c>
      <x:c r="CQ57" s="437" t="str">
        <x:f>IF(CN17="","",IF(VLOOKUP(CN17,SectInfo!$B:$N,7,FALSE)="","",(VLOOKUP(CN17,SectInfo!$B:$N,7,FALSE)*-1)))</x:f>
        <x:v/>
      </x:c>
      <x:c r="CR57" s="437" t="str">
        <x:f>IF(CN17="","",IF(VLOOKUP(CN17,SectInfo!$B:$N,8,FALSE)="",$FC$4,(VLOOKUP(CN17,SectInfo!$B:$N,8,FALSE))))</x:f>
        <x:v/>
      </x:c>
      <x:c r="CS57" s="437" t="str">
        <x:f>IF(CN17="","",VLOOKUP(CN17,SectInfo!$B:$N,9,FALSE))</x:f>
        <x:v/>
      </x:c>
      <x:c r="CT57" s="438">
        <x:f t="shared" si="206"/>
        <x:v>0</x:v>
      </x:c>
      <x:c r="CU57" s="439">
        <x:f t="shared" si="138"/>
        <x:v>0</x:v>
      </x:c>
      <x:c r="CV57" s="339" t="str">
        <x:f t="shared" si="139"/>
        <x:v/>
      </x:c>
      <x:c r="CW57" s="339" t="str">
        <x:f t="shared" si="140"/>
        <x:v/>
      </x:c>
      <x:c r="CX57" s="339" t="str">
        <x:f t="shared" si="141"/>
        <x:v/>
      </x:c>
      <x:c r="CY57" s="1109">
        <x:f t="shared" si="142"/>
        <x:v>0</x:v>
      </x:c>
      <x:c r="CZ57" s="1109">
        <x:f t="shared" si="143"/>
        <x:v>0</x:v>
      </x:c>
      <x:c r="DA57" s="1109" t="str">
        <x:f t="shared" si="144"/>
        <x:v/>
      </x:c>
      <x:c r="DB57" s="1125" t="str">
        <x:f t="shared" si="207"/>
        <x:v/>
      </x:c>
      <x:c r="DC57" s="1125" t="str">
        <x:f t="shared" si="145"/>
        <x:v/>
      </x:c>
      <x:c r="DD57" s="1110">
        <x:f t="shared" si="208"/>
        <x:v>0</x:v>
      </x:c>
      <x:c r="DE57" s="1108">
        <x:f t="shared" si="209"/>
        <x:v>0</x:v>
      </x:c>
      <x:c r="DF57" s="1109">
        <x:f t="shared" si="146"/>
        <x:v>0</x:v>
      </x:c>
      <x:c r="DG57" s="1109" t="str">
        <x:f t="shared" si="147"/>
        <x:v/>
      </x:c>
      <x:c r="DH57" s="1125" t="str">
        <x:f t="shared" si="210"/>
        <x:v/>
      </x:c>
      <x:c r="DI57" s="1125" t="str">
        <x:f t="shared" si="211"/>
        <x:v/>
      </x:c>
      <x:c r="DJ57" s="1110">
        <x:f t="shared" si="212"/>
        <x:v>0</x:v>
      </x:c>
      <x:c r="DK57" s="1108" t="str">
        <x:f t="shared" si="148"/>
        <x:v/>
      </x:c>
      <x:c r="DL57" s="1108" t="str">
        <x:f t="shared" si="149"/>
        <x:v/>
      </x:c>
      <x:c r="DM57" s="1108" t="str">
        <x:f t="shared" si="150"/>
        <x:v/>
      </x:c>
      <x:c r="DN57" s="1108" t="str">
        <x:f t="shared" si="151"/>
        <x:v/>
      </x:c>
      <x:c r="DO57" s="1125" t="str">
        <x:f t="shared" si="152"/>
        <x:v>ERR</x:v>
      </x:c>
      <x:c r="DP57" s="1125" t="str">
        <x:f t="shared" si="153"/>
        <x:v>ERR</x:v>
      </x:c>
      <x:c r="DQ57" s="1108" t="str">
        <x:f t="shared" si="154"/>
        <x:v/>
      </x:c>
      <x:c r="DR57" s="1108" t="str">
        <x:f t="shared" si="154"/>
        <x:v/>
      </x:c>
      <x:c r="DS57" s="1108" t="str">
        <x:f t="shared" si="155"/>
        <x:v/>
      </x:c>
      <x:c r="DT57" s="1108" t="str">
        <x:f t="shared" si="156"/>
        <x:v/>
      </x:c>
      <x:c r="DU57" s="1108" t="str">
        <x:f t="shared" si="157"/>
        <x:v/>
      </x:c>
      <x:c r="DV57" s="1125" t="str">
        <x:f t="shared" si="158"/>
        <x:v>ERR</x:v>
      </x:c>
      <x:c r="DW57" s="1125" t="str">
        <x:f t="shared" si="159"/>
        <x:v>ERR</x:v>
      </x:c>
      <x:c r="DX57" s="1108" t="str">
        <x:f t="shared" si="160"/>
        <x:v/>
      </x:c>
      <x:c r="DY57" s="1108" t="str">
        <x:f t="shared" si="160"/>
        <x:v/>
      </x:c>
      <x:c r="DZ57" s="1108" t="str">
        <x:f t="shared" si="161"/>
        <x:v/>
      </x:c>
      <x:c r="EA57" s="1108" t="str">
        <x:f t="shared" si="162"/>
        <x:v/>
      </x:c>
      <x:c r="EB57" s="1111" t="str">
        <x:f t="shared" si="163"/>
        <x:v/>
      </x:c>
      <x:c r="EC57" s="1112" t="str">
        <x:f t="shared" si="164"/>
        <x:v/>
      </x:c>
      <x:c r="ED57" s="1111" t="str">
        <x:f t="shared" si="165"/>
        <x:v/>
      </x:c>
      <x:c r="EE57" s="1111" t="str">
        <x:f t="shared" si="166"/>
        <x:v/>
      </x:c>
      <x:c r="EF57" s="1111" t="str">
        <x:f t="shared" si="167"/>
        <x:v/>
      </x:c>
      <x:c r="EG57" s="1111" t="str">
        <x:f t="shared" si="168"/>
        <x:v/>
      </x:c>
      <x:c r="EH57" s="1111" t="str">
        <x:f t="shared" si="169"/>
        <x:v/>
      </x:c>
      <x:c r="EI57" s="1111" t="str">
        <x:f t="shared" si="170"/>
        <x:v/>
      </x:c>
      <x:c r="EJ57" s="1111" t="str">
        <x:f t="shared" si="171"/>
        <x:v/>
      </x:c>
      <x:c r="EK57" s="1109">
        <x:f t="shared" si="172"/>
        <x:v>0</x:v>
      </x:c>
      <x:c r="EL57" s="1109">
        <x:f t="shared" si="173"/>
        <x:v>0</x:v>
      </x:c>
      <x:c r="EM57" s="1109">
        <x:f t="shared" si="174"/>
        <x:v>0</x:v>
      </x:c>
      <x:c r="EN57" s="1109" t="str">
        <x:f t="shared" si="175"/>
        <x:v/>
      </x:c>
      <x:c r="EO57" s="1108" t="str">
        <x:f t="shared" si="176"/>
        <x:v/>
      </x:c>
      <x:c r="EP57" s="1109">
        <x:f t="shared" si="177"/>
        <x:v>0</x:v>
      </x:c>
      <x:c r="EQ57" s="1109">
        <x:f t="shared" si="178"/>
        <x:v>0</x:v>
      </x:c>
      <x:c r="ER57" s="1109">
        <x:f t="shared" si="179"/>
        <x:v>0</x:v>
      </x:c>
      <x:c r="ES57" s="1109" t="str">
        <x:f t="shared" si="180"/>
        <x:v/>
      </x:c>
      <x:c r="ET57" s="1108" t="str">
        <x:f t="shared" si="181"/>
        <x:v/>
      </x:c>
      <x:c r="EU57" s="1108">
        <x:f t="shared" si="182"/>
        <x:v>0</x:v>
      </x:c>
      <x:c r="EV57" s="1111" t="e">
        <x:f t="shared" si="183"/>
        <x:v>#VALUE!</x:v>
      </x:c>
      <x:c r="EW57" s="1111" t="e">
        <x:f t="shared" si="184"/>
        <x:v>#VALUE!</x:v>
      </x:c>
      <x:c r="EX57" s="1113" t="str">
        <x:f t="shared" si="213"/>
        <x:v/>
      </x:c>
      <x:c r="EY57" s="1114">
        <x:f t="shared" si="185"/>
        <x:v>25</x:v>
      </x:c>
      <x:c r="EZ57" s="1219">
        <x:f t="shared" si="186"/>
        <x:v>0</x:v>
      </x:c>
      <x:c r="FA57" s="1220">
        <x:f t="shared" si="187"/>
        <x:v>0</x:v>
      </x:c>
      <x:c r="FB57" s="1115" t="str">
        <x:f t="shared" si="188"/>
        <x:v/>
      </x:c>
      <x:c r="FC57" s="1116" t="str">
        <x:f t="shared" si="189"/>
        <x:v/>
      </x:c>
      <x:c r="FD57" s="1126">
        <x:f t="shared" si="190"/>
        <x:v>0</x:v>
      </x:c>
      <x:c r="FE57" s="1066">
        <x:f t="shared" si="191"/>
        <x:v>0</x:v>
      </x:c>
      <x:c r="FF57" s="969" t="b">
        <x:f t="shared" si="192"/>
        <x:v>0</x:v>
      </x:c>
      <x:c r="FG57" s="969" t="b">
        <x:f t="shared" si="193"/>
        <x:v>0</x:v>
      </x:c>
      <x:c r="FH57" s="969" t="b">
        <x:f t="shared" si="194"/>
        <x:v>0</x:v>
      </x:c>
      <x:c r="FI57" s="969" t="b">
        <x:f t="shared" si="195"/>
        <x:v>0</x:v>
      </x:c>
      <x:c r="FJ57" s="1161" t="str">
        <x:f t="shared" si="214"/>
        <x:v/>
      </x:c>
      <x:c r="FK57" s="1160" t="str">
        <x:f t="shared" si="215"/>
        <x:v/>
      </x:c>
      <x:c r="FL57" s="388" t="e">
        <x:f t="shared" si="216"/>
        <x:v>#N/A</x:v>
      </x:c>
      <x:c r="FM57" s="380" t="str">
        <x:f t="shared" si="196"/>
        <x:v/>
      </x:c>
      <x:c r="FN57" s="337" t="str">
        <x:f t="shared" ca="1" si="217"/>
        <x:v/>
      </x:c>
      <x:c r="FO57" s="338" t="str">
        <x:f t="shared" ca="1" si="218"/>
        <x:v/>
      </x:c>
      <x:c r="FP57" s="339" t="str">
        <x:f t="shared" ca="1" si="219"/>
        <x:v/>
      </x:c>
      <x:c r="FQ57" s="339" t="str">
        <x:f t="shared" ca="1" si="220"/>
        <x:v/>
      </x:c>
      <x:c r="FR57" s="389">
        <x:f t="shared" ca="1" si="221"/>
        <x:v>0</x:v>
      </x:c>
      <x:c r="FS57" s="390">
        <x:f t="shared" ca="1" si="222"/>
        <x:v>0</x:v>
      </x:c>
      <x:c r="FT57" s="337" t="str">
        <x:f t="shared" ca="1" si="223"/>
        <x:v/>
      </x:c>
      <x:c r="FU57" s="340" t="str">
        <x:f t="shared" ca="1" si="224"/>
        <x:v/>
      </x:c>
      <x:c r="FV57" s="391" t="str">
        <x:f t="shared" ca="1" si="197"/>
        <x:v/>
      </x:c>
      <x:c r="FW57" s="341" t="str">
        <x:f t="shared" ca="1" si="225"/>
        <x:v/>
      </x:c>
      <x:c r="FX57" s="341" t="str">
        <x:f t="shared" ca="1" si="226"/>
        <x:v/>
      </x:c>
      <x:c r="FY57" s="341" t="str">
        <x:f t="shared" ca="1" si="227"/>
        <x:v/>
      </x:c>
      <x:c r="FZ57" s="341" t="str">
        <x:f t="shared" ca="1" si="228"/>
        <x:v/>
      </x:c>
      <x:c r="GA57" s="341" t="str">
        <x:f t="shared" ca="1" si="229"/>
        <x:v/>
      </x:c>
      <x:c r="GB57" s="342" t="str">
        <x:f ca="1">IF(FY57="","",2+SUM(FO57:OFFSET(FO57,(FU57-1)*-1,0)))</x:f>
        <x:v/>
      </x:c>
      <x:c r="GC57" s="384" t="e">
        <x:f t="shared" si="230"/>
        <x:v>#N/A</x:v>
      </x:c>
      <x:c r="GD57" s="392" t="str">
        <x:f t="shared" si="198"/>
        <x:v/>
      </x:c>
      <x:c r="GE57" s="393" t="str">
        <x:f t="shared" si="199"/>
        <x:v/>
      </x:c>
      <x:c r="GF57" s="343" t="str">
        <x:f t="shared" si="200"/>
        <x:v/>
      </x:c>
      <x:c r="GG57" s="344" t="str">
        <x:f t="shared" si="201"/>
        <x:v/>
      </x:c>
      <x:c r="GH57" s="344" t="str">
        <x:f t="shared" si="202"/>
        <x:v/>
      </x:c>
      <x:c r="GI57" s="345" t="str">
        <x:f t="shared" si="203"/>
        <x:v/>
      </x:c>
      <x:c r="GJ57" s="646">
        <x:f t="shared" ca="1" si="204"/>
        <x:v>0</x:v>
      </x:c>
      <x:c r="GK57" s="1131" t="str">
        <x:f t="shared" ca="1" si="231"/>
        <x:v>A</x:v>
      </x:c>
      <x:c r="GL57" s="171"/>
      <x:c r="GM57" s="171"/>
    </x:row>
    <x:row r="58" spans="1:222" ht="12.6" hidden="1" customHeight="1" x14ac:dyDescent="0.2">
      <x:c r="BZ58" s="360"/>
      <x:c r="CA58" s="360"/>
      <x:c r="CB58" s="435" t="str">
        <x:f t="shared" si="137"/>
        <x:v/>
      </x:c>
      <x:c r="CC58" s="436" t="str">
        <x:f>IF(CG18="","",VLOOKUP(CG18,SectInfo!$B:$N,12,FALSE))</x:f>
        <x:v/>
      </x:c>
      <x:c r="CD58" s="1172" t="str">
        <x:f>IF(ISBLANK(CZ18),IF(CG18="","",VLOOKUP(CG18,SectInfo!$B:$N,13,FALSE)),CZ18)</x:f>
        <x:v/>
      </x:c>
      <x:c r="CE58" s="437" t="str">
        <x:f>IF(CG18="","",IF(VLOOKUP(CG18,SectInfo!$B:$N,5,FALSE)="","R",UPPER(VLOOKUP(CG18,SectInfo!$B:$N,5,FALSE))))</x:f>
        <x:v/>
      </x:c>
      <x:c r="CF58" s="1172" t="str">
        <x:f>IF(ISBLANK(DD18),IF(CG18="","",VLOOKUP(CG18,SectInfo!$B:$N,6,FALSE)),DD18)</x:f>
        <x:v/>
      </x:c>
      <x:c r="CG58" s="437" t="str">
        <x:f>IF(CG18="","",IF(VLOOKUP(CG18,SectInfo!$B:$N,10,FALSE)="","",(VLOOKUP(CG18,SectInfo!$B:$N,10,FALSE)*-1)))</x:f>
        <x:v/>
      </x:c>
      <x:c r="CH58" s="437" t="str">
        <x:f>IF(CG18="","",IF(VLOOKUP(CG18,SectInfo!$B:$N,7,FALSE)="","",(VLOOKUP(CG18,SectInfo!$B:$N,7,FALSE)*-1)))</x:f>
        <x:v/>
      </x:c>
      <x:c r="CI58" s="437" t="str">
        <x:f>IF(CG18="","",IF(VLOOKUP(CG18,SectInfo!$B:$N,8,FALSE)="",$FC$4,(VLOOKUP(CG18,SectInfo!$B:$N,8,FALSE))))</x:f>
        <x:v/>
      </x:c>
      <x:c r="CJ58" s="437" t="str">
        <x:f>IF(CG18="","",VLOOKUP(CG18,SectInfo!$B:$N,9,FALSE))</x:f>
        <x:v/>
      </x:c>
      <x:c r="CK58" s="438">
        <x:f t="shared" si="205"/>
        <x:v>0</x:v>
      </x:c>
      <x:c r="CL58" s="436" t="str">
        <x:f>IF(CN18="","",VLOOKUP(CN18,SectInfo!$B:$N,12,FALSE))</x:f>
        <x:v/>
      </x:c>
      <x:c r="CM58" s="1172" t="str">
        <x:f>IF(ISBLANK(DA18),IF(CN18="","",VLOOKUP(CN18,SectInfo!$B:$N,13,FALSE)),DA18)</x:f>
        <x:v/>
      </x:c>
      <x:c r="CN58" s="437" t="str">
        <x:f>IF(CN18="","",IF(VLOOKUP(CN18,SectInfo!$B:$N,5,FALSE)="","R",UPPER(VLOOKUP(CN18,SectInfo!$B:$N,5,FALSE))))</x:f>
        <x:v/>
      </x:c>
      <x:c r="CO58" s="1172" t="str">
        <x:f>IF(ISBLANK(DE18),IF(CN18="","",VLOOKUP(CN18,SectInfo!$B:$N,6,FALSE)),DE18)</x:f>
        <x:v/>
      </x:c>
      <x:c r="CP58" s="437" t="str">
        <x:f>IF(CN18="","",IF(VLOOKUP(CN18,SectInfo!$B:$N,10,FALSE)="","",(VLOOKUP(CN18,SectInfo!$B:$N,10,FALSE)*-1)))</x:f>
        <x:v/>
      </x:c>
      <x:c r="CQ58" s="437" t="str">
        <x:f>IF(CN18="","",IF(VLOOKUP(CN18,SectInfo!$B:$N,7,FALSE)="","",(VLOOKUP(CN18,SectInfo!$B:$N,7,FALSE)*-1)))</x:f>
        <x:v/>
      </x:c>
      <x:c r="CR58" s="437" t="str">
        <x:f>IF(CN18="","",IF(VLOOKUP(CN18,SectInfo!$B:$N,8,FALSE)="",$FC$4,(VLOOKUP(CN18,SectInfo!$B:$N,8,FALSE))))</x:f>
        <x:v/>
      </x:c>
      <x:c r="CS58" s="437" t="str">
        <x:f>IF(CN18="","",VLOOKUP(CN18,SectInfo!$B:$N,9,FALSE))</x:f>
        <x:v/>
      </x:c>
      <x:c r="CT58" s="438">
        <x:f t="shared" si="206"/>
        <x:v>0</x:v>
      </x:c>
      <x:c r="CU58" s="439">
        <x:f t="shared" si="138"/>
        <x:v>0</x:v>
      </x:c>
      <x:c r="CV58" s="339" t="str">
        <x:f t="shared" si="139"/>
        <x:v/>
      </x:c>
      <x:c r="CW58" s="339" t="str">
        <x:f t="shared" si="140"/>
        <x:v/>
      </x:c>
      <x:c r="CX58" s="339" t="str">
        <x:f t="shared" si="141"/>
        <x:v/>
      </x:c>
      <x:c r="CY58" s="1109">
        <x:f t="shared" si="142"/>
        <x:v>0</x:v>
      </x:c>
      <x:c r="CZ58" s="1109">
        <x:f t="shared" si="143"/>
        <x:v>0</x:v>
      </x:c>
      <x:c r="DA58" s="1109" t="str">
        <x:f t="shared" si="144"/>
        <x:v/>
      </x:c>
      <x:c r="DB58" s="1125" t="str">
        <x:f t="shared" si="207"/>
        <x:v/>
      </x:c>
      <x:c r="DC58" s="1125" t="str">
        <x:f t="shared" si="145"/>
        <x:v/>
      </x:c>
      <x:c r="DD58" s="1110">
        <x:f t="shared" si="208"/>
        <x:v>0</x:v>
      </x:c>
      <x:c r="DE58" s="1108">
        <x:f t="shared" si="209"/>
        <x:v>0</x:v>
      </x:c>
      <x:c r="DF58" s="1109">
        <x:f t="shared" si="146"/>
        <x:v>0</x:v>
      </x:c>
      <x:c r="DG58" s="1109" t="str">
        <x:f t="shared" si="147"/>
        <x:v/>
      </x:c>
      <x:c r="DH58" s="1125" t="str">
        <x:f t="shared" si="210"/>
        <x:v/>
      </x:c>
      <x:c r="DI58" s="1125" t="str">
        <x:f t="shared" si="211"/>
        <x:v/>
      </x:c>
      <x:c r="DJ58" s="1110">
        <x:f t="shared" si="212"/>
        <x:v>0</x:v>
      </x:c>
      <x:c r="DK58" s="1108" t="str">
        <x:f t="shared" si="148"/>
        <x:v/>
      </x:c>
      <x:c r="DL58" s="1108" t="str">
        <x:f t="shared" si="149"/>
        <x:v/>
      </x:c>
      <x:c r="DM58" s="1108" t="str">
        <x:f t="shared" si="150"/>
        <x:v/>
      </x:c>
      <x:c r="DN58" s="1108" t="str">
        <x:f t="shared" si="151"/>
        <x:v/>
      </x:c>
      <x:c r="DO58" s="1125" t="str">
        <x:f t="shared" si="152"/>
        <x:v>ERR</x:v>
      </x:c>
      <x:c r="DP58" s="1125" t="str">
        <x:f t="shared" si="153"/>
        <x:v>ERR</x:v>
      </x:c>
      <x:c r="DQ58" s="1108" t="str">
        <x:f t="shared" si="154"/>
        <x:v/>
      </x:c>
      <x:c r="DR58" s="1108" t="str">
        <x:f t="shared" si="154"/>
        <x:v/>
      </x:c>
      <x:c r="DS58" s="1108" t="str">
        <x:f t="shared" si="155"/>
        <x:v/>
      </x:c>
      <x:c r="DT58" s="1108" t="str">
        <x:f t="shared" si="156"/>
        <x:v/>
      </x:c>
      <x:c r="DU58" s="1108" t="str">
        <x:f t="shared" si="157"/>
        <x:v/>
      </x:c>
      <x:c r="DV58" s="1125" t="str">
        <x:f t="shared" si="158"/>
        <x:v>ERR</x:v>
      </x:c>
      <x:c r="DW58" s="1125" t="str">
        <x:f t="shared" si="159"/>
        <x:v>ERR</x:v>
      </x:c>
      <x:c r="DX58" s="1108" t="str">
        <x:f t="shared" si="160"/>
        <x:v/>
      </x:c>
      <x:c r="DY58" s="1108" t="str">
        <x:f t="shared" si="160"/>
        <x:v/>
      </x:c>
      <x:c r="DZ58" s="1108" t="str">
        <x:f t="shared" si="161"/>
        <x:v/>
      </x:c>
      <x:c r="EA58" s="1108" t="str">
        <x:f t="shared" si="162"/>
        <x:v/>
      </x:c>
      <x:c r="EB58" s="1111" t="str">
        <x:f t="shared" si="163"/>
        <x:v/>
      </x:c>
      <x:c r="EC58" s="1112" t="str">
        <x:f t="shared" si="164"/>
        <x:v/>
      </x:c>
      <x:c r="ED58" s="1111" t="str">
        <x:f t="shared" si="165"/>
        <x:v/>
      </x:c>
      <x:c r="EE58" s="1111" t="str">
        <x:f t="shared" si="166"/>
        <x:v/>
      </x:c>
      <x:c r="EF58" s="1111" t="str">
        <x:f t="shared" si="167"/>
        <x:v/>
      </x:c>
      <x:c r="EG58" s="1111" t="str">
        <x:f t="shared" si="168"/>
        <x:v/>
      </x:c>
      <x:c r="EH58" s="1111" t="str">
        <x:f t="shared" si="169"/>
        <x:v/>
      </x:c>
      <x:c r="EI58" s="1111" t="str">
        <x:f t="shared" si="170"/>
        <x:v/>
      </x:c>
      <x:c r="EJ58" s="1111" t="str">
        <x:f t="shared" si="171"/>
        <x:v/>
      </x:c>
      <x:c r="EK58" s="1109">
        <x:f t="shared" si="172"/>
        <x:v>0</x:v>
      </x:c>
      <x:c r="EL58" s="1109">
        <x:f t="shared" si="173"/>
        <x:v>0</x:v>
      </x:c>
      <x:c r="EM58" s="1109">
        <x:f t="shared" si="174"/>
        <x:v>0</x:v>
      </x:c>
      <x:c r="EN58" s="1109" t="str">
        <x:f t="shared" si="175"/>
        <x:v/>
      </x:c>
      <x:c r="EO58" s="1108" t="str">
        <x:f t="shared" si="176"/>
        <x:v/>
      </x:c>
      <x:c r="EP58" s="1109">
        <x:f t="shared" si="177"/>
        <x:v>0</x:v>
      </x:c>
      <x:c r="EQ58" s="1109">
        <x:f t="shared" si="178"/>
        <x:v>0</x:v>
      </x:c>
      <x:c r="ER58" s="1109">
        <x:f t="shared" si="179"/>
        <x:v>0</x:v>
      </x:c>
      <x:c r="ES58" s="1109" t="str">
        <x:f t="shared" si="180"/>
        <x:v/>
      </x:c>
      <x:c r="ET58" s="1108" t="str">
        <x:f t="shared" si="181"/>
        <x:v/>
      </x:c>
      <x:c r="EU58" s="1108">
        <x:f t="shared" si="182"/>
        <x:v>0</x:v>
      </x:c>
      <x:c r="EV58" s="1111" t="e">
        <x:f t="shared" si="183"/>
        <x:v>#VALUE!</x:v>
      </x:c>
      <x:c r="EW58" s="1111" t="e">
        <x:f t="shared" si="184"/>
        <x:v>#VALUE!</x:v>
      </x:c>
      <x:c r="EX58" s="1113" t="str">
        <x:f t="shared" si="213"/>
        <x:v/>
      </x:c>
      <x:c r="EY58" s="1114">
        <x:f t="shared" si="185"/>
        <x:v>25</x:v>
      </x:c>
      <x:c r="EZ58" s="1219">
        <x:f t="shared" si="186"/>
        <x:v>0</x:v>
      </x:c>
      <x:c r="FA58" s="1220">
        <x:f t="shared" si="187"/>
        <x:v>0</x:v>
      </x:c>
      <x:c r="FB58" s="1115" t="str">
        <x:f t="shared" si="188"/>
        <x:v/>
      </x:c>
      <x:c r="FC58" s="1116" t="str">
        <x:f t="shared" si="189"/>
        <x:v/>
      </x:c>
      <x:c r="FD58" s="1126">
        <x:f t="shared" si="190"/>
        <x:v>0</x:v>
      </x:c>
      <x:c r="FE58" s="1066">
        <x:f t="shared" si="191"/>
        <x:v>0</x:v>
      </x:c>
      <x:c r="FF58" s="969" t="b">
        <x:f t="shared" si="192"/>
        <x:v>0</x:v>
      </x:c>
      <x:c r="FG58" s="969" t="b">
        <x:f t="shared" si="193"/>
        <x:v>0</x:v>
      </x:c>
      <x:c r="FH58" s="969" t="b">
        <x:f t="shared" si="194"/>
        <x:v>0</x:v>
      </x:c>
      <x:c r="FI58" s="969" t="b">
        <x:f t="shared" si="195"/>
        <x:v>0</x:v>
      </x:c>
      <x:c r="FJ58" s="1161" t="str">
        <x:f t="shared" si="214"/>
        <x:v/>
      </x:c>
      <x:c r="FK58" s="1160" t="str">
        <x:f t="shared" si="215"/>
        <x:v/>
      </x:c>
      <x:c r="FL58" s="388" t="e">
        <x:f t="shared" si="216"/>
        <x:v>#N/A</x:v>
      </x:c>
      <x:c r="FM58" s="380" t="str">
        <x:f t="shared" si="196"/>
        <x:v/>
      </x:c>
      <x:c r="FN58" s="337" t="str">
        <x:f t="shared" ca="1" si="217"/>
        <x:v/>
      </x:c>
      <x:c r="FO58" s="338" t="str">
        <x:f t="shared" ca="1" si="218"/>
        <x:v/>
      </x:c>
      <x:c r="FP58" s="339" t="str">
        <x:f t="shared" ca="1" si="219"/>
        <x:v/>
      </x:c>
      <x:c r="FQ58" s="339" t="str">
        <x:f t="shared" ca="1" si="220"/>
        <x:v/>
      </x:c>
      <x:c r="FR58" s="389">
        <x:f t="shared" ca="1" si="221"/>
        <x:v>0</x:v>
      </x:c>
      <x:c r="FS58" s="390">
        <x:f t="shared" ca="1" si="222"/>
        <x:v>0</x:v>
      </x:c>
      <x:c r="FT58" s="337" t="str">
        <x:f t="shared" ca="1" si="223"/>
        <x:v/>
      </x:c>
      <x:c r="FU58" s="340" t="str">
        <x:f t="shared" ca="1" si="224"/>
        <x:v/>
      </x:c>
      <x:c r="FV58" s="391" t="str">
        <x:f t="shared" ca="1" si="197"/>
        <x:v/>
      </x:c>
      <x:c r="FW58" s="341" t="str">
        <x:f t="shared" ca="1" si="225"/>
        <x:v/>
      </x:c>
      <x:c r="FX58" s="341" t="str">
        <x:f t="shared" ca="1" si="226"/>
        <x:v/>
      </x:c>
      <x:c r="FY58" s="341" t="str">
        <x:f t="shared" ca="1" si="227"/>
        <x:v/>
      </x:c>
      <x:c r="FZ58" s="341" t="str">
        <x:f t="shared" ca="1" si="228"/>
        <x:v/>
      </x:c>
      <x:c r="GA58" s="341" t="str">
        <x:f t="shared" ca="1" si="229"/>
        <x:v/>
      </x:c>
      <x:c r="GB58" s="342" t="str">
        <x:f ca="1">IF(FY58="","",2+SUM(FO58:OFFSET(FO58,(FU58-1)*-1,0)))</x:f>
        <x:v/>
      </x:c>
      <x:c r="GC58" s="384" t="e">
        <x:f t="shared" si="230"/>
        <x:v>#N/A</x:v>
      </x:c>
      <x:c r="GD58" s="392" t="str">
        <x:f t="shared" si="198"/>
        <x:v/>
      </x:c>
      <x:c r="GE58" s="393" t="str">
        <x:f t="shared" si="199"/>
        <x:v/>
      </x:c>
      <x:c r="GF58" s="343" t="str">
        <x:f t="shared" si="200"/>
        <x:v/>
      </x:c>
      <x:c r="GG58" s="344" t="str">
        <x:f t="shared" si="201"/>
        <x:v/>
      </x:c>
      <x:c r="GH58" s="344" t="str">
        <x:f t="shared" si="202"/>
        <x:v/>
      </x:c>
      <x:c r="GI58" s="345" t="str">
        <x:f t="shared" si="203"/>
        <x:v/>
      </x:c>
      <x:c r="GJ58" s="646">
        <x:f t="shared" ca="1" si="204"/>
        <x:v>0</x:v>
      </x:c>
      <x:c r="GK58" s="1131" t="str">
        <x:f t="shared" ca="1" si="231"/>
        <x:v>A</x:v>
      </x:c>
    </x:row>
    <x:row r="59" spans="1:222" ht="12.6" hidden="1" customHeight="1" x14ac:dyDescent="0.2">
      <x:c r="BZ59" s="360"/>
      <x:c r="CA59" s="360"/>
      <x:c r="CB59" s="435" t="str">
        <x:f t="shared" si="137"/>
        <x:v/>
      </x:c>
      <x:c r="CC59" s="436" t="str">
        <x:f>IF(CG19="","",VLOOKUP(CG19,SectInfo!$B:$N,12,FALSE))</x:f>
        <x:v/>
      </x:c>
      <x:c r="CD59" s="1172" t="str">
        <x:f>IF(ISBLANK(CZ19),IF(CG19="","",VLOOKUP(CG19,SectInfo!$B:$N,13,FALSE)),CZ19)</x:f>
        <x:v/>
      </x:c>
      <x:c r="CE59" s="437" t="str">
        <x:f>IF(CG19="","",IF(VLOOKUP(CG19,SectInfo!$B:$N,5,FALSE)="","R",UPPER(VLOOKUP(CG19,SectInfo!$B:$N,5,FALSE))))</x:f>
        <x:v/>
      </x:c>
      <x:c r="CF59" s="1172" t="str">
        <x:f>IF(ISBLANK(DD19),IF(CG19="","",VLOOKUP(CG19,SectInfo!$B:$N,6,FALSE)),DD19)</x:f>
        <x:v/>
      </x:c>
      <x:c r="CG59" s="437" t="str">
        <x:f>IF(CG19="","",IF(VLOOKUP(CG19,SectInfo!$B:$N,10,FALSE)="","",(VLOOKUP(CG19,SectInfo!$B:$N,10,FALSE)*-1)))</x:f>
        <x:v/>
      </x:c>
      <x:c r="CH59" s="437" t="str">
        <x:f>IF(CG19="","",IF(VLOOKUP(CG19,SectInfo!$B:$N,7,FALSE)="","",(VLOOKUP(CG19,SectInfo!$B:$N,7,FALSE)*-1)))</x:f>
        <x:v/>
      </x:c>
      <x:c r="CI59" s="437" t="str">
        <x:f>IF(CG19="","",IF(VLOOKUP(CG19,SectInfo!$B:$N,8,FALSE)="",$FC$4,(VLOOKUP(CG19,SectInfo!$B:$N,8,FALSE))))</x:f>
        <x:v/>
      </x:c>
      <x:c r="CJ59" s="437" t="str">
        <x:f>IF(CG19="","",VLOOKUP(CG19,SectInfo!$B:$N,9,FALSE))</x:f>
        <x:v/>
      </x:c>
      <x:c r="CK59" s="438">
        <x:f t="shared" si="205"/>
        <x:v>0</x:v>
      </x:c>
      <x:c r="CL59" s="436" t="str">
        <x:f>IF(CN19="","",VLOOKUP(CN19,SectInfo!$B:$N,12,FALSE))</x:f>
        <x:v/>
      </x:c>
      <x:c r="CM59" s="1172" t="str">
        <x:f>IF(ISBLANK(DA19),IF(CN19="","",VLOOKUP(CN19,SectInfo!$B:$N,13,FALSE)),DA19)</x:f>
        <x:v/>
      </x:c>
      <x:c r="CN59" s="437" t="str">
        <x:f>IF(CN19="","",IF(VLOOKUP(CN19,SectInfo!$B:$N,5,FALSE)="","R",UPPER(VLOOKUP(CN19,SectInfo!$B:$N,5,FALSE))))</x:f>
        <x:v/>
      </x:c>
      <x:c r="CO59" s="1172" t="str">
        <x:f>IF(ISBLANK(DE19),IF(CN19="","",VLOOKUP(CN19,SectInfo!$B:$N,6,FALSE)),DE19)</x:f>
        <x:v/>
      </x:c>
      <x:c r="CP59" s="437" t="str">
        <x:f>IF(CN19="","",IF(VLOOKUP(CN19,SectInfo!$B:$N,10,FALSE)="","",(VLOOKUP(CN19,SectInfo!$B:$N,10,FALSE)*-1)))</x:f>
        <x:v/>
      </x:c>
      <x:c r="CQ59" s="437" t="str">
        <x:f>IF(CN19="","",IF(VLOOKUP(CN19,SectInfo!$B:$N,7,FALSE)="","",(VLOOKUP(CN19,SectInfo!$B:$N,7,FALSE)*-1)))</x:f>
        <x:v/>
      </x:c>
      <x:c r="CR59" s="437" t="str">
        <x:f>IF(CN19="","",IF(VLOOKUP(CN19,SectInfo!$B:$N,8,FALSE)="",$FC$4,(VLOOKUP(CN19,SectInfo!$B:$N,8,FALSE))))</x:f>
        <x:v/>
      </x:c>
      <x:c r="CS59" s="437" t="str">
        <x:f>IF(CN19="","",VLOOKUP(CN19,SectInfo!$B:$N,9,FALSE))</x:f>
        <x:v/>
      </x:c>
      <x:c r="CT59" s="438">
        <x:f t="shared" si="206"/>
        <x:v>0</x:v>
      </x:c>
      <x:c r="CU59" s="439">
        <x:f t="shared" si="138"/>
        <x:v>0</x:v>
      </x:c>
      <x:c r="CV59" s="339" t="str">
        <x:f t="shared" si="139"/>
        <x:v/>
      </x:c>
      <x:c r="CW59" s="339" t="str">
        <x:f t="shared" si="140"/>
        <x:v/>
      </x:c>
      <x:c r="CX59" s="339" t="str">
        <x:f t="shared" si="141"/>
        <x:v/>
      </x:c>
      <x:c r="CY59" s="1109">
        <x:f t="shared" si="142"/>
        <x:v>0</x:v>
      </x:c>
      <x:c r="CZ59" s="1109">
        <x:f t="shared" si="143"/>
        <x:v>0</x:v>
      </x:c>
      <x:c r="DA59" s="1109" t="str">
        <x:f t="shared" si="144"/>
        <x:v/>
      </x:c>
      <x:c r="DB59" s="1125" t="str">
        <x:f t="shared" si="207"/>
        <x:v/>
      </x:c>
      <x:c r="DC59" s="1125" t="str">
        <x:f t="shared" si="145"/>
        <x:v/>
      </x:c>
      <x:c r="DD59" s="1110">
        <x:f t="shared" si="208"/>
        <x:v>0</x:v>
      </x:c>
      <x:c r="DE59" s="1108">
        <x:f t="shared" si="209"/>
        <x:v>0</x:v>
      </x:c>
      <x:c r="DF59" s="1109">
        <x:f t="shared" si="146"/>
        <x:v>0</x:v>
      </x:c>
      <x:c r="DG59" s="1109" t="str">
        <x:f t="shared" si="147"/>
        <x:v/>
      </x:c>
      <x:c r="DH59" s="1125" t="str">
        <x:f t="shared" si="210"/>
        <x:v/>
      </x:c>
      <x:c r="DI59" s="1125" t="str">
        <x:f t="shared" si="211"/>
        <x:v/>
      </x:c>
      <x:c r="DJ59" s="1110">
        <x:f t="shared" si="212"/>
        <x:v>0</x:v>
      </x:c>
      <x:c r="DK59" s="1108" t="str">
        <x:f t="shared" si="148"/>
        <x:v/>
      </x:c>
      <x:c r="DL59" s="1108" t="str">
        <x:f t="shared" si="149"/>
        <x:v/>
      </x:c>
      <x:c r="DM59" s="1108" t="str">
        <x:f t="shared" si="150"/>
        <x:v/>
      </x:c>
      <x:c r="DN59" s="1108" t="str">
        <x:f t="shared" si="151"/>
        <x:v/>
      </x:c>
      <x:c r="DO59" s="1125" t="str">
        <x:f t="shared" si="152"/>
        <x:v>ERR</x:v>
      </x:c>
      <x:c r="DP59" s="1125" t="str">
        <x:f t="shared" si="153"/>
        <x:v>ERR</x:v>
      </x:c>
      <x:c r="DQ59" s="1108" t="str">
        <x:f t="shared" si="154"/>
        <x:v/>
      </x:c>
      <x:c r="DR59" s="1108" t="str">
        <x:f t="shared" si="154"/>
        <x:v/>
      </x:c>
      <x:c r="DS59" s="1108" t="str">
        <x:f t="shared" si="155"/>
        <x:v/>
      </x:c>
      <x:c r="DT59" s="1108" t="str">
        <x:f t="shared" si="156"/>
        <x:v/>
      </x:c>
      <x:c r="DU59" s="1108" t="str">
        <x:f t="shared" si="157"/>
        <x:v/>
      </x:c>
      <x:c r="DV59" s="1125" t="str">
        <x:f t="shared" si="158"/>
        <x:v>ERR</x:v>
      </x:c>
      <x:c r="DW59" s="1125" t="str">
        <x:f t="shared" si="159"/>
        <x:v>ERR</x:v>
      </x:c>
      <x:c r="DX59" s="1108" t="str">
        <x:f t="shared" si="160"/>
        <x:v/>
      </x:c>
      <x:c r="DY59" s="1108" t="str">
        <x:f t="shared" si="160"/>
        <x:v/>
      </x:c>
      <x:c r="DZ59" s="1108" t="str">
        <x:f t="shared" si="161"/>
        <x:v/>
      </x:c>
      <x:c r="EA59" s="1108" t="str">
        <x:f t="shared" si="162"/>
        <x:v/>
      </x:c>
      <x:c r="EB59" s="1111" t="str">
        <x:f t="shared" si="163"/>
        <x:v/>
      </x:c>
      <x:c r="EC59" s="1112" t="str">
        <x:f t="shared" si="164"/>
        <x:v/>
      </x:c>
      <x:c r="ED59" s="1111" t="str">
        <x:f t="shared" si="165"/>
        <x:v/>
      </x:c>
      <x:c r="EE59" s="1111" t="str">
        <x:f t="shared" si="166"/>
        <x:v/>
      </x:c>
      <x:c r="EF59" s="1111" t="str">
        <x:f t="shared" si="167"/>
        <x:v/>
      </x:c>
      <x:c r="EG59" s="1111" t="str">
        <x:f t="shared" si="168"/>
        <x:v/>
      </x:c>
      <x:c r="EH59" s="1111" t="str">
        <x:f t="shared" si="169"/>
        <x:v/>
      </x:c>
      <x:c r="EI59" s="1111" t="str">
        <x:f t="shared" si="170"/>
        <x:v/>
      </x:c>
      <x:c r="EJ59" s="1111" t="str">
        <x:f t="shared" si="171"/>
        <x:v/>
      </x:c>
      <x:c r="EK59" s="1109">
        <x:f t="shared" si="172"/>
        <x:v>0</x:v>
      </x:c>
      <x:c r="EL59" s="1109">
        <x:f t="shared" si="173"/>
        <x:v>0</x:v>
      </x:c>
      <x:c r="EM59" s="1109">
        <x:f t="shared" si="174"/>
        <x:v>0</x:v>
      </x:c>
      <x:c r="EN59" s="1109" t="str">
        <x:f t="shared" si="175"/>
        <x:v/>
      </x:c>
      <x:c r="EO59" s="1108" t="str">
        <x:f t="shared" si="176"/>
        <x:v/>
      </x:c>
      <x:c r="EP59" s="1109">
        <x:f t="shared" si="177"/>
        <x:v>0</x:v>
      </x:c>
      <x:c r="EQ59" s="1109">
        <x:f t="shared" si="178"/>
        <x:v>0</x:v>
      </x:c>
      <x:c r="ER59" s="1109">
        <x:f t="shared" si="179"/>
        <x:v>0</x:v>
      </x:c>
      <x:c r="ES59" s="1109" t="str">
        <x:f t="shared" si="180"/>
        <x:v/>
      </x:c>
      <x:c r="ET59" s="1108" t="str">
        <x:f t="shared" si="181"/>
        <x:v/>
      </x:c>
      <x:c r="EU59" s="1108">
        <x:f t="shared" si="182"/>
        <x:v>0</x:v>
      </x:c>
      <x:c r="EV59" s="1111" t="e">
        <x:f t="shared" si="183"/>
        <x:v>#VALUE!</x:v>
      </x:c>
      <x:c r="EW59" s="1111" t="e">
        <x:f t="shared" si="184"/>
        <x:v>#VALUE!</x:v>
      </x:c>
      <x:c r="EX59" s="1113" t="str">
        <x:f t="shared" si="213"/>
        <x:v/>
      </x:c>
      <x:c r="EY59" s="1114">
        <x:f t="shared" si="185"/>
        <x:v>25</x:v>
      </x:c>
      <x:c r="EZ59" s="1219">
        <x:f t="shared" si="186"/>
        <x:v>0</x:v>
      </x:c>
      <x:c r="FA59" s="1220">
        <x:f t="shared" si="187"/>
        <x:v>0</x:v>
      </x:c>
      <x:c r="FB59" s="1115" t="str">
        <x:f t="shared" si="188"/>
        <x:v/>
      </x:c>
      <x:c r="FC59" s="1116" t="str">
        <x:f t="shared" si="189"/>
        <x:v/>
      </x:c>
      <x:c r="FD59" s="1126">
        <x:f t="shared" si="190"/>
        <x:v>0</x:v>
      </x:c>
      <x:c r="FE59" s="1066">
        <x:f t="shared" si="191"/>
        <x:v>0</x:v>
      </x:c>
      <x:c r="FF59" s="969" t="b">
        <x:f t="shared" si="192"/>
        <x:v>0</x:v>
      </x:c>
      <x:c r="FG59" s="969" t="b">
        <x:f t="shared" si="193"/>
        <x:v>0</x:v>
      </x:c>
      <x:c r="FH59" s="969" t="b">
        <x:f t="shared" si="194"/>
        <x:v>0</x:v>
      </x:c>
      <x:c r="FI59" s="969" t="b">
        <x:f t="shared" si="195"/>
        <x:v>0</x:v>
      </x:c>
      <x:c r="FJ59" s="1161" t="str">
        <x:f t="shared" si="214"/>
        <x:v/>
      </x:c>
      <x:c r="FK59" s="1160" t="str">
        <x:f t="shared" si="215"/>
        <x:v/>
      </x:c>
      <x:c r="FL59" s="388" t="e">
        <x:f t="shared" si="216"/>
        <x:v>#N/A</x:v>
      </x:c>
      <x:c r="FM59" s="380" t="str">
        <x:f t="shared" si="196"/>
        <x:v/>
      </x:c>
      <x:c r="FN59" s="337" t="str">
        <x:f t="shared" ca="1" si="217"/>
        <x:v/>
      </x:c>
      <x:c r="FO59" s="338" t="str">
        <x:f t="shared" ca="1" si="218"/>
        <x:v/>
      </x:c>
      <x:c r="FP59" s="339" t="str">
        <x:f t="shared" ca="1" si="219"/>
        <x:v/>
      </x:c>
      <x:c r="FQ59" s="339" t="str">
        <x:f t="shared" ca="1" si="220"/>
        <x:v/>
      </x:c>
      <x:c r="FR59" s="389">
        <x:f t="shared" ca="1" si="221"/>
        <x:v>0</x:v>
      </x:c>
      <x:c r="FS59" s="390">
        <x:f t="shared" ca="1" si="222"/>
        <x:v>0</x:v>
      </x:c>
      <x:c r="FT59" s="337" t="str">
        <x:f t="shared" ca="1" si="223"/>
        <x:v/>
      </x:c>
      <x:c r="FU59" s="340" t="str">
        <x:f t="shared" ca="1" si="224"/>
        <x:v/>
      </x:c>
      <x:c r="FV59" s="391" t="str">
        <x:f t="shared" ca="1" si="197"/>
        <x:v/>
      </x:c>
      <x:c r="FW59" s="341" t="str">
        <x:f t="shared" ca="1" si="225"/>
        <x:v/>
      </x:c>
      <x:c r="FX59" s="341" t="str">
        <x:f t="shared" ca="1" si="226"/>
        <x:v/>
      </x:c>
      <x:c r="FY59" s="341" t="str">
        <x:f t="shared" ca="1" si="227"/>
        <x:v/>
      </x:c>
      <x:c r="FZ59" s="341" t="str">
        <x:f t="shared" ca="1" si="228"/>
        <x:v/>
      </x:c>
      <x:c r="GA59" s="341" t="str">
        <x:f t="shared" ca="1" si="229"/>
        <x:v/>
      </x:c>
      <x:c r="GB59" s="342" t="str">
        <x:f ca="1">IF(FY59="","",2+SUM(FO59:OFFSET(FO59,(FU59-1)*-1,0)))</x:f>
        <x:v/>
      </x:c>
      <x:c r="GC59" s="384" t="e">
        <x:f t="shared" si="230"/>
        <x:v>#N/A</x:v>
      </x:c>
      <x:c r="GD59" s="392" t="str">
        <x:f t="shared" si="198"/>
        <x:v/>
      </x:c>
      <x:c r="GE59" s="393" t="str">
        <x:f t="shared" si="199"/>
        <x:v/>
      </x:c>
      <x:c r="GF59" s="343" t="str">
        <x:f t="shared" si="200"/>
        <x:v/>
      </x:c>
      <x:c r="GG59" s="344" t="str">
        <x:f t="shared" si="201"/>
        <x:v/>
      </x:c>
      <x:c r="GH59" s="344" t="str">
        <x:f t="shared" si="202"/>
        <x:v/>
      </x:c>
      <x:c r="GI59" s="345" t="str">
        <x:f t="shared" si="203"/>
        <x:v/>
      </x:c>
      <x:c r="GJ59" s="646">
        <x:f t="shared" ca="1" si="204"/>
        <x:v>0</x:v>
      </x:c>
      <x:c r="GK59" s="1131" t="str">
        <x:f t="shared" ca="1" si="231"/>
        <x:v>A</x:v>
      </x:c>
    </x:row>
    <x:row r="60" spans="1:222" ht="12.6" hidden="1" customHeight="1" x14ac:dyDescent="0.2">
      <x:c r="A60" s="1128" t="s">
        <x:v>1225</x:v>
      </x:c>
      <x:c r="BZ60" s="360"/>
      <x:c r="CA60" s="360"/>
      <x:c r="CB60" s="435" t="str">
        <x:f t="shared" si="137"/>
        <x:v/>
      </x:c>
      <x:c r="CC60" s="436" t="str">
        <x:f>IF(CG20="","",VLOOKUP(CG20,SectInfo!$B:$N,12,FALSE))</x:f>
        <x:v/>
      </x:c>
      <x:c r="CD60" s="1172" t="str">
        <x:f>IF(ISBLANK(CZ20),IF(CG20="","",VLOOKUP(CG20,SectInfo!$B:$N,13,FALSE)),CZ20)</x:f>
        <x:v/>
      </x:c>
      <x:c r="CE60" s="437" t="str">
        <x:f>IF(CG20="","",IF(VLOOKUP(CG20,SectInfo!$B:$N,5,FALSE)="","R",UPPER(VLOOKUP(CG20,SectInfo!$B:$N,5,FALSE))))</x:f>
        <x:v/>
      </x:c>
      <x:c r="CF60" s="1172" t="str">
        <x:f>IF(ISBLANK(DD20),IF(CG20="","",VLOOKUP(CG20,SectInfo!$B:$N,6,FALSE)),DD20)</x:f>
        <x:v/>
      </x:c>
      <x:c r="CG60" s="437" t="str">
        <x:f>IF(CG20="","",IF(VLOOKUP(CG20,SectInfo!$B:$N,10,FALSE)="","",(VLOOKUP(CG20,SectInfo!$B:$N,10,FALSE)*-1)))</x:f>
        <x:v/>
      </x:c>
      <x:c r="CH60" s="437" t="str">
        <x:f>IF(CG20="","",IF(VLOOKUP(CG20,SectInfo!$B:$N,7,FALSE)="","",(VLOOKUP(CG20,SectInfo!$B:$N,7,FALSE)*-1)))</x:f>
        <x:v/>
      </x:c>
      <x:c r="CI60" s="437" t="str">
        <x:f>IF(CG20="","",IF(VLOOKUP(CG20,SectInfo!$B:$N,8,FALSE)="",$FC$4,(VLOOKUP(CG20,SectInfo!$B:$N,8,FALSE))))</x:f>
        <x:v/>
      </x:c>
      <x:c r="CJ60" s="437" t="str">
        <x:f>IF(CG20="","",VLOOKUP(CG20,SectInfo!$B:$N,9,FALSE))</x:f>
        <x:v/>
      </x:c>
      <x:c r="CK60" s="438">
        <x:f t="shared" si="205"/>
        <x:v>0</x:v>
      </x:c>
      <x:c r="CL60" s="436" t="str">
        <x:f>IF(CN20="","",VLOOKUP(CN20,SectInfo!$B:$N,12,FALSE))</x:f>
        <x:v/>
      </x:c>
      <x:c r="CM60" s="1172" t="str">
        <x:f>IF(ISBLANK(DA20),IF(CN20="","",VLOOKUP(CN20,SectInfo!$B:$N,13,FALSE)),DA20)</x:f>
        <x:v/>
      </x:c>
      <x:c r="CN60" s="437" t="str">
        <x:f>IF(CN20="","",IF(VLOOKUP(CN20,SectInfo!$B:$N,5,FALSE)="","R",UPPER(VLOOKUP(CN20,SectInfo!$B:$N,5,FALSE))))</x:f>
        <x:v/>
      </x:c>
      <x:c r="CO60" s="1172" t="str">
        <x:f>IF(ISBLANK(DE20),IF(CN20="","",VLOOKUP(CN20,SectInfo!$B:$N,6,FALSE)),DE20)</x:f>
        <x:v/>
      </x:c>
      <x:c r="CP60" s="437" t="str">
        <x:f>IF(CN20="","",IF(VLOOKUP(CN20,SectInfo!$B:$N,10,FALSE)="","",(VLOOKUP(CN20,SectInfo!$B:$N,10,FALSE)*-1)))</x:f>
        <x:v/>
      </x:c>
      <x:c r="CQ60" s="437" t="str">
        <x:f>IF(CN20="","",IF(VLOOKUP(CN20,SectInfo!$B:$N,7,FALSE)="","",(VLOOKUP(CN20,SectInfo!$B:$N,7,FALSE)*-1)))</x:f>
        <x:v/>
      </x:c>
      <x:c r="CR60" s="437" t="str">
        <x:f>IF(CN20="","",IF(VLOOKUP(CN20,SectInfo!$B:$N,8,FALSE)="",$FC$4,(VLOOKUP(CN20,SectInfo!$B:$N,8,FALSE))))</x:f>
        <x:v/>
      </x:c>
      <x:c r="CS60" s="437" t="str">
        <x:f>IF(CN20="","",VLOOKUP(CN20,SectInfo!$B:$N,9,FALSE))</x:f>
        <x:v/>
      </x:c>
      <x:c r="CT60" s="438">
        <x:f t="shared" si="206"/>
        <x:v>0</x:v>
      </x:c>
      <x:c r="CU60" s="439">
        <x:f t="shared" si="138"/>
        <x:v>0</x:v>
      </x:c>
      <x:c r="CV60" s="339" t="str">
        <x:f t="shared" si="139"/>
        <x:v/>
      </x:c>
      <x:c r="CW60" s="339" t="str">
        <x:f t="shared" si="140"/>
        <x:v/>
      </x:c>
      <x:c r="CX60" s="339" t="str">
        <x:f t="shared" si="141"/>
        <x:v/>
      </x:c>
      <x:c r="CY60" s="1109">
        <x:f t="shared" si="142"/>
        <x:v>0</x:v>
      </x:c>
      <x:c r="CZ60" s="1109">
        <x:f t="shared" si="143"/>
        <x:v>0</x:v>
      </x:c>
      <x:c r="DA60" s="1109" t="str">
        <x:f t="shared" si="144"/>
        <x:v/>
      </x:c>
      <x:c r="DB60" s="1125" t="str">
        <x:f t="shared" si="207"/>
        <x:v/>
      </x:c>
      <x:c r="DC60" s="1125" t="str">
        <x:f t="shared" si="145"/>
        <x:v/>
      </x:c>
      <x:c r="DD60" s="1110">
        <x:f t="shared" si="208"/>
        <x:v>0</x:v>
      </x:c>
      <x:c r="DE60" s="1108">
        <x:f t="shared" si="209"/>
        <x:v>0</x:v>
      </x:c>
      <x:c r="DF60" s="1109">
        <x:f t="shared" si="146"/>
        <x:v>0</x:v>
      </x:c>
      <x:c r="DG60" s="1109" t="str">
        <x:f t="shared" si="147"/>
        <x:v/>
      </x:c>
      <x:c r="DH60" s="1125" t="str">
        <x:f t="shared" si="210"/>
        <x:v/>
      </x:c>
      <x:c r="DI60" s="1125" t="str">
        <x:f t="shared" si="211"/>
        <x:v/>
      </x:c>
      <x:c r="DJ60" s="1110">
        <x:f t="shared" si="212"/>
        <x:v>0</x:v>
      </x:c>
      <x:c r="DK60" s="1108" t="str">
        <x:f t="shared" si="148"/>
        <x:v/>
      </x:c>
      <x:c r="DL60" s="1108" t="str">
        <x:f t="shared" si="149"/>
        <x:v/>
      </x:c>
      <x:c r="DM60" s="1108" t="str">
        <x:f t="shared" si="150"/>
        <x:v/>
      </x:c>
      <x:c r="DN60" s="1108" t="str">
        <x:f t="shared" si="151"/>
        <x:v/>
      </x:c>
      <x:c r="DO60" s="1125" t="str">
        <x:f t="shared" si="152"/>
        <x:v>ERR</x:v>
      </x:c>
      <x:c r="DP60" s="1125" t="str">
        <x:f t="shared" si="153"/>
        <x:v>ERR</x:v>
      </x:c>
      <x:c r="DQ60" s="1108" t="str">
        <x:f t="shared" si="154"/>
        <x:v/>
      </x:c>
      <x:c r="DR60" s="1108" t="str">
        <x:f t="shared" si="154"/>
        <x:v/>
      </x:c>
      <x:c r="DS60" s="1108" t="str">
        <x:f t="shared" si="155"/>
        <x:v/>
      </x:c>
      <x:c r="DT60" s="1108" t="str">
        <x:f t="shared" si="156"/>
        <x:v/>
      </x:c>
      <x:c r="DU60" s="1108" t="str">
        <x:f t="shared" si="157"/>
        <x:v/>
      </x:c>
      <x:c r="DV60" s="1125" t="str">
        <x:f t="shared" si="158"/>
        <x:v>ERR</x:v>
      </x:c>
      <x:c r="DW60" s="1125" t="str">
        <x:f t="shared" si="159"/>
        <x:v>ERR</x:v>
      </x:c>
      <x:c r="DX60" s="1108" t="str">
        <x:f t="shared" si="160"/>
        <x:v/>
      </x:c>
      <x:c r="DY60" s="1108" t="str">
        <x:f t="shared" si="160"/>
        <x:v/>
      </x:c>
      <x:c r="DZ60" s="1108" t="str">
        <x:f t="shared" si="161"/>
        <x:v/>
      </x:c>
      <x:c r="EA60" s="1108" t="str">
        <x:f t="shared" si="162"/>
        <x:v/>
      </x:c>
      <x:c r="EB60" s="1111" t="str">
        <x:f t="shared" si="163"/>
        <x:v/>
      </x:c>
      <x:c r="EC60" s="1112" t="str">
        <x:f t="shared" si="164"/>
        <x:v/>
      </x:c>
      <x:c r="ED60" s="1111" t="str">
        <x:f t="shared" si="165"/>
        <x:v/>
      </x:c>
      <x:c r="EE60" s="1111" t="str">
        <x:f t="shared" si="166"/>
        <x:v/>
      </x:c>
      <x:c r="EF60" s="1111" t="str">
        <x:f t="shared" si="167"/>
        <x:v/>
      </x:c>
      <x:c r="EG60" s="1111" t="str">
        <x:f t="shared" si="168"/>
        <x:v/>
      </x:c>
      <x:c r="EH60" s="1111" t="str">
        <x:f t="shared" si="169"/>
        <x:v/>
      </x:c>
      <x:c r="EI60" s="1111" t="str">
        <x:f t="shared" si="170"/>
        <x:v/>
      </x:c>
      <x:c r="EJ60" s="1111" t="str">
        <x:f t="shared" si="171"/>
        <x:v/>
      </x:c>
      <x:c r="EK60" s="1109">
        <x:f t="shared" si="172"/>
        <x:v>0</x:v>
      </x:c>
      <x:c r="EL60" s="1109">
        <x:f t="shared" si="173"/>
        <x:v>0</x:v>
      </x:c>
      <x:c r="EM60" s="1109">
        <x:f t="shared" si="174"/>
        <x:v>0</x:v>
      </x:c>
      <x:c r="EN60" s="1109" t="str">
        <x:f t="shared" si="175"/>
        <x:v/>
      </x:c>
      <x:c r="EO60" s="1108" t="str">
        <x:f t="shared" si="176"/>
        <x:v/>
      </x:c>
      <x:c r="EP60" s="1109">
        <x:f t="shared" si="177"/>
        <x:v>0</x:v>
      </x:c>
      <x:c r="EQ60" s="1109">
        <x:f t="shared" si="178"/>
        <x:v>0</x:v>
      </x:c>
      <x:c r="ER60" s="1109">
        <x:f t="shared" si="179"/>
        <x:v>0</x:v>
      </x:c>
      <x:c r="ES60" s="1109" t="str">
        <x:f t="shared" si="180"/>
        <x:v/>
      </x:c>
      <x:c r="ET60" s="1108" t="str">
        <x:f t="shared" si="181"/>
        <x:v/>
      </x:c>
      <x:c r="EU60" s="1108">
        <x:f t="shared" si="182"/>
        <x:v>0</x:v>
      </x:c>
      <x:c r="EV60" s="1111" t="e">
        <x:f t="shared" si="183"/>
        <x:v>#VALUE!</x:v>
      </x:c>
      <x:c r="EW60" s="1111" t="e">
        <x:f t="shared" si="184"/>
        <x:v>#VALUE!</x:v>
      </x:c>
      <x:c r="EX60" s="1113" t="str">
        <x:f t="shared" si="213"/>
        <x:v/>
      </x:c>
      <x:c r="EY60" s="1114">
        <x:f t="shared" si="185"/>
        <x:v>25</x:v>
      </x:c>
      <x:c r="EZ60" s="1219">
        <x:f t="shared" si="186"/>
        <x:v>0</x:v>
      </x:c>
      <x:c r="FA60" s="1220">
        <x:f t="shared" si="187"/>
        <x:v>0</x:v>
      </x:c>
      <x:c r="FB60" s="1115" t="str">
        <x:f t="shared" si="188"/>
        <x:v/>
      </x:c>
      <x:c r="FC60" s="1116" t="str">
        <x:f t="shared" si="189"/>
        <x:v/>
      </x:c>
      <x:c r="FD60" s="1126">
        <x:f t="shared" si="190"/>
        <x:v>0</x:v>
      </x:c>
      <x:c r="FE60" s="1066">
        <x:f t="shared" si="191"/>
        <x:v>0</x:v>
      </x:c>
      <x:c r="FF60" s="969" t="b">
        <x:f t="shared" si="192"/>
        <x:v>0</x:v>
      </x:c>
      <x:c r="FG60" s="969" t="b">
        <x:f t="shared" si="193"/>
        <x:v>0</x:v>
      </x:c>
      <x:c r="FH60" s="969" t="b">
        <x:f t="shared" si="194"/>
        <x:v>0</x:v>
      </x:c>
      <x:c r="FI60" s="969" t="b">
        <x:f t="shared" si="195"/>
        <x:v>0</x:v>
      </x:c>
      <x:c r="FJ60" s="1161" t="str">
        <x:f t="shared" si="214"/>
        <x:v/>
      </x:c>
      <x:c r="FK60" s="1160" t="str">
        <x:f t="shared" si="215"/>
        <x:v/>
      </x:c>
      <x:c r="FL60" s="388" t="e">
        <x:f t="shared" si="216"/>
        <x:v>#N/A</x:v>
      </x:c>
      <x:c r="FM60" s="380" t="str">
        <x:f t="shared" si="196"/>
        <x:v/>
      </x:c>
      <x:c r="FN60" s="337" t="str">
        <x:f t="shared" ca="1" si="217"/>
        <x:v/>
      </x:c>
      <x:c r="FO60" s="338" t="str">
        <x:f t="shared" ca="1" si="218"/>
        <x:v/>
      </x:c>
      <x:c r="FP60" s="339" t="str">
        <x:f t="shared" ca="1" si="219"/>
        <x:v/>
      </x:c>
      <x:c r="FQ60" s="339" t="str">
        <x:f t="shared" ca="1" si="220"/>
        <x:v/>
      </x:c>
      <x:c r="FR60" s="389">
        <x:f t="shared" ca="1" si="221"/>
        <x:v>0</x:v>
      </x:c>
      <x:c r="FS60" s="390">
        <x:f t="shared" ca="1" si="222"/>
        <x:v>0</x:v>
      </x:c>
      <x:c r="FT60" s="337" t="str">
        <x:f t="shared" ca="1" si="223"/>
        <x:v/>
      </x:c>
      <x:c r="FU60" s="340" t="str">
        <x:f t="shared" ca="1" si="224"/>
        <x:v/>
      </x:c>
      <x:c r="FV60" s="391" t="str">
        <x:f t="shared" ca="1" si="197"/>
        <x:v/>
      </x:c>
      <x:c r="FW60" s="341" t="str">
        <x:f t="shared" ca="1" si="225"/>
        <x:v/>
      </x:c>
      <x:c r="FX60" s="341" t="str">
        <x:f t="shared" ca="1" si="226"/>
        <x:v/>
      </x:c>
      <x:c r="FY60" s="341" t="str">
        <x:f t="shared" ca="1" si="227"/>
        <x:v/>
      </x:c>
      <x:c r="FZ60" s="341" t="str">
        <x:f t="shared" ca="1" si="228"/>
        <x:v/>
      </x:c>
      <x:c r="GA60" s="341" t="str">
        <x:f t="shared" ca="1" si="229"/>
        <x:v/>
      </x:c>
      <x:c r="GB60" s="342" t="str">
        <x:f ca="1">IF(FY60="","",2+SUM(FO60:OFFSET(FO60,(FU60-1)*-1,0)))</x:f>
        <x:v/>
      </x:c>
      <x:c r="GC60" s="384" t="e">
        <x:f t="shared" si="230"/>
        <x:v>#N/A</x:v>
      </x:c>
      <x:c r="GD60" s="392" t="str">
        <x:f t="shared" si="198"/>
        <x:v/>
      </x:c>
      <x:c r="GE60" s="393" t="str">
        <x:f t="shared" si="199"/>
        <x:v/>
      </x:c>
      <x:c r="GF60" s="343" t="str">
        <x:f t="shared" si="200"/>
        <x:v/>
      </x:c>
      <x:c r="GG60" s="344" t="str">
        <x:f t="shared" si="201"/>
        <x:v/>
      </x:c>
      <x:c r="GH60" s="344" t="str">
        <x:f t="shared" si="202"/>
        <x:v/>
      </x:c>
      <x:c r="GI60" s="345" t="str">
        <x:f t="shared" si="203"/>
        <x:v/>
      </x:c>
      <x:c r="GJ60" s="646">
        <x:f t="shared" ca="1" si="204"/>
        <x:v>0</x:v>
      </x:c>
      <x:c r="GK60" s="1131" t="str">
        <x:f t="shared" ca="1" si="231"/>
        <x:v>A</x:v>
      </x:c>
    </x:row>
    <x:row r="61" spans="1:222" ht="12.6" hidden="1" customHeight="1" x14ac:dyDescent="0.2">
      <x:c r="A61" s="1130" t="s">
        <x:v>2034</x:v>
      </x:c>
      <x:c r="BZ61" s="360"/>
      <x:c r="CA61" s="434"/>
      <x:c r="CB61" s="435" t="str">
        <x:f t="shared" si="137"/>
        <x:v/>
      </x:c>
      <x:c r="CC61" s="436" t="str">
        <x:f>IF(CG21="","",VLOOKUP(CG21,SectInfo!$B:$N,12,FALSE))</x:f>
        <x:v/>
      </x:c>
      <x:c r="CD61" s="1172" t="str">
        <x:f>IF(ISBLANK(CZ21),IF(CG21="","",VLOOKUP(CG21,SectInfo!$B:$N,13,FALSE)),CZ21)</x:f>
        <x:v/>
      </x:c>
      <x:c r="CE61" s="437" t="str">
        <x:f>IF(CG21="","",IF(VLOOKUP(CG21,SectInfo!$B:$N,5,FALSE)="","R",UPPER(VLOOKUP(CG21,SectInfo!$B:$N,5,FALSE))))</x:f>
        <x:v/>
      </x:c>
      <x:c r="CF61" s="1172" t="str">
        <x:f>IF(ISBLANK(DD21),IF(CG21="","",VLOOKUP(CG21,SectInfo!$B:$N,6,FALSE)),DD21)</x:f>
        <x:v/>
      </x:c>
      <x:c r="CG61" s="437" t="str">
        <x:f>IF(CG21="","",IF(VLOOKUP(CG21,SectInfo!$B:$N,10,FALSE)="","",(VLOOKUP(CG21,SectInfo!$B:$N,10,FALSE)*-1)))</x:f>
        <x:v/>
      </x:c>
      <x:c r="CH61" s="437" t="str">
        <x:f>IF(CG21="","",IF(VLOOKUP(CG21,SectInfo!$B:$N,7,FALSE)="","",(VLOOKUP(CG21,SectInfo!$B:$N,7,FALSE)*-1)))</x:f>
        <x:v/>
      </x:c>
      <x:c r="CI61" s="437" t="str">
        <x:f>IF(CG21="","",IF(VLOOKUP(CG21,SectInfo!$B:$N,8,FALSE)="",$FC$4,(VLOOKUP(CG21,SectInfo!$B:$N,8,FALSE))))</x:f>
        <x:v/>
      </x:c>
      <x:c r="CJ61" s="437" t="str">
        <x:f>IF(CG21="","",VLOOKUP(CG21,SectInfo!$B:$N,9,FALSE))</x:f>
        <x:v/>
      </x:c>
      <x:c r="CK61" s="438">
        <x:f t="shared" si="205"/>
        <x:v>0</x:v>
      </x:c>
      <x:c r="CL61" s="436" t="str">
        <x:f>IF(CN21="","",VLOOKUP(CN21,SectInfo!$B:$N,12,FALSE))</x:f>
        <x:v/>
      </x:c>
      <x:c r="CM61" s="1172" t="str">
        <x:f>IF(ISBLANK(DA21),IF(CN21="","",VLOOKUP(CN21,SectInfo!$B:$N,13,FALSE)),DA21)</x:f>
        <x:v/>
      </x:c>
      <x:c r="CN61" s="437" t="str">
        <x:f>IF(CN21="","",IF(VLOOKUP(CN21,SectInfo!$B:$N,5,FALSE)="","R",UPPER(VLOOKUP(CN21,SectInfo!$B:$N,5,FALSE))))</x:f>
        <x:v/>
      </x:c>
      <x:c r="CO61" s="1172" t="str">
        <x:f>IF(ISBLANK(DE21),IF(CN21="","",VLOOKUP(CN21,SectInfo!$B:$N,6,FALSE)),DE21)</x:f>
        <x:v/>
      </x:c>
      <x:c r="CP61" s="437" t="str">
        <x:f>IF(CN21="","",IF(VLOOKUP(CN21,SectInfo!$B:$N,10,FALSE)="","",(VLOOKUP(CN21,SectInfo!$B:$N,10,FALSE)*-1)))</x:f>
        <x:v/>
      </x:c>
      <x:c r="CQ61" s="437" t="str">
        <x:f>IF(CN21="","",IF(VLOOKUP(CN21,SectInfo!$B:$N,7,FALSE)="","",(VLOOKUP(CN21,SectInfo!$B:$N,7,FALSE)*-1)))</x:f>
        <x:v/>
      </x:c>
      <x:c r="CR61" s="437" t="str">
        <x:f>IF(CN21="","",IF(VLOOKUP(CN21,SectInfo!$B:$N,8,FALSE)="",$FC$4,(VLOOKUP(CN21,SectInfo!$B:$N,8,FALSE))))</x:f>
        <x:v/>
      </x:c>
      <x:c r="CS61" s="437" t="str">
        <x:f>IF(CN21="","",VLOOKUP(CN21,SectInfo!$B:$N,9,FALSE))</x:f>
        <x:v/>
      </x:c>
      <x:c r="CT61" s="438">
        <x:f t="shared" si="206"/>
        <x:v>0</x:v>
      </x:c>
      <x:c r="CU61" s="439">
        <x:f t="shared" si="138"/>
        <x:v>0</x:v>
      </x:c>
      <x:c r="CV61" s="339" t="str">
        <x:f t="shared" si="139"/>
        <x:v/>
      </x:c>
      <x:c r="CW61" s="339" t="str">
        <x:f t="shared" si="140"/>
        <x:v/>
      </x:c>
      <x:c r="CX61" s="339" t="str">
        <x:f t="shared" si="141"/>
        <x:v/>
      </x:c>
      <x:c r="CY61" s="1109">
        <x:f t="shared" si="142"/>
        <x:v>0</x:v>
      </x:c>
      <x:c r="CZ61" s="1109">
        <x:f t="shared" si="143"/>
        <x:v>0</x:v>
      </x:c>
      <x:c r="DA61" s="1109" t="str">
        <x:f t="shared" si="144"/>
        <x:v/>
      </x:c>
      <x:c r="DB61" s="1125" t="str">
        <x:f t="shared" si="207"/>
        <x:v/>
      </x:c>
      <x:c r="DC61" s="1125" t="str">
        <x:f t="shared" si="145"/>
        <x:v/>
      </x:c>
      <x:c r="DD61" s="1110">
        <x:f t="shared" si="208"/>
        <x:v>0</x:v>
      </x:c>
      <x:c r="DE61" s="1108">
        <x:f t="shared" si="209"/>
        <x:v>0</x:v>
      </x:c>
      <x:c r="DF61" s="1109">
        <x:f t="shared" si="146"/>
        <x:v>0</x:v>
      </x:c>
      <x:c r="DG61" s="1109" t="str">
        <x:f t="shared" si="147"/>
        <x:v/>
      </x:c>
      <x:c r="DH61" s="1125" t="str">
        <x:f t="shared" si="210"/>
        <x:v/>
      </x:c>
      <x:c r="DI61" s="1125" t="str">
        <x:f t="shared" si="211"/>
        <x:v/>
      </x:c>
      <x:c r="DJ61" s="1110">
        <x:f t="shared" si="212"/>
        <x:v>0</x:v>
      </x:c>
      <x:c r="DK61" s="1108" t="str">
        <x:f t="shared" si="148"/>
        <x:v/>
      </x:c>
      <x:c r="DL61" s="1108" t="str">
        <x:f t="shared" si="149"/>
        <x:v/>
      </x:c>
      <x:c r="DM61" s="1108" t="str">
        <x:f t="shared" si="150"/>
        <x:v/>
      </x:c>
      <x:c r="DN61" s="1108" t="str">
        <x:f t="shared" si="151"/>
        <x:v/>
      </x:c>
      <x:c r="DO61" s="1125" t="str">
        <x:f t="shared" si="152"/>
        <x:v>ERR</x:v>
      </x:c>
      <x:c r="DP61" s="1125" t="str">
        <x:f t="shared" si="153"/>
        <x:v>ERR</x:v>
      </x:c>
      <x:c r="DQ61" s="1108" t="str">
        <x:f t="shared" si="154"/>
        <x:v/>
      </x:c>
      <x:c r="DR61" s="1108" t="str">
        <x:f t="shared" si="154"/>
        <x:v/>
      </x:c>
      <x:c r="DS61" s="1108" t="str">
        <x:f t="shared" si="155"/>
        <x:v/>
      </x:c>
      <x:c r="DT61" s="1108" t="str">
        <x:f t="shared" si="156"/>
        <x:v/>
      </x:c>
      <x:c r="DU61" s="1108" t="str">
        <x:f t="shared" si="157"/>
        <x:v/>
      </x:c>
      <x:c r="DV61" s="1125" t="str">
        <x:f t="shared" si="158"/>
        <x:v>ERR</x:v>
      </x:c>
      <x:c r="DW61" s="1125" t="str">
        <x:f t="shared" si="159"/>
        <x:v>ERR</x:v>
      </x:c>
      <x:c r="DX61" s="1108" t="str">
        <x:f t="shared" si="160"/>
        <x:v/>
      </x:c>
      <x:c r="DY61" s="1108" t="str">
        <x:f t="shared" si="160"/>
        <x:v/>
      </x:c>
      <x:c r="DZ61" s="1108" t="str">
        <x:f t="shared" si="161"/>
        <x:v/>
      </x:c>
      <x:c r="EA61" s="1108" t="str">
        <x:f t="shared" si="162"/>
        <x:v/>
      </x:c>
      <x:c r="EB61" s="1111" t="str">
        <x:f t="shared" si="163"/>
        <x:v/>
      </x:c>
      <x:c r="EC61" s="1112" t="str">
        <x:f t="shared" si="164"/>
        <x:v/>
      </x:c>
      <x:c r="ED61" s="1111" t="str">
        <x:f t="shared" si="165"/>
        <x:v/>
      </x:c>
      <x:c r="EE61" s="1111" t="str">
        <x:f t="shared" si="166"/>
        <x:v/>
      </x:c>
      <x:c r="EF61" s="1111" t="str">
        <x:f t="shared" si="167"/>
        <x:v/>
      </x:c>
      <x:c r="EG61" s="1111" t="str">
        <x:f t="shared" si="168"/>
        <x:v/>
      </x:c>
      <x:c r="EH61" s="1111" t="str">
        <x:f t="shared" si="169"/>
        <x:v/>
      </x:c>
      <x:c r="EI61" s="1111" t="str">
        <x:f t="shared" si="170"/>
        <x:v/>
      </x:c>
      <x:c r="EJ61" s="1111" t="str">
        <x:f t="shared" si="171"/>
        <x:v/>
      </x:c>
      <x:c r="EK61" s="1109">
        <x:f t="shared" si="172"/>
        <x:v>0</x:v>
      </x:c>
      <x:c r="EL61" s="1109">
        <x:f t="shared" si="173"/>
        <x:v>0</x:v>
      </x:c>
      <x:c r="EM61" s="1109">
        <x:f t="shared" si="174"/>
        <x:v>0</x:v>
      </x:c>
      <x:c r="EN61" s="1109" t="str">
        <x:f t="shared" si="175"/>
        <x:v/>
      </x:c>
      <x:c r="EO61" s="1108" t="str">
        <x:f t="shared" si="176"/>
        <x:v/>
      </x:c>
      <x:c r="EP61" s="1109">
        <x:f t="shared" si="177"/>
        <x:v>0</x:v>
      </x:c>
      <x:c r="EQ61" s="1109">
        <x:f t="shared" si="178"/>
        <x:v>0</x:v>
      </x:c>
      <x:c r="ER61" s="1109">
        <x:f t="shared" si="179"/>
        <x:v>0</x:v>
      </x:c>
      <x:c r="ES61" s="1109" t="str">
        <x:f t="shared" si="180"/>
        <x:v/>
      </x:c>
      <x:c r="ET61" s="1108" t="str">
        <x:f t="shared" si="181"/>
        <x:v/>
      </x:c>
      <x:c r="EU61" s="1108">
        <x:f t="shared" si="182"/>
        <x:v>0</x:v>
      </x:c>
      <x:c r="EV61" s="1111" t="e">
        <x:f t="shared" si="183"/>
        <x:v>#VALUE!</x:v>
      </x:c>
      <x:c r="EW61" s="1111" t="e">
        <x:f t="shared" si="184"/>
        <x:v>#VALUE!</x:v>
      </x:c>
      <x:c r="EX61" s="1113" t="str">
        <x:f t="shared" si="213"/>
        <x:v/>
      </x:c>
      <x:c r="EY61" s="1114">
        <x:f t="shared" si="185"/>
        <x:v>25</x:v>
      </x:c>
      <x:c r="EZ61" s="1219">
        <x:f t="shared" si="186"/>
        <x:v>0</x:v>
      </x:c>
      <x:c r="FA61" s="1220">
        <x:f t="shared" si="187"/>
        <x:v>0</x:v>
      </x:c>
      <x:c r="FB61" s="1115" t="str">
        <x:f t="shared" si="188"/>
        <x:v/>
      </x:c>
      <x:c r="FC61" s="1116" t="str">
        <x:f t="shared" si="189"/>
        <x:v/>
      </x:c>
      <x:c r="FD61" s="1126">
        <x:f t="shared" si="190"/>
        <x:v>0</x:v>
      </x:c>
      <x:c r="FE61" s="1066">
        <x:f t="shared" si="191"/>
        <x:v>0</x:v>
      </x:c>
      <x:c r="FF61" s="969" t="b">
        <x:f t="shared" si="192"/>
        <x:v>0</x:v>
      </x:c>
      <x:c r="FG61" s="969" t="b">
        <x:f t="shared" si="193"/>
        <x:v>0</x:v>
      </x:c>
      <x:c r="FH61" s="969" t="b">
        <x:f t="shared" si="194"/>
        <x:v>0</x:v>
      </x:c>
      <x:c r="FI61" s="969" t="b">
        <x:f t="shared" si="195"/>
        <x:v>0</x:v>
      </x:c>
      <x:c r="FJ61" s="1161" t="str">
        <x:f t="shared" si="214"/>
        <x:v/>
      </x:c>
      <x:c r="FK61" s="1160" t="str">
        <x:f t="shared" si="215"/>
        <x:v/>
      </x:c>
      <x:c r="FL61" s="388" t="e">
        <x:f t="shared" si="216"/>
        <x:v>#N/A</x:v>
      </x:c>
      <x:c r="FM61" s="380" t="str">
        <x:f t="shared" si="196"/>
        <x:v/>
      </x:c>
      <x:c r="FN61" s="337" t="str">
        <x:f t="shared" ca="1" si="217"/>
        <x:v/>
      </x:c>
      <x:c r="FO61" s="338" t="str">
        <x:f t="shared" ca="1" si="218"/>
        <x:v/>
      </x:c>
      <x:c r="FP61" s="339" t="str">
        <x:f t="shared" ca="1" si="219"/>
        <x:v/>
      </x:c>
      <x:c r="FQ61" s="339" t="str">
        <x:f t="shared" ca="1" si="220"/>
        <x:v/>
      </x:c>
      <x:c r="FR61" s="389">
        <x:f t="shared" ca="1" si="221"/>
        <x:v>0</x:v>
      </x:c>
      <x:c r="FS61" s="390">
        <x:f t="shared" ca="1" si="222"/>
        <x:v>0</x:v>
      </x:c>
      <x:c r="FT61" s="337" t="str">
        <x:f t="shared" ca="1" si="223"/>
        <x:v/>
      </x:c>
      <x:c r="FU61" s="340" t="str">
        <x:f t="shared" ca="1" si="224"/>
        <x:v/>
      </x:c>
      <x:c r="FV61" s="391" t="str">
        <x:f t="shared" ca="1" si="197"/>
        <x:v/>
      </x:c>
      <x:c r="FW61" s="341" t="str">
        <x:f t="shared" ca="1" si="225"/>
        <x:v/>
      </x:c>
      <x:c r="FX61" s="341" t="str">
        <x:f t="shared" ca="1" si="226"/>
        <x:v/>
      </x:c>
      <x:c r="FY61" s="341" t="str">
        <x:f t="shared" ca="1" si="227"/>
        <x:v/>
      </x:c>
      <x:c r="FZ61" s="341" t="str">
        <x:f t="shared" ca="1" si="228"/>
        <x:v/>
      </x:c>
      <x:c r="GA61" s="341" t="str">
        <x:f t="shared" ca="1" si="229"/>
        <x:v/>
      </x:c>
      <x:c r="GB61" s="342" t="str">
        <x:f ca="1">IF(FY61="","",2+SUM(FO61:OFFSET(FO61,(FU61-1)*-1,0)))</x:f>
        <x:v/>
      </x:c>
      <x:c r="GC61" s="384" t="e">
        <x:f t="shared" si="230"/>
        <x:v>#N/A</x:v>
      </x:c>
      <x:c r="GD61" s="392" t="str">
        <x:f t="shared" si="198"/>
        <x:v/>
      </x:c>
      <x:c r="GE61" s="393" t="str">
        <x:f t="shared" si="199"/>
        <x:v/>
      </x:c>
      <x:c r="GF61" s="343" t="str">
        <x:f t="shared" si="200"/>
        <x:v/>
      </x:c>
      <x:c r="GG61" s="344" t="str">
        <x:f t="shared" si="201"/>
        <x:v/>
      </x:c>
      <x:c r="GH61" s="344" t="str">
        <x:f t="shared" si="202"/>
        <x:v/>
      </x:c>
      <x:c r="GI61" s="345" t="str">
        <x:f t="shared" si="203"/>
        <x:v/>
      </x:c>
      <x:c r="GJ61" s="646">
        <x:f t="shared" ca="1" si="204"/>
        <x:v>0</x:v>
      </x:c>
      <x:c r="GK61" s="1131" t="str">
        <x:f t="shared" ca="1" si="231"/>
        <x:v>B</x:v>
      </x:c>
    </x:row>
    <x:row r="62" spans="1:222" ht="12.6" hidden="1" customHeight="1" x14ac:dyDescent="0.2">
      <x:c r="BZ62" s="360"/>
      <x:c r="CA62" s="434"/>
      <x:c r="CB62" s="435" t="str">
        <x:f t="shared" si="137"/>
        <x:v/>
      </x:c>
      <x:c r="CC62" s="436" t="str">
        <x:f>IF(CG22="","",VLOOKUP(CG22,SectInfo!$B:$N,12,FALSE))</x:f>
        <x:v/>
      </x:c>
      <x:c r="CD62" s="1172" t="str">
        <x:f>IF(ISBLANK(CZ22),IF(CG22="","",VLOOKUP(CG22,SectInfo!$B:$N,13,FALSE)),CZ22)</x:f>
        <x:v/>
      </x:c>
      <x:c r="CE62" s="437" t="str">
        <x:f>IF(CG22="","",IF(VLOOKUP(CG22,SectInfo!$B:$N,5,FALSE)="","R",UPPER(VLOOKUP(CG22,SectInfo!$B:$N,5,FALSE))))</x:f>
        <x:v/>
      </x:c>
      <x:c r="CF62" s="1172" t="str">
        <x:f>IF(ISBLANK(DD22),IF(CG22="","",VLOOKUP(CG22,SectInfo!$B:$N,6,FALSE)),DD22)</x:f>
        <x:v/>
      </x:c>
      <x:c r="CG62" s="437" t="str">
        <x:f>IF(CG22="","",IF(VLOOKUP(CG22,SectInfo!$B:$N,10,FALSE)="","",(VLOOKUP(CG22,SectInfo!$B:$N,10,FALSE)*-1)))</x:f>
        <x:v/>
      </x:c>
      <x:c r="CH62" s="437" t="str">
        <x:f>IF(CG22="","",IF(VLOOKUP(CG22,SectInfo!$B:$N,7,FALSE)="","",(VLOOKUP(CG22,SectInfo!$B:$N,7,FALSE)*-1)))</x:f>
        <x:v/>
      </x:c>
      <x:c r="CI62" s="437" t="str">
        <x:f>IF(CG22="","",IF(VLOOKUP(CG22,SectInfo!$B:$N,8,FALSE)="",$FC$4,(VLOOKUP(CG22,SectInfo!$B:$N,8,FALSE))))</x:f>
        <x:v/>
      </x:c>
      <x:c r="CJ62" s="437" t="str">
        <x:f>IF(CG22="","",VLOOKUP(CG22,SectInfo!$B:$N,9,FALSE))</x:f>
        <x:v/>
      </x:c>
      <x:c r="CK62" s="438">
        <x:f t="shared" si="205"/>
        <x:v>0</x:v>
      </x:c>
      <x:c r="CL62" s="436" t="str">
        <x:f>IF(CN22="","",VLOOKUP(CN22,SectInfo!$B:$N,12,FALSE))</x:f>
        <x:v/>
      </x:c>
      <x:c r="CM62" s="1172" t="str">
        <x:f>IF(ISBLANK(DA22),IF(CN22="","",VLOOKUP(CN22,SectInfo!$B:$N,13,FALSE)),DA22)</x:f>
        <x:v/>
      </x:c>
      <x:c r="CN62" s="437" t="str">
        <x:f>IF(CN22="","",IF(VLOOKUP(CN22,SectInfo!$B:$N,5,FALSE)="","R",UPPER(VLOOKUP(CN22,SectInfo!$B:$N,5,FALSE))))</x:f>
        <x:v/>
      </x:c>
      <x:c r="CO62" s="1172" t="str">
        <x:f>IF(ISBLANK(DE22),IF(CN22="","",VLOOKUP(CN22,SectInfo!$B:$N,6,FALSE)),DE22)</x:f>
        <x:v/>
      </x:c>
      <x:c r="CP62" s="437" t="str">
        <x:f>IF(CN22="","",IF(VLOOKUP(CN22,SectInfo!$B:$N,10,FALSE)="","",(VLOOKUP(CN22,SectInfo!$B:$N,10,FALSE)*-1)))</x:f>
        <x:v/>
      </x:c>
      <x:c r="CQ62" s="437" t="str">
        <x:f>IF(CN22="","",IF(VLOOKUP(CN22,SectInfo!$B:$N,7,FALSE)="","",(VLOOKUP(CN22,SectInfo!$B:$N,7,FALSE)*-1)))</x:f>
        <x:v/>
      </x:c>
      <x:c r="CR62" s="437" t="str">
        <x:f>IF(CN22="","",IF(VLOOKUP(CN22,SectInfo!$B:$N,8,FALSE)="",$FC$4,(VLOOKUP(CN22,SectInfo!$B:$N,8,FALSE))))</x:f>
        <x:v/>
      </x:c>
      <x:c r="CS62" s="437" t="str">
        <x:f>IF(CN22="","",VLOOKUP(CN22,SectInfo!$B:$N,9,FALSE))</x:f>
        <x:v/>
      </x:c>
      <x:c r="CT62" s="438">
        <x:f t="shared" si="206"/>
        <x:v>0</x:v>
      </x:c>
      <x:c r="CU62" s="439">
        <x:f t="shared" si="138"/>
        <x:v>0</x:v>
      </x:c>
      <x:c r="CV62" s="339" t="str">
        <x:f t="shared" si="139"/>
        <x:v/>
      </x:c>
      <x:c r="CW62" s="339" t="str">
        <x:f t="shared" si="140"/>
        <x:v/>
      </x:c>
      <x:c r="CX62" s="339" t="str">
        <x:f t="shared" si="141"/>
        <x:v/>
      </x:c>
      <x:c r="CY62" s="1109">
        <x:f t="shared" si="142"/>
        <x:v>0</x:v>
      </x:c>
      <x:c r="CZ62" s="1109">
        <x:f t="shared" si="143"/>
        <x:v>0</x:v>
      </x:c>
      <x:c r="DA62" s="1109" t="str">
        <x:f t="shared" si="144"/>
        <x:v/>
      </x:c>
      <x:c r="DB62" s="1125" t="str">
        <x:f t="shared" si="207"/>
        <x:v/>
      </x:c>
      <x:c r="DC62" s="1125" t="str">
        <x:f t="shared" si="145"/>
        <x:v/>
      </x:c>
      <x:c r="DD62" s="1110">
        <x:f t="shared" si="208"/>
        <x:v>0</x:v>
      </x:c>
      <x:c r="DE62" s="1108">
        <x:f t="shared" si="209"/>
        <x:v>0</x:v>
      </x:c>
      <x:c r="DF62" s="1109">
        <x:f t="shared" si="146"/>
        <x:v>0</x:v>
      </x:c>
      <x:c r="DG62" s="1109" t="str">
        <x:f t="shared" si="147"/>
        <x:v/>
      </x:c>
      <x:c r="DH62" s="1125" t="str">
        <x:f t="shared" si="210"/>
        <x:v/>
      </x:c>
      <x:c r="DI62" s="1125" t="str">
        <x:f t="shared" si="211"/>
        <x:v/>
      </x:c>
      <x:c r="DJ62" s="1110">
        <x:f t="shared" si="212"/>
        <x:v>0</x:v>
      </x:c>
      <x:c r="DK62" s="1108" t="str">
        <x:f t="shared" si="148"/>
        <x:v/>
      </x:c>
      <x:c r="DL62" s="1108" t="str">
        <x:f t="shared" si="149"/>
        <x:v/>
      </x:c>
      <x:c r="DM62" s="1108" t="str">
        <x:f t="shared" si="150"/>
        <x:v/>
      </x:c>
      <x:c r="DN62" s="1108" t="str">
        <x:f t="shared" si="151"/>
        <x:v/>
      </x:c>
      <x:c r="DO62" s="1125" t="str">
        <x:f t="shared" si="152"/>
        <x:v>ERR</x:v>
      </x:c>
      <x:c r="DP62" s="1125" t="str">
        <x:f t="shared" si="153"/>
        <x:v>ERR</x:v>
      </x:c>
      <x:c r="DQ62" s="1108" t="str">
        <x:f t="shared" si="154"/>
        <x:v/>
      </x:c>
      <x:c r="DR62" s="1108" t="str">
        <x:f t="shared" si="154"/>
        <x:v/>
      </x:c>
      <x:c r="DS62" s="1108" t="str">
        <x:f t="shared" si="155"/>
        <x:v/>
      </x:c>
      <x:c r="DT62" s="1108" t="str">
        <x:f t="shared" si="156"/>
        <x:v/>
      </x:c>
      <x:c r="DU62" s="1108" t="str">
        <x:f t="shared" si="157"/>
        <x:v/>
      </x:c>
      <x:c r="DV62" s="1125" t="str">
        <x:f t="shared" si="158"/>
        <x:v>ERR</x:v>
      </x:c>
      <x:c r="DW62" s="1125" t="str">
        <x:f t="shared" si="159"/>
        <x:v>ERR</x:v>
      </x:c>
      <x:c r="DX62" s="1108" t="str">
        <x:f t="shared" si="160"/>
        <x:v/>
      </x:c>
      <x:c r="DY62" s="1108" t="str">
        <x:f t="shared" si="160"/>
        <x:v/>
      </x:c>
      <x:c r="DZ62" s="1108" t="str">
        <x:f t="shared" si="161"/>
        <x:v/>
      </x:c>
      <x:c r="EA62" s="1108" t="str">
        <x:f t="shared" si="162"/>
        <x:v/>
      </x:c>
      <x:c r="EB62" s="1111" t="str">
        <x:f t="shared" si="163"/>
        <x:v/>
      </x:c>
      <x:c r="EC62" s="1112" t="str">
        <x:f t="shared" si="164"/>
        <x:v/>
      </x:c>
      <x:c r="ED62" s="1111" t="str">
        <x:f t="shared" si="165"/>
        <x:v/>
      </x:c>
      <x:c r="EE62" s="1111" t="str">
        <x:f t="shared" si="166"/>
        <x:v/>
      </x:c>
      <x:c r="EF62" s="1111" t="str">
        <x:f t="shared" si="167"/>
        <x:v/>
      </x:c>
      <x:c r="EG62" s="1111" t="str">
        <x:f t="shared" si="168"/>
        <x:v/>
      </x:c>
      <x:c r="EH62" s="1111" t="str">
        <x:f t="shared" si="169"/>
        <x:v/>
      </x:c>
      <x:c r="EI62" s="1111" t="str">
        <x:f t="shared" si="170"/>
        <x:v/>
      </x:c>
      <x:c r="EJ62" s="1111" t="str">
        <x:f t="shared" si="171"/>
        <x:v/>
      </x:c>
      <x:c r="EK62" s="1109">
        <x:f t="shared" si="172"/>
        <x:v>0</x:v>
      </x:c>
      <x:c r="EL62" s="1109">
        <x:f t="shared" si="173"/>
        <x:v>0</x:v>
      </x:c>
      <x:c r="EM62" s="1109">
        <x:f t="shared" si="174"/>
        <x:v>0</x:v>
      </x:c>
      <x:c r="EN62" s="1109" t="str">
        <x:f t="shared" si="175"/>
        <x:v/>
      </x:c>
      <x:c r="EO62" s="1108" t="str">
        <x:f t="shared" si="176"/>
        <x:v/>
      </x:c>
      <x:c r="EP62" s="1109">
        <x:f t="shared" si="177"/>
        <x:v>0</x:v>
      </x:c>
      <x:c r="EQ62" s="1109">
        <x:f t="shared" si="178"/>
        <x:v>0</x:v>
      </x:c>
      <x:c r="ER62" s="1109">
        <x:f t="shared" si="179"/>
        <x:v>0</x:v>
      </x:c>
      <x:c r="ES62" s="1109" t="str">
        <x:f t="shared" si="180"/>
        <x:v/>
      </x:c>
      <x:c r="ET62" s="1108" t="str">
        <x:f t="shared" si="181"/>
        <x:v/>
      </x:c>
      <x:c r="EU62" s="1108">
        <x:f t="shared" si="182"/>
        <x:v>0</x:v>
      </x:c>
      <x:c r="EV62" s="1111" t="e">
        <x:f t="shared" si="183"/>
        <x:v>#VALUE!</x:v>
      </x:c>
      <x:c r="EW62" s="1111" t="e">
        <x:f t="shared" si="184"/>
        <x:v>#VALUE!</x:v>
      </x:c>
      <x:c r="EX62" s="1113" t="str">
        <x:f t="shared" si="213"/>
        <x:v/>
      </x:c>
      <x:c r="EY62" s="1114">
        <x:f t="shared" si="185"/>
        <x:v>25</x:v>
      </x:c>
      <x:c r="EZ62" s="1219">
        <x:f t="shared" si="186"/>
        <x:v>0</x:v>
      </x:c>
      <x:c r="FA62" s="1220">
        <x:f t="shared" si="187"/>
        <x:v>0</x:v>
      </x:c>
      <x:c r="FB62" s="1115" t="str">
        <x:f t="shared" si="188"/>
        <x:v/>
      </x:c>
      <x:c r="FC62" s="1116" t="str">
        <x:f t="shared" si="189"/>
        <x:v/>
      </x:c>
      <x:c r="FD62" s="1126">
        <x:f t="shared" si="190"/>
        <x:v>0</x:v>
      </x:c>
      <x:c r="FE62" s="1066">
        <x:f t="shared" si="191"/>
        <x:v>0</x:v>
      </x:c>
      <x:c r="FF62" s="969" t="b">
        <x:f t="shared" si="192"/>
        <x:v>0</x:v>
      </x:c>
      <x:c r="FG62" s="969" t="b">
        <x:f t="shared" si="193"/>
        <x:v>0</x:v>
      </x:c>
      <x:c r="FH62" s="969" t="b">
        <x:f t="shared" si="194"/>
        <x:v>0</x:v>
      </x:c>
      <x:c r="FI62" s="969" t="b">
        <x:f t="shared" si="195"/>
        <x:v>0</x:v>
      </x:c>
      <x:c r="FJ62" s="1161" t="str">
        <x:f t="shared" si="214"/>
        <x:v/>
      </x:c>
      <x:c r="FK62" s="1160" t="str">
        <x:f t="shared" si="215"/>
        <x:v/>
      </x:c>
      <x:c r="FL62" s="388" t="e">
        <x:f t="shared" si="216"/>
        <x:v>#N/A</x:v>
      </x:c>
      <x:c r="FM62" s="380" t="str">
        <x:f t="shared" si="196"/>
        <x:v/>
      </x:c>
      <x:c r="FN62" s="337" t="str">
        <x:f t="shared" ca="1" si="217"/>
        <x:v/>
      </x:c>
      <x:c r="FO62" s="338" t="str">
        <x:f t="shared" ca="1" si="218"/>
        <x:v/>
      </x:c>
      <x:c r="FP62" s="339" t="str">
        <x:f t="shared" ca="1" si="219"/>
        <x:v/>
      </x:c>
      <x:c r="FQ62" s="339" t="str">
        <x:f t="shared" ca="1" si="220"/>
        <x:v/>
      </x:c>
      <x:c r="FR62" s="389">
        <x:f t="shared" ca="1" si="221"/>
        <x:v>0</x:v>
      </x:c>
      <x:c r="FS62" s="390">
        <x:f t="shared" ca="1" si="222"/>
        <x:v>0</x:v>
      </x:c>
      <x:c r="FT62" s="337" t="str">
        <x:f t="shared" ca="1" si="223"/>
        <x:v/>
      </x:c>
      <x:c r="FU62" s="340" t="str">
        <x:f t="shared" ca="1" si="224"/>
        <x:v/>
      </x:c>
      <x:c r="FV62" s="391" t="str">
        <x:f t="shared" ca="1" si="197"/>
        <x:v/>
      </x:c>
      <x:c r="FW62" s="341" t="str">
        <x:f t="shared" ca="1" si="225"/>
        <x:v/>
      </x:c>
      <x:c r="FX62" s="341" t="str">
        <x:f t="shared" ca="1" si="226"/>
        <x:v/>
      </x:c>
      <x:c r="FY62" s="341" t="str">
        <x:f t="shared" ca="1" si="227"/>
        <x:v/>
      </x:c>
      <x:c r="FZ62" s="341" t="str">
        <x:f t="shared" ca="1" si="228"/>
        <x:v/>
      </x:c>
      <x:c r="GA62" s="341" t="str">
        <x:f t="shared" ca="1" si="229"/>
        <x:v/>
      </x:c>
      <x:c r="GB62" s="342" t="str">
        <x:f ca="1">IF(FY62="","",2+SUM(FO62:OFFSET(FO62,(FU62-1)*-1,0)))</x:f>
        <x:v/>
      </x:c>
      <x:c r="GC62" s="384" t="e">
        <x:f t="shared" si="230"/>
        <x:v>#N/A</x:v>
      </x:c>
      <x:c r="GD62" s="392" t="str">
        <x:f t="shared" si="198"/>
        <x:v/>
      </x:c>
      <x:c r="GE62" s="393" t="str">
        <x:f t="shared" si="199"/>
        <x:v/>
      </x:c>
      <x:c r="GF62" s="343" t="str">
        <x:f t="shared" si="200"/>
        <x:v/>
      </x:c>
      <x:c r="GG62" s="344" t="str">
        <x:f t="shared" si="201"/>
        <x:v/>
      </x:c>
      <x:c r="GH62" s="344" t="str">
        <x:f t="shared" si="202"/>
        <x:v/>
      </x:c>
      <x:c r="GI62" s="345" t="str">
        <x:f t="shared" si="203"/>
        <x:v/>
      </x:c>
      <x:c r="GJ62" s="646">
        <x:f t="shared" ca="1" si="204"/>
        <x:v>0</x:v>
      </x:c>
      <x:c r="GK62" s="1131" t="str">
        <x:f t="shared" ca="1" si="231"/>
        <x:v>A</x:v>
      </x:c>
    </x:row>
    <x:row r="63" spans="1:222" ht="12.6" hidden="1" customHeight="1" x14ac:dyDescent="0.2">
      <x:c r="BZ63" s="360"/>
      <x:c r="CA63" s="434"/>
      <x:c r="CB63" s="435" t="str">
        <x:f t="shared" si="137"/>
        <x:v/>
      </x:c>
      <x:c r="CC63" s="436" t="str">
        <x:f>IF(CG23="","",VLOOKUP(CG23,SectInfo!$B:$N,12,FALSE))</x:f>
        <x:v/>
      </x:c>
      <x:c r="CD63" s="1172" t="str">
        <x:f>IF(ISBLANK(CZ23),IF(CG23="","",VLOOKUP(CG23,SectInfo!$B:$N,13,FALSE)),CZ23)</x:f>
        <x:v/>
      </x:c>
      <x:c r="CE63" s="437" t="str">
        <x:f>IF(CG23="","",IF(VLOOKUP(CG23,SectInfo!$B:$N,5,FALSE)="","R",UPPER(VLOOKUP(CG23,SectInfo!$B:$N,5,FALSE))))</x:f>
        <x:v/>
      </x:c>
      <x:c r="CF63" s="1172" t="str">
        <x:f>IF(ISBLANK(DD23),IF(CG23="","",VLOOKUP(CG23,SectInfo!$B:$N,6,FALSE)),DD23)</x:f>
        <x:v/>
      </x:c>
      <x:c r="CG63" s="437" t="str">
        <x:f>IF(CG23="","",IF(VLOOKUP(CG23,SectInfo!$B:$N,10,FALSE)="","",(VLOOKUP(CG23,SectInfo!$B:$N,10,FALSE)*-1)))</x:f>
        <x:v/>
      </x:c>
      <x:c r="CH63" s="437" t="str">
        <x:f>IF(CG23="","",IF(VLOOKUP(CG23,SectInfo!$B:$N,7,FALSE)="","",(VLOOKUP(CG23,SectInfo!$B:$N,7,FALSE)*-1)))</x:f>
        <x:v/>
      </x:c>
      <x:c r="CI63" s="437" t="str">
        <x:f>IF(CG23="","",IF(VLOOKUP(CG23,SectInfo!$B:$N,8,FALSE)="",$FC$4,(VLOOKUP(CG23,SectInfo!$B:$N,8,FALSE))))</x:f>
        <x:v/>
      </x:c>
      <x:c r="CJ63" s="437" t="str">
        <x:f>IF(CG23="","",VLOOKUP(CG23,SectInfo!$B:$N,9,FALSE))</x:f>
        <x:v/>
      </x:c>
      <x:c r="CK63" s="438">
        <x:f t="shared" si="205"/>
        <x:v>0</x:v>
      </x:c>
      <x:c r="CL63" s="436" t="str">
        <x:f>IF(CN23="","",VLOOKUP(CN23,SectInfo!$B:$N,12,FALSE))</x:f>
        <x:v/>
      </x:c>
      <x:c r="CM63" s="1172" t="str">
        <x:f>IF(ISBLANK(DA23),IF(CN23="","",VLOOKUP(CN23,SectInfo!$B:$N,13,FALSE)),DA23)</x:f>
        <x:v/>
      </x:c>
      <x:c r="CN63" s="437" t="str">
        <x:f>IF(CN23="","",IF(VLOOKUP(CN23,SectInfo!$B:$N,5,FALSE)="","R",UPPER(VLOOKUP(CN23,SectInfo!$B:$N,5,FALSE))))</x:f>
        <x:v/>
      </x:c>
      <x:c r="CO63" s="1172" t="str">
        <x:f>IF(ISBLANK(DE23),IF(CN23="","",VLOOKUP(CN23,SectInfo!$B:$N,6,FALSE)),DE23)</x:f>
        <x:v/>
      </x:c>
      <x:c r="CP63" s="437" t="str">
        <x:f>IF(CN23="","",IF(VLOOKUP(CN23,SectInfo!$B:$N,10,FALSE)="","",(VLOOKUP(CN23,SectInfo!$B:$N,10,FALSE)*-1)))</x:f>
        <x:v/>
      </x:c>
      <x:c r="CQ63" s="437" t="str">
        <x:f>IF(CN23="","",IF(VLOOKUP(CN23,SectInfo!$B:$N,7,FALSE)="","",(VLOOKUP(CN23,SectInfo!$B:$N,7,FALSE)*-1)))</x:f>
        <x:v/>
      </x:c>
      <x:c r="CR63" s="437" t="str">
        <x:f>IF(CN23="","",IF(VLOOKUP(CN23,SectInfo!$B:$N,8,FALSE)="",$FC$4,(VLOOKUP(CN23,SectInfo!$B:$N,8,FALSE))))</x:f>
        <x:v/>
      </x:c>
      <x:c r="CS63" s="437" t="str">
        <x:f>IF(CN23="","",VLOOKUP(CN23,SectInfo!$B:$N,9,FALSE))</x:f>
        <x:v/>
      </x:c>
      <x:c r="CT63" s="438">
        <x:f t="shared" si="206"/>
        <x:v>0</x:v>
      </x:c>
      <x:c r="CU63" s="439">
        <x:f t="shared" si="138"/>
        <x:v>0</x:v>
      </x:c>
      <x:c r="CV63" s="339" t="str">
        <x:f t="shared" si="139"/>
        <x:v/>
      </x:c>
      <x:c r="CW63" s="339" t="str">
        <x:f t="shared" si="140"/>
        <x:v/>
      </x:c>
      <x:c r="CX63" s="339" t="str">
        <x:f t="shared" si="141"/>
        <x:v/>
      </x:c>
      <x:c r="CY63" s="1109">
        <x:f t="shared" si="142"/>
        <x:v>0</x:v>
      </x:c>
      <x:c r="CZ63" s="1109">
        <x:f t="shared" si="143"/>
        <x:v>0</x:v>
      </x:c>
      <x:c r="DA63" s="1109" t="str">
        <x:f t="shared" si="144"/>
        <x:v/>
      </x:c>
      <x:c r="DB63" s="1125" t="str">
        <x:f t="shared" si="207"/>
        <x:v/>
      </x:c>
      <x:c r="DC63" s="1125" t="str">
        <x:f t="shared" si="145"/>
        <x:v/>
      </x:c>
      <x:c r="DD63" s="1110">
        <x:f t="shared" si="208"/>
        <x:v>0</x:v>
      </x:c>
      <x:c r="DE63" s="1108">
        <x:f t="shared" si="209"/>
        <x:v>0</x:v>
      </x:c>
      <x:c r="DF63" s="1109">
        <x:f t="shared" si="146"/>
        <x:v>0</x:v>
      </x:c>
      <x:c r="DG63" s="1109" t="str">
        <x:f t="shared" si="147"/>
        <x:v/>
      </x:c>
      <x:c r="DH63" s="1125" t="str">
        <x:f t="shared" si="210"/>
        <x:v/>
      </x:c>
      <x:c r="DI63" s="1125" t="str">
        <x:f t="shared" si="211"/>
        <x:v/>
      </x:c>
      <x:c r="DJ63" s="1110">
        <x:f t="shared" si="212"/>
        <x:v>0</x:v>
      </x:c>
      <x:c r="DK63" s="1108" t="str">
        <x:f t="shared" si="148"/>
        <x:v/>
      </x:c>
      <x:c r="DL63" s="1108" t="str">
        <x:f t="shared" si="149"/>
        <x:v/>
      </x:c>
      <x:c r="DM63" s="1108" t="str">
        <x:f t="shared" si="150"/>
        <x:v/>
      </x:c>
      <x:c r="DN63" s="1108" t="str">
        <x:f t="shared" si="151"/>
        <x:v/>
      </x:c>
      <x:c r="DO63" s="1125" t="str">
        <x:f t="shared" si="152"/>
        <x:v>ERR</x:v>
      </x:c>
      <x:c r="DP63" s="1125" t="str">
        <x:f t="shared" si="153"/>
        <x:v>ERR</x:v>
      </x:c>
      <x:c r="DQ63" s="1108" t="str">
        <x:f t="shared" si="154"/>
        <x:v/>
      </x:c>
      <x:c r="DR63" s="1108" t="str">
        <x:f t="shared" si="154"/>
        <x:v/>
      </x:c>
      <x:c r="DS63" s="1108" t="str">
        <x:f t="shared" si="155"/>
        <x:v/>
      </x:c>
      <x:c r="DT63" s="1108" t="str">
        <x:f t="shared" si="156"/>
        <x:v/>
      </x:c>
      <x:c r="DU63" s="1108" t="str">
        <x:f t="shared" si="157"/>
        <x:v/>
      </x:c>
      <x:c r="DV63" s="1125" t="str">
        <x:f t="shared" si="158"/>
        <x:v>ERR</x:v>
      </x:c>
      <x:c r="DW63" s="1125" t="str">
        <x:f t="shared" si="159"/>
        <x:v>ERR</x:v>
      </x:c>
      <x:c r="DX63" s="1108" t="str">
        <x:f t="shared" si="160"/>
        <x:v/>
      </x:c>
      <x:c r="DY63" s="1108" t="str">
        <x:f t="shared" si="160"/>
        <x:v/>
      </x:c>
      <x:c r="DZ63" s="1108" t="str">
        <x:f t="shared" si="161"/>
        <x:v/>
      </x:c>
      <x:c r="EA63" s="1108" t="str">
        <x:f t="shared" si="162"/>
        <x:v/>
      </x:c>
      <x:c r="EB63" s="1111" t="str">
        <x:f t="shared" si="163"/>
        <x:v/>
      </x:c>
      <x:c r="EC63" s="1112" t="str">
        <x:f t="shared" si="164"/>
        <x:v/>
      </x:c>
      <x:c r="ED63" s="1111" t="str">
        <x:f t="shared" si="165"/>
        <x:v/>
      </x:c>
      <x:c r="EE63" s="1111" t="str">
        <x:f t="shared" si="166"/>
        <x:v/>
      </x:c>
      <x:c r="EF63" s="1111" t="str">
        <x:f t="shared" si="167"/>
        <x:v/>
      </x:c>
      <x:c r="EG63" s="1111" t="str">
        <x:f t="shared" si="168"/>
        <x:v/>
      </x:c>
      <x:c r="EH63" s="1111" t="str">
        <x:f t="shared" si="169"/>
        <x:v/>
      </x:c>
      <x:c r="EI63" s="1111" t="str">
        <x:f t="shared" si="170"/>
        <x:v/>
      </x:c>
      <x:c r="EJ63" s="1111" t="str">
        <x:f t="shared" si="171"/>
        <x:v/>
      </x:c>
      <x:c r="EK63" s="1109">
        <x:f t="shared" si="172"/>
        <x:v>0</x:v>
      </x:c>
      <x:c r="EL63" s="1109">
        <x:f t="shared" si="173"/>
        <x:v>0</x:v>
      </x:c>
      <x:c r="EM63" s="1109">
        <x:f t="shared" si="174"/>
        <x:v>0</x:v>
      </x:c>
      <x:c r="EN63" s="1109" t="str">
        <x:f t="shared" si="175"/>
        <x:v/>
      </x:c>
      <x:c r="EO63" s="1108" t="str">
        <x:f t="shared" si="176"/>
        <x:v/>
      </x:c>
      <x:c r="EP63" s="1109">
        <x:f t="shared" si="177"/>
        <x:v>0</x:v>
      </x:c>
      <x:c r="EQ63" s="1109">
        <x:f t="shared" si="178"/>
        <x:v>0</x:v>
      </x:c>
      <x:c r="ER63" s="1109">
        <x:f t="shared" si="179"/>
        <x:v>0</x:v>
      </x:c>
      <x:c r="ES63" s="1109" t="str">
        <x:f t="shared" si="180"/>
        <x:v/>
      </x:c>
      <x:c r="ET63" s="1108" t="str">
        <x:f t="shared" si="181"/>
        <x:v/>
      </x:c>
      <x:c r="EU63" s="1108">
        <x:f t="shared" si="182"/>
        <x:v>0</x:v>
      </x:c>
      <x:c r="EV63" s="1111" t="e">
        <x:f t="shared" si="183"/>
        <x:v>#VALUE!</x:v>
      </x:c>
      <x:c r="EW63" s="1111" t="e">
        <x:f t="shared" si="184"/>
        <x:v>#VALUE!</x:v>
      </x:c>
      <x:c r="EX63" s="1113" t="str">
        <x:f t="shared" si="213"/>
        <x:v/>
      </x:c>
      <x:c r="EY63" s="1114">
        <x:f t="shared" si="185"/>
        <x:v>25</x:v>
      </x:c>
      <x:c r="EZ63" s="1219">
        <x:f t="shared" si="186"/>
        <x:v>0</x:v>
      </x:c>
      <x:c r="FA63" s="1220">
        <x:f t="shared" si="187"/>
        <x:v>0</x:v>
      </x:c>
      <x:c r="FB63" s="1115" t="str">
        <x:f t="shared" si="188"/>
        <x:v/>
      </x:c>
      <x:c r="FC63" s="1116" t="str">
        <x:f t="shared" si="189"/>
        <x:v/>
      </x:c>
      <x:c r="FD63" s="1126">
        <x:f t="shared" si="190"/>
        <x:v>0</x:v>
      </x:c>
      <x:c r="FE63" s="1066">
        <x:f t="shared" si="191"/>
        <x:v>0</x:v>
      </x:c>
      <x:c r="FF63" s="969" t="b">
        <x:f t="shared" si="192"/>
        <x:v>0</x:v>
      </x:c>
      <x:c r="FG63" s="969" t="b">
        <x:f t="shared" si="193"/>
        <x:v>0</x:v>
      </x:c>
      <x:c r="FH63" s="969" t="b">
        <x:f t="shared" si="194"/>
        <x:v>0</x:v>
      </x:c>
      <x:c r="FI63" s="969" t="b">
        <x:f t="shared" si="195"/>
        <x:v>0</x:v>
      </x:c>
      <x:c r="FJ63" s="1161" t="str">
        <x:f t="shared" si="214"/>
        <x:v/>
      </x:c>
      <x:c r="FK63" s="1160" t="str">
        <x:f t="shared" si="215"/>
        <x:v/>
      </x:c>
      <x:c r="FL63" s="388" t="e">
        <x:f t="shared" si="216"/>
        <x:v>#N/A</x:v>
      </x:c>
      <x:c r="FM63" s="380" t="str">
        <x:f t="shared" si="196"/>
        <x:v/>
      </x:c>
      <x:c r="FN63" s="337" t="str">
        <x:f t="shared" ca="1" si="217"/>
        <x:v/>
      </x:c>
      <x:c r="FO63" s="338" t="str">
        <x:f t="shared" ca="1" si="218"/>
        <x:v/>
      </x:c>
      <x:c r="FP63" s="339" t="str">
        <x:f t="shared" ca="1" si="219"/>
        <x:v/>
      </x:c>
      <x:c r="FQ63" s="339" t="str">
        <x:f t="shared" ca="1" si="220"/>
        <x:v/>
      </x:c>
      <x:c r="FR63" s="389">
        <x:f t="shared" ca="1" si="221"/>
        <x:v>0</x:v>
      </x:c>
      <x:c r="FS63" s="390">
        <x:f t="shared" ca="1" si="222"/>
        <x:v>0</x:v>
      </x:c>
      <x:c r="FT63" s="337" t="str">
        <x:f t="shared" ca="1" si="223"/>
        <x:v/>
      </x:c>
      <x:c r="FU63" s="340" t="str">
        <x:f t="shared" ca="1" si="224"/>
        <x:v/>
      </x:c>
      <x:c r="FV63" s="391" t="str">
        <x:f t="shared" ca="1" si="197"/>
        <x:v/>
      </x:c>
      <x:c r="FW63" s="341" t="str">
        <x:f t="shared" ca="1" si="225"/>
        <x:v/>
      </x:c>
      <x:c r="FX63" s="341" t="str">
        <x:f t="shared" ca="1" si="226"/>
        <x:v/>
      </x:c>
      <x:c r="FY63" s="341" t="str">
        <x:f t="shared" ca="1" si="227"/>
        <x:v/>
      </x:c>
      <x:c r="FZ63" s="341" t="str">
        <x:f t="shared" ca="1" si="228"/>
        <x:v/>
      </x:c>
      <x:c r="GA63" s="341" t="str">
        <x:f t="shared" ca="1" si="229"/>
        <x:v/>
      </x:c>
      <x:c r="GB63" s="342" t="str">
        <x:f ca="1">IF(FY63="","",2+SUM(FO63:OFFSET(FO63,(FU63-1)*-1,0)))</x:f>
        <x:v/>
      </x:c>
      <x:c r="GC63" s="384" t="e">
        <x:f t="shared" si="230"/>
        <x:v>#N/A</x:v>
      </x:c>
      <x:c r="GD63" s="392" t="str">
        <x:f t="shared" si="198"/>
        <x:v/>
      </x:c>
      <x:c r="GE63" s="393" t="str">
        <x:f t="shared" si="199"/>
        <x:v/>
      </x:c>
      <x:c r="GF63" s="343" t="str">
        <x:f t="shared" si="200"/>
        <x:v/>
      </x:c>
      <x:c r="GG63" s="344" t="str">
        <x:f t="shared" si="201"/>
        <x:v/>
      </x:c>
      <x:c r="GH63" s="344" t="str">
        <x:f t="shared" si="202"/>
        <x:v/>
      </x:c>
      <x:c r="GI63" s="345" t="str">
        <x:f t="shared" si="203"/>
        <x:v/>
      </x:c>
      <x:c r="GJ63" s="646">
        <x:f t="shared" ca="1" si="204"/>
        <x:v>0</x:v>
      </x:c>
      <x:c r="GK63" s="1131" t="str">
        <x:f t="shared" ca="1" si="231"/>
        <x:v/>
      </x:c>
    </x:row>
    <x:row r="64" spans="1:222" ht="12.6" hidden="1" customHeight="1" x14ac:dyDescent="0.2">
      <x:c r="BZ64" s="360"/>
      <x:c r="CA64" s="434"/>
      <x:c r="CB64" s="435" t="str">
        <x:f t="shared" si="137"/>
        <x:v/>
      </x:c>
      <x:c r="CC64" s="436" t="str">
        <x:f>IF(CG24="","",VLOOKUP(CG24,SectInfo!$B:$N,12,FALSE))</x:f>
        <x:v/>
      </x:c>
      <x:c r="CD64" s="1172" t="str">
        <x:f>IF(ISBLANK(CZ24),IF(CG24="","",VLOOKUP(CG24,SectInfo!$B:$N,13,FALSE)),CZ24)</x:f>
        <x:v/>
      </x:c>
      <x:c r="CE64" s="437" t="str">
        <x:f>IF(CG24="","",IF(VLOOKUP(CG24,SectInfo!$B:$N,5,FALSE)="","R",UPPER(VLOOKUP(CG24,SectInfo!$B:$N,5,FALSE))))</x:f>
        <x:v/>
      </x:c>
      <x:c r="CF64" s="1172" t="str">
        <x:f>IF(ISBLANK(DD24),IF(CG24="","",VLOOKUP(CG24,SectInfo!$B:$N,6,FALSE)),DD24)</x:f>
        <x:v/>
      </x:c>
      <x:c r="CG64" s="437" t="str">
        <x:f>IF(CG24="","",IF(VLOOKUP(CG24,SectInfo!$B:$N,10,FALSE)="","",(VLOOKUP(CG24,SectInfo!$B:$N,10,FALSE)*-1)))</x:f>
        <x:v/>
      </x:c>
      <x:c r="CH64" s="437" t="str">
        <x:f>IF(CG24="","",IF(VLOOKUP(CG24,SectInfo!$B:$N,7,FALSE)="","",(VLOOKUP(CG24,SectInfo!$B:$N,7,FALSE)*-1)))</x:f>
        <x:v/>
      </x:c>
      <x:c r="CI64" s="437" t="str">
        <x:f>IF(CG24="","",IF(VLOOKUP(CG24,SectInfo!$B:$N,8,FALSE)="",$FC$4,(VLOOKUP(CG24,SectInfo!$B:$N,8,FALSE))))</x:f>
        <x:v/>
      </x:c>
      <x:c r="CJ64" s="437" t="str">
        <x:f>IF(CG24="","",VLOOKUP(CG24,SectInfo!$B:$N,9,FALSE))</x:f>
        <x:v/>
      </x:c>
      <x:c r="CK64" s="438">
        <x:f t="shared" si="205"/>
        <x:v>0</x:v>
      </x:c>
      <x:c r="CL64" s="436" t="str">
        <x:f>IF(CN24="","",VLOOKUP(CN24,SectInfo!$B:$N,12,FALSE))</x:f>
        <x:v/>
      </x:c>
      <x:c r="CM64" s="1172" t="str">
        <x:f>IF(ISBLANK(DA24),IF(CN24="","",VLOOKUP(CN24,SectInfo!$B:$N,13,FALSE)),DA24)</x:f>
        <x:v/>
      </x:c>
      <x:c r="CN64" s="437" t="str">
        <x:f>IF(CN24="","",IF(VLOOKUP(CN24,SectInfo!$B:$N,5,FALSE)="","R",UPPER(VLOOKUP(CN24,SectInfo!$B:$N,5,FALSE))))</x:f>
        <x:v/>
      </x:c>
      <x:c r="CO64" s="1172" t="str">
        <x:f>IF(ISBLANK(DE24),IF(CN24="","",VLOOKUP(CN24,SectInfo!$B:$N,6,FALSE)),DE24)</x:f>
        <x:v/>
      </x:c>
      <x:c r="CP64" s="437" t="str">
        <x:f>IF(CN24="","",IF(VLOOKUP(CN24,SectInfo!$B:$N,10,FALSE)="","",(VLOOKUP(CN24,SectInfo!$B:$N,10,FALSE)*-1)))</x:f>
        <x:v/>
      </x:c>
      <x:c r="CQ64" s="437" t="str">
        <x:f>IF(CN24="","",IF(VLOOKUP(CN24,SectInfo!$B:$N,7,FALSE)="","",(VLOOKUP(CN24,SectInfo!$B:$N,7,FALSE)*-1)))</x:f>
        <x:v/>
      </x:c>
      <x:c r="CR64" s="437" t="str">
        <x:f>IF(CN24="","",IF(VLOOKUP(CN24,SectInfo!$B:$N,8,FALSE)="",$FC$4,(VLOOKUP(CN24,SectInfo!$B:$N,8,FALSE))))</x:f>
        <x:v/>
      </x:c>
      <x:c r="CS64" s="437" t="str">
        <x:f>IF(CN24="","",VLOOKUP(CN24,SectInfo!$B:$N,9,FALSE))</x:f>
        <x:v/>
      </x:c>
      <x:c r="CT64" s="438">
        <x:f t="shared" si="206"/>
        <x:v>0</x:v>
      </x:c>
      <x:c r="CU64" s="439">
        <x:f t="shared" si="138"/>
        <x:v>0</x:v>
      </x:c>
      <x:c r="CV64" s="339" t="str">
        <x:f t="shared" si="139"/>
        <x:v/>
      </x:c>
      <x:c r="CW64" s="339" t="str">
        <x:f t="shared" si="140"/>
        <x:v/>
      </x:c>
      <x:c r="CX64" s="339" t="str">
        <x:f t="shared" si="141"/>
        <x:v/>
      </x:c>
      <x:c r="CY64" s="1109">
        <x:f t="shared" si="142"/>
        <x:v>0</x:v>
      </x:c>
      <x:c r="CZ64" s="1109">
        <x:f t="shared" si="143"/>
        <x:v>0</x:v>
      </x:c>
      <x:c r="DA64" s="1109" t="str">
        <x:f t="shared" si="144"/>
        <x:v/>
      </x:c>
      <x:c r="DB64" s="1125" t="str">
        <x:f t="shared" si="207"/>
        <x:v/>
      </x:c>
      <x:c r="DC64" s="1125" t="str">
        <x:f t="shared" si="145"/>
        <x:v/>
      </x:c>
      <x:c r="DD64" s="1110">
        <x:f t="shared" si="208"/>
        <x:v>0</x:v>
      </x:c>
      <x:c r="DE64" s="1108">
        <x:f t="shared" si="209"/>
        <x:v>0</x:v>
      </x:c>
      <x:c r="DF64" s="1109">
        <x:f t="shared" si="146"/>
        <x:v>0</x:v>
      </x:c>
      <x:c r="DG64" s="1109" t="str">
        <x:f t="shared" si="147"/>
        <x:v/>
      </x:c>
      <x:c r="DH64" s="1125" t="str">
        <x:f t="shared" si="210"/>
        <x:v/>
      </x:c>
      <x:c r="DI64" s="1125" t="str">
        <x:f t="shared" si="211"/>
        <x:v/>
      </x:c>
      <x:c r="DJ64" s="1110">
        <x:f t="shared" si="212"/>
        <x:v>0</x:v>
      </x:c>
      <x:c r="DK64" s="1108" t="str">
        <x:f t="shared" si="148"/>
        <x:v/>
      </x:c>
      <x:c r="DL64" s="1108" t="str">
        <x:f t="shared" si="149"/>
        <x:v/>
      </x:c>
      <x:c r="DM64" s="1108" t="str">
        <x:f t="shared" si="150"/>
        <x:v/>
      </x:c>
      <x:c r="DN64" s="1108" t="str">
        <x:f t="shared" si="151"/>
        <x:v/>
      </x:c>
      <x:c r="DO64" s="1125" t="str">
        <x:f t="shared" si="152"/>
        <x:v>ERR</x:v>
      </x:c>
      <x:c r="DP64" s="1125" t="str">
        <x:f t="shared" si="153"/>
        <x:v>ERR</x:v>
      </x:c>
      <x:c r="DQ64" s="1108" t="str">
        <x:f t="shared" si="154"/>
        <x:v/>
      </x:c>
      <x:c r="DR64" s="1108" t="str">
        <x:f t="shared" si="154"/>
        <x:v/>
      </x:c>
      <x:c r="DS64" s="1108" t="str">
        <x:f t="shared" si="155"/>
        <x:v/>
      </x:c>
      <x:c r="DT64" s="1108" t="str">
        <x:f t="shared" si="156"/>
        <x:v/>
      </x:c>
      <x:c r="DU64" s="1108" t="str">
        <x:f t="shared" si="157"/>
        <x:v/>
      </x:c>
      <x:c r="DV64" s="1125" t="str">
        <x:f t="shared" si="158"/>
        <x:v>ERR</x:v>
      </x:c>
      <x:c r="DW64" s="1125" t="str">
        <x:f t="shared" si="159"/>
        <x:v>ERR</x:v>
      </x:c>
      <x:c r="DX64" s="1108" t="str">
        <x:f t="shared" si="160"/>
        <x:v/>
      </x:c>
      <x:c r="DY64" s="1108" t="str">
        <x:f t="shared" si="160"/>
        <x:v/>
      </x:c>
      <x:c r="DZ64" s="1108" t="str">
        <x:f t="shared" si="161"/>
        <x:v/>
      </x:c>
      <x:c r="EA64" s="1108" t="str">
        <x:f t="shared" si="162"/>
        <x:v/>
      </x:c>
      <x:c r="EB64" s="1111" t="str">
        <x:f t="shared" si="163"/>
        <x:v/>
      </x:c>
      <x:c r="EC64" s="1112" t="str">
        <x:f t="shared" si="164"/>
        <x:v/>
      </x:c>
      <x:c r="ED64" s="1111" t="str">
        <x:f t="shared" si="165"/>
        <x:v/>
      </x:c>
      <x:c r="EE64" s="1111" t="str">
        <x:f t="shared" si="166"/>
        <x:v/>
      </x:c>
      <x:c r="EF64" s="1111" t="str">
        <x:f t="shared" si="167"/>
        <x:v/>
      </x:c>
      <x:c r="EG64" s="1111" t="str">
        <x:f t="shared" si="168"/>
        <x:v/>
      </x:c>
      <x:c r="EH64" s="1111" t="str">
        <x:f t="shared" si="169"/>
        <x:v/>
      </x:c>
      <x:c r="EI64" s="1111" t="str">
        <x:f t="shared" si="170"/>
        <x:v/>
      </x:c>
      <x:c r="EJ64" s="1111" t="str">
        <x:f t="shared" si="171"/>
        <x:v/>
      </x:c>
      <x:c r="EK64" s="1109">
        <x:f t="shared" si="172"/>
        <x:v>0</x:v>
      </x:c>
      <x:c r="EL64" s="1109">
        <x:f t="shared" si="173"/>
        <x:v>0</x:v>
      </x:c>
      <x:c r="EM64" s="1109">
        <x:f t="shared" si="174"/>
        <x:v>0</x:v>
      </x:c>
      <x:c r="EN64" s="1109" t="str">
        <x:f t="shared" si="175"/>
        <x:v/>
      </x:c>
      <x:c r="EO64" s="1108" t="str">
        <x:f t="shared" si="176"/>
        <x:v/>
      </x:c>
      <x:c r="EP64" s="1109">
        <x:f t="shared" si="177"/>
        <x:v>0</x:v>
      </x:c>
      <x:c r="EQ64" s="1109">
        <x:f t="shared" si="178"/>
        <x:v>0</x:v>
      </x:c>
      <x:c r="ER64" s="1109">
        <x:f t="shared" si="179"/>
        <x:v>0</x:v>
      </x:c>
      <x:c r="ES64" s="1109" t="str">
        <x:f t="shared" si="180"/>
        <x:v/>
      </x:c>
      <x:c r="ET64" s="1108" t="str">
        <x:f t="shared" si="181"/>
        <x:v/>
      </x:c>
      <x:c r="EU64" s="1108">
        <x:f t="shared" si="182"/>
        <x:v>0</x:v>
      </x:c>
      <x:c r="EV64" s="1111" t="e">
        <x:f t="shared" si="183"/>
        <x:v>#VALUE!</x:v>
      </x:c>
      <x:c r="EW64" s="1111" t="e">
        <x:f t="shared" si="184"/>
        <x:v>#VALUE!</x:v>
      </x:c>
      <x:c r="EX64" s="1113" t="str">
        <x:f t="shared" si="213"/>
        <x:v/>
      </x:c>
      <x:c r="EY64" s="1114">
        <x:f t="shared" si="185"/>
        <x:v>25</x:v>
      </x:c>
      <x:c r="EZ64" s="1219">
        <x:f t="shared" si="186"/>
        <x:v>0</x:v>
      </x:c>
      <x:c r="FA64" s="1220">
        <x:f t="shared" si="187"/>
        <x:v>0</x:v>
      </x:c>
      <x:c r="FB64" s="1115" t="str">
        <x:f t="shared" si="188"/>
        <x:v/>
      </x:c>
      <x:c r="FC64" s="1116" t="str">
        <x:f t="shared" si="189"/>
        <x:v/>
      </x:c>
      <x:c r="FD64" s="1126">
        <x:f t="shared" si="190"/>
        <x:v>0</x:v>
      </x:c>
      <x:c r="FE64" s="1066">
        <x:f t="shared" si="191"/>
        <x:v>0</x:v>
      </x:c>
      <x:c r="FF64" s="969" t="b">
        <x:f t="shared" si="192"/>
        <x:v>0</x:v>
      </x:c>
      <x:c r="FG64" s="969" t="b">
        <x:f t="shared" si="193"/>
        <x:v>0</x:v>
      </x:c>
      <x:c r="FH64" s="969" t="b">
        <x:f t="shared" si="194"/>
        <x:v>0</x:v>
      </x:c>
      <x:c r="FI64" s="969" t="b">
        <x:f t="shared" si="195"/>
        <x:v>0</x:v>
      </x:c>
      <x:c r="FJ64" s="1161" t="str">
        <x:f t="shared" si="214"/>
        <x:v/>
      </x:c>
      <x:c r="FK64" s="1160" t="str">
        <x:f t="shared" si="215"/>
        <x:v/>
      </x:c>
      <x:c r="FL64" s="388" t="e">
        <x:f t="shared" si="216"/>
        <x:v>#N/A</x:v>
      </x:c>
      <x:c r="FM64" s="380" t="str">
        <x:f t="shared" si="196"/>
        <x:v/>
      </x:c>
      <x:c r="FN64" s="337" t="str">
        <x:f t="shared" ca="1" si="217"/>
        <x:v/>
      </x:c>
      <x:c r="FO64" s="338" t="str">
        <x:f t="shared" ca="1" si="218"/>
        <x:v/>
      </x:c>
      <x:c r="FP64" s="339" t="str">
        <x:f t="shared" ca="1" si="219"/>
        <x:v/>
      </x:c>
      <x:c r="FQ64" s="339" t="str">
        <x:f t="shared" ca="1" si="220"/>
        <x:v/>
      </x:c>
      <x:c r="FR64" s="389">
        <x:f t="shared" ca="1" si="221"/>
        <x:v>0</x:v>
      </x:c>
      <x:c r="FS64" s="390">
        <x:f t="shared" ca="1" si="222"/>
        <x:v>0</x:v>
      </x:c>
      <x:c r="FT64" s="337" t="str">
        <x:f t="shared" ca="1" si="223"/>
        <x:v/>
      </x:c>
      <x:c r="FU64" s="340" t="str">
        <x:f t="shared" ca="1" si="224"/>
        <x:v/>
      </x:c>
      <x:c r="FV64" s="391" t="str">
        <x:f t="shared" ca="1" si="197"/>
        <x:v/>
      </x:c>
      <x:c r="FW64" s="341" t="str">
        <x:f t="shared" ca="1" si="225"/>
        <x:v/>
      </x:c>
      <x:c r="FX64" s="341" t="str">
        <x:f t="shared" ca="1" si="226"/>
        <x:v/>
      </x:c>
      <x:c r="FY64" s="341" t="str">
        <x:f t="shared" ca="1" si="227"/>
        <x:v/>
      </x:c>
      <x:c r="FZ64" s="341" t="str">
        <x:f t="shared" ca="1" si="228"/>
        <x:v/>
      </x:c>
      <x:c r="GA64" s="341" t="str">
        <x:f t="shared" ca="1" si="229"/>
        <x:v/>
      </x:c>
      <x:c r="GB64" s="342" t="str">
        <x:f ca="1">IF(FY64="","",2+SUM(FO64:OFFSET(FO64,(FU64-1)*-1,0)))</x:f>
        <x:v/>
      </x:c>
      <x:c r="GC64" s="384" t="e">
        <x:f t="shared" si="230"/>
        <x:v>#N/A</x:v>
      </x:c>
      <x:c r="GD64" s="392" t="str">
        <x:f t="shared" si="198"/>
        <x:v/>
      </x:c>
      <x:c r="GE64" s="393" t="str">
        <x:f t="shared" si="199"/>
        <x:v/>
      </x:c>
      <x:c r="GF64" s="343" t="str">
        <x:f t="shared" si="200"/>
        <x:v/>
      </x:c>
      <x:c r="GG64" s="344" t="str">
        <x:f t="shared" si="201"/>
        <x:v/>
      </x:c>
      <x:c r="GH64" s="344" t="str">
        <x:f t="shared" si="202"/>
        <x:v/>
      </x:c>
      <x:c r="GI64" s="345" t="str">
        <x:f t="shared" si="203"/>
        <x:v/>
      </x:c>
      <x:c r="GJ64" s="646">
        <x:f t="shared" ca="1" si="204"/>
        <x:v>0</x:v>
      </x:c>
      <x:c r="GK64" s="1131" t="str">
        <x:f t="shared" si="231"/>
        <x:v/>
      </x:c>
    </x:row>
    <x:row r="65" spans="78:193" ht="12.6" hidden="1" customHeight="1" x14ac:dyDescent="0.2">
      <x:c r="BZ65" s="360"/>
      <x:c r="CA65" s="434"/>
      <x:c r="CB65" s="435" t="str">
        <x:f t="shared" si="137"/>
        <x:v/>
      </x:c>
      <x:c r="CC65" s="436" t="str">
        <x:f>IF(CG25="","",VLOOKUP(CG25,SectInfo!$B:$N,12,FALSE))</x:f>
        <x:v/>
      </x:c>
      <x:c r="CD65" s="1172" t="str">
        <x:f>IF(ISBLANK(CZ25),IF(CG25="","",VLOOKUP(CG25,SectInfo!$B:$N,13,FALSE)),CZ25)</x:f>
        <x:v/>
      </x:c>
      <x:c r="CE65" s="437" t="str">
        <x:f>IF(CG25="","",IF(VLOOKUP(CG25,SectInfo!$B:$N,5,FALSE)="","R",UPPER(VLOOKUP(CG25,SectInfo!$B:$N,5,FALSE))))</x:f>
        <x:v/>
      </x:c>
      <x:c r="CF65" s="1172" t="str">
        <x:f>IF(ISBLANK(DD25),IF(CG25="","",VLOOKUP(CG25,SectInfo!$B:$N,6,FALSE)),DD25)</x:f>
        <x:v/>
      </x:c>
      <x:c r="CG65" s="437" t="str">
        <x:f>IF(CG25="","",IF(VLOOKUP(CG25,SectInfo!$B:$N,10,FALSE)="","",(VLOOKUP(CG25,SectInfo!$B:$N,10,FALSE)*-1)))</x:f>
        <x:v/>
      </x:c>
      <x:c r="CH65" s="437" t="str">
        <x:f>IF(CG25="","",IF(VLOOKUP(CG25,SectInfo!$B:$N,7,FALSE)="","",(VLOOKUP(CG25,SectInfo!$B:$N,7,FALSE)*-1)))</x:f>
        <x:v/>
      </x:c>
      <x:c r="CI65" s="437" t="str">
        <x:f>IF(CG25="","",IF(VLOOKUP(CG25,SectInfo!$B:$N,8,FALSE)="",$FC$4,(VLOOKUP(CG25,SectInfo!$B:$N,8,FALSE))))</x:f>
        <x:v/>
      </x:c>
      <x:c r="CJ65" s="437" t="str">
        <x:f>IF(CG25="","",VLOOKUP(CG25,SectInfo!$B:$N,9,FALSE))</x:f>
        <x:v/>
      </x:c>
      <x:c r="CK65" s="438">
        <x:f t="shared" si="205"/>
        <x:v>0</x:v>
      </x:c>
      <x:c r="CL65" s="436" t="str">
        <x:f>IF(CN25="","",VLOOKUP(CN25,SectInfo!$B:$N,12,FALSE))</x:f>
        <x:v/>
      </x:c>
      <x:c r="CM65" s="1172" t="str">
        <x:f>IF(ISBLANK(DA25),IF(CN25="","",VLOOKUP(CN25,SectInfo!$B:$N,13,FALSE)),DA25)</x:f>
        <x:v/>
      </x:c>
      <x:c r="CN65" s="437" t="str">
        <x:f>IF(CN25="","",IF(VLOOKUP(CN25,SectInfo!$B:$N,5,FALSE)="","R",UPPER(VLOOKUP(CN25,SectInfo!$B:$N,5,FALSE))))</x:f>
        <x:v/>
      </x:c>
      <x:c r="CO65" s="1172" t="str">
        <x:f>IF(ISBLANK(DE25),IF(CN25="","",VLOOKUP(CN25,SectInfo!$B:$N,6,FALSE)),DE25)</x:f>
        <x:v/>
      </x:c>
      <x:c r="CP65" s="437" t="str">
        <x:f>IF(CN25="","",IF(VLOOKUP(CN25,SectInfo!$B:$N,10,FALSE)="","",(VLOOKUP(CN25,SectInfo!$B:$N,10,FALSE)*-1)))</x:f>
        <x:v/>
      </x:c>
      <x:c r="CQ65" s="437" t="str">
        <x:f>IF(CN25="","",IF(VLOOKUP(CN25,SectInfo!$B:$N,7,FALSE)="","",(VLOOKUP(CN25,SectInfo!$B:$N,7,FALSE)*-1)))</x:f>
        <x:v/>
      </x:c>
      <x:c r="CR65" s="437" t="str">
        <x:f>IF(CN25="","",IF(VLOOKUP(CN25,SectInfo!$B:$N,8,FALSE)="",$FC$4,(VLOOKUP(CN25,SectInfo!$B:$N,8,FALSE))))</x:f>
        <x:v/>
      </x:c>
      <x:c r="CS65" s="437" t="str">
        <x:f>IF(CN25="","",VLOOKUP(CN25,SectInfo!$B:$N,9,FALSE))</x:f>
        <x:v/>
      </x:c>
      <x:c r="CT65" s="438">
        <x:f t="shared" si="206"/>
        <x:v>0</x:v>
      </x:c>
      <x:c r="CU65" s="439">
        <x:f t="shared" si="138"/>
        <x:v>0</x:v>
      </x:c>
      <x:c r="CV65" s="339" t="str">
        <x:f t="shared" si="139"/>
        <x:v/>
      </x:c>
      <x:c r="CW65" s="339" t="str">
        <x:f t="shared" si="140"/>
        <x:v/>
      </x:c>
      <x:c r="CX65" s="339" t="str">
        <x:f t="shared" si="141"/>
        <x:v/>
      </x:c>
      <x:c r="CY65" s="1109">
        <x:f t="shared" si="142"/>
        <x:v>0</x:v>
      </x:c>
      <x:c r="CZ65" s="1109">
        <x:f t="shared" si="143"/>
        <x:v>0</x:v>
      </x:c>
      <x:c r="DA65" s="1109" t="str">
        <x:f t="shared" si="144"/>
        <x:v/>
      </x:c>
      <x:c r="DB65" s="1125" t="str">
        <x:f t="shared" si="207"/>
        <x:v/>
      </x:c>
      <x:c r="DC65" s="1125" t="str">
        <x:f t="shared" si="145"/>
        <x:v/>
      </x:c>
      <x:c r="DD65" s="1110">
        <x:f t="shared" si="208"/>
        <x:v>0</x:v>
      </x:c>
      <x:c r="DE65" s="1108">
        <x:f t="shared" si="209"/>
        <x:v>0</x:v>
      </x:c>
      <x:c r="DF65" s="1109">
        <x:f t="shared" si="146"/>
        <x:v>0</x:v>
      </x:c>
      <x:c r="DG65" s="1109" t="str">
        <x:f t="shared" si="147"/>
        <x:v/>
      </x:c>
      <x:c r="DH65" s="1125" t="str">
        <x:f t="shared" si="210"/>
        <x:v/>
      </x:c>
      <x:c r="DI65" s="1125" t="str">
        <x:f t="shared" si="211"/>
        <x:v/>
      </x:c>
      <x:c r="DJ65" s="1110">
        <x:f t="shared" si="212"/>
        <x:v>0</x:v>
      </x:c>
      <x:c r="DK65" s="1108" t="str">
        <x:f t="shared" si="148"/>
        <x:v/>
      </x:c>
      <x:c r="DL65" s="1108" t="str">
        <x:f t="shared" si="149"/>
        <x:v/>
      </x:c>
      <x:c r="DM65" s="1108" t="str">
        <x:f t="shared" si="150"/>
        <x:v/>
      </x:c>
      <x:c r="DN65" s="1108" t="str">
        <x:f t="shared" si="151"/>
        <x:v/>
      </x:c>
      <x:c r="DO65" s="1125" t="str">
        <x:f t="shared" si="152"/>
        <x:v>ERR</x:v>
      </x:c>
      <x:c r="DP65" s="1125" t="str">
        <x:f t="shared" si="153"/>
        <x:v>ERR</x:v>
      </x:c>
      <x:c r="DQ65" s="1108" t="str">
        <x:f t="shared" si="154"/>
        <x:v/>
      </x:c>
      <x:c r="DR65" s="1108" t="str">
        <x:f t="shared" si="154"/>
        <x:v/>
      </x:c>
      <x:c r="DS65" s="1108" t="str">
        <x:f t="shared" si="155"/>
        <x:v/>
      </x:c>
      <x:c r="DT65" s="1108" t="str">
        <x:f t="shared" si="156"/>
        <x:v/>
      </x:c>
      <x:c r="DU65" s="1108" t="str">
        <x:f t="shared" si="157"/>
        <x:v/>
      </x:c>
      <x:c r="DV65" s="1125" t="str">
        <x:f t="shared" si="158"/>
        <x:v>ERR</x:v>
      </x:c>
      <x:c r="DW65" s="1125" t="str">
        <x:f t="shared" si="159"/>
        <x:v>ERR</x:v>
      </x:c>
      <x:c r="DX65" s="1108" t="str">
        <x:f t="shared" si="160"/>
        <x:v/>
      </x:c>
      <x:c r="DY65" s="1108" t="str">
        <x:f t="shared" si="160"/>
        <x:v/>
      </x:c>
      <x:c r="DZ65" s="1108" t="str">
        <x:f t="shared" si="161"/>
        <x:v/>
      </x:c>
      <x:c r="EA65" s="1108" t="str">
        <x:f t="shared" si="162"/>
        <x:v/>
      </x:c>
      <x:c r="EB65" s="1111" t="str">
        <x:f t="shared" si="163"/>
        <x:v/>
      </x:c>
      <x:c r="EC65" s="1112" t="str">
        <x:f t="shared" si="164"/>
        <x:v/>
      </x:c>
      <x:c r="ED65" s="1111" t="str">
        <x:f t="shared" si="165"/>
        <x:v/>
      </x:c>
      <x:c r="EE65" s="1111" t="str">
        <x:f t="shared" si="166"/>
        <x:v/>
      </x:c>
      <x:c r="EF65" s="1111" t="str">
        <x:f t="shared" si="167"/>
        <x:v/>
      </x:c>
      <x:c r="EG65" s="1111" t="str">
        <x:f t="shared" si="168"/>
        <x:v/>
      </x:c>
      <x:c r="EH65" s="1111" t="str">
        <x:f t="shared" si="169"/>
        <x:v/>
      </x:c>
      <x:c r="EI65" s="1111" t="str">
        <x:f t="shared" si="170"/>
        <x:v/>
      </x:c>
      <x:c r="EJ65" s="1111" t="str">
        <x:f t="shared" si="171"/>
        <x:v/>
      </x:c>
      <x:c r="EK65" s="1109">
        <x:f t="shared" si="172"/>
        <x:v>0</x:v>
      </x:c>
      <x:c r="EL65" s="1109">
        <x:f t="shared" si="173"/>
        <x:v>0</x:v>
      </x:c>
      <x:c r="EM65" s="1109">
        <x:f t="shared" si="174"/>
        <x:v>0</x:v>
      </x:c>
      <x:c r="EN65" s="1109" t="str">
        <x:f t="shared" si="175"/>
        <x:v/>
      </x:c>
      <x:c r="EO65" s="1108" t="str">
        <x:f t="shared" si="176"/>
        <x:v/>
      </x:c>
      <x:c r="EP65" s="1109">
        <x:f t="shared" si="177"/>
        <x:v>0</x:v>
      </x:c>
      <x:c r="EQ65" s="1109">
        <x:f t="shared" si="178"/>
        <x:v>0</x:v>
      </x:c>
      <x:c r="ER65" s="1109">
        <x:f t="shared" si="179"/>
        <x:v>0</x:v>
      </x:c>
      <x:c r="ES65" s="1109" t="str">
        <x:f t="shared" si="180"/>
        <x:v/>
      </x:c>
      <x:c r="ET65" s="1108" t="str">
        <x:f t="shared" si="181"/>
        <x:v/>
      </x:c>
      <x:c r="EU65" s="1108">
        <x:f t="shared" si="182"/>
        <x:v>0</x:v>
      </x:c>
      <x:c r="EV65" s="1111" t="e">
        <x:f t="shared" si="183"/>
        <x:v>#VALUE!</x:v>
      </x:c>
      <x:c r="EW65" s="1111" t="e">
        <x:f t="shared" si="184"/>
        <x:v>#VALUE!</x:v>
      </x:c>
      <x:c r="EX65" s="1113" t="str">
        <x:f t="shared" si="213"/>
        <x:v/>
      </x:c>
      <x:c r="EY65" s="1114">
        <x:f t="shared" si="185"/>
        <x:v>25</x:v>
      </x:c>
      <x:c r="EZ65" s="1219">
        <x:f t="shared" si="186"/>
        <x:v>0</x:v>
      </x:c>
      <x:c r="FA65" s="1220">
        <x:f t="shared" si="187"/>
        <x:v>0</x:v>
      </x:c>
      <x:c r="FB65" s="1115" t="str">
        <x:f t="shared" si="188"/>
        <x:v/>
      </x:c>
      <x:c r="FC65" s="1116" t="str">
        <x:f t="shared" si="189"/>
        <x:v/>
      </x:c>
      <x:c r="FD65" s="1126">
        <x:f t="shared" si="190"/>
        <x:v>0</x:v>
      </x:c>
      <x:c r="FE65" s="1066">
        <x:f t="shared" si="191"/>
        <x:v>0</x:v>
      </x:c>
      <x:c r="FF65" s="969" t="b">
        <x:f t="shared" si="192"/>
        <x:v>0</x:v>
      </x:c>
      <x:c r="FG65" s="969" t="b">
        <x:f t="shared" si="193"/>
        <x:v>0</x:v>
      </x:c>
      <x:c r="FH65" s="969" t="b">
        <x:f t="shared" si="194"/>
        <x:v>0</x:v>
      </x:c>
      <x:c r="FI65" s="969" t="b">
        <x:f t="shared" si="195"/>
        <x:v>0</x:v>
      </x:c>
      <x:c r="FJ65" s="1161" t="str">
        <x:f t="shared" si="214"/>
        <x:v/>
      </x:c>
      <x:c r="FK65" s="1160" t="str">
        <x:f t="shared" si="215"/>
        <x:v/>
      </x:c>
      <x:c r="FL65" s="388" t="e">
        <x:f t="shared" si="216"/>
        <x:v>#N/A</x:v>
      </x:c>
      <x:c r="FM65" s="380" t="str">
        <x:f t="shared" si="196"/>
        <x:v/>
      </x:c>
      <x:c r="FN65" s="337" t="str">
        <x:f t="shared" ca="1" si="217"/>
        <x:v/>
      </x:c>
      <x:c r="FO65" s="338" t="str">
        <x:f t="shared" ca="1" si="218"/>
        <x:v/>
      </x:c>
      <x:c r="FP65" s="339" t="str">
        <x:f t="shared" ca="1" si="219"/>
        <x:v/>
      </x:c>
      <x:c r="FQ65" s="339" t="str">
        <x:f t="shared" ca="1" si="220"/>
        <x:v/>
      </x:c>
      <x:c r="FR65" s="389">
        <x:f t="shared" ca="1" si="221"/>
        <x:v>0</x:v>
      </x:c>
      <x:c r="FS65" s="390">
        <x:f t="shared" ca="1" si="222"/>
        <x:v>0</x:v>
      </x:c>
      <x:c r="FT65" s="337" t="str">
        <x:f t="shared" ca="1" si="223"/>
        <x:v/>
      </x:c>
      <x:c r="FU65" s="340" t="str">
        <x:f t="shared" ca="1" si="224"/>
        <x:v/>
      </x:c>
      <x:c r="FV65" s="391" t="str">
        <x:f t="shared" ca="1" si="197"/>
        <x:v/>
      </x:c>
      <x:c r="FW65" s="341" t="str">
        <x:f t="shared" ca="1" si="225"/>
        <x:v/>
      </x:c>
      <x:c r="FX65" s="341" t="str">
        <x:f t="shared" ca="1" si="226"/>
        <x:v/>
      </x:c>
      <x:c r="FY65" s="341" t="str">
        <x:f t="shared" ca="1" si="227"/>
        <x:v/>
      </x:c>
      <x:c r="FZ65" s="341" t="str">
        <x:f t="shared" ca="1" si="228"/>
        <x:v/>
      </x:c>
      <x:c r="GA65" s="341" t="str">
        <x:f t="shared" ca="1" si="229"/>
        <x:v/>
      </x:c>
      <x:c r="GB65" s="342" t="str">
        <x:f ca="1">IF(FY65="","",2+SUM(FO65:OFFSET(FO65,(FU65-1)*-1,0)))</x:f>
        <x:v/>
      </x:c>
      <x:c r="GC65" s="384" t="e">
        <x:f t="shared" si="230"/>
        <x:v>#N/A</x:v>
      </x:c>
      <x:c r="GD65" s="392" t="str">
        <x:f t="shared" si="198"/>
        <x:v/>
      </x:c>
      <x:c r="GE65" s="393" t="str">
        <x:f t="shared" si="199"/>
        <x:v/>
      </x:c>
      <x:c r="GF65" s="343" t="str">
        <x:f t="shared" si="200"/>
        <x:v/>
      </x:c>
      <x:c r="GG65" s="344" t="str">
        <x:f t="shared" si="201"/>
        <x:v/>
      </x:c>
      <x:c r="GH65" s="344" t="str">
        <x:f t="shared" si="202"/>
        <x:v/>
      </x:c>
      <x:c r="GI65" s="345" t="str">
        <x:f t="shared" si="203"/>
        <x:v/>
      </x:c>
      <x:c r="GJ65" s="646">
        <x:f t="shared" ca="1" si="204"/>
        <x:v>0</x:v>
      </x:c>
      <x:c r="GK65" s="1131" t="str">
        <x:f t="shared" ca="1" si="231"/>
        <x:v>B</x:v>
      </x:c>
    </x:row>
    <x:row r="66" spans="78:193" ht="12.6" hidden="1" customHeight="1" x14ac:dyDescent="0.2">
      <x:c r="BZ66" s="360"/>
      <x:c r="CA66" s="434"/>
      <x:c r="CB66" s="435" t="str">
        <x:f t="shared" si="137"/>
        <x:v/>
      </x:c>
      <x:c r="CC66" s="436" t="str">
        <x:f>IF(CG26="","",VLOOKUP(CG26,SectInfo!$B:$N,12,FALSE))</x:f>
        <x:v/>
      </x:c>
      <x:c r="CD66" s="1172" t="str">
        <x:f>IF(ISBLANK(CZ26),IF(CG26="","",VLOOKUP(CG26,SectInfo!$B:$N,13,FALSE)),CZ26)</x:f>
        <x:v/>
      </x:c>
      <x:c r="CE66" s="437" t="str">
        <x:f>IF(CG26="","",IF(VLOOKUP(CG26,SectInfo!$B:$N,5,FALSE)="","R",UPPER(VLOOKUP(CG26,SectInfo!$B:$N,5,FALSE))))</x:f>
        <x:v/>
      </x:c>
      <x:c r="CF66" s="1172" t="str">
        <x:f>IF(ISBLANK(DD26),IF(CG26="","",VLOOKUP(CG26,SectInfo!$B:$N,6,FALSE)),DD26)</x:f>
        <x:v/>
      </x:c>
      <x:c r="CG66" s="437" t="str">
        <x:f>IF(CG26="","",IF(VLOOKUP(CG26,SectInfo!$B:$N,10,FALSE)="","",(VLOOKUP(CG26,SectInfo!$B:$N,10,FALSE)*-1)))</x:f>
        <x:v/>
      </x:c>
      <x:c r="CH66" s="437" t="str">
        <x:f>IF(CG26="","",IF(VLOOKUP(CG26,SectInfo!$B:$N,7,FALSE)="","",(VLOOKUP(CG26,SectInfo!$B:$N,7,FALSE)*-1)))</x:f>
        <x:v/>
      </x:c>
      <x:c r="CI66" s="437" t="str">
        <x:f>IF(CG26="","",IF(VLOOKUP(CG26,SectInfo!$B:$N,8,FALSE)="",$FC$4,(VLOOKUP(CG26,SectInfo!$B:$N,8,FALSE))))</x:f>
        <x:v/>
      </x:c>
      <x:c r="CJ66" s="437" t="str">
        <x:f>IF(CG26="","",VLOOKUP(CG26,SectInfo!$B:$N,9,FALSE))</x:f>
        <x:v/>
      </x:c>
      <x:c r="CK66" s="438">
        <x:f t="shared" si="205"/>
        <x:v>0</x:v>
      </x:c>
      <x:c r="CL66" s="436" t="str">
        <x:f>IF(CN26="","",VLOOKUP(CN26,SectInfo!$B:$N,12,FALSE))</x:f>
        <x:v/>
      </x:c>
      <x:c r="CM66" s="1172" t="str">
        <x:f>IF(ISBLANK(DA26),IF(CN26="","",VLOOKUP(CN26,SectInfo!$B:$N,13,FALSE)),DA26)</x:f>
        <x:v/>
      </x:c>
      <x:c r="CN66" s="437" t="str">
        <x:f>IF(CN26="","",IF(VLOOKUP(CN26,SectInfo!$B:$N,5,FALSE)="","R",UPPER(VLOOKUP(CN26,SectInfo!$B:$N,5,FALSE))))</x:f>
        <x:v/>
      </x:c>
      <x:c r="CO66" s="1172" t="str">
        <x:f>IF(ISBLANK(DE26),IF(CN26="","",VLOOKUP(CN26,SectInfo!$B:$N,6,FALSE)),DE26)</x:f>
        <x:v/>
      </x:c>
      <x:c r="CP66" s="437" t="str">
        <x:f>IF(CN26="","",IF(VLOOKUP(CN26,SectInfo!$B:$N,10,FALSE)="","",(VLOOKUP(CN26,SectInfo!$B:$N,10,FALSE)*-1)))</x:f>
        <x:v/>
      </x:c>
      <x:c r="CQ66" s="437" t="str">
        <x:f>IF(CN26="","",IF(VLOOKUP(CN26,SectInfo!$B:$N,7,FALSE)="","",(VLOOKUP(CN26,SectInfo!$B:$N,7,FALSE)*-1)))</x:f>
        <x:v/>
      </x:c>
      <x:c r="CR66" s="437" t="str">
        <x:f>IF(CN26="","",IF(VLOOKUP(CN26,SectInfo!$B:$N,8,FALSE)="",$FC$4,(VLOOKUP(CN26,SectInfo!$B:$N,8,FALSE))))</x:f>
        <x:v/>
      </x:c>
      <x:c r="CS66" s="437" t="str">
        <x:f>IF(CN26="","",VLOOKUP(CN26,SectInfo!$B:$N,9,FALSE))</x:f>
        <x:v/>
      </x:c>
      <x:c r="CT66" s="438">
        <x:f t="shared" si="206"/>
        <x:v>0</x:v>
      </x:c>
      <x:c r="CU66" s="439">
        <x:f t="shared" si="138"/>
        <x:v>0</x:v>
      </x:c>
      <x:c r="CV66" s="339" t="str">
        <x:f t="shared" si="139"/>
        <x:v/>
      </x:c>
      <x:c r="CW66" s="339" t="str">
        <x:f t="shared" si="140"/>
        <x:v/>
      </x:c>
      <x:c r="CX66" s="339" t="str">
        <x:f t="shared" si="141"/>
        <x:v/>
      </x:c>
      <x:c r="CY66" s="1109">
        <x:f t="shared" si="142"/>
        <x:v>0</x:v>
      </x:c>
      <x:c r="CZ66" s="1109">
        <x:f t="shared" si="143"/>
        <x:v>0</x:v>
      </x:c>
      <x:c r="DA66" s="1109" t="str">
        <x:f t="shared" si="144"/>
        <x:v/>
      </x:c>
      <x:c r="DB66" s="1125" t="str">
        <x:f t="shared" si="207"/>
        <x:v/>
      </x:c>
      <x:c r="DC66" s="1125" t="str">
        <x:f t="shared" si="145"/>
        <x:v/>
      </x:c>
      <x:c r="DD66" s="1110">
        <x:f t="shared" si="208"/>
        <x:v>0</x:v>
      </x:c>
      <x:c r="DE66" s="1108">
        <x:f t="shared" si="209"/>
        <x:v>0</x:v>
      </x:c>
      <x:c r="DF66" s="1109">
        <x:f t="shared" si="146"/>
        <x:v>0</x:v>
      </x:c>
      <x:c r="DG66" s="1109" t="str">
        <x:f t="shared" si="147"/>
        <x:v/>
      </x:c>
      <x:c r="DH66" s="1125" t="str">
        <x:f t="shared" si="210"/>
        <x:v/>
      </x:c>
      <x:c r="DI66" s="1125" t="str">
        <x:f t="shared" si="211"/>
        <x:v/>
      </x:c>
      <x:c r="DJ66" s="1110">
        <x:f t="shared" si="212"/>
        <x:v>0</x:v>
      </x:c>
      <x:c r="DK66" s="1108" t="str">
        <x:f t="shared" si="148"/>
        <x:v/>
      </x:c>
      <x:c r="DL66" s="1108" t="str">
        <x:f t="shared" si="149"/>
        <x:v/>
      </x:c>
      <x:c r="DM66" s="1108" t="str">
        <x:f t="shared" si="150"/>
        <x:v/>
      </x:c>
      <x:c r="DN66" s="1108" t="str">
        <x:f t="shared" si="151"/>
        <x:v/>
      </x:c>
      <x:c r="DO66" s="1125" t="str">
        <x:f t="shared" si="152"/>
        <x:v>ERR</x:v>
      </x:c>
      <x:c r="DP66" s="1125" t="str">
        <x:f t="shared" si="153"/>
        <x:v>ERR</x:v>
      </x:c>
      <x:c r="DQ66" s="1108" t="str">
        <x:f t="shared" si="154"/>
        <x:v/>
      </x:c>
      <x:c r="DR66" s="1108" t="str">
        <x:f t="shared" si="154"/>
        <x:v/>
      </x:c>
      <x:c r="DS66" s="1108" t="str">
        <x:f t="shared" si="155"/>
        <x:v/>
      </x:c>
      <x:c r="DT66" s="1108" t="str">
        <x:f t="shared" si="156"/>
        <x:v/>
      </x:c>
      <x:c r="DU66" s="1108" t="str">
        <x:f t="shared" si="157"/>
        <x:v/>
      </x:c>
      <x:c r="DV66" s="1125" t="str">
        <x:f t="shared" si="158"/>
        <x:v>ERR</x:v>
      </x:c>
      <x:c r="DW66" s="1125" t="str">
        <x:f t="shared" si="159"/>
        <x:v>ERR</x:v>
      </x:c>
      <x:c r="DX66" s="1108" t="str">
        <x:f t="shared" si="160"/>
        <x:v/>
      </x:c>
      <x:c r="DY66" s="1108" t="str">
        <x:f t="shared" si="160"/>
        <x:v/>
      </x:c>
      <x:c r="DZ66" s="1108" t="str">
        <x:f t="shared" si="161"/>
        <x:v/>
      </x:c>
      <x:c r="EA66" s="1108" t="str">
        <x:f t="shared" si="162"/>
        <x:v/>
      </x:c>
      <x:c r="EB66" s="1111" t="str">
        <x:f t="shared" si="163"/>
        <x:v/>
      </x:c>
      <x:c r="EC66" s="1112" t="str">
        <x:f t="shared" si="164"/>
        <x:v/>
      </x:c>
      <x:c r="ED66" s="1111" t="str">
        <x:f t="shared" si="165"/>
        <x:v/>
      </x:c>
      <x:c r="EE66" s="1111" t="str">
        <x:f t="shared" si="166"/>
        <x:v/>
      </x:c>
      <x:c r="EF66" s="1111" t="str">
        <x:f t="shared" si="167"/>
        <x:v/>
      </x:c>
      <x:c r="EG66" s="1111" t="str">
        <x:f t="shared" si="168"/>
        <x:v/>
      </x:c>
      <x:c r="EH66" s="1111" t="str">
        <x:f t="shared" si="169"/>
        <x:v/>
      </x:c>
      <x:c r="EI66" s="1111" t="str">
        <x:f t="shared" si="170"/>
        <x:v/>
      </x:c>
      <x:c r="EJ66" s="1111" t="str">
        <x:f t="shared" si="171"/>
        <x:v/>
      </x:c>
      <x:c r="EK66" s="1109">
        <x:f t="shared" si="172"/>
        <x:v>0</x:v>
      </x:c>
      <x:c r="EL66" s="1109">
        <x:f t="shared" si="173"/>
        <x:v>0</x:v>
      </x:c>
      <x:c r="EM66" s="1109">
        <x:f t="shared" si="174"/>
        <x:v>0</x:v>
      </x:c>
      <x:c r="EN66" s="1109" t="str">
        <x:f t="shared" si="175"/>
        <x:v/>
      </x:c>
      <x:c r="EO66" s="1108" t="str">
        <x:f t="shared" si="176"/>
        <x:v/>
      </x:c>
      <x:c r="EP66" s="1109">
        <x:f t="shared" si="177"/>
        <x:v>0</x:v>
      </x:c>
      <x:c r="EQ66" s="1109">
        <x:f t="shared" si="178"/>
        <x:v>0</x:v>
      </x:c>
      <x:c r="ER66" s="1109">
        <x:f t="shared" si="179"/>
        <x:v>0</x:v>
      </x:c>
      <x:c r="ES66" s="1109" t="str">
        <x:f t="shared" si="180"/>
        <x:v/>
      </x:c>
      <x:c r="ET66" s="1108" t="str">
        <x:f t="shared" si="181"/>
        <x:v/>
      </x:c>
      <x:c r="EU66" s="1108">
        <x:f t="shared" si="182"/>
        <x:v>0</x:v>
      </x:c>
      <x:c r="EV66" s="1111" t="e">
        <x:f t="shared" si="183"/>
        <x:v>#VALUE!</x:v>
      </x:c>
      <x:c r="EW66" s="1111" t="e">
        <x:f t="shared" si="184"/>
        <x:v>#VALUE!</x:v>
      </x:c>
      <x:c r="EX66" s="1113" t="str">
        <x:f t="shared" si="213"/>
        <x:v/>
      </x:c>
      <x:c r="EY66" s="1114">
        <x:f t="shared" si="185"/>
        <x:v>25</x:v>
      </x:c>
      <x:c r="EZ66" s="1219">
        <x:f t="shared" si="186"/>
        <x:v>0</x:v>
      </x:c>
      <x:c r="FA66" s="1220">
        <x:f t="shared" si="187"/>
        <x:v>0</x:v>
      </x:c>
      <x:c r="FB66" s="1115" t="str">
        <x:f t="shared" si="188"/>
        <x:v/>
      </x:c>
      <x:c r="FC66" s="1116" t="str">
        <x:f t="shared" si="189"/>
        <x:v/>
      </x:c>
      <x:c r="FD66" s="1126">
        <x:f t="shared" si="190"/>
        <x:v>0</x:v>
      </x:c>
      <x:c r="FE66" s="1066">
        <x:f t="shared" si="191"/>
        <x:v>0</x:v>
      </x:c>
      <x:c r="FF66" s="969" t="b">
        <x:f t="shared" si="192"/>
        <x:v>0</x:v>
      </x:c>
      <x:c r="FG66" s="969" t="b">
        <x:f t="shared" si="193"/>
        <x:v>0</x:v>
      </x:c>
      <x:c r="FH66" s="969" t="b">
        <x:f t="shared" si="194"/>
        <x:v>0</x:v>
      </x:c>
      <x:c r="FI66" s="969" t="b">
        <x:f t="shared" si="195"/>
        <x:v>0</x:v>
      </x:c>
      <x:c r="FJ66" s="1161" t="str">
        <x:f t="shared" si="214"/>
        <x:v/>
      </x:c>
      <x:c r="FK66" s="1160" t="str">
        <x:f t="shared" si="215"/>
        <x:v/>
      </x:c>
      <x:c r="FL66" s="388" t="e">
        <x:f t="shared" si="216"/>
        <x:v>#N/A</x:v>
      </x:c>
      <x:c r="FM66" s="380" t="str">
        <x:f t="shared" si="196"/>
        <x:v/>
      </x:c>
      <x:c r="FN66" s="337" t="str">
        <x:f t="shared" ca="1" si="217"/>
        <x:v/>
      </x:c>
      <x:c r="FO66" s="338" t="str">
        <x:f t="shared" ca="1" si="218"/>
        <x:v/>
      </x:c>
      <x:c r="FP66" s="339" t="str">
        <x:f t="shared" ca="1" si="219"/>
        <x:v/>
      </x:c>
      <x:c r="FQ66" s="339" t="str">
        <x:f t="shared" ca="1" si="220"/>
        <x:v/>
      </x:c>
      <x:c r="FR66" s="389">
        <x:f t="shared" ca="1" si="221"/>
        <x:v>0</x:v>
      </x:c>
      <x:c r="FS66" s="390">
        <x:f t="shared" ca="1" si="222"/>
        <x:v>0</x:v>
      </x:c>
      <x:c r="FT66" s="337" t="str">
        <x:f t="shared" ca="1" si="223"/>
        <x:v/>
      </x:c>
      <x:c r="FU66" s="340" t="str">
        <x:f t="shared" ca="1" si="224"/>
        <x:v/>
      </x:c>
      <x:c r="FV66" s="391" t="str">
        <x:f t="shared" ca="1" si="197"/>
        <x:v/>
      </x:c>
      <x:c r="FW66" s="341" t="str">
        <x:f t="shared" ca="1" si="225"/>
        <x:v/>
      </x:c>
      <x:c r="FX66" s="341" t="str">
        <x:f t="shared" ca="1" si="226"/>
        <x:v/>
      </x:c>
      <x:c r="FY66" s="341" t="str">
        <x:f t="shared" ca="1" si="227"/>
        <x:v/>
      </x:c>
      <x:c r="FZ66" s="341" t="str">
        <x:f t="shared" ca="1" si="228"/>
        <x:v/>
      </x:c>
      <x:c r="GA66" s="341" t="str">
        <x:f t="shared" ca="1" si="229"/>
        <x:v/>
      </x:c>
      <x:c r="GB66" s="342" t="str">
        <x:f ca="1">IF(FY66="","",2+SUM(FO66:OFFSET(FO66,(FU66-1)*-1,0)))</x:f>
        <x:v/>
      </x:c>
      <x:c r="GC66" s="384" t="e">
        <x:f t="shared" si="230"/>
        <x:v>#N/A</x:v>
      </x:c>
      <x:c r="GD66" s="392" t="str">
        <x:f t="shared" si="198"/>
        <x:v/>
      </x:c>
      <x:c r="GE66" s="393" t="str">
        <x:f t="shared" si="199"/>
        <x:v/>
      </x:c>
      <x:c r="GF66" s="343" t="str">
        <x:f t="shared" si="200"/>
        <x:v/>
      </x:c>
      <x:c r="GG66" s="344" t="str">
        <x:f t="shared" si="201"/>
        <x:v/>
      </x:c>
      <x:c r="GH66" s="344" t="str">
        <x:f t="shared" si="202"/>
        <x:v/>
      </x:c>
      <x:c r="GI66" s="345" t="str">
        <x:f t="shared" si="203"/>
        <x:v/>
      </x:c>
      <x:c r="GJ66" s="646">
        <x:f t="shared" ca="1" si="204"/>
        <x:v>0</x:v>
      </x:c>
      <x:c r="GK66" s="1131" t="str">
        <x:f t="shared" ca="1" si="231"/>
        <x:v>A</x:v>
      </x:c>
    </x:row>
    <x:row r="67" spans="78:193" ht="12.6" hidden="1" customHeight="1" x14ac:dyDescent="0.2">
      <x:c r="BZ67" s="360"/>
      <x:c r="CA67" s="360"/>
      <x:c r="CB67" s="435" t="str">
        <x:f t="shared" si="137"/>
        <x:v/>
      </x:c>
      <x:c r="CC67" s="436" t="str">
        <x:f>IF(CG27="","",VLOOKUP(CG27,SectInfo!$B:$N,12,FALSE))</x:f>
        <x:v/>
      </x:c>
      <x:c r="CD67" s="1172" t="str">
        <x:f>IF(ISBLANK(CZ27),IF(CG27="","",VLOOKUP(CG27,SectInfo!$B:$N,13,FALSE)),CZ27)</x:f>
        <x:v/>
      </x:c>
      <x:c r="CE67" s="437" t="str">
        <x:f>IF(CG27="","",IF(VLOOKUP(CG27,SectInfo!$B:$N,5,FALSE)="","R",UPPER(VLOOKUP(CG27,SectInfo!$B:$N,5,FALSE))))</x:f>
        <x:v/>
      </x:c>
      <x:c r="CF67" s="1172" t="str">
        <x:f>IF(ISBLANK(DD27),IF(CG27="","",VLOOKUP(CG27,SectInfo!$B:$N,6,FALSE)),DD27)</x:f>
        <x:v/>
      </x:c>
      <x:c r="CG67" s="437" t="str">
        <x:f>IF(CG27="","",IF(VLOOKUP(CG27,SectInfo!$B:$N,10,FALSE)="","",(VLOOKUP(CG27,SectInfo!$B:$N,10,FALSE)*-1)))</x:f>
        <x:v/>
      </x:c>
      <x:c r="CH67" s="437" t="str">
        <x:f>IF(CG27="","",IF(VLOOKUP(CG27,SectInfo!$B:$N,7,FALSE)="","",(VLOOKUP(CG27,SectInfo!$B:$N,7,FALSE)*-1)))</x:f>
        <x:v/>
      </x:c>
      <x:c r="CI67" s="437" t="str">
        <x:f>IF(CG27="","",IF(VLOOKUP(CG27,SectInfo!$B:$N,8,FALSE)="",$FC$4,(VLOOKUP(CG27,SectInfo!$B:$N,8,FALSE))))</x:f>
        <x:v/>
      </x:c>
      <x:c r="CJ67" s="437" t="str">
        <x:f>IF(CG27="","",VLOOKUP(CG27,SectInfo!$B:$N,9,FALSE))</x:f>
        <x:v/>
      </x:c>
      <x:c r="CK67" s="438">
        <x:f t="shared" si="205"/>
        <x:v>0</x:v>
      </x:c>
      <x:c r="CL67" s="436" t="str">
        <x:f>IF(CN27="","",VLOOKUP(CN27,SectInfo!$B:$N,12,FALSE))</x:f>
        <x:v/>
      </x:c>
      <x:c r="CM67" s="1172" t="str">
        <x:f>IF(ISBLANK(DA27),IF(CN27="","",VLOOKUP(CN27,SectInfo!$B:$N,13,FALSE)),DA27)</x:f>
        <x:v/>
      </x:c>
      <x:c r="CN67" s="437" t="str">
        <x:f>IF(CN27="","",IF(VLOOKUP(CN27,SectInfo!$B:$N,5,FALSE)="","R",UPPER(VLOOKUP(CN27,SectInfo!$B:$N,5,FALSE))))</x:f>
        <x:v/>
      </x:c>
      <x:c r="CO67" s="1172" t="str">
        <x:f>IF(ISBLANK(DE27),IF(CN27="","",VLOOKUP(CN27,SectInfo!$B:$N,6,FALSE)),DE27)</x:f>
        <x:v/>
      </x:c>
      <x:c r="CP67" s="437" t="str">
        <x:f>IF(CN27="","",IF(VLOOKUP(CN27,SectInfo!$B:$N,10,FALSE)="","",(VLOOKUP(CN27,SectInfo!$B:$N,10,FALSE)*-1)))</x:f>
        <x:v/>
      </x:c>
      <x:c r="CQ67" s="437" t="str">
        <x:f>IF(CN27="","",IF(VLOOKUP(CN27,SectInfo!$B:$N,7,FALSE)="","",(VLOOKUP(CN27,SectInfo!$B:$N,7,FALSE)*-1)))</x:f>
        <x:v/>
      </x:c>
      <x:c r="CR67" s="437" t="str">
        <x:f>IF(CN27="","",IF(VLOOKUP(CN27,SectInfo!$B:$N,8,FALSE)="",$FC$4,(VLOOKUP(CN27,SectInfo!$B:$N,8,FALSE))))</x:f>
        <x:v/>
      </x:c>
      <x:c r="CS67" s="437" t="str">
        <x:f>IF(CN27="","",VLOOKUP(CN27,SectInfo!$B:$N,9,FALSE))</x:f>
        <x:v/>
      </x:c>
      <x:c r="CT67" s="438">
        <x:f t="shared" si="206"/>
        <x:v>0</x:v>
      </x:c>
      <x:c r="CU67" s="439">
        <x:f t="shared" si="138"/>
        <x:v>0</x:v>
      </x:c>
      <x:c r="CV67" s="339" t="str">
        <x:f t="shared" si="139"/>
        <x:v/>
      </x:c>
      <x:c r="CW67" s="339" t="str">
        <x:f t="shared" si="140"/>
        <x:v/>
      </x:c>
      <x:c r="CX67" s="339" t="str">
        <x:f t="shared" si="141"/>
        <x:v/>
      </x:c>
      <x:c r="CY67" s="1109">
        <x:f t="shared" si="142"/>
        <x:v>0</x:v>
      </x:c>
      <x:c r="CZ67" s="1109">
        <x:f t="shared" si="143"/>
        <x:v>0</x:v>
      </x:c>
      <x:c r="DA67" s="1109" t="str">
        <x:f t="shared" si="144"/>
        <x:v/>
      </x:c>
      <x:c r="DB67" s="1125" t="str">
        <x:f t="shared" si="207"/>
        <x:v/>
      </x:c>
      <x:c r="DC67" s="1125" t="str">
        <x:f t="shared" si="145"/>
        <x:v/>
      </x:c>
      <x:c r="DD67" s="1110">
        <x:f t="shared" si="208"/>
        <x:v>0</x:v>
      </x:c>
      <x:c r="DE67" s="1108">
        <x:f t="shared" si="209"/>
        <x:v>0</x:v>
      </x:c>
      <x:c r="DF67" s="1109">
        <x:f t="shared" si="146"/>
        <x:v>0</x:v>
      </x:c>
      <x:c r="DG67" s="1109" t="str">
        <x:f t="shared" si="147"/>
        <x:v/>
      </x:c>
      <x:c r="DH67" s="1125" t="str">
        <x:f t="shared" si="210"/>
        <x:v/>
      </x:c>
      <x:c r="DI67" s="1125" t="str">
        <x:f t="shared" si="211"/>
        <x:v/>
      </x:c>
      <x:c r="DJ67" s="1110">
        <x:f t="shared" si="212"/>
        <x:v>0</x:v>
      </x:c>
      <x:c r="DK67" s="1108" t="str">
        <x:f t="shared" si="148"/>
        <x:v/>
      </x:c>
      <x:c r="DL67" s="1108" t="str">
        <x:f t="shared" si="149"/>
        <x:v/>
      </x:c>
      <x:c r="DM67" s="1108" t="str">
        <x:f t="shared" si="150"/>
        <x:v/>
      </x:c>
      <x:c r="DN67" s="1108" t="str">
        <x:f t="shared" si="151"/>
        <x:v/>
      </x:c>
      <x:c r="DO67" s="1125" t="str">
        <x:f t="shared" si="152"/>
        <x:v>ERR</x:v>
      </x:c>
      <x:c r="DP67" s="1125" t="str">
        <x:f t="shared" si="153"/>
        <x:v>ERR</x:v>
      </x:c>
      <x:c r="DQ67" s="1108" t="str">
        <x:f t="shared" si="154"/>
        <x:v/>
      </x:c>
      <x:c r="DR67" s="1108" t="str">
        <x:f t="shared" si="154"/>
        <x:v/>
      </x:c>
      <x:c r="DS67" s="1108" t="str">
        <x:f t="shared" si="155"/>
        <x:v/>
      </x:c>
      <x:c r="DT67" s="1108" t="str">
        <x:f t="shared" si="156"/>
        <x:v/>
      </x:c>
      <x:c r="DU67" s="1108" t="str">
        <x:f t="shared" si="157"/>
        <x:v/>
      </x:c>
      <x:c r="DV67" s="1125" t="str">
        <x:f t="shared" si="158"/>
        <x:v>ERR</x:v>
      </x:c>
      <x:c r="DW67" s="1125" t="str">
        <x:f t="shared" si="159"/>
        <x:v>ERR</x:v>
      </x:c>
      <x:c r="DX67" s="1108" t="str">
        <x:f t="shared" si="160"/>
        <x:v/>
      </x:c>
      <x:c r="DY67" s="1108" t="str">
        <x:f t="shared" si="160"/>
        <x:v/>
      </x:c>
      <x:c r="DZ67" s="1108" t="str">
        <x:f t="shared" si="161"/>
        <x:v/>
      </x:c>
      <x:c r="EA67" s="1108" t="str">
        <x:f t="shared" si="162"/>
        <x:v/>
      </x:c>
      <x:c r="EB67" s="1111" t="str">
        <x:f t="shared" si="163"/>
        <x:v/>
      </x:c>
      <x:c r="EC67" s="1112" t="str">
        <x:f t="shared" si="164"/>
        <x:v/>
      </x:c>
      <x:c r="ED67" s="1111" t="str">
        <x:f t="shared" si="165"/>
        <x:v/>
      </x:c>
      <x:c r="EE67" s="1111" t="str">
        <x:f t="shared" si="166"/>
        <x:v/>
      </x:c>
      <x:c r="EF67" s="1111" t="str">
        <x:f t="shared" si="167"/>
        <x:v/>
      </x:c>
      <x:c r="EG67" s="1111" t="str">
        <x:f t="shared" si="168"/>
        <x:v/>
      </x:c>
      <x:c r="EH67" s="1111" t="str">
        <x:f t="shared" si="169"/>
        <x:v/>
      </x:c>
      <x:c r="EI67" s="1111" t="str">
        <x:f t="shared" si="170"/>
        <x:v/>
      </x:c>
      <x:c r="EJ67" s="1111" t="str">
        <x:f t="shared" si="171"/>
        <x:v/>
      </x:c>
      <x:c r="EK67" s="1109">
        <x:f t="shared" si="172"/>
        <x:v>0</x:v>
      </x:c>
      <x:c r="EL67" s="1109">
        <x:f t="shared" si="173"/>
        <x:v>0</x:v>
      </x:c>
      <x:c r="EM67" s="1109">
        <x:f t="shared" si="174"/>
        <x:v>0</x:v>
      </x:c>
      <x:c r="EN67" s="1109" t="str">
        <x:f t="shared" si="175"/>
        <x:v/>
      </x:c>
      <x:c r="EO67" s="1108" t="str">
        <x:f t="shared" si="176"/>
        <x:v/>
      </x:c>
      <x:c r="EP67" s="1109">
        <x:f t="shared" si="177"/>
        <x:v>0</x:v>
      </x:c>
      <x:c r="EQ67" s="1109">
        <x:f t="shared" si="178"/>
        <x:v>0</x:v>
      </x:c>
      <x:c r="ER67" s="1109">
        <x:f t="shared" si="179"/>
        <x:v>0</x:v>
      </x:c>
      <x:c r="ES67" s="1109" t="str">
        <x:f t="shared" si="180"/>
        <x:v/>
      </x:c>
      <x:c r="ET67" s="1108" t="str">
        <x:f t="shared" si="181"/>
        <x:v/>
      </x:c>
      <x:c r="EU67" s="1108">
        <x:f t="shared" si="182"/>
        <x:v>0</x:v>
      </x:c>
      <x:c r="EV67" s="1111" t="e">
        <x:f t="shared" si="183"/>
        <x:v>#VALUE!</x:v>
      </x:c>
      <x:c r="EW67" s="1111" t="e">
        <x:f t="shared" si="184"/>
        <x:v>#VALUE!</x:v>
      </x:c>
      <x:c r="EX67" s="1113" t="str">
        <x:f t="shared" si="213"/>
        <x:v/>
      </x:c>
      <x:c r="EY67" s="1114">
        <x:f t="shared" si="185"/>
        <x:v>25</x:v>
      </x:c>
      <x:c r="EZ67" s="1219">
        <x:f t="shared" si="186"/>
        <x:v>0</x:v>
      </x:c>
      <x:c r="FA67" s="1220">
        <x:f t="shared" si="187"/>
        <x:v>0</x:v>
      </x:c>
      <x:c r="FB67" s="1115" t="str">
        <x:f t="shared" si="188"/>
        <x:v/>
      </x:c>
      <x:c r="FC67" s="1116" t="str">
        <x:f t="shared" si="189"/>
        <x:v/>
      </x:c>
      <x:c r="FD67" s="1126">
        <x:f t="shared" si="190"/>
        <x:v>0</x:v>
      </x:c>
      <x:c r="FE67" s="1066">
        <x:f t="shared" si="191"/>
        <x:v>0</x:v>
      </x:c>
      <x:c r="FF67" s="969" t="b">
        <x:f t="shared" si="192"/>
        <x:v>0</x:v>
      </x:c>
      <x:c r="FG67" s="969" t="b">
        <x:f t="shared" si="193"/>
        <x:v>0</x:v>
      </x:c>
      <x:c r="FH67" s="969" t="b">
        <x:f t="shared" si="194"/>
        <x:v>0</x:v>
      </x:c>
      <x:c r="FI67" s="969" t="b">
        <x:f t="shared" si="195"/>
        <x:v>0</x:v>
      </x:c>
      <x:c r="FJ67" s="1161" t="str">
        <x:f t="shared" si="214"/>
        <x:v/>
      </x:c>
      <x:c r="FK67" s="1160" t="str">
        <x:f t="shared" si="215"/>
        <x:v/>
      </x:c>
      <x:c r="FL67" s="388" t="e">
        <x:f t="shared" si="216"/>
        <x:v>#N/A</x:v>
      </x:c>
      <x:c r="FM67" s="380" t="str">
        <x:f t="shared" si="196"/>
        <x:v/>
      </x:c>
      <x:c r="FN67" s="337" t="str">
        <x:f t="shared" ca="1" si="217"/>
        <x:v/>
      </x:c>
      <x:c r="FO67" s="338" t="str">
        <x:f t="shared" ca="1" si="218"/>
        <x:v/>
      </x:c>
      <x:c r="FP67" s="339" t="str">
        <x:f t="shared" ca="1" si="219"/>
        <x:v/>
      </x:c>
      <x:c r="FQ67" s="339" t="str">
        <x:f t="shared" ca="1" si="220"/>
        <x:v/>
      </x:c>
      <x:c r="FR67" s="389">
        <x:f t="shared" ca="1" si="221"/>
        <x:v>0</x:v>
      </x:c>
      <x:c r="FS67" s="390">
        <x:f t="shared" ca="1" si="222"/>
        <x:v>0</x:v>
      </x:c>
      <x:c r="FT67" s="337" t="str">
        <x:f t="shared" ca="1" si="223"/>
        <x:v/>
      </x:c>
      <x:c r="FU67" s="340" t="str">
        <x:f t="shared" ca="1" si="224"/>
        <x:v/>
      </x:c>
      <x:c r="FV67" s="391" t="str">
        <x:f t="shared" ca="1" si="197"/>
        <x:v/>
      </x:c>
      <x:c r="FW67" s="341" t="str">
        <x:f t="shared" ca="1" si="225"/>
        <x:v/>
      </x:c>
      <x:c r="FX67" s="341" t="str">
        <x:f t="shared" ca="1" si="226"/>
        <x:v/>
      </x:c>
      <x:c r="FY67" s="341" t="str">
        <x:f t="shared" ca="1" si="227"/>
        <x:v/>
      </x:c>
      <x:c r="FZ67" s="341" t="str">
        <x:f t="shared" ca="1" si="228"/>
        <x:v/>
      </x:c>
      <x:c r="GA67" s="341" t="str">
        <x:f t="shared" ca="1" si="229"/>
        <x:v/>
      </x:c>
      <x:c r="GB67" s="342" t="str">
        <x:f ca="1">IF(FY67="","",2+SUM(FO67:OFFSET(FO67,(FU67-1)*-1,0)))</x:f>
        <x:v/>
      </x:c>
      <x:c r="GC67" s="384" t="e">
        <x:f t="shared" si="230"/>
        <x:v>#N/A</x:v>
      </x:c>
      <x:c r="GD67" s="392" t="str">
        <x:f t="shared" si="198"/>
        <x:v/>
      </x:c>
      <x:c r="GE67" s="393" t="str">
        <x:f t="shared" si="199"/>
        <x:v/>
      </x:c>
      <x:c r="GF67" s="343" t="str">
        <x:f t="shared" si="200"/>
        <x:v/>
      </x:c>
      <x:c r="GG67" s="344" t="str">
        <x:f t="shared" si="201"/>
        <x:v/>
      </x:c>
      <x:c r="GH67" s="344" t="str">
        <x:f t="shared" si="202"/>
        <x:v/>
      </x:c>
      <x:c r="GI67" s="345" t="str">
        <x:f t="shared" si="203"/>
        <x:v/>
      </x:c>
      <x:c r="GJ67" s="646">
        <x:f t="shared" ca="1" si="204"/>
        <x:v>0</x:v>
      </x:c>
      <x:c r="GK67" s="1131" t="str">
        <x:f t="shared" ca="1" si="231"/>
        <x:v>A</x:v>
      </x:c>
    </x:row>
    <x:row r="68" spans="78:193" ht="12.6" hidden="1" customHeight="1" x14ac:dyDescent="0.2">
      <x:c r="BZ68" s="360"/>
      <x:c r="CA68" s="360"/>
      <x:c r="CB68" s="435" t="str">
        <x:f t="shared" si="137"/>
        <x:v/>
      </x:c>
      <x:c r="CC68" s="436" t="str">
        <x:f>IF(CG28="","",VLOOKUP(CG28,SectInfo!$B:$N,12,FALSE))</x:f>
        <x:v/>
      </x:c>
      <x:c r="CD68" s="1172" t="str">
        <x:f>IF(ISBLANK(CZ28),IF(CG28="","",VLOOKUP(CG28,SectInfo!$B:$N,13,FALSE)),CZ28)</x:f>
        <x:v/>
      </x:c>
      <x:c r="CE68" s="437" t="str">
        <x:f>IF(CG28="","",IF(VLOOKUP(CG28,SectInfo!$B:$N,5,FALSE)="","R",UPPER(VLOOKUP(CG28,SectInfo!$B:$N,5,FALSE))))</x:f>
        <x:v/>
      </x:c>
      <x:c r="CF68" s="1172" t="str">
        <x:f>IF(ISBLANK(DD28),IF(CG28="","",VLOOKUP(CG28,SectInfo!$B:$N,6,FALSE)),DD28)</x:f>
        <x:v/>
      </x:c>
      <x:c r="CG68" s="437" t="str">
        <x:f>IF(CG28="","",IF(VLOOKUP(CG28,SectInfo!$B:$N,10,FALSE)="","",(VLOOKUP(CG28,SectInfo!$B:$N,10,FALSE)*-1)))</x:f>
        <x:v/>
      </x:c>
      <x:c r="CH68" s="437" t="str">
        <x:f>IF(CG28="","",IF(VLOOKUP(CG28,SectInfo!$B:$N,7,FALSE)="","",(VLOOKUP(CG28,SectInfo!$B:$N,7,FALSE)*-1)))</x:f>
        <x:v/>
      </x:c>
      <x:c r="CI68" s="437" t="str">
        <x:f>IF(CG28="","",IF(VLOOKUP(CG28,SectInfo!$B:$N,8,FALSE)="",$FC$4,(VLOOKUP(CG28,SectInfo!$B:$N,8,FALSE))))</x:f>
        <x:v/>
      </x:c>
      <x:c r="CJ68" s="437" t="str">
        <x:f>IF(CG28="","",VLOOKUP(CG28,SectInfo!$B:$N,9,FALSE))</x:f>
        <x:v/>
      </x:c>
      <x:c r="CK68" s="438">
        <x:f t="shared" si="205"/>
        <x:v>0</x:v>
      </x:c>
      <x:c r="CL68" s="436" t="str">
        <x:f>IF(CN28="","",VLOOKUP(CN28,SectInfo!$B:$N,12,FALSE))</x:f>
        <x:v/>
      </x:c>
      <x:c r="CM68" s="1172" t="str">
        <x:f>IF(ISBLANK(DA28),IF(CN28="","",VLOOKUP(CN28,SectInfo!$B:$N,13,FALSE)),DA28)</x:f>
        <x:v/>
      </x:c>
      <x:c r="CN68" s="437" t="str">
        <x:f>IF(CN28="","",IF(VLOOKUP(CN28,SectInfo!$B:$N,5,FALSE)="","R",UPPER(VLOOKUP(CN28,SectInfo!$B:$N,5,FALSE))))</x:f>
        <x:v/>
      </x:c>
      <x:c r="CO68" s="1172" t="str">
        <x:f>IF(ISBLANK(DE28),IF(CN28="","",VLOOKUP(CN28,SectInfo!$B:$N,6,FALSE)),DE28)</x:f>
        <x:v/>
      </x:c>
      <x:c r="CP68" s="437" t="str">
        <x:f>IF(CN28="","",IF(VLOOKUP(CN28,SectInfo!$B:$N,10,FALSE)="","",(VLOOKUP(CN28,SectInfo!$B:$N,10,FALSE)*-1)))</x:f>
        <x:v/>
      </x:c>
      <x:c r="CQ68" s="437" t="str">
        <x:f>IF(CN28="","",IF(VLOOKUP(CN28,SectInfo!$B:$N,7,FALSE)="","",(VLOOKUP(CN28,SectInfo!$B:$N,7,FALSE)*-1)))</x:f>
        <x:v/>
      </x:c>
      <x:c r="CR68" s="437" t="str">
        <x:f>IF(CN28="","",IF(VLOOKUP(CN28,SectInfo!$B:$N,8,FALSE)="",$FC$4,(VLOOKUP(CN28,SectInfo!$B:$N,8,FALSE))))</x:f>
        <x:v/>
      </x:c>
      <x:c r="CS68" s="437" t="str">
        <x:f>IF(CN28="","",VLOOKUP(CN28,SectInfo!$B:$N,9,FALSE))</x:f>
        <x:v/>
      </x:c>
      <x:c r="CT68" s="438">
        <x:f t="shared" si="206"/>
        <x:v>0</x:v>
      </x:c>
      <x:c r="CU68" s="439">
        <x:f t="shared" si="138"/>
        <x:v>0</x:v>
      </x:c>
      <x:c r="CV68" s="339" t="str">
        <x:f t="shared" si="139"/>
        <x:v/>
      </x:c>
      <x:c r="CW68" s="339" t="str">
        <x:f t="shared" si="140"/>
        <x:v/>
      </x:c>
      <x:c r="CX68" s="339" t="str">
        <x:f t="shared" si="141"/>
        <x:v/>
      </x:c>
      <x:c r="CY68" s="1109">
        <x:f t="shared" si="142"/>
        <x:v>0</x:v>
      </x:c>
      <x:c r="CZ68" s="1109">
        <x:f t="shared" si="143"/>
        <x:v>0</x:v>
      </x:c>
      <x:c r="DA68" s="1109" t="str">
        <x:f t="shared" si="144"/>
        <x:v/>
      </x:c>
      <x:c r="DB68" s="1125" t="str">
        <x:f t="shared" si="207"/>
        <x:v/>
      </x:c>
      <x:c r="DC68" s="1125" t="str">
        <x:f t="shared" si="145"/>
        <x:v/>
      </x:c>
      <x:c r="DD68" s="1110">
        <x:f t="shared" si="208"/>
        <x:v>0</x:v>
      </x:c>
      <x:c r="DE68" s="1108">
        <x:f t="shared" si="209"/>
        <x:v>0</x:v>
      </x:c>
      <x:c r="DF68" s="1109">
        <x:f t="shared" si="146"/>
        <x:v>0</x:v>
      </x:c>
      <x:c r="DG68" s="1109" t="str">
        <x:f t="shared" si="147"/>
        <x:v/>
      </x:c>
      <x:c r="DH68" s="1125" t="str">
        <x:f t="shared" si="210"/>
        <x:v/>
      </x:c>
      <x:c r="DI68" s="1125" t="str">
        <x:f t="shared" si="211"/>
        <x:v/>
      </x:c>
      <x:c r="DJ68" s="1110">
        <x:f t="shared" si="212"/>
        <x:v>0</x:v>
      </x:c>
      <x:c r="DK68" s="1108" t="str">
        <x:f t="shared" si="148"/>
        <x:v/>
      </x:c>
      <x:c r="DL68" s="1108" t="str">
        <x:f t="shared" si="149"/>
        <x:v/>
      </x:c>
      <x:c r="DM68" s="1108" t="str">
        <x:f t="shared" si="150"/>
        <x:v/>
      </x:c>
      <x:c r="DN68" s="1108" t="str">
        <x:f t="shared" si="151"/>
        <x:v/>
      </x:c>
      <x:c r="DO68" s="1125" t="str">
        <x:f t="shared" si="152"/>
        <x:v>ERR</x:v>
      </x:c>
      <x:c r="DP68" s="1125" t="str">
        <x:f t="shared" si="153"/>
        <x:v>ERR</x:v>
      </x:c>
      <x:c r="DQ68" s="1108" t="str">
        <x:f t="shared" si="154"/>
        <x:v/>
      </x:c>
      <x:c r="DR68" s="1108" t="str">
        <x:f t="shared" si="154"/>
        <x:v/>
      </x:c>
      <x:c r="DS68" s="1108" t="str">
        <x:f t="shared" si="155"/>
        <x:v/>
      </x:c>
      <x:c r="DT68" s="1108" t="str">
        <x:f t="shared" si="156"/>
        <x:v/>
      </x:c>
      <x:c r="DU68" s="1108" t="str">
        <x:f t="shared" si="157"/>
        <x:v/>
      </x:c>
      <x:c r="DV68" s="1125" t="str">
        <x:f t="shared" si="158"/>
        <x:v>ERR</x:v>
      </x:c>
      <x:c r="DW68" s="1125" t="str">
        <x:f t="shared" si="159"/>
        <x:v>ERR</x:v>
      </x:c>
      <x:c r="DX68" s="1108" t="str">
        <x:f t="shared" si="160"/>
        <x:v/>
      </x:c>
      <x:c r="DY68" s="1108" t="str">
        <x:f t="shared" si="160"/>
        <x:v/>
      </x:c>
      <x:c r="DZ68" s="1108" t="str">
        <x:f t="shared" si="161"/>
        <x:v/>
      </x:c>
      <x:c r="EA68" s="1108" t="str">
        <x:f t="shared" si="162"/>
        <x:v/>
      </x:c>
      <x:c r="EB68" s="1111" t="str">
        <x:f t="shared" si="163"/>
        <x:v/>
      </x:c>
      <x:c r="EC68" s="1112" t="str">
        <x:f t="shared" si="164"/>
        <x:v/>
      </x:c>
      <x:c r="ED68" s="1111" t="str">
        <x:f t="shared" si="165"/>
        <x:v/>
      </x:c>
      <x:c r="EE68" s="1111" t="str">
        <x:f t="shared" si="166"/>
        <x:v/>
      </x:c>
      <x:c r="EF68" s="1111" t="str">
        <x:f t="shared" si="167"/>
        <x:v/>
      </x:c>
      <x:c r="EG68" s="1111" t="str">
        <x:f t="shared" si="168"/>
        <x:v/>
      </x:c>
      <x:c r="EH68" s="1111" t="str">
        <x:f t="shared" si="169"/>
        <x:v/>
      </x:c>
      <x:c r="EI68" s="1111" t="str">
        <x:f t="shared" si="170"/>
        <x:v/>
      </x:c>
      <x:c r="EJ68" s="1111" t="str">
        <x:f t="shared" si="171"/>
        <x:v/>
      </x:c>
      <x:c r="EK68" s="1109">
        <x:f t="shared" si="172"/>
        <x:v>0</x:v>
      </x:c>
      <x:c r="EL68" s="1109">
        <x:f t="shared" si="173"/>
        <x:v>0</x:v>
      </x:c>
      <x:c r="EM68" s="1109">
        <x:f t="shared" si="174"/>
        <x:v>0</x:v>
      </x:c>
      <x:c r="EN68" s="1109" t="str">
        <x:f t="shared" si="175"/>
        <x:v/>
      </x:c>
      <x:c r="EO68" s="1108" t="str">
        <x:f t="shared" si="176"/>
        <x:v/>
      </x:c>
      <x:c r="EP68" s="1109">
        <x:f t="shared" si="177"/>
        <x:v>0</x:v>
      </x:c>
      <x:c r="EQ68" s="1109">
        <x:f t="shared" si="178"/>
        <x:v>0</x:v>
      </x:c>
      <x:c r="ER68" s="1109">
        <x:f t="shared" si="179"/>
        <x:v>0</x:v>
      </x:c>
      <x:c r="ES68" s="1109" t="str">
        <x:f t="shared" si="180"/>
        <x:v/>
      </x:c>
      <x:c r="ET68" s="1108" t="str">
        <x:f t="shared" si="181"/>
        <x:v/>
      </x:c>
      <x:c r="EU68" s="1108">
        <x:f t="shared" si="182"/>
        <x:v>0</x:v>
      </x:c>
      <x:c r="EV68" s="1111" t="e">
        <x:f t="shared" si="183"/>
        <x:v>#VALUE!</x:v>
      </x:c>
      <x:c r="EW68" s="1111" t="e">
        <x:f t="shared" si="184"/>
        <x:v>#VALUE!</x:v>
      </x:c>
      <x:c r="EX68" s="1113" t="str">
        <x:f t="shared" si="213"/>
        <x:v/>
      </x:c>
      <x:c r="EY68" s="1114">
        <x:f t="shared" si="185"/>
        <x:v>25</x:v>
      </x:c>
      <x:c r="EZ68" s="1219">
        <x:f t="shared" si="186"/>
        <x:v>0</x:v>
      </x:c>
      <x:c r="FA68" s="1220">
        <x:f t="shared" si="187"/>
        <x:v>0</x:v>
      </x:c>
      <x:c r="FB68" s="1115" t="str">
        <x:f t="shared" si="188"/>
        <x:v/>
      </x:c>
      <x:c r="FC68" s="1116" t="str">
        <x:f t="shared" si="189"/>
        <x:v/>
      </x:c>
      <x:c r="FD68" s="1126">
        <x:f t="shared" si="190"/>
        <x:v>0</x:v>
      </x:c>
      <x:c r="FE68" s="1066">
        <x:f t="shared" si="191"/>
        <x:v>0</x:v>
      </x:c>
      <x:c r="FF68" s="969" t="b">
        <x:f t="shared" si="192"/>
        <x:v>0</x:v>
      </x:c>
      <x:c r="FG68" s="969" t="b">
        <x:f t="shared" si="193"/>
        <x:v>0</x:v>
      </x:c>
      <x:c r="FH68" s="969" t="b">
        <x:f t="shared" si="194"/>
        <x:v>0</x:v>
      </x:c>
      <x:c r="FI68" s="969" t="b">
        <x:f t="shared" si="195"/>
        <x:v>0</x:v>
      </x:c>
      <x:c r="FJ68" s="1161" t="str">
        <x:f t="shared" si="214"/>
        <x:v/>
      </x:c>
      <x:c r="FK68" s="1160" t="str">
        <x:f t="shared" si="215"/>
        <x:v/>
      </x:c>
      <x:c r="FL68" s="388" t="e">
        <x:f t="shared" si="216"/>
        <x:v>#N/A</x:v>
      </x:c>
      <x:c r="FM68" s="380" t="str">
        <x:f t="shared" si="196"/>
        <x:v/>
      </x:c>
      <x:c r="FN68" s="337" t="str">
        <x:f t="shared" ca="1" si="217"/>
        <x:v/>
      </x:c>
      <x:c r="FO68" s="338" t="str">
        <x:f t="shared" ca="1" si="218"/>
        <x:v/>
      </x:c>
      <x:c r="FP68" s="339" t="str">
        <x:f t="shared" ca="1" si="219"/>
        <x:v/>
      </x:c>
      <x:c r="FQ68" s="339" t="str">
        <x:f t="shared" ca="1" si="220"/>
        <x:v/>
      </x:c>
      <x:c r="FR68" s="389">
        <x:f t="shared" ca="1" si="221"/>
        <x:v>0</x:v>
      </x:c>
      <x:c r="FS68" s="390">
        <x:f t="shared" ca="1" si="222"/>
        <x:v>0</x:v>
      </x:c>
      <x:c r="FT68" s="337" t="str">
        <x:f t="shared" ca="1" si="223"/>
        <x:v/>
      </x:c>
      <x:c r="FU68" s="340" t="str">
        <x:f t="shared" ca="1" si="224"/>
        <x:v/>
      </x:c>
      <x:c r="FV68" s="391" t="str">
        <x:f t="shared" ca="1" si="197"/>
        <x:v/>
      </x:c>
      <x:c r="FW68" s="341" t="str">
        <x:f t="shared" ca="1" si="225"/>
        <x:v/>
      </x:c>
      <x:c r="FX68" s="341" t="str">
        <x:f t="shared" ca="1" si="226"/>
        <x:v/>
      </x:c>
      <x:c r="FY68" s="341" t="str">
        <x:f t="shared" ca="1" si="227"/>
        <x:v/>
      </x:c>
      <x:c r="FZ68" s="341" t="str">
        <x:f t="shared" ca="1" si="228"/>
        <x:v/>
      </x:c>
      <x:c r="GA68" s="341" t="str">
        <x:f t="shared" ca="1" si="229"/>
        <x:v/>
      </x:c>
      <x:c r="GB68" s="342" t="str">
        <x:f ca="1">IF(FY68="","",2+SUM(FO68:OFFSET(FO68,(FU68-1)*-1,0)))</x:f>
        <x:v/>
      </x:c>
      <x:c r="GC68" s="384" t="e">
        <x:f t="shared" si="230"/>
        <x:v>#N/A</x:v>
      </x:c>
      <x:c r="GD68" s="392" t="str">
        <x:f t="shared" si="198"/>
        <x:v/>
      </x:c>
      <x:c r="GE68" s="393" t="str">
        <x:f t="shared" si="199"/>
        <x:v/>
      </x:c>
      <x:c r="GF68" s="343" t="str">
        <x:f t="shared" si="200"/>
        <x:v/>
      </x:c>
      <x:c r="GG68" s="344" t="str">
        <x:f t="shared" si="201"/>
        <x:v/>
      </x:c>
      <x:c r="GH68" s="344" t="str">
        <x:f t="shared" si="202"/>
        <x:v/>
      </x:c>
      <x:c r="GI68" s="345" t="str">
        <x:f t="shared" si="203"/>
        <x:v/>
      </x:c>
      <x:c r="GJ68" s="646">
        <x:f t="shared" ca="1" si="204"/>
        <x:v>0</x:v>
      </x:c>
      <x:c r="GK68" s="1131" t="str">
        <x:f t="shared" ca="1" si="231"/>
        <x:v>A</x:v>
      </x:c>
    </x:row>
    <x:row r="69" spans="78:193" ht="12.6" hidden="1" customHeight="1" x14ac:dyDescent="0.2">
      <x:c r="BZ69" s="360"/>
      <x:c r="CA69" s="360"/>
      <x:c r="CB69" s="435" t="str">
        <x:f t="shared" si="137"/>
        <x:v/>
      </x:c>
      <x:c r="CC69" s="436" t="str">
        <x:f>IF(CG29="","",VLOOKUP(CG29,SectInfo!$B:$N,12,FALSE))</x:f>
        <x:v/>
      </x:c>
      <x:c r="CD69" s="1172" t="str">
        <x:f>IF(ISBLANK(CZ29),IF(CG29="","",VLOOKUP(CG29,SectInfo!$B:$N,13,FALSE)),CZ29)</x:f>
        <x:v/>
      </x:c>
      <x:c r="CE69" s="437" t="str">
        <x:f>IF(CG29="","",IF(VLOOKUP(CG29,SectInfo!$B:$N,5,FALSE)="","R",UPPER(VLOOKUP(CG29,SectInfo!$B:$N,5,FALSE))))</x:f>
        <x:v/>
      </x:c>
      <x:c r="CF69" s="1172" t="str">
        <x:f>IF(ISBLANK(DD29),IF(CG29="","",VLOOKUP(CG29,SectInfo!$B:$N,6,FALSE)),DD29)</x:f>
        <x:v/>
      </x:c>
      <x:c r="CG69" s="437" t="str">
        <x:f>IF(CG29="","",IF(VLOOKUP(CG29,SectInfo!$B:$N,10,FALSE)="","",(VLOOKUP(CG29,SectInfo!$B:$N,10,FALSE)*-1)))</x:f>
        <x:v/>
      </x:c>
      <x:c r="CH69" s="437" t="str">
        <x:f>IF(CG29="","",IF(VLOOKUP(CG29,SectInfo!$B:$N,7,FALSE)="","",(VLOOKUP(CG29,SectInfo!$B:$N,7,FALSE)*-1)))</x:f>
        <x:v/>
      </x:c>
      <x:c r="CI69" s="437" t="str">
        <x:f>IF(CG29="","",IF(VLOOKUP(CG29,SectInfo!$B:$N,8,FALSE)="",$FC$4,(VLOOKUP(CG29,SectInfo!$B:$N,8,FALSE))))</x:f>
        <x:v/>
      </x:c>
      <x:c r="CJ69" s="437" t="str">
        <x:f>IF(CG29="","",VLOOKUP(CG29,SectInfo!$B:$N,9,FALSE))</x:f>
        <x:v/>
      </x:c>
      <x:c r="CK69" s="438">
        <x:f t="shared" si="205"/>
        <x:v>0</x:v>
      </x:c>
      <x:c r="CL69" s="436" t="str">
        <x:f>IF(CN29="","",VLOOKUP(CN29,SectInfo!$B:$N,12,FALSE))</x:f>
        <x:v/>
      </x:c>
      <x:c r="CM69" s="1172" t="str">
        <x:f>IF(ISBLANK(DA29),IF(CN29="","",VLOOKUP(CN29,SectInfo!$B:$N,13,FALSE)),DA29)</x:f>
        <x:v/>
      </x:c>
      <x:c r="CN69" s="437" t="str">
        <x:f>IF(CN29="","",IF(VLOOKUP(CN29,SectInfo!$B:$N,5,FALSE)="","R",UPPER(VLOOKUP(CN29,SectInfo!$B:$N,5,FALSE))))</x:f>
        <x:v/>
      </x:c>
      <x:c r="CO69" s="1172" t="str">
        <x:f>IF(ISBLANK(DE29),IF(CN29="","",VLOOKUP(CN29,SectInfo!$B:$N,6,FALSE)),DE29)</x:f>
        <x:v/>
      </x:c>
      <x:c r="CP69" s="437" t="str">
        <x:f>IF(CN29="","",IF(VLOOKUP(CN29,SectInfo!$B:$N,10,FALSE)="","",(VLOOKUP(CN29,SectInfo!$B:$N,10,FALSE)*-1)))</x:f>
        <x:v/>
      </x:c>
      <x:c r="CQ69" s="437" t="str">
        <x:f>IF(CN29="","",IF(VLOOKUP(CN29,SectInfo!$B:$N,7,FALSE)="","",(VLOOKUP(CN29,SectInfo!$B:$N,7,FALSE)*-1)))</x:f>
        <x:v/>
      </x:c>
      <x:c r="CR69" s="437" t="str">
        <x:f>IF(CN29="","",IF(VLOOKUP(CN29,SectInfo!$B:$N,8,FALSE)="",$FC$4,(VLOOKUP(CN29,SectInfo!$B:$N,8,FALSE))))</x:f>
        <x:v/>
      </x:c>
      <x:c r="CS69" s="437" t="str">
        <x:f>IF(CN29="","",VLOOKUP(CN29,SectInfo!$B:$N,9,FALSE))</x:f>
        <x:v/>
      </x:c>
      <x:c r="CT69" s="438">
        <x:f t="shared" si="206"/>
        <x:v>0</x:v>
      </x:c>
      <x:c r="CU69" s="439">
        <x:f t="shared" si="138"/>
        <x:v>0</x:v>
      </x:c>
      <x:c r="CV69" s="339" t="str">
        <x:f t="shared" si="139"/>
        <x:v/>
      </x:c>
      <x:c r="CW69" s="339" t="str">
        <x:f t="shared" si="140"/>
        <x:v/>
      </x:c>
      <x:c r="CX69" s="339" t="str">
        <x:f t="shared" si="141"/>
        <x:v/>
      </x:c>
      <x:c r="CY69" s="1109">
        <x:f t="shared" si="142"/>
        <x:v>0</x:v>
      </x:c>
      <x:c r="CZ69" s="1109">
        <x:f t="shared" si="143"/>
        <x:v>0</x:v>
      </x:c>
      <x:c r="DA69" s="1109" t="str">
        <x:f t="shared" si="144"/>
        <x:v/>
      </x:c>
      <x:c r="DB69" s="1125" t="str">
        <x:f t="shared" si="207"/>
        <x:v/>
      </x:c>
      <x:c r="DC69" s="1125" t="str">
        <x:f t="shared" si="145"/>
        <x:v/>
      </x:c>
      <x:c r="DD69" s="1110">
        <x:f t="shared" si="208"/>
        <x:v>0</x:v>
      </x:c>
      <x:c r="DE69" s="1108">
        <x:f t="shared" si="209"/>
        <x:v>0</x:v>
      </x:c>
      <x:c r="DF69" s="1109">
        <x:f t="shared" si="146"/>
        <x:v>0</x:v>
      </x:c>
      <x:c r="DG69" s="1109" t="str">
        <x:f t="shared" si="147"/>
        <x:v/>
      </x:c>
      <x:c r="DH69" s="1125" t="str">
        <x:f t="shared" si="210"/>
        <x:v/>
      </x:c>
      <x:c r="DI69" s="1125" t="str">
        <x:f t="shared" si="211"/>
        <x:v/>
      </x:c>
      <x:c r="DJ69" s="1110">
        <x:f t="shared" si="212"/>
        <x:v>0</x:v>
      </x:c>
      <x:c r="DK69" s="1108" t="str">
        <x:f t="shared" si="148"/>
        <x:v/>
      </x:c>
      <x:c r="DL69" s="1108" t="str">
        <x:f t="shared" si="149"/>
        <x:v/>
      </x:c>
      <x:c r="DM69" s="1108" t="str">
        <x:f t="shared" si="150"/>
        <x:v/>
      </x:c>
      <x:c r="DN69" s="1108" t="str">
        <x:f t="shared" si="151"/>
        <x:v/>
      </x:c>
      <x:c r="DO69" s="1125" t="str">
        <x:f t="shared" si="152"/>
        <x:v>ERR</x:v>
      </x:c>
      <x:c r="DP69" s="1125" t="str">
        <x:f t="shared" si="153"/>
        <x:v>ERR</x:v>
      </x:c>
      <x:c r="DQ69" s="1108" t="str">
        <x:f t="shared" si="154"/>
        <x:v/>
      </x:c>
      <x:c r="DR69" s="1108" t="str">
        <x:f t="shared" si="154"/>
        <x:v/>
      </x:c>
      <x:c r="DS69" s="1108" t="str">
        <x:f t="shared" si="155"/>
        <x:v/>
      </x:c>
      <x:c r="DT69" s="1108" t="str">
        <x:f t="shared" si="156"/>
        <x:v/>
      </x:c>
      <x:c r="DU69" s="1108" t="str">
        <x:f t="shared" si="157"/>
        <x:v/>
      </x:c>
      <x:c r="DV69" s="1125" t="str">
        <x:f t="shared" si="158"/>
        <x:v>ERR</x:v>
      </x:c>
      <x:c r="DW69" s="1125" t="str">
        <x:f t="shared" si="159"/>
        <x:v>ERR</x:v>
      </x:c>
      <x:c r="DX69" s="1108" t="str">
        <x:f t="shared" si="160"/>
        <x:v/>
      </x:c>
      <x:c r="DY69" s="1108" t="str">
        <x:f t="shared" si="160"/>
        <x:v/>
      </x:c>
      <x:c r="DZ69" s="1108" t="str">
        <x:f t="shared" si="161"/>
        <x:v/>
      </x:c>
      <x:c r="EA69" s="1108" t="str">
        <x:f t="shared" si="162"/>
        <x:v/>
      </x:c>
      <x:c r="EB69" s="1111" t="str">
        <x:f t="shared" si="163"/>
        <x:v/>
      </x:c>
      <x:c r="EC69" s="1112" t="str">
        <x:f t="shared" si="164"/>
        <x:v/>
      </x:c>
      <x:c r="ED69" s="1111" t="str">
        <x:f t="shared" si="165"/>
        <x:v/>
      </x:c>
      <x:c r="EE69" s="1111" t="str">
        <x:f t="shared" si="166"/>
        <x:v/>
      </x:c>
      <x:c r="EF69" s="1111" t="str">
        <x:f t="shared" si="167"/>
        <x:v/>
      </x:c>
      <x:c r="EG69" s="1111" t="str">
        <x:f t="shared" si="168"/>
        <x:v/>
      </x:c>
      <x:c r="EH69" s="1111" t="str">
        <x:f t="shared" si="169"/>
        <x:v/>
      </x:c>
      <x:c r="EI69" s="1111" t="str">
        <x:f t="shared" si="170"/>
        <x:v/>
      </x:c>
      <x:c r="EJ69" s="1111" t="str">
        <x:f t="shared" si="171"/>
        <x:v/>
      </x:c>
      <x:c r="EK69" s="1109">
        <x:f t="shared" si="172"/>
        <x:v>0</x:v>
      </x:c>
      <x:c r="EL69" s="1109">
        <x:f t="shared" si="173"/>
        <x:v>0</x:v>
      </x:c>
      <x:c r="EM69" s="1109">
        <x:f t="shared" si="174"/>
        <x:v>0</x:v>
      </x:c>
      <x:c r="EN69" s="1109" t="str">
        <x:f t="shared" si="175"/>
        <x:v/>
      </x:c>
      <x:c r="EO69" s="1108" t="str">
        <x:f t="shared" si="176"/>
        <x:v/>
      </x:c>
      <x:c r="EP69" s="1109">
        <x:f t="shared" si="177"/>
        <x:v>0</x:v>
      </x:c>
      <x:c r="EQ69" s="1109">
        <x:f t="shared" si="178"/>
        <x:v>0</x:v>
      </x:c>
      <x:c r="ER69" s="1109">
        <x:f t="shared" si="179"/>
        <x:v>0</x:v>
      </x:c>
      <x:c r="ES69" s="1109" t="str">
        <x:f t="shared" si="180"/>
        <x:v/>
      </x:c>
      <x:c r="ET69" s="1108" t="str">
        <x:f t="shared" si="181"/>
        <x:v/>
      </x:c>
      <x:c r="EU69" s="1108">
        <x:f t="shared" si="182"/>
        <x:v>0</x:v>
      </x:c>
      <x:c r="EV69" s="1111" t="e">
        <x:f t="shared" si="183"/>
        <x:v>#VALUE!</x:v>
      </x:c>
      <x:c r="EW69" s="1111" t="e">
        <x:f t="shared" si="184"/>
        <x:v>#VALUE!</x:v>
      </x:c>
      <x:c r="EX69" s="1113" t="str">
        <x:f t="shared" si="213"/>
        <x:v/>
      </x:c>
      <x:c r="EY69" s="1114">
        <x:f t="shared" si="185"/>
        <x:v>25</x:v>
      </x:c>
      <x:c r="EZ69" s="1219">
        <x:f t="shared" si="186"/>
        <x:v>0</x:v>
      </x:c>
      <x:c r="FA69" s="1220">
        <x:f t="shared" si="187"/>
        <x:v>0</x:v>
      </x:c>
      <x:c r="FB69" s="1115" t="str">
        <x:f t="shared" si="188"/>
        <x:v/>
      </x:c>
      <x:c r="FC69" s="1116" t="str">
        <x:f t="shared" si="189"/>
        <x:v/>
      </x:c>
      <x:c r="FD69" s="1126">
        <x:f t="shared" si="190"/>
        <x:v>0</x:v>
      </x:c>
      <x:c r="FE69" s="1066">
        <x:f t="shared" si="191"/>
        <x:v>0</x:v>
      </x:c>
      <x:c r="FF69" s="969" t="b">
        <x:f t="shared" si="192"/>
        <x:v>0</x:v>
      </x:c>
      <x:c r="FG69" s="969" t="b">
        <x:f t="shared" si="193"/>
        <x:v>0</x:v>
      </x:c>
      <x:c r="FH69" s="969" t="b">
        <x:f t="shared" si="194"/>
        <x:v>0</x:v>
      </x:c>
      <x:c r="FI69" s="969" t="b">
        <x:f t="shared" si="195"/>
        <x:v>0</x:v>
      </x:c>
      <x:c r="FJ69" s="1161" t="str">
        <x:f t="shared" si="214"/>
        <x:v/>
      </x:c>
      <x:c r="FK69" s="1160" t="str">
        <x:f t="shared" si="215"/>
        <x:v/>
      </x:c>
      <x:c r="FL69" s="388" t="e">
        <x:f t="shared" si="216"/>
        <x:v>#N/A</x:v>
      </x:c>
      <x:c r="FM69" s="380" t="str">
        <x:f t="shared" si="196"/>
        <x:v/>
      </x:c>
      <x:c r="FN69" s="337" t="str">
        <x:f t="shared" ca="1" si="217"/>
        <x:v/>
      </x:c>
      <x:c r="FO69" s="338" t="str">
        <x:f t="shared" ca="1" si="218"/>
        <x:v/>
      </x:c>
      <x:c r="FP69" s="339" t="str">
        <x:f t="shared" ca="1" si="219"/>
        <x:v/>
      </x:c>
      <x:c r="FQ69" s="339" t="str">
        <x:f t="shared" ca="1" si="220"/>
        <x:v/>
      </x:c>
      <x:c r="FR69" s="389">
        <x:f t="shared" ca="1" si="221"/>
        <x:v>0</x:v>
      </x:c>
      <x:c r="FS69" s="390">
        <x:f t="shared" ca="1" si="222"/>
        <x:v>0</x:v>
      </x:c>
      <x:c r="FT69" s="337" t="str">
        <x:f t="shared" ca="1" si="223"/>
        <x:v/>
      </x:c>
      <x:c r="FU69" s="340" t="str">
        <x:f t="shared" ca="1" si="224"/>
        <x:v/>
      </x:c>
      <x:c r="FV69" s="391" t="str">
        <x:f t="shared" ca="1" si="197"/>
        <x:v/>
      </x:c>
      <x:c r="FW69" s="341" t="str">
        <x:f t="shared" ca="1" si="225"/>
        <x:v/>
      </x:c>
      <x:c r="FX69" s="341" t="str">
        <x:f t="shared" ca="1" si="226"/>
        <x:v/>
      </x:c>
      <x:c r="FY69" s="341" t="str">
        <x:f t="shared" ca="1" si="227"/>
        <x:v/>
      </x:c>
      <x:c r="FZ69" s="341" t="str">
        <x:f t="shared" ca="1" si="228"/>
        <x:v/>
      </x:c>
      <x:c r="GA69" s="341" t="str">
        <x:f t="shared" ca="1" si="229"/>
        <x:v/>
      </x:c>
      <x:c r="GB69" s="342" t="str">
        <x:f ca="1">IF(FY69="","",2+SUM(FO69:OFFSET(FO69,(FU69-1)*-1,0)))</x:f>
        <x:v/>
      </x:c>
      <x:c r="GC69" s="384" t="e">
        <x:f t="shared" si="230"/>
        <x:v>#N/A</x:v>
      </x:c>
      <x:c r="GD69" s="392" t="str">
        <x:f t="shared" si="198"/>
        <x:v/>
      </x:c>
      <x:c r="GE69" s="393" t="str">
        <x:f t="shared" si="199"/>
        <x:v/>
      </x:c>
      <x:c r="GF69" s="343" t="str">
        <x:f t="shared" si="200"/>
        <x:v/>
      </x:c>
      <x:c r="GG69" s="344" t="str">
        <x:f t="shared" si="201"/>
        <x:v/>
      </x:c>
      <x:c r="GH69" s="344" t="str">
        <x:f t="shared" si="202"/>
        <x:v/>
      </x:c>
      <x:c r="GI69" s="345" t="str">
        <x:f t="shared" si="203"/>
        <x:v/>
      </x:c>
      <x:c r="GJ69" s="646">
        <x:f t="shared" ca="1" si="204"/>
        <x:v>0</x:v>
      </x:c>
      <x:c r="GK69" s="1131" t="str">
        <x:f t="shared" ca="1" si="231"/>
        <x:v>A</x:v>
      </x:c>
    </x:row>
    <x:row r="70" spans="78:193" ht="12.6" hidden="1" customHeight="1" x14ac:dyDescent="0.2">
      <x:c r="BZ70" s="360"/>
      <x:c r="CA70" s="360"/>
      <x:c r="CB70" s="435" t="str">
        <x:f t="shared" si="137"/>
        <x:v/>
      </x:c>
      <x:c r="CC70" s="436" t="str">
        <x:f>IF(CG30="","",VLOOKUP(CG30,SectInfo!$B:$N,12,FALSE))</x:f>
        <x:v/>
      </x:c>
      <x:c r="CD70" s="1172" t="str">
        <x:f>IF(ISBLANK(CZ30),IF(CG30="","",VLOOKUP(CG30,SectInfo!$B:$N,13,FALSE)),CZ30)</x:f>
        <x:v/>
      </x:c>
      <x:c r="CE70" s="437" t="str">
        <x:f>IF(CG30="","",IF(VLOOKUP(CG30,SectInfo!$B:$N,5,FALSE)="","R",UPPER(VLOOKUP(CG30,SectInfo!$B:$N,5,FALSE))))</x:f>
        <x:v/>
      </x:c>
      <x:c r="CF70" s="1172" t="str">
        <x:f>IF(ISBLANK(DD30),IF(CG30="","",VLOOKUP(CG30,SectInfo!$B:$N,6,FALSE)),DD30)</x:f>
        <x:v/>
      </x:c>
      <x:c r="CG70" s="437" t="str">
        <x:f>IF(CG30="","",IF(VLOOKUP(CG30,SectInfo!$B:$N,10,FALSE)="","",(VLOOKUP(CG30,SectInfo!$B:$N,10,FALSE)*-1)))</x:f>
        <x:v/>
      </x:c>
      <x:c r="CH70" s="437" t="str">
        <x:f>IF(CG30="","",IF(VLOOKUP(CG30,SectInfo!$B:$N,7,FALSE)="","",(VLOOKUP(CG30,SectInfo!$B:$N,7,FALSE)*-1)))</x:f>
        <x:v/>
      </x:c>
      <x:c r="CI70" s="437" t="str">
        <x:f>IF(CG30="","",IF(VLOOKUP(CG30,SectInfo!$B:$N,8,FALSE)="",$FC$4,(VLOOKUP(CG30,SectInfo!$B:$N,8,FALSE))))</x:f>
        <x:v/>
      </x:c>
      <x:c r="CJ70" s="437" t="str">
        <x:f>IF(CG30="","",VLOOKUP(CG30,SectInfo!$B:$N,9,FALSE))</x:f>
        <x:v/>
      </x:c>
      <x:c r="CK70" s="438">
        <x:f t="shared" si="205"/>
        <x:v>0</x:v>
      </x:c>
      <x:c r="CL70" s="436" t="str">
        <x:f>IF(CN30="","",VLOOKUP(CN30,SectInfo!$B:$N,12,FALSE))</x:f>
        <x:v/>
      </x:c>
      <x:c r="CM70" s="1172" t="str">
        <x:f>IF(ISBLANK(DA30),IF(CN30="","",VLOOKUP(CN30,SectInfo!$B:$N,13,FALSE)),DA30)</x:f>
        <x:v/>
      </x:c>
      <x:c r="CN70" s="437" t="str">
        <x:f>IF(CN30="","",IF(VLOOKUP(CN30,SectInfo!$B:$N,5,FALSE)="","R",UPPER(VLOOKUP(CN30,SectInfo!$B:$N,5,FALSE))))</x:f>
        <x:v/>
      </x:c>
      <x:c r="CO70" s="1172" t="str">
        <x:f>IF(ISBLANK(DE30),IF(CN30="","",VLOOKUP(CN30,SectInfo!$B:$N,6,FALSE)),DE30)</x:f>
        <x:v/>
      </x:c>
      <x:c r="CP70" s="437" t="str">
        <x:f>IF(CN30="","",IF(VLOOKUP(CN30,SectInfo!$B:$N,10,FALSE)="","",(VLOOKUP(CN30,SectInfo!$B:$N,10,FALSE)*-1)))</x:f>
        <x:v/>
      </x:c>
      <x:c r="CQ70" s="437" t="str">
        <x:f>IF(CN30="","",IF(VLOOKUP(CN30,SectInfo!$B:$N,7,FALSE)="","",(VLOOKUP(CN30,SectInfo!$B:$N,7,FALSE)*-1)))</x:f>
        <x:v/>
      </x:c>
      <x:c r="CR70" s="437" t="str">
        <x:f>IF(CN30="","",IF(VLOOKUP(CN30,SectInfo!$B:$N,8,FALSE)="",$FC$4,(VLOOKUP(CN30,SectInfo!$B:$N,8,FALSE))))</x:f>
        <x:v/>
      </x:c>
      <x:c r="CS70" s="437" t="str">
        <x:f>IF(CN30="","",VLOOKUP(CN30,SectInfo!$B:$N,9,FALSE))</x:f>
        <x:v/>
      </x:c>
      <x:c r="CT70" s="438">
        <x:f t="shared" si="206"/>
        <x:v>0</x:v>
      </x:c>
      <x:c r="CU70" s="439">
        <x:f t="shared" si="138"/>
        <x:v>0</x:v>
      </x:c>
      <x:c r="CV70" s="339" t="str">
        <x:f t="shared" si="139"/>
        <x:v/>
      </x:c>
      <x:c r="CW70" s="339" t="str">
        <x:f t="shared" si="140"/>
        <x:v/>
      </x:c>
      <x:c r="CX70" s="339" t="str">
        <x:f t="shared" si="141"/>
        <x:v/>
      </x:c>
      <x:c r="CY70" s="1109">
        <x:f t="shared" si="142"/>
        <x:v>0</x:v>
      </x:c>
      <x:c r="CZ70" s="1109">
        <x:f t="shared" si="143"/>
        <x:v>0</x:v>
      </x:c>
      <x:c r="DA70" s="1109" t="str">
        <x:f t="shared" si="144"/>
        <x:v/>
      </x:c>
      <x:c r="DB70" s="1125" t="str">
        <x:f t="shared" si="207"/>
        <x:v/>
      </x:c>
      <x:c r="DC70" s="1125" t="str">
        <x:f t="shared" si="145"/>
        <x:v/>
      </x:c>
      <x:c r="DD70" s="1110">
        <x:f t="shared" si="208"/>
        <x:v>0</x:v>
      </x:c>
      <x:c r="DE70" s="1108">
        <x:f t="shared" si="209"/>
        <x:v>0</x:v>
      </x:c>
      <x:c r="DF70" s="1109">
        <x:f t="shared" si="146"/>
        <x:v>0</x:v>
      </x:c>
      <x:c r="DG70" s="1109" t="str">
        <x:f t="shared" si="147"/>
        <x:v/>
      </x:c>
      <x:c r="DH70" s="1125" t="str">
        <x:f t="shared" si="210"/>
        <x:v/>
      </x:c>
      <x:c r="DI70" s="1125" t="str">
        <x:f t="shared" si="211"/>
        <x:v/>
      </x:c>
      <x:c r="DJ70" s="1110">
        <x:f t="shared" si="212"/>
        <x:v>0</x:v>
      </x:c>
      <x:c r="DK70" s="1108" t="str">
        <x:f t="shared" si="148"/>
        <x:v/>
      </x:c>
      <x:c r="DL70" s="1108" t="str">
        <x:f t="shared" si="149"/>
        <x:v/>
      </x:c>
      <x:c r="DM70" s="1108" t="str">
        <x:f t="shared" si="150"/>
        <x:v/>
      </x:c>
      <x:c r="DN70" s="1108" t="str">
        <x:f t="shared" si="151"/>
        <x:v/>
      </x:c>
      <x:c r="DO70" s="1125" t="str">
        <x:f t="shared" si="152"/>
        <x:v>ERR</x:v>
      </x:c>
      <x:c r="DP70" s="1125" t="str">
        <x:f t="shared" si="153"/>
        <x:v>ERR</x:v>
      </x:c>
      <x:c r="DQ70" s="1108" t="str">
        <x:f t="shared" si="154"/>
        <x:v/>
      </x:c>
      <x:c r="DR70" s="1108" t="str">
        <x:f t="shared" si="154"/>
        <x:v/>
      </x:c>
      <x:c r="DS70" s="1108" t="str">
        <x:f t="shared" si="155"/>
        <x:v/>
      </x:c>
      <x:c r="DT70" s="1108" t="str">
        <x:f t="shared" si="156"/>
        <x:v/>
      </x:c>
      <x:c r="DU70" s="1108" t="str">
        <x:f t="shared" si="157"/>
        <x:v/>
      </x:c>
      <x:c r="DV70" s="1125" t="str">
        <x:f t="shared" si="158"/>
        <x:v>ERR</x:v>
      </x:c>
      <x:c r="DW70" s="1125" t="str">
        <x:f t="shared" si="159"/>
        <x:v>ERR</x:v>
      </x:c>
      <x:c r="DX70" s="1108" t="str">
        <x:f t="shared" si="160"/>
        <x:v/>
      </x:c>
      <x:c r="DY70" s="1108" t="str">
        <x:f t="shared" si="160"/>
        <x:v/>
      </x:c>
      <x:c r="DZ70" s="1108" t="str">
        <x:f t="shared" si="161"/>
        <x:v/>
      </x:c>
      <x:c r="EA70" s="1108" t="str">
        <x:f t="shared" si="162"/>
        <x:v/>
      </x:c>
      <x:c r="EB70" s="1111" t="str">
        <x:f t="shared" si="163"/>
        <x:v/>
      </x:c>
      <x:c r="EC70" s="1112" t="str">
        <x:f t="shared" si="164"/>
        <x:v/>
      </x:c>
      <x:c r="ED70" s="1111" t="str">
        <x:f t="shared" si="165"/>
        <x:v/>
      </x:c>
      <x:c r="EE70" s="1111" t="str">
        <x:f t="shared" si="166"/>
        <x:v/>
      </x:c>
      <x:c r="EF70" s="1111" t="str">
        <x:f t="shared" si="167"/>
        <x:v/>
      </x:c>
      <x:c r="EG70" s="1111" t="str">
        <x:f t="shared" si="168"/>
        <x:v/>
      </x:c>
      <x:c r="EH70" s="1111" t="str">
        <x:f t="shared" si="169"/>
        <x:v/>
      </x:c>
      <x:c r="EI70" s="1111" t="str">
        <x:f t="shared" si="170"/>
        <x:v/>
      </x:c>
      <x:c r="EJ70" s="1111" t="str">
        <x:f t="shared" si="171"/>
        <x:v/>
      </x:c>
      <x:c r="EK70" s="1109">
        <x:f t="shared" si="172"/>
        <x:v>0</x:v>
      </x:c>
      <x:c r="EL70" s="1109">
        <x:f t="shared" si="173"/>
        <x:v>0</x:v>
      </x:c>
      <x:c r="EM70" s="1109">
        <x:f t="shared" si="174"/>
        <x:v>0</x:v>
      </x:c>
      <x:c r="EN70" s="1109" t="str">
        <x:f t="shared" si="175"/>
        <x:v/>
      </x:c>
      <x:c r="EO70" s="1108" t="str">
        <x:f t="shared" si="176"/>
        <x:v/>
      </x:c>
      <x:c r="EP70" s="1109">
        <x:f t="shared" si="177"/>
        <x:v>0</x:v>
      </x:c>
      <x:c r="EQ70" s="1109">
        <x:f t="shared" si="178"/>
        <x:v>0</x:v>
      </x:c>
      <x:c r="ER70" s="1109">
        <x:f t="shared" si="179"/>
        <x:v>0</x:v>
      </x:c>
      <x:c r="ES70" s="1109" t="str">
        <x:f t="shared" si="180"/>
        <x:v/>
      </x:c>
      <x:c r="ET70" s="1108" t="str">
        <x:f t="shared" si="181"/>
        <x:v/>
      </x:c>
      <x:c r="EU70" s="1108">
        <x:f t="shared" si="182"/>
        <x:v>0</x:v>
      </x:c>
      <x:c r="EV70" s="1111" t="e">
        <x:f t="shared" si="183"/>
        <x:v>#VALUE!</x:v>
      </x:c>
      <x:c r="EW70" s="1111" t="e">
        <x:f t="shared" si="184"/>
        <x:v>#VALUE!</x:v>
      </x:c>
      <x:c r="EX70" s="1113" t="str">
        <x:f t="shared" si="213"/>
        <x:v/>
      </x:c>
      <x:c r="EY70" s="1114">
        <x:f t="shared" si="185"/>
        <x:v>25</x:v>
      </x:c>
      <x:c r="EZ70" s="1219">
        <x:f t="shared" si="186"/>
        <x:v>0</x:v>
      </x:c>
      <x:c r="FA70" s="1220">
        <x:f t="shared" si="187"/>
        <x:v>0</x:v>
      </x:c>
      <x:c r="FB70" s="1115" t="str">
        <x:f t="shared" si="188"/>
        <x:v/>
      </x:c>
      <x:c r="FC70" s="1116" t="str">
        <x:f t="shared" si="189"/>
        <x:v/>
      </x:c>
      <x:c r="FD70" s="1126">
        <x:f t="shared" si="190"/>
        <x:v>0</x:v>
      </x:c>
      <x:c r="FE70" s="1066">
        <x:f t="shared" si="191"/>
        <x:v>0</x:v>
      </x:c>
      <x:c r="FF70" s="970" t="b">
        <x:f t="shared" si="192"/>
        <x:v>0</x:v>
      </x:c>
      <x:c r="FG70" s="970" t="b">
        <x:f t="shared" si="193"/>
        <x:v>0</x:v>
      </x:c>
      <x:c r="FH70" s="970" t="b">
        <x:f t="shared" si="194"/>
        <x:v>0</x:v>
      </x:c>
      <x:c r="FI70" s="970" t="b">
        <x:f t="shared" si="195"/>
        <x:v>0</x:v>
      </x:c>
      <x:c r="FJ70" s="1161" t="str">
        <x:f t="shared" si="214"/>
        <x:v/>
      </x:c>
      <x:c r="FK70" s="1160" t="str">
        <x:f t="shared" si="215"/>
        <x:v/>
      </x:c>
      <x:c r="FL70" s="388" t="e">
        <x:f t="shared" si="216"/>
        <x:v>#N/A</x:v>
      </x:c>
      <x:c r="FM70" s="380" t="str">
        <x:f t="shared" si="196"/>
        <x:v/>
      </x:c>
      <x:c r="FN70" s="337" t="str">
        <x:f t="shared" ca="1" si="217"/>
        <x:v/>
      </x:c>
      <x:c r="FO70" s="338" t="str">
        <x:f t="shared" ca="1" si="218"/>
        <x:v/>
      </x:c>
      <x:c r="FP70" s="339" t="str">
        <x:f t="shared" ca="1" si="219"/>
        <x:v/>
      </x:c>
      <x:c r="FQ70" s="339" t="str">
        <x:f t="shared" ca="1" si="220"/>
        <x:v/>
      </x:c>
      <x:c r="FR70" s="389">
        <x:f t="shared" ca="1" si="221"/>
        <x:v>0</x:v>
      </x:c>
      <x:c r="FS70" s="390">
        <x:f t="shared" ca="1" si="222"/>
        <x:v>0</x:v>
      </x:c>
      <x:c r="FT70" s="337" t="str">
        <x:f t="shared" ca="1" si="223"/>
        <x:v/>
      </x:c>
      <x:c r="FU70" s="340" t="str">
        <x:f t="shared" ca="1" si="224"/>
        <x:v/>
      </x:c>
      <x:c r="FV70" s="391" t="str">
        <x:f t="shared" ca="1" si="197"/>
        <x:v/>
      </x:c>
      <x:c r="FW70" s="341" t="str">
        <x:f t="shared" ca="1" si="225"/>
        <x:v/>
      </x:c>
      <x:c r="FX70" s="341" t="str">
        <x:f t="shared" ca="1" si="226"/>
        <x:v/>
      </x:c>
      <x:c r="FY70" s="341" t="str">
        <x:f t="shared" ca="1" si="227"/>
        <x:v/>
      </x:c>
      <x:c r="FZ70" s="341" t="str">
        <x:f t="shared" ca="1" si="228"/>
        <x:v/>
      </x:c>
      <x:c r="GA70" s="341" t="str">
        <x:f t="shared" ca="1" si="229"/>
        <x:v/>
      </x:c>
      <x:c r="GB70" s="342" t="str">
        <x:f ca="1">IF(FY70="","",2+SUM(FO70:OFFSET(FO70,(FU70-1)*-1,0)))</x:f>
        <x:v/>
      </x:c>
      <x:c r="GC70" s="384" t="e">
        <x:f t="shared" si="230"/>
        <x:v>#N/A</x:v>
      </x:c>
      <x:c r="GD70" s="392" t="str">
        <x:f t="shared" si="198"/>
        <x:v/>
      </x:c>
      <x:c r="GE70" s="393" t="str">
        <x:f t="shared" si="199"/>
        <x:v/>
      </x:c>
      <x:c r="GF70" s="343" t="str">
        <x:f t="shared" si="200"/>
        <x:v/>
      </x:c>
      <x:c r="GG70" s="344" t="str">
        <x:f t="shared" si="201"/>
        <x:v/>
      </x:c>
      <x:c r="GH70" s="344" t="str">
        <x:f t="shared" si="202"/>
        <x:v/>
      </x:c>
      <x:c r="GI70" s="345" t="str">
        <x:f t="shared" si="203"/>
        <x:v/>
      </x:c>
      <x:c r="GJ70" s="646">
        <x:f t="shared" ca="1" si="204"/>
        <x:v>0</x:v>
      </x:c>
      <x:c r="GK70" s="1131" t="str">
        <x:f t="shared" ca="1" si="231"/>
        <x:v>A</x:v>
      </x:c>
    </x:row>
    <x:row r="71" spans="78:193" ht="12.6" hidden="1" customHeight="1" x14ac:dyDescent="0.2">
      <x:c r="BZ71" s="360"/>
      <x:c r="CA71" s="360"/>
      <x:c r="CB71" s="435" t="str">
        <x:f t="shared" si="137"/>
        <x:v/>
      </x:c>
      <x:c r="CC71" s="436" t="str">
        <x:f>IF(CG31="","",VLOOKUP(CG31,SectInfo!$B:$N,12,FALSE))</x:f>
        <x:v/>
      </x:c>
      <x:c r="CD71" s="1172" t="str">
        <x:f>IF(ISBLANK(CZ31),IF(CG31="","",VLOOKUP(CG31,SectInfo!$B:$N,13,FALSE)),CZ31)</x:f>
        <x:v/>
      </x:c>
      <x:c r="CE71" s="437" t="str">
        <x:f>IF(CG31="","",IF(VLOOKUP(CG31,SectInfo!$B:$N,5,FALSE)="","R",UPPER(VLOOKUP(CG31,SectInfo!$B:$N,5,FALSE))))</x:f>
        <x:v/>
      </x:c>
      <x:c r="CF71" s="1172" t="str">
        <x:f>IF(ISBLANK(DD31),IF(CG31="","",VLOOKUP(CG31,SectInfo!$B:$N,6,FALSE)),DD31)</x:f>
        <x:v/>
      </x:c>
      <x:c r="CG71" s="437" t="str">
        <x:f>IF(CG31="","",IF(VLOOKUP(CG31,SectInfo!$B:$N,10,FALSE)="","",(VLOOKUP(CG31,SectInfo!$B:$N,10,FALSE)*-1)))</x:f>
        <x:v/>
      </x:c>
      <x:c r="CH71" s="437" t="str">
        <x:f>IF(CG31="","",IF(VLOOKUP(CG31,SectInfo!$B:$N,7,FALSE)="","",(VLOOKUP(CG31,SectInfo!$B:$N,7,FALSE)*-1)))</x:f>
        <x:v/>
      </x:c>
      <x:c r="CI71" s="437" t="str">
        <x:f>IF(CG31="","",IF(VLOOKUP(CG31,SectInfo!$B:$N,8,FALSE)="",$FC$4,(VLOOKUP(CG31,SectInfo!$B:$N,8,FALSE))))</x:f>
        <x:v/>
      </x:c>
      <x:c r="CJ71" s="437" t="str">
        <x:f>IF(CG31="","",VLOOKUP(CG31,SectInfo!$B:$N,9,FALSE))</x:f>
        <x:v/>
      </x:c>
      <x:c r="CK71" s="438">
        <x:f t="shared" si="205"/>
        <x:v>0</x:v>
      </x:c>
      <x:c r="CL71" s="436" t="str">
        <x:f>IF(CN31="","",VLOOKUP(CN31,SectInfo!$B:$N,12,FALSE))</x:f>
        <x:v/>
      </x:c>
      <x:c r="CM71" s="1172" t="str">
        <x:f>IF(ISBLANK(DA31),IF(CN31="","",VLOOKUP(CN31,SectInfo!$B:$N,13,FALSE)),DA31)</x:f>
        <x:v/>
      </x:c>
      <x:c r="CN71" s="437" t="str">
        <x:f>IF(CN31="","",IF(VLOOKUP(CN31,SectInfo!$B:$N,5,FALSE)="","R",UPPER(VLOOKUP(CN31,SectInfo!$B:$N,5,FALSE))))</x:f>
        <x:v/>
      </x:c>
      <x:c r="CO71" s="1172" t="str">
        <x:f>IF(ISBLANK(DE31),IF(CN31="","",VLOOKUP(CN31,SectInfo!$B:$N,6,FALSE)),DE31)</x:f>
        <x:v/>
      </x:c>
      <x:c r="CP71" s="437" t="str">
        <x:f>IF(CN31="","",IF(VLOOKUP(CN31,SectInfo!$B:$N,10,FALSE)="","",(VLOOKUP(CN31,SectInfo!$B:$N,10,FALSE)*-1)))</x:f>
        <x:v/>
      </x:c>
      <x:c r="CQ71" s="437" t="str">
        <x:f>IF(CN31="","",IF(VLOOKUP(CN31,SectInfo!$B:$N,7,FALSE)="","",(VLOOKUP(CN31,SectInfo!$B:$N,7,FALSE)*-1)))</x:f>
        <x:v/>
      </x:c>
      <x:c r="CR71" s="437" t="str">
        <x:f>IF(CN31="","",IF(VLOOKUP(CN31,SectInfo!$B:$N,8,FALSE)="",$FC$4,(VLOOKUP(CN31,SectInfo!$B:$N,8,FALSE))))</x:f>
        <x:v/>
      </x:c>
      <x:c r="CS71" s="437" t="str">
        <x:f>IF(CN31="","",VLOOKUP(CN31,SectInfo!$B:$N,9,FALSE))</x:f>
        <x:v/>
      </x:c>
      <x:c r="CT71" s="438">
        <x:f t="shared" si="206"/>
        <x:v>0</x:v>
      </x:c>
      <x:c r="CU71" s="439">
        <x:f t="shared" si="138"/>
        <x:v>0</x:v>
      </x:c>
      <x:c r="CV71" s="339" t="str">
        <x:f t="shared" si="139"/>
        <x:v/>
      </x:c>
      <x:c r="CW71" s="339" t="str">
        <x:f t="shared" si="140"/>
        <x:v/>
      </x:c>
      <x:c r="CX71" s="339" t="str">
        <x:f t="shared" si="141"/>
        <x:v/>
      </x:c>
      <x:c r="CY71" s="1109">
        <x:f t="shared" si="142"/>
        <x:v>0</x:v>
      </x:c>
      <x:c r="CZ71" s="1109">
        <x:f t="shared" si="143"/>
        <x:v>0</x:v>
      </x:c>
      <x:c r="DA71" s="1109" t="str">
        <x:f t="shared" si="144"/>
        <x:v/>
      </x:c>
      <x:c r="DB71" s="1125" t="str">
        <x:f t="shared" si="207"/>
        <x:v/>
      </x:c>
      <x:c r="DC71" s="1125" t="str">
        <x:f t="shared" si="145"/>
        <x:v/>
      </x:c>
      <x:c r="DD71" s="1110">
        <x:f t="shared" si="208"/>
        <x:v>0</x:v>
      </x:c>
      <x:c r="DE71" s="1108">
        <x:f t="shared" si="209"/>
        <x:v>0</x:v>
      </x:c>
      <x:c r="DF71" s="1109">
        <x:f t="shared" si="146"/>
        <x:v>0</x:v>
      </x:c>
      <x:c r="DG71" s="1109" t="str">
        <x:f t="shared" si="147"/>
        <x:v/>
      </x:c>
      <x:c r="DH71" s="1125" t="str">
        <x:f t="shared" si="210"/>
        <x:v/>
      </x:c>
      <x:c r="DI71" s="1125" t="str">
        <x:f t="shared" si="211"/>
        <x:v/>
      </x:c>
      <x:c r="DJ71" s="1110">
        <x:f t="shared" si="212"/>
        <x:v>0</x:v>
      </x:c>
      <x:c r="DK71" s="1108" t="str">
        <x:f t="shared" si="148"/>
        <x:v/>
      </x:c>
      <x:c r="DL71" s="1108" t="str">
        <x:f t="shared" si="149"/>
        <x:v/>
      </x:c>
      <x:c r="DM71" s="1108" t="str">
        <x:f t="shared" si="150"/>
        <x:v/>
      </x:c>
      <x:c r="DN71" s="1108" t="str">
        <x:f t="shared" si="151"/>
        <x:v/>
      </x:c>
      <x:c r="DO71" s="1125" t="str">
        <x:f t="shared" si="152"/>
        <x:v>ERR</x:v>
      </x:c>
      <x:c r="DP71" s="1125" t="str">
        <x:f t="shared" si="153"/>
        <x:v>ERR</x:v>
      </x:c>
      <x:c r="DQ71" s="1108" t="str">
        <x:f t="shared" si="154"/>
        <x:v/>
      </x:c>
      <x:c r="DR71" s="1108" t="str">
        <x:f t="shared" si="154"/>
        <x:v/>
      </x:c>
      <x:c r="DS71" s="1108" t="str">
        <x:f t="shared" si="155"/>
        <x:v/>
      </x:c>
      <x:c r="DT71" s="1108" t="str">
        <x:f t="shared" si="156"/>
        <x:v/>
      </x:c>
      <x:c r="DU71" s="1108" t="str">
        <x:f t="shared" si="157"/>
        <x:v/>
      </x:c>
      <x:c r="DV71" s="1125" t="str">
        <x:f t="shared" si="158"/>
        <x:v>ERR</x:v>
      </x:c>
      <x:c r="DW71" s="1125" t="str">
        <x:f t="shared" si="159"/>
        <x:v>ERR</x:v>
      </x:c>
      <x:c r="DX71" s="1108" t="str">
        <x:f t="shared" si="160"/>
        <x:v/>
      </x:c>
      <x:c r="DY71" s="1108" t="str">
        <x:f t="shared" si="160"/>
        <x:v/>
      </x:c>
      <x:c r="DZ71" s="1108" t="str">
        <x:f t="shared" si="161"/>
        <x:v/>
      </x:c>
      <x:c r="EA71" s="1108" t="str">
        <x:f t="shared" si="162"/>
        <x:v/>
      </x:c>
      <x:c r="EB71" s="1111" t="str">
        <x:f t="shared" si="163"/>
        <x:v/>
      </x:c>
      <x:c r="EC71" s="1112" t="str">
        <x:f t="shared" si="164"/>
        <x:v/>
      </x:c>
      <x:c r="ED71" s="1111" t="str">
        <x:f t="shared" si="165"/>
        <x:v/>
      </x:c>
      <x:c r="EE71" s="1111" t="str">
        <x:f t="shared" si="166"/>
        <x:v/>
      </x:c>
      <x:c r="EF71" s="1111" t="str">
        <x:f t="shared" si="167"/>
        <x:v/>
      </x:c>
      <x:c r="EG71" s="1111" t="str">
        <x:f t="shared" si="168"/>
        <x:v/>
      </x:c>
      <x:c r="EH71" s="1111" t="str">
        <x:f t="shared" si="169"/>
        <x:v/>
      </x:c>
      <x:c r="EI71" s="1111" t="str">
        <x:f t="shared" si="170"/>
        <x:v/>
      </x:c>
      <x:c r="EJ71" s="1111" t="str">
        <x:f t="shared" si="171"/>
        <x:v/>
      </x:c>
      <x:c r="EK71" s="1109">
        <x:f t="shared" si="172"/>
        <x:v>0</x:v>
      </x:c>
      <x:c r="EL71" s="1109">
        <x:f t="shared" si="173"/>
        <x:v>0</x:v>
      </x:c>
      <x:c r="EM71" s="1109">
        <x:f t="shared" si="174"/>
        <x:v>0</x:v>
      </x:c>
      <x:c r="EN71" s="1109" t="str">
        <x:f t="shared" si="175"/>
        <x:v/>
      </x:c>
      <x:c r="EO71" s="1108" t="str">
        <x:f t="shared" si="176"/>
        <x:v/>
      </x:c>
      <x:c r="EP71" s="1109">
        <x:f t="shared" si="177"/>
        <x:v>0</x:v>
      </x:c>
      <x:c r="EQ71" s="1109">
        <x:f t="shared" si="178"/>
        <x:v>0</x:v>
      </x:c>
      <x:c r="ER71" s="1109">
        <x:f t="shared" si="179"/>
        <x:v>0</x:v>
      </x:c>
      <x:c r="ES71" s="1109" t="str">
        <x:f t="shared" si="180"/>
        <x:v/>
      </x:c>
      <x:c r="ET71" s="1108" t="str">
        <x:f t="shared" si="181"/>
        <x:v/>
      </x:c>
      <x:c r="EU71" s="1108">
        <x:f t="shared" si="182"/>
        <x:v>0</x:v>
      </x:c>
      <x:c r="EV71" s="1111" t="e">
        <x:f t="shared" si="183"/>
        <x:v>#VALUE!</x:v>
      </x:c>
      <x:c r="EW71" s="1111" t="e">
        <x:f t="shared" si="184"/>
        <x:v>#VALUE!</x:v>
      </x:c>
      <x:c r="EX71" s="1113" t="str">
        <x:f t="shared" si="213"/>
        <x:v/>
      </x:c>
      <x:c r="EY71" s="1114">
        <x:f t="shared" si="185"/>
        <x:v>25</x:v>
      </x:c>
      <x:c r="EZ71" s="1219">
        <x:f t="shared" si="186"/>
        <x:v>0</x:v>
      </x:c>
      <x:c r="FA71" s="1220">
        <x:f t="shared" si="187"/>
        <x:v>0</x:v>
      </x:c>
      <x:c r="FB71" s="1115" t="str">
        <x:f t="shared" si="188"/>
        <x:v/>
      </x:c>
      <x:c r="FC71" s="1116" t="str">
        <x:f t="shared" si="189"/>
        <x:v/>
      </x:c>
      <x:c r="FD71" s="1126">
        <x:f t="shared" si="190"/>
        <x:v>0</x:v>
      </x:c>
      <x:c r="FE71" s="1066">
        <x:f t="shared" si="191"/>
        <x:v>0</x:v>
      </x:c>
      <x:c r="FF71" s="970" t="b">
        <x:f t="shared" si="192"/>
        <x:v>0</x:v>
      </x:c>
      <x:c r="FG71" s="970" t="b">
        <x:f t="shared" si="193"/>
        <x:v>0</x:v>
      </x:c>
      <x:c r="FH71" s="970" t="b">
        <x:f t="shared" si="194"/>
        <x:v>0</x:v>
      </x:c>
      <x:c r="FI71" s="970" t="b">
        <x:f t="shared" si="195"/>
        <x:v>0</x:v>
      </x:c>
      <x:c r="FJ71" s="1161" t="str">
        <x:f t="shared" si="214"/>
        <x:v/>
      </x:c>
      <x:c r="FK71" s="1160" t="str">
        <x:f t="shared" si="215"/>
        <x:v/>
      </x:c>
      <x:c r="FL71" s="388" t="e">
        <x:f t="shared" si="216"/>
        <x:v>#N/A</x:v>
      </x:c>
      <x:c r="FM71" s="380" t="str">
        <x:f t="shared" si="196"/>
        <x:v/>
      </x:c>
      <x:c r="FN71" s="337" t="str">
        <x:f t="shared" ca="1" si="217"/>
        <x:v/>
      </x:c>
      <x:c r="FO71" s="338" t="str">
        <x:f t="shared" ca="1" si="218"/>
        <x:v/>
      </x:c>
      <x:c r="FP71" s="339" t="str">
        <x:f t="shared" ca="1" si="219"/>
        <x:v/>
      </x:c>
      <x:c r="FQ71" s="339" t="str">
        <x:f t="shared" ca="1" si="220"/>
        <x:v/>
      </x:c>
      <x:c r="FR71" s="389">
        <x:f t="shared" ca="1" si="221"/>
        <x:v>0</x:v>
      </x:c>
      <x:c r="FS71" s="390">
        <x:f t="shared" ca="1" si="222"/>
        <x:v>0</x:v>
      </x:c>
      <x:c r="FT71" s="337" t="str">
        <x:f t="shared" ca="1" si="223"/>
        <x:v/>
      </x:c>
      <x:c r="FU71" s="340" t="str">
        <x:f t="shared" ca="1" si="224"/>
        <x:v/>
      </x:c>
      <x:c r="FV71" s="391" t="str">
        <x:f t="shared" ca="1" si="197"/>
        <x:v/>
      </x:c>
      <x:c r="FW71" s="341" t="str">
        <x:f t="shared" ca="1" si="225"/>
        <x:v/>
      </x:c>
      <x:c r="FX71" s="341" t="str">
        <x:f t="shared" ca="1" si="226"/>
        <x:v/>
      </x:c>
      <x:c r="FY71" s="341" t="str">
        <x:f t="shared" ca="1" si="227"/>
        <x:v/>
      </x:c>
      <x:c r="FZ71" s="341" t="str">
        <x:f t="shared" ca="1" si="228"/>
        <x:v/>
      </x:c>
      <x:c r="GA71" s="341" t="str">
        <x:f t="shared" ca="1" si="229"/>
        <x:v/>
      </x:c>
      <x:c r="GB71" s="342" t="str">
        <x:f ca="1">IF(FY71="","",2+SUM(FO71:OFFSET(FO71,(FU71-1)*-1,0)))</x:f>
        <x:v/>
      </x:c>
      <x:c r="GC71" s="384" t="e">
        <x:f t="shared" si="230"/>
        <x:v>#N/A</x:v>
      </x:c>
      <x:c r="GD71" s="392" t="str">
        <x:f t="shared" si="198"/>
        <x:v/>
      </x:c>
      <x:c r="GE71" s="393" t="str">
        <x:f t="shared" si="199"/>
        <x:v/>
      </x:c>
      <x:c r="GF71" s="343" t="str">
        <x:f t="shared" si="200"/>
        <x:v/>
      </x:c>
      <x:c r="GG71" s="344" t="str">
        <x:f t="shared" si="201"/>
        <x:v/>
      </x:c>
      <x:c r="GH71" s="344" t="str">
        <x:f t="shared" si="202"/>
        <x:v/>
      </x:c>
      <x:c r="GI71" s="345" t="str">
        <x:f t="shared" si="203"/>
        <x:v/>
      </x:c>
      <x:c r="GJ71" s="646">
        <x:f t="shared" ca="1" si="204"/>
        <x:v>0</x:v>
      </x:c>
      <x:c r="GK71" s="1131" t="str">
        <x:f t="shared" ca="1" si="231"/>
        <x:v>A</x:v>
      </x:c>
    </x:row>
    <x:row r="72" spans="78:193" ht="12.6" hidden="1" customHeight="1" x14ac:dyDescent="0.2">
      <x:c r="BZ72" s="360"/>
      <x:c r="CA72" s="360"/>
      <x:c r="CB72" s="435" t="str">
        <x:f t="shared" si="137"/>
        <x:v/>
      </x:c>
      <x:c r="CC72" s="436" t="str">
        <x:f>IF(CG32="","",VLOOKUP(CG32,SectInfo!$B:$N,12,FALSE))</x:f>
        <x:v/>
      </x:c>
      <x:c r="CD72" s="1172" t="str">
        <x:f>IF(ISBLANK(CZ32),IF(CG32="","",VLOOKUP(CG32,SectInfo!$B:$N,13,FALSE)),CZ32)</x:f>
        <x:v/>
      </x:c>
      <x:c r="CE72" s="437" t="str">
        <x:f>IF(CG32="","",IF(VLOOKUP(CG32,SectInfo!$B:$N,5,FALSE)="","R",UPPER(VLOOKUP(CG32,SectInfo!$B:$N,5,FALSE))))</x:f>
        <x:v/>
      </x:c>
      <x:c r="CF72" s="1172" t="str">
        <x:f>IF(ISBLANK(DD32),IF(CG32="","",VLOOKUP(CG32,SectInfo!$B:$N,6,FALSE)),DD32)</x:f>
        <x:v/>
      </x:c>
      <x:c r="CG72" s="437" t="str">
        <x:f>IF(CG32="","",IF(VLOOKUP(CG32,SectInfo!$B:$N,10,FALSE)="","",(VLOOKUP(CG32,SectInfo!$B:$N,10,FALSE)*-1)))</x:f>
        <x:v/>
      </x:c>
      <x:c r="CH72" s="437" t="str">
        <x:f>IF(CG32="","",IF(VLOOKUP(CG32,SectInfo!$B:$N,7,FALSE)="","",(VLOOKUP(CG32,SectInfo!$B:$N,7,FALSE)*-1)))</x:f>
        <x:v/>
      </x:c>
      <x:c r="CI72" s="437" t="str">
        <x:f>IF(CG32="","",IF(VLOOKUP(CG32,SectInfo!$B:$N,8,FALSE)="",$FC$4,(VLOOKUP(CG32,SectInfo!$B:$N,8,FALSE))))</x:f>
        <x:v/>
      </x:c>
      <x:c r="CJ72" s="437" t="str">
        <x:f>IF(CG32="","",VLOOKUP(CG32,SectInfo!$B:$N,9,FALSE))</x:f>
        <x:v/>
      </x:c>
      <x:c r="CK72" s="438">
        <x:f t="shared" si="205"/>
        <x:v>0</x:v>
      </x:c>
      <x:c r="CL72" s="436" t="str">
        <x:f>IF(CN32="","",VLOOKUP(CN32,SectInfo!$B:$N,12,FALSE))</x:f>
        <x:v/>
      </x:c>
      <x:c r="CM72" s="1172" t="str">
        <x:f>IF(ISBLANK(DA32),IF(CN32="","",VLOOKUP(CN32,SectInfo!$B:$N,13,FALSE)),DA32)</x:f>
        <x:v/>
      </x:c>
      <x:c r="CN72" s="437" t="str">
        <x:f>IF(CN32="","",IF(VLOOKUP(CN32,SectInfo!$B:$N,5,FALSE)="","R",UPPER(VLOOKUP(CN32,SectInfo!$B:$N,5,FALSE))))</x:f>
        <x:v/>
      </x:c>
      <x:c r="CO72" s="1172" t="str">
        <x:f>IF(ISBLANK(DE32),IF(CN32="","",VLOOKUP(CN32,SectInfo!$B:$N,6,FALSE)),DE32)</x:f>
        <x:v/>
      </x:c>
      <x:c r="CP72" s="437" t="str">
        <x:f>IF(CN32="","",IF(VLOOKUP(CN32,SectInfo!$B:$N,10,FALSE)="","",(VLOOKUP(CN32,SectInfo!$B:$N,10,FALSE)*-1)))</x:f>
        <x:v/>
      </x:c>
      <x:c r="CQ72" s="437" t="str">
        <x:f>IF(CN32="","",IF(VLOOKUP(CN32,SectInfo!$B:$N,7,FALSE)="","",(VLOOKUP(CN32,SectInfo!$B:$N,7,FALSE)*-1)))</x:f>
        <x:v/>
      </x:c>
      <x:c r="CR72" s="437" t="str">
        <x:f>IF(CN32="","",IF(VLOOKUP(CN32,SectInfo!$B:$N,8,FALSE)="",$FC$4,(VLOOKUP(CN32,SectInfo!$B:$N,8,FALSE))))</x:f>
        <x:v/>
      </x:c>
      <x:c r="CS72" s="437" t="str">
        <x:f>IF(CN32="","",VLOOKUP(CN32,SectInfo!$B:$N,9,FALSE))</x:f>
        <x:v/>
      </x:c>
      <x:c r="CT72" s="438">
        <x:f t="shared" si="206"/>
        <x:v>0</x:v>
      </x:c>
      <x:c r="CU72" s="439">
        <x:f t="shared" si="138"/>
        <x:v>0</x:v>
      </x:c>
      <x:c r="CV72" s="339" t="str">
        <x:f t="shared" si="139"/>
        <x:v/>
      </x:c>
      <x:c r="CW72" s="339" t="str">
        <x:f t="shared" si="140"/>
        <x:v/>
      </x:c>
      <x:c r="CX72" s="339" t="str">
        <x:f t="shared" si="141"/>
        <x:v/>
      </x:c>
      <x:c r="CY72" s="1109">
        <x:f t="shared" si="142"/>
        <x:v>0</x:v>
      </x:c>
      <x:c r="CZ72" s="1109">
        <x:f t="shared" si="143"/>
        <x:v>0</x:v>
      </x:c>
      <x:c r="DA72" s="1109" t="str">
        <x:f t="shared" si="144"/>
        <x:v/>
      </x:c>
      <x:c r="DB72" s="1125" t="str">
        <x:f t="shared" si="207"/>
        <x:v/>
      </x:c>
      <x:c r="DC72" s="1125" t="str">
        <x:f t="shared" si="145"/>
        <x:v/>
      </x:c>
      <x:c r="DD72" s="1110">
        <x:f t="shared" si="208"/>
        <x:v>0</x:v>
      </x:c>
      <x:c r="DE72" s="1108">
        <x:f t="shared" si="209"/>
        <x:v>0</x:v>
      </x:c>
      <x:c r="DF72" s="1109">
        <x:f t="shared" si="146"/>
        <x:v>0</x:v>
      </x:c>
      <x:c r="DG72" s="1109" t="str">
        <x:f t="shared" si="147"/>
        <x:v/>
      </x:c>
      <x:c r="DH72" s="1125" t="str">
        <x:f t="shared" si="210"/>
        <x:v/>
      </x:c>
      <x:c r="DI72" s="1125" t="str">
        <x:f t="shared" si="211"/>
        <x:v/>
      </x:c>
      <x:c r="DJ72" s="1110">
        <x:f t="shared" si="212"/>
        <x:v>0</x:v>
      </x:c>
      <x:c r="DK72" s="1108" t="str">
        <x:f t="shared" si="148"/>
        <x:v/>
      </x:c>
      <x:c r="DL72" s="1108" t="str">
        <x:f t="shared" si="149"/>
        <x:v/>
      </x:c>
      <x:c r="DM72" s="1108" t="str">
        <x:f t="shared" si="150"/>
        <x:v/>
      </x:c>
      <x:c r="DN72" s="1108" t="str">
        <x:f t="shared" si="151"/>
        <x:v/>
      </x:c>
      <x:c r="DO72" s="1125" t="str">
        <x:f t="shared" si="152"/>
        <x:v>ERR</x:v>
      </x:c>
      <x:c r="DP72" s="1125" t="str">
        <x:f t="shared" si="153"/>
        <x:v>ERR</x:v>
      </x:c>
      <x:c r="DQ72" s="1108" t="str">
        <x:f t="shared" si="154"/>
        <x:v/>
      </x:c>
      <x:c r="DR72" s="1108" t="str">
        <x:f t="shared" si="154"/>
        <x:v/>
      </x:c>
      <x:c r="DS72" s="1108" t="str">
        <x:f t="shared" si="155"/>
        <x:v/>
      </x:c>
      <x:c r="DT72" s="1108" t="str">
        <x:f t="shared" si="156"/>
        <x:v/>
      </x:c>
      <x:c r="DU72" s="1108" t="str">
        <x:f t="shared" si="157"/>
        <x:v/>
      </x:c>
      <x:c r="DV72" s="1125" t="str">
        <x:f t="shared" si="158"/>
        <x:v>ERR</x:v>
      </x:c>
      <x:c r="DW72" s="1125" t="str">
        <x:f t="shared" si="159"/>
        <x:v>ERR</x:v>
      </x:c>
      <x:c r="DX72" s="1108" t="str">
        <x:f t="shared" si="160"/>
        <x:v/>
      </x:c>
      <x:c r="DY72" s="1108" t="str">
        <x:f t="shared" si="160"/>
        <x:v/>
      </x:c>
      <x:c r="DZ72" s="1108" t="str">
        <x:f t="shared" si="161"/>
        <x:v/>
      </x:c>
      <x:c r="EA72" s="1108" t="str">
        <x:f t="shared" si="162"/>
        <x:v/>
      </x:c>
      <x:c r="EB72" s="1111" t="str">
        <x:f t="shared" si="163"/>
        <x:v/>
      </x:c>
      <x:c r="EC72" s="1112" t="str">
        <x:f t="shared" si="164"/>
        <x:v/>
      </x:c>
      <x:c r="ED72" s="1111" t="str">
        <x:f t="shared" si="165"/>
        <x:v/>
      </x:c>
      <x:c r="EE72" s="1111" t="str">
        <x:f t="shared" si="166"/>
        <x:v/>
      </x:c>
      <x:c r="EF72" s="1111" t="str">
        <x:f t="shared" si="167"/>
        <x:v/>
      </x:c>
      <x:c r="EG72" s="1111" t="str">
        <x:f t="shared" si="168"/>
        <x:v/>
      </x:c>
      <x:c r="EH72" s="1111" t="str">
        <x:f t="shared" si="169"/>
        <x:v/>
      </x:c>
      <x:c r="EI72" s="1111" t="str">
        <x:f t="shared" si="170"/>
        <x:v/>
      </x:c>
      <x:c r="EJ72" s="1111" t="str">
        <x:f t="shared" si="171"/>
        <x:v/>
      </x:c>
      <x:c r="EK72" s="1109">
        <x:f t="shared" si="172"/>
        <x:v>0</x:v>
      </x:c>
      <x:c r="EL72" s="1109">
        <x:f t="shared" si="173"/>
        <x:v>0</x:v>
      </x:c>
      <x:c r="EM72" s="1109">
        <x:f t="shared" si="174"/>
        <x:v>0</x:v>
      </x:c>
      <x:c r="EN72" s="1109" t="str">
        <x:f t="shared" si="175"/>
        <x:v/>
      </x:c>
      <x:c r="EO72" s="1108" t="str">
        <x:f t="shared" si="176"/>
        <x:v/>
      </x:c>
      <x:c r="EP72" s="1109">
        <x:f t="shared" si="177"/>
        <x:v>0</x:v>
      </x:c>
      <x:c r="EQ72" s="1109">
        <x:f t="shared" si="178"/>
        <x:v>0</x:v>
      </x:c>
      <x:c r="ER72" s="1109">
        <x:f t="shared" si="179"/>
        <x:v>0</x:v>
      </x:c>
      <x:c r="ES72" s="1109" t="str">
        <x:f t="shared" si="180"/>
        <x:v/>
      </x:c>
      <x:c r="ET72" s="1108" t="str">
        <x:f t="shared" si="181"/>
        <x:v/>
      </x:c>
      <x:c r="EU72" s="1108">
        <x:f t="shared" si="182"/>
        <x:v>0</x:v>
      </x:c>
      <x:c r="EV72" s="1111" t="e">
        <x:f t="shared" si="183"/>
        <x:v>#VALUE!</x:v>
      </x:c>
      <x:c r="EW72" s="1111" t="e">
        <x:f t="shared" si="184"/>
        <x:v>#VALUE!</x:v>
      </x:c>
      <x:c r="EX72" s="1113" t="str">
        <x:f t="shared" si="213"/>
        <x:v/>
      </x:c>
      <x:c r="EY72" s="1114">
        <x:f t="shared" si="185"/>
        <x:v>25</x:v>
      </x:c>
      <x:c r="EZ72" s="1219">
        <x:f t="shared" si="186"/>
        <x:v>0</x:v>
      </x:c>
      <x:c r="FA72" s="1220">
        <x:f t="shared" si="187"/>
        <x:v>0</x:v>
      </x:c>
      <x:c r="FB72" s="1115" t="str">
        <x:f t="shared" si="188"/>
        <x:v/>
      </x:c>
      <x:c r="FC72" s="1116" t="str">
        <x:f t="shared" si="189"/>
        <x:v/>
      </x:c>
      <x:c r="FD72" s="1126">
        <x:f t="shared" si="190"/>
        <x:v>0</x:v>
      </x:c>
      <x:c r="FE72" s="1066">
        <x:f t="shared" si="191"/>
        <x:v>0</x:v>
      </x:c>
      <x:c r="FF72" s="969" t="b">
        <x:f t="shared" si="192"/>
        <x:v>0</x:v>
      </x:c>
      <x:c r="FG72" s="969" t="b">
        <x:f t="shared" si="193"/>
        <x:v>0</x:v>
      </x:c>
      <x:c r="FH72" s="969" t="b">
        <x:f t="shared" si="194"/>
        <x:v>0</x:v>
      </x:c>
      <x:c r="FI72" s="969" t="b">
        <x:f t="shared" si="195"/>
        <x:v>0</x:v>
      </x:c>
      <x:c r="FJ72" s="1161" t="str">
        <x:f t="shared" si="214"/>
        <x:v/>
      </x:c>
      <x:c r="FK72" s="1160" t="str">
        <x:f t="shared" si="215"/>
        <x:v/>
      </x:c>
      <x:c r="FL72" s="388" t="e">
        <x:f t="shared" si="216"/>
        <x:v>#N/A</x:v>
      </x:c>
      <x:c r="FM72" s="380" t="str">
        <x:f t="shared" si="196"/>
        <x:v/>
      </x:c>
      <x:c r="FN72" s="337" t="str">
        <x:f t="shared" ca="1" si="217"/>
        <x:v/>
      </x:c>
      <x:c r="FO72" s="338" t="str">
        <x:f t="shared" ca="1" si="218"/>
        <x:v/>
      </x:c>
      <x:c r="FP72" s="339" t="str">
        <x:f t="shared" ca="1" si="219"/>
        <x:v/>
      </x:c>
      <x:c r="FQ72" s="339" t="str">
        <x:f t="shared" ca="1" si="220"/>
        <x:v/>
      </x:c>
      <x:c r="FR72" s="389">
        <x:f t="shared" ca="1" si="221"/>
        <x:v>0</x:v>
      </x:c>
      <x:c r="FS72" s="390">
        <x:f t="shared" ca="1" si="222"/>
        <x:v>0</x:v>
      </x:c>
      <x:c r="FT72" s="337" t="str">
        <x:f t="shared" ca="1" si="223"/>
        <x:v/>
      </x:c>
      <x:c r="FU72" s="340" t="str">
        <x:f t="shared" ca="1" si="224"/>
        <x:v/>
      </x:c>
      <x:c r="FV72" s="391" t="str">
        <x:f t="shared" ca="1" si="197"/>
        <x:v/>
      </x:c>
      <x:c r="FW72" s="341" t="str">
        <x:f t="shared" ca="1" si="225"/>
        <x:v/>
      </x:c>
      <x:c r="FX72" s="341" t="str">
        <x:f t="shared" ca="1" si="226"/>
        <x:v/>
      </x:c>
      <x:c r="FY72" s="341" t="str">
        <x:f t="shared" ca="1" si="227"/>
        <x:v/>
      </x:c>
      <x:c r="FZ72" s="341" t="str">
        <x:f t="shared" ca="1" si="228"/>
        <x:v/>
      </x:c>
      <x:c r="GA72" s="341" t="str">
        <x:f t="shared" ca="1" si="229"/>
        <x:v/>
      </x:c>
      <x:c r="GB72" s="342" t="str">
        <x:f ca="1">IF(FY72="","",2+SUM(FO72:OFFSET(FO72,(FU72-1)*-1,0)))</x:f>
        <x:v/>
      </x:c>
      <x:c r="GC72" s="384" t="e">
        <x:f t="shared" si="230"/>
        <x:v>#N/A</x:v>
      </x:c>
      <x:c r="GD72" s="392" t="str">
        <x:f t="shared" si="198"/>
        <x:v/>
      </x:c>
      <x:c r="GE72" s="393" t="str">
        <x:f t="shared" si="199"/>
        <x:v/>
      </x:c>
      <x:c r="GF72" s="343" t="str">
        <x:f t="shared" si="200"/>
        <x:v/>
      </x:c>
      <x:c r="GG72" s="344" t="str">
        <x:f t="shared" si="201"/>
        <x:v/>
      </x:c>
      <x:c r="GH72" s="344" t="str">
        <x:f t="shared" si="202"/>
        <x:v/>
      </x:c>
      <x:c r="GI72" s="345" t="str">
        <x:f t="shared" si="203"/>
        <x:v/>
      </x:c>
      <x:c r="GJ72" s="646">
        <x:f t="shared" ca="1" si="204"/>
        <x:v>0</x:v>
      </x:c>
      <x:c r="GK72" s="1131" t="str">
        <x:f t="shared" ca="1" si="231"/>
        <x:v/>
      </x:c>
    </x:row>
    <x:row r="73" spans="78:193" ht="12.6" hidden="1" customHeight="1" x14ac:dyDescent="0.2">
      <x:c r="BZ73" s="360"/>
      <x:c r="CA73" s="360"/>
      <x:c r="CB73" s="435" t="str">
        <x:f t="shared" si="137"/>
        <x:v/>
      </x:c>
      <x:c r="CC73" s="436" t="str">
        <x:f>IF(CG33="","",VLOOKUP(CG33,SectInfo!$B:$N,12,FALSE))</x:f>
        <x:v/>
      </x:c>
      <x:c r="CD73" s="1172" t="str">
        <x:f>IF(ISBLANK(CZ33),IF(CG33="","",VLOOKUP(CG33,SectInfo!$B:$N,13,FALSE)),CZ33)</x:f>
        <x:v/>
      </x:c>
      <x:c r="CE73" s="437" t="str">
        <x:f>IF(CG33="","",IF(VLOOKUP(CG33,SectInfo!$B:$N,5,FALSE)="","R",UPPER(VLOOKUP(CG33,SectInfo!$B:$N,5,FALSE))))</x:f>
        <x:v/>
      </x:c>
      <x:c r="CF73" s="1172" t="str">
        <x:f>IF(ISBLANK(DD33),IF(CG33="","",VLOOKUP(CG33,SectInfo!$B:$N,6,FALSE)),DD33)</x:f>
        <x:v/>
      </x:c>
      <x:c r="CG73" s="437" t="str">
        <x:f>IF(CG33="","",IF(VLOOKUP(CG33,SectInfo!$B:$N,10,FALSE)="","",(VLOOKUP(CG33,SectInfo!$B:$N,10,FALSE)*-1)))</x:f>
        <x:v/>
      </x:c>
      <x:c r="CH73" s="437" t="str">
        <x:f>IF(CG33="","",IF(VLOOKUP(CG33,SectInfo!$B:$N,7,FALSE)="","",(VLOOKUP(CG33,SectInfo!$B:$N,7,FALSE)*-1)))</x:f>
        <x:v/>
      </x:c>
      <x:c r="CI73" s="437" t="str">
        <x:f>IF(CG33="","",IF(VLOOKUP(CG33,SectInfo!$B:$N,8,FALSE)="",$FC$4,(VLOOKUP(CG33,SectInfo!$B:$N,8,FALSE))))</x:f>
        <x:v/>
      </x:c>
      <x:c r="CJ73" s="437" t="str">
        <x:f>IF(CG33="","",VLOOKUP(CG33,SectInfo!$B:$N,9,FALSE))</x:f>
        <x:v/>
      </x:c>
      <x:c r="CK73" s="438">
        <x:f t="shared" si="205"/>
        <x:v>0</x:v>
      </x:c>
      <x:c r="CL73" s="436" t="str">
        <x:f>IF(CN33="","",VLOOKUP(CN33,SectInfo!$B:$N,12,FALSE))</x:f>
        <x:v/>
      </x:c>
      <x:c r="CM73" s="1172" t="str">
        <x:f>IF(ISBLANK(DA33),IF(CN33="","",VLOOKUP(CN33,SectInfo!$B:$N,13,FALSE)),DA33)</x:f>
        <x:v/>
      </x:c>
      <x:c r="CN73" s="437" t="str">
        <x:f>IF(CN33="","",IF(VLOOKUP(CN33,SectInfo!$B:$N,5,FALSE)="","R",UPPER(VLOOKUP(CN33,SectInfo!$B:$N,5,FALSE))))</x:f>
        <x:v/>
      </x:c>
      <x:c r="CO73" s="1172" t="str">
        <x:f>IF(ISBLANK(DE33),IF(CN33="","",VLOOKUP(CN33,SectInfo!$B:$N,6,FALSE)),DE33)</x:f>
        <x:v/>
      </x:c>
      <x:c r="CP73" s="437" t="str">
        <x:f>IF(CN33="","",IF(VLOOKUP(CN33,SectInfo!$B:$N,10,FALSE)="","",(VLOOKUP(CN33,SectInfo!$B:$N,10,FALSE)*-1)))</x:f>
        <x:v/>
      </x:c>
      <x:c r="CQ73" s="437" t="str">
        <x:f>IF(CN33="","",IF(VLOOKUP(CN33,SectInfo!$B:$N,7,FALSE)="","",(VLOOKUP(CN33,SectInfo!$B:$N,7,FALSE)*-1)))</x:f>
        <x:v/>
      </x:c>
      <x:c r="CR73" s="437" t="str">
        <x:f>IF(CN33="","",IF(VLOOKUP(CN33,SectInfo!$B:$N,8,FALSE)="",$FC$4,(VLOOKUP(CN33,SectInfo!$B:$N,8,FALSE))))</x:f>
        <x:v/>
      </x:c>
      <x:c r="CS73" s="437" t="str">
        <x:f>IF(CN33="","",VLOOKUP(CN33,SectInfo!$B:$N,9,FALSE))</x:f>
        <x:v/>
      </x:c>
      <x:c r="CT73" s="438">
        <x:f t="shared" si="206"/>
        <x:v>0</x:v>
      </x:c>
      <x:c r="CU73" s="439">
        <x:f t="shared" si="138"/>
        <x:v>0</x:v>
      </x:c>
      <x:c r="CV73" s="339" t="str">
        <x:f t="shared" si="139"/>
        <x:v/>
      </x:c>
      <x:c r="CW73" s="339" t="str">
        <x:f t="shared" si="140"/>
        <x:v/>
      </x:c>
      <x:c r="CX73" s="339" t="str">
        <x:f t="shared" si="141"/>
        <x:v/>
      </x:c>
      <x:c r="CY73" s="1109">
        <x:f t="shared" si="142"/>
        <x:v>0</x:v>
      </x:c>
      <x:c r="CZ73" s="1109">
        <x:f t="shared" si="143"/>
        <x:v>0</x:v>
      </x:c>
      <x:c r="DA73" s="1109" t="str">
        <x:f t="shared" si="144"/>
        <x:v/>
      </x:c>
      <x:c r="DB73" s="1125" t="str">
        <x:f t="shared" si="207"/>
        <x:v/>
      </x:c>
      <x:c r="DC73" s="1125" t="str">
        <x:f t="shared" si="145"/>
        <x:v/>
      </x:c>
      <x:c r="DD73" s="1110">
        <x:f t="shared" si="208"/>
        <x:v>0</x:v>
      </x:c>
      <x:c r="DE73" s="1108">
        <x:f t="shared" si="209"/>
        <x:v>0</x:v>
      </x:c>
      <x:c r="DF73" s="1109">
        <x:f t="shared" si="146"/>
        <x:v>0</x:v>
      </x:c>
      <x:c r="DG73" s="1109" t="str">
        <x:f t="shared" si="147"/>
        <x:v/>
      </x:c>
      <x:c r="DH73" s="1125" t="str">
        <x:f t="shared" si="210"/>
        <x:v/>
      </x:c>
      <x:c r="DI73" s="1125" t="str">
        <x:f t="shared" si="211"/>
        <x:v/>
      </x:c>
      <x:c r="DJ73" s="1110">
        <x:f t="shared" si="212"/>
        <x:v>0</x:v>
      </x:c>
      <x:c r="DK73" s="1108" t="str">
        <x:f t="shared" si="148"/>
        <x:v/>
      </x:c>
      <x:c r="DL73" s="1108" t="str">
        <x:f t="shared" si="149"/>
        <x:v/>
      </x:c>
      <x:c r="DM73" s="1108" t="str">
        <x:f t="shared" si="150"/>
        <x:v/>
      </x:c>
      <x:c r="DN73" s="1108" t="str">
        <x:f t="shared" si="151"/>
        <x:v/>
      </x:c>
      <x:c r="DO73" s="1125" t="str">
        <x:f t="shared" si="152"/>
        <x:v>ERR</x:v>
      </x:c>
      <x:c r="DP73" s="1125" t="str">
        <x:f t="shared" si="153"/>
        <x:v>ERR</x:v>
      </x:c>
      <x:c r="DQ73" s="1108" t="str">
        <x:f t="shared" si="154"/>
        <x:v/>
      </x:c>
      <x:c r="DR73" s="1108" t="str">
        <x:f t="shared" si="154"/>
        <x:v/>
      </x:c>
      <x:c r="DS73" s="1108" t="str">
        <x:f t="shared" si="155"/>
        <x:v/>
      </x:c>
      <x:c r="DT73" s="1108" t="str">
        <x:f t="shared" si="156"/>
        <x:v/>
      </x:c>
      <x:c r="DU73" s="1108" t="str">
        <x:f t="shared" si="157"/>
        <x:v/>
      </x:c>
      <x:c r="DV73" s="1125" t="str">
        <x:f t="shared" si="158"/>
        <x:v>ERR</x:v>
      </x:c>
      <x:c r="DW73" s="1125" t="str">
        <x:f t="shared" si="159"/>
        <x:v>ERR</x:v>
      </x:c>
      <x:c r="DX73" s="1108" t="str">
        <x:f t="shared" si="160"/>
        <x:v/>
      </x:c>
      <x:c r="DY73" s="1108" t="str">
        <x:f t="shared" si="160"/>
        <x:v/>
      </x:c>
      <x:c r="DZ73" s="1108" t="str">
        <x:f t="shared" si="161"/>
        <x:v/>
      </x:c>
      <x:c r="EA73" s="1108" t="str">
        <x:f t="shared" si="162"/>
        <x:v/>
      </x:c>
      <x:c r="EB73" s="1111" t="str">
        <x:f t="shared" si="163"/>
        <x:v/>
      </x:c>
      <x:c r="EC73" s="1112" t="str">
        <x:f t="shared" si="164"/>
        <x:v/>
      </x:c>
      <x:c r="ED73" s="1111" t="str">
        <x:f t="shared" si="165"/>
        <x:v/>
      </x:c>
      <x:c r="EE73" s="1111" t="str">
        <x:f t="shared" si="166"/>
        <x:v/>
      </x:c>
      <x:c r="EF73" s="1111" t="str">
        <x:f t="shared" si="167"/>
        <x:v/>
      </x:c>
      <x:c r="EG73" s="1111" t="str">
        <x:f t="shared" si="168"/>
        <x:v/>
      </x:c>
      <x:c r="EH73" s="1111" t="str">
        <x:f t="shared" si="169"/>
        <x:v/>
      </x:c>
      <x:c r="EI73" s="1111" t="str">
        <x:f t="shared" si="170"/>
        <x:v/>
      </x:c>
      <x:c r="EJ73" s="1111" t="str">
        <x:f t="shared" si="171"/>
        <x:v/>
      </x:c>
      <x:c r="EK73" s="1109">
        <x:f t="shared" si="172"/>
        <x:v>0</x:v>
      </x:c>
      <x:c r="EL73" s="1109">
        <x:f t="shared" si="173"/>
        <x:v>0</x:v>
      </x:c>
      <x:c r="EM73" s="1109">
        <x:f t="shared" si="174"/>
        <x:v>0</x:v>
      </x:c>
      <x:c r="EN73" s="1109" t="str">
        <x:f t="shared" si="175"/>
        <x:v/>
      </x:c>
      <x:c r="EO73" s="1108" t="str">
        <x:f t="shared" si="176"/>
        <x:v/>
      </x:c>
      <x:c r="EP73" s="1109">
        <x:f t="shared" si="177"/>
        <x:v>0</x:v>
      </x:c>
      <x:c r="EQ73" s="1109">
        <x:f t="shared" si="178"/>
        <x:v>0</x:v>
      </x:c>
      <x:c r="ER73" s="1109">
        <x:f t="shared" si="179"/>
        <x:v>0</x:v>
      </x:c>
      <x:c r="ES73" s="1109" t="str">
        <x:f t="shared" si="180"/>
        <x:v/>
      </x:c>
      <x:c r="ET73" s="1108" t="str">
        <x:f t="shared" si="181"/>
        <x:v/>
      </x:c>
      <x:c r="EU73" s="1108">
        <x:f t="shared" si="182"/>
        <x:v>0</x:v>
      </x:c>
      <x:c r="EV73" s="1111" t="e">
        <x:f t="shared" si="183"/>
        <x:v>#VALUE!</x:v>
      </x:c>
      <x:c r="EW73" s="1111" t="e">
        <x:f t="shared" si="184"/>
        <x:v>#VALUE!</x:v>
      </x:c>
      <x:c r="EX73" s="1113" t="str">
        <x:f t="shared" si="213"/>
        <x:v/>
      </x:c>
      <x:c r="EY73" s="1114">
        <x:f t="shared" si="185"/>
        <x:v>25</x:v>
      </x:c>
      <x:c r="EZ73" s="1219">
        <x:f t="shared" si="186"/>
        <x:v>0</x:v>
      </x:c>
      <x:c r="FA73" s="1220">
        <x:f t="shared" si="187"/>
        <x:v>0</x:v>
      </x:c>
      <x:c r="FB73" s="1115" t="str">
        <x:f t="shared" si="188"/>
        <x:v/>
      </x:c>
      <x:c r="FC73" s="1116" t="str">
        <x:f t="shared" si="189"/>
        <x:v/>
      </x:c>
      <x:c r="FD73" s="1126">
        <x:f t="shared" si="190"/>
        <x:v>0</x:v>
      </x:c>
      <x:c r="FE73" s="1066">
        <x:f t="shared" si="191"/>
        <x:v>0</x:v>
      </x:c>
      <x:c r="FF73" s="969" t="b">
        <x:f t="shared" si="192"/>
        <x:v>0</x:v>
      </x:c>
      <x:c r="FG73" s="969" t="b">
        <x:f t="shared" si="193"/>
        <x:v>0</x:v>
      </x:c>
      <x:c r="FH73" s="969" t="b">
        <x:f t="shared" si="194"/>
        <x:v>0</x:v>
      </x:c>
      <x:c r="FI73" s="969" t="b">
        <x:f t="shared" si="195"/>
        <x:v>0</x:v>
      </x:c>
      <x:c r="FJ73" s="1161" t="str">
        <x:f t="shared" si="214"/>
        <x:v/>
      </x:c>
      <x:c r="FK73" s="1160" t="str">
        <x:f t="shared" si="215"/>
        <x:v/>
      </x:c>
      <x:c r="FL73" s="388" t="e">
        <x:f t="shared" si="216"/>
        <x:v>#N/A</x:v>
      </x:c>
      <x:c r="FM73" s="380" t="str">
        <x:f t="shared" si="196"/>
        <x:v/>
      </x:c>
      <x:c r="FN73" s="337" t="str">
        <x:f t="shared" ca="1" si="217"/>
        <x:v/>
      </x:c>
      <x:c r="FO73" s="338" t="str">
        <x:f t="shared" ca="1" si="218"/>
        <x:v/>
      </x:c>
      <x:c r="FP73" s="339" t="str">
        <x:f t="shared" ca="1" si="219"/>
        <x:v/>
      </x:c>
      <x:c r="FQ73" s="339" t="str">
        <x:f t="shared" ca="1" si="220"/>
        <x:v/>
      </x:c>
      <x:c r="FR73" s="389">
        <x:f t="shared" ca="1" si="221"/>
        <x:v>0</x:v>
      </x:c>
      <x:c r="FS73" s="390">
        <x:f t="shared" ca="1" si="222"/>
        <x:v>0</x:v>
      </x:c>
      <x:c r="FT73" s="337" t="str">
        <x:f t="shared" ca="1" si="223"/>
        <x:v/>
      </x:c>
      <x:c r="FU73" s="340" t="str">
        <x:f t="shared" ca="1" si="224"/>
        <x:v/>
      </x:c>
      <x:c r="FV73" s="391" t="str">
        <x:f t="shared" ca="1" si="197"/>
        <x:v/>
      </x:c>
      <x:c r="FW73" s="341" t="str">
        <x:f t="shared" ca="1" si="225"/>
        <x:v/>
      </x:c>
      <x:c r="FX73" s="341" t="str">
        <x:f t="shared" ca="1" si="226"/>
        <x:v/>
      </x:c>
      <x:c r="FY73" s="341" t="str">
        <x:f t="shared" ca="1" si="227"/>
        <x:v/>
      </x:c>
      <x:c r="FZ73" s="341" t="str">
        <x:f t="shared" ca="1" si="228"/>
        <x:v/>
      </x:c>
      <x:c r="GA73" s="341" t="str">
        <x:f t="shared" ca="1" si="229"/>
        <x:v/>
      </x:c>
      <x:c r="GB73" s="342" t="str">
        <x:f ca="1">IF(FY73="","",2+SUM(FO73:OFFSET(FO73,(FU73-1)*-1,0)))</x:f>
        <x:v/>
      </x:c>
      <x:c r="GC73" s="384" t="e">
        <x:f t="shared" si="230"/>
        <x:v>#N/A</x:v>
      </x:c>
      <x:c r="GD73" s="392" t="str">
        <x:f t="shared" si="198"/>
        <x:v/>
      </x:c>
      <x:c r="GE73" s="393" t="str">
        <x:f t="shared" si="199"/>
        <x:v/>
      </x:c>
      <x:c r="GF73" s="343" t="str">
        <x:f t="shared" si="200"/>
        <x:v/>
      </x:c>
      <x:c r="GG73" s="344" t="str">
        <x:f t="shared" si="201"/>
        <x:v/>
      </x:c>
      <x:c r="GH73" s="344" t="str">
        <x:f t="shared" si="202"/>
        <x:v/>
      </x:c>
      <x:c r="GI73" s="345" t="str">
        <x:f t="shared" si="203"/>
        <x:v/>
      </x:c>
      <x:c r="GJ73" s="646">
        <x:f t="shared" ca="1" si="204"/>
        <x:v>0</x:v>
      </x:c>
      <x:c r="GK73" s="1131" t="str">
        <x:f t="shared" ca="1" si="231"/>
        <x:v>A</x:v>
      </x:c>
    </x:row>
    <x:row r="74" spans="78:193" ht="12.6" hidden="1" customHeight="1" x14ac:dyDescent="0.2">
      <x:c r="BZ74" s="360"/>
      <x:c r="CA74" s="360"/>
      <x:c r="CB74" s="435" t="str">
        <x:f t="shared" si="137"/>
        <x:v/>
      </x:c>
      <x:c r="CC74" s="436" t="str">
        <x:f>IF(CG34="","",VLOOKUP(CG34,SectInfo!$B:$N,12,FALSE))</x:f>
        <x:v/>
      </x:c>
      <x:c r="CD74" s="1172" t="str">
        <x:f>IF(ISBLANK(CZ34),IF(CG34="","",VLOOKUP(CG34,SectInfo!$B:$N,13,FALSE)),CZ34)</x:f>
        <x:v/>
      </x:c>
      <x:c r="CE74" s="437" t="str">
        <x:f>IF(CG34="","",IF(VLOOKUP(CG34,SectInfo!$B:$N,5,FALSE)="","R",UPPER(VLOOKUP(CG34,SectInfo!$B:$N,5,FALSE))))</x:f>
        <x:v/>
      </x:c>
      <x:c r="CF74" s="1172" t="str">
        <x:f>IF(ISBLANK(DD34),IF(CG34="","",VLOOKUP(CG34,SectInfo!$B:$N,6,FALSE)),DD34)</x:f>
        <x:v/>
      </x:c>
      <x:c r="CG74" s="437" t="str">
        <x:f>IF(CG34="","",IF(VLOOKUP(CG34,SectInfo!$B:$N,10,FALSE)="","",(VLOOKUP(CG34,SectInfo!$B:$N,10,FALSE)*-1)))</x:f>
        <x:v/>
      </x:c>
      <x:c r="CH74" s="437" t="str">
        <x:f>IF(CG34="","",IF(VLOOKUP(CG34,SectInfo!$B:$N,7,FALSE)="","",(VLOOKUP(CG34,SectInfo!$B:$N,7,FALSE)*-1)))</x:f>
        <x:v/>
      </x:c>
      <x:c r="CI74" s="437" t="str">
        <x:f>IF(CG34="","",IF(VLOOKUP(CG34,SectInfo!$B:$N,8,FALSE)="",$FC$4,(VLOOKUP(CG34,SectInfo!$B:$N,8,FALSE))))</x:f>
        <x:v/>
      </x:c>
      <x:c r="CJ74" s="437" t="str">
        <x:f>IF(CG34="","",VLOOKUP(CG34,SectInfo!$B:$N,9,FALSE))</x:f>
        <x:v/>
      </x:c>
      <x:c r="CK74" s="438">
        <x:f t="shared" si="205"/>
        <x:v>0</x:v>
      </x:c>
      <x:c r="CL74" s="436" t="str">
        <x:f>IF(CN34="","",VLOOKUP(CN34,SectInfo!$B:$N,12,FALSE))</x:f>
        <x:v/>
      </x:c>
      <x:c r="CM74" s="1172" t="str">
        <x:f>IF(ISBLANK(DA34),IF(CN34="","",VLOOKUP(CN34,SectInfo!$B:$N,13,FALSE)),DA34)</x:f>
        <x:v/>
      </x:c>
      <x:c r="CN74" s="437" t="str">
        <x:f>IF(CN34="","",IF(VLOOKUP(CN34,SectInfo!$B:$N,5,FALSE)="","R",UPPER(VLOOKUP(CN34,SectInfo!$B:$N,5,FALSE))))</x:f>
        <x:v/>
      </x:c>
      <x:c r="CO74" s="1172" t="str">
        <x:f>IF(ISBLANK(DE34),IF(CN34="","",VLOOKUP(CN34,SectInfo!$B:$N,6,FALSE)),DE34)</x:f>
        <x:v/>
      </x:c>
      <x:c r="CP74" s="437" t="str">
        <x:f>IF(CN34="","",IF(VLOOKUP(CN34,SectInfo!$B:$N,10,FALSE)="","",(VLOOKUP(CN34,SectInfo!$B:$N,10,FALSE)*-1)))</x:f>
        <x:v/>
      </x:c>
      <x:c r="CQ74" s="437" t="str">
        <x:f>IF(CN34="","",IF(VLOOKUP(CN34,SectInfo!$B:$N,7,FALSE)="","",(VLOOKUP(CN34,SectInfo!$B:$N,7,FALSE)*-1)))</x:f>
        <x:v/>
      </x:c>
      <x:c r="CR74" s="437" t="str">
        <x:f>IF(CN34="","",IF(VLOOKUP(CN34,SectInfo!$B:$N,8,FALSE)="",$FC$4,(VLOOKUP(CN34,SectInfo!$B:$N,8,FALSE))))</x:f>
        <x:v/>
      </x:c>
      <x:c r="CS74" s="437" t="str">
        <x:f>IF(CN34="","",VLOOKUP(CN34,SectInfo!$B:$N,9,FALSE))</x:f>
        <x:v/>
      </x:c>
      <x:c r="CT74" s="438">
        <x:f t="shared" si="206"/>
        <x:v>0</x:v>
      </x:c>
      <x:c r="CU74" s="439">
        <x:f t="shared" si="138"/>
        <x:v>0</x:v>
      </x:c>
      <x:c r="CV74" s="339" t="str">
        <x:f t="shared" si="139"/>
        <x:v/>
      </x:c>
      <x:c r="CW74" s="339" t="str">
        <x:f t="shared" si="140"/>
        <x:v/>
      </x:c>
      <x:c r="CX74" s="339" t="str">
        <x:f t="shared" si="141"/>
        <x:v/>
      </x:c>
      <x:c r="CY74" s="1109">
        <x:f t="shared" si="142"/>
        <x:v>0</x:v>
      </x:c>
      <x:c r="CZ74" s="1109">
        <x:f t="shared" si="143"/>
        <x:v>0</x:v>
      </x:c>
      <x:c r="DA74" s="1109" t="str">
        <x:f t="shared" si="144"/>
        <x:v/>
      </x:c>
      <x:c r="DB74" s="1125" t="str">
        <x:f t="shared" si="207"/>
        <x:v/>
      </x:c>
      <x:c r="DC74" s="1125" t="str">
        <x:f t="shared" si="145"/>
        <x:v/>
      </x:c>
      <x:c r="DD74" s="1110">
        <x:f t="shared" si="208"/>
        <x:v>0</x:v>
      </x:c>
      <x:c r="DE74" s="1108">
        <x:f t="shared" si="209"/>
        <x:v>0</x:v>
      </x:c>
      <x:c r="DF74" s="1109">
        <x:f t="shared" si="146"/>
        <x:v>0</x:v>
      </x:c>
      <x:c r="DG74" s="1109" t="str">
        <x:f t="shared" si="147"/>
        <x:v/>
      </x:c>
      <x:c r="DH74" s="1125" t="str">
        <x:f t="shared" si="210"/>
        <x:v/>
      </x:c>
      <x:c r="DI74" s="1125" t="str">
        <x:f t="shared" si="211"/>
        <x:v/>
      </x:c>
      <x:c r="DJ74" s="1110">
        <x:f t="shared" si="212"/>
        <x:v>0</x:v>
      </x:c>
      <x:c r="DK74" s="1108" t="str">
        <x:f t="shared" si="148"/>
        <x:v/>
      </x:c>
      <x:c r="DL74" s="1108" t="str">
        <x:f t="shared" si="149"/>
        <x:v/>
      </x:c>
      <x:c r="DM74" s="1108" t="str">
        <x:f t="shared" si="150"/>
        <x:v/>
      </x:c>
      <x:c r="DN74" s="1108" t="str">
        <x:f t="shared" si="151"/>
        <x:v/>
      </x:c>
      <x:c r="DO74" s="1125" t="str">
        <x:f t="shared" si="152"/>
        <x:v>ERR</x:v>
      </x:c>
      <x:c r="DP74" s="1125" t="str">
        <x:f t="shared" si="153"/>
        <x:v>ERR</x:v>
      </x:c>
      <x:c r="DQ74" s="1108" t="str">
        <x:f t="shared" si="154"/>
        <x:v/>
      </x:c>
      <x:c r="DR74" s="1108" t="str">
        <x:f t="shared" si="154"/>
        <x:v/>
      </x:c>
      <x:c r="DS74" s="1108" t="str">
        <x:f t="shared" si="155"/>
        <x:v/>
      </x:c>
      <x:c r="DT74" s="1108" t="str">
        <x:f t="shared" si="156"/>
        <x:v/>
      </x:c>
      <x:c r="DU74" s="1108" t="str">
        <x:f t="shared" si="157"/>
        <x:v/>
      </x:c>
      <x:c r="DV74" s="1125" t="str">
        <x:f t="shared" si="158"/>
        <x:v>ERR</x:v>
      </x:c>
      <x:c r="DW74" s="1125" t="str">
        <x:f t="shared" si="159"/>
        <x:v>ERR</x:v>
      </x:c>
      <x:c r="DX74" s="1108" t="str">
        <x:f t="shared" si="160"/>
        <x:v/>
      </x:c>
      <x:c r="DY74" s="1108" t="str">
        <x:f t="shared" si="160"/>
        <x:v/>
      </x:c>
      <x:c r="DZ74" s="1108" t="str">
        <x:f t="shared" si="161"/>
        <x:v/>
      </x:c>
      <x:c r="EA74" s="1108" t="str">
        <x:f t="shared" si="162"/>
        <x:v/>
      </x:c>
      <x:c r="EB74" s="1111" t="str">
        <x:f t="shared" si="163"/>
        <x:v/>
      </x:c>
      <x:c r="EC74" s="1112" t="str">
        <x:f t="shared" si="164"/>
        <x:v/>
      </x:c>
      <x:c r="ED74" s="1111" t="str">
        <x:f t="shared" si="165"/>
        <x:v/>
      </x:c>
      <x:c r="EE74" s="1111" t="str">
        <x:f t="shared" si="166"/>
        <x:v/>
      </x:c>
      <x:c r="EF74" s="1111" t="str">
        <x:f t="shared" si="167"/>
        <x:v/>
      </x:c>
      <x:c r="EG74" s="1111" t="str">
        <x:f t="shared" si="168"/>
        <x:v/>
      </x:c>
      <x:c r="EH74" s="1111" t="str">
        <x:f t="shared" si="169"/>
        <x:v/>
      </x:c>
      <x:c r="EI74" s="1111" t="str">
        <x:f t="shared" si="170"/>
        <x:v/>
      </x:c>
      <x:c r="EJ74" s="1111" t="str">
        <x:f t="shared" si="171"/>
        <x:v/>
      </x:c>
      <x:c r="EK74" s="1109">
        <x:f t="shared" si="172"/>
        <x:v>0</x:v>
      </x:c>
      <x:c r="EL74" s="1109">
        <x:f t="shared" si="173"/>
        <x:v>0</x:v>
      </x:c>
      <x:c r="EM74" s="1109">
        <x:f t="shared" si="174"/>
        <x:v>0</x:v>
      </x:c>
      <x:c r="EN74" s="1109" t="str">
        <x:f t="shared" si="175"/>
        <x:v/>
      </x:c>
      <x:c r="EO74" s="1108" t="str">
        <x:f t="shared" si="176"/>
        <x:v/>
      </x:c>
      <x:c r="EP74" s="1109">
        <x:f t="shared" si="177"/>
        <x:v>0</x:v>
      </x:c>
      <x:c r="EQ74" s="1109">
        <x:f t="shared" si="178"/>
        <x:v>0</x:v>
      </x:c>
      <x:c r="ER74" s="1109">
        <x:f t="shared" si="179"/>
        <x:v>0</x:v>
      </x:c>
      <x:c r="ES74" s="1109" t="str">
        <x:f t="shared" si="180"/>
        <x:v/>
      </x:c>
      <x:c r="ET74" s="1108" t="str">
        <x:f t="shared" si="181"/>
        <x:v/>
      </x:c>
      <x:c r="EU74" s="1108">
        <x:f t="shared" si="182"/>
        <x:v>0</x:v>
      </x:c>
      <x:c r="EV74" s="1111" t="e">
        <x:f t="shared" si="183"/>
        <x:v>#VALUE!</x:v>
      </x:c>
      <x:c r="EW74" s="1111" t="e">
        <x:f t="shared" si="184"/>
        <x:v>#VALUE!</x:v>
      </x:c>
      <x:c r="EX74" s="1113" t="str">
        <x:f t="shared" si="213"/>
        <x:v/>
      </x:c>
      <x:c r="EY74" s="1114">
        <x:f t="shared" si="185"/>
        <x:v>25</x:v>
      </x:c>
      <x:c r="EZ74" s="1219">
        <x:f t="shared" si="186"/>
        <x:v>0</x:v>
      </x:c>
      <x:c r="FA74" s="1220">
        <x:f t="shared" si="187"/>
        <x:v>0</x:v>
      </x:c>
      <x:c r="FB74" s="1115" t="str">
        <x:f t="shared" si="188"/>
        <x:v/>
      </x:c>
      <x:c r="FC74" s="1116" t="str">
        <x:f t="shared" si="189"/>
        <x:v/>
      </x:c>
      <x:c r="FD74" s="1126">
        <x:f t="shared" si="190"/>
        <x:v>0</x:v>
      </x:c>
      <x:c r="FE74" s="1066">
        <x:f t="shared" si="191"/>
        <x:v>0</x:v>
      </x:c>
      <x:c r="FF74" s="969" t="b">
        <x:f t="shared" si="192"/>
        <x:v>0</x:v>
      </x:c>
      <x:c r="FG74" s="969" t="b">
        <x:f t="shared" si="193"/>
        <x:v>0</x:v>
      </x:c>
      <x:c r="FH74" s="969" t="b">
        <x:f t="shared" si="194"/>
        <x:v>0</x:v>
      </x:c>
      <x:c r="FI74" s="969" t="b">
        <x:f t="shared" si="195"/>
        <x:v>0</x:v>
      </x:c>
      <x:c r="FJ74" s="1161" t="str">
        <x:f t="shared" si="214"/>
        <x:v/>
      </x:c>
      <x:c r="FK74" s="1160" t="str">
        <x:f t="shared" si="215"/>
        <x:v/>
      </x:c>
      <x:c r="FL74" s="388" t="e">
        <x:f t="shared" si="216"/>
        <x:v>#N/A</x:v>
      </x:c>
      <x:c r="FM74" s="380" t="str">
        <x:f t="shared" si="196"/>
        <x:v/>
      </x:c>
      <x:c r="FN74" s="337" t="str">
        <x:f t="shared" ca="1" si="217"/>
        <x:v/>
      </x:c>
      <x:c r="FO74" s="338" t="str">
        <x:f t="shared" ca="1" si="218"/>
        <x:v/>
      </x:c>
      <x:c r="FP74" s="339" t="str">
        <x:f t="shared" ca="1" si="219"/>
        <x:v/>
      </x:c>
      <x:c r="FQ74" s="339" t="str">
        <x:f t="shared" ca="1" si="220"/>
        <x:v/>
      </x:c>
      <x:c r="FR74" s="389">
        <x:f t="shared" ca="1" si="221"/>
        <x:v>0</x:v>
      </x:c>
      <x:c r="FS74" s="390">
        <x:f t="shared" ca="1" si="222"/>
        <x:v>0</x:v>
      </x:c>
      <x:c r="FT74" s="337" t="str">
        <x:f t="shared" ca="1" si="223"/>
        <x:v/>
      </x:c>
      <x:c r="FU74" s="340" t="str">
        <x:f t="shared" ca="1" si="224"/>
        <x:v/>
      </x:c>
      <x:c r="FV74" s="391" t="str">
        <x:f t="shared" ca="1" si="197"/>
        <x:v/>
      </x:c>
      <x:c r="FW74" s="341" t="str">
        <x:f t="shared" ca="1" si="225"/>
        <x:v/>
      </x:c>
      <x:c r="FX74" s="341" t="str">
        <x:f t="shared" ca="1" si="226"/>
        <x:v/>
      </x:c>
      <x:c r="FY74" s="341" t="str">
        <x:f t="shared" ca="1" si="227"/>
        <x:v/>
      </x:c>
      <x:c r="FZ74" s="341" t="str">
        <x:f t="shared" ca="1" si="228"/>
        <x:v/>
      </x:c>
      <x:c r="GA74" s="341" t="str">
        <x:f t="shared" ca="1" si="229"/>
        <x:v/>
      </x:c>
      <x:c r="GB74" s="342" t="str">
        <x:f ca="1">IF(FY74="","",2+SUM(FO74:OFFSET(FO74,(FU74-1)*-1,0)))</x:f>
        <x:v/>
      </x:c>
      <x:c r="GC74" s="384" t="e">
        <x:f t="shared" si="230"/>
        <x:v>#N/A</x:v>
      </x:c>
      <x:c r="GD74" s="392" t="str">
        <x:f t="shared" si="198"/>
        <x:v/>
      </x:c>
      <x:c r="GE74" s="393" t="str">
        <x:f t="shared" si="199"/>
        <x:v/>
      </x:c>
      <x:c r="GF74" s="343" t="str">
        <x:f t="shared" si="200"/>
        <x:v/>
      </x:c>
      <x:c r="GG74" s="344" t="str">
        <x:f t="shared" si="201"/>
        <x:v/>
      </x:c>
      <x:c r="GH74" s="344" t="str">
        <x:f t="shared" si="202"/>
        <x:v/>
      </x:c>
      <x:c r="GI74" s="345" t="str">
        <x:f t="shared" si="203"/>
        <x:v/>
      </x:c>
      <x:c r="GJ74" s="646">
        <x:f t="shared" ca="1" si="204"/>
        <x:v>0</x:v>
      </x:c>
      <x:c r="GK74" s="1131" t="str">
        <x:f t="shared" ca="1" si="231"/>
        <x:v>A</x:v>
      </x:c>
    </x:row>
    <x:row r="75" spans="78:193" ht="12.6" hidden="1" customHeight="1" x14ac:dyDescent="0.2">
      <x:c r="BZ75" s="360"/>
      <x:c r="CA75" s="360"/>
      <x:c r="CB75" s="435" t="str">
        <x:f t="shared" si="137"/>
        <x:v/>
      </x:c>
      <x:c r="CC75" s="436" t="str">
        <x:f>IF(CG35="","",VLOOKUP(CG35,SectInfo!$B:$N,12,FALSE))</x:f>
        <x:v/>
      </x:c>
      <x:c r="CD75" s="1172" t="str">
        <x:f>IF(ISBLANK(CZ35),IF(CG35="","",VLOOKUP(CG35,SectInfo!$B:$N,13,FALSE)),CZ35)</x:f>
        <x:v/>
      </x:c>
      <x:c r="CE75" s="437" t="str">
        <x:f>IF(CG35="","",IF(VLOOKUP(CG35,SectInfo!$B:$N,5,FALSE)="","R",UPPER(VLOOKUP(CG35,SectInfo!$B:$N,5,FALSE))))</x:f>
        <x:v/>
      </x:c>
      <x:c r="CF75" s="1172" t="str">
        <x:f>IF(ISBLANK(DD35),IF(CG35="","",VLOOKUP(CG35,SectInfo!$B:$N,6,FALSE)),DD35)</x:f>
        <x:v/>
      </x:c>
      <x:c r="CG75" s="437" t="str">
        <x:f>IF(CG35="","",IF(VLOOKUP(CG35,SectInfo!$B:$N,10,FALSE)="","",(VLOOKUP(CG35,SectInfo!$B:$N,10,FALSE)*-1)))</x:f>
        <x:v/>
      </x:c>
      <x:c r="CH75" s="437" t="str">
        <x:f>IF(CG35="","",IF(VLOOKUP(CG35,SectInfo!$B:$N,7,FALSE)="","",(VLOOKUP(CG35,SectInfo!$B:$N,7,FALSE)*-1)))</x:f>
        <x:v/>
      </x:c>
      <x:c r="CI75" s="437" t="str">
        <x:f>IF(CG35="","",IF(VLOOKUP(CG35,SectInfo!$B:$N,8,FALSE)="",$FC$4,(VLOOKUP(CG35,SectInfo!$B:$N,8,FALSE))))</x:f>
        <x:v/>
      </x:c>
      <x:c r="CJ75" s="437" t="str">
        <x:f>IF(CG35="","",VLOOKUP(CG35,SectInfo!$B:$N,9,FALSE))</x:f>
        <x:v/>
      </x:c>
      <x:c r="CK75" s="438">
        <x:f t="shared" si="205"/>
        <x:v>0</x:v>
      </x:c>
      <x:c r="CL75" s="436" t="str">
        <x:f>IF(CN35="","",VLOOKUP(CN35,SectInfo!$B:$N,12,FALSE))</x:f>
        <x:v/>
      </x:c>
      <x:c r="CM75" s="1172" t="str">
        <x:f>IF(ISBLANK(DA35),IF(CN35="","",VLOOKUP(CN35,SectInfo!$B:$N,13,FALSE)),DA35)</x:f>
        <x:v/>
      </x:c>
      <x:c r="CN75" s="437" t="str">
        <x:f>IF(CN35="","",IF(VLOOKUP(CN35,SectInfo!$B:$N,5,FALSE)="","R",UPPER(VLOOKUP(CN35,SectInfo!$B:$N,5,FALSE))))</x:f>
        <x:v/>
      </x:c>
      <x:c r="CO75" s="1172" t="str">
        <x:f>IF(ISBLANK(DE35),IF(CN35="","",VLOOKUP(CN35,SectInfo!$B:$N,6,FALSE)),DE35)</x:f>
        <x:v/>
      </x:c>
      <x:c r="CP75" s="437" t="str">
        <x:f>IF(CN35="","",IF(VLOOKUP(CN35,SectInfo!$B:$N,10,FALSE)="","",(VLOOKUP(CN35,SectInfo!$B:$N,10,FALSE)*-1)))</x:f>
        <x:v/>
      </x:c>
      <x:c r="CQ75" s="437" t="str">
        <x:f>IF(CN35="","",IF(VLOOKUP(CN35,SectInfo!$B:$N,7,FALSE)="","",(VLOOKUP(CN35,SectInfo!$B:$N,7,FALSE)*-1)))</x:f>
        <x:v/>
      </x:c>
      <x:c r="CR75" s="437" t="str">
        <x:f>IF(CN35="","",IF(VLOOKUP(CN35,SectInfo!$B:$N,8,FALSE)="",$FC$4,(VLOOKUP(CN35,SectInfo!$B:$N,8,FALSE))))</x:f>
        <x:v/>
      </x:c>
      <x:c r="CS75" s="437" t="str">
        <x:f>IF(CN35="","",VLOOKUP(CN35,SectInfo!$B:$N,9,FALSE))</x:f>
        <x:v/>
      </x:c>
      <x:c r="CT75" s="438">
        <x:f t="shared" si="206"/>
        <x:v>0</x:v>
      </x:c>
      <x:c r="CU75" s="439">
        <x:f t="shared" si="138"/>
        <x:v>0</x:v>
      </x:c>
      <x:c r="CV75" s="339" t="str">
        <x:f t="shared" si="139"/>
        <x:v/>
      </x:c>
      <x:c r="CW75" s="339" t="str">
        <x:f t="shared" si="140"/>
        <x:v/>
      </x:c>
      <x:c r="CX75" s="339" t="str">
        <x:f t="shared" si="141"/>
        <x:v/>
      </x:c>
      <x:c r="CY75" s="1109">
        <x:f t="shared" si="142"/>
        <x:v>0</x:v>
      </x:c>
      <x:c r="CZ75" s="1109">
        <x:f t="shared" si="143"/>
        <x:v>0</x:v>
      </x:c>
      <x:c r="DA75" s="1109" t="str">
        <x:f t="shared" si="144"/>
        <x:v/>
      </x:c>
      <x:c r="DB75" s="1125" t="str">
        <x:f t="shared" si="207"/>
        <x:v/>
      </x:c>
      <x:c r="DC75" s="1125" t="str">
        <x:f t="shared" si="145"/>
        <x:v/>
      </x:c>
      <x:c r="DD75" s="1110">
        <x:f t="shared" si="208"/>
        <x:v>0</x:v>
      </x:c>
      <x:c r="DE75" s="1108">
        <x:f t="shared" si="209"/>
        <x:v>0</x:v>
      </x:c>
      <x:c r="DF75" s="1109">
        <x:f t="shared" si="146"/>
        <x:v>0</x:v>
      </x:c>
      <x:c r="DG75" s="1109" t="str">
        <x:f t="shared" si="147"/>
        <x:v/>
      </x:c>
      <x:c r="DH75" s="1125" t="str">
        <x:f t="shared" si="210"/>
        <x:v/>
      </x:c>
      <x:c r="DI75" s="1125" t="str">
        <x:f t="shared" si="211"/>
        <x:v/>
      </x:c>
      <x:c r="DJ75" s="1110">
        <x:f t="shared" si="212"/>
        <x:v>0</x:v>
      </x:c>
      <x:c r="DK75" s="1108" t="str">
        <x:f t="shared" si="148"/>
        <x:v/>
      </x:c>
      <x:c r="DL75" s="1108" t="str">
        <x:f t="shared" si="149"/>
        <x:v/>
      </x:c>
      <x:c r="DM75" s="1108" t="str">
        <x:f t="shared" si="150"/>
        <x:v/>
      </x:c>
      <x:c r="DN75" s="1108" t="str">
        <x:f t="shared" si="151"/>
        <x:v/>
      </x:c>
      <x:c r="DO75" s="1125" t="str">
        <x:f t="shared" si="152"/>
        <x:v>ERR</x:v>
      </x:c>
      <x:c r="DP75" s="1125" t="str">
        <x:f t="shared" si="153"/>
        <x:v>ERR</x:v>
      </x:c>
      <x:c r="DQ75" s="1108" t="str">
        <x:f t="shared" si="154"/>
        <x:v/>
      </x:c>
      <x:c r="DR75" s="1108" t="str">
        <x:f t="shared" si="154"/>
        <x:v/>
      </x:c>
      <x:c r="DS75" s="1108" t="str">
        <x:f t="shared" si="155"/>
        <x:v/>
      </x:c>
      <x:c r="DT75" s="1108" t="str">
        <x:f t="shared" si="156"/>
        <x:v/>
      </x:c>
      <x:c r="DU75" s="1108" t="str">
        <x:f t="shared" si="157"/>
        <x:v/>
      </x:c>
      <x:c r="DV75" s="1125" t="str">
        <x:f t="shared" si="158"/>
        <x:v>ERR</x:v>
      </x:c>
      <x:c r="DW75" s="1125" t="str">
        <x:f t="shared" si="159"/>
        <x:v>ERR</x:v>
      </x:c>
      <x:c r="DX75" s="1108" t="str">
        <x:f t="shared" ref="DX75:DY85" si="232">IF(ISERROR(DT75),"ERR",IF(DT75="","",IF(DV75="ERR","ERR",CEILING(DV75-0.0625,0.125))))</x:f>
        <x:v/>
      </x:c>
      <x:c r="DY75" s="1108" t="str">
        <x:f t="shared" si="232"/>
        <x:v/>
      </x:c>
      <x:c r="DZ75" s="1108" t="str">
        <x:f t="shared" si="161"/>
        <x:v/>
      </x:c>
      <x:c r="EA75" s="1108" t="str">
        <x:f t="shared" si="162"/>
        <x:v/>
      </x:c>
      <x:c r="EB75" s="1111" t="str">
        <x:f t="shared" si="163"/>
        <x:v/>
      </x:c>
      <x:c r="EC75" s="1112" t="str">
        <x:f t="shared" si="164"/>
        <x:v/>
      </x:c>
      <x:c r="ED75" s="1111" t="str">
        <x:f t="shared" si="165"/>
        <x:v/>
      </x:c>
      <x:c r="EE75" s="1111" t="str">
        <x:f t="shared" si="166"/>
        <x:v/>
      </x:c>
      <x:c r="EF75" s="1111" t="str">
        <x:f t="shared" si="167"/>
        <x:v/>
      </x:c>
      <x:c r="EG75" s="1111" t="str">
        <x:f t="shared" si="168"/>
        <x:v/>
      </x:c>
      <x:c r="EH75" s="1111" t="str">
        <x:f t="shared" si="169"/>
        <x:v/>
      </x:c>
      <x:c r="EI75" s="1111" t="str">
        <x:f t="shared" si="170"/>
        <x:v/>
      </x:c>
      <x:c r="EJ75" s="1111" t="str">
        <x:f t="shared" si="171"/>
        <x:v/>
      </x:c>
      <x:c r="EK75" s="1109">
        <x:f t="shared" si="172"/>
        <x:v>0</x:v>
      </x:c>
      <x:c r="EL75" s="1109">
        <x:f t="shared" si="173"/>
        <x:v>0</x:v>
      </x:c>
      <x:c r="EM75" s="1109">
        <x:f t="shared" si="174"/>
        <x:v>0</x:v>
      </x:c>
      <x:c r="EN75" s="1109" t="str">
        <x:f t="shared" si="175"/>
        <x:v/>
      </x:c>
      <x:c r="EO75" s="1108" t="str">
        <x:f t="shared" si="176"/>
        <x:v/>
      </x:c>
      <x:c r="EP75" s="1109">
        <x:f t="shared" si="177"/>
        <x:v>0</x:v>
      </x:c>
      <x:c r="EQ75" s="1109">
        <x:f t="shared" si="178"/>
        <x:v>0</x:v>
      </x:c>
      <x:c r="ER75" s="1109">
        <x:f t="shared" si="179"/>
        <x:v>0</x:v>
      </x:c>
      <x:c r="ES75" s="1109" t="str">
        <x:f t="shared" si="180"/>
        <x:v/>
      </x:c>
      <x:c r="ET75" s="1108" t="str">
        <x:f t="shared" si="181"/>
        <x:v/>
      </x:c>
      <x:c r="EU75" s="1108">
        <x:f t="shared" si="182"/>
        <x:v>0</x:v>
      </x:c>
      <x:c r="EV75" s="1111" t="e">
        <x:f t="shared" si="183"/>
        <x:v>#VALUE!</x:v>
      </x:c>
      <x:c r="EW75" s="1111" t="e">
        <x:f t="shared" si="184"/>
        <x:v>#VALUE!</x:v>
      </x:c>
      <x:c r="EX75" s="1113" t="str">
        <x:f t="shared" si="213"/>
        <x:v/>
      </x:c>
      <x:c r="EY75" s="1114">
        <x:f t="shared" si="185"/>
        <x:v>25</x:v>
      </x:c>
      <x:c r="EZ75" s="1219">
        <x:f t="shared" si="186"/>
        <x:v>0</x:v>
      </x:c>
      <x:c r="FA75" s="1220">
        <x:f t="shared" si="187"/>
        <x:v>0</x:v>
      </x:c>
      <x:c r="FB75" s="1115" t="str">
        <x:f t="shared" si="188"/>
        <x:v/>
      </x:c>
      <x:c r="FC75" s="1116" t="str">
        <x:f t="shared" si="189"/>
        <x:v/>
      </x:c>
      <x:c r="FD75" s="1126">
        <x:f t="shared" si="190"/>
        <x:v>0</x:v>
      </x:c>
      <x:c r="FE75" s="1066">
        <x:f t="shared" si="191"/>
        <x:v>0</x:v>
      </x:c>
      <x:c r="FF75" s="969" t="b">
        <x:f t="shared" si="192"/>
        <x:v>0</x:v>
      </x:c>
      <x:c r="FG75" s="969" t="b">
        <x:f t="shared" si="193"/>
        <x:v>0</x:v>
      </x:c>
      <x:c r="FH75" s="969" t="b">
        <x:f t="shared" si="194"/>
        <x:v>0</x:v>
      </x:c>
      <x:c r="FI75" s="969" t="b">
        <x:f t="shared" si="195"/>
        <x:v>0</x:v>
      </x:c>
      <x:c r="FJ75" s="1161" t="str">
        <x:f t="shared" si="214"/>
        <x:v/>
      </x:c>
      <x:c r="FK75" s="1160" t="str">
        <x:f t="shared" si="215"/>
        <x:v/>
      </x:c>
      <x:c r="FL75" s="388" t="e">
        <x:f t="shared" si="216"/>
        <x:v>#N/A</x:v>
      </x:c>
      <x:c r="FM75" s="380" t="str">
        <x:f t="shared" si="196"/>
        <x:v/>
      </x:c>
      <x:c r="FN75" s="337" t="str">
        <x:f t="shared" ca="1" si="217"/>
        <x:v/>
      </x:c>
      <x:c r="FO75" s="338" t="str">
        <x:f t="shared" ca="1" si="218"/>
        <x:v/>
      </x:c>
      <x:c r="FP75" s="339" t="str">
        <x:f t="shared" ca="1" si="219"/>
        <x:v/>
      </x:c>
      <x:c r="FQ75" s="339" t="str">
        <x:f t="shared" ca="1" si="220"/>
        <x:v/>
      </x:c>
      <x:c r="FR75" s="389">
        <x:f t="shared" ca="1" si="221"/>
        <x:v>0</x:v>
      </x:c>
      <x:c r="FS75" s="390">
        <x:f t="shared" ca="1" si="222"/>
        <x:v>0</x:v>
      </x:c>
      <x:c r="FT75" s="337" t="str">
        <x:f t="shared" ca="1" si="223"/>
        <x:v/>
      </x:c>
      <x:c r="FU75" s="340" t="str">
        <x:f t="shared" ca="1" si="224"/>
        <x:v/>
      </x:c>
      <x:c r="FV75" s="391" t="str">
        <x:f t="shared" ca="1" si="197"/>
        <x:v/>
      </x:c>
      <x:c r="FW75" s="341" t="str">
        <x:f t="shared" ca="1" si="225"/>
        <x:v/>
      </x:c>
      <x:c r="FX75" s="341" t="str">
        <x:f t="shared" ca="1" si="226"/>
        <x:v/>
      </x:c>
      <x:c r="FY75" s="341" t="str">
        <x:f t="shared" ca="1" si="227"/>
        <x:v/>
      </x:c>
      <x:c r="FZ75" s="341" t="str">
        <x:f t="shared" ca="1" si="228"/>
        <x:v/>
      </x:c>
      <x:c r="GA75" s="341" t="str">
        <x:f t="shared" ca="1" si="229"/>
        <x:v/>
      </x:c>
      <x:c r="GB75" s="342" t="str">
        <x:f ca="1">IF(FY75="","",2+SUM(FO75:OFFSET(FO75,(FU75-1)*-1,0)))</x:f>
        <x:v/>
      </x:c>
      <x:c r="GC75" s="384" t="e">
        <x:f t="shared" si="230"/>
        <x:v>#N/A</x:v>
      </x:c>
      <x:c r="GD75" s="392" t="str">
        <x:f t="shared" si="198"/>
        <x:v/>
      </x:c>
      <x:c r="GE75" s="393" t="str">
        <x:f t="shared" si="199"/>
        <x:v/>
      </x:c>
      <x:c r="GF75" s="343" t="str">
        <x:f t="shared" si="200"/>
        <x:v/>
      </x:c>
      <x:c r="GG75" s="344" t="str">
        <x:f t="shared" si="201"/>
        <x:v/>
      </x:c>
      <x:c r="GH75" s="344" t="str">
        <x:f t="shared" si="202"/>
        <x:v/>
      </x:c>
      <x:c r="GI75" s="345" t="str">
        <x:f t="shared" si="203"/>
        <x:v/>
      </x:c>
      <x:c r="GJ75" s="646">
        <x:f t="shared" ca="1" si="204"/>
        <x:v>0</x:v>
      </x:c>
      <x:c r="GK75" s="1131" t="str">
        <x:f t="shared" ca="1" si="231"/>
        <x:v>A</x:v>
      </x:c>
    </x:row>
    <x:row r="76" spans="78:193" ht="12.6" hidden="1" customHeight="1" x14ac:dyDescent="0.2">
      <x:c r="BZ76" s="360"/>
      <x:c r="CA76" s="360"/>
      <x:c r="CB76" s="435" t="str">
        <x:f t="shared" si="137"/>
        <x:v/>
      </x:c>
      <x:c r="CC76" s="436" t="str">
        <x:f>IF(CG36="","",VLOOKUP(CG36,SectInfo!$B:$N,12,FALSE))</x:f>
        <x:v/>
      </x:c>
      <x:c r="CD76" s="1172" t="str">
        <x:f>IF(ISBLANK(CZ36),IF(CG36="","",VLOOKUP(CG36,SectInfo!$B:$N,13,FALSE)),CZ36)</x:f>
        <x:v/>
      </x:c>
      <x:c r="CE76" s="437" t="str">
        <x:f>IF(CG36="","",IF(VLOOKUP(CG36,SectInfo!$B:$N,5,FALSE)="","R",UPPER(VLOOKUP(CG36,SectInfo!$B:$N,5,FALSE))))</x:f>
        <x:v/>
      </x:c>
      <x:c r="CF76" s="1172" t="str">
        <x:f>IF(ISBLANK(DD36),IF(CG36="","",VLOOKUP(CG36,SectInfo!$B:$N,6,FALSE)),DD36)</x:f>
        <x:v/>
      </x:c>
      <x:c r="CG76" s="437" t="str">
        <x:f>IF(CG36="","",IF(VLOOKUP(CG36,SectInfo!$B:$N,10,FALSE)="","",(VLOOKUP(CG36,SectInfo!$B:$N,10,FALSE)*-1)))</x:f>
        <x:v/>
      </x:c>
      <x:c r="CH76" s="437" t="str">
        <x:f>IF(CG36="","",IF(VLOOKUP(CG36,SectInfo!$B:$N,7,FALSE)="","",(VLOOKUP(CG36,SectInfo!$B:$N,7,FALSE)*-1)))</x:f>
        <x:v/>
      </x:c>
      <x:c r="CI76" s="437" t="str">
        <x:f>IF(CG36="","",IF(VLOOKUP(CG36,SectInfo!$B:$N,8,FALSE)="",$FC$4,(VLOOKUP(CG36,SectInfo!$B:$N,8,FALSE))))</x:f>
        <x:v/>
      </x:c>
      <x:c r="CJ76" s="437" t="str">
        <x:f>IF(CG36="","",VLOOKUP(CG36,SectInfo!$B:$N,9,FALSE))</x:f>
        <x:v/>
      </x:c>
      <x:c r="CK76" s="438">
        <x:f t="shared" si="205"/>
        <x:v>0</x:v>
      </x:c>
      <x:c r="CL76" s="436" t="str">
        <x:f>IF(CN36="","",VLOOKUP(CN36,SectInfo!$B:$N,12,FALSE))</x:f>
        <x:v/>
      </x:c>
      <x:c r="CM76" s="1172" t="str">
        <x:f>IF(ISBLANK(DA36),IF(CN36="","",VLOOKUP(CN36,SectInfo!$B:$N,13,FALSE)),DA36)</x:f>
        <x:v/>
      </x:c>
      <x:c r="CN76" s="437" t="str">
        <x:f>IF(CN36="","",IF(VLOOKUP(CN36,SectInfo!$B:$N,5,FALSE)="","R",UPPER(VLOOKUP(CN36,SectInfo!$B:$N,5,FALSE))))</x:f>
        <x:v/>
      </x:c>
      <x:c r="CO76" s="1172" t="str">
        <x:f>IF(ISBLANK(DE36),IF(CN36="","",VLOOKUP(CN36,SectInfo!$B:$N,6,FALSE)),DE36)</x:f>
        <x:v/>
      </x:c>
      <x:c r="CP76" s="437" t="str">
        <x:f>IF(CN36="","",IF(VLOOKUP(CN36,SectInfo!$B:$N,10,FALSE)="","",(VLOOKUP(CN36,SectInfo!$B:$N,10,FALSE)*-1)))</x:f>
        <x:v/>
      </x:c>
      <x:c r="CQ76" s="437" t="str">
        <x:f>IF(CN36="","",IF(VLOOKUP(CN36,SectInfo!$B:$N,7,FALSE)="","",(VLOOKUP(CN36,SectInfo!$B:$N,7,FALSE)*-1)))</x:f>
        <x:v/>
      </x:c>
      <x:c r="CR76" s="437" t="str">
        <x:f>IF(CN36="","",IF(VLOOKUP(CN36,SectInfo!$B:$N,8,FALSE)="",$FC$4,(VLOOKUP(CN36,SectInfo!$B:$N,8,FALSE))))</x:f>
        <x:v/>
      </x:c>
      <x:c r="CS76" s="437" t="str">
        <x:f>IF(CN36="","",VLOOKUP(CN36,SectInfo!$B:$N,9,FALSE))</x:f>
        <x:v/>
      </x:c>
      <x:c r="CT76" s="438">
        <x:f t="shared" si="206"/>
        <x:v>0</x:v>
      </x:c>
      <x:c r="CU76" s="439">
        <x:f t="shared" si="138"/>
        <x:v>0</x:v>
      </x:c>
      <x:c r="CV76" s="339" t="str">
        <x:f t="shared" si="139"/>
        <x:v/>
      </x:c>
      <x:c r="CW76" s="339" t="str">
        <x:f t="shared" si="140"/>
        <x:v/>
      </x:c>
      <x:c r="CX76" s="339" t="str">
        <x:f t="shared" si="141"/>
        <x:v/>
      </x:c>
      <x:c r="CY76" s="1109">
        <x:f t="shared" si="142"/>
        <x:v>0</x:v>
      </x:c>
      <x:c r="CZ76" s="1109">
        <x:f t="shared" si="143"/>
        <x:v>0</x:v>
      </x:c>
      <x:c r="DA76" s="1109" t="str">
        <x:f t="shared" si="144"/>
        <x:v/>
      </x:c>
      <x:c r="DB76" s="1125" t="str">
        <x:f t="shared" si="207"/>
        <x:v/>
      </x:c>
      <x:c r="DC76" s="1125" t="str">
        <x:f t="shared" si="145"/>
        <x:v/>
      </x:c>
      <x:c r="DD76" s="1110">
        <x:f t="shared" si="208"/>
        <x:v>0</x:v>
      </x:c>
      <x:c r="DE76" s="1108">
        <x:f t="shared" si="209"/>
        <x:v>0</x:v>
      </x:c>
      <x:c r="DF76" s="1109">
        <x:f t="shared" si="146"/>
        <x:v>0</x:v>
      </x:c>
      <x:c r="DG76" s="1109" t="str">
        <x:f t="shared" si="147"/>
        <x:v/>
      </x:c>
      <x:c r="DH76" s="1125" t="str">
        <x:f t="shared" si="210"/>
        <x:v/>
      </x:c>
      <x:c r="DI76" s="1125" t="str">
        <x:f t="shared" si="211"/>
        <x:v/>
      </x:c>
      <x:c r="DJ76" s="1110">
        <x:f t="shared" si="212"/>
        <x:v>0</x:v>
      </x:c>
      <x:c r="DK76" s="1108" t="str">
        <x:f t="shared" si="148"/>
        <x:v/>
      </x:c>
      <x:c r="DL76" s="1108" t="str">
        <x:f t="shared" si="149"/>
        <x:v/>
      </x:c>
      <x:c r="DM76" s="1108" t="str">
        <x:f t="shared" si="150"/>
        <x:v/>
      </x:c>
      <x:c r="DN76" s="1108" t="str">
        <x:f t="shared" si="151"/>
        <x:v/>
      </x:c>
      <x:c r="DO76" s="1125" t="str">
        <x:f t="shared" si="152"/>
        <x:v>ERR</x:v>
      </x:c>
      <x:c r="DP76" s="1125" t="str">
        <x:f t="shared" si="153"/>
        <x:v>ERR</x:v>
      </x:c>
      <x:c r="DQ76" s="1108" t="str">
        <x:f t="shared" si="154"/>
        <x:v/>
      </x:c>
      <x:c r="DR76" s="1108" t="str">
        <x:f t="shared" si="154"/>
        <x:v/>
      </x:c>
      <x:c r="DS76" s="1108" t="str">
        <x:f t="shared" si="155"/>
        <x:v/>
      </x:c>
      <x:c r="DT76" s="1108" t="str">
        <x:f t="shared" si="156"/>
        <x:v/>
      </x:c>
      <x:c r="DU76" s="1108" t="str">
        <x:f t="shared" si="157"/>
        <x:v/>
      </x:c>
      <x:c r="DV76" s="1125" t="str">
        <x:f t="shared" si="158"/>
        <x:v>ERR</x:v>
      </x:c>
      <x:c r="DW76" s="1125" t="str">
        <x:f t="shared" si="159"/>
        <x:v>ERR</x:v>
      </x:c>
      <x:c r="DX76" s="1108" t="str">
        <x:f t="shared" si="232"/>
        <x:v/>
      </x:c>
      <x:c r="DY76" s="1108" t="str">
        <x:f t="shared" si="232"/>
        <x:v/>
      </x:c>
      <x:c r="DZ76" s="1108" t="str">
        <x:f t="shared" si="161"/>
        <x:v/>
      </x:c>
      <x:c r="EA76" s="1108" t="str">
        <x:f t="shared" si="162"/>
        <x:v/>
      </x:c>
      <x:c r="EB76" s="1111" t="str">
        <x:f t="shared" si="163"/>
        <x:v/>
      </x:c>
      <x:c r="EC76" s="1112" t="str">
        <x:f t="shared" si="164"/>
        <x:v/>
      </x:c>
      <x:c r="ED76" s="1111" t="str">
        <x:f t="shared" si="165"/>
        <x:v/>
      </x:c>
      <x:c r="EE76" s="1111" t="str">
        <x:f t="shared" si="166"/>
        <x:v/>
      </x:c>
      <x:c r="EF76" s="1111" t="str">
        <x:f t="shared" si="167"/>
        <x:v/>
      </x:c>
      <x:c r="EG76" s="1111" t="str">
        <x:f t="shared" si="168"/>
        <x:v/>
      </x:c>
      <x:c r="EH76" s="1111" t="str">
        <x:f t="shared" si="169"/>
        <x:v/>
      </x:c>
      <x:c r="EI76" s="1111" t="str">
        <x:f t="shared" si="170"/>
        <x:v/>
      </x:c>
      <x:c r="EJ76" s="1111" t="str">
        <x:f t="shared" si="171"/>
        <x:v/>
      </x:c>
      <x:c r="EK76" s="1109">
        <x:f t="shared" si="172"/>
        <x:v>0</x:v>
      </x:c>
      <x:c r="EL76" s="1109">
        <x:f t="shared" si="173"/>
        <x:v>0</x:v>
      </x:c>
      <x:c r="EM76" s="1109">
        <x:f t="shared" si="174"/>
        <x:v>0</x:v>
      </x:c>
      <x:c r="EN76" s="1109" t="str">
        <x:f t="shared" si="175"/>
        <x:v/>
      </x:c>
      <x:c r="EO76" s="1108" t="str">
        <x:f t="shared" si="176"/>
        <x:v/>
      </x:c>
      <x:c r="EP76" s="1109">
        <x:f t="shared" si="177"/>
        <x:v>0</x:v>
      </x:c>
      <x:c r="EQ76" s="1109">
        <x:f t="shared" si="178"/>
        <x:v>0</x:v>
      </x:c>
      <x:c r="ER76" s="1109">
        <x:f t="shared" si="179"/>
        <x:v>0</x:v>
      </x:c>
      <x:c r="ES76" s="1109" t="str">
        <x:f t="shared" si="180"/>
        <x:v/>
      </x:c>
      <x:c r="ET76" s="1108" t="str">
        <x:f t="shared" si="181"/>
        <x:v/>
      </x:c>
      <x:c r="EU76" s="1108">
        <x:f t="shared" si="182"/>
        <x:v>0</x:v>
      </x:c>
      <x:c r="EV76" s="1111" t="e">
        <x:f t="shared" si="183"/>
        <x:v>#VALUE!</x:v>
      </x:c>
      <x:c r="EW76" s="1111" t="e">
        <x:f t="shared" si="184"/>
        <x:v>#VALUE!</x:v>
      </x:c>
      <x:c r="EX76" s="1113" t="str">
        <x:f t="shared" si="213"/>
        <x:v/>
      </x:c>
      <x:c r="EY76" s="1114">
        <x:f t="shared" si="185"/>
        <x:v>25</x:v>
      </x:c>
      <x:c r="EZ76" s="1219">
        <x:f t="shared" si="186"/>
        <x:v>0</x:v>
      </x:c>
      <x:c r="FA76" s="1220">
        <x:f t="shared" si="187"/>
        <x:v>0</x:v>
      </x:c>
      <x:c r="FB76" s="1115" t="str">
        <x:f t="shared" si="188"/>
        <x:v/>
      </x:c>
      <x:c r="FC76" s="1116" t="str">
        <x:f t="shared" si="189"/>
        <x:v/>
      </x:c>
      <x:c r="FD76" s="1126">
        <x:f t="shared" si="190"/>
        <x:v>0</x:v>
      </x:c>
      <x:c r="FE76" s="1066">
        <x:f t="shared" si="191"/>
        <x:v>0</x:v>
      </x:c>
      <x:c r="FF76" s="969" t="b">
        <x:f t="shared" si="192"/>
        <x:v>0</x:v>
      </x:c>
      <x:c r="FG76" s="969" t="b">
        <x:f t="shared" si="193"/>
        <x:v>0</x:v>
      </x:c>
      <x:c r="FH76" s="969" t="b">
        <x:f t="shared" si="194"/>
        <x:v>0</x:v>
      </x:c>
      <x:c r="FI76" s="969" t="b">
        <x:f t="shared" si="195"/>
        <x:v>0</x:v>
      </x:c>
      <x:c r="FJ76" s="1161" t="str">
        <x:f t="shared" si="214"/>
        <x:v/>
      </x:c>
      <x:c r="FK76" s="1160" t="str">
        <x:f t="shared" si="215"/>
        <x:v/>
      </x:c>
      <x:c r="FL76" s="388" t="e">
        <x:f t="shared" si="216"/>
        <x:v>#N/A</x:v>
      </x:c>
      <x:c r="FM76" s="380" t="str">
        <x:f t="shared" si="196"/>
        <x:v/>
      </x:c>
      <x:c r="FN76" s="337" t="str">
        <x:f t="shared" ca="1" si="217"/>
        <x:v/>
      </x:c>
      <x:c r="FO76" s="338" t="str">
        <x:f t="shared" ca="1" si="218"/>
        <x:v/>
      </x:c>
      <x:c r="FP76" s="339" t="str">
        <x:f t="shared" ca="1" si="219"/>
        <x:v/>
      </x:c>
      <x:c r="FQ76" s="339" t="str">
        <x:f t="shared" ca="1" si="220"/>
        <x:v/>
      </x:c>
      <x:c r="FR76" s="389">
        <x:f t="shared" ca="1" si="221"/>
        <x:v>0</x:v>
      </x:c>
      <x:c r="FS76" s="390">
        <x:f t="shared" ca="1" si="222"/>
        <x:v>0</x:v>
      </x:c>
      <x:c r="FT76" s="337" t="str">
        <x:f t="shared" ca="1" si="223"/>
        <x:v/>
      </x:c>
      <x:c r="FU76" s="340" t="str">
        <x:f t="shared" ca="1" si="224"/>
        <x:v/>
      </x:c>
      <x:c r="FV76" s="391" t="str">
        <x:f t="shared" ca="1" si="197"/>
        <x:v/>
      </x:c>
      <x:c r="FW76" s="341" t="str">
        <x:f t="shared" ca="1" si="225"/>
        <x:v/>
      </x:c>
      <x:c r="FX76" s="341" t="str">
        <x:f t="shared" ca="1" si="226"/>
        <x:v/>
      </x:c>
      <x:c r="FY76" s="341" t="str">
        <x:f t="shared" ca="1" si="227"/>
        <x:v/>
      </x:c>
      <x:c r="FZ76" s="341" t="str">
        <x:f t="shared" ca="1" si="228"/>
        <x:v/>
      </x:c>
      <x:c r="GA76" s="341" t="str">
        <x:f t="shared" ca="1" si="229"/>
        <x:v/>
      </x:c>
      <x:c r="GB76" s="342" t="str">
        <x:f ca="1">IF(FY76="","",2+SUM(FO76:OFFSET(FO76,(FU76-1)*-1,0)))</x:f>
        <x:v/>
      </x:c>
      <x:c r="GC76" s="384" t="e">
        <x:f t="shared" si="230"/>
        <x:v>#N/A</x:v>
      </x:c>
      <x:c r="GD76" s="392" t="str">
        <x:f t="shared" si="198"/>
        <x:v/>
      </x:c>
      <x:c r="GE76" s="393" t="str">
        <x:f t="shared" si="199"/>
        <x:v/>
      </x:c>
      <x:c r="GF76" s="343" t="str">
        <x:f t="shared" si="200"/>
        <x:v/>
      </x:c>
      <x:c r="GG76" s="344" t="str">
        <x:f t="shared" si="201"/>
        <x:v/>
      </x:c>
      <x:c r="GH76" s="344" t="str">
        <x:f t="shared" si="202"/>
        <x:v/>
      </x:c>
      <x:c r="GI76" s="345" t="str">
        <x:f t="shared" si="203"/>
        <x:v/>
      </x:c>
      <x:c r="GJ76" s="646">
        <x:f t="shared" ca="1" si="204"/>
        <x:v>0</x:v>
      </x:c>
      <x:c r="GK76" s="1131" t="str">
        <x:f t="shared" si="231"/>
        <x:v/>
      </x:c>
    </x:row>
    <x:row r="77" spans="78:193" ht="12.6" hidden="1" customHeight="1" x14ac:dyDescent="0.2">
      <x:c r="BZ77" s="360"/>
      <x:c r="CA77" s="360"/>
      <x:c r="CB77" s="435" t="str">
        <x:f t="shared" si="137"/>
        <x:v/>
      </x:c>
      <x:c r="CC77" s="436" t="str">
        <x:f>IF(CG37="","",VLOOKUP(CG37,SectInfo!$B:$N,12,FALSE))</x:f>
        <x:v/>
      </x:c>
      <x:c r="CD77" s="1172" t="str">
        <x:f>IF(ISBLANK(CZ37),IF(CG37="","",VLOOKUP(CG37,SectInfo!$B:$N,13,FALSE)),CZ37)</x:f>
        <x:v/>
      </x:c>
      <x:c r="CE77" s="437" t="str">
        <x:f>IF(CG37="","",IF(VLOOKUP(CG37,SectInfo!$B:$N,5,FALSE)="","R",UPPER(VLOOKUP(CG37,SectInfo!$B:$N,5,FALSE))))</x:f>
        <x:v/>
      </x:c>
      <x:c r="CF77" s="1172" t="str">
        <x:f>IF(ISBLANK(DD37),IF(CG37="","",VLOOKUP(CG37,SectInfo!$B:$N,6,FALSE)),DD37)</x:f>
        <x:v/>
      </x:c>
      <x:c r="CG77" s="437" t="str">
        <x:f>IF(CG37="","",IF(VLOOKUP(CG37,SectInfo!$B:$N,10,FALSE)="","",(VLOOKUP(CG37,SectInfo!$B:$N,10,FALSE)*-1)))</x:f>
        <x:v/>
      </x:c>
      <x:c r="CH77" s="437" t="str">
        <x:f>IF(CG37="","",IF(VLOOKUP(CG37,SectInfo!$B:$N,7,FALSE)="","",(VLOOKUP(CG37,SectInfo!$B:$N,7,FALSE)*-1)))</x:f>
        <x:v/>
      </x:c>
      <x:c r="CI77" s="437" t="str">
        <x:f>IF(CG37="","",IF(VLOOKUP(CG37,SectInfo!$B:$N,8,FALSE)="",$FC$4,(VLOOKUP(CG37,SectInfo!$B:$N,8,FALSE))))</x:f>
        <x:v/>
      </x:c>
      <x:c r="CJ77" s="437" t="str">
        <x:f>IF(CG37="","",VLOOKUP(CG37,SectInfo!$B:$N,9,FALSE))</x:f>
        <x:v/>
      </x:c>
      <x:c r="CK77" s="438">
        <x:f t="shared" si="205"/>
        <x:v>0</x:v>
      </x:c>
      <x:c r="CL77" s="436" t="str">
        <x:f>IF(CN37="","",VLOOKUP(CN37,SectInfo!$B:$N,12,FALSE))</x:f>
        <x:v/>
      </x:c>
      <x:c r="CM77" s="1172" t="str">
        <x:f>IF(ISBLANK(DA37),IF(CN37="","",VLOOKUP(CN37,SectInfo!$B:$N,13,FALSE)),DA37)</x:f>
        <x:v/>
      </x:c>
      <x:c r="CN77" s="437" t="str">
        <x:f>IF(CN37="","",IF(VLOOKUP(CN37,SectInfo!$B:$N,5,FALSE)="","R",UPPER(VLOOKUP(CN37,SectInfo!$B:$N,5,FALSE))))</x:f>
        <x:v/>
      </x:c>
      <x:c r="CO77" s="1172" t="str">
        <x:f>IF(ISBLANK(DE37),IF(CN37="","",VLOOKUP(CN37,SectInfo!$B:$N,6,FALSE)),DE37)</x:f>
        <x:v/>
      </x:c>
      <x:c r="CP77" s="437" t="str">
        <x:f>IF(CN37="","",IF(VLOOKUP(CN37,SectInfo!$B:$N,10,FALSE)="","",(VLOOKUP(CN37,SectInfo!$B:$N,10,FALSE)*-1)))</x:f>
        <x:v/>
      </x:c>
      <x:c r="CQ77" s="437" t="str">
        <x:f>IF(CN37="","",IF(VLOOKUP(CN37,SectInfo!$B:$N,7,FALSE)="","",(VLOOKUP(CN37,SectInfo!$B:$N,7,FALSE)*-1)))</x:f>
        <x:v/>
      </x:c>
      <x:c r="CR77" s="437" t="str">
        <x:f>IF(CN37="","",IF(VLOOKUP(CN37,SectInfo!$B:$N,8,FALSE)="",$FC$4,(VLOOKUP(CN37,SectInfo!$B:$N,8,FALSE))))</x:f>
        <x:v/>
      </x:c>
      <x:c r="CS77" s="437" t="str">
        <x:f>IF(CN37="","",VLOOKUP(CN37,SectInfo!$B:$N,9,FALSE))</x:f>
        <x:v/>
      </x:c>
      <x:c r="CT77" s="438">
        <x:f t="shared" si="206"/>
        <x:v>0</x:v>
      </x:c>
      <x:c r="CU77" s="439">
        <x:f t="shared" si="138"/>
        <x:v>0</x:v>
      </x:c>
      <x:c r="CV77" s="339" t="str">
        <x:f t="shared" si="139"/>
        <x:v/>
      </x:c>
      <x:c r="CW77" s="339" t="str">
        <x:f t="shared" si="140"/>
        <x:v/>
      </x:c>
      <x:c r="CX77" s="339" t="str">
        <x:f t="shared" si="141"/>
        <x:v/>
      </x:c>
      <x:c r="CY77" s="1109">
        <x:f t="shared" si="142"/>
        <x:v>0</x:v>
      </x:c>
      <x:c r="CZ77" s="1109">
        <x:f t="shared" si="143"/>
        <x:v>0</x:v>
      </x:c>
      <x:c r="DA77" s="1109" t="str">
        <x:f t="shared" si="144"/>
        <x:v/>
      </x:c>
      <x:c r="DB77" s="1125" t="str">
        <x:f t="shared" si="207"/>
        <x:v/>
      </x:c>
      <x:c r="DC77" s="1125" t="str">
        <x:f t="shared" si="145"/>
        <x:v/>
      </x:c>
      <x:c r="DD77" s="1110">
        <x:f t="shared" si="208"/>
        <x:v>0</x:v>
      </x:c>
      <x:c r="DE77" s="1108">
        <x:f t="shared" si="209"/>
        <x:v>0</x:v>
      </x:c>
      <x:c r="DF77" s="1109">
        <x:f t="shared" si="146"/>
        <x:v>0</x:v>
      </x:c>
      <x:c r="DG77" s="1109" t="str">
        <x:f t="shared" si="147"/>
        <x:v/>
      </x:c>
      <x:c r="DH77" s="1125" t="str">
        <x:f t="shared" si="210"/>
        <x:v/>
      </x:c>
      <x:c r="DI77" s="1125" t="str">
        <x:f t="shared" si="211"/>
        <x:v/>
      </x:c>
      <x:c r="DJ77" s="1110">
        <x:f t="shared" si="212"/>
        <x:v>0</x:v>
      </x:c>
      <x:c r="DK77" s="1108" t="str">
        <x:f t="shared" si="148"/>
        <x:v/>
      </x:c>
      <x:c r="DL77" s="1108" t="str">
        <x:f t="shared" si="149"/>
        <x:v/>
      </x:c>
      <x:c r="DM77" s="1108" t="str">
        <x:f t="shared" si="150"/>
        <x:v/>
      </x:c>
      <x:c r="DN77" s="1108" t="str">
        <x:f t="shared" si="151"/>
        <x:v/>
      </x:c>
      <x:c r="DO77" s="1125" t="str">
        <x:f t="shared" si="152"/>
        <x:v>ERR</x:v>
      </x:c>
      <x:c r="DP77" s="1125" t="str">
        <x:f t="shared" si="153"/>
        <x:v>ERR</x:v>
      </x:c>
      <x:c r="DQ77" s="1108" t="str">
        <x:f t="shared" si="154"/>
        <x:v/>
      </x:c>
      <x:c r="DR77" s="1108" t="str">
        <x:f t="shared" si="154"/>
        <x:v/>
      </x:c>
      <x:c r="DS77" s="1108" t="str">
        <x:f t="shared" si="155"/>
        <x:v/>
      </x:c>
      <x:c r="DT77" s="1108" t="str">
        <x:f t="shared" si="156"/>
        <x:v/>
      </x:c>
      <x:c r="DU77" s="1108" t="str">
        <x:f t="shared" si="157"/>
        <x:v/>
      </x:c>
      <x:c r="DV77" s="1125" t="str">
        <x:f t="shared" si="158"/>
        <x:v>ERR</x:v>
      </x:c>
      <x:c r="DW77" s="1125" t="str">
        <x:f t="shared" si="159"/>
        <x:v>ERR</x:v>
      </x:c>
      <x:c r="DX77" s="1108" t="str">
        <x:f t="shared" si="232"/>
        <x:v/>
      </x:c>
      <x:c r="DY77" s="1108" t="str">
        <x:f t="shared" si="232"/>
        <x:v/>
      </x:c>
      <x:c r="DZ77" s="1108" t="str">
        <x:f t="shared" si="161"/>
        <x:v/>
      </x:c>
      <x:c r="EA77" s="1108" t="str">
        <x:f t="shared" si="162"/>
        <x:v/>
      </x:c>
      <x:c r="EB77" s="1111" t="str">
        <x:f t="shared" si="163"/>
        <x:v/>
      </x:c>
      <x:c r="EC77" s="1112" t="str">
        <x:f t="shared" si="164"/>
        <x:v/>
      </x:c>
      <x:c r="ED77" s="1111" t="str">
        <x:f t="shared" si="165"/>
        <x:v/>
      </x:c>
      <x:c r="EE77" s="1111" t="str">
        <x:f t="shared" si="166"/>
        <x:v/>
      </x:c>
      <x:c r="EF77" s="1111" t="str">
        <x:f t="shared" si="167"/>
        <x:v/>
      </x:c>
      <x:c r="EG77" s="1111" t="str">
        <x:f t="shared" si="168"/>
        <x:v/>
      </x:c>
      <x:c r="EH77" s="1111" t="str">
        <x:f t="shared" si="169"/>
        <x:v/>
      </x:c>
      <x:c r="EI77" s="1111" t="str">
        <x:f t="shared" si="170"/>
        <x:v/>
      </x:c>
      <x:c r="EJ77" s="1111" t="str">
        <x:f t="shared" si="171"/>
        <x:v/>
      </x:c>
      <x:c r="EK77" s="1109">
        <x:f t="shared" si="172"/>
        <x:v>0</x:v>
      </x:c>
      <x:c r="EL77" s="1109">
        <x:f t="shared" si="173"/>
        <x:v>0</x:v>
      </x:c>
      <x:c r="EM77" s="1109">
        <x:f t="shared" si="174"/>
        <x:v>0</x:v>
      </x:c>
      <x:c r="EN77" s="1109" t="str">
        <x:f t="shared" si="175"/>
        <x:v/>
      </x:c>
      <x:c r="EO77" s="1108" t="str">
        <x:f t="shared" si="176"/>
        <x:v/>
      </x:c>
      <x:c r="EP77" s="1109">
        <x:f t="shared" si="177"/>
        <x:v>0</x:v>
      </x:c>
      <x:c r="EQ77" s="1109">
        <x:f t="shared" si="178"/>
        <x:v>0</x:v>
      </x:c>
      <x:c r="ER77" s="1109">
        <x:f t="shared" si="179"/>
        <x:v>0</x:v>
      </x:c>
      <x:c r="ES77" s="1109" t="str">
        <x:f t="shared" si="180"/>
        <x:v/>
      </x:c>
      <x:c r="ET77" s="1108" t="str">
        <x:f t="shared" si="181"/>
        <x:v/>
      </x:c>
      <x:c r="EU77" s="1108">
        <x:f t="shared" si="182"/>
        <x:v>0</x:v>
      </x:c>
      <x:c r="EV77" s="1111" t="e">
        <x:f t="shared" si="183"/>
        <x:v>#VALUE!</x:v>
      </x:c>
      <x:c r="EW77" s="1111" t="e">
        <x:f t="shared" si="184"/>
        <x:v>#VALUE!</x:v>
      </x:c>
      <x:c r="EX77" s="1113" t="str">
        <x:f t="shared" si="213"/>
        <x:v/>
      </x:c>
      <x:c r="EY77" s="1114">
        <x:f t="shared" si="185"/>
        <x:v>25</x:v>
      </x:c>
      <x:c r="EZ77" s="1219">
        <x:f t="shared" si="186"/>
        <x:v>0</x:v>
      </x:c>
      <x:c r="FA77" s="1220">
        <x:f t="shared" si="187"/>
        <x:v>0</x:v>
      </x:c>
      <x:c r="FB77" s="1115" t="str">
        <x:f t="shared" si="188"/>
        <x:v/>
      </x:c>
      <x:c r="FC77" s="1116" t="str">
        <x:f t="shared" si="189"/>
        <x:v/>
      </x:c>
      <x:c r="FD77" s="1126">
        <x:f t="shared" si="190"/>
        <x:v>0</x:v>
      </x:c>
      <x:c r="FE77" s="1066">
        <x:f t="shared" si="191"/>
        <x:v>0</x:v>
      </x:c>
      <x:c r="FF77" s="969" t="b">
        <x:f t="shared" si="192"/>
        <x:v>0</x:v>
      </x:c>
      <x:c r="FG77" s="969" t="b">
        <x:f t="shared" si="193"/>
        <x:v>0</x:v>
      </x:c>
      <x:c r="FH77" s="969" t="b">
        <x:f t="shared" si="194"/>
        <x:v>0</x:v>
      </x:c>
      <x:c r="FI77" s="969" t="b">
        <x:f t="shared" si="195"/>
        <x:v>0</x:v>
      </x:c>
      <x:c r="FJ77" s="1161" t="str">
        <x:f t="shared" si="214"/>
        <x:v/>
      </x:c>
      <x:c r="FK77" s="1160" t="str">
        <x:f t="shared" si="215"/>
        <x:v/>
      </x:c>
      <x:c r="FL77" s="388" t="e">
        <x:f t="shared" si="216"/>
        <x:v>#N/A</x:v>
      </x:c>
      <x:c r="FM77" s="380" t="str">
        <x:f t="shared" si="196"/>
        <x:v/>
      </x:c>
      <x:c r="FN77" s="337" t="str">
        <x:f t="shared" ca="1" si="217"/>
        <x:v/>
      </x:c>
      <x:c r="FO77" s="338" t="str">
        <x:f t="shared" ca="1" si="218"/>
        <x:v/>
      </x:c>
      <x:c r="FP77" s="339" t="str">
        <x:f t="shared" ca="1" si="219"/>
        <x:v/>
      </x:c>
      <x:c r="FQ77" s="339" t="str">
        <x:f t="shared" ca="1" si="220"/>
        <x:v/>
      </x:c>
      <x:c r="FR77" s="389">
        <x:f t="shared" ca="1" si="221"/>
        <x:v>0</x:v>
      </x:c>
      <x:c r="FS77" s="390">
        <x:f t="shared" ca="1" si="222"/>
        <x:v>0</x:v>
      </x:c>
      <x:c r="FT77" s="337" t="str">
        <x:f t="shared" ca="1" si="223"/>
        <x:v/>
      </x:c>
      <x:c r="FU77" s="340" t="str">
        <x:f t="shared" ca="1" si="224"/>
        <x:v/>
      </x:c>
      <x:c r="FV77" s="391" t="str">
        <x:f t="shared" ca="1" si="197"/>
        <x:v/>
      </x:c>
      <x:c r="FW77" s="341" t="str">
        <x:f t="shared" ca="1" si="225"/>
        <x:v/>
      </x:c>
      <x:c r="FX77" s="341" t="str">
        <x:f t="shared" ca="1" si="226"/>
        <x:v/>
      </x:c>
      <x:c r="FY77" s="341" t="str">
        <x:f t="shared" ca="1" si="227"/>
        <x:v/>
      </x:c>
      <x:c r="FZ77" s="341" t="str">
        <x:f t="shared" ca="1" si="228"/>
        <x:v/>
      </x:c>
      <x:c r="GA77" s="341" t="str">
        <x:f t="shared" ca="1" si="229"/>
        <x:v/>
      </x:c>
      <x:c r="GB77" s="342" t="str">
        <x:f ca="1">IF(FY77="","",2+SUM(FO77:OFFSET(FO77,(FU77-1)*-1,0)))</x:f>
        <x:v/>
      </x:c>
      <x:c r="GC77" s="384" t="e">
        <x:f t="shared" si="230"/>
        <x:v>#N/A</x:v>
      </x:c>
      <x:c r="GD77" s="392" t="str">
        <x:f t="shared" si="198"/>
        <x:v/>
      </x:c>
      <x:c r="GE77" s="393" t="str">
        <x:f t="shared" si="199"/>
        <x:v/>
      </x:c>
      <x:c r="GF77" s="343" t="str">
        <x:f t="shared" si="200"/>
        <x:v/>
      </x:c>
      <x:c r="GG77" s="344" t="str">
        <x:f t="shared" si="201"/>
        <x:v/>
      </x:c>
      <x:c r="GH77" s="344" t="str">
        <x:f t="shared" si="202"/>
        <x:v/>
      </x:c>
      <x:c r="GI77" s="345" t="str">
        <x:f t="shared" si="203"/>
        <x:v/>
      </x:c>
      <x:c r="GJ77" s="646">
        <x:f t="shared" ca="1" si="204"/>
        <x:v>0</x:v>
      </x:c>
      <x:c r="GK77" s="1131" t="str">
        <x:f t="shared" ca="1" si="231"/>
        <x:v>A</x:v>
      </x:c>
    </x:row>
    <x:row r="78" spans="78:193" ht="12.6" hidden="1" customHeight="1" x14ac:dyDescent="0.2">
      <x:c r="BZ78" s="360"/>
      <x:c r="CA78" s="360"/>
      <x:c r="CB78" s="435" t="str">
        <x:f t="shared" si="137"/>
        <x:v/>
      </x:c>
      <x:c r="CC78" s="436" t="str">
        <x:f>IF(CG38="","",VLOOKUP(CG38,SectInfo!$B:$N,12,FALSE))</x:f>
        <x:v/>
      </x:c>
      <x:c r="CD78" s="1172" t="str">
        <x:f>IF(ISBLANK(CZ38),IF(CG38="","",VLOOKUP(CG38,SectInfo!$B:$N,13,FALSE)),CZ38)</x:f>
        <x:v/>
      </x:c>
      <x:c r="CE78" s="437" t="str">
        <x:f>IF(CG38="","",IF(VLOOKUP(CG38,SectInfo!$B:$N,5,FALSE)="","R",UPPER(VLOOKUP(CG38,SectInfo!$B:$N,5,FALSE))))</x:f>
        <x:v/>
      </x:c>
      <x:c r="CF78" s="1172" t="str">
        <x:f>IF(ISBLANK(DD38),IF(CG38="","",VLOOKUP(CG38,SectInfo!$B:$N,6,FALSE)),DD38)</x:f>
        <x:v/>
      </x:c>
      <x:c r="CG78" s="437" t="str">
        <x:f>IF(CG38="","",IF(VLOOKUP(CG38,SectInfo!$B:$N,10,FALSE)="","",(VLOOKUP(CG38,SectInfo!$B:$N,10,FALSE)*-1)))</x:f>
        <x:v/>
      </x:c>
      <x:c r="CH78" s="437" t="str">
        <x:f>IF(CG38="","",IF(VLOOKUP(CG38,SectInfo!$B:$N,7,FALSE)="","",(VLOOKUP(CG38,SectInfo!$B:$N,7,FALSE)*-1)))</x:f>
        <x:v/>
      </x:c>
      <x:c r="CI78" s="437" t="str">
        <x:f>IF(CG38="","",IF(VLOOKUP(CG38,SectInfo!$B:$N,8,FALSE)="",$FC$4,(VLOOKUP(CG38,SectInfo!$B:$N,8,FALSE))))</x:f>
        <x:v/>
      </x:c>
      <x:c r="CJ78" s="437" t="str">
        <x:f>IF(CG38="","",VLOOKUP(CG38,SectInfo!$B:$N,9,FALSE))</x:f>
        <x:v/>
      </x:c>
      <x:c r="CK78" s="438">
        <x:f t="shared" si="205"/>
        <x:v>0</x:v>
      </x:c>
      <x:c r="CL78" s="436" t="str">
        <x:f>IF(CN38="","",VLOOKUP(CN38,SectInfo!$B:$N,12,FALSE))</x:f>
        <x:v/>
      </x:c>
      <x:c r="CM78" s="1172" t="str">
        <x:f>IF(ISBLANK(DA38),IF(CN38="","",VLOOKUP(CN38,SectInfo!$B:$N,13,FALSE)),DA38)</x:f>
        <x:v/>
      </x:c>
      <x:c r="CN78" s="437" t="str">
        <x:f>IF(CN38="","",IF(VLOOKUP(CN38,SectInfo!$B:$N,5,FALSE)="","R",UPPER(VLOOKUP(CN38,SectInfo!$B:$N,5,FALSE))))</x:f>
        <x:v/>
      </x:c>
      <x:c r="CO78" s="1172" t="str">
        <x:f>IF(ISBLANK(DE38),IF(CN38="","",VLOOKUP(CN38,SectInfo!$B:$N,6,FALSE)),DE38)</x:f>
        <x:v/>
      </x:c>
      <x:c r="CP78" s="437" t="str">
        <x:f>IF(CN38="","",IF(VLOOKUP(CN38,SectInfo!$B:$N,10,FALSE)="","",(VLOOKUP(CN38,SectInfo!$B:$N,10,FALSE)*-1)))</x:f>
        <x:v/>
      </x:c>
      <x:c r="CQ78" s="437" t="str">
        <x:f>IF(CN38="","",IF(VLOOKUP(CN38,SectInfo!$B:$N,7,FALSE)="","",(VLOOKUP(CN38,SectInfo!$B:$N,7,FALSE)*-1)))</x:f>
        <x:v/>
      </x:c>
      <x:c r="CR78" s="437" t="str">
        <x:f>IF(CN38="","",IF(VLOOKUP(CN38,SectInfo!$B:$N,8,FALSE)="",$FC$4,(VLOOKUP(CN38,SectInfo!$B:$N,8,FALSE))))</x:f>
        <x:v/>
      </x:c>
      <x:c r="CS78" s="437" t="str">
        <x:f>IF(CN38="","",VLOOKUP(CN38,SectInfo!$B:$N,9,FALSE))</x:f>
        <x:v/>
      </x:c>
      <x:c r="CT78" s="438">
        <x:f t="shared" si="206"/>
        <x:v>0</x:v>
      </x:c>
      <x:c r="CU78" s="439">
        <x:f t="shared" si="138"/>
        <x:v>0</x:v>
      </x:c>
      <x:c r="CV78" s="339" t="str">
        <x:f t="shared" si="139"/>
        <x:v/>
      </x:c>
      <x:c r="CW78" s="339" t="str">
        <x:f t="shared" si="140"/>
        <x:v/>
      </x:c>
      <x:c r="CX78" s="339" t="str">
        <x:f t="shared" si="141"/>
        <x:v/>
      </x:c>
      <x:c r="CY78" s="1109">
        <x:f t="shared" si="142"/>
        <x:v>0</x:v>
      </x:c>
      <x:c r="CZ78" s="1109">
        <x:f t="shared" si="143"/>
        <x:v>0</x:v>
      </x:c>
      <x:c r="DA78" s="1109" t="str">
        <x:f t="shared" si="144"/>
        <x:v/>
      </x:c>
      <x:c r="DB78" s="1125" t="str">
        <x:f t="shared" si="207"/>
        <x:v/>
      </x:c>
      <x:c r="DC78" s="1125" t="str">
        <x:f t="shared" si="145"/>
        <x:v/>
      </x:c>
      <x:c r="DD78" s="1110">
        <x:f t="shared" si="208"/>
        <x:v>0</x:v>
      </x:c>
      <x:c r="DE78" s="1108">
        <x:f t="shared" si="209"/>
        <x:v>0</x:v>
      </x:c>
      <x:c r="DF78" s="1109">
        <x:f t="shared" si="146"/>
        <x:v>0</x:v>
      </x:c>
      <x:c r="DG78" s="1109" t="str">
        <x:f t="shared" si="147"/>
        <x:v/>
      </x:c>
      <x:c r="DH78" s="1125" t="str">
        <x:f t="shared" si="210"/>
        <x:v/>
      </x:c>
      <x:c r="DI78" s="1125" t="str">
        <x:f t="shared" si="211"/>
        <x:v/>
      </x:c>
      <x:c r="DJ78" s="1110">
        <x:f t="shared" si="212"/>
        <x:v>0</x:v>
      </x:c>
      <x:c r="DK78" s="1108" t="str">
        <x:f t="shared" si="148"/>
        <x:v/>
      </x:c>
      <x:c r="DL78" s="1108" t="str">
        <x:f t="shared" si="149"/>
        <x:v/>
      </x:c>
      <x:c r="DM78" s="1108" t="str">
        <x:f t="shared" si="150"/>
        <x:v/>
      </x:c>
      <x:c r="DN78" s="1108" t="str">
        <x:f t="shared" si="151"/>
        <x:v/>
      </x:c>
      <x:c r="DO78" s="1125" t="str">
        <x:f t="shared" si="152"/>
        <x:v>ERR</x:v>
      </x:c>
      <x:c r="DP78" s="1125" t="str">
        <x:f t="shared" si="153"/>
        <x:v>ERR</x:v>
      </x:c>
      <x:c r="DQ78" s="1108" t="str">
        <x:f t="shared" si="154"/>
        <x:v/>
      </x:c>
      <x:c r="DR78" s="1108" t="str">
        <x:f t="shared" si="154"/>
        <x:v/>
      </x:c>
      <x:c r="DS78" s="1108" t="str">
        <x:f t="shared" si="155"/>
        <x:v/>
      </x:c>
      <x:c r="DT78" s="1108" t="str">
        <x:f t="shared" si="156"/>
        <x:v/>
      </x:c>
      <x:c r="DU78" s="1108" t="str">
        <x:f t="shared" si="157"/>
        <x:v/>
      </x:c>
      <x:c r="DV78" s="1125" t="str">
        <x:f t="shared" si="158"/>
        <x:v>ERR</x:v>
      </x:c>
      <x:c r="DW78" s="1125" t="str">
        <x:f t="shared" si="159"/>
        <x:v>ERR</x:v>
      </x:c>
      <x:c r="DX78" s="1108" t="str">
        <x:f t="shared" si="232"/>
        <x:v/>
      </x:c>
      <x:c r="DY78" s="1108" t="str">
        <x:f t="shared" si="232"/>
        <x:v/>
      </x:c>
      <x:c r="DZ78" s="1108" t="str">
        <x:f t="shared" si="161"/>
        <x:v/>
      </x:c>
      <x:c r="EA78" s="1108" t="str">
        <x:f t="shared" si="162"/>
        <x:v/>
      </x:c>
      <x:c r="EB78" s="1111" t="str">
        <x:f t="shared" si="163"/>
        <x:v/>
      </x:c>
      <x:c r="EC78" s="1112" t="str">
        <x:f t="shared" si="164"/>
        <x:v/>
      </x:c>
      <x:c r="ED78" s="1111" t="str">
        <x:f t="shared" si="165"/>
        <x:v/>
      </x:c>
      <x:c r="EE78" s="1111" t="str">
        <x:f t="shared" si="166"/>
        <x:v/>
      </x:c>
      <x:c r="EF78" s="1111" t="str">
        <x:f t="shared" si="167"/>
        <x:v/>
      </x:c>
      <x:c r="EG78" s="1111" t="str">
        <x:f t="shared" si="168"/>
        <x:v/>
      </x:c>
      <x:c r="EH78" s="1111" t="str">
        <x:f t="shared" si="169"/>
        <x:v/>
      </x:c>
      <x:c r="EI78" s="1111" t="str">
        <x:f t="shared" si="170"/>
        <x:v/>
      </x:c>
      <x:c r="EJ78" s="1111" t="str">
        <x:f t="shared" si="171"/>
        <x:v/>
      </x:c>
      <x:c r="EK78" s="1109">
        <x:f t="shared" si="172"/>
        <x:v>0</x:v>
      </x:c>
      <x:c r="EL78" s="1109">
        <x:f t="shared" si="173"/>
        <x:v>0</x:v>
      </x:c>
      <x:c r="EM78" s="1109">
        <x:f t="shared" si="174"/>
        <x:v>0</x:v>
      </x:c>
      <x:c r="EN78" s="1109" t="str">
        <x:f t="shared" si="175"/>
        <x:v/>
      </x:c>
      <x:c r="EO78" s="1108" t="str">
        <x:f t="shared" si="176"/>
        <x:v/>
      </x:c>
      <x:c r="EP78" s="1109">
        <x:f t="shared" si="177"/>
        <x:v>0</x:v>
      </x:c>
      <x:c r="EQ78" s="1109">
        <x:f t="shared" si="178"/>
        <x:v>0</x:v>
      </x:c>
      <x:c r="ER78" s="1109">
        <x:f t="shared" si="179"/>
        <x:v>0</x:v>
      </x:c>
      <x:c r="ES78" s="1109" t="str">
        <x:f t="shared" si="180"/>
        <x:v/>
      </x:c>
      <x:c r="ET78" s="1108" t="str">
        <x:f t="shared" si="181"/>
        <x:v/>
      </x:c>
      <x:c r="EU78" s="1108">
        <x:f t="shared" si="182"/>
        <x:v>0</x:v>
      </x:c>
      <x:c r="EV78" s="1111" t="e">
        <x:f t="shared" si="183"/>
        <x:v>#VALUE!</x:v>
      </x:c>
      <x:c r="EW78" s="1111" t="e">
        <x:f t="shared" si="184"/>
        <x:v>#VALUE!</x:v>
      </x:c>
      <x:c r="EX78" s="1113" t="str">
        <x:f t="shared" si="213"/>
        <x:v/>
      </x:c>
      <x:c r="EY78" s="1114" t="e">
        <x:f t="shared" si="185"/>
        <x:v>#DIV/0!</x:v>
      </x:c>
      <x:c r="EZ78" s="1219" t="e">
        <x:f t="shared" si="186"/>
        <x:v>#DIV/0!</x:v>
      </x:c>
      <x:c r="FA78" s="1220" t="e">
        <x:f t="shared" si="187"/>
        <x:v>#DIV/0!</x:v>
      </x:c>
      <x:c r="FB78" s="1115" t="str">
        <x:f t="shared" si="188"/>
        <x:v/>
      </x:c>
      <x:c r="FC78" s="1116" t="str">
        <x:f t="shared" si="189"/>
        <x:v/>
      </x:c>
      <x:c r="FD78" s="1126">
        <x:f t="shared" si="190"/>
        <x:v>0</x:v>
      </x:c>
      <x:c r="FE78" s="1066">
        <x:f t="shared" si="191"/>
        <x:v>0</x:v>
      </x:c>
      <x:c r="FF78" s="969" t="b">
        <x:f t="shared" si="192"/>
        <x:v>0</x:v>
      </x:c>
      <x:c r="FG78" s="969" t="b">
        <x:f t="shared" si="193"/>
        <x:v>0</x:v>
      </x:c>
      <x:c r="FH78" s="969" t="b">
        <x:f t="shared" si="194"/>
        <x:v>0</x:v>
      </x:c>
      <x:c r="FI78" s="969" t="b">
        <x:f t="shared" si="195"/>
        <x:v>0</x:v>
      </x:c>
      <x:c r="FJ78" s="1161" t="str">
        <x:f t="shared" si="214"/>
        <x:v/>
      </x:c>
      <x:c r="FK78" s="1160" t="str">
        <x:f t="shared" si="215"/>
        <x:v/>
      </x:c>
      <x:c r="FL78" s="388" t="e">
        <x:f t="shared" si="216"/>
        <x:v>#N/A</x:v>
      </x:c>
      <x:c r="FM78" s="380" t="str">
        <x:f t="shared" si="196"/>
        <x:v/>
      </x:c>
      <x:c r="FN78" s="337" t="str">
        <x:f t="shared" ca="1" si="217"/>
        <x:v/>
      </x:c>
      <x:c r="FO78" s="338" t="str">
        <x:f t="shared" ca="1" si="218"/>
        <x:v/>
      </x:c>
      <x:c r="FP78" s="339" t="str">
        <x:f t="shared" ca="1" si="219"/>
        <x:v/>
      </x:c>
      <x:c r="FQ78" s="339" t="str">
        <x:f t="shared" ca="1" si="220"/>
        <x:v/>
      </x:c>
      <x:c r="FR78" s="389">
        <x:f t="shared" ca="1" si="221"/>
        <x:v>0</x:v>
      </x:c>
      <x:c r="FS78" s="390">
        <x:f t="shared" ca="1" si="222"/>
        <x:v>0</x:v>
      </x:c>
      <x:c r="FT78" s="337" t="str">
        <x:f t="shared" ca="1" si="223"/>
        <x:v/>
      </x:c>
      <x:c r="FU78" s="340" t="str">
        <x:f t="shared" ca="1" si="224"/>
        <x:v/>
      </x:c>
      <x:c r="FV78" s="391" t="str">
        <x:f t="shared" ca="1" si="197"/>
        <x:v/>
      </x:c>
      <x:c r="FW78" s="341" t="str">
        <x:f t="shared" ca="1" si="225"/>
        <x:v/>
      </x:c>
      <x:c r="FX78" s="341" t="str">
        <x:f t="shared" ca="1" si="226"/>
        <x:v/>
      </x:c>
      <x:c r="FY78" s="341" t="str">
        <x:f t="shared" ca="1" si="227"/>
        <x:v/>
      </x:c>
      <x:c r="FZ78" s="341" t="str">
        <x:f t="shared" ca="1" si="228"/>
        <x:v/>
      </x:c>
      <x:c r="GA78" s="341" t="str">
        <x:f t="shared" ca="1" si="229"/>
        <x:v/>
      </x:c>
      <x:c r="GB78" s="342" t="str">
        <x:f ca="1">IF(FY78="","",2+SUM(FO78:OFFSET(FO78,(FU78-1)*-1,0)))</x:f>
        <x:v/>
      </x:c>
      <x:c r="GC78" s="384" t="e">
        <x:f t="shared" si="230"/>
        <x:v>#N/A</x:v>
      </x:c>
      <x:c r="GD78" s="392" t="str">
        <x:f t="shared" si="198"/>
        <x:v/>
      </x:c>
      <x:c r="GE78" s="393" t="str">
        <x:f t="shared" si="199"/>
        <x:v/>
      </x:c>
      <x:c r="GF78" s="343" t="str">
        <x:f t="shared" si="200"/>
        <x:v/>
      </x:c>
      <x:c r="GG78" s="344" t="str">
        <x:f t="shared" si="201"/>
        <x:v/>
      </x:c>
      <x:c r="GH78" s="344" t="str">
        <x:f t="shared" si="202"/>
        <x:v/>
      </x:c>
      <x:c r="GI78" s="345" t="str">
        <x:f t="shared" si="203"/>
        <x:v/>
      </x:c>
      <x:c r="GJ78" s="646">
        <x:f t="shared" ca="1" si="204"/>
        <x:v>0</x:v>
      </x:c>
      <x:c r="GK78" s="1131" t="str">
        <x:f t="shared" ca="1" si="231"/>
        <x:v>B</x:v>
      </x:c>
    </x:row>
    <x:row r="79" spans="78:193" ht="12.6" hidden="1" customHeight="1" x14ac:dyDescent="0.2">
      <x:c r="BZ79" s="360"/>
      <x:c r="CA79" s="360"/>
      <x:c r="CB79" s="435" t="str">
        <x:f t="shared" si="137"/>
        <x:v/>
      </x:c>
      <x:c r="CC79" s="436" t="str">
        <x:f>IF(CG39="","",VLOOKUP(CG39,SectInfo!$B:$N,12,FALSE))</x:f>
        <x:v/>
      </x:c>
      <x:c r="CD79" s="1172" t="str">
        <x:f>IF(ISBLANK(CZ39),IF(CG39="","",VLOOKUP(CG39,SectInfo!$B:$N,13,FALSE)),CZ39)</x:f>
        <x:v/>
      </x:c>
      <x:c r="CE79" s="437" t="str">
        <x:f>IF(CG39="","",IF(VLOOKUP(CG39,SectInfo!$B:$N,5,FALSE)="","R",UPPER(VLOOKUP(CG39,SectInfo!$B:$N,5,FALSE))))</x:f>
        <x:v/>
      </x:c>
      <x:c r="CF79" s="1172" t="str">
        <x:f>IF(ISBLANK(DD39),IF(CG39="","",VLOOKUP(CG39,SectInfo!$B:$N,6,FALSE)),DD39)</x:f>
        <x:v/>
      </x:c>
      <x:c r="CG79" s="437" t="str">
        <x:f>IF(CG39="","",IF(VLOOKUP(CG39,SectInfo!$B:$N,10,FALSE)="","",(VLOOKUP(CG39,SectInfo!$B:$N,10,FALSE)*-1)))</x:f>
        <x:v/>
      </x:c>
      <x:c r="CH79" s="437" t="str">
        <x:f>IF(CG39="","",IF(VLOOKUP(CG39,SectInfo!$B:$N,7,FALSE)="","",(VLOOKUP(CG39,SectInfo!$B:$N,7,FALSE)*-1)))</x:f>
        <x:v/>
      </x:c>
      <x:c r="CI79" s="437" t="str">
        <x:f>IF(CG39="","",IF(VLOOKUP(CG39,SectInfo!$B:$N,8,FALSE)="",$FC$4,(VLOOKUP(CG39,SectInfo!$B:$N,8,FALSE))))</x:f>
        <x:v/>
      </x:c>
      <x:c r="CJ79" s="437" t="str">
        <x:f>IF(CG39="","",VLOOKUP(CG39,SectInfo!$B:$N,9,FALSE))</x:f>
        <x:v/>
      </x:c>
      <x:c r="CK79" s="438">
        <x:f t="shared" si="205"/>
        <x:v>0</x:v>
      </x:c>
      <x:c r="CL79" s="436" t="str">
        <x:f>IF(CN39="","",VLOOKUP(CN39,SectInfo!$B:$N,12,FALSE))</x:f>
        <x:v/>
      </x:c>
      <x:c r="CM79" s="1172" t="str">
        <x:f>IF(ISBLANK(DA39),IF(CN39="","",VLOOKUP(CN39,SectInfo!$B:$N,13,FALSE)),DA39)</x:f>
        <x:v/>
      </x:c>
      <x:c r="CN79" s="437" t="str">
        <x:f>IF(CN39="","",IF(VLOOKUP(CN39,SectInfo!$B:$N,5,FALSE)="","R",UPPER(VLOOKUP(CN39,SectInfo!$B:$N,5,FALSE))))</x:f>
        <x:v/>
      </x:c>
      <x:c r="CO79" s="1172" t="str">
        <x:f>IF(ISBLANK(DE39),IF(CN39="","",VLOOKUP(CN39,SectInfo!$B:$N,6,FALSE)),DE39)</x:f>
        <x:v/>
      </x:c>
      <x:c r="CP79" s="437" t="str">
        <x:f>IF(CN39="","",IF(VLOOKUP(CN39,SectInfo!$B:$N,10,FALSE)="","",(VLOOKUP(CN39,SectInfo!$B:$N,10,FALSE)*-1)))</x:f>
        <x:v/>
      </x:c>
      <x:c r="CQ79" s="437" t="str">
        <x:f>IF(CN39="","",IF(VLOOKUP(CN39,SectInfo!$B:$N,7,FALSE)="","",(VLOOKUP(CN39,SectInfo!$B:$N,7,FALSE)*-1)))</x:f>
        <x:v/>
      </x:c>
      <x:c r="CR79" s="437" t="str">
        <x:f>IF(CN39="","",IF(VLOOKUP(CN39,SectInfo!$B:$N,8,FALSE)="",$FC$4,(VLOOKUP(CN39,SectInfo!$B:$N,8,FALSE))))</x:f>
        <x:v/>
      </x:c>
      <x:c r="CS79" s="437" t="str">
        <x:f>IF(CN39="","",VLOOKUP(CN39,SectInfo!$B:$N,9,FALSE))</x:f>
        <x:v/>
      </x:c>
      <x:c r="CT79" s="438">
        <x:f t="shared" si="206"/>
        <x:v>0</x:v>
      </x:c>
      <x:c r="CU79" s="439">
        <x:f t="shared" si="138"/>
        <x:v>0</x:v>
      </x:c>
      <x:c r="CV79" s="339" t="str">
        <x:f t="shared" si="139"/>
        <x:v/>
      </x:c>
      <x:c r="CW79" s="339" t="str">
        <x:f t="shared" si="140"/>
        <x:v/>
      </x:c>
      <x:c r="CX79" s="339" t="str">
        <x:f t="shared" si="141"/>
        <x:v/>
      </x:c>
      <x:c r="CY79" s="1109">
        <x:f t="shared" si="142"/>
        <x:v>0</x:v>
      </x:c>
      <x:c r="CZ79" s="1109">
        <x:f t="shared" si="143"/>
        <x:v>0</x:v>
      </x:c>
      <x:c r="DA79" s="1109" t="str">
        <x:f t="shared" si="144"/>
        <x:v/>
      </x:c>
      <x:c r="DB79" s="1125" t="str">
        <x:f t="shared" si="207"/>
        <x:v/>
      </x:c>
      <x:c r="DC79" s="1125" t="str">
        <x:f t="shared" si="145"/>
        <x:v/>
      </x:c>
      <x:c r="DD79" s="1110">
        <x:f t="shared" si="208"/>
        <x:v>0</x:v>
      </x:c>
      <x:c r="DE79" s="1108">
        <x:f t="shared" si="209"/>
        <x:v>0</x:v>
      </x:c>
      <x:c r="DF79" s="1109">
        <x:f t="shared" si="146"/>
        <x:v>0</x:v>
      </x:c>
      <x:c r="DG79" s="1109" t="str">
        <x:f t="shared" si="147"/>
        <x:v/>
      </x:c>
      <x:c r="DH79" s="1125" t="str">
        <x:f t="shared" si="210"/>
        <x:v/>
      </x:c>
      <x:c r="DI79" s="1125" t="str">
        <x:f t="shared" si="211"/>
        <x:v/>
      </x:c>
      <x:c r="DJ79" s="1110">
        <x:f t="shared" si="212"/>
        <x:v>0</x:v>
      </x:c>
      <x:c r="DK79" s="1108" t="str">
        <x:f t="shared" si="148"/>
        <x:v/>
      </x:c>
      <x:c r="DL79" s="1108" t="str">
        <x:f t="shared" si="149"/>
        <x:v/>
      </x:c>
      <x:c r="DM79" s="1108" t="str">
        <x:f t="shared" si="150"/>
        <x:v/>
      </x:c>
      <x:c r="DN79" s="1108" t="str">
        <x:f t="shared" si="151"/>
        <x:v/>
      </x:c>
      <x:c r="DO79" s="1125" t="str">
        <x:f t="shared" si="152"/>
        <x:v>ERR</x:v>
      </x:c>
      <x:c r="DP79" s="1125" t="str">
        <x:f t="shared" si="153"/>
        <x:v>ERR</x:v>
      </x:c>
      <x:c r="DQ79" s="1108" t="str">
        <x:f t="shared" si="154"/>
        <x:v/>
      </x:c>
      <x:c r="DR79" s="1108" t="str">
        <x:f t="shared" si="154"/>
        <x:v/>
      </x:c>
      <x:c r="DS79" s="1108" t="str">
        <x:f t="shared" si="155"/>
        <x:v/>
      </x:c>
      <x:c r="DT79" s="1108" t="str">
        <x:f t="shared" si="156"/>
        <x:v/>
      </x:c>
      <x:c r="DU79" s="1108" t="str">
        <x:f t="shared" si="157"/>
        <x:v/>
      </x:c>
      <x:c r="DV79" s="1125" t="str">
        <x:f t="shared" si="158"/>
        <x:v>ERR</x:v>
      </x:c>
      <x:c r="DW79" s="1125" t="str">
        <x:f t="shared" si="159"/>
        <x:v>ERR</x:v>
      </x:c>
      <x:c r="DX79" s="1108" t="str">
        <x:f t="shared" si="232"/>
        <x:v/>
      </x:c>
      <x:c r="DY79" s="1108" t="str">
        <x:f t="shared" si="232"/>
        <x:v/>
      </x:c>
      <x:c r="DZ79" s="1108" t="str">
        <x:f t="shared" si="161"/>
        <x:v/>
      </x:c>
      <x:c r="EA79" s="1108" t="str">
        <x:f t="shared" si="162"/>
        <x:v/>
      </x:c>
      <x:c r="EB79" s="1111" t="str">
        <x:f t="shared" si="163"/>
        <x:v/>
      </x:c>
      <x:c r="EC79" s="1112" t="str">
        <x:f t="shared" si="164"/>
        <x:v/>
      </x:c>
      <x:c r="ED79" s="1111" t="str">
        <x:f t="shared" si="165"/>
        <x:v/>
      </x:c>
      <x:c r="EE79" s="1111" t="str">
        <x:f t="shared" si="166"/>
        <x:v/>
      </x:c>
      <x:c r="EF79" s="1111" t="str">
        <x:f t="shared" si="167"/>
        <x:v/>
      </x:c>
      <x:c r="EG79" s="1111" t="str">
        <x:f t="shared" si="168"/>
        <x:v/>
      </x:c>
      <x:c r="EH79" s="1111" t="str">
        <x:f t="shared" si="169"/>
        <x:v/>
      </x:c>
      <x:c r="EI79" s="1111" t="str">
        <x:f t="shared" si="170"/>
        <x:v/>
      </x:c>
      <x:c r="EJ79" s="1111" t="str">
        <x:f t="shared" si="171"/>
        <x:v/>
      </x:c>
      <x:c r="EK79" s="1109">
        <x:f t="shared" si="172"/>
        <x:v>0</x:v>
      </x:c>
      <x:c r="EL79" s="1109">
        <x:f t="shared" si="173"/>
        <x:v>0</x:v>
      </x:c>
      <x:c r="EM79" s="1109">
        <x:f t="shared" si="174"/>
        <x:v>0</x:v>
      </x:c>
      <x:c r="EN79" s="1109" t="str">
        <x:f t="shared" si="175"/>
        <x:v/>
      </x:c>
      <x:c r="EO79" s="1108" t="str">
        <x:f t="shared" si="176"/>
        <x:v/>
      </x:c>
      <x:c r="EP79" s="1109">
        <x:f t="shared" si="177"/>
        <x:v>0</x:v>
      </x:c>
      <x:c r="EQ79" s="1109">
        <x:f t="shared" si="178"/>
        <x:v>0</x:v>
      </x:c>
      <x:c r="ER79" s="1109">
        <x:f t="shared" si="179"/>
        <x:v>0</x:v>
      </x:c>
      <x:c r="ES79" s="1109" t="str">
        <x:f t="shared" si="180"/>
        <x:v/>
      </x:c>
      <x:c r="ET79" s="1108" t="str">
        <x:f t="shared" si="181"/>
        <x:v/>
      </x:c>
      <x:c r="EU79" s="1108">
        <x:f t="shared" si="182"/>
        <x:v>0</x:v>
      </x:c>
      <x:c r="EV79" s="1111" t="e">
        <x:f t="shared" si="183"/>
        <x:v>#VALUE!</x:v>
      </x:c>
      <x:c r="EW79" s="1111" t="e">
        <x:f t="shared" si="184"/>
        <x:v>#VALUE!</x:v>
      </x:c>
      <x:c r="EX79" s="1113" t="str">
        <x:f t="shared" si="213"/>
        <x:v/>
      </x:c>
      <x:c r="EY79" s="1114" t="e">
        <x:f t="shared" si="185"/>
        <x:v>#DIV/0!</x:v>
      </x:c>
      <x:c r="EZ79" s="1219" t="e">
        <x:f t="shared" si="186"/>
        <x:v>#DIV/0!</x:v>
      </x:c>
      <x:c r="FA79" s="1220" t="e">
        <x:f t="shared" si="187"/>
        <x:v>#DIV/0!</x:v>
      </x:c>
      <x:c r="FB79" s="1115" t="str">
        <x:f t="shared" si="188"/>
        <x:v/>
      </x:c>
      <x:c r="FC79" s="1116" t="str">
        <x:f t="shared" si="189"/>
        <x:v/>
      </x:c>
      <x:c r="FD79" s="1126">
        <x:f t="shared" si="190"/>
        <x:v>0</x:v>
      </x:c>
      <x:c r="FE79" s="1066">
        <x:f t="shared" si="191"/>
        <x:v>0</x:v>
      </x:c>
      <x:c r="FF79" s="969" t="b">
        <x:f t="shared" si="192"/>
        <x:v>0</x:v>
      </x:c>
      <x:c r="FG79" s="969" t="b">
        <x:f t="shared" si="193"/>
        <x:v>0</x:v>
      </x:c>
      <x:c r="FH79" s="969" t="b">
        <x:f t="shared" si="194"/>
        <x:v>0</x:v>
      </x:c>
      <x:c r="FI79" s="969" t="b">
        <x:f t="shared" si="195"/>
        <x:v>0</x:v>
      </x:c>
      <x:c r="FJ79" s="1161" t="str">
        <x:f t="shared" si="214"/>
        <x:v/>
      </x:c>
      <x:c r="FK79" s="1160" t="str">
        <x:f t="shared" si="215"/>
        <x:v/>
      </x:c>
      <x:c r="FL79" s="388" t="e">
        <x:f t="shared" si="216"/>
        <x:v>#N/A</x:v>
      </x:c>
      <x:c r="FM79" s="380" t="str">
        <x:f t="shared" si="196"/>
        <x:v/>
      </x:c>
      <x:c r="FN79" s="337" t="str">
        <x:f t="shared" ca="1" si="217"/>
        <x:v/>
      </x:c>
      <x:c r="FO79" s="338" t="str">
        <x:f t="shared" ca="1" si="218"/>
        <x:v/>
      </x:c>
      <x:c r="FP79" s="339" t="str">
        <x:f t="shared" ca="1" si="219"/>
        <x:v/>
      </x:c>
      <x:c r="FQ79" s="339" t="str">
        <x:f t="shared" ca="1" si="220"/>
        <x:v/>
      </x:c>
      <x:c r="FR79" s="389">
        <x:f t="shared" ca="1" si="221"/>
        <x:v>0</x:v>
      </x:c>
      <x:c r="FS79" s="390">
        <x:f t="shared" ca="1" si="222"/>
        <x:v>0</x:v>
      </x:c>
      <x:c r="FT79" s="337" t="str">
        <x:f t="shared" ca="1" si="223"/>
        <x:v/>
      </x:c>
      <x:c r="FU79" s="340" t="str">
        <x:f t="shared" ca="1" si="224"/>
        <x:v/>
      </x:c>
      <x:c r="FV79" s="391" t="str">
        <x:f t="shared" ca="1" si="197"/>
        <x:v/>
      </x:c>
      <x:c r="FW79" s="341" t="str">
        <x:f t="shared" ca="1" si="225"/>
        <x:v/>
      </x:c>
      <x:c r="FX79" s="341" t="str">
        <x:f t="shared" ca="1" si="226"/>
        <x:v/>
      </x:c>
      <x:c r="FY79" s="341" t="str">
        <x:f t="shared" ca="1" si="227"/>
        <x:v/>
      </x:c>
      <x:c r="FZ79" s="341" t="str">
        <x:f t="shared" ca="1" si="228"/>
        <x:v/>
      </x:c>
      <x:c r="GA79" s="341" t="str">
        <x:f t="shared" ca="1" si="229"/>
        <x:v/>
      </x:c>
      <x:c r="GB79" s="342" t="str">
        <x:f ca="1">IF(FY79="","",2+SUM(FO79:OFFSET(FO79,(FU79-1)*-1,0)))</x:f>
        <x:v/>
      </x:c>
      <x:c r="GC79" s="384" t="e">
        <x:f t="shared" si="230"/>
        <x:v>#N/A</x:v>
      </x:c>
      <x:c r="GD79" s="392" t="str">
        <x:f t="shared" si="198"/>
        <x:v/>
      </x:c>
      <x:c r="GE79" s="393" t="str">
        <x:f t="shared" si="199"/>
        <x:v/>
      </x:c>
      <x:c r="GF79" s="343" t="str">
        <x:f t="shared" si="200"/>
        <x:v/>
      </x:c>
      <x:c r="GG79" s="344" t="str">
        <x:f t="shared" si="201"/>
        <x:v/>
      </x:c>
      <x:c r="GH79" s="344" t="str">
        <x:f t="shared" si="202"/>
        <x:v/>
      </x:c>
      <x:c r="GI79" s="345" t="str">
        <x:f t="shared" si="203"/>
        <x:v/>
      </x:c>
      <x:c r="GJ79" s="646">
        <x:f t="shared" ca="1" si="204"/>
        <x:v>0</x:v>
      </x:c>
      <x:c r="GK79" s="1131" t="str">
        <x:f t="shared" ca="1" si="231"/>
        <x:v/>
      </x:c>
    </x:row>
    <x:row r="80" spans="78:193" ht="12.6" hidden="1" customHeight="1" x14ac:dyDescent="0.2">
      <x:c r="BZ80" s="360"/>
      <x:c r="CA80" s="360"/>
      <x:c r="CB80" s="435" t="str">
        <x:f t="shared" si="137"/>
        <x:v/>
      </x:c>
      <x:c r="CC80" s="436" t="str">
        <x:f>IF(CG40="","",VLOOKUP(CG40,SectInfo!$B:$N,12,FALSE))</x:f>
        <x:v/>
      </x:c>
      <x:c r="CD80" s="1172" t="str">
        <x:f>IF(ISBLANK(CZ40),IF(CG40="","",VLOOKUP(CG40,SectInfo!$B:$N,13,FALSE)),CZ40)</x:f>
        <x:v/>
      </x:c>
      <x:c r="CE80" s="437" t="str">
        <x:f>IF(CG40="","",IF(VLOOKUP(CG40,SectInfo!$B:$N,5,FALSE)="","R",UPPER(VLOOKUP(CG40,SectInfo!$B:$N,5,FALSE))))</x:f>
        <x:v/>
      </x:c>
      <x:c r="CF80" s="1172" t="str">
        <x:f>IF(ISBLANK(DD40),IF(CG40="","",VLOOKUP(CG40,SectInfo!$B:$N,6,FALSE)),DD40)</x:f>
        <x:v/>
      </x:c>
      <x:c r="CG80" s="437" t="str">
        <x:f>IF(CG40="","",IF(VLOOKUP(CG40,SectInfo!$B:$N,10,FALSE)="","",(VLOOKUP(CG40,SectInfo!$B:$N,10,FALSE)*-1)))</x:f>
        <x:v/>
      </x:c>
      <x:c r="CH80" s="437" t="str">
        <x:f>IF(CG40="","",IF(VLOOKUP(CG40,SectInfo!$B:$N,7,FALSE)="","",(VLOOKUP(CG40,SectInfo!$B:$N,7,FALSE)*-1)))</x:f>
        <x:v/>
      </x:c>
      <x:c r="CI80" s="437" t="str">
        <x:f>IF(CG40="","",IF(VLOOKUP(CG40,SectInfo!$B:$N,8,FALSE)="",$FC$4,(VLOOKUP(CG40,SectInfo!$B:$N,8,FALSE))))</x:f>
        <x:v/>
      </x:c>
      <x:c r="CJ80" s="437" t="str">
        <x:f>IF(CG40="","",VLOOKUP(CG40,SectInfo!$B:$N,9,FALSE))</x:f>
        <x:v/>
      </x:c>
      <x:c r="CK80" s="438">
        <x:f t="shared" si="205"/>
        <x:v>0</x:v>
      </x:c>
      <x:c r="CL80" s="436" t="str">
        <x:f>IF(CN40="","",VLOOKUP(CN40,SectInfo!$B:$N,12,FALSE))</x:f>
        <x:v/>
      </x:c>
      <x:c r="CM80" s="1172" t="str">
        <x:f>IF(ISBLANK(DA40),IF(CN40="","",VLOOKUP(CN40,SectInfo!$B:$N,13,FALSE)),DA40)</x:f>
        <x:v/>
      </x:c>
      <x:c r="CN80" s="437" t="str">
        <x:f>IF(CN40="","",IF(VLOOKUP(CN40,SectInfo!$B:$N,5,FALSE)="","R",UPPER(VLOOKUP(CN40,SectInfo!$B:$N,5,FALSE))))</x:f>
        <x:v/>
      </x:c>
      <x:c r="CO80" s="1172" t="str">
        <x:f>IF(ISBLANK(DE40),IF(CN40="","",VLOOKUP(CN40,SectInfo!$B:$N,6,FALSE)),DE40)</x:f>
        <x:v/>
      </x:c>
      <x:c r="CP80" s="437" t="str">
        <x:f>IF(CN40="","",IF(VLOOKUP(CN40,SectInfo!$B:$N,10,FALSE)="","",(VLOOKUP(CN40,SectInfo!$B:$N,10,FALSE)*-1)))</x:f>
        <x:v/>
      </x:c>
      <x:c r="CQ80" s="437" t="str">
        <x:f>IF(CN40="","",IF(VLOOKUP(CN40,SectInfo!$B:$N,7,FALSE)="","",(VLOOKUP(CN40,SectInfo!$B:$N,7,FALSE)*-1)))</x:f>
        <x:v/>
      </x:c>
      <x:c r="CR80" s="437" t="str">
        <x:f>IF(CN40="","",IF(VLOOKUP(CN40,SectInfo!$B:$N,8,FALSE)="",$FC$4,(VLOOKUP(CN40,SectInfo!$B:$N,8,FALSE))))</x:f>
        <x:v/>
      </x:c>
      <x:c r="CS80" s="437" t="str">
        <x:f>IF(CN40="","",VLOOKUP(CN40,SectInfo!$B:$N,9,FALSE))</x:f>
        <x:v/>
      </x:c>
      <x:c r="CT80" s="438">
        <x:f t="shared" si="206"/>
        <x:v>0</x:v>
      </x:c>
      <x:c r="CU80" s="439">
        <x:f t="shared" si="138"/>
        <x:v>0</x:v>
      </x:c>
      <x:c r="CV80" s="339" t="str">
        <x:f t="shared" si="139"/>
        <x:v/>
      </x:c>
      <x:c r="CW80" s="339" t="str">
        <x:f t="shared" si="140"/>
        <x:v/>
      </x:c>
      <x:c r="CX80" s="339" t="str">
        <x:f t="shared" si="141"/>
        <x:v/>
      </x:c>
      <x:c r="CY80" s="1109">
        <x:f t="shared" si="142"/>
        <x:v>0</x:v>
      </x:c>
      <x:c r="CZ80" s="1109">
        <x:f t="shared" si="143"/>
        <x:v>0</x:v>
      </x:c>
      <x:c r="DA80" s="1109" t="str">
        <x:f t="shared" si="144"/>
        <x:v/>
      </x:c>
      <x:c r="DB80" s="1125" t="str">
        <x:f t="shared" si="207"/>
        <x:v/>
      </x:c>
      <x:c r="DC80" s="1125" t="str">
        <x:f t="shared" si="145"/>
        <x:v/>
      </x:c>
      <x:c r="DD80" s="1110">
        <x:f t="shared" si="208"/>
        <x:v>0</x:v>
      </x:c>
      <x:c r="DE80" s="1108">
        <x:f t="shared" si="209"/>
        <x:v>0</x:v>
      </x:c>
      <x:c r="DF80" s="1109">
        <x:f t="shared" si="146"/>
        <x:v>0</x:v>
      </x:c>
      <x:c r="DG80" s="1109" t="str">
        <x:f t="shared" si="147"/>
        <x:v/>
      </x:c>
      <x:c r="DH80" s="1125" t="str">
        <x:f t="shared" si="210"/>
        <x:v/>
      </x:c>
      <x:c r="DI80" s="1125" t="str">
        <x:f t="shared" si="211"/>
        <x:v/>
      </x:c>
      <x:c r="DJ80" s="1110">
        <x:f t="shared" si="212"/>
        <x:v>0</x:v>
      </x:c>
      <x:c r="DK80" s="1108" t="str">
        <x:f t="shared" si="148"/>
        <x:v/>
      </x:c>
      <x:c r="DL80" s="1108" t="str">
        <x:f t="shared" si="149"/>
        <x:v/>
      </x:c>
      <x:c r="DM80" s="1108" t="str">
        <x:f t="shared" si="150"/>
        <x:v/>
      </x:c>
      <x:c r="DN80" s="1108" t="str">
        <x:f t="shared" si="151"/>
        <x:v/>
      </x:c>
      <x:c r="DO80" s="1125" t="str">
        <x:f t="shared" si="152"/>
        <x:v>ERR</x:v>
      </x:c>
      <x:c r="DP80" s="1125" t="str">
        <x:f t="shared" si="153"/>
        <x:v>ERR</x:v>
      </x:c>
      <x:c r="DQ80" s="1108" t="str">
        <x:f t="shared" si="154"/>
        <x:v/>
      </x:c>
      <x:c r="DR80" s="1108" t="str">
        <x:f t="shared" si="154"/>
        <x:v/>
      </x:c>
      <x:c r="DS80" s="1108" t="str">
        <x:f t="shared" si="155"/>
        <x:v/>
      </x:c>
      <x:c r="DT80" s="1108" t="str">
        <x:f t="shared" si="156"/>
        <x:v/>
      </x:c>
      <x:c r="DU80" s="1108" t="str">
        <x:f t="shared" si="157"/>
        <x:v/>
      </x:c>
      <x:c r="DV80" s="1125" t="str">
        <x:f t="shared" si="158"/>
        <x:v>ERR</x:v>
      </x:c>
      <x:c r="DW80" s="1125" t="str">
        <x:f t="shared" si="159"/>
        <x:v>ERR</x:v>
      </x:c>
      <x:c r="DX80" s="1108" t="str">
        <x:f t="shared" si="232"/>
        <x:v/>
      </x:c>
      <x:c r="DY80" s="1108" t="str">
        <x:f t="shared" si="232"/>
        <x:v/>
      </x:c>
      <x:c r="DZ80" s="1108" t="str">
        <x:f t="shared" si="161"/>
        <x:v/>
      </x:c>
      <x:c r="EA80" s="1108" t="str">
        <x:f t="shared" si="162"/>
        <x:v/>
      </x:c>
      <x:c r="EB80" s="1111" t="str">
        <x:f t="shared" si="163"/>
        <x:v/>
      </x:c>
      <x:c r="EC80" s="1112" t="str">
        <x:f t="shared" si="164"/>
        <x:v/>
      </x:c>
      <x:c r="ED80" s="1111" t="str">
        <x:f t="shared" si="165"/>
        <x:v/>
      </x:c>
      <x:c r="EE80" s="1111" t="str">
        <x:f t="shared" si="166"/>
        <x:v/>
      </x:c>
      <x:c r="EF80" s="1111" t="str">
        <x:f t="shared" si="167"/>
        <x:v/>
      </x:c>
      <x:c r="EG80" s="1111" t="str">
        <x:f t="shared" si="168"/>
        <x:v/>
      </x:c>
      <x:c r="EH80" s="1111" t="str">
        <x:f t="shared" si="169"/>
        <x:v/>
      </x:c>
      <x:c r="EI80" s="1111" t="str">
        <x:f t="shared" si="170"/>
        <x:v/>
      </x:c>
      <x:c r="EJ80" s="1111" t="str">
        <x:f t="shared" si="171"/>
        <x:v/>
      </x:c>
      <x:c r="EK80" s="1109">
        <x:f t="shared" si="172"/>
        <x:v>0</x:v>
      </x:c>
      <x:c r="EL80" s="1109">
        <x:f t="shared" si="173"/>
        <x:v>0</x:v>
      </x:c>
      <x:c r="EM80" s="1109">
        <x:f t="shared" si="174"/>
        <x:v>0</x:v>
      </x:c>
      <x:c r="EN80" s="1109" t="str">
        <x:f t="shared" si="175"/>
        <x:v/>
      </x:c>
      <x:c r="EO80" s="1108" t="str">
        <x:f t="shared" si="176"/>
        <x:v/>
      </x:c>
      <x:c r="EP80" s="1109">
        <x:f t="shared" si="177"/>
        <x:v>0</x:v>
      </x:c>
      <x:c r="EQ80" s="1109">
        <x:f t="shared" si="178"/>
        <x:v>0</x:v>
      </x:c>
      <x:c r="ER80" s="1109">
        <x:f t="shared" si="179"/>
        <x:v>0</x:v>
      </x:c>
      <x:c r="ES80" s="1109" t="str">
        <x:f t="shared" si="180"/>
        <x:v/>
      </x:c>
      <x:c r="ET80" s="1108" t="str">
        <x:f t="shared" si="181"/>
        <x:v/>
      </x:c>
      <x:c r="EU80" s="1108">
        <x:f t="shared" si="182"/>
        <x:v>0</x:v>
      </x:c>
      <x:c r="EV80" s="1111" t="e">
        <x:f t="shared" si="183"/>
        <x:v>#VALUE!</x:v>
      </x:c>
      <x:c r="EW80" s="1111" t="e">
        <x:f t="shared" si="184"/>
        <x:v>#VALUE!</x:v>
      </x:c>
      <x:c r="EX80" s="1113" t="str">
        <x:f t="shared" si="213"/>
        <x:v/>
      </x:c>
      <x:c r="EY80" s="1114" t="e">
        <x:f t="shared" si="185"/>
        <x:v>#DIV/0!</x:v>
      </x:c>
      <x:c r="EZ80" s="1219" t="e">
        <x:f t="shared" si="186"/>
        <x:v>#DIV/0!</x:v>
      </x:c>
      <x:c r="FA80" s="1220" t="e">
        <x:f t="shared" si="187"/>
        <x:v>#DIV/0!</x:v>
      </x:c>
      <x:c r="FB80" s="1115" t="str">
        <x:f t="shared" si="188"/>
        <x:v/>
      </x:c>
      <x:c r="FC80" s="1116" t="str">
        <x:f t="shared" si="189"/>
        <x:v/>
      </x:c>
      <x:c r="FD80" s="1126">
        <x:f t="shared" si="190"/>
        <x:v>0</x:v>
      </x:c>
      <x:c r="FE80" s="1066">
        <x:f t="shared" si="191"/>
        <x:v>0</x:v>
      </x:c>
      <x:c r="FF80" s="969" t="b">
        <x:f t="shared" si="192"/>
        <x:v>0</x:v>
      </x:c>
      <x:c r="FG80" s="969" t="b">
        <x:f t="shared" si="193"/>
        <x:v>0</x:v>
      </x:c>
      <x:c r="FH80" s="969" t="b">
        <x:f t="shared" si="194"/>
        <x:v>0</x:v>
      </x:c>
      <x:c r="FI80" s="969" t="b">
        <x:f t="shared" si="195"/>
        <x:v>0</x:v>
      </x:c>
      <x:c r="FJ80" s="1161" t="str">
        <x:f t="shared" si="214"/>
        <x:v/>
      </x:c>
      <x:c r="FK80" s="1160" t="str">
        <x:f t="shared" si="215"/>
        <x:v/>
      </x:c>
      <x:c r="FL80" s="388" t="e">
        <x:f t="shared" si="216"/>
        <x:v>#N/A</x:v>
      </x:c>
      <x:c r="FM80" s="380" t="str">
        <x:f t="shared" si="196"/>
        <x:v/>
      </x:c>
      <x:c r="FN80" s="337" t="str">
        <x:f t="shared" ca="1" si="217"/>
        <x:v/>
      </x:c>
      <x:c r="FO80" s="338" t="str">
        <x:f t="shared" ca="1" si="218"/>
        <x:v/>
      </x:c>
      <x:c r="FP80" s="339" t="str">
        <x:f t="shared" ca="1" si="219"/>
        <x:v/>
      </x:c>
      <x:c r="FQ80" s="339" t="str">
        <x:f t="shared" ca="1" si="220"/>
        <x:v/>
      </x:c>
      <x:c r="FR80" s="389">
        <x:f t="shared" ca="1" si="221"/>
        <x:v>0</x:v>
      </x:c>
      <x:c r="FS80" s="390">
        <x:f t="shared" ca="1" si="222"/>
        <x:v>0</x:v>
      </x:c>
      <x:c r="FT80" s="337" t="str">
        <x:f t="shared" ca="1" si="223"/>
        <x:v/>
      </x:c>
      <x:c r="FU80" s="340" t="str">
        <x:f t="shared" ca="1" si="224"/>
        <x:v/>
      </x:c>
      <x:c r="FV80" s="391" t="str">
        <x:f t="shared" ca="1" si="197"/>
        <x:v/>
      </x:c>
      <x:c r="FW80" s="341" t="str">
        <x:f t="shared" ca="1" si="225"/>
        <x:v/>
      </x:c>
      <x:c r="FX80" s="341" t="str">
        <x:f t="shared" ca="1" si="226"/>
        <x:v/>
      </x:c>
      <x:c r="FY80" s="341" t="str">
        <x:f t="shared" ca="1" si="227"/>
        <x:v/>
      </x:c>
      <x:c r="FZ80" s="341" t="str">
        <x:f t="shared" ca="1" si="228"/>
        <x:v/>
      </x:c>
      <x:c r="GA80" s="341" t="str">
        <x:f t="shared" ca="1" si="229"/>
        <x:v/>
      </x:c>
      <x:c r="GB80" s="342" t="str">
        <x:f ca="1">IF(FY80="","",2+SUM(FO80:OFFSET(FO80,(FU80-1)*-1,0)))</x:f>
        <x:v/>
      </x:c>
      <x:c r="GC80" s="384" t="e">
        <x:f t="shared" si="230"/>
        <x:v>#N/A</x:v>
      </x:c>
      <x:c r="GD80" s="392" t="str">
        <x:f t="shared" si="198"/>
        <x:v/>
      </x:c>
      <x:c r="GE80" s="393" t="str">
        <x:f t="shared" si="199"/>
        <x:v/>
      </x:c>
      <x:c r="GF80" s="343" t="str">
        <x:f t="shared" si="200"/>
        <x:v/>
      </x:c>
      <x:c r="GG80" s="344" t="str">
        <x:f t="shared" si="201"/>
        <x:v/>
      </x:c>
      <x:c r="GH80" s="344" t="str">
        <x:f t="shared" si="202"/>
        <x:v/>
      </x:c>
      <x:c r="GI80" s="345" t="str">
        <x:f t="shared" si="203"/>
        <x:v/>
      </x:c>
      <x:c r="GJ80" s="646">
        <x:f t="shared" ca="1" si="204"/>
        <x:v>0</x:v>
      </x:c>
      <x:c r="GK80" s="1131" t="str">
        <x:f t="shared" ca="1" si="231"/>
        <x:v/>
      </x:c>
    </x:row>
    <x:row r="81" spans="1:193" ht="12.6" hidden="1" customHeight="1" x14ac:dyDescent="0.2">
      <x:c r="BZ81" s="360"/>
      <x:c r="CA81" s="360"/>
      <x:c r="CB81" s="435" t="str">
        <x:f t="shared" si="137"/>
        <x:v/>
      </x:c>
      <x:c r="CC81" s="436" t="str">
        <x:f>IF(CG41="","",VLOOKUP(CG41,SectInfo!$B:$N,12,FALSE))</x:f>
        <x:v/>
      </x:c>
      <x:c r="CD81" s="1172" t="str">
        <x:f>IF(ISBLANK(CZ41),IF(CG41="","",VLOOKUP(CG41,SectInfo!$B:$N,13,FALSE)),CZ41)</x:f>
        <x:v/>
      </x:c>
      <x:c r="CE81" s="437" t="str">
        <x:f>IF(CG41="","",IF(VLOOKUP(CG41,SectInfo!$B:$N,5,FALSE)="","R",UPPER(VLOOKUP(CG41,SectInfo!$B:$N,5,FALSE))))</x:f>
        <x:v/>
      </x:c>
      <x:c r="CF81" s="1172" t="str">
        <x:f>IF(ISBLANK(DD41),IF(CG41="","",VLOOKUP(CG41,SectInfo!$B:$N,6,FALSE)),DD41)</x:f>
        <x:v/>
      </x:c>
      <x:c r="CG81" s="437" t="str">
        <x:f>IF(CG41="","",IF(VLOOKUP(CG41,SectInfo!$B:$N,10,FALSE)="","",(VLOOKUP(CG41,SectInfo!$B:$N,10,FALSE)*-1)))</x:f>
        <x:v/>
      </x:c>
      <x:c r="CH81" s="437" t="str">
        <x:f>IF(CG41="","",IF(VLOOKUP(CG41,SectInfo!$B:$N,7,FALSE)="","",(VLOOKUP(CG41,SectInfo!$B:$N,7,FALSE)*-1)))</x:f>
        <x:v/>
      </x:c>
      <x:c r="CI81" s="437" t="str">
        <x:f>IF(CG41="","",IF(VLOOKUP(CG41,SectInfo!$B:$N,8,FALSE)="",$FC$4,(VLOOKUP(CG41,SectInfo!$B:$N,8,FALSE))))</x:f>
        <x:v/>
      </x:c>
      <x:c r="CJ81" s="437" t="str">
        <x:f>IF(CG41="","",VLOOKUP(CG41,SectInfo!$B:$N,9,FALSE))</x:f>
        <x:v/>
      </x:c>
      <x:c r="CK81" s="438">
        <x:f t="shared" si="205"/>
        <x:v>0</x:v>
      </x:c>
      <x:c r="CL81" s="436" t="str">
        <x:f>IF(CN41="","",VLOOKUP(CN41,SectInfo!$B:$N,12,FALSE))</x:f>
        <x:v/>
      </x:c>
      <x:c r="CM81" s="1172" t="str">
        <x:f>IF(ISBLANK(DA41),IF(CN41="","",VLOOKUP(CN41,SectInfo!$B:$N,13,FALSE)),DA41)</x:f>
        <x:v/>
      </x:c>
      <x:c r="CN81" s="437" t="str">
        <x:f>IF(CN41="","",IF(VLOOKUP(CN41,SectInfo!$B:$N,5,FALSE)="","R",UPPER(VLOOKUP(CN41,SectInfo!$B:$N,5,FALSE))))</x:f>
        <x:v/>
      </x:c>
      <x:c r="CO81" s="1172" t="str">
        <x:f>IF(ISBLANK(DE41),IF(CN41="","",VLOOKUP(CN41,SectInfo!$B:$N,6,FALSE)),DE41)</x:f>
        <x:v/>
      </x:c>
      <x:c r="CP81" s="437" t="str">
        <x:f>IF(CN41="","",IF(VLOOKUP(CN41,SectInfo!$B:$N,10,FALSE)="","",(VLOOKUP(CN41,SectInfo!$B:$N,10,FALSE)*-1)))</x:f>
        <x:v/>
      </x:c>
      <x:c r="CQ81" s="437" t="str">
        <x:f>IF(CN41="","",IF(VLOOKUP(CN41,SectInfo!$B:$N,7,FALSE)="","",(VLOOKUP(CN41,SectInfo!$B:$N,7,FALSE)*-1)))</x:f>
        <x:v/>
      </x:c>
      <x:c r="CR81" s="437" t="str">
        <x:f>IF(CN41="","",IF(VLOOKUP(CN41,SectInfo!$B:$N,8,FALSE)="",$FC$4,(VLOOKUP(CN41,SectInfo!$B:$N,8,FALSE))))</x:f>
        <x:v/>
      </x:c>
      <x:c r="CS81" s="437" t="str">
        <x:f>IF(CN41="","",VLOOKUP(CN41,SectInfo!$B:$N,9,FALSE))</x:f>
        <x:v/>
      </x:c>
      <x:c r="CT81" s="438">
        <x:f t="shared" si="206"/>
        <x:v>0</x:v>
      </x:c>
      <x:c r="CU81" s="439">
        <x:f t="shared" si="138"/>
        <x:v>0</x:v>
      </x:c>
      <x:c r="CV81" s="339" t="str">
        <x:f t="shared" si="139"/>
        <x:v/>
      </x:c>
      <x:c r="CW81" s="339" t="str">
        <x:f t="shared" si="140"/>
        <x:v/>
      </x:c>
      <x:c r="CX81" s="339" t="str">
        <x:f t="shared" si="141"/>
        <x:v/>
      </x:c>
      <x:c r="CY81" s="1109">
        <x:f t="shared" si="142"/>
        <x:v>0</x:v>
      </x:c>
      <x:c r="CZ81" s="1109">
        <x:f t="shared" si="143"/>
        <x:v>0</x:v>
      </x:c>
      <x:c r="DA81" s="1109" t="str">
        <x:f t="shared" si="144"/>
        <x:v/>
      </x:c>
      <x:c r="DB81" s="1125" t="str">
        <x:f t="shared" si="207"/>
        <x:v/>
      </x:c>
      <x:c r="DC81" s="1125" t="str">
        <x:f t="shared" si="145"/>
        <x:v/>
      </x:c>
      <x:c r="DD81" s="1110">
        <x:f t="shared" si="208"/>
        <x:v>0</x:v>
      </x:c>
      <x:c r="DE81" s="1108">
        <x:f t="shared" si="209"/>
        <x:v>0</x:v>
      </x:c>
      <x:c r="DF81" s="1109">
        <x:f t="shared" si="146"/>
        <x:v>0</x:v>
      </x:c>
      <x:c r="DG81" s="1109" t="str">
        <x:f t="shared" si="147"/>
        <x:v/>
      </x:c>
      <x:c r="DH81" s="1125" t="str">
        <x:f t="shared" si="210"/>
        <x:v/>
      </x:c>
      <x:c r="DI81" s="1125" t="str">
        <x:f t="shared" si="211"/>
        <x:v/>
      </x:c>
      <x:c r="DJ81" s="1110">
        <x:f t="shared" si="212"/>
        <x:v>0</x:v>
      </x:c>
      <x:c r="DK81" s="1108" t="str">
        <x:f t="shared" si="148"/>
        <x:v/>
      </x:c>
      <x:c r="DL81" s="1108" t="str">
        <x:f t="shared" si="149"/>
        <x:v/>
      </x:c>
      <x:c r="DM81" s="1108" t="str">
        <x:f t="shared" si="150"/>
        <x:v/>
      </x:c>
      <x:c r="DN81" s="1108" t="str">
        <x:f t="shared" si="151"/>
        <x:v/>
      </x:c>
      <x:c r="DO81" s="1125" t="str">
        <x:f t="shared" si="152"/>
        <x:v>ERR</x:v>
      </x:c>
      <x:c r="DP81" s="1125" t="str">
        <x:f t="shared" si="153"/>
        <x:v>ERR</x:v>
      </x:c>
      <x:c r="DQ81" s="1108" t="str">
        <x:f t="shared" si="154"/>
        <x:v/>
      </x:c>
      <x:c r="DR81" s="1108" t="str">
        <x:f t="shared" si="154"/>
        <x:v/>
      </x:c>
      <x:c r="DS81" s="1108" t="str">
        <x:f t="shared" si="155"/>
        <x:v/>
      </x:c>
      <x:c r="DT81" s="1108" t="str">
        <x:f t="shared" si="156"/>
        <x:v/>
      </x:c>
      <x:c r="DU81" s="1108" t="str">
        <x:f t="shared" si="157"/>
        <x:v/>
      </x:c>
      <x:c r="DV81" s="1125" t="str">
        <x:f t="shared" si="158"/>
        <x:v>ERR</x:v>
      </x:c>
      <x:c r="DW81" s="1125" t="str">
        <x:f t="shared" si="159"/>
        <x:v>ERR</x:v>
      </x:c>
      <x:c r="DX81" s="1108" t="str">
        <x:f t="shared" si="232"/>
        <x:v/>
      </x:c>
      <x:c r="DY81" s="1108" t="str">
        <x:f t="shared" si="232"/>
        <x:v/>
      </x:c>
      <x:c r="DZ81" s="1108" t="str">
        <x:f t="shared" si="161"/>
        <x:v/>
      </x:c>
      <x:c r="EA81" s="1108" t="str">
        <x:f t="shared" si="162"/>
        <x:v/>
      </x:c>
      <x:c r="EB81" s="1111" t="str">
        <x:f t="shared" si="163"/>
        <x:v/>
      </x:c>
      <x:c r="EC81" s="1112" t="str">
        <x:f t="shared" si="164"/>
        <x:v/>
      </x:c>
      <x:c r="ED81" s="1111" t="str">
        <x:f t="shared" si="165"/>
        <x:v/>
      </x:c>
      <x:c r="EE81" s="1111" t="str">
        <x:f t="shared" si="166"/>
        <x:v/>
      </x:c>
      <x:c r="EF81" s="1111" t="str">
        <x:f t="shared" si="167"/>
        <x:v/>
      </x:c>
      <x:c r="EG81" s="1111" t="str">
        <x:f t="shared" si="168"/>
        <x:v/>
      </x:c>
      <x:c r="EH81" s="1111" t="str">
        <x:f t="shared" si="169"/>
        <x:v/>
      </x:c>
      <x:c r="EI81" s="1111" t="str">
        <x:f t="shared" si="170"/>
        <x:v/>
      </x:c>
      <x:c r="EJ81" s="1111" t="str">
        <x:f t="shared" si="171"/>
        <x:v/>
      </x:c>
      <x:c r="EK81" s="1109">
        <x:f t="shared" si="172"/>
        <x:v>0</x:v>
      </x:c>
      <x:c r="EL81" s="1109">
        <x:f t="shared" si="173"/>
        <x:v>0</x:v>
      </x:c>
      <x:c r="EM81" s="1109">
        <x:f t="shared" si="174"/>
        <x:v>0</x:v>
      </x:c>
      <x:c r="EN81" s="1109" t="str">
        <x:f t="shared" si="175"/>
        <x:v/>
      </x:c>
      <x:c r="EO81" s="1108" t="str">
        <x:f t="shared" si="176"/>
        <x:v/>
      </x:c>
      <x:c r="EP81" s="1109">
        <x:f t="shared" si="177"/>
        <x:v>0</x:v>
      </x:c>
      <x:c r="EQ81" s="1109">
        <x:f t="shared" si="178"/>
        <x:v>0</x:v>
      </x:c>
      <x:c r="ER81" s="1109">
        <x:f t="shared" si="179"/>
        <x:v>0</x:v>
      </x:c>
      <x:c r="ES81" s="1109" t="str">
        <x:f t="shared" si="180"/>
        <x:v/>
      </x:c>
      <x:c r="ET81" s="1108" t="str">
        <x:f t="shared" si="181"/>
        <x:v/>
      </x:c>
      <x:c r="EU81" s="1108">
        <x:f t="shared" si="182"/>
        <x:v>0</x:v>
      </x:c>
      <x:c r="EV81" s="1111" t="e">
        <x:f t="shared" si="183"/>
        <x:v>#VALUE!</x:v>
      </x:c>
      <x:c r="EW81" s="1111" t="e">
        <x:f t="shared" si="184"/>
        <x:v>#VALUE!</x:v>
      </x:c>
      <x:c r="EX81" s="1113" t="str">
        <x:f t="shared" si="213"/>
        <x:v/>
      </x:c>
      <x:c r="EY81" s="1114" t="e">
        <x:f t="shared" si="185"/>
        <x:v>#DIV/0!</x:v>
      </x:c>
      <x:c r="EZ81" s="1219" t="e">
        <x:f t="shared" si="186"/>
        <x:v>#DIV/0!</x:v>
      </x:c>
      <x:c r="FA81" s="1220" t="e">
        <x:f t="shared" si="187"/>
        <x:v>#DIV/0!</x:v>
      </x:c>
      <x:c r="FB81" s="1115" t="str">
        <x:f t="shared" si="188"/>
        <x:v/>
      </x:c>
      <x:c r="FC81" s="1116" t="str">
        <x:f t="shared" si="189"/>
        <x:v/>
      </x:c>
      <x:c r="FD81" s="1126">
        <x:f t="shared" si="190"/>
        <x:v>0</x:v>
      </x:c>
      <x:c r="FE81" s="1066">
        <x:f t="shared" si="191"/>
        <x:v>0</x:v>
      </x:c>
      <x:c r="FF81" s="969" t="b">
        <x:f t="shared" si="192"/>
        <x:v>0</x:v>
      </x:c>
      <x:c r="FG81" s="969" t="b">
        <x:f t="shared" si="193"/>
        <x:v>0</x:v>
      </x:c>
      <x:c r="FH81" s="969" t="b">
        <x:f t="shared" si="194"/>
        <x:v>0</x:v>
      </x:c>
      <x:c r="FI81" s="969" t="b">
        <x:f t="shared" si="195"/>
        <x:v>0</x:v>
      </x:c>
      <x:c r="FJ81" s="1161" t="str">
        <x:f t="shared" si="214"/>
        <x:v/>
      </x:c>
      <x:c r="FK81" s="1160" t="str">
        <x:f t="shared" si="215"/>
        <x:v/>
      </x:c>
      <x:c r="FL81" s="388" t="e">
        <x:f t="shared" si="216"/>
        <x:v>#N/A</x:v>
      </x:c>
      <x:c r="FM81" s="380" t="str">
        <x:f t="shared" si="196"/>
        <x:v/>
      </x:c>
      <x:c r="FN81" s="337" t="str">
        <x:f t="shared" ca="1" si="217"/>
        <x:v/>
      </x:c>
      <x:c r="FO81" s="338" t="str">
        <x:f t="shared" ca="1" si="218"/>
        <x:v/>
      </x:c>
      <x:c r="FP81" s="339" t="str">
        <x:f t="shared" ca="1" si="219"/>
        <x:v/>
      </x:c>
      <x:c r="FQ81" s="339" t="str">
        <x:f t="shared" ca="1" si="220"/>
        <x:v/>
      </x:c>
      <x:c r="FR81" s="389">
        <x:f t="shared" ca="1" si="221"/>
        <x:v>0</x:v>
      </x:c>
      <x:c r="FS81" s="390">
        <x:f t="shared" ca="1" si="222"/>
        <x:v>0</x:v>
      </x:c>
      <x:c r="FT81" s="337" t="str">
        <x:f t="shared" ca="1" si="223"/>
        <x:v/>
      </x:c>
      <x:c r="FU81" s="340" t="str">
        <x:f t="shared" ca="1" si="224"/>
        <x:v/>
      </x:c>
      <x:c r="FV81" s="391" t="str">
        <x:f t="shared" ca="1" si="197"/>
        <x:v/>
      </x:c>
      <x:c r="FW81" s="341" t="str">
        <x:f t="shared" ca="1" si="225"/>
        <x:v/>
      </x:c>
      <x:c r="FX81" s="341" t="str">
        <x:f t="shared" ca="1" si="226"/>
        <x:v/>
      </x:c>
      <x:c r="FY81" s="341" t="str">
        <x:f t="shared" ca="1" si="227"/>
        <x:v/>
      </x:c>
      <x:c r="FZ81" s="341" t="str">
        <x:f t="shared" ca="1" si="228"/>
        <x:v/>
      </x:c>
      <x:c r="GA81" s="341" t="str">
        <x:f t="shared" ca="1" si="229"/>
        <x:v/>
      </x:c>
      <x:c r="GB81" s="342" t="str">
        <x:f ca="1">IF(FY81="","",2+SUM(FO81:OFFSET(FO81,(FU81-1)*-1,0)))</x:f>
        <x:v/>
      </x:c>
      <x:c r="GC81" s="384" t="e">
        <x:f t="shared" si="230"/>
        <x:v>#N/A</x:v>
      </x:c>
      <x:c r="GD81" s="392" t="str">
        <x:f t="shared" si="198"/>
        <x:v/>
      </x:c>
      <x:c r="GE81" s="393" t="str">
        <x:f t="shared" si="199"/>
        <x:v/>
      </x:c>
      <x:c r="GF81" s="343" t="str">
        <x:f t="shared" si="200"/>
        <x:v/>
      </x:c>
      <x:c r="GG81" s="344" t="str">
        <x:f t="shared" si="201"/>
        <x:v/>
      </x:c>
      <x:c r="GH81" s="344" t="str">
        <x:f t="shared" si="202"/>
        <x:v/>
      </x:c>
      <x:c r="GI81" s="345" t="str">
        <x:f t="shared" si="203"/>
        <x:v/>
      </x:c>
      <x:c r="GJ81" s="646">
        <x:f t="shared" ca="1" si="204"/>
        <x:v>0</x:v>
      </x:c>
      <x:c r="GK81" s="1131" t="str">
        <x:f t="shared" ca="1" si="231"/>
        <x:v>B</x:v>
      </x:c>
    </x:row>
    <x:row r="82" spans="1:193" ht="12.6" hidden="1" customHeight="1" x14ac:dyDescent="0.2">
      <x:c r="BZ82" s="360"/>
      <x:c r="CA82" s="360"/>
      <x:c r="CB82" s="435" t="str">
        <x:f t="shared" si="137"/>
        <x:v/>
      </x:c>
      <x:c r="CC82" s="436" t="str">
        <x:f>IF(CG42="","",VLOOKUP(CG42,SectInfo!$B:$N,12,FALSE))</x:f>
        <x:v/>
      </x:c>
      <x:c r="CD82" s="1172" t="str">
        <x:f>IF(ISBLANK(CZ42),IF(CG42="","",VLOOKUP(CG42,SectInfo!$B:$N,13,FALSE)),CZ42)</x:f>
        <x:v/>
      </x:c>
      <x:c r="CE82" s="437" t="str">
        <x:f>IF(CG42="","",IF(VLOOKUP(CG42,SectInfo!$B:$N,5,FALSE)="","R",UPPER(VLOOKUP(CG42,SectInfo!$B:$N,5,FALSE))))</x:f>
        <x:v/>
      </x:c>
      <x:c r="CF82" s="1172" t="str">
        <x:f>IF(ISBLANK(DD42),IF(CG42="","",VLOOKUP(CG42,SectInfo!$B:$N,6,FALSE)),DD42)</x:f>
        <x:v/>
      </x:c>
      <x:c r="CG82" s="437" t="str">
        <x:f>IF(CG42="","",IF(VLOOKUP(CG42,SectInfo!$B:$N,10,FALSE)="","",(VLOOKUP(CG42,SectInfo!$B:$N,10,FALSE)*-1)))</x:f>
        <x:v/>
      </x:c>
      <x:c r="CH82" s="437" t="str">
        <x:f>IF(CG42="","",IF(VLOOKUP(CG42,SectInfo!$B:$N,7,FALSE)="","",(VLOOKUP(CG42,SectInfo!$B:$N,7,FALSE)*-1)))</x:f>
        <x:v/>
      </x:c>
      <x:c r="CI82" s="437" t="str">
        <x:f>IF(CG42="","",IF(VLOOKUP(CG42,SectInfo!$B:$N,8,FALSE)="",$FC$4,(VLOOKUP(CG42,SectInfo!$B:$N,8,FALSE))))</x:f>
        <x:v/>
      </x:c>
      <x:c r="CJ82" s="437" t="str">
        <x:f>IF(CG42="","",VLOOKUP(CG42,SectInfo!$B:$N,9,FALSE))</x:f>
        <x:v/>
      </x:c>
      <x:c r="CK82" s="438">
        <x:f t="shared" si="205"/>
        <x:v>0</x:v>
      </x:c>
      <x:c r="CL82" s="436" t="str">
        <x:f>IF(CN42="","",VLOOKUP(CN42,SectInfo!$B:$N,12,FALSE))</x:f>
        <x:v/>
      </x:c>
      <x:c r="CM82" s="1172" t="str">
        <x:f>IF(ISBLANK(DA42),IF(CN42="","",VLOOKUP(CN42,SectInfo!$B:$N,13,FALSE)),DA42)</x:f>
        <x:v/>
      </x:c>
      <x:c r="CN82" s="437" t="str">
        <x:f>IF(CN42="","",IF(VLOOKUP(CN42,SectInfo!$B:$N,5,FALSE)="","R",UPPER(VLOOKUP(CN42,SectInfo!$B:$N,5,FALSE))))</x:f>
        <x:v/>
      </x:c>
      <x:c r="CO82" s="1172" t="str">
        <x:f>IF(ISBLANK(DE42),IF(CN42="","",VLOOKUP(CN42,SectInfo!$B:$N,6,FALSE)),DE42)</x:f>
        <x:v/>
      </x:c>
      <x:c r="CP82" s="437" t="str">
        <x:f>IF(CN42="","",IF(VLOOKUP(CN42,SectInfo!$B:$N,10,FALSE)="","",(VLOOKUP(CN42,SectInfo!$B:$N,10,FALSE)*-1)))</x:f>
        <x:v/>
      </x:c>
      <x:c r="CQ82" s="437" t="str">
        <x:f>IF(CN42="","",IF(VLOOKUP(CN42,SectInfo!$B:$N,7,FALSE)="","",(VLOOKUP(CN42,SectInfo!$B:$N,7,FALSE)*-1)))</x:f>
        <x:v/>
      </x:c>
      <x:c r="CR82" s="437" t="str">
        <x:f>IF(CN42="","",IF(VLOOKUP(CN42,SectInfo!$B:$N,8,FALSE)="",$FC$4,(VLOOKUP(CN42,SectInfo!$B:$N,8,FALSE))))</x:f>
        <x:v/>
      </x:c>
      <x:c r="CS82" s="437" t="str">
        <x:f>IF(CN42="","",VLOOKUP(CN42,SectInfo!$B:$N,9,FALSE))</x:f>
        <x:v/>
      </x:c>
      <x:c r="CT82" s="438">
        <x:f t="shared" si="206"/>
        <x:v>0</x:v>
      </x:c>
      <x:c r="CU82" s="439">
        <x:f t="shared" si="138"/>
        <x:v>0</x:v>
      </x:c>
      <x:c r="CV82" s="339" t="str">
        <x:f t="shared" si="139"/>
        <x:v/>
      </x:c>
      <x:c r="CW82" s="339" t="str">
        <x:f t="shared" si="140"/>
        <x:v/>
      </x:c>
      <x:c r="CX82" s="339" t="str">
        <x:f t="shared" si="141"/>
        <x:v/>
      </x:c>
      <x:c r="CY82" s="1109">
        <x:f t="shared" si="142"/>
        <x:v>0</x:v>
      </x:c>
      <x:c r="CZ82" s="1109">
        <x:f t="shared" si="143"/>
        <x:v>0</x:v>
      </x:c>
      <x:c r="DA82" s="1109" t="str">
        <x:f t="shared" si="144"/>
        <x:v/>
      </x:c>
      <x:c r="DB82" s="1125" t="str">
        <x:f t="shared" si="207"/>
        <x:v/>
      </x:c>
      <x:c r="DC82" s="1125" t="str">
        <x:f t="shared" si="145"/>
        <x:v/>
      </x:c>
      <x:c r="DD82" s="1110">
        <x:f t="shared" si="208"/>
        <x:v>0</x:v>
      </x:c>
      <x:c r="DE82" s="1108">
        <x:f t="shared" si="209"/>
        <x:v>0</x:v>
      </x:c>
      <x:c r="DF82" s="1109">
        <x:f t="shared" si="146"/>
        <x:v>0</x:v>
      </x:c>
      <x:c r="DG82" s="1109" t="str">
        <x:f t="shared" si="147"/>
        <x:v/>
      </x:c>
      <x:c r="DH82" s="1125" t="str">
        <x:f t="shared" si="210"/>
        <x:v/>
      </x:c>
      <x:c r="DI82" s="1125" t="str">
        <x:f t="shared" si="211"/>
        <x:v/>
      </x:c>
      <x:c r="DJ82" s="1110">
        <x:f t="shared" si="212"/>
        <x:v>0</x:v>
      </x:c>
      <x:c r="DK82" s="1108" t="str">
        <x:f t="shared" si="148"/>
        <x:v/>
      </x:c>
      <x:c r="DL82" s="1108" t="str">
        <x:f t="shared" si="149"/>
        <x:v/>
      </x:c>
      <x:c r="DM82" s="1108" t="str">
        <x:f t="shared" si="150"/>
        <x:v/>
      </x:c>
      <x:c r="DN82" s="1108" t="str">
        <x:f t="shared" si="151"/>
        <x:v/>
      </x:c>
      <x:c r="DO82" s="1125" t="str">
        <x:f t="shared" si="152"/>
        <x:v>ERR</x:v>
      </x:c>
      <x:c r="DP82" s="1125" t="str">
        <x:f t="shared" si="153"/>
        <x:v>ERR</x:v>
      </x:c>
      <x:c r="DQ82" s="1108" t="str">
        <x:f t="shared" si="154"/>
        <x:v/>
      </x:c>
      <x:c r="DR82" s="1108" t="str">
        <x:f t="shared" si="154"/>
        <x:v/>
      </x:c>
      <x:c r="DS82" s="1108" t="str">
        <x:f t="shared" si="155"/>
        <x:v/>
      </x:c>
      <x:c r="DT82" s="1108" t="str">
        <x:f t="shared" si="156"/>
        <x:v/>
      </x:c>
      <x:c r="DU82" s="1108" t="str">
        <x:f t="shared" si="157"/>
        <x:v/>
      </x:c>
      <x:c r="DV82" s="1125" t="str">
        <x:f t="shared" si="158"/>
        <x:v>ERR</x:v>
      </x:c>
      <x:c r="DW82" s="1125" t="str">
        <x:f t="shared" si="159"/>
        <x:v>ERR</x:v>
      </x:c>
      <x:c r="DX82" s="1108" t="str">
        <x:f t="shared" si="232"/>
        <x:v/>
      </x:c>
      <x:c r="DY82" s="1108" t="str">
        <x:f t="shared" si="232"/>
        <x:v/>
      </x:c>
      <x:c r="DZ82" s="1108" t="str">
        <x:f t="shared" si="161"/>
        <x:v/>
      </x:c>
      <x:c r="EA82" s="1108" t="str">
        <x:f t="shared" si="162"/>
        <x:v/>
      </x:c>
      <x:c r="EB82" s="1111" t="str">
        <x:f t="shared" si="163"/>
        <x:v/>
      </x:c>
      <x:c r="EC82" s="1112" t="str">
        <x:f t="shared" si="164"/>
        <x:v/>
      </x:c>
      <x:c r="ED82" s="1111" t="str">
        <x:f t="shared" si="165"/>
        <x:v/>
      </x:c>
      <x:c r="EE82" s="1111" t="str">
        <x:f t="shared" si="166"/>
        <x:v/>
      </x:c>
      <x:c r="EF82" s="1111" t="str">
        <x:f t="shared" si="167"/>
        <x:v/>
      </x:c>
      <x:c r="EG82" s="1111" t="str">
        <x:f t="shared" si="168"/>
        <x:v/>
      </x:c>
      <x:c r="EH82" s="1111" t="str">
        <x:f t="shared" si="169"/>
        <x:v/>
      </x:c>
      <x:c r="EI82" s="1111" t="str">
        <x:f t="shared" si="170"/>
        <x:v/>
      </x:c>
      <x:c r="EJ82" s="1111" t="str">
        <x:f t="shared" si="171"/>
        <x:v/>
      </x:c>
      <x:c r="EK82" s="1109">
        <x:f t="shared" si="172"/>
        <x:v>0</x:v>
      </x:c>
      <x:c r="EL82" s="1109">
        <x:f t="shared" si="173"/>
        <x:v>0</x:v>
      </x:c>
      <x:c r="EM82" s="1109">
        <x:f t="shared" si="174"/>
        <x:v>0</x:v>
      </x:c>
      <x:c r="EN82" s="1109" t="str">
        <x:f t="shared" si="175"/>
        <x:v/>
      </x:c>
      <x:c r="EO82" s="1108" t="str">
        <x:f t="shared" si="176"/>
        <x:v/>
      </x:c>
      <x:c r="EP82" s="1109">
        <x:f t="shared" si="177"/>
        <x:v>0</x:v>
      </x:c>
      <x:c r="EQ82" s="1109">
        <x:f t="shared" si="178"/>
        <x:v>0</x:v>
      </x:c>
      <x:c r="ER82" s="1109">
        <x:f t="shared" si="179"/>
        <x:v>0</x:v>
      </x:c>
      <x:c r="ES82" s="1109" t="str">
        <x:f t="shared" si="180"/>
        <x:v/>
      </x:c>
      <x:c r="ET82" s="1108" t="str">
        <x:f t="shared" si="181"/>
        <x:v/>
      </x:c>
      <x:c r="EU82" s="1108">
        <x:f t="shared" si="182"/>
        <x:v>0</x:v>
      </x:c>
      <x:c r="EV82" s="1111" t="e">
        <x:f t="shared" si="183"/>
        <x:v>#VALUE!</x:v>
      </x:c>
      <x:c r="EW82" s="1111" t="e">
        <x:f t="shared" si="184"/>
        <x:v>#VALUE!</x:v>
      </x:c>
      <x:c r="EX82" s="1113" t="str">
        <x:f t="shared" si="213"/>
        <x:v/>
      </x:c>
      <x:c r="EY82" s="1114" t="e">
        <x:f t="shared" si="185"/>
        <x:v>#DIV/0!</x:v>
      </x:c>
      <x:c r="EZ82" s="1219" t="e">
        <x:f t="shared" si="186"/>
        <x:v>#DIV/0!</x:v>
      </x:c>
      <x:c r="FA82" s="1220" t="e">
        <x:f t="shared" si="187"/>
        <x:v>#DIV/0!</x:v>
      </x:c>
      <x:c r="FB82" s="1115" t="str">
        <x:f t="shared" si="188"/>
        <x:v/>
      </x:c>
      <x:c r="FC82" s="1116" t="str">
        <x:f t="shared" si="189"/>
        <x:v/>
      </x:c>
      <x:c r="FD82" s="1126">
        <x:f t="shared" si="190"/>
        <x:v>0</x:v>
      </x:c>
      <x:c r="FE82" s="1066">
        <x:f t="shared" si="191"/>
        <x:v>0</x:v>
      </x:c>
      <x:c r="FF82" s="969" t="b">
        <x:f t="shared" si="192"/>
        <x:v>0</x:v>
      </x:c>
      <x:c r="FG82" s="969" t="b">
        <x:f t="shared" si="193"/>
        <x:v>0</x:v>
      </x:c>
      <x:c r="FH82" s="969" t="b">
        <x:f t="shared" si="194"/>
        <x:v>0</x:v>
      </x:c>
      <x:c r="FI82" s="969" t="b">
        <x:f t="shared" si="195"/>
        <x:v>0</x:v>
      </x:c>
      <x:c r="FJ82" s="1161" t="str">
        <x:f t="shared" si="214"/>
        <x:v/>
      </x:c>
      <x:c r="FK82" s="1160" t="str">
        <x:f t="shared" si="215"/>
        <x:v/>
      </x:c>
      <x:c r="FL82" s="388" t="e">
        <x:f t="shared" si="216"/>
        <x:v>#N/A</x:v>
      </x:c>
      <x:c r="FM82" s="380" t="str">
        <x:f t="shared" si="196"/>
        <x:v/>
      </x:c>
      <x:c r="FN82" s="337" t="str">
        <x:f t="shared" ca="1" si="217"/>
        <x:v/>
      </x:c>
      <x:c r="FO82" s="338" t="str">
        <x:f t="shared" ca="1" si="218"/>
        <x:v/>
      </x:c>
      <x:c r="FP82" s="339" t="str">
        <x:f t="shared" ca="1" si="219"/>
        <x:v/>
      </x:c>
      <x:c r="FQ82" s="339" t="str">
        <x:f t="shared" ca="1" si="220"/>
        <x:v/>
      </x:c>
      <x:c r="FR82" s="389">
        <x:f t="shared" ca="1" si="221"/>
        <x:v>0</x:v>
      </x:c>
      <x:c r="FS82" s="390">
        <x:f t="shared" ca="1" si="222"/>
        <x:v>0</x:v>
      </x:c>
      <x:c r="FT82" s="337" t="str">
        <x:f t="shared" ca="1" si="223"/>
        <x:v/>
      </x:c>
      <x:c r="FU82" s="340" t="str">
        <x:f t="shared" ca="1" si="224"/>
        <x:v/>
      </x:c>
      <x:c r="FV82" s="391" t="str">
        <x:f t="shared" ca="1" si="197"/>
        <x:v/>
      </x:c>
      <x:c r="FW82" s="341" t="str">
        <x:f t="shared" ca="1" si="225"/>
        <x:v/>
      </x:c>
      <x:c r="FX82" s="341" t="str">
        <x:f t="shared" ca="1" si="226"/>
        <x:v/>
      </x:c>
      <x:c r="FY82" s="341" t="str">
        <x:f t="shared" ca="1" si="227"/>
        <x:v/>
      </x:c>
      <x:c r="FZ82" s="341" t="str">
        <x:f t="shared" ca="1" si="228"/>
        <x:v/>
      </x:c>
      <x:c r="GA82" s="341" t="str">
        <x:f t="shared" ca="1" si="229"/>
        <x:v/>
      </x:c>
      <x:c r="GB82" s="342" t="str">
        <x:f ca="1">IF(FY82="","",2+SUM(FO82:OFFSET(FO82,(FU82-1)*-1,0)))</x:f>
        <x:v/>
      </x:c>
      <x:c r="GC82" s="384" t="e">
        <x:f t="shared" si="230"/>
        <x:v>#N/A</x:v>
      </x:c>
      <x:c r="GD82" s="392" t="str">
        <x:f t="shared" si="198"/>
        <x:v/>
      </x:c>
      <x:c r="GE82" s="393" t="str">
        <x:f t="shared" si="199"/>
        <x:v/>
      </x:c>
      <x:c r="GF82" s="343" t="str">
        <x:f t="shared" si="200"/>
        <x:v/>
      </x:c>
      <x:c r="GG82" s="344" t="str">
        <x:f t="shared" si="201"/>
        <x:v/>
      </x:c>
      <x:c r="GH82" s="344" t="str">
        <x:f t="shared" si="202"/>
        <x:v/>
      </x:c>
      <x:c r="GI82" s="345" t="str">
        <x:f t="shared" si="203"/>
        <x:v/>
      </x:c>
      <x:c r="GJ82" s="646">
        <x:f t="shared" ca="1" si="204"/>
        <x:v>0</x:v>
      </x:c>
      <x:c r="GK82" s="1131" t="str">
        <x:f t="shared" ca="1" si="231"/>
        <x:v/>
      </x:c>
    </x:row>
    <x:row r="83" spans="1:193" ht="12.6" hidden="1" customHeight="1" x14ac:dyDescent="0.2">
      <x:c r="BZ83" s="360"/>
      <x:c r="CA83" s="360"/>
      <x:c r="CB83" s="435" t="str">
        <x:f t="shared" si="137"/>
        <x:v/>
      </x:c>
      <x:c r="CC83" s="436" t="str">
        <x:f>IF(CG43="","",VLOOKUP(CG43,SectInfo!$B:$N,12,FALSE))</x:f>
        <x:v/>
      </x:c>
      <x:c r="CD83" s="1172" t="str">
        <x:f>IF(ISBLANK(CZ43),IF(CG43="","",VLOOKUP(CG43,SectInfo!$B:$N,13,FALSE)),CZ43)</x:f>
        <x:v/>
      </x:c>
      <x:c r="CE83" s="437" t="str">
        <x:f>IF(CG43="","",IF(VLOOKUP(CG43,SectInfo!$B:$N,5,FALSE)="","R",UPPER(VLOOKUP(CG43,SectInfo!$B:$N,5,FALSE))))</x:f>
        <x:v/>
      </x:c>
      <x:c r="CF83" s="1172" t="str">
        <x:f>IF(ISBLANK(DD43),IF(CG43="","",VLOOKUP(CG43,SectInfo!$B:$N,6,FALSE)),DD43)</x:f>
        <x:v/>
      </x:c>
      <x:c r="CG83" s="437" t="str">
        <x:f>IF(CG43="","",IF(VLOOKUP(CG43,SectInfo!$B:$N,10,FALSE)="","",(VLOOKUP(CG43,SectInfo!$B:$N,10,FALSE)*-1)))</x:f>
        <x:v/>
      </x:c>
      <x:c r="CH83" s="437" t="str">
        <x:f>IF(CG43="","",IF(VLOOKUP(CG43,SectInfo!$B:$N,7,FALSE)="","",(VLOOKUP(CG43,SectInfo!$B:$N,7,FALSE)*-1)))</x:f>
        <x:v/>
      </x:c>
      <x:c r="CI83" s="437" t="str">
        <x:f>IF(CG43="","",IF(VLOOKUP(CG43,SectInfo!$B:$N,8,FALSE)="",$FC$4,(VLOOKUP(CG43,SectInfo!$B:$N,8,FALSE))))</x:f>
        <x:v/>
      </x:c>
      <x:c r="CJ83" s="437" t="str">
        <x:f>IF(CG43="","",VLOOKUP(CG43,SectInfo!$B:$N,9,FALSE))</x:f>
        <x:v/>
      </x:c>
      <x:c r="CK83" s="438">
        <x:f t="shared" si="205"/>
        <x:v>0</x:v>
      </x:c>
      <x:c r="CL83" s="436" t="str">
        <x:f>IF(CN43="","",VLOOKUP(CN43,SectInfo!$B:$N,12,FALSE))</x:f>
        <x:v/>
      </x:c>
      <x:c r="CM83" s="1172" t="str">
        <x:f>IF(ISBLANK(DA43),IF(CN43="","",VLOOKUP(CN43,SectInfo!$B:$N,13,FALSE)),DA43)</x:f>
        <x:v/>
      </x:c>
      <x:c r="CN83" s="437" t="str">
        <x:f>IF(CN43="","",IF(VLOOKUP(CN43,SectInfo!$B:$N,5,FALSE)="","R",UPPER(VLOOKUP(CN43,SectInfo!$B:$N,5,FALSE))))</x:f>
        <x:v/>
      </x:c>
      <x:c r="CO83" s="1172" t="str">
        <x:f>IF(ISBLANK(DE43),IF(CN43="","",VLOOKUP(CN43,SectInfo!$B:$N,6,FALSE)),DE43)</x:f>
        <x:v/>
      </x:c>
      <x:c r="CP83" s="437" t="str">
        <x:f>IF(CN43="","",IF(VLOOKUP(CN43,SectInfo!$B:$N,10,FALSE)="","",(VLOOKUP(CN43,SectInfo!$B:$N,10,FALSE)*-1)))</x:f>
        <x:v/>
      </x:c>
      <x:c r="CQ83" s="437" t="str">
        <x:f>IF(CN43="","",IF(VLOOKUP(CN43,SectInfo!$B:$N,7,FALSE)="","",(VLOOKUP(CN43,SectInfo!$B:$N,7,FALSE)*-1)))</x:f>
        <x:v/>
      </x:c>
      <x:c r="CR83" s="437" t="str">
        <x:f>IF(CN43="","",IF(VLOOKUP(CN43,SectInfo!$B:$N,8,FALSE)="",$FC$4,(VLOOKUP(CN43,SectInfo!$B:$N,8,FALSE))))</x:f>
        <x:v/>
      </x:c>
      <x:c r="CS83" s="437" t="str">
        <x:f>IF(CN43="","",VLOOKUP(CN43,SectInfo!$B:$N,9,FALSE))</x:f>
        <x:v/>
      </x:c>
      <x:c r="CT83" s="438">
        <x:f t="shared" si="206"/>
        <x:v>0</x:v>
      </x:c>
      <x:c r="CU83" s="439">
        <x:f t="shared" si="138"/>
        <x:v>0</x:v>
      </x:c>
      <x:c r="CV83" s="339" t="str">
        <x:f t="shared" si="139"/>
        <x:v/>
      </x:c>
      <x:c r="CW83" s="339" t="str">
        <x:f t="shared" si="140"/>
        <x:v/>
      </x:c>
      <x:c r="CX83" s="339" t="str">
        <x:f t="shared" si="141"/>
        <x:v/>
      </x:c>
      <x:c r="CY83" s="1109">
        <x:f t="shared" si="142"/>
        <x:v>0</x:v>
      </x:c>
      <x:c r="CZ83" s="1109">
        <x:f t="shared" si="143"/>
        <x:v>0</x:v>
      </x:c>
      <x:c r="DA83" s="1109" t="str">
        <x:f t="shared" si="144"/>
        <x:v/>
      </x:c>
      <x:c r="DB83" s="1125" t="str">
        <x:f t="shared" si="207"/>
        <x:v/>
      </x:c>
      <x:c r="DC83" s="1125" t="str">
        <x:f t="shared" si="145"/>
        <x:v/>
      </x:c>
      <x:c r="DD83" s="1110">
        <x:f t="shared" si="208"/>
        <x:v>0</x:v>
      </x:c>
      <x:c r="DE83" s="1108">
        <x:f t="shared" si="209"/>
        <x:v>0</x:v>
      </x:c>
      <x:c r="DF83" s="1109">
        <x:f t="shared" si="146"/>
        <x:v>0</x:v>
      </x:c>
      <x:c r="DG83" s="1109" t="str">
        <x:f t="shared" si="147"/>
        <x:v/>
      </x:c>
      <x:c r="DH83" s="1125" t="str">
        <x:f t="shared" si="210"/>
        <x:v/>
      </x:c>
      <x:c r="DI83" s="1125" t="str">
        <x:f t="shared" si="211"/>
        <x:v/>
      </x:c>
      <x:c r="DJ83" s="1110">
        <x:f t="shared" si="212"/>
        <x:v>0</x:v>
      </x:c>
      <x:c r="DK83" s="1108" t="str">
        <x:f t="shared" si="148"/>
        <x:v/>
      </x:c>
      <x:c r="DL83" s="1108" t="str">
        <x:f t="shared" si="149"/>
        <x:v/>
      </x:c>
      <x:c r="DM83" s="1108" t="str">
        <x:f t="shared" si="150"/>
        <x:v/>
      </x:c>
      <x:c r="DN83" s="1108" t="str">
        <x:f t="shared" si="151"/>
        <x:v/>
      </x:c>
      <x:c r="DO83" s="1125" t="str">
        <x:f t="shared" si="152"/>
        <x:v>ERR</x:v>
      </x:c>
      <x:c r="DP83" s="1125" t="str">
        <x:f t="shared" si="153"/>
        <x:v>ERR</x:v>
      </x:c>
      <x:c r="DQ83" s="1108" t="str">
        <x:f t="shared" si="154"/>
        <x:v/>
      </x:c>
      <x:c r="DR83" s="1108" t="str">
        <x:f t="shared" si="154"/>
        <x:v/>
      </x:c>
      <x:c r="DS83" s="1108" t="str">
        <x:f t="shared" si="155"/>
        <x:v/>
      </x:c>
      <x:c r="DT83" s="1108" t="str">
        <x:f t="shared" si="156"/>
        <x:v/>
      </x:c>
      <x:c r="DU83" s="1108" t="str">
        <x:f t="shared" si="157"/>
        <x:v/>
      </x:c>
      <x:c r="DV83" s="1125" t="str">
        <x:f t="shared" si="158"/>
        <x:v>ERR</x:v>
      </x:c>
      <x:c r="DW83" s="1125" t="str">
        <x:f t="shared" si="159"/>
        <x:v>ERR</x:v>
      </x:c>
      <x:c r="DX83" s="1108" t="str">
        <x:f t="shared" si="232"/>
        <x:v/>
      </x:c>
      <x:c r="DY83" s="1108" t="str">
        <x:f t="shared" si="232"/>
        <x:v/>
      </x:c>
      <x:c r="DZ83" s="1108" t="str">
        <x:f t="shared" si="161"/>
        <x:v/>
      </x:c>
      <x:c r="EA83" s="1108" t="str">
        <x:f t="shared" si="162"/>
        <x:v/>
      </x:c>
      <x:c r="EB83" s="1111" t="str">
        <x:f t="shared" si="163"/>
        <x:v/>
      </x:c>
      <x:c r="EC83" s="1112" t="str">
        <x:f t="shared" si="164"/>
        <x:v/>
      </x:c>
      <x:c r="ED83" s="1111" t="str">
        <x:f t="shared" si="165"/>
        <x:v/>
      </x:c>
      <x:c r="EE83" s="1111" t="str">
        <x:f t="shared" si="166"/>
        <x:v/>
      </x:c>
      <x:c r="EF83" s="1111" t="str">
        <x:f t="shared" si="167"/>
        <x:v/>
      </x:c>
      <x:c r="EG83" s="1111" t="str">
        <x:f t="shared" si="168"/>
        <x:v/>
      </x:c>
      <x:c r="EH83" s="1111" t="str">
        <x:f t="shared" si="169"/>
        <x:v/>
      </x:c>
      <x:c r="EI83" s="1111" t="str">
        <x:f t="shared" si="170"/>
        <x:v/>
      </x:c>
      <x:c r="EJ83" s="1111" t="str">
        <x:f t="shared" si="171"/>
        <x:v/>
      </x:c>
      <x:c r="EK83" s="1109">
        <x:f t="shared" si="172"/>
        <x:v>0</x:v>
      </x:c>
      <x:c r="EL83" s="1109">
        <x:f t="shared" si="173"/>
        <x:v>0</x:v>
      </x:c>
      <x:c r="EM83" s="1109">
        <x:f t="shared" si="174"/>
        <x:v>0</x:v>
      </x:c>
      <x:c r="EN83" s="1109" t="str">
        <x:f t="shared" si="175"/>
        <x:v/>
      </x:c>
      <x:c r="EO83" s="1108" t="str">
        <x:f t="shared" si="176"/>
        <x:v/>
      </x:c>
      <x:c r="EP83" s="1109">
        <x:f t="shared" si="177"/>
        <x:v>0</x:v>
      </x:c>
      <x:c r="EQ83" s="1109">
        <x:f t="shared" si="178"/>
        <x:v>0</x:v>
      </x:c>
      <x:c r="ER83" s="1109">
        <x:f t="shared" si="179"/>
        <x:v>0</x:v>
      </x:c>
      <x:c r="ES83" s="1109" t="str">
        <x:f t="shared" si="180"/>
        <x:v/>
      </x:c>
      <x:c r="ET83" s="1108" t="str">
        <x:f t="shared" si="181"/>
        <x:v/>
      </x:c>
      <x:c r="EU83" s="1108">
        <x:f t="shared" si="182"/>
        <x:v>0</x:v>
      </x:c>
      <x:c r="EV83" s="1111" t="e">
        <x:f t="shared" si="183"/>
        <x:v>#VALUE!</x:v>
      </x:c>
      <x:c r="EW83" s="1111" t="e">
        <x:f t="shared" si="184"/>
        <x:v>#VALUE!</x:v>
      </x:c>
      <x:c r="EX83" s="1113" t="str">
        <x:f t="shared" si="213"/>
        <x:v/>
      </x:c>
      <x:c r="EY83" s="1114" t="e">
        <x:f t="shared" si="185"/>
        <x:v>#DIV/0!</x:v>
      </x:c>
      <x:c r="EZ83" s="1219" t="e">
        <x:f t="shared" si="186"/>
        <x:v>#DIV/0!</x:v>
      </x:c>
      <x:c r="FA83" s="1220" t="e">
        <x:f t="shared" si="187"/>
        <x:v>#DIV/0!</x:v>
      </x:c>
      <x:c r="FB83" s="1115" t="str">
        <x:f t="shared" si="188"/>
        <x:v/>
      </x:c>
      <x:c r="FC83" s="1116" t="str">
        <x:f t="shared" si="189"/>
        <x:v/>
      </x:c>
      <x:c r="FD83" s="1126">
        <x:f t="shared" si="190"/>
        <x:v>0</x:v>
      </x:c>
      <x:c r="FE83" s="1066">
        <x:f t="shared" si="191"/>
        <x:v>0</x:v>
      </x:c>
      <x:c r="FF83" s="969" t="b">
        <x:f t="shared" si="192"/>
        <x:v>0</x:v>
      </x:c>
      <x:c r="FG83" s="969" t="b">
        <x:f t="shared" si="193"/>
        <x:v>0</x:v>
      </x:c>
      <x:c r="FH83" s="969" t="b">
        <x:f t="shared" si="194"/>
        <x:v>0</x:v>
      </x:c>
      <x:c r="FI83" s="969" t="b">
        <x:f t="shared" si="195"/>
        <x:v>0</x:v>
      </x:c>
      <x:c r="FJ83" s="1161" t="str">
        <x:f t="shared" si="214"/>
        <x:v/>
      </x:c>
      <x:c r="FK83" s="1160" t="str">
        <x:f t="shared" si="215"/>
        <x:v/>
      </x:c>
      <x:c r="FL83" s="388" t="e">
        <x:f t="shared" si="216"/>
        <x:v>#N/A</x:v>
      </x:c>
      <x:c r="FM83" s="380" t="str">
        <x:f t="shared" si="196"/>
        <x:v/>
      </x:c>
      <x:c r="FN83" s="337" t="str">
        <x:f t="shared" ca="1" si="217"/>
        <x:v/>
      </x:c>
      <x:c r="FO83" s="338" t="str">
        <x:f t="shared" ca="1" si="218"/>
        <x:v/>
      </x:c>
      <x:c r="FP83" s="339" t="str">
        <x:f t="shared" ca="1" si="219"/>
        <x:v/>
      </x:c>
      <x:c r="FQ83" s="339" t="str">
        <x:f t="shared" ca="1" si="220"/>
        <x:v/>
      </x:c>
      <x:c r="FR83" s="389">
        <x:f t="shared" ca="1" si="221"/>
        <x:v>0</x:v>
      </x:c>
      <x:c r="FS83" s="390">
        <x:f t="shared" ca="1" si="222"/>
        <x:v>0</x:v>
      </x:c>
      <x:c r="FT83" s="337" t="str">
        <x:f t="shared" ca="1" si="223"/>
        <x:v/>
      </x:c>
      <x:c r="FU83" s="340" t="str">
        <x:f t="shared" ca="1" si="224"/>
        <x:v/>
      </x:c>
      <x:c r="FV83" s="391" t="str">
        <x:f t="shared" ca="1" si="197"/>
        <x:v/>
      </x:c>
      <x:c r="FW83" s="341" t="str">
        <x:f t="shared" ca="1" si="225"/>
        <x:v/>
      </x:c>
      <x:c r="FX83" s="341" t="str">
        <x:f t="shared" ca="1" si="226"/>
        <x:v/>
      </x:c>
      <x:c r="FY83" s="341" t="str">
        <x:f t="shared" ca="1" si="227"/>
        <x:v/>
      </x:c>
      <x:c r="FZ83" s="341" t="str">
        <x:f t="shared" ca="1" si="228"/>
        <x:v/>
      </x:c>
      <x:c r="GA83" s="341" t="str">
        <x:f t="shared" ca="1" si="229"/>
        <x:v/>
      </x:c>
      <x:c r="GB83" s="342" t="str">
        <x:f ca="1">IF(FY83="","",2+SUM(FO83:OFFSET(FO83,(FU83-1)*-1,0)))</x:f>
        <x:v/>
      </x:c>
      <x:c r="GC83" s="384" t="e">
        <x:f t="shared" si="230"/>
        <x:v>#N/A</x:v>
      </x:c>
      <x:c r="GD83" s="392" t="str">
        <x:f t="shared" si="198"/>
        <x:v/>
      </x:c>
      <x:c r="GE83" s="393" t="str">
        <x:f t="shared" si="199"/>
        <x:v/>
      </x:c>
      <x:c r="GF83" s="343" t="str">
        <x:f t="shared" si="200"/>
        <x:v/>
      </x:c>
      <x:c r="GG83" s="344" t="str">
        <x:f t="shared" si="201"/>
        <x:v/>
      </x:c>
      <x:c r="GH83" s="344" t="str">
        <x:f t="shared" si="202"/>
        <x:v/>
      </x:c>
      <x:c r="GI83" s="345" t="str">
        <x:f t="shared" si="203"/>
        <x:v/>
      </x:c>
      <x:c r="GJ83" s="646">
        <x:f t="shared" ca="1" si="204"/>
        <x:v>0</x:v>
      </x:c>
      <x:c r="GK83" s="1131" t="str">
        <x:f t="shared" ca="1" si="231"/>
        <x:v/>
      </x:c>
    </x:row>
    <x:row r="84" spans="1:193" ht="12.6" hidden="1" customHeight="1" x14ac:dyDescent="0.2">
      <x:c r="BZ84" s="360"/>
      <x:c r="CA84" s="360"/>
      <x:c r="CB84" s="435" t="str">
        <x:f t="shared" si="137"/>
        <x:v/>
      </x:c>
      <x:c r="CC84" s="436" t="str">
        <x:f>IF(CG44="","",VLOOKUP(CG44,SectInfo!$B:$N,12,FALSE))</x:f>
        <x:v/>
      </x:c>
      <x:c r="CD84" s="1172" t="str">
        <x:f>IF(ISBLANK(CZ44),IF(CG44="","",VLOOKUP(CG44,SectInfo!$B:$N,13,FALSE)),CZ44)</x:f>
        <x:v/>
      </x:c>
      <x:c r="CE84" s="437" t="str">
        <x:f>IF(CG44="","",IF(VLOOKUP(CG44,SectInfo!$B:$N,5,FALSE)="","R",UPPER(VLOOKUP(CG44,SectInfo!$B:$N,5,FALSE))))</x:f>
        <x:v/>
      </x:c>
      <x:c r="CF84" s="1172" t="str">
        <x:f>IF(ISBLANK(DD44),IF(CG44="","",VLOOKUP(CG44,SectInfo!$B:$N,6,FALSE)),DD44)</x:f>
        <x:v/>
      </x:c>
      <x:c r="CG84" s="437" t="str">
        <x:f>IF(CG44="","",IF(VLOOKUP(CG44,SectInfo!$B:$N,10,FALSE)="","",(VLOOKUP(CG44,SectInfo!$B:$N,10,FALSE)*-1)))</x:f>
        <x:v/>
      </x:c>
      <x:c r="CH84" s="437" t="str">
        <x:f>IF(CG44="","",IF(VLOOKUP(CG44,SectInfo!$B:$N,7,FALSE)="","",(VLOOKUP(CG44,SectInfo!$B:$N,7,FALSE)*-1)))</x:f>
        <x:v/>
      </x:c>
      <x:c r="CI84" s="437" t="str">
        <x:f>IF(CG44="","",IF(VLOOKUP(CG44,SectInfo!$B:$N,8,FALSE)="",$FC$4,(VLOOKUP(CG44,SectInfo!$B:$N,8,FALSE))))</x:f>
        <x:v/>
      </x:c>
      <x:c r="CJ84" s="437" t="str">
        <x:f>IF(CG44="","",VLOOKUP(CG44,SectInfo!$B:$N,9,FALSE))</x:f>
        <x:v/>
      </x:c>
      <x:c r="CK84" s="438">
        <x:f t="shared" si="205"/>
        <x:v>0</x:v>
      </x:c>
      <x:c r="CL84" s="436" t="str">
        <x:f>IF(CN44="","",VLOOKUP(CN44,SectInfo!$B:$N,12,FALSE))</x:f>
        <x:v/>
      </x:c>
      <x:c r="CM84" s="1172" t="str">
        <x:f>IF(ISBLANK(DA44),IF(CN44="","",VLOOKUP(CN44,SectInfo!$B:$N,13,FALSE)),DA44)</x:f>
        <x:v/>
      </x:c>
      <x:c r="CN84" s="437" t="str">
        <x:f>IF(CN44="","",IF(VLOOKUP(CN44,SectInfo!$B:$N,5,FALSE)="","R",UPPER(VLOOKUP(CN44,SectInfo!$B:$N,5,FALSE))))</x:f>
        <x:v/>
      </x:c>
      <x:c r="CO84" s="1172" t="str">
        <x:f>IF(ISBLANK(DE44),IF(CN44="","",VLOOKUP(CN44,SectInfo!$B:$N,6,FALSE)),DE44)</x:f>
        <x:v/>
      </x:c>
      <x:c r="CP84" s="437" t="str">
        <x:f>IF(CN44="","",IF(VLOOKUP(CN44,SectInfo!$B:$N,10,FALSE)="","",(VLOOKUP(CN44,SectInfo!$B:$N,10,FALSE)*-1)))</x:f>
        <x:v/>
      </x:c>
      <x:c r="CQ84" s="437" t="str">
        <x:f>IF(CN44="","",IF(VLOOKUP(CN44,SectInfo!$B:$N,7,FALSE)="","",(VLOOKUP(CN44,SectInfo!$B:$N,7,FALSE)*-1)))</x:f>
        <x:v/>
      </x:c>
      <x:c r="CR84" s="437" t="str">
        <x:f>IF(CN44="","",IF(VLOOKUP(CN44,SectInfo!$B:$N,8,FALSE)="",$FC$4,(VLOOKUP(CN44,SectInfo!$B:$N,8,FALSE))))</x:f>
        <x:v/>
      </x:c>
      <x:c r="CS84" s="437" t="str">
        <x:f>IF(CN44="","",VLOOKUP(CN44,SectInfo!$B:$N,9,FALSE))</x:f>
        <x:v/>
      </x:c>
      <x:c r="CT84" s="438">
        <x:f t="shared" si="206"/>
        <x:v>0</x:v>
      </x:c>
      <x:c r="CU84" s="439">
        <x:f t="shared" si="138"/>
        <x:v>0</x:v>
      </x:c>
      <x:c r="CV84" s="339" t="str">
        <x:f t="shared" si="139"/>
        <x:v/>
      </x:c>
      <x:c r="CW84" s="339" t="str">
        <x:f t="shared" si="140"/>
        <x:v/>
      </x:c>
      <x:c r="CX84" s="339" t="str">
        <x:f t="shared" si="141"/>
        <x:v/>
      </x:c>
      <x:c r="CY84" s="1109">
        <x:f t="shared" si="142"/>
        <x:v>0</x:v>
      </x:c>
      <x:c r="CZ84" s="1109">
        <x:f t="shared" si="143"/>
        <x:v>0</x:v>
      </x:c>
      <x:c r="DA84" s="1109" t="str">
        <x:f t="shared" si="144"/>
        <x:v/>
      </x:c>
      <x:c r="DB84" s="1125" t="str">
        <x:f t="shared" si="207"/>
        <x:v/>
      </x:c>
      <x:c r="DC84" s="1125" t="str">
        <x:f t="shared" si="145"/>
        <x:v/>
      </x:c>
      <x:c r="DD84" s="1110">
        <x:f t="shared" si="208"/>
        <x:v>0</x:v>
      </x:c>
      <x:c r="DE84" s="1108">
        <x:f t="shared" si="209"/>
        <x:v>0</x:v>
      </x:c>
      <x:c r="DF84" s="1109">
        <x:f t="shared" si="146"/>
        <x:v>0</x:v>
      </x:c>
      <x:c r="DG84" s="1109" t="str">
        <x:f t="shared" si="147"/>
        <x:v/>
      </x:c>
      <x:c r="DH84" s="1125" t="str">
        <x:f t="shared" si="210"/>
        <x:v/>
      </x:c>
      <x:c r="DI84" s="1125" t="str">
        <x:f t="shared" si="211"/>
        <x:v/>
      </x:c>
      <x:c r="DJ84" s="1110">
        <x:f t="shared" si="212"/>
        <x:v>0</x:v>
      </x:c>
      <x:c r="DK84" s="1108" t="str">
        <x:f t="shared" si="148"/>
        <x:v/>
      </x:c>
      <x:c r="DL84" s="1108" t="str">
        <x:f t="shared" si="149"/>
        <x:v/>
      </x:c>
      <x:c r="DM84" s="1108" t="str">
        <x:f t="shared" si="150"/>
        <x:v/>
      </x:c>
      <x:c r="DN84" s="1108" t="str">
        <x:f t="shared" si="151"/>
        <x:v/>
      </x:c>
      <x:c r="DO84" s="1125" t="str">
        <x:f t="shared" si="152"/>
        <x:v>ERR</x:v>
      </x:c>
      <x:c r="DP84" s="1125" t="str">
        <x:f t="shared" si="153"/>
        <x:v>ERR</x:v>
      </x:c>
      <x:c r="DQ84" s="1108" t="str">
        <x:f t="shared" si="154"/>
        <x:v/>
      </x:c>
      <x:c r="DR84" s="1108" t="str">
        <x:f t="shared" si="154"/>
        <x:v/>
      </x:c>
      <x:c r="DS84" s="1108" t="str">
        <x:f t="shared" si="155"/>
        <x:v/>
      </x:c>
      <x:c r="DT84" s="1108" t="str">
        <x:f t="shared" si="156"/>
        <x:v/>
      </x:c>
      <x:c r="DU84" s="1108" t="str">
        <x:f t="shared" si="157"/>
        <x:v/>
      </x:c>
      <x:c r="DV84" s="1125" t="str">
        <x:f t="shared" si="158"/>
        <x:v>ERR</x:v>
      </x:c>
      <x:c r="DW84" s="1125" t="str">
        <x:f t="shared" si="159"/>
        <x:v>ERR</x:v>
      </x:c>
      <x:c r="DX84" s="1108" t="str">
        <x:f t="shared" si="232"/>
        <x:v/>
      </x:c>
      <x:c r="DY84" s="1108" t="str">
        <x:f t="shared" si="232"/>
        <x:v/>
      </x:c>
      <x:c r="DZ84" s="1108" t="str">
        <x:f t="shared" si="161"/>
        <x:v/>
      </x:c>
      <x:c r="EA84" s="1108" t="str">
        <x:f t="shared" si="162"/>
        <x:v/>
      </x:c>
      <x:c r="EB84" s="1111" t="str">
        <x:f t="shared" si="163"/>
        <x:v/>
      </x:c>
      <x:c r="EC84" s="1112" t="str">
        <x:f t="shared" si="164"/>
        <x:v/>
      </x:c>
      <x:c r="ED84" s="1111" t="str">
        <x:f t="shared" si="165"/>
        <x:v/>
      </x:c>
      <x:c r="EE84" s="1111" t="str">
        <x:f t="shared" si="166"/>
        <x:v/>
      </x:c>
      <x:c r="EF84" s="1111" t="str">
        <x:f t="shared" si="167"/>
        <x:v/>
      </x:c>
      <x:c r="EG84" s="1111" t="str">
        <x:f t="shared" si="168"/>
        <x:v/>
      </x:c>
      <x:c r="EH84" s="1111" t="str">
        <x:f t="shared" si="169"/>
        <x:v/>
      </x:c>
      <x:c r="EI84" s="1111" t="str">
        <x:f t="shared" si="170"/>
        <x:v/>
      </x:c>
      <x:c r="EJ84" s="1111" t="str">
        <x:f t="shared" si="171"/>
        <x:v/>
      </x:c>
      <x:c r="EK84" s="1109">
        <x:f t="shared" si="172"/>
        <x:v>0</x:v>
      </x:c>
      <x:c r="EL84" s="1109">
        <x:f t="shared" si="173"/>
        <x:v>0</x:v>
      </x:c>
      <x:c r="EM84" s="1109">
        <x:f t="shared" si="174"/>
        <x:v>0</x:v>
      </x:c>
      <x:c r="EN84" s="1109" t="str">
        <x:f t="shared" si="175"/>
        <x:v/>
      </x:c>
      <x:c r="EO84" s="1108" t="str">
        <x:f t="shared" si="176"/>
        <x:v/>
      </x:c>
      <x:c r="EP84" s="1109">
        <x:f t="shared" si="177"/>
        <x:v>0</x:v>
      </x:c>
      <x:c r="EQ84" s="1109">
        <x:f t="shared" si="178"/>
        <x:v>0</x:v>
      </x:c>
      <x:c r="ER84" s="1109">
        <x:f t="shared" si="179"/>
        <x:v>0</x:v>
      </x:c>
      <x:c r="ES84" s="1109" t="str">
        <x:f t="shared" si="180"/>
        <x:v/>
      </x:c>
      <x:c r="ET84" s="1108" t="str">
        <x:f t="shared" si="181"/>
        <x:v/>
      </x:c>
      <x:c r="EU84" s="1108">
        <x:f t="shared" si="182"/>
        <x:v>0</x:v>
      </x:c>
      <x:c r="EV84" s="1111" t="e">
        <x:f t="shared" si="183"/>
        <x:v>#VALUE!</x:v>
      </x:c>
      <x:c r="EW84" s="1111" t="e">
        <x:f t="shared" si="184"/>
        <x:v>#VALUE!</x:v>
      </x:c>
      <x:c r="EX84" s="1113" t="str">
        <x:f t="shared" si="213"/>
        <x:v/>
      </x:c>
      <x:c r="EY84" s="1114" t="e">
        <x:f t="shared" si="185"/>
        <x:v>#DIV/0!</x:v>
      </x:c>
      <x:c r="EZ84" s="1219" t="e">
        <x:f t="shared" si="186"/>
        <x:v>#DIV/0!</x:v>
      </x:c>
      <x:c r="FA84" s="1220" t="e">
        <x:f t="shared" si="187"/>
        <x:v>#DIV/0!</x:v>
      </x:c>
      <x:c r="FB84" s="1115" t="str">
        <x:f t="shared" si="188"/>
        <x:v/>
      </x:c>
      <x:c r="FC84" s="1116" t="str">
        <x:f t="shared" si="189"/>
        <x:v/>
      </x:c>
      <x:c r="FD84" s="1126">
        <x:f t="shared" si="190"/>
        <x:v>0</x:v>
      </x:c>
      <x:c r="FE84" s="1066">
        <x:f t="shared" si="191"/>
        <x:v>0</x:v>
      </x:c>
      <x:c r="FF84" s="969" t="b">
        <x:f t="shared" si="192"/>
        <x:v>0</x:v>
      </x:c>
      <x:c r="FG84" s="969" t="b">
        <x:f t="shared" si="193"/>
        <x:v>0</x:v>
      </x:c>
      <x:c r="FH84" s="969" t="b">
        <x:f t="shared" si="194"/>
        <x:v>0</x:v>
      </x:c>
      <x:c r="FI84" s="969" t="b">
        <x:f t="shared" si="195"/>
        <x:v>0</x:v>
      </x:c>
      <x:c r="FJ84" s="1161" t="str">
        <x:f t="shared" si="214"/>
        <x:v/>
      </x:c>
      <x:c r="FK84" s="1160" t="str">
        <x:f t="shared" si="215"/>
        <x:v/>
      </x:c>
      <x:c r="FL84" s="388" t="e">
        <x:f t="shared" si="216"/>
        <x:v>#N/A</x:v>
      </x:c>
      <x:c r="FM84" s="380" t="str">
        <x:f t="shared" si="196"/>
        <x:v/>
      </x:c>
      <x:c r="FN84" s="337" t="str">
        <x:f t="shared" ca="1" si="217"/>
        <x:v/>
      </x:c>
      <x:c r="FO84" s="338" t="str">
        <x:f t="shared" ca="1" si="218"/>
        <x:v/>
      </x:c>
      <x:c r="FP84" s="339" t="str">
        <x:f t="shared" ca="1" si="219"/>
        <x:v/>
      </x:c>
      <x:c r="FQ84" s="339" t="str">
        <x:f t="shared" ca="1" si="220"/>
        <x:v/>
      </x:c>
      <x:c r="FR84" s="389">
        <x:f t="shared" ca="1" si="221"/>
        <x:v>0</x:v>
      </x:c>
      <x:c r="FS84" s="390">
        <x:f t="shared" ca="1" si="222"/>
        <x:v>0</x:v>
      </x:c>
      <x:c r="FT84" s="337" t="str">
        <x:f t="shared" ca="1" si="223"/>
        <x:v/>
      </x:c>
      <x:c r="FU84" s="340" t="str">
        <x:f t="shared" ca="1" si="224"/>
        <x:v/>
      </x:c>
      <x:c r="FV84" s="391" t="str">
        <x:f t="shared" ca="1" si="197"/>
        <x:v/>
      </x:c>
      <x:c r="FW84" s="341" t="str">
        <x:f t="shared" ca="1" si="225"/>
        <x:v/>
      </x:c>
      <x:c r="FX84" s="341" t="str">
        <x:f t="shared" ca="1" si="226"/>
        <x:v/>
      </x:c>
      <x:c r="FY84" s="341" t="str">
        <x:f t="shared" ca="1" si="227"/>
        <x:v/>
      </x:c>
      <x:c r="FZ84" s="341" t="str">
        <x:f t="shared" ca="1" si="228"/>
        <x:v/>
      </x:c>
      <x:c r="GA84" s="341" t="str">
        <x:f t="shared" ca="1" si="229"/>
        <x:v/>
      </x:c>
      <x:c r="GB84" s="342" t="str">
        <x:f ca="1">IF(FY84="","",2+SUM(FO84:OFFSET(FO84,(FU84-1)*-1,0)))</x:f>
        <x:v/>
      </x:c>
      <x:c r="GC84" s="384" t="e">
        <x:f t="shared" si="230"/>
        <x:v>#N/A</x:v>
      </x:c>
      <x:c r="GD84" s="392" t="str">
        <x:f t="shared" si="198"/>
        <x:v/>
      </x:c>
      <x:c r="GE84" s="393" t="str">
        <x:f t="shared" si="199"/>
        <x:v/>
      </x:c>
      <x:c r="GF84" s="343" t="str">
        <x:f t="shared" si="200"/>
        <x:v/>
      </x:c>
      <x:c r="GG84" s="344" t="str">
        <x:f t="shared" si="201"/>
        <x:v/>
      </x:c>
      <x:c r="GH84" s="344" t="str">
        <x:f t="shared" si="202"/>
        <x:v/>
      </x:c>
      <x:c r="GI84" s="345" t="str">
        <x:f t="shared" si="203"/>
        <x:v/>
      </x:c>
      <x:c r="GJ84" s="646">
        <x:f t="shared" ca="1" si="204"/>
        <x:v>0</x:v>
      </x:c>
      <x:c r="GK84" s="1131" t="str">
        <x:f t="shared" ca="1" si="231"/>
        <x:v/>
      </x:c>
    </x:row>
    <x:row r="85" spans="1:193" ht="12.6" hidden="1" customHeight="1" thickBot="1" x14ac:dyDescent="0.25">
      <x:c r="BZ85" s="360"/>
      <x:c r="CA85" s="360"/>
      <x:c r="CB85" s="435" t="str">
        <x:f t="shared" si="137"/>
        <x:v/>
      </x:c>
      <x:c r="CC85" s="436" t="str">
        <x:f>IF(CG45="","",VLOOKUP(CG45,SectInfo!$B:$N,12,FALSE))</x:f>
        <x:v/>
      </x:c>
      <x:c r="CD85" s="1172" t="str">
        <x:f>IF(ISBLANK(CZ45),IF(CG45="","",VLOOKUP(CG45,SectInfo!$B:$N,13,FALSE)),CZ45)</x:f>
        <x:v/>
      </x:c>
      <x:c r="CE85" s="437" t="str">
        <x:f>IF(CG45="","",IF(VLOOKUP(CG45,SectInfo!$B:$N,5,FALSE)="","R",UPPER(VLOOKUP(CG45,SectInfo!$B:$N,5,FALSE))))</x:f>
        <x:v/>
      </x:c>
      <x:c r="CF85" s="1172" t="str">
        <x:f>IF(ISBLANK(DD45),IF(CG45="","",VLOOKUP(CG45,SectInfo!$B:$N,6,FALSE)),DD45)</x:f>
        <x:v/>
      </x:c>
      <x:c r="CG85" s="437" t="str">
        <x:f>IF(CG45="","",IF(VLOOKUP(CG45,SectInfo!$B:$N,10,FALSE)="","",(VLOOKUP(CG45,SectInfo!$B:$N,10,FALSE)*-1)))</x:f>
        <x:v/>
      </x:c>
      <x:c r="CH85" s="437" t="str">
        <x:f>IF(CG45="","",IF(VLOOKUP(CG45,SectInfo!$B:$N,7,FALSE)="","",(VLOOKUP(CG45,SectInfo!$B:$N,7,FALSE)*-1)))</x:f>
        <x:v/>
      </x:c>
      <x:c r="CI85" s="437" t="str">
        <x:f>IF(CG45="","",IF(VLOOKUP(CG45,SectInfo!$B:$N,8,FALSE)="",$FC$4,(VLOOKUP(CG45,SectInfo!$B:$N,8,FALSE))))</x:f>
        <x:v/>
      </x:c>
      <x:c r="CJ85" s="437" t="str">
        <x:f>IF(CG45="","",VLOOKUP(CG45,SectInfo!$B:$N,9,FALSE))</x:f>
        <x:v/>
      </x:c>
      <x:c r="CK85" s="438">
        <x:f t="shared" si="205"/>
        <x:v>0</x:v>
      </x:c>
      <x:c r="CL85" s="436" t="str">
        <x:f>IF(CN45="","",VLOOKUP(CN45,SectInfo!$B:$N,12,FALSE))</x:f>
        <x:v/>
      </x:c>
      <x:c r="CM85" s="1172" t="str">
        <x:f>IF(ISBLANK(DA45),IF(CN45="","",VLOOKUP(CN45,SectInfo!$B:$N,13,FALSE)),DA45)</x:f>
        <x:v/>
      </x:c>
      <x:c r="CN85" s="437" t="str">
        <x:f>IF(CN45="","",IF(VLOOKUP(CN45,SectInfo!$B:$N,5,FALSE)="","R",UPPER(VLOOKUP(CN45,SectInfo!$B:$N,5,FALSE))))</x:f>
        <x:v/>
      </x:c>
      <x:c r="CO85" s="1172" t="str">
        <x:f>IF(ISBLANK(DE45),IF(CN45="","",VLOOKUP(CN45,SectInfo!$B:$N,6,FALSE)),DE45)</x:f>
        <x:v/>
      </x:c>
      <x:c r="CP85" s="437" t="str">
        <x:f>IF(CN45="","",IF(VLOOKUP(CN45,SectInfo!$B:$N,10,FALSE)="","",(VLOOKUP(CN45,SectInfo!$B:$N,10,FALSE)*-1)))</x:f>
        <x:v/>
      </x:c>
      <x:c r="CQ85" s="437" t="str">
        <x:f>IF(CN45="","",IF(VLOOKUP(CN45,SectInfo!$B:$N,7,FALSE)="","",(VLOOKUP(CN45,SectInfo!$B:$N,7,FALSE)*-1)))</x:f>
        <x:v/>
      </x:c>
      <x:c r="CR85" s="437" t="str">
        <x:f>IF(CN45="","",IF(VLOOKUP(CN45,SectInfo!$B:$N,8,FALSE)="",$FC$4,(VLOOKUP(CN45,SectInfo!$B:$N,8,FALSE))))</x:f>
        <x:v/>
      </x:c>
      <x:c r="CS85" s="437" t="str">
        <x:f>IF(CN45="","",VLOOKUP(CN45,SectInfo!$B:$N,9,FALSE))</x:f>
        <x:v/>
      </x:c>
      <x:c r="CT85" s="438">
        <x:f t="shared" si="206"/>
        <x:v>0</x:v>
      </x:c>
      <x:c r="CU85" s="439">
        <x:f t="shared" si="138"/>
        <x:v>0</x:v>
      </x:c>
      <x:c r="CV85" s="339" t="str">
        <x:f t="shared" si="139"/>
        <x:v/>
      </x:c>
      <x:c r="CW85" s="339" t="str">
        <x:f t="shared" si="140"/>
        <x:v/>
      </x:c>
      <x:c r="CX85" s="339" t="str">
        <x:f t="shared" si="141"/>
        <x:v/>
      </x:c>
      <x:c r="CY85" s="1109">
        <x:f t="shared" si="142"/>
        <x:v>0</x:v>
      </x:c>
      <x:c r="CZ85" s="1109">
        <x:f t="shared" si="143"/>
        <x:v>0</x:v>
      </x:c>
      <x:c r="DA85" s="1109" t="str">
        <x:f t="shared" si="144"/>
        <x:v/>
      </x:c>
      <x:c r="DB85" s="1125" t="str">
        <x:f t="shared" si="207"/>
        <x:v/>
      </x:c>
      <x:c r="DC85" s="1125" t="str">
        <x:f t="shared" si="145"/>
        <x:v/>
      </x:c>
      <x:c r="DD85" s="1110">
        <x:f t="shared" si="208"/>
        <x:v>0</x:v>
      </x:c>
      <x:c r="DE85" s="1108">
        <x:f t="shared" si="209"/>
        <x:v>0</x:v>
      </x:c>
      <x:c r="DF85" s="1109">
        <x:f t="shared" si="146"/>
        <x:v>0</x:v>
      </x:c>
      <x:c r="DG85" s="1109" t="str">
        <x:f t="shared" si="147"/>
        <x:v/>
      </x:c>
      <x:c r="DH85" s="1125" t="str">
        <x:f t="shared" si="210"/>
        <x:v/>
      </x:c>
      <x:c r="DI85" s="1125" t="str">
        <x:f t="shared" si="211"/>
        <x:v/>
      </x:c>
      <x:c r="DJ85" s="1110">
        <x:f t="shared" si="212"/>
        <x:v>0</x:v>
      </x:c>
      <x:c r="DK85" s="1108" t="str">
        <x:f t="shared" si="148"/>
        <x:v/>
      </x:c>
      <x:c r="DL85" s="1108" t="str">
        <x:f t="shared" si="149"/>
        <x:v/>
      </x:c>
      <x:c r="DM85" s="1108" t="str">
        <x:f t="shared" si="150"/>
        <x:v/>
      </x:c>
      <x:c r="DN85" s="1108" t="str">
        <x:f t="shared" si="151"/>
        <x:v/>
      </x:c>
      <x:c r="DO85" s="1125" t="str">
        <x:f t="shared" si="152"/>
        <x:v>ERR</x:v>
      </x:c>
      <x:c r="DP85" s="1125" t="str">
        <x:f t="shared" si="153"/>
        <x:v>ERR</x:v>
      </x:c>
      <x:c r="DQ85" s="1108" t="str">
        <x:f t="shared" si="154"/>
        <x:v/>
      </x:c>
      <x:c r="DR85" s="1108" t="str">
        <x:f t="shared" si="154"/>
        <x:v/>
      </x:c>
      <x:c r="DS85" s="1108" t="str">
        <x:f t="shared" si="155"/>
        <x:v/>
      </x:c>
      <x:c r="DT85" s="1108" t="str">
        <x:f t="shared" si="156"/>
        <x:v/>
      </x:c>
      <x:c r="DU85" s="1108" t="str">
        <x:f t="shared" si="157"/>
        <x:v/>
      </x:c>
      <x:c r="DV85" s="1125" t="str">
        <x:f t="shared" si="158"/>
        <x:v>ERR</x:v>
      </x:c>
      <x:c r="DW85" s="1125" t="str">
        <x:f t="shared" si="159"/>
        <x:v>ERR</x:v>
      </x:c>
      <x:c r="DX85" s="1108" t="str">
        <x:f t="shared" si="232"/>
        <x:v/>
      </x:c>
      <x:c r="DY85" s="1108" t="str">
        <x:f t="shared" si="232"/>
        <x:v/>
      </x:c>
      <x:c r="DZ85" s="1108" t="str">
        <x:f>IF(CG85="","",IF((CD85-CG85)/COS(CU85)-FB85&lt;=-0.0625,CEILING((CD85-CG85)/COS(CU85)-FB85+0.0625,-0.125),IF((CD85-CG85)/COS(CU85)-FB85&gt;=0.0625,CEILING((CD85-CG85)/COS(CU85)-FB85-0.0625,0.125),0)))</x:f>
        <x:v/>
      </x:c>
      <x:c r="EA85" s="1108" t="str">
        <x:f>IF(CP85="","",IF((CM85-CP85)/COS(CU85)-FC85&lt;=-0.0625,CEILING((CM85-CP85)/COS(CU85)-FC85+0.0625,-0.125),IF((CM85-CP85)/COS(CU85)-FC85&gt;=0.0625,CEILING((CM85-CP85)/COS(CU85)-FC85-0.0625,0.125),0)))</x:f>
        <x:v/>
      </x:c>
      <x:c r="EB85" s="1111" t="str">
        <x:f t="shared" si="163"/>
        <x:v/>
      </x:c>
      <x:c r="EC85" s="1112" t="str">
        <x:f t="shared" si="164"/>
        <x:v/>
      </x:c>
      <x:c r="ED85" s="1111" t="str">
        <x:f t="shared" si="165"/>
        <x:v/>
      </x:c>
      <x:c r="EE85" s="1111" t="str">
        <x:f t="shared" si="166"/>
        <x:v/>
      </x:c>
      <x:c r="EF85" s="1111" t="str">
        <x:f t="shared" si="167"/>
        <x:v/>
      </x:c>
      <x:c r="EG85" s="1111" t="str">
        <x:f t="shared" si="168"/>
        <x:v/>
      </x:c>
      <x:c r="EH85" s="1111" t="str">
        <x:f t="shared" si="169"/>
        <x:v/>
      </x:c>
      <x:c r="EI85" s="1111" t="str">
        <x:f t="shared" si="170"/>
        <x:v/>
      </x:c>
      <x:c r="EJ85" s="1111" t="str">
        <x:f t="shared" si="171"/>
        <x:v/>
      </x:c>
      <x:c r="EK85" s="1109">
        <x:f t="shared" si="172"/>
        <x:v>0</x:v>
      </x:c>
      <x:c r="EL85" s="1109">
        <x:f t="shared" si="173"/>
        <x:v>0</x:v>
      </x:c>
      <x:c r="EM85" s="1109">
        <x:f t="shared" si="174"/>
        <x:v>0</x:v>
      </x:c>
      <x:c r="EN85" s="1109" t="str">
        <x:f t="shared" si="175"/>
        <x:v/>
      </x:c>
      <x:c r="EO85" s="1108" t="str">
        <x:f t="shared" si="176"/>
        <x:v/>
      </x:c>
      <x:c r="EP85" s="1109">
        <x:f t="shared" si="177"/>
        <x:v>0</x:v>
      </x:c>
      <x:c r="EQ85" s="1109">
        <x:f t="shared" si="178"/>
        <x:v>0</x:v>
      </x:c>
      <x:c r="ER85" s="1109">
        <x:f t="shared" si="179"/>
        <x:v>0</x:v>
      </x:c>
      <x:c r="ES85" s="1109" t="str">
        <x:f t="shared" si="180"/>
        <x:v/>
      </x:c>
      <x:c r="ET85" s="1108" t="str">
        <x:f t="shared" si="181"/>
        <x:v/>
      </x:c>
      <x:c r="EU85" s="1108">
        <x:f t="shared" si="182"/>
        <x:v>0</x:v>
      </x:c>
      <x:c r="EV85" s="1111" t="e">
        <x:f>MIN(IF(CH45&gt;0,CH45/2,MAX(CI45/2,CJ85)),IF(CI45&gt;0,CI45/2,MAX(CH45/2,CJ85)),IF(CJ85&gt;0,CJ85,MAX(CI45/2,CH45/2)))/COS(CY85)+CD85-DC85</x:f>
        <x:v>#VALUE!</x:v>
      </x:c>
      <x:c r="EW85" s="1111" t="e">
        <x:f>MIN(IF(CO45&gt;0,CO45/2,MAX(CP45/2,CS85)),IF(CP45&gt;0,CP45/2,MAX(CO45/2,CS85)),IF(CS85&gt;0,CS85,MAX(CP45/2,CO45/2)))/COS(DE85)+CM85-DI85</x:f>
        <x:v>#VALUE!</x:v>
      </x:c>
      <x:c r="EX85" s="1113" t="str">
        <x:f t="shared" si="213"/>
        <x:v/>
      </x:c>
      <x:c r="EY85" s="1114" t="e">
        <x:f t="shared" si="185"/>
        <x:v>#DIV/0!</x:v>
      </x:c>
      <x:c r="EZ85" s="1219" t="e">
        <x:f t="shared" si="186"/>
        <x:v>#DIV/0!</x:v>
      </x:c>
      <x:c r="FA85" s="1220" t="e">
        <x:f t="shared" si="187"/>
        <x:v>#DIV/0!</x:v>
      </x:c>
      <x:c r="FB85" s="1115" t="str">
        <x:f t="shared" si="188"/>
        <x:v/>
      </x:c>
      <x:c r="FC85" s="1116" t="str">
        <x:f t="shared" si="189"/>
        <x:v/>
      </x:c>
      <x:c r="FD85" s="1126">
        <x:f t="shared" si="190"/>
        <x:v>0</x:v>
      </x:c>
      <x:c r="FE85" s="1066">
        <x:f t="shared" si="191"/>
        <x:v>0</x:v>
      </x:c>
      <x:c r="FF85" s="969" t="b">
        <x:f t="shared" si="192"/>
        <x:v>0</x:v>
      </x:c>
      <x:c r="FG85" s="969" t="b">
        <x:f t="shared" si="193"/>
        <x:v>0</x:v>
      </x:c>
      <x:c r="FH85" s="969" t="b">
        <x:f t="shared" si="194"/>
        <x:v>0</x:v>
      </x:c>
      <x:c r="FI85" s="969" t="b">
        <x:f t="shared" si="195"/>
        <x:v>0</x:v>
      </x:c>
      <x:c r="FJ85" s="1161" t="str">
        <x:f t="shared" si="214"/>
        <x:v/>
      </x:c>
      <x:c r="FK85" s="1163" t="str">
        <x:f t="shared" si="215"/>
        <x:v/>
      </x:c>
      <x:c r="FL85" s="395" t="e">
        <x:f t="shared" si="216"/>
        <x:v>#N/A</x:v>
      </x:c>
      <x:c r="FM85" s="396" t="str">
        <x:f t="shared" si="196"/>
        <x:v/>
      </x:c>
      <x:c r="FN85" s="346" t="str">
        <x:f t="shared" ca="1" si="217"/>
        <x:v/>
      </x:c>
      <x:c r="FO85" s="347" t="str">
        <x:f t="shared" ca="1" si="218"/>
        <x:v/>
      </x:c>
      <x:c r="FP85" s="348" t="str">
        <x:f t="shared" ca="1" si="219"/>
        <x:v/>
      </x:c>
      <x:c r="FQ85" s="348" t="str">
        <x:f t="shared" ca="1" si="220"/>
        <x:v/>
      </x:c>
      <x:c r="FR85" s="397">
        <x:f t="shared" ca="1" si="221"/>
        <x:v>0</x:v>
      </x:c>
      <x:c r="FS85" s="398">
        <x:f t="shared" ca="1" si="222"/>
        <x:v>0</x:v>
      </x:c>
      <x:c r="FT85" s="346" t="str">
        <x:f t="shared" ca="1" si="223"/>
        <x:v/>
      </x:c>
      <x:c r="FU85" s="349" t="str">
        <x:f t="shared" ca="1" si="224"/>
        <x:v/>
      </x:c>
      <x:c r="FV85" s="399" t="str">
        <x:f t="shared" ca="1" si="197"/>
        <x:v/>
      </x:c>
      <x:c r="FW85" s="350" t="str">
        <x:f t="shared" ca="1" si="225"/>
        <x:v/>
      </x:c>
      <x:c r="FX85" s="350" t="str">
        <x:f t="shared" ca="1" si="226"/>
        <x:v/>
      </x:c>
      <x:c r="FY85" s="350" t="str">
        <x:f t="shared" ca="1" si="227"/>
        <x:v/>
      </x:c>
      <x:c r="FZ85" s="350" t="str">
        <x:f t="shared" ca="1" si="228"/>
        <x:v/>
      </x:c>
      <x:c r="GA85" s="350" t="str">
        <x:f t="shared" ca="1" si="229"/>
        <x:v/>
      </x:c>
      <x:c r="GB85" s="351" t="str">
        <x:f ca="1">IF(FY85="","",2+SUM(FO85:OFFSET(FO85,(FU85-1)*-1,0)))</x:f>
        <x:v/>
      </x:c>
      <x:c r="GC85" s="400" t="e">
        <x:f t="shared" si="230"/>
        <x:v>#N/A</x:v>
      </x:c>
      <x:c r="GD85" s="401" t="str">
        <x:f t="shared" si="198"/>
        <x:v/>
      </x:c>
      <x:c r="GE85" s="402" t="str">
        <x:f t="shared" si="199"/>
        <x:v/>
      </x:c>
      <x:c r="GF85" s="352" t="str">
        <x:f t="shared" si="200"/>
        <x:v/>
      </x:c>
      <x:c r="GG85" s="353" t="str">
        <x:f t="shared" si="201"/>
        <x:v/>
      </x:c>
      <x:c r="GH85" s="353" t="str">
        <x:f t="shared" si="202"/>
        <x:v/>
      </x:c>
      <x:c r="GI85" s="354" t="str">
        <x:f t="shared" si="203"/>
        <x:v/>
      </x:c>
      <x:c r="GJ85" s="647">
        <x:f ca="1">IF(FY85="",FM46,(FY85-(FQ85+VLOOKUP(FK85,$CB$54:$EU$85,12,FALSE)-VLOOKUP(FK85,$CB$54:$EU$85,34,FALSE))/COS(VLOOKUP(FK85,$CB$54:$EU$85,72,FALSE)))/2)</x:f>
        <x:v>0</x:v>
      </x:c>
      <x:c r="GK85" s="1131" t="str">
        <x:f t="shared" ca="1" si="231"/>
        <x:v/>
      </x:c>
    </x:row>
    <x:row r="86" spans="1:193" ht="15" hidden="1" customHeight="1" x14ac:dyDescent="0.2">
      <x:c r="Z86" s="1464"/>
      <x:c r="AA86" s="1204"/>
      <x:c r="AB86" s="1205"/>
    </x:row>
    <x:row r="87" spans="1:193" ht="15" hidden="1" customHeight="1" x14ac:dyDescent="0.25">
      <x:c r="A87" s="1583" t="str">
        <x:f>IF(ISBLANK(CB87),"",CB87)</x:f>
        <x:v/>
      </x:c>
      <x:c r="B87" s="1584" t="str">
        <x:f>IF(ISBLANK(CC87),"",CC87)</x:f>
        <x:v/>
      </x:c>
      <x:c r="C87" s="1585" t="str">
        <x:f>IF(ISBLANK(CD87),"",CD87)</x:f>
        <x:v/>
      </x:c>
      <x:c r="D87" s="1586" t="str">
        <x:f>IF(CV127="","",TRUNC(CV127/12))</x:f>
        <x:v/>
      </x:c>
      <x:c r="E87" s="1587" t="str">
        <x:f>IF(CV127="","",CV127-(D87*12))</x:f>
        <x:v/>
      </x:c>
      <x:c r="F87" s="1588" t="str">
        <x:f>IF(ISBLANK(CY87),"",CY87)</x:f>
        <x:v/>
      </x:c>
      <x:c r="G87" s="1589" t="str">
        <x:f>IF(DD127=0,"",TRUNC(DD127/12))</x:f>
        <x:v/>
      </x:c>
      <x:c r="H87" s="1590" t="str">
        <x:f>IF(DD127=0,"",DD127-(G87*12))</x:f>
        <x:v/>
      </x:c>
      <x:c r="I87" s="1591" t="str">
        <x:f>IF(DD127=0,"",CE127)</x:f>
        <x:v/>
      </x:c>
      <x:c r="J87" s="1586" t="str">
        <x:f>IF(DJ127=0,"",TRUNC(DJ127/12))</x:f>
        <x:v/>
      </x:c>
      <x:c r="K87" s="1590" t="str">
        <x:f>IF(DJ127=0,"",DJ127-(J87*12))</x:f>
        <x:v/>
      </x:c>
      <x:c r="L87" s="1592" t="str">
        <x:f>IF(DJ127=0,"",CN127)</x:f>
        <x:v/>
      </x:c>
      <x:c r="M87" s="1593" t="str">
        <x:f>IF(CW127="","",CW127)</x:f>
        <x:v/>
      </x:c>
      <x:c r="N87" s="1594" t="str">
        <x:f>IF(CX127="","",CX127)</x:f>
        <x:v/>
      </x:c>
      <x:c r="O87" s="1589" t="str">
        <x:f>IF(DZ127="","",IF(AND(DZ127&gt;-12,DZ127&lt;0),-0.000001,TRUNC(DZ127/12)))</x:f>
        <x:v/>
      </x:c>
      <x:c r="P87" s="1590" t="str">
        <x:f>IF(DZ127="","",IF(AND(DZ127&lt;0,DZ127-(O87*12)=0),-0.00001,DZ127-(O87*12)))</x:f>
        <x:v/>
      </x:c>
      <x:c r="Q87" s="1586" t="str">
        <x:f>IF(EA127="","",IF(AND(EA127&gt;-12,EA127&lt;0),-0.000001,TRUNC(EA127/12)))</x:f>
        <x:v/>
      </x:c>
      <x:c r="R87" s="1587" t="str">
        <x:f>IF(EA127="","",IF(AND(EA127&lt;0,EA127-(Q87*12)=0),-0.00001,EA127-(Q87*12)))</x:f>
        <x:v/>
      </x:c>
      <x:c r="S87" s="1595" t="str">
        <x:f>IF(DR127="","",IF(DR127="ERR",TRUNC(DQ127/12),TRUNC(DR127/12)))</x:f>
        <x:v/>
      </x:c>
      <x:c r="T87" s="1590" t="str">
        <x:f>IF(DR127="","",IF(DR127="ERR",DQ127-(S87*12),DR127-(S87*12)))</x:f>
        <x:v/>
      </x:c>
      <x:c r="U87" s="1586" t="str">
        <x:f>IF(DY127="","",IF(DY127="ERR",TRUNC(DX127/12),TRUNC(DY127/12)))</x:f>
        <x:v/>
      </x:c>
      <x:c r="V87" s="1590" t="str">
        <x:f>IF(DY127="","",IF(DY127="ERR",DX127-(U87*12),DY127-(U87*12)))</x:f>
        <x:v/>
      </x:c>
      <x:c r="W87" s="1594">
        <x:f>IF(EC127="",0,EC127)</x:f>
        <x:v>0</x:v>
      </x:c>
      <x:c r="X87" s="1596" t="str">
        <x:f>IF(EN127="","",EN127)</x:f>
        <x:v/>
      </x:c>
      <x:c r="Y87" s="1597" t="str">
        <x:f>IF(ES127="","",ES127)</x:f>
        <x:v/>
      </x:c>
      <x:c r="Z87" s="1604" t="str">
        <x:f>CONCATENATE(IF(CW87="","",CONCATENATE("[",SUBSTITUTE(CW87," ",""),"] ")),IF(CV87="","",CONCATENATE("(",SUBSTITUTE(CV87," ",""),")")))</x:f>
        <x:v/>
      </x:c>
      <x:c r="AA87" s="1605" t="str">
        <x:f>IF(ISBLANK(CX87),"",CX87)</x:f>
        <x:v/>
      </x:c>
      <x:c r="AB87" s="1264" t="str">
        <x:f>IF(ISBLANK(DH87),"",DH87)</x:f>
        <x:v/>
      </x:c>
      <x:c r="AC87" s="1260" t="str">
        <x:f>IF(ISBLANK(DI87),"",DI87)</x:f>
        <x:v/>
      </x:c>
      <x:c r="AD87" s="1261" t="str">
        <x:f>IF(FV127="","",TRUNC(FV127/12))</x:f>
        <x:v/>
      </x:c>
      <x:c r="AE87" s="1262" t="str">
        <x:f>IF(FV127="","",FV127-(AD87*12))</x:f>
        <x:v/>
      </x:c>
      <x:c r="AF87" s="1260" t="str">
        <x:f>IF(FO127="","",FO127)</x:f>
        <x:v/>
      </x:c>
      <x:c r="AG87" s="1261" t="str">
        <x:f>IF(FX127="","",TRUNC(FX127/12))</x:f>
        <x:v/>
      </x:c>
      <x:c r="AH87" s="1262" t="str">
        <x:f>IF(FX127="","",FX127-(AG87*12))</x:f>
        <x:v/>
      </x:c>
      <x:c r="AI87" s="1261" t="str">
        <x:f>IF(FZ127="","",TRUNC(FZ127/12))</x:f>
        <x:v/>
      </x:c>
      <x:c r="AJ87" s="1262" t="str">
        <x:f>IF(FZ127="","",FZ127-(AI87*12))</x:f>
        <x:v/>
      </x:c>
      <x:c r="AK87" s="1599" t="str">
        <x:f>IF(ISBLANK(DO87),"",DO87)</x:f>
        <x:v/>
      </x:c>
      <x:c r="AL87" s="1600" t="str">
        <x:f>IF(ISBLANK(DP87),"",DP87)</x:f>
        <x:v/>
      </x:c>
      <x:c r="AM87" s="1601" t="str">
        <x:f>IF(ISBLANK(DQ87),"",DQ87)</x:f>
        <x:v/>
      </x:c>
      <x:c r="AN87" s="1260" t="str">
        <x:f>IF(ISBLANK(DR87),"",DR87)</x:f>
        <x:v/>
      </x:c>
      <x:c r="AO87" s="1329" t="str">
        <x:f>IF(ISBLANK(DS87),"",DS87)</x:f>
        <x:v/>
      </x:c>
      <x:c r="AP87" s="1327" t="str">
        <x:f>IF(OR(GD127="",GD127=0),"",GD127)</x:f>
        <x:v/>
      </x:c>
      <x:c r="AQ87" s="1602" t="str">
        <x:f>IF(OR(GE127="",GE127=0),"",GE127)</x:f>
        <x:v/>
      </x:c>
      <x:c r="AR87" s="1263" t="str">
        <x:f>IF(GF127="","",IF(ISTEXT(GF127),"P",TRUNC(GF127/12)))</x:f>
        <x:v/>
      </x:c>
      <x:c r="AS87" s="1262" t="str">
        <x:f>IF(GF127="","",IF(AR87="P",GF127,GF127-(AR87*12)))</x:f>
        <x:v/>
      </x:c>
      <x:c r="AT87" s="1603" t="str">
        <x:f>IF(ISBLANK(DX87),"",DX87)</x:f>
        <x:v/>
      </x:c>
      <x:c r="AU87" s="1410" t="str">
        <x:f>IF(ISBLANK(DY87),"",DY87)</x:f>
        <x:v/>
      </x:c>
      <x:c r="AV87" s="1328" t="str">
        <x:f>IF(GG127="","",IF(ISTEXT(GG127),"P",TRUNC(GG127/12)))</x:f>
        <x:v/>
      </x:c>
      <x:c r="AW87" s="1262" t="str">
        <x:f>IF(GG127="","",IF(AV87="P",GG127,GG127-(AV87*12)))</x:f>
        <x:v/>
      </x:c>
      <x:c r="AX87" s="1603" t="str">
        <x:f>IF(ISBLANK(EB87),"",EB87)</x:f>
        <x:v/>
      </x:c>
      <x:c r="AY87" s="1410" t="str">
        <x:f>IF(ISBLANK(EC87),"",EC87)</x:f>
        <x:v/>
      </x:c>
      <x:c r="AZ87" s="1328" t="str">
        <x:f>IF(GH127="","",IF(ISTEXT(GH127),"P",TRUNC(GH127/12)))</x:f>
        <x:v/>
      </x:c>
      <x:c r="BA87" s="1262" t="str">
        <x:f>IF(GH127="","",IF(AZ87="P",GH127,GH127-(AZ87*12)))</x:f>
        <x:v/>
      </x:c>
      <x:c r="BB87" s="1603" t="str">
        <x:f>IF(ISBLANK(EF87),"",EF87)</x:f>
        <x:v/>
      </x:c>
      <x:c r="BC87" s="1410" t="str">
        <x:f>IF(ISBLANK(EG87),"",EG87)</x:f>
        <x:v/>
      </x:c>
      <x:c r="BD87" s="1328" t="str">
        <x:f>IF(GI127="","",IF(ISTEXT(GI127),"P",TRUNC(GI127/12)))</x:f>
        <x:v/>
      </x:c>
      <x:c r="BE87" s="1262" t="str">
        <x:f>IF(GI127="","",IF(BD87="P",GI127,GI127-(BD87*12)))</x:f>
        <x:v/>
      </x:c>
      <x:c r="BF87" s="1603" t="str">
        <x:f>IF(ISBLANK(EJ87),"",EJ87)</x:f>
        <x:v/>
      </x:c>
      <x:c r="BG87" s="1410" t="str">
        <x:f>IF(ISBLANK(EK87),"",EK87)</x:f>
        <x:v/>
      </x:c>
    </x:row>
    <x:row r="88" spans="1:193" ht="12.75" hidden="1" customHeight="1" x14ac:dyDescent="0.2">
      <x:c r="Z88" s="1465"/>
    </x:row>
    <x:row r="89" spans="1:193" ht="12.75" customHeight="1" x14ac:dyDescent="0.2">
      <x:c r="B89" s="649" t="s">
        <x:v>762</x:v>
      </x:c>
    </x:row>
  </x:sheetData>
  <x:sheetProtection algorithmName="SHA-512" hashValue="jjbzGaaJzDSsmXpPIn09v3XXC4gEqeTFwJzpp2nIPi2nA89UiMjsmeiPV1oSykayELf3LZuowagAY7XAAGX+9A==" saltValue="n6nRk0ulhwXYpm8vptO/MA==" spinCount="100000" sheet="1" objects="1" scenarios="1" selectLockedCells="1"/>
  <x:mergeCells count="315">
    <x:mergeCell ref="FG3:FI3"/>
    <x:mergeCell ref="Q4:T4"/>
    <x:mergeCell ref="W4:Y4"/>
    <x:mergeCell ref="AU4:AX4"/>
    <x:mergeCell ref="BA4:BC4"/>
    <x:mergeCell ref="BD4:BF4"/>
    <x:mergeCell ref="DA4:DD4"/>
    <x:mergeCell ref="Q1:T1"/>
    <x:mergeCell ref="W1:Y1"/>
    <x:mergeCell ref="AU1:AX1"/>
    <x:mergeCell ref="BA1:BC1"/>
    <x:mergeCell ref="BD1:BF1"/>
    <x:mergeCell ref="Q2:T3"/>
    <x:mergeCell ref="W2:Y2"/>
    <x:mergeCell ref="AU2:AX3"/>
    <x:mergeCell ref="BA2:BC2"/>
    <x:mergeCell ref="BD2:BF2"/>
    <x:mergeCell ref="A5:L5"/>
    <x:mergeCell ref="AB5:AQ5"/>
    <x:mergeCell ref="M6:T6"/>
    <x:mergeCell ref="V6:W6"/>
    <x:mergeCell ref="X6:Y6"/>
    <x:mergeCell ref="AZ6:BA6"/>
    <x:mergeCell ref="W3:Y3"/>
    <x:mergeCell ref="BA3:BC3"/>
    <x:mergeCell ref="BD3:BF3"/>
    <x:mergeCell ref="BB6:BD6"/>
    <x:mergeCell ref="DH6:EK8"/>
    <x:mergeCell ref="K7:L7"/>
    <x:mergeCell ref="M7:S7"/>
    <x:mergeCell ref="V7:W7"/>
    <x:mergeCell ref="AZ7:BA7"/>
    <x:mergeCell ref="CB7:CY9"/>
    <x:mergeCell ref="A8:AA8"/>
    <x:mergeCell ref="AB8:BG8"/>
    <x:mergeCell ref="A9:B9"/>
    <x:mergeCell ref="AX10:BA10"/>
    <x:mergeCell ref="BB10:BD10"/>
    <x:mergeCell ref="BE10:BG10"/>
    <x:mergeCell ref="CG10:CM11"/>
    <x:mergeCell ref="C9:P9"/>
    <x:mergeCell ref="Q9:S9"/>
    <x:mergeCell ref="T9:AA9"/>
    <x:mergeCell ref="AB9:AD9"/>
    <x:mergeCell ref="AE9:AT9"/>
    <x:mergeCell ref="AU9:AW9"/>
    <x:mergeCell ref="CN10:CT11"/>
    <x:mergeCell ref="ER10:ES12"/>
    <x:mergeCell ref="ET10:ET13"/>
    <x:mergeCell ref="EU10:EU13"/>
    <x:mergeCell ref="GA10:GJ11"/>
    <x:mergeCell ref="A11:AA11"/>
    <x:mergeCell ref="A12:A13"/>
    <x:mergeCell ref="B12:B13"/>
    <x:mergeCell ref="C12:C13"/>
    <x:mergeCell ref="D12:E13"/>
    <x:mergeCell ref="DV9:EK11"/>
    <x:mergeCell ref="A10:B10"/>
    <x:mergeCell ref="C10:P10"/>
    <x:mergeCell ref="Q10:S10"/>
    <x:mergeCell ref="T10:W10"/>
    <x:mergeCell ref="X10:Y10"/>
    <x:mergeCell ref="Z10:AA10"/>
    <x:mergeCell ref="AB10:AD10"/>
    <x:mergeCell ref="AE10:AT10"/>
    <x:mergeCell ref="AU10:AW10"/>
    <x:mergeCell ref="AX9:BG9"/>
    <x:mergeCell ref="CZ9:DA11"/>
    <x:mergeCell ref="DH9:DH13"/>
    <x:mergeCell ref="DI9:DN11"/>
    <x:mergeCell ref="S12:W12"/>
    <x:mergeCell ref="X12:Y12"/>
    <x:mergeCell ref="AA12:AA13"/>
    <x:mergeCell ref="AB12:AB13"/>
    <x:mergeCell ref="AC12:AC13"/>
    <x:mergeCell ref="AD12:AE13"/>
    <x:mergeCell ref="F12:F13"/>
    <x:mergeCell ref="G12:I12"/>
    <x:mergeCell ref="J12:L12"/>
    <x:mergeCell ref="M12:N12"/>
    <x:mergeCell ref="O12:P13"/>
    <x:mergeCell ref="Q12:R13"/>
    <x:mergeCell ref="CB12:CB13"/>
    <x:mergeCell ref="CC12:CC13"/>
    <x:mergeCell ref="CD12:CD13"/>
    <x:mergeCell ref="CE12:CF13"/>
    <x:mergeCell ref="CG12:CG13"/>
    <x:mergeCell ref="CH12:CI13"/>
    <x:mergeCell ref="AF12:AH12"/>
    <x:mergeCell ref="AI12:AJ13"/>
    <x:mergeCell ref="AK12:AK13"/>
    <x:mergeCell ref="AL12:AQ12"/>
    <x:mergeCell ref="AR12:BG12"/>
    <x:mergeCell ref="BW12:BZ12"/>
    <x:mergeCell ref="AV13:AW13"/>
    <x:mergeCell ref="AZ13:BA13"/>
    <x:mergeCell ref="BD13:BE13"/>
    <x:mergeCell ref="CS12:CS13"/>
    <x:mergeCell ref="CT12:CT13"/>
    <x:mergeCell ref="CU12:CU13"/>
    <x:mergeCell ref="CV12:CW12"/>
    <x:mergeCell ref="CX12:CX13"/>
    <x:mergeCell ref="CY12:CY13"/>
    <x:mergeCell ref="CJ12:CK13"/>
    <x:mergeCell ref="CL12:CL13"/>
    <x:mergeCell ref="CM12:CM13"/>
    <x:mergeCell ref="CN12:CN13"/>
    <x:mergeCell ref="CO12:CP13"/>
    <x:mergeCell ref="CQ12:CR13"/>
    <x:mergeCell ref="DL12:DL13"/>
    <x:mergeCell ref="DM12:DN13"/>
    <x:mergeCell ref="DP12:DP13"/>
    <x:mergeCell ref="DQ12:DQ13"/>
    <x:mergeCell ref="DR12:DR13"/>
    <x:mergeCell ref="DS12:DS13"/>
    <x:mergeCell ref="CZ12:CZ13"/>
    <x:mergeCell ref="DA12:DA13"/>
    <x:mergeCell ref="DB12:DC12"/>
    <x:mergeCell ref="DD12:DE12"/>
    <x:mergeCell ref="DI12:DI13"/>
    <x:mergeCell ref="DJ12:DK13"/>
    <x:mergeCell ref="DO9:DO13"/>
    <x:mergeCell ref="DP9:DU11"/>
    <x:mergeCell ref="EC12:EC13"/>
    <x:mergeCell ref="ED12:EE12"/>
    <x:mergeCell ref="EF12:EF13"/>
    <x:mergeCell ref="EG12:EG13"/>
    <x:mergeCell ref="EH12:EI12"/>
    <x:mergeCell ref="EJ12:EJ13"/>
    <x:mergeCell ref="DT12:DU12"/>
    <x:mergeCell ref="DV12:DW12"/>
    <x:mergeCell ref="DX12:DX13"/>
    <x:mergeCell ref="DY12:DY13"/>
    <x:mergeCell ref="DZ12:EA12"/>
    <x:mergeCell ref="EB12:EB13"/>
    <x:mergeCell ref="GE12:GE13"/>
    <x:mergeCell ref="GF12:GF13"/>
    <x:mergeCell ref="GG12:GH12"/>
    <x:mergeCell ref="GI12:GJ12"/>
    <x:mergeCell ref="GK12:GK13"/>
    <x:mergeCell ref="GL12:GL13"/>
    <x:mergeCell ref="EK12:EK13"/>
    <x:mergeCell ref="EL12:EN12"/>
    <x:mergeCell ref="EO12:EO13"/>
    <x:mergeCell ref="EP12:EQ12"/>
    <x:mergeCell ref="GA12:GB12"/>
    <x:mergeCell ref="GC12:GD12"/>
    <x:mergeCell ref="HG12:HG13"/>
    <x:mergeCell ref="HH12:HH13"/>
    <x:mergeCell ref="HI12:HI13"/>
    <x:mergeCell ref="HJ12:HJ13"/>
    <x:mergeCell ref="HK12:HK13"/>
    <x:mergeCell ref="HL12:HL13"/>
    <x:mergeCell ref="GM12:GM13"/>
    <x:mergeCell ref="HA12:HA13"/>
    <x:mergeCell ref="HB12:HB13"/>
    <x:mergeCell ref="HC12:HC13"/>
    <x:mergeCell ref="HD12:HE13"/>
    <x:mergeCell ref="HF12:HF13"/>
    <x:mergeCell ref="HS12:HS13"/>
    <x:mergeCell ref="HT12:HT13"/>
    <x:mergeCell ref="HU12:HU13"/>
    <x:mergeCell ref="HV12:HV13"/>
    <x:mergeCell ref="HW12:HW13"/>
    <x:mergeCell ref="HX12:HX13"/>
    <x:mergeCell ref="HM12:HM13"/>
    <x:mergeCell ref="HN12:HN13"/>
    <x:mergeCell ref="HO12:HO13"/>
    <x:mergeCell ref="HP12:HP13"/>
    <x:mergeCell ref="HQ12:HQ13"/>
    <x:mergeCell ref="HR12:HR13"/>
    <x:mergeCell ref="IE12:IE13"/>
    <x:mergeCell ref="IF12:IF13"/>
    <x:mergeCell ref="IG12:IG13"/>
    <x:mergeCell ref="IH12:IH13"/>
    <x:mergeCell ref="II12:II13"/>
    <x:mergeCell ref="IJ12:IJ13"/>
    <x:mergeCell ref="HY12:HY13"/>
    <x:mergeCell ref="HZ12:HZ13"/>
    <x:mergeCell ref="IA12:IA13"/>
    <x:mergeCell ref="IB12:IB13"/>
    <x:mergeCell ref="IC12:IC13"/>
    <x:mergeCell ref="ID12:ID13"/>
    <x:mergeCell ref="IS12:IS13"/>
    <x:mergeCell ref="IT12:IT13"/>
    <x:mergeCell ref="IU12:IU13"/>
    <x:mergeCell ref="IV12:IV13"/>
    <x:mergeCell ref="IK12:IK13"/>
    <x:mergeCell ref="IL12:IL13"/>
    <x:mergeCell ref="IM12:IM13"/>
    <x:mergeCell ref="IN12:IN13"/>
    <x:mergeCell ref="IO12:IO13"/>
    <x:mergeCell ref="IP12:IP13"/>
    <x:mergeCell ref="JI12:JI13"/>
    <x:mergeCell ref="JJ12:JJ13"/>
    <x:mergeCell ref="JK12:JK13"/>
    <x:mergeCell ref="JL12:JL13"/>
    <x:mergeCell ref="G13:H13"/>
    <x:mergeCell ref="J13:K13"/>
    <x:mergeCell ref="S13:T13"/>
    <x:mergeCell ref="U13:V13"/>
    <x:mergeCell ref="AG13:AH13"/>
    <x:mergeCell ref="AR13:AS13"/>
    <x:mergeCell ref="JC12:JC13"/>
    <x:mergeCell ref="JD12:JD13"/>
    <x:mergeCell ref="JE12:JE13"/>
    <x:mergeCell ref="JF12:JF13"/>
    <x:mergeCell ref="JG12:JG13"/>
    <x:mergeCell ref="JH12:JH13"/>
    <x:mergeCell ref="IW12:IW13"/>
    <x:mergeCell ref="IX12:IX13"/>
    <x:mergeCell ref="IY12:IY13"/>
    <x:mergeCell ref="IZ12:IZ13"/>
    <x:mergeCell ref="JA12:JA13"/>
    <x:mergeCell ref="JB12:JB13"/>
    <x:mergeCell ref="IQ12:IQ13"/>
    <x:mergeCell ref="IR12:IR13"/>
    <x:mergeCell ref="FN50:FS51"/>
    <x:mergeCell ref="FT50:FZ51"/>
    <x:mergeCell ref="CC51:CK51"/>
    <x:mergeCell ref="CL51:CT51"/>
    <x:mergeCell ref="EX51:EX53"/>
    <x:mergeCell ref="EY51:EY53"/>
    <x:mergeCell ref="FF51:FI51"/>
    <x:mergeCell ref="CH52:CH53"/>
    <x:mergeCell ref="CI52:CI53"/>
    <x:mergeCell ref="CJ52:CJ53"/>
    <x:mergeCell ref="EP50:EP53"/>
    <x:mergeCell ref="EQ50:EQ53"/>
    <x:mergeCell ref="ER50:ER53"/>
    <x:mergeCell ref="ES50:ES53"/>
    <x:mergeCell ref="ET50:ET53"/>
    <x:mergeCell ref="EU50:EU53"/>
    <x:mergeCell ref="EJ50:EJ53"/>
    <x:mergeCell ref="EK50:EK53"/>
    <x:mergeCell ref="EL50:EL53"/>
    <x:mergeCell ref="EM50:EM53"/>
    <x:mergeCell ref="EN50:EN53"/>
    <x:mergeCell ref="EO50:EO53"/>
    <x:mergeCell ref="ED50:ED53"/>
    <x:mergeCell ref="EE50:EE53"/>
    <x:mergeCell ref="CK52:CK53"/>
    <x:mergeCell ref="CL52:CL53"/>
    <x:mergeCell ref="CM52:CM53"/>
    <x:mergeCell ref="CN52:CN53"/>
    <x:mergeCell ref="CO52:CO53"/>
    <x:mergeCell ref="CP52:CP53"/>
    <x:mergeCell ref="CB52:CB53"/>
    <x:mergeCell ref="CC52:CC53"/>
    <x:mergeCell ref="CD52:CD53"/>
    <x:mergeCell ref="CE52:CE53"/>
    <x:mergeCell ref="CF52:CF53"/>
    <x:mergeCell ref="CG52:CG53"/>
    <x:mergeCell ref="CW52:CW53"/>
    <x:mergeCell ref="CX52:CX53"/>
    <x:mergeCell ref="CY52:CY53"/>
    <x:mergeCell ref="CZ52:DA52"/>
    <x:mergeCell ref="DB52:DB53"/>
    <x:mergeCell ref="DC52:DC53"/>
    <x:mergeCell ref="CQ52:CQ53"/>
    <x:mergeCell ref="CR52:CR53"/>
    <x:mergeCell ref="CS52:CS53"/>
    <x:mergeCell ref="CT52:CT53"/>
    <x:mergeCell ref="CU52:CU53"/>
    <x:mergeCell ref="CV52:CV53"/>
    <x:mergeCell ref="DK52:DK53"/>
    <x:mergeCell ref="DL52:DL53"/>
    <x:mergeCell ref="DM52:DN52"/>
    <x:mergeCell ref="DO52:DP52"/>
    <x:mergeCell ref="DQ52:DR52"/>
    <x:mergeCell ref="DS52:DS53"/>
    <x:mergeCell ref="DD52:DD53"/>
    <x:mergeCell ref="DE52:DE53"/>
    <x:mergeCell ref="DF52:DG52"/>
    <x:mergeCell ref="DH52:DH53"/>
    <x:mergeCell ref="DI52:DI53"/>
    <x:mergeCell ref="DJ52:DJ53"/>
    <x:mergeCell ref="EC52:EC53"/>
    <x:mergeCell ref="EV52:EV53"/>
    <x:mergeCell ref="EW52:EW53"/>
    <x:mergeCell ref="EZ52:EZ53"/>
    <x:mergeCell ref="FA52:FA53"/>
    <x:mergeCell ref="FB52:FB53"/>
    <x:mergeCell ref="DT52:DU52"/>
    <x:mergeCell ref="DV52:DW52"/>
    <x:mergeCell ref="DX52:DY52"/>
    <x:mergeCell ref="DZ52:DZ53"/>
    <x:mergeCell ref="EA52:EA53"/>
    <x:mergeCell ref="EB52:EB53"/>
    <x:mergeCell ref="EF50:EF53"/>
    <x:mergeCell ref="EG50:EG53"/>
    <x:mergeCell ref="EH50:EH53"/>
    <x:mergeCell ref="EI50:EI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GA52:GA53"/>
    <x:mergeCell ref="GB52:GB53"/>
    <x:mergeCell ref="GC52:GC53"/>
    <x:mergeCell ref="GJ52:GJ53"/>
    <x:mergeCell ref="FU52:FU53"/>
    <x:mergeCell ref="FV52:FV53"/>
    <x:mergeCell ref="FW52:FW53"/>
    <x:mergeCell ref="FX52:FX53"/>
    <x:mergeCell ref="FY52:FY53"/>
    <x:mergeCell ref="FZ52:FZ53"/>
  </x:mergeCells>
  <x:conditionalFormatting sqref="GA48:GB48">
    <x:cfRule type="expression" dxfId="1236" priority="90" stopIfTrue="1">
      <x:formula>GM87&gt;=0.125</x:formula>
    </x:cfRule>
  </x:conditionalFormatting>
  <x:conditionalFormatting sqref="FQ54:FR85">
    <x:cfRule type="cellIs" dxfId="1235" priority="91" stopIfTrue="1" operator="lessThan">
      <x:formula>0</x:formula>
    </x:cfRule>
  </x:conditionalFormatting>
  <x:conditionalFormatting sqref="DI14">
    <x:cfRule type="expression" dxfId="1234" priority="80">
      <x:formula>UPPER(#REF!)="X"</x:formula>
    </x:cfRule>
  </x:conditionalFormatting>
  <x:conditionalFormatting sqref="DJ14">
    <x:cfRule type="expression" dxfId="1233" priority="92">
      <x:formula>OR(UPPER(#REF!)="X",UPPER(#REF!="X"))</x:formula>
    </x:cfRule>
  </x:conditionalFormatting>
  <x:conditionalFormatting sqref="DK14">
    <x:cfRule type="expression" dxfId="1232" priority="93">
      <x:formula>OR(UPPER(#REF!)="X",UPPER(#REF!="X"))</x:formula>
    </x:cfRule>
  </x:conditionalFormatting>
  <x:conditionalFormatting sqref="Q2:T4 AU2:AX4">
    <x:cfRule type="cellIs" dxfId="1231" priority="95" stopIfTrue="1" operator="equal">
      <x:formula>""</x:formula>
    </x:cfRule>
  </x:conditionalFormatting>
  <x:conditionalFormatting sqref="DM54:DM85">
    <x:cfRule type="cellIs" dxfId="1230" priority="89" stopIfTrue="1" operator="notEqual">
      <x:formula>DN54</x:formula>
    </x:cfRule>
  </x:conditionalFormatting>
  <x:conditionalFormatting sqref="DT54:DT85">
    <x:cfRule type="cellIs" dxfId="1229" priority="88" stopIfTrue="1" operator="notEqual">
      <x:formula>DU54</x:formula>
    </x:cfRule>
  </x:conditionalFormatting>
  <x:conditionalFormatting sqref="DA4">
    <x:cfRule type="expression" dxfId="1228" priority="87" stopIfTrue="1">
      <x:formula>NOT(ISBLANK($DA$4))</x:formula>
    </x:cfRule>
  </x:conditionalFormatting>
  <x:conditionalFormatting sqref="M7">
    <x:cfRule type="expression" dxfId="1227" priority="85" stopIfTrue="1">
      <x:formula>OR(ISBLANK($M$7),$M$7="")</x:formula>
    </x:cfRule>
    <x:cfRule type="expression" dxfId="1226" priority="86" stopIfTrue="1">
      <x:formula>AND(LOWER($M$7)&lt;&gt;"std gray primer: one shop coat",LOWER($M$7)&lt;&gt;"gray",$M$7&lt;&gt;"")</x:formula>
    </x:cfRule>
  </x:conditionalFormatting>
  <x:conditionalFormatting sqref="A14:B45 A87:B87">
    <x:cfRule type="expression" dxfId="1225" priority="68" stopIfTrue="1">
      <x:formula>AND(NOT($BK$1),$B14=0,OR($BJ$1="",$BJ$1="M"))</x:formula>
    </x:cfRule>
  </x:conditionalFormatting>
  <x:conditionalFormatting sqref="C14:C45">
    <x:cfRule type="expression" dxfId="1224" priority="78">
      <x:formula>AND(NOT($BK14),NOT(BR14))</x:formula>
    </x:cfRule>
  </x:conditionalFormatting>
  <x:conditionalFormatting sqref="U14:U45">
    <x:cfRule type="expression" dxfId="1223" priority="83">
      <x:formula>AND(NOT($BK14),BV14="No")</x:formula>
    </x:cfRule>
  </x:conditionalFormatting>
  <x:conditionalFormatting sqref="V14:V45">
    <x:cfRule type="expression" dxfId="1222" priority="84">
      <x:formula>AND(NOT($BK14),BV14="No")</x:formula>
    </x:cfRule>
  </x:conditionalFormatting>
  <x:conditionalFormatting sqref="S14:S45">
    <x:cfRule type="expression" dxfId="1221" priority="81">
      <x:formula>AND(NOT($BK14),BT14="No")</x:formula>
    </x:cfRule>
  </x:conditionalFormatting>
  <x:conditionalFormatting sqref="T14:T45">
    <x:cfRule type="expression" dxfId="1220" priority="82">
      <x:formula>AND(NOT($BK14),BT14="No")</x:formula>
    </x:cfRule>
  </x:conditionalFormatting>
  <x:conditionalFormatting sqref="W14:W45">
    <x:cfRule type="expression" dxfId="1219" priority="64">
      <x:formula>$W14=0</x:formula>
    </x:cfRule>
  </x:conditionalFormatting>
  <x:conditionalFormatting sqref="DI15:DI45">
    <x:cfRule type="expression" dxfId="1218" priority="94">
      <x:formula>FM54="X"</x:formula>
    </x:cfRule>
  </x:conditionalFormatting>
  <x:conditionalFormatting sqref="DJ15:DJ45">
    <x:cfRule type="expression" dxfId="1217" priority="96">
      <x:formula>FM54="X"</x:formula>
    </x:cfRule>
  </x:conditionalFormatting>
  <x:conditionalFormatting sqref="DK15:DK45">
    <x:cfRule type="expression" dxfId="1216" priority="97">
      <x:formula>FM54="X"</x:formula>
    </x:cfRule>
  </x:conditionalFormatting>
  <x:conditionalFormatting sqref="DT14:DU45">
    <x:cfRule type="expression" dxfId="1215" priority="98">
      <x:formula>GD54=0</x:formula>
    </x:cfRule>
  </x:conditionalFormatting>
  <x:conditionalFormatting sqref="DH14:DH45">
    <x:cfRule type="expression" dxfId="1214" priority="7">
      <x:formula>NOT($FQ14)</x:formula>
    </x:cfRule>
    <x:cfRule type="expression" dxfId="1213" priority="99">
      <x:formula>FJ54="G"</x:formula>
    </x:cfRule>
  </x:conditionalFormatting>
  <x:conditionalFormatting sqref="DM14:DN45">
    <x:cfRule type="expression" dxfId="1212" priority="100">
      <x:formula>FIND("B",$GK54)</x:formula>
    </x:cfRule>
  </x:conditionalFormatting>
  <x:conditionalFormatting sqref="DJ14:DK45">
    <x:cfRule type="expression" dxfId="1211" priority="101">
      <x:formula>FIND("A",$GK54)</x:formula>
    </x:cfRule>
  </x:conditionalFormatting>
  <x:conditionalFormatting sqref="DL14:DL45">
    <x:cfRule type="expression" dxfId="1210" priority="79">
      <x:formula>FIND("B",$GK54)</x:formula>
    </x:cfRule>
  </x:conditionalFormatting>
  <x:conditionalFormatting sqref="DI14:DI45">
    <x:cfRule type="expression" dxfId="1209" priority="102">
      <x:formula>NOT($EY14)</x:formula>
    </x:cfRule>
  </x:conditionalFormatting>
  <x:conditionalFormatting sqref="DQ14:DQ45">
    <x:cfRule type="expression" dxfId="1208" priority="67">
      <x:formula>DQ14&lt;&gt;EZ14</x:formula>
    </x:cfRule>
  </x:conditionalFormatting>
  <x:conditionalFormatting sqref="AR14:AS45">
    <x:cfRule type="expression" dxfId="1207" priority="71">
      <x:formula>AND(NOT($BZ14),$FF54)</x:formula>
    </x:cfRule>
  </x:conditionalFormatting>
  <x:conditionalFormatting sqref="AV14:AW45">
    <x:cfRule type="expression" dxfId="1206" priority="72">
      <x:formula>AND(NOT($BZ14),$FG54)</x:formula>
    </x:cfRule>
  </x:conditionalFormatting>
  <x:conditionalFormatting sqref="AZ14:BA45">
    <x:cfRule type="expression" dxfId="1205" priority="73">
      <x:formula>AND(NOT($BZ14),$FH54)</x:formula>
    </x:cfRule>
  </x:conditionalFormatting>
  <x:conditionalFormatting sqref="BD14:BE45">
    <x:cfRule type="expression" dxfId="1204" priority="74">
      <x:formula>AND(NOT($BZ14),$FI54)</x:formula>
    </x:cfRule>
  </x:conditionalFormatting>
  <x:conditionalFormatting sqref="AD14:AE45">
    <x:cfRule type="expression" dxfId="1203" priority="75">
      <x:formula>AND(NOT($BZ14),FIND("A",$GK54))</x:formula>
    </x:cfRule>
  </x:conditionalFormatting>
  <x:conditionalFormatting sqref="AI14:AJ45">
    <x:cfRule type="expression" dxfId="1202" priority="76">
      <x:formula>AND(NOT($BZ14),FIND("B",$GK54))</x:formula>
    </x:cfRule>
  </x:conditionalFormatting>
  <x:conditionalFormatting sqref="AC14:AC45">
    <x:cfRule type="expression" dxfId="1201" priority="77">
      <x:formula>AND(NOT($BZ14),NOT($EY14))</x:formula>
    </x:cfRule>
  </x:conditionalFormatting>
  <x:conditionalFormatting sqref="AM14:AM45">
    <x:cfRule type="expression" dxfId="1200" priority="69">
      <x:formula>AND(NOT($BZ14),AM14&lt;&gt;EZ14)</x:formula>
    </x:cfRule>
  </x:conditionalFormatting>
  <x:conditionalFormatting sqref="FF14:FF45">
    <x:cfRule type="expression" dxfId="1199" priority="70">
      <x:formula>$FC14=0</x:formula>
    </x:cfRule>
  </x:conditionalFormatting>
  <x:conditionalFormatting sqref="AD14:AJ45">
    <x:cfRule type="expression" dxfId="1198" priority="66">
      <x:formula>AND(NOT($BZ14),NOT($FA14))</x:formula>
    </x:cfRule>
  </x:conditionalFormatting>
  <x:conditionalFormatting sqref="CV14:CW45">
    <x:cfRule type="expression" dxfId="1197" priority="65">
      <x:formula>AND(NOT($BK14),LEN($Z14)&gt;27)</x:formula>
    </x:cfRule>
  </x:conditionalFormatting>
  <x:conditionalFormatting sqref="C87">
    <x:cfRule type="expression" dxfId="1196" priority="58" stopIfTrue="1">
      <x:formula>AND(NOT($BK87),NOT(BR87))</x:formula>
    </x:cfRule>
  </x:conditionalFormatting>
  <x:conditionalFormatting sqref="U87">
    <x:cfRule type="expression" dxfId="1195" priority="62" stopIfTrue="1">
      <x:formula>AND(NOT($BK87),BV87="No")</x:formula>
    </x:cfRule>
  </x:conditionalFormatting>
  <x:conditionalFormatting sqref="V87">
    <x:cfRule type="expression" dxfId="1194" priority="63" stopIfTrue="1">
      <x:formula>AND(NOT($BK87),BV87="No")</x:formula>
    </x:cfRule>
  </x:conditionalFormatting>
  <x:conditionalFormatting sqref="S87">
    <x:cfRule type="expression" dxfId="1193" priority="60" stopIfTrue="1">
      <x:formula>AND(NOT($BK87),BT87="No")</x:formula>
    </x:cfRule>
  </x:conditionalFormatting>
  <x:conditionalFormatting sqref="T87">
    <x:cfRule type="expression" dxfId="1192" priority="61" stopIfTrue="1">
      <x:formula>AND(NOT($BK87),BT87="No")</x:formula>
    </x:cfRule>
  </x:conditionalFormatting>
  <x:conditionalFormatting sqref="W87">
    <x:cfRule type="expression" dxfId="1191" priority="47">
      <x:formula>$W87=0</x:formula>
    </x:cfRule>
  </x:conditionalFormatting>
  <x:conditionalFormatting sqref="AR87:AS87">
    <x:cfRule type="expression" dxfId="1190" priority="51">
      <x:formula>AND(NOT($BZ87),$FF127)</x:formula>
    </x:cfRule>
  </x:conditionalFormatting>
  <x:conditionalFormatting sqref="AV87:AW87">
    <x:cfRule type="expression" dxfId="1189" priority="52">
      <x:formula>AND(NOT($BZ87),$FG127)</x:formula>
    </x:cfRule>
  </x:conditionalFormatting>
  <x:conditionalFormatting sqref="AZ87:BA87">
    <x:cfRule type="expression" dxfId="1188" priority="53">
      <x:formula>AND(NOT($BZ87),$FH127)</x:formula>
    </x:cfRule>
  </x:conditionalFormatting>
  <x:conditionalFormatting sqref="BD87:BE87">
    <x:cfRule type="expression" dxfId="1187" priority="54">
      <x:formula>AND(NOT($BZ87),$FI127)</x:formula>
    </x:cfRule>
  </x:conditionalFormatting>
  <x:conditionalFormatting sqref="AD87:AE87">
    <x:cfRule type="expression" dxfId="1186" priority="55">
      <x:formula>AND(NOT($BZ87),FIND("A",$GK127))</x:formula>
    </x:cfRule>
  </x:conditionalFormatting>
  <x:conditionalFormatting sqref="AI87:AJ87">
    <x:cfRule type="expression" dxfId="1185" priority="56">
      <x:formula>AND(NOT($BZ87),FIND("B",$GK127))</x:formula>
    </x:cfRule>
  </x:conditionalFormatting>
  <x:conditionalFormatting sqref="AC87">
    <x:cfRule type="expression" dxfId="1184" priority="57">
      <x:formula>AND(NOT($BZ87),NOT($EY87))</x:formula>
    </x:cfRule>
  </x:conditionalFormatting>
  <x:conditionalFormatting sqref="AM87">
    <x:cfRule type="expression" dxfId="1183" priority="50">
      <x:formula>AND(NOT($BZ87),AM87&lt;&gt;EZ87)</x:formula>
    </x:cfRule>
  </x:conditionalFormatting>
  <x:conditionalFormatting sqref="AD87:AJ87">
    <x:cfRule type="expression" dxfId="1182" priority="49">
      <x:formula>AND(NOT($BZ87),NOT($FA87))</x:formula>
    </x:cfRule>
  </x:conditionalFormatting>
  <x:conditionalFormatting sqref="AA87 A87:Y87">
    <x:cfRule type="expression" dxfId="1181" priority="59">
      <x:formula>$BI87</x:formula>
    </x:cfRule>
  </x:conditionalFormatting>
  <x:conditionalFormatting sqref="AB87:BG87">
    <x:cfRule type="expression" dxfId="1180" priority="46">
      <x:formula>$CA87</x:formula>
    </x:cfRule>
  </x:conditionalFormatting>
  <x:conditionalFormatting sqref="Z87">
    <x:cfRule type="expression" dxfId="1179" priority="45">
      <x:formula>$BI87</x:formula>
    </x:cfRule>
  </x:conditionalFormatting>
  <x:conditionalFormatting sqref="Z87">
    <x:cfRule type="expression" dxfId="1178" priority="48">
      <x:formula>AND(NOT($BK87),LEN($Z87)&gt;27)</x:formula>
    </x:cfRule>
  </x:conditionalFormatting>
  <x:conditionalFormatting sqref="CD14:CD45">
    <x:cfRule type="expression" dxfId="1177" priority="9">
      <x:formula>AND(NOT($BK14),NOT($BR14))</x:formula>
    </x:cfRule>
  </x:conditionalFormatting>
  <x:conditionalFormatting sqref="CX14:CX45">
    <x:cfRule type="cellIs" dxfId="1176" priority="22" operator="greaterThan">
      <x:formula>EY54</x:formula>
    </x:cfRule>
    <x:cfRule type="expression" dxfId="1175" priority="23">
      <x:formula>AND(ISBLANK(CX14),EY54&gt;0)</x:formula>
    </x:cfRule>
  </x:conditionalFormatting>
  <x:conditionalFormatting sqref="CY14:CY45">
    <x:cfRule type="cellIs" dxfId="1174" priority="24" operator="lessThan">
      <x:formula>EX54</x:formula>
    </x:cfRule>
    <x:cfRule type="expression" dxfId="1173" priority="25">
      <x:formula>AND(ISBLANK(CY14),EX54&lt;&gt;"")</x:formula>
    </x:cfRule>
  </x:conditionalFormatting>
  <x:conditionalFormatting sqref="CT14:CT45 CM14:CM45">
    <x:cfRule type="expression" dxfId="1172" priority="26">
      <x:formula>AND(NOT($BK14),AND(ISBLANK(CM14),AND(NOT(ISBLANK(CL14)),$CU14&lt;&gt;0)))</x:formula>
    </x:cfRule>
  </x:conditionalFormatting>
  <x:conditionalFormatting sqref="DB14:DB45">
    <x:cfRule type="expression" dxfId="1171" priority="27">
      <x:formula>OR(DB14&gt;CD54,DB14&lt;0)</x:formula>
    </x:cfRule>
  </x:conditionalFormatting>
  <x:conditionalFormatting sqref="CJ14:CJ45">
    <x:cfRule type="expression" dxfId="1170" priority="10">
      <x:formula>AND(NOT($BK14),OR($CC54="M",$CC54="C",$CC54="G"))</x:formula>
    </x:cfRule>
    <x:cfRule type="expression" dxfId="1169" priority="11">
      <x:formula>AND(NOT($BK14),AND(OR($CC54="B",$CC54="G"),CJ14="",CK14=""))</x:formula>
    </x:cfRule>
    <x:cfRule type="expression" dxfId="1168" priority="12">
      <x:formula>AND(NOT($BK14),EG54="ERR")</x:formula>
    </x:cfRule>
  </x:conditionalFormatting>
  <x:conditionalFormatting sqref="CK14:CK45">
    <x:cfRule type="expression" dxfId="1167" priority="13">
      <x:formula>AND(NOT($BK14),OR($CC54="M",$CC54="C",$CC54="G"))</x:formula>
    </x:cfRule>
    <x:cfRule type="expression" dxfId="1166" priority="14">
      <x:formula>AND(NOT($BK14),AND(OR($CC54="B",$CC54="G"),CJ14="",CK14=""))</x:formula>
    </x:cfRule>
    <x:cfRule type="expression" dxfId="1165" priority="15">
      <x:formula>AND(NOT($BK14),EG54="ERR")</x:formula>
    </x:cfRule>
  </x:conditionalFormatting>
  <x:conditionalFormatting sqref="CQ14:CQ45">
    <x:cfRule type="expression" dxfId="1164" priority="16">
      <x:formula>AND(NOT($BK14),OR($CL54="M",$CL54="C",$CL54="G"))</x:formula>
    </x:cfRule>
    <x:cfRule type="expression" dxfId="1163" priority="17">
      <x:formula>AND(NOT($BK14),AND(OR($CL54="B",$CL54="G"),CQ14="",CR14=""))</x:formula>
    </x:cfRule>
    <x:cfRule type="expression" dxfId="1162" priority="18">
      <x:formula>AND(NOT($BK14),EJ54="ERR")</x:formula>
    </x:cfRule>
  </x:conditionalFormatting>
  <x:conditionalFormatting sqref="CR14:CR45">
    <x:cfRule type="expression" dxfId="1161" priority="19">
      <x:formula>AND(NOT($BK14),OR($CL54="M",$CL54="C",$CL54="G"))</x:formula>
    </x:cfRule>
    <x:cfRule type="expression" dxfId="1160" priority="20">
      <x:formula>AND(NOT($BK14),AND(OR($CL54="B",$CL54="G"),CQ14="",CR14=""))</x:formula>
    </x:cfRule>
    <x:cfRule type="expression" dxfId="1159" priority="21">
      <x:formula>AND(NOT($BK14),EJ54="ERR")</x:formula>
    </x:cfRule>
  </x:conditionalFormatting>
  <x:conditionalFormatting sqref="DC14:DC45">
    <x:cfRule type="expression" dxfId="1158" priority="8">
      <x:formula>OR(DC14&gt;CM54,DC14&lt;0)</x:formula>
    </x:cfRule>
  </x:conditionalFormatting>
  <x:conditionalFormatting sqref="CG14:CG45">
    <x:cfRule type="expression" dxfId="1157" priority="28">
      <x:formula>AND(NOT($BK14),ISERROR(CC54))</x:formula>
    </x:cfRule>
    <x:cfRule type="expression" dxfId="1156" priority="29">
      <x:formula>AND(NOT($BK14),OR(ISERROR(CC54),CC54="", ER14&lt;&gt;""))</x:formula>
    </x:cfRule>
  </x:conditionalFormatting>
  <x:conditionalFormatting sqref="CN14:CN45">
    <x:cfRule type="expression" dxfId="1155" priority="30">
      <x:formula>AND(NOT($BK14),ISERROR(CL54))</x:formula>
    </x:cfRule>
    <x:cfRule type="expression" dxfId="1154" priority="31">
      <x:formula>AND(NOT($BK14),OR(CL54="", ES14&lt;&gt;""))</x:formula>
    </x:cfRule>
  </x:conditionalFormatting>
  <x:conditionalFormatting sqref="CW14:CW45">
    <x:cfRule type="expression" dxfId="1153" priority="32">
      <x:formula>OR(EL14&lt;&gt;"",EM14&lt;&gt;"",EN14&lt;&gt;"",EO14&lt;&gt;"",EP14&lt;&gt;"",EQ14&lt;&gt;"")</x:formula>
    </x:cfRule>
  </x:conditionalFormatting>
  <x:conditionalFormatting sqref="CH14:CH45">
    <x:cfRule type="expression" dxfId="1152" priority="33">
      <x:formula>AND(NOT($BK14),OR($CC54="M",$CC54="C"))</x:formula>
    </x:cfRule>
    <x:cfRule type="expression" dxfId="1151" priority="34">
      <x:formula>AND(NOT($BK14),AND(CH14="",CI14="",OR($CC54="B",$CC54="G")))</x:formula>
    </x:cfRule>
    <x:cfRule type="expression" dxfId="1150" priority="35">
      <x:formula>AND(NOT($BK14),(CH14/2)/COS(RADIANS(CL14))+CD54-DC54&lt;$FB$4)</x:formula>
    </x:cfRule>
  </x:conditionalFormatting>
  <x:conditionalFormatting sqref="CI14:CI45">
    <x:cfRule type="expression" dxfId="1149" priority="36">
      <x:formula>AND(NOT($BK14),OR($CC54="M",$CC54="C"))</x:formula>
    </x:cfRule>
    <x:cfRule type="expression" dxfId="1148" priority="37">
      <x:formula>AND(NOT($BK14),AND(CH14="",CI14="",OR($CC54="B",$CC54="G")))</x:formula>
    </x:cfRule>
    <x:cfRule type="expression" dxfId="1147" priority="38">
      <x:formula>AND(NOT($BK14),(CI14/2)/COS(RADIANS(CL14))+CD54-DC54&lt;$FB$4)</x:formula>
    </x:cfRule>
  </x:conditionalFormatting>
  <x:conditionalFormatting sqref="CO14:CO45">
    <x:cfRule type="expression" dxfId="1146" priority="39">
      <x:formula>AND(NOT($BK14),OR($CL54="M",$CL54="C"))</x:formula>
    </x:cfRule>
    <x:cfRule type="expression" dxfId="1145" priority="40">
      <x:formula>AND(NOT($BK14),AND(CO14="",CP14="",OR($CL54="B",$CL54="G")))</x:formula>
    </x:cfRule>
    <x:cfRule type="expression" dxfId="1144" priority="41">
      <x:formula>AND(NOT($BK14),(CO14/2)/COS(RADIANS(CS14))+CM54-DI54&lt;$FB$4)</x:formula>
    </x:cfRule>
  </x:conditionalFormatting>
  <x:conditionalFormatting sqref="CP14:CP45">
    <x:cfRule type="expression" dxfId="1143" priority="42">
      <x:formula>AND(NOT($BK14),OR($CL54="M",$CL54="C"))</x:formula>
    </x:cfRule>
    <x:cfRule type="expression" dxfId="1142" priority="43">
      <x:formula>AND(NOT($BK14),AND(CO14="",CP14="",OR($CL54="B",$CL54="G")))</x:formula>
    </x:cfRule>
    <x:cfRule type="expression" dxfId="1141" priority="44">
      <x:formula>AND(NOT($BK14),(CP14/2)/COS(RADIANS(CS14))+CM54-DI54&lt;$FB$4)</x:formula>
    </x:cfRule>
  </x:conditionalFormatting>
  <x:conditionalFormatting sqref="DH14:EK45 AB14:BG45">
    <x:cfRule type="expression" dxfId="1140" priority="103">
      <x:formula>$FP14</x:formula>
    </x:cfRule>
  </x:conditionalFormatting>
  <x:conditionalFormatting sqref="A14:Y45 CB14:DE45 AA14:AA45">
    <x:cfRule type="expression" dxfId="1139" priority="104">
      <x:formula>$FN14</x:formula>
    </x:cfRule>
  </x:conditionalFormatting>
  <x:conditionalFormatting sqref="AB14:AB45">
    <x:cfRule type="expression" dxfId="1138" priority="6">
      <x:formula>NOT($FQ14)</x:formula>
    </x:cfRule>
  </x:conditionalFormatting>
  <x:conditionalFormatting sqref="CB14:CB45">
    <x:cfRule type="expression" dxfId="1137" priority="5">
      <x:formula>NOT($FO14)</x:formula>
    </x:cfRule>
  </x:conditionalFormatting>
  <x:conditionalFormatting sqref="A14:A45">
    <x:cfRule type="expression" dxfId="1136" priority="4">
      <x:formula>NOT($FO14)</x:formula>
    </x:cfRule>
  </x:conditionalFormatting>
  <x:conditionalFormatting sqref="Z14:Z45">
    <x:cfRule type="expression" dxfId="1135" priority="2">
      <x:formula>$BI14</x:formula>
    </x:cfRule>
  </x:conditionalFormatting>
  <x:conditionalFormatting sqref="Z14:Z45">
    <x:cfRule type="expression" dxfId="1134" priority="3">
      <x:formula>AND(NOT($BK14),LEN($Z14)&gt;27)</x:formula>
    </x:cfRule>
  </x:conditionalFormatting>
  <x:conditionalFormatting sqref="GA14:GB45">
    <x:cfRule type="expression" dxfId="1133" priority="1" stopIfTrue="1">
      <x:formula>GM53&gt;=0.125</x:formula>
    </x:cfRule>
  </x:conditionalFormatting>
  <x:dataValidations count="9">
    <x:dataValidation type="whole" operator="greaterThanOrEqual" allowBlank="1" showInputMessage="1" showErrorMessage="1" sqref="B14:B45 B87">
      <x:formula1>0</x:formula1>
    </x:dataValidation>
    <x:dataValidation type="decimal" operator="greaterThan" allowBlank="1" showInputMessage="1" showErrorMessage="1" errorTitle="Dimensional Error" error="Only positive numeric values permitted here." sqref="M14:N45 M87:N87">
      <x:formula1>0</x:formula1>
    </x:dataValidation>
    <x:dataValidation type="decimal" operator="notEqual" allowBlank="1" showInputMessage="1" showErrorMessage="1" errorTitle="Input Error" error="Enter + or - Numbers Only._x000a_Do NOT use &quot;&lt;&quot; or &quot;&gt;&quot;." sqref="X14:Y45 X87:Y87">
      <x:formula1>0</x:formula1>
    </x:dataValidation>
    <x:dataValidation type="decimal" operator="greaterThanOrEqual" allowBlank="1" showInputMessage="1" showErrorMessage="1" errorTitle="Dimensional Error" error="&quot;Inches&quot; must be a number." sqref="CH14:CK45 CO14:CR45">
      <x:formula1>0</x:formula1>
    </x:dataValidation>
    <x:dataValidation type="decimal" allowBlank="1" showInputMessage="1" showErrorMessage="1" errorTitle="Dimensional Error" error="&quot;Inches&quot; must be a number from 0 to 11.875." sqref="AJ87 E14:E45 H14:H45 K14:K45 T14:T45 V14:V45 AE14:AE45 AH14:AH45 AJ14:AJ45 E87 H87 K87 T87 V87 AE87 AH87 CF14:CF45">
      <x:formula1>0</x:formula1>
      <x:formula2>11.875</x:formula2>
    </x:dataValidation>
    <x:dataValidation type="custom" allowBlank="1" showErrorMessage="1" errorTitle="Error" error="Value must  be either a whole number OR the string &quot;P&quot;." sqref="DV14:DV45 DZ14:DZ45 ED14:ED45 EH14:EH45 BD14:BD45 AR14:AR45 AV14:AV45 AZ14:AZ45 BD87 AR87 AV87 AZ87">
      <x:formula1>IF(ISERROR(INT(AR14)),AR14="P",INT(AR14)=AR14)</x:formula1>
    </x:dataValidation>
    <x:dataValidation type="whole" operator="greaterThanOrEqual" allowBlank="1" showErrorMessage="1" errorTitle="Error" error="&quot;Number of Panels&quot; can only be whole numbers." sqref="DL14:DL45 AF14:AF45 AF87">
      <x:formula1>0</x:formula1>
    </x:dataValidation>
    <x: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formula1>0</x:formula1>
    </x:dataValidation>
    <x:dataValidation type="list" allowBlank="1" showInputMessage="1" sqref="M7:S7 DA4:DD4">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colBreaks count="1" manualBreakCount="1">
    <x:brk id="27" max="44" man="1"/>
  </x:colBreaks>
  <x:drawing r:id="rId2"/>
  <x:legacyDrawing r:id="rId3"/>
</x:worksheet>
</file>

<file path=xl/worksheets/sheet50.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3">
    <x:tabColor indexed="42"/>
  </x:sheetPr>
  <x:dimension ref="A1:AAD89"/>
  <x:sheetViews>
    <x:sheetView showGridLines="0" tabSelected="1" zoomScaleNormal="100" zoomScaleSheetLayoutView="75" workbookViewId="0">
      <x:selection activeCell="AL20" sqref="AL20"/>
    </x:sheetView>
  </x:sheetViews>
  <x:sheetFormatPr defaultColWidth="0" defaultRowHeight="12.75" x14ac:dyDescent="0.2"/>
  <x:cols>
    <x:col min="1" max="1" width="5.7109375" style="161" customWidth="1"/>
    <x:col min="2" max="2" width="4.28515625" style="161" customWidth="1"/>
    <x:col min="3" max="3" width="15.7109375" style="161" customWidth="1"/>
    <x:col min="4" max="4" width="3.7109375" style="161" customWidth="1"/>
    <x:col min="5" max="5" width="4.42578125" style="161" customWidth="1"/>
    <x:col min="6" max="6" width="4.7109375" style="161" customWidth="1"/>
    <x:col min="7" max="7" width="3" style="161" customWidth="1"/>
    <x:col min="8" max="8" width="4.42578125" style="161" customWidth="1"/>
    <x:col min="9" max="10" width="3" style="161" customWidth="1"/>
    <x:col min="11" max="11" width="4.42578125" style="161" customWidth="1"/>
    <x:col min="12" max="12" width="3" style="161" customWidth="1"/>
    <x:col min="13" max="14" width="4.28515625" style="161" customWidth="1"/>
    <x:col min="15" max="15" width="3.28515625" style="161" customWidth="1"/>
    <x:col min="16" max="16" width="5" style="161" customWidth="1"/>
    <x:col min="17" max="17" width="3.28515625" style="161" customWidth="1"/>
    <x:col min="18" max="18" width="5" style="161" customWidth="1"/>
    <x:col min="19" max="19" width="2.85546875" style="161" customWidth="1"/>
    <x:col min="20" max="20" width="4.42578125" style="161" customWidth="1"/>
    <x:col min="21" max="21" width="2.85546875" style="161" customWidth="1"/>
    <x:col min="22" max="22" width="4.42578125" style="161" customWidth="1"/>
    <x:col min="23" max="23" width="4.28515625" style="161" customWidth="1"/>
    <x:col min="24" max="25" width="4.7109375" style="161" customWidth="1"/>
    <x:col min="26" max="26" width="18.5703125" style="161" customWidth="1"/>
    <x:col min="27" max="27" width="4" style="161" customWidth="1"/>
    <x:col min="28" max="28" width="5.7109375" style="161" customWidth="1"/>
    <x:col min="29" max="29" width="3.28515625" style="161" customWidth="1"/>
    <x:col min="30" max="30" width="3" style="161" customWidth="1"/>
    <x:col min="31" max="31" width="4.42578125" style="161" customWidth="1"/>
    <x:col min="32" max="32" width="3.42578125" style="161" customWidth="1"/>
    <x:col min="33" max="33" width="3" style="161" customWidth="1"/>
    <x:col min="34" max="34" width="4.42578125" style="161" customWidth="1"/>
    <x:col min="35" max="35" width="3" style="161" customWidth="1"/>
    <x:col min="36" max="37" width="4.42578125" style="161" customWidth="1"/>
    <x:col min="38" max="38" width="5" style="161" customWidth="1"/>
    <x:col min="39" max="39" width="4.42578125" style="161" customWidth="1"/>
    <x:col min="40" max="40" width="5.28515625" style="161" customWidth="1"/>
    <x:col min="41" max="43" width="4.42578125" style="161" customWidth="1"/>
    <x:col min="44" max="44" width="3.7109375" style="161" customWidth="1"/>
    <x:col min="45" max="47" width="4.42578125" style="161" customWidth="1"/>
    <x:col min="48" max="48" width="3.7109375" style="161" customWidth="1"/>
    <x:col min="49" max="51" width="4.42578125" style="161" customWidth="1"/>
    <x:col min="52" max="52" width="3.7109375" style="161" customWidth="1"/>
    <x:col min="53" max="55" width="4.42578125" style="161" customWidth="1"/>
    <x:col min="56" max="56" width="3.7109375" style="161" customWidth="1"/>
    <x:col min="57" max="59" width="4.42578125" style="161" customWidth="1"/>
    <x:col min="60" max="60" width="4.7109375" style="318" customWidth="1"/>
    <x:col min="61" max="61" width="5.7109375" style="2" hidden="1" customWidth="1"/>
    <x:col min="62" max="62" width="6.7109375" style="161" hidden="1" customWidth="1"/>
    <x:col min="63" max="74" width="4.7109375" style="161" hidden="1" customWidth="1"/>
    <x:col min="75" max="78" width="6.7109375" style="161" hidden="1" customWidth="1"/>
    <x:col min="79" max="79" width="5.7109375" style="161" customWidth="1"/>
    <x:col min="80" max="81" width="6.7109375" style="161" hidden="1" customWidth="1"/>
    <x:col min="82" max="82" width="18.7109375" style="161" hidden="1" customWidth="1"/>
    <x:col min="83" max="84" width="6.7109375" style="161" hidden="1" customWidth="1"/>
    <x:col min="85" max="85" width="7.7109375" style="161" hidden="1" customWidth="1"/>
    <x:col min="86" max="90" width="6.7109375" style="161" hidden="1" customWidth="1"/>
    <x:col min="91" max="91" width="7.7109375" style="161" hidden="1" customWidth="1"/>
    <x:col min="92" max="92" width="6.7109375" style="161" hidden="1" customWidth="1"/>
    <x:col min="93" max="93" width="7.7109375" style="161" hidden="1" customWidth="1"/>
    <x:col min="94" max="97" width="6.7109375" style="161" hidden="1" customWidth="1"/>
    <x:col min="98" max="99" width="7.7109375" style="161" hidden="1" customWidth="1"/>
    <x:col min="100" max="101" width="12.7109375" style="161" hidden="1" customWidth="1"/>
    <x:col min="102" max="103" width="8.7109375" style="161" hidden="1" customWidth="1"/>
    <x:col min="104" max="109" width="7.7109375" style="161" hidden="1" customWidth="1"/>
    <x:col min="110" max="111" width="1.7109375" style="161" hidden="1" customWidth="1"/>
    <x:col min="112" max="113" width="6.7109375" style="161" hidden="1" customWidth="1"/>
    <x:col min="114" max="114" width="4.7109375" style="161" hidden="1" customWidth="1"/>
    <x:col min="115" max="115" width="6.7109375" style="161" hidden="1" customWidth="1"/>
    <x:col min="116" max="117" width="4.7109375" style="161" hidden="1" customWidth="1"/>
    <x:col min="118" max="125" width="6.7109375" style="161" hidden="1" customWidth="1"/>
    <x:col min="126" max="126" width="4.7109375" style="161" hidden="1" customWidth="1"/>
    <x:col min="127" max="129" width="6.7109375" style="161" hidden="1" customWidth="1"/>
    <x:col min="130" max="130" width="4.7109375" style="161" hidden="1" customWidth="1"/>
    <x:col min="131" max="133" width="6.7109375" style="161" hidden="1" customWidth="1"/>
    <x:col min="134" max="134" width="4.7109375" style="161" hidden="1" customWidth="1"/>
    <x:col min="135" max="137" width="6.7109375" style="161" hidden="1" customWidth="1"/>
    <x:col min="138" max="138" width="4.7109375" style="161" hidden="1" customWidth="1"/>
    <x:col min="139" max="141" width="6.7109375" style="161" hidden="1" customWidth="1"/>
    <x:col min="142" max="143" width="8.7109375" style="161" hidden="1" customWidth="1"/>
    <x:col min="144" max="144" width="10.7109375" style="172" hidden="1" customWidth="1"/>
    <x:col min="145" max="145" width="6.7109375" style="161" hidden="1" customWidth="1"/>
    <x:col min="146" max="147" width="7.7109375" style="161" hidden="1" customWidth="1"/>
    <x:col min="148" max="149" width="5.28515625" style="161" hidden="1" customWidth="1"/>
    <x:col min="150" max="151" width="5.7109375" style="161" hidden="1" customWidth="1"/>
    <x:col min="152" max="152" width="6.7109375" style="161" customWidth="1"/>
    <x:col min="153" max="177" width="8.7109375" style="161" hidden="1" customWidth="1"/>
    <x:col min="178" max="178" width="6.7109375" style="161" hidden="1" customWidth="1"/>
    <x:col min="179" max="181" width="8.7109375" style="161" hidden="1" customWidth="1"/>
    <x:col min="182" max="182" width="4.7109375" style="161" customWidth="1"/>
    <x:col min="183" max="183" width="5.28515625" style="161" customWidth="1"/>
    <x:col min="184" max="184" width="6.28515625" style="161" customWidth="1"/>
    <x:col min="185" max="187" width="8.7109375" style="161" customWidth="1"/>
    <x:col min="188" max="188" width="5.7109375" style="161" customWidth="1"/>
    <x:col min="189" max="189" width="5.28515625" style="161" customWidth="1"/>
    <x:col min="190" max="190" width="6.28515625" style="161" customWidth="1"/>
    <x:col min="191" max="191" width="5.28515625" style="161" hidden="1" customWidth="1"/>
    <x:col min="192" max="192" width="6.28515625" style="161" hidden="1" customWidth="1"/>
    <x:col min="193" max="195" width="8.7109375" style="161" hidden="1" customWidth="1"/>
    <x:col min="196" max="196" width="4.7109375" style="161" customWidth="1"/>
    <x:col min="197" max="198" width="8.7109375" style="161" hidden="1" customWidth="1"/>
    <x:col min="199" max="199" width="6.7109375" style="161" hidden="1" customWidth="1"/>
    <x:col min="200" max="206" width="8.7109375" style="161" hidden="1" customWidth="1"/>
    <x:col min="207" max="207" width="8.7109375" style="161" customWidth="1"/>
    <x:col min="208" max="208" width="8.7109375" style="161" hidden="1" customWidth="1"/>
    <x:col min="209" max="211" width="8.7109375" style="172" hidden="1" customWidth="1"/>
    <x:col min="212" max="212" width="8.7109375" style="162" hidden="1" customWidth="1"/>
    <x:col min="213" max="213" width="8.7109375" style="163" hidden="1" customWidth="1"/>
    <x:col min="214" max="232" width="8.7109375" style="172" hidden="1" customWidth="1"/>
    <x:col min="233" max="255" width="8.7109375" style="161" hidden="1" customWidth="1"/>
    <x:col min="256" max="260" width="6.7109375" style="161" hidden="1" customWidth="1"/>
    <x:col min="261" max="275" width="4.7109375" style="161" hidden="1" customWidth="1"/>
    <x:col min="276" max="701" width="4.7109375" style="161" customWidth="1"/>
    <x:col min="702" max="706" width="6.7109375" style="161" customWidth="1"/>
    <x:col min="707" max="16384" width="6.7109375" style="161" hidden="1"/>
  </x:cols>
  <x:sheetData>
    <x:row r="1" spans="1:276" s="289" customFormat="1" ht="14.45" customHeight="1" thickBot="1" x14ac:dyDescent="0.25">
      <x:c r="A1" s="454"/>
      <x:c r="B1" s="454"/>
      <x:c r="C1" s="454"/>
      <x:c r="D1" s="454"/>
      <x:c r="E1" s="454"/>
      <x:c r="F1" s="454"/>
      <x:c r="G1" s="454"/>
      <x:c r="H1" s="454"/>
      <x:c r="I1" s="454"/>
      <x:c r="J1" s="454"/>
      <x:c r="K1" s="454"/>
      <x:c r="L1" s="454"/>
      <x:c r="M1" s="454"/>
      <x:c r="N1" s="454"/>
      <x:c r="O1" s="454"/>
      <x:c r="P1" s="454"/>
      <x:c r="Q1" s="2227" t="str">
        <x:f>IF(BJ1="","",VLOOKUP(BJ1,'Job Info.'!X:AA,4,FALSE))</x:f>
        <x:v>Master</x:v>
      </x:c>
      <x:c r="R1" s="2227"/>
      <x:c r="S1" s="2227"/>
      <x:c r="T1" s="2227"/>
      <x:c r="U1" s="454"/>
      <x:c r="V1" s="445"/>
      <x:c r="W1" s="2433" t="s">
        <x:v>96</x:v>
      </x:c>
      <x:c r="X1" s="2433"/>
      <x:c r="Y1" s="2433"/>
      <x:c r="Z1" s="1829" t="s">
        <x:v>92</x:v>
      </x:c>
      <x:c r="AA1" s="444"/>
      <x:c r="AB1" s="454"/>
      <x:c r="AC1" s="454"/>
      <x:c r="AD1" s="454"/>
      <x:c r="AE1" s="454"/>
      <x:c r="AF1" s="454"/>
      <x:c r="AG1" s="454"/>
      <x:c r="AH1" s="454"/>
      <x:c r="AI1" s="454"/>
      <x:c r="AJ1" s="454"/>
      <x:c r="AK1" s="454"/>
      <x:c r="AL1" s="454"/>
      <x:c r="AM1" s="454"/>
      <x:c r="AN1" s="454"/>
      <x:c r="AO1" s="454"/>
      <x:c r="AP1" s="454"/>
      <x:c r="AQ1" s="444"/>
      <x:c r="AR1" s="454"/>
      <x:c r="AS1" s="454"/>
      <x:c r="AT1" s="454"/>
      <x:c r="AU1" s="2227" t="str">
        <x:f>Q1</x:f>
        <x:v>Master</x:v>
      </x:c>
      <x:c r="AV1" s="2227"/>
      <x:c r="AW1" s="2227"/>
      <x:c r="AX1" s="2227"/>
      <x:c r="AY1" s="454"/>
      <x:c r="AZ1" s="454"/>
      <x:c r="BA1" s="2433" t="s">
        <x:v>96</x:v>
      </x:c>
      <x:c r="BB1" s="2433"/>
      <x:c r="BC1" s="2433"/>
      <x:c r="BD1" s="2259" t="str">
        <x:f ca="1">'Job Info.'!D12</x:f>
        <x:v>775-428-0600</x:v>
      </x:c>
      <x:c r="BE1" s="2259"/>
      <x:c r="BF1" s="2259"/>
      <x:c r="BG1" s="556"/>
      <x:c r="BH1" s="581" t="s">
        <x:v>763</x:v>
      </x:c>
      <x:c r="BI1" s="449"/>
      <x:c r="BJ1" s="291" t="str">
        <x:f>'Job Info.'!Q30</x:f>
        <x:v>M</x:v>
      </x:c>
      <x:c r="BK1" s="291" t="b">
        <x:f>'Job Info.'!Q32</x:f>
        <x:v>0</x:v>
      </x:c>
      <x:c r="BL1" s="976" t="s">
        <x:v>1000</x:v>
      </x:c>
      <x:c r="CA1" s="582" t="s">
        <x:v>765</x:v>
      </x:c>
      <x:c r="CB1" s="292"/>
      <x:c r="CC1" s="292"/>
      <x:c r="CD1" s="292"/>
      <x:c r="CE1" s="292"/>
      <x:c r="CF1" s="292"/>
      <x:c r="CG1" s="292"/>
      <x:c r="CH1" s="292"/>
      <x:c r="CI1" s="292"/>
      <x:c r="CJ1" s="292"/>
      <x:c r="CK1" s="292"/>
      <x:c r="CL1" s="292"/>
      <x:c r="CM1" s="292"/>
      <x:c r="CN1" s="292"/>
      <x:c r="CO1" s="293"/>
      <x:c r="CP1" s="293"/>
      <x:c r="CQ1" s="293"/>
      <x:c r="CR1" s="293"/>
      <x:c r="CS1" s="293"/>
      <x:c r="CT1" s="293"/>
      <x:c r="CU1" s="293"/>
      <x:c r="CV1" s="293"/>
      <x:c r="CW1" s="293"/>
      <x:c r="CX1" s="287"/>
      <x:c r="CY1" s="293"/>
      <x:c r="CZ1" s="293"/>
      <x:c r="DA1" s="292"/>
      <x:c r="DB1" s="292"/>
      <x:c r="DC1" s="292"/>
      <x:c r="DD1" s="292"/>
      <x:c r="DE1" s="292"/>
      <x:c r="DF1" s="292"/>
      <x:c r="DG1" s="292"/>
      <x:c r="DH1" s="292"/>
      <x:c r="DI1" s="292"/>
      <x:c r="DJ1" s="294"/>
      <x:c r="DK1" s="294"/>
      <x:c r="DL1" s="294"/>
      <x:c r="DM1" s="294"/>
      <x:c r="DN1" s="294"/>
      <x:c r="DO1" s="294"/>
      <x:c r="DP1" s="294"/>
      <x:c r="DQ1" s="287"/>
      <x:c r="DR1" s="287"/>
      <x:c r="DS1" s="287"/>
      <x:c r="DT1" s="287"/>
      <x:c r="DU1" s="287"/>
      <x:c r="DV1" s="287"/>
      <x:c r="DW1" s="287"/>
      <x:c r="DX1" s="287"/>
      <x:c r="DY1" s="287"/>
      <x:c r="DZ1" s="287"/>
      <x:c r="EA1" s="287"/>
      <x:c r="EB1" s="287"/>
      <x:c r="EC1" s="292"/>
      <x:c r="ED1" s="292"/>
      <x:c r="EE1" s="292"/>
      <x:c r="EF1" s="292"/>
      <x:c r="EG1" s="292"/>
      <x:c r="EH1" s="292"/>
      <x:c r="EI1" s="292"/>
      <x:c r="EJ1" s="292"/>
      <x:c r="EK1" s="292"/>
      <x:c r="EL1" s="287"/>
      <x:c r="EM1" s="287"/>
      <x:c r="EN1" s="1178"/>
      <x:c r="EO1" s="1176"/>
      <x:c r="EP1" s="287"/>
      <x:c r="EQ1" s="1176"/>
      <x:c r="ER1" s="287"/>
      <x:c r="ES1" s="287"/>
      <x:c r="ET1" s="287"/>
      <x:c r="EU1" s="1835"/>
      <x:c r="EV1" s="581" t="s">
        <x:v>763</x:v>
      </x:c>
      <x:c r="EW1" s="360"/>
      <x:c r="EY1" s="359"/>
      <x:c r="EZ1" s="361" t="s">
        <x:v>504</x:v>
      </x:c>
      <x:c r="FA1" s="362">
        <x:f>'Job Info.'!U26</x:f>
        <x:v>3</x:v>
      </x:c>
      <x:c r="FB1" s="363" t="str">
        <x:f>IF(FA1=1,"Girder BL @ CL of Steel Support (if possible), minimize BL",IF(FA1=2,"Minimize Joist Base Length",IF(FA1=3,"Minimize TCX (Maximize Joist BL)",IF(FA1=4,"Girder BL @ CL of Steel Support (if possible), minimize TCX"))))</x:f>
        <x:v>Minimize TCX (Maximize Joist BL)</x:v>
      </x:c>
      <x:c r="FC1" s="363"/>
      <x:c r="FD1" s="360"/>
      <x:c r="FE1" s="360"/>
      <x:c r="FF1" s="296" t="s">
        <x:v>984</x:v>
      </x:c>
      <x:c r="FG1" s="449" t="str">
        <x:f>'Job Info.'!U27</x:f>
        <x:v>N</x:v>
      </x:c>
      <x:c r="FH1" s="296"/>
      <x:c r="FI1" s="296"/>
      <x:c r="FJ1" s="296"/>
      <x:c r="FL1" s="296"/>
      <x:c r="FO1" s="296"/>
      <x:c r="FP1" s="296"/>
      <x:c r="FQ1" s="296"/>
      <x:c r="FR1" s="296"/>
      <x:c r="FS1" s="296"/>
      <x:c r="FT1" s="296"/>
      <x:c r="FV1" s="583"/>
      <x:c r="FW1" s="295"/>
      <x:c r="FX1" s="295"/>
      <x:c r="FY1" s="295"/>
      <x:c r="FZ1" s="1145" t="s">
        <x:v>764</x:v>
      </x:c>
      <x:c r="GA1" s="288"/>
      <x:c r="GB1" s="288"/>
      <x:c r="GC1" s="288"/>
      <x:c r="GD1" s="288"/>
      <x:c r="GE1" s="288"/>
      <x:c r="GF1" s="288"/>
      <x:c r="GG1" s="288"/>
      <x:c r="GH1" s="288"/>
      <x:c r="GI1" s="288"/>
      <x:c r="GJ1" s="288"/>
      <x:c r="GL1" s="298"/>
      <x:c r="GM1" s="298"/>
      <x:c r="GN1" s="298"/>
      <x:c r="GO1" s="298"/>
      <x:c r="GY1" s="584" t="s">
        <x:v>759</x:v>
      </x:c>
      <x:c r="GZ1" s="1006" t="s">
        <x:v>1206</x:v>
      </x:c>
      <x:c r="HA1" s="289" t="b">
        <x:f>'Job Info.'!U4</x:f>
        <x:v>0</x:v>
      </x:c>
      <x:c r="HB1" s="1528"/>
      <x:c r="HC1" s="1528"/>
      <x:c r="HD1" s="1528"/>
      <x:c r="HE1" s="1528"/>
      <x:c r="HF1" s="1528"/>
      <x:c r="HG1" s="1528"/>
      <x:c r="HH1" s="1528"/>
      <x:c r="HI1" s="1528"/>
      <x:c r="HJ1" s="1529"/>
      <x:c r="HK1" s="1529"/>
      <x:c r="HL1" s="1529"/>
      <x:c r="HM1" s="1530"/>
      <x:c r="HN1" s="1531"/>
      <x:c r="HO1" s="1529"/>
      <x:c r="HP1" s="1529"/>
      <x:c r="HQ1" s="1529"/>
      <x:c r="HR1" s="1529"/>
      <x:c r="HS1" s="1529"/>
      <x:c r="HT1" s="1529"/>
      <x:c r="HU1" s="1529"/>
      <x:c r="HV1" s="1529"/>
      <x:c r="HW1" s="1529"/>
      <x:c r="HX1" s="1529"/>
      <x:c r="HY1" s="1529"/>
      <x:c r="HZ1" s="1529"/>
      <x:c r="IA1" s="1529"/>
      <x:c r="IB1" s="1529"/>
      <x:c r="IC1" s="1529"/>
      <x:c r="ID1" s="1529"/>
      <x:c r="IE1" s="1529"/>
      <x:c r="IF1" s="1529"/>
      <x:c r="IG1" s="1529"/>
      <x:c r="IH1" s="1528"/>
      <x:c r="II1" s="1528"/>
      <x:c r="IJ1" s="1528"/>
      <x:c r="IK1" s="1528"/>
      <x:c r="IL1" s="1532"/>
      <x:c r="IM1" s="1532"/>
      <x:c r="IN1" s="1532"/>
      <x:c r="IO1" s="1532"/>
      <x:c r="IP1" s="1532"/>
      <x:c r="IQ1" s="1532"/>
      <x:c r="IR1" s="1532"/>
      <x:c r="IS1" s="1532"/>
      <x:c r="IT1" s="1532"/>
      <x:c r="IU1" s="1532"/>
      <x:c r="IV1" s="1532"/>
      <x:c r="IW1" s="1532"/>
      <x:c r="IX1" s="1532"/>
      <x:c r="IY1" s="1532"/>
      <x:c r="IZ1" s="1532"/>
      <x:c r="JA1" s="1532"/>
      <x:c r="JB1" s="1532"/>
      <x:c r="JC1" s="1532"/>
      <x:c r="JD1" s="1532"/>
      <x:c r="JE1" s="1532"/>
      <x:c r="JF1" s="1532"/>
      <x:c r="JG1" s="1532"/>
      <x:c r="JH1" s="1532"/>
      <x:c r="JI1" s="1532"/>
      <x:c r="JJ1" s="1532"/>
      <x:c r="JK1" s="1532"/>
      <x:c r="JL1" s="1532"/>
      <x:c r="JM1" s="1532"/>
      <x:c r="JN1" s="1532"/>
      <x:c r="JO1" s="1532"/>
      <x:c r="JP1" s="579" t="s">
        <x:v>1191</x:v>
      </x:c>
    </x:row>
    <x:row r="2" spans="1:276" s="289" customFormat="1" ht="12.95" customHeight="1" thickTop="1" thickBot="1" x14ac:dyDescent="0.3">
      <x:c r="A2" s="454"/>
      <x:c r="B2" s="454"/>
      <x:c r="C2" s="454"/>
      <x:c r="D2" s="454"/>
      <x:c r="E2" s="454"/>
      <x:c r="F2" s="454"/>
      <x:c r="G2" s="454"/>
      <x:c r="H2" s="454"/>
      <x:c r="I2" s="454"/>
      <x:c r="J2" s="454"/>
      <x:c r="K2" s="454"/>
      <x:c r="L2" s="454"/>
      <x:c r="M2" s="454"/>
      <x:c r="N2" s="454"/>
      <x:c r="O2" s="454"/>
      <x:c r="P2" s="454"/>
      <x:c r="Q2" s="2228" t="str">
        <x:f>IF(BJ1="","",IF(VLOOKUP(BJ1,'Job Info.'!X:Z,2,FALSE),"Released for Fabrication",""))</x:f>
        <x:v/>
      </x:c>
      <x:c r="R2" s="2229"/>
      <x:c r="S2" s="2229"/>
      <x:c r="T2" s="2230"/>
      <x:c r="U2" s="454"/>
      <x:c r="V2" s="445"/>
      <x:c r="W2" s="2433" t="s">
        <x:v>97</x:v>
      </x:c>
      <x:c r="X2" s="2433"/>
      <x:c r="Y2" s="2433"/>
      <x:c r="Z2" s="1829" t="str">
        <x:f ca="1">'Job Info.'!D13</x:f>
        <x:v>775-867-2140</x:v>
      </x:c>
      <x:c r="AA2" s="444"/>
      <x:c r="AB2" s="454"/>
      <x:c r="AC2" s="454"/>
      <x:c r="AD2" s="454"/>
      <x:c r="AE2" s="454"/>
      <x:c r="AF2" s="454"/>
      <x:c r="AG2" s="454"/>
      <x:c r="AH2" s="454"/>
      <x:c r="AI2" s="454"/>
      <x:c r="AJ2" s="454"/>
      <x:c r="AK2" s="454"/>
      <x:c r="AL2" s="454"/>
      <x:c r="AM2" s="454"/>
      <x:c r="AN2" s="454"/>
      <x:c r="AO2" s="454"/>
      <x:c r="AP2" s="454"/>
      <x:c r="AQ2" s="444"/>
      <x:c r="AR2" s="454"/>
      <x:c r="AS2" s="454"/>
      <x:c r="AT2" s="454"/>
      <x:c r="AU2" s="2228" t="str">
        <x:f>Q2</x:f>
        <x:v/>
      </x:c>
      <x:c r="AV2" s="2229"/>
      <x:c r="AW2" s="2229"/>
      <x:c r="AX2" s="2230"/>
      <x:c r="AY2" s="454"/>
      <x:c r="AZ2" s="454"/>
      <x:c r="BA2" s="2433" t="s">
        <x:v>97</x:v>
      </x:c>
      <x:c r="BB2" s="2433"/>
      <x:c r="BC2" s="2433"/>
      <x:c r="BD2" s="2259" t="str">
        <x:f ca="1">'Job Info.'!D13</x:f>
        <x:v>775-867-2140</x:v>
      </x:c>
      <x:c r="BE2" s="2259"/>
      <x:c r="BF2" s="2259"/>
      <x:c r="BG2" s="556"/>
      <x:c r="BH2" s="321"/>
      <x:c r="BI2" s="449"/>
      <x:c r="BK2" s="291"/>
      <x:c r="CA2" s="581" t="s">
        <x:v>771</x:v>
      </x:c>
      <x:c r="CB2" s="292"/>
      <x:c r="CC2" s="292"/>
      <x:c r="CD2" s="292"/>
      <x:c r="CE2" s="292"/>
      <x:c r="CF2" s="292"/>
      <x:c r="CG2" s="292"/>
      <x:c r="CH2" s="292"/>
      <x:c r="CI2" s="292"/>
      <x:c r="CJ2" s="292"/>
      <x:c r="CK2" s="292"/>
      <x:c r="CL2" s="292"/>
      <x:c r="CM2" s="292"/>
      <x:c r="CN2" s="292"/>
      <x:c r="CO2" s="293"/>
      <x:c r="CP2" s="293"/>
      <x:c r="CQ2" s="239"/>
      <x:c r="CR2" s="239"/>
      <x:c r="CS2" s="240"/>
      <x:c r="CT2" s="239"/>
      <x:c r="CU2" s="239"/>
      <x:c r="CV2" s="239"/>
      <x:c r="CW2" s="243"/>
      <x:c r="CX2" s="287"/>
      <x:c r="CY2" s="300"/>
      <x:c r="CZ2" s="243"/>
      <x:c r="DA2" s="292"/>
      <x:c r="DB2" s="292"/>
      <x:c r="DC2" s="292"/>
      <x:c r="DD2" s="292"/>
      <x:c r="DE2" s="292"/>
      <x:c r="DF2" s="292"/>
      <x:c r="DG2" s="292"/>
      <x:c r="DH2" s="292"/>
      <x:c r="DI2" s="292"/>
      <x:c r="DJ2" s="294"/>
      <x:c r="DK2" s="294"/>
      <x:c r="DL2" s="294"/>
      <x:c r="DM2" s="294"/>
      <x:c r="DN2" s="294"/>
      <x:c r="DO2" s="294"/>
      <x:c r="DP2" s="294"/>
      <x:c r="DQ2" s="287"/>
      <x:c r="DR2" s="287"/>
      <x:c r="DS2" s="287"/>
      <x:c r="DT2" s="287"/>
      <x:c r="DU2" s="287"/>
      <x:c r="DV2" s="287"/>
      <x:c r="DW2" s="287"/>
      <x:c r="DX2" s="287"/>
      <x:c r="DY2" s="287"/>
      <x:c r="DZ2" s="287"/>
      <x:c r="EA2" s="287"/>
      <x:c r="EB2" s="287"/>
      <x:c r="EC2" s="293"/>
      <x:c r="ED2" s="293"/>
      <x:c r="EE2" s="293"/>
      <x:c r="EF2" s="293"/>
      <x:c r="EG2" s="293"/>
      <x:c r="EH2" s="292"/>
      <x:c r="EI2" s="292"/>
      <x:c r="EJ2" s="292"/>
      <x:c r="EK2" s="292"/>
      <x:c r="EL2" s="287"/>
      <x:c r="EM2" s="287"/>
      <x:c r="EN2" s="1178"/>
      <x:c r="EO2" s="1176"/>
      <x:c r="EP2" s="287"/>
      <x:c r="EQ2" s="1176"/>
      <x:c r="ER2" s="287"/>
      <x:c r="ES2" s="287"/>
      <x:c r="ET2" s="287"/>
      <x:c r="EU2" s="287"/>
      <x:c r="EV2" s="586" t="s">
        <x:v>772</x:v>
      </x:c>
      <x:c r="EW2" s="360"/>
      <x:c r="EY2" s="359"/>
      <x:c r="EZ2" s="361" t="s">
        <x:v>505</x:v>
      </x:c>
      <x:c r="FA2" s="362">
        <x:f>'Job Info.'!L19</x:f>
        <x:v>0.375</x:v>
      </x:c>
      <x:c r="FB2" s="361" t="s">
        <x:v>689</x:v>
      </x:c>
      <x:c r="FC2" s="364">
        <x:f>'Job Info.'!L21</x:f>
        <x:v>0.5</x:v>
      </x:c>
      <x:c r="FD2" s="361" t="s">
        <x:v>690</x:v>
      </x:c>
      <x:c r="FE2" s="364">
        <x:f>'Job Info.'!L22</x:f>
        <x:v>0.25</x:v>
      </x:c>
      <x:c r="FF2" s="360" t="s">
        <x:v>560</x:v>
      </x:c>
      <x:c r="FG2" s="365">
        <x:f>'Job Info.'!L20</x:f>
        <x:v>0.1875</x:v>
      </x:c>
      <x:c r="FH2" s="296"/>
      <x:c r="FI2" s="296"/>
      <x:c r="FJ2" s="296"/>
      <x:c r="FK2" s="296"/>
      <x:c r="FL2" s="296"/>
      <x:c r="FM2" s="296"/>
      <x:c r="FN2" s="296"/>
      <x:c r="FO2" s="296"/>
      <x:c r="FP2" s="296"/>
      <x:c r="FQ2" s="296"/>
      <x:c r="FR2" s="296"/>
      <x:c r="FS2" s="296"/>
      <x:c r="FT2" s="296"/>
      <x:c r="FU2" s="295"/>
      <x:c r="FV2" s="1145"/>
      <x:c r="FW2" s="1145"/>
      <x:c r="FX2" s="1145"/>
      <x:c r="FY2" s="1145"/>
      <x:c r="FZ2" s="584" t="s">
        <x:v>757</x:v>
      </x:c>
      <x:c r="GA2" s="288"/>
      <x:c r="GB2" s="288"/>
      <x:c r="GC2" s="288"/>
      <x:c r="GD2" s="288"/>
      <x:c r="GE2" s="288"/>
      <x:c r="GF2" s="288"/>
      <x:c r="GG2" s="288"/>
      <x:c r="GH2" s="288"/>
      <x:c r="GI2" s="288"/>
      <x:c r="GJ2" s="288"/>
      <x:c r="GL2" s="298"/>
      <x:c r="GM2" s="298"/>
      <x:c r="GN2" s="585" t="s">
        <x:v>758</x:v>
      </x:c>
      <x:c r="GO2" s="298"/>
      <x:c r="GP2" s="298"/>
      <x:c r="GZ2" s="298"/>
      <x:c r="HA2" s="1528"/>
      <x:c r="HB2" s="1528"/>
      <x:c r="HC2" s="1528"/>
      <x:c r="HD2" s="1528"/>
      <x:c r="HE2" s="1528"/>
      <x:c r="HF2" s="1528"/>
      <x:c r="HG2" s="1528"/>
      <x:c r="HH2" s="1528"/>
      <x:c r="HI2" s="1528"/>
      <x:c r="HJ2" s="1529"/>
      <x:c r="HK2" s="1529"/>
      <x:c r="HL2" s="1529"/>
      <x:c r="HM2" s="1530"/>
      <x:c r="HN2" s="1531"/>
      <x:c r="HO2" s="1529"/>
      <x:c r="HP2" s="1529"/>
      <x:c r="HQ2" s="1529"/>
      <x:c r="HR2" s="1529"/>
      <x:c r="HS2" s="1529"/>
      <x:c r="HT2" s="1529"/>
      <x:c r="HU2" s="1529"/>
      <x:c r="HV2" s="1529"/>
      <x:c r="HW2" s="1529"/>
      <x:c r="HX2" s="1529"/>
      <x:c r="HY2" s="1529"/>
      <x:c r="HZ2" s="1529"/>
      <x:c r="IA2" s="1529"/>
      <x:c r="IB2" s="1529"/>
      <x:c r="IC2" s="1529"/>
      <x:c r="ID2" s="1529"/>
      <x:c r="IE2" s="1529"/>
      <x:c r="IF2" s="1529"/>
      <x:c r="IG2" s="1529"/>
      <x:c r="IH2" s="1528"/>
      <x:c r="II2" s="1528"/>
      <x:c r="IJ2" s="1528"/>
      <x:c r="IK2" s="1528"/>
      <x:c r="IL2" s="1532"/>
      <x:c r="IM2" s="1532"/>
      <x:c r="IN2" s="1532"/>
      <x:c r="IO2" s="1532"/>
      <x:c r="IP2" s="1532"/>
      <x:c r="IQ2" s="1532"/>
      <x:c r="IR2" s="1532"/>
      <x:c r="IS2" s="1532"/>
      <x:c r="IT2" s="1532"/>
      <x:c r="IU2" s="1532"/>
      <x:c r="IV2" s="1532"/>
      <x:c r="IW2" s="1532"/>
      <x:c r="IX2" s="1532"/>
      <x:c r="IY2" s="1532"/>
      <x:c r="IZ2" s="1532"/>
      <x:c r="JA2" s="1532"/>
      <x:c r="JB2" s="1532"/>
      <x:c r="JC2" s="1532"/>
      <x:c r="JD2" s="1532"/>
      <x:c r="JE2" s="1532"/>
      <x:c r="JF2" s="1532"/>
      <x:c r="JG2" s="1532"/>
      <x:c r="JH2" s="1532"/>
      <x:c r="JI2" s="1532"/>
      <x:c r="JJ2" s="1532"/>
      <x:c r="JK2" s="1532"/>
      <x:c r="JL2" s="1532"/>
      <x:c r="JM2" s="1532"/>
      <x:c r="JN2" s="1532"/>
      <x:c r="JO2" s="1532"/>
    </x:row>
    <x:row r="3" spans="1:276" s="289" customFormat="1" ht="12.95" customHeight="1" thickBot="1" x14ac:dyDescent="0.3">
      <x:c r="A3" s="454"/>
      <x:c r="B3" s="454"/>
      <x:c r="C3" s="454"/>
      <x:c r="D3" s="454"/>
      <x:c r="E3" s="454"/>
      <x:c r="F3" s="454"/>
      <x:c r="G3" s="454"/>
      <x:c r="H3" s="454"/>
      <x:c r="I3" s="454"/>
      <x:c r="J3" s="454"/>
      <x:c r="K3" s="454"/>
      <x:c r="L3" s="454"/>
      <x:c r="M3" s="454"/>
      <x:c r="N3" s="454"/>
      <x:c r="O3" s="454"/>
      <x:c r="P3" s="454"/>
      <x:c r="Q3" s="2231"/>
      <x:c r="R3" s="2232"/>
      <x:c r="S3" s="2232"/>
      <x:c r="T3" s="2233"/>
      <x:c r="U3" s="454"/>
      <x:c r="V3" s="445"/>
      <x:c r="W3" s="2433" t="s">
        <x:v>99</x:v>
      </x:c>
      <x:c r="X3" s="2433"/>
      <x:c r="Y3" s="2433"/>
      <x:c r="Z3" s="1829" t="str">
        <x:f ca="1">'Job Info.'!D14</x:f>
        <x:v>775-867-2169</x:v>
      </x:c>
      <x:c r="AA3" s="444"/>
      <x:c r="AB3" s="454"/>
      <x:c r="AC3" s="454"/>
      <x:c r="AD3" s="454"/>
      <x:c r="AE3" s="454"/>
      <x:c r="AF3" s="454"/>
      <x:c r="AG3" s="454"/>
      <x:c r="AH3" s="454"/>
      <x:c r="AI3" s="454"/>
      <x:c r="AJ3" s="454"/>
      <x:c r="AK3" s="454"/>
      <x:c r="AL3" s="454"/>
      <x:c r="AM3" s="454"/>
      <x:c r="AN3" s="454"/>
      <x:c r="AO3" s="454"/>
      <x:c r="AP3" s="454"/>
      <x:c r="AQ3" s="444"/>
      <x:c r="AR3" s="454"/>
      <x:c r="AS3" s="454"/>
      <x:c r="AT3" s="454"/>
      <x:c r="AU3" s="2231"/>
      <x:c r="AV3" s="2232"/>
      <x:c r="AW3" s="2232"/>
      <x:c r="AX3" s="2233"/>
      <x:c r="AY3" s="454"/>
      <x:c r="AZ3" s="454"/>
      <x:c r="BA3" s="2433" t="s">
        <x:v>99</x:v>
      </x:c>
      <x:c r="BB3" s="2433"/>
      <x:c r="BC3" s="2433"/>
      <x:c r="BD3" s="2259" t="str">
        <x:f ca="1">'Job Info.'!D14</x:f>
        <x:v>775-867-2169</x:v>
      </x:c>
      <x:c r="BE3" s="2259"/>
      <x:c r="BF3" s="2259"/>
      <x:c r="BG3" s="444"/>
      <x:c r="BH3" s="321"/>
      <x:c r="BI3" s="449"/>
      <x:c r="CA3" s="302"/>
      <x:c r="CB3" s="292"/>
      <x:c r="CC3" s="292"/>
      <x:c r="CD3" s="292"/>
      <x:c r="CE3" s="292"/>
      <x:c r="CF3" s="292"/>
      <x:c r="CG3" s="292"/>
      <x:c r="CH3" s="292"/>
      <x:c r="CI3" s="292"/>
      <x:c r="CJ3" s="292"/>
      <x:c r="CK3" s="292"/>
      <x:c r="CL3" s="292"/>
      <x:c r="CM3" s="292"/>
      <x:c r="CN3" s="292"/>
      <x:c r="CO3" s="293"/>
      <x:c r="CP3" s="239"/>
      <x:c r="CQ3" s="241"/>
      <x:c r="CR3" s="242"/>
      <x:c r="CS3" s="243"/>
      <x:c r="CT3" s="243"/>
      <x:c r="CU3" s="244"/>
      <x:c r="CV3" s="241"/>
      <x:c r="CW3" s="241"/>
      <x:c r="CX3" s="287"/>
      <x:c r="CY3" s="300"/>
      <x:c r="CZ3" s="243"/>
      <x:c r="DA3" s="292"/>
      <x:c r="DB3" s="292"/>
      <x:c r="DC3" s="292"/>
      <x:c r="DD3" s="292"/>
      <x:c r="DE3" s="292"/>
      <x:c r="DF3" s="292"/>
      <x:c r="DG3" s="292"/>
      <x:c r="DH3" s="292"/>
      <x:c r="DI3" s="292"/>
      <x:c r="DJ3" s="294"/>
      <x:c r="DK3" s="294"/>
      <x:c r="DL3" s="294"/>
      <x:c r="DM3" s="294"/>
      <x:c r="DN3" s="294"/>
      <x:c r="DO3" s="294"/>
      <x:c r="DP3" s="294"/>
      <x:c r="DQ3" s="287"/>
      <x:c r="DR3" s="287"/>
      <x:c r="DS3" s="287"/>
      <x:c r="DT3" s="287"/>
      <x:c r="DU3" s="287"/>
      <x:c r="DV3" s="287"/>
      <x:c r="DW3" s="287"/>
      <x:c r="DX3" s="287"/>
      <x:c r="DY3" s="287"/>
      <x:c r="DZ3" s="287"/>
      <x:c r="EA3" s="287"/>
      <x:c r="EB3" s="287"/>
      <x:c r="EC3" s="293"/>
      <x:c r="ED3" s="293"/>
      <x:c r="EE3" s="293"/>
      <x:c r="EF3" s="293"/>
      <x:c r="EG3" s="293"/>
      <x:c r="EH3" s="292"/>
      <x:c r="EI3" s="292"/>
      <x:c r="EJ3" s="292"/>
      <x:c r="EK3" s="292"/>
      <x:c r="EL3" s="294"/>
      <x:c r="EM3" s="287"/>
      <x:c r="EN3" s="1178"/>
      <x:c r="EO3" s="1176"/>
      <x:c r="EP3" s="287"/>
      <x:c r="EQ3" s="287"/>
      <x:c r="ER3" s="287"/>
      <x:c r="ES3" s="287"/>
      <x:c r="ET3" s="287"/>
      <x:c r="EU3" s="287"/>
      <x:c r="EW3" s="360"/>
      <x:c r="EX3" s="366" t="s">
        <x:v>1110</x:v>
      </x:c>
      <x:c r="EY3" s="368" t="s">
        <x:v>1148</x:v>
      </x:c>
      <x:c r="EZ3" s="367" t="s">
        <x:v>172</x:v>
      </x:c>
      <x:c r="FA3" s="368" t="s">
        <x:v>499</x:v>
      </x:c>
      <x:c r="FB3" s="369" t="s">
        <x:v>500</x:v>
      </x:c>
      <x:c r="FC3" s="368" t="s">
        <x:v>501</x:v>
      </x:c>
      <x:c r="FD3" s="368" t="s">
        <x:v>502</x:v>
      </x:c>
      <x:c r="FE3" s="368" t="s">
        <x:v>503</x:v>
      </x:c>
      <x:c r="FF3" s="370" t="s">
        <x:v>722</x:v>
      </x:c>
      <x:c r="FG3" s="2375" t="s">
        <x:v>1153</x:v>
      </x:c>
      <x:c r="FH3" s="2376"/>
      <x:c r="FI3" s="2377"/>
      <x:c r="FJ3" s="296"/>
      <x:c r="FK3" s="296"/>
      <x:c r="FL3" s="296"/>
      <x:c r="FM3" s="296"/>
      <x:c r="FN3" s="296"/>
      <x:c r="FO3" s="296"/>
      <x:c r="FP3" s="296"/>
      <x:c r="FQ3" s="296"/>
      <x:c r="FR3" s="296"/>
      <x:c r="FS3" s="296"/>
      <x:c r="FT3" s="296"/>
      <x:c r="FU3" s="295"/>
      <x:c r="FV3" s="295"/>
      <x:c r="FW3" s="295"/>
      <x:c r="FX3" s="295"/>
      <x:c r="FY3" s="295"/>
      <x:c r="GA3" s="288"/>
      <x:c r="GB3" s="288"/>
      <x:c r="GC3" s="288"/>
      <x:c r="GD3" s="288"/>
      <x:c r="GE3" s="288"/>
      <x:c r="GF3" s="288"/>
      <x:c r="GG3" s="288"/>
      <x:c r="GH3" s="288"/>
      <x:c r="GI3" s="288"/>
      <x:c r="GJ3" s="288"/>
      <x:c r="GK3" s="295"/>
      <x:c r="GL3" s="298"/>
      <x:c r="GM3" s="298"/>
      <x:c r="GN3" s="298"/>
      <x:c r="GO3" s="298"/>
      <x:c r="GP3" s="298"/>
      <x:c r="GZ3" s="298"/>
      <x:c r="HA3" s="1528"/>
      <x:c r="HB3" s="1528"/>
      <x:c r="HC3" s="1533"/>
      <x:c r="HD3" s="1528"/>
      <x:c r="HE3" s="1528"/>
      <x:c r="HF3" s="1528"/>
      <x:c r="HG3" s="1528"/>
      <x:c r="HH3" s="1528"/>
      <x:c r="HI3" s="1528"/>
      <x:c r="HJ3" s="1529"/>
      <x:c r="HK3" s="1529"/>
      <x:c r="HL3" s="1529"/>
      <x:c r="HM3" s="1530"/>
      <x:c r="HN3" s="1531"/>
      <x:c r="HO3" s="1529"/>
      <x:c r="HP3" s="1529"/>
      <x:c r="HQ3" s="1529"/>
      <x:c r="HR3" s="1529"/>
      <x:c r="HS3" s="1529"/>
      <x:c r="HT3" s="1529"/>
      <x:c r="HU3" s="1529"/>
      <x:c r="HV3" s="1529"/>
      <x:c r="HW3" s="1529"/>
      <x:c r="HX3" s="1529"/>
      <x:c r="HY3" s="1529"/>
      <x:c r="HZ3" s="1529"/>
      <x:c r="IA3" s="1529"/>
      <x:c r="IB3" s="1529"/>
      <x:c r="IC3" s="1529"/>
      <x:c r="ID3" s="1529"/>
      <x:c r="IE3" s="1529"/>
      <x:c r="IF3" s="1529"/>
      <x:c r="IG3" s="1529"/>
      <x:c r="IH3" s="1528"/>
      <x:c r="II3" s="1528"/>
      <x:c r="IJ3" s="1528"/>
      <x:c r="IK3" s="1528"/>
      <x:c r="IL3" s="1532"/>
      <x:c r="IM3" s="1532"/>
      <x:c r="IN3" s="1532"/>
      <x:c r="IO3" s="1532"/>
      <x:c r="IP3" s="1532"/>
      <x:c r="IQ3" s="1532"/>
      <x:c r="IR3" s="1532"/>
      <x:c r="IS3" s="1532"/>
      <x:c r="IT3" s="1532"/>
      <x:c r="IU3" s="1532"/>
      <x:c r="IV3" s="1532"/>
      <x:c r="IW3" s="1532"/>
      <x:c r="IX3" s="1532"/>
      <x:c r="IY3" s="1532"/>
      <x:c r="IZ3" s="1532"/>
      <x:c r="JA3" s="1532"/>
      <x:c r="JB3" s="1532"/>
      <x:c r="JC3" s="1532"/>
      <x:c r="JD3" s="1532"/>
      <x:c r="JE3" s="1532"/>
      <x:c r="JF3" s="1532"/>
      <x:c r="JG3" s="1532"/>
      <x:c r="JH3" s="1532"/>
      <x:c r="JI3" s="1532"/>
      <x:c r="JJ3" s="1532"/>
      <x:c r="JK3" s="1532"/>
      <x:c r="JL3" s="1532"/>
      <x:c r="JM3" s="1532"/>
      <x:c r="JN3" s="1532"/>
      <x:c r="JO3" s="1532"/>
    </x:row>
    <x:row r="4" spans="1:276" s="289" customFormat="1" ht="12.95" customHeight="1" thickTop="1" thickBot="1" x14ac:dyDescent="0.25">
      <x:c r="A4" s="454"/>
      <x:c r="B4" s="454"/>
      <x:c r="C4" s="454"/>
      <x:c r="D4" s="454"/>
      <x:c r="E4" s="454"/>
      <x:c r="F4" s="454"/>
      <x:c r="G4" s="454"/>
      <x:c r="H4" s="454"/>
      <x:c r="I4" s="454"/>
      <x:c r="J4" s="454"/>
      <x:c r="K4" s="454"/>
      <x:c r="L4" s="454"/>
      <x:c r="M4" s="1398"/>
      <x:c r="N4" s="444"/>
      <x:c r="O4" s="444"/>
      <x:c r="P4" s="444"/>
      <x:c r="Q4" s="2234" t="str">
        <x:f>IF(BJ1="","",IF(VLOOKUP(BJ1,'Job Info.'!X:Z,2,FALSE),VLOOKUP(BJ1,'Job Info.'!X:Z,3,FALSE),""))</x:f>
        <x:v/>
      </x:c>
      <x:c r="R4" s="2235"/>
      <x:c r="S4" s="2235"/>
      <x:c r="T4" s="2236"/>
      <x:c r="U4" s="444"/>
      <x:c r="V4" s="445"/>
      <x:c r="W4" s="2433" t="s">
        <x:v>98</x:v>
      </x:c>
      <x:c r="X4" s="2433"/>
      <x:c r="Y4" s="2433"/>
      <x:c r="Z4" s="1829" t="str">
        <x:f ca="1">'Job Info.'!D15</x:f>
        <x:v>775-867-2060</x:v>
      </x:c>
      <x:c r="AA4" s="444"/>
      <x:c r="AB4" s="444"/>
      <x:c r="AC4" s="444"/>
      <x:c r="AD4" s="444"/>
      <x:c r="AE4" s="444"/>
      <x:c r="AF4" s="444"/>
      <x:c r="AG4" s="444"/>
      <x:c r="AH4" s="444"/>
      <x:c r="AI4" s="444"/>
      <x:c r="AJ4" s="444"/>
      <x:c r="AK4" s="444"/>
      <x:c r="AL4" s="444"/>
      <x:c r="AM4" s="444"/>
      <x:c r="AN4" s="444"/>
      <x:c r="AO4" s="444"/>
      <x:c r="AP4" s="444"/>
      <x:c r="AQ4" s="444"/>
      <x:c r="AR4" s="1398"/>
      <x:c r="AS4" s="1398"/>
      <x:c r="AT4" s="444"/>
      <x:c r="AU4" s="2234" t="str">
        <x:f>Q4</x:f>
        <x:v/>
      </x:c>
      <x:c r="AV4" s="2679"/>
      <x:c r="AW4" s="2679"/>
      <x:c r="AX4" s="2680"/>
      <x:c r="AY4" s="454"/>
      <x:c r="AZ4" s="454"/>
      <x:c r="BA4" s="2433" t="s">
        <x:v>98</x:v>
      </x:c>
      <x:c r="BB4" s="2433"/>
      <x:c r="BC4" s="2433"/>
      <x:c r="BD4" s="2259" t="str">
        <x:f ca="1">'Job Info.'!D15</x:f>
        <x:v>775-867-2060</x:v>
      </x:c>
      <x:c r="BE4" s="2259"/>
      <x:c r="BF4" s="2259"/>
      <x:c r="BG4" s="444"/>
      <x:c r="BH4" s="321"/>
      <x:c r="BI4" s="449"/>
      <x:c r="CA4" s="302"/>
      <x:c r="CB4" s="292"/>
      <x:c r="CC4" s="292"/>
      <x:c r="CD4" s="292"/>
      <x:c r="CE4" s="292"/>
      <x:c r="CF4" s="292"/>
      <x:c r="CG4" s="292"/>
      <x:c r="CH4" s="292"/>
      <x:c r="CI4" s="292"/>
      <x:c r="CJ4" s="292"/>
      <x:c r="CK4" s="292"/>
      <x:c r="CL4" s="305"/>
      <x:c r="CM4" s="292"/>
      <x:c r="CN4" s="292"/>
      <x:c r="CO4" s="293"/>
      <x:c r="CP4" s="293"/>
      <x:c r="CQ4" s="293"/>
      <x:c r="CR4" s="293"/>
      <x:c r="CS4" s="293"/>
      <x:c r="CT4" s="293"/>
      <x:c r="CU4" s="293"/>
      <x:c r="CV4" s="293"/>
      <x:c r="CW4" s="293"/>
      <x:c r="CX4" s="287"/>
      <x:c r="CY4" s="293"/>
      <x:c r="CZ4" s="650" t="s">
        <x:v>719</x:v>
      </x:c>
      <x:c r="DA4" s="2373"/>
      <x:c r="DB4" s="2374"/>
      <x:c r="DC4" s="2374"/>
      <x:c r="DD4" s="2374"/>
      <x:c r="DE4" s="292"/>
      <x:c r="DF4" s="292"/>
      <x:c r="DG4" s="292"/>
      <x:c r="DH4" s="292"/>
      <x:c r="DI4" s="292"/>
      <x:c r="DJ4" s="294"/>
      <x:c r="DK4" s="294"/>
      <x:c r="DL4" s="294"/>
      <x:c r="DM4" s="294"/>
      <x:c r="DN4" s="294"/>
      <x:c r="DO4" s="294"/>
      <x:c r="DP4" s="294"/>
      <x:c r="DQ4" s="287"/>
      <x:c r="DR4" s="287"/>
      <x:c r="DS4" s="287"/>
      <x:c r="DT4" s="287"/>
      <x:c r="DU4" s="287"/>
      <x:c r="DV4" s="287"/>
      <x:c r="DW4" s="287"/>
      <x:c r="DX4" s="287"/>
      <x:c r="DY4" s="287"/>
      <x:c r="DZ4" s="287"/>
      <x:c r="EA4" s="287"/>
      <x:c r="EB4" s="287"/>
      <x:c r="EC4" s="293"/>
      <x:c r="ED4" s="293"/>
      <x:c r="EE4" s="293"/>
      <x:c r="EF4" s="293"/>
      <x:c r="EG4" s="293"/>
      <x:c r="EH4" s="292"/>
      <x:c r="EI4" s="292"/>
      <x:c r="EJ4" s="292"/>
      <x:c r="EK4" s="292"/>
      <x:c r="EL4" s="294"/>
      <x:c r="EM4" s="287"/>
      <x:c r="EN4" s="1178"/>
      <x:c r="EO4" s="1176"/>
      <x:c r="EP4" s="1176"/>
      <x:c r="EQ4" s="287"/>
      <x:c r="ER4" s="287"/>
      <x:c r="ES4" s="287"/>
      <x:c r="ET4" s="287"/>
      <x:c r="EU4" s="1176"/>
      <x:c r="EW4" s="371" t="s">
        <x:v>475</x:v>
      </x:c>
      <x:c r="EX4" s="372">
        <x:v>1.125</x:v>
      </x:c>
      <x:c r="EY4" s="374">
        <x:f>'Job Info.'!N15/2</x:f>
        <x:v>1.5</x:v>
      </x:c>
      <x:c r="EZ4" s="373">
        <x:f>'Job Info.'!H15</x:f>
        <x:v>7.5</x:v>
      </x:c>
      <x:c r="FA4" s="374">
        <x:f>'Job Info.'!J15</x:f>
        <x:v>6</x:v>
      </x:c>
      <x:c r="FB4" s="374">
        <x:f>'Job Info.'!I15</x:f>
        <x:v>4</x:v>
      </x:c>
      <x:c r="FC4" s="374">
        <x:f>'Job Info.'!K15</x:f>
        <x:v>5</x:v>
      </x:c>
      <x:c r="FD4" s="375">
        <x:f>'Job Info.'!M15</x:f>
        <x:v>0.8125</x:v>
      </x:c>
      <x:c r="FE4" s="374">
        <x:f>'Job Info.'!L15</x:f>
        <x:v>1.5</x:v>
      </x:c>
      <x:c r="FF4" s="376">
        <x:f>'Job Info.'!O15</x:f>
        <x:v>5</x:v>
      </x:c>
      <x:c r="FG4" s="993">
        <x:v>0</x:v>
      </x:c>
      <x:c r="FH4" s="993">
        <x:v>7.125</x:v>
      </x:c>
      <x:c r="FI4" s="994">
        <x:v>17.125</x:v>
      </x:c>
      <x:c r="GA4" s="287"/>
      <x:c r="GB4" s="287"/>
      <x:c r="GC4" s="287"/>
      <x:c r="GD4" s="287"/>
      <x:c r="GE4" s="287"/>
      <x:c r="GF4" s="288"/>
      <x:c r="GG4" s="288"/>
      <x:c r="GH4" s="288"/>
      <x:c r="GI4" s="288"/>
      <x:c r="GJ4" s="288"/>
      <x:c r="GK4" s="295"/>
      <x:c r="GL4" s="298"/>
      <x:c r="GM4" s="298"/>
      <x:c r="GN4" s="298"/>
      <x:c r="GO4" s="298"/>
      <x:c r="GP4" s="298"/>
      <x:c r="GZ4" s="298"/>
      <x:c r="HA4" s="1528"/>
      <x:c r="HB4" s="1528"/>
      <x:c r="HC4" s="1533"/>
      <x:c r="HD4" s="1528"/>
      <x:c r="HE4" s="1528"/>
      <x:c r="HF4" s="1528"/>
      <x:c r="HG4" s="1528"/>
      <x:c r="HH4" s="1528"/>
      <x:c r="HI4" s="1528"/>
      <x:c r="HJ4" s="1529"/>
      <x:c r="HK4" s="1529"/>
      <x:c r="HL4" s="1529"/>
      <x:c r="HM4" s="1530"/>
      <x:c r="HN4" s="1531"/>
      <x:c r="HO4" s="1529"/>
      <x:c r="HP4" s="1529"/>
      <x:c r="HQ4" s="1529"/>
      <x:c r="HR4" s="1529"/>
      <x:c r="HS4" s="1529"/>
      <x:c r="HT4" s="1529"/>
      <x:c r="HU4" s="1529"/>
      <x:c r="HV4" s="1529"/>
      <x:c r="HW4" s="1529"/>
      <x:c r="HX4" s="1529"/>
      <x:c r="HY4" s="1529"/>
      <x:c r="HZ4" s="1529"/>
      <x:c r="IA4" s="1529"/>
      <x:c r="IB4" s="1529"/>
      <x:c r="IC4" s="1529"/>
      <x:c r="ID4" s="1529"/>
      <x:c r="IE4" s="1529"/>
      <x:c r="IF4" s="1529"/>
      <x:c r="IG4" s="1529"/>
      <x:c r="IH4" s="1528"/>
      <x:c r="II4" s="1528"/>
      <x:c r="IJ4" s="1528"/>
      <x:c r="IK4" s="1528"/>
      <x:c r="IL4" s="1532"/>
      <x:c r="IM4" s="1532"/>
      <x:c r="IN4" s="1532"/>
      <x:c r="IO4" s="1532"/>
      <x:c r="IP4" s="1532"/>
      <x:c r="IQ4" s="1532"/>
      <x:c r="IR4" s="1532"/>
      <x:c r="IS4" s="1532"/>
      <x:c r="IT4" s="1532"/>
      <x:c r="IU4" s="1532"/>
      <x:c r="IV4" s="1532"/>
      <x:c r="IW4" s="1532"/>
      <x:c r="IX4" s="1532"/>
      <x:c r="IY4" s="1532"/>
      <x:c r="IZ4" s="1532"/>
      <x:c r="JA4" s="1532"/>
      <x:c r="JB4" s="1532"/>
      <x:c r="JC4" s="1532"/>
      <x:c r="JD4" s="1532"/>
      <x:c r="JE4" s="1532"/>
      <x:c r="JF4" s="1532"/>
      <x:c r="JG4" s="1532"/>
      <x:c r="JH4" s="1532"/>
      <x:c r="JI4" s="1532"/>
      <x:c r="JJ4" s="1532"/>
      <x:c r="JK4" s="1532"/>
      <x:c r="JL4" s="1532"/>
      <x:c r="JM4" s="1532"/>
      <x:c r="JN4" s="1532"/>
      <x:c r="JO4" s="1532"/>
    </x:row>
    <x:row r="5" spans="1:276" s="289" customFormat="1" ht="12.95" customHeight="1" thickTop="1" thickBot="1" x14ac:dyDescent="0.25">
      <x:c r="A5" s="2426" t="str">
        <x:f ca="1">'Job Info.'!D11</x:f>
        <x:v>8200 Woolery Way | Fallon, NV 89406 | www.newmill.com</x:v>
      </x:c>
      <x:c r="B5" s="2427"/>
      <x:c r="C5" s="2427"/>
      <x:c r="D5" s="2427"/>
      <x:c r="E5" s="2427"/>
      <x:c r="F5" s="2427"/>
      <x:c r="G5" s="2427"/>
      <x:c r="H5" s="2427"/>
      <x:c r="I5" s="2427"/>
      <x:c r="J5" s="2427"/>
      <x:c r="K5" s="2427"/>
      <x:c r="L5" s="2427"/>
      <x:c r="M5" s="444"/>
      <x:c r="N5" s="444"/>
      <x:c r="O5" s="444"/>
      <x:c r="P5" s="444"/>
      <x:c r="Q5" s="444"/>
      <x:c r="R5" s="444"/>
      <x:c r="S5" s="444"/>
      <x:c r="T5" s="444"/>
      <x:c r="U5" s="444"/>
      <x:c r="V5" s="444"/>
      <x:c r="W5" s="444"/>
      <x:c r="X5" s="444"/>
      <x:c r="Y5" s="1399"/>
      <x:c r="Z5" s="1399"/>
      <x:c r="AA5" s="444"/>
      <x:c r="AB5" s="2450" t="str">
        <x:f ca="1">'Job Info.'!D11</x:f>
        <x:v>8200 Woolery Way | Fallon, NV 89406 | www.newmill.com</x:v>
      </x:c>
      <x:c r="AC5" s="2683"/>
      <x:c r="AD5" s="2683"/>
      <x:c r="AE5" s="2683"/>
      <x:c r="AF5" s="2683"/>
      <x:c r="AG5" s="2683"/>
      <x:c r="AH5" s="2683"/>
      <x:c r="AI5" s="2683"/>
      <x:c r="AJ5" s="2683"/>
      <x:c r="AK5" s="2683"/>
      <x:c r="AL5" s="2683"/>
      <x:c r="AM5" s="2683"/>
      <x:c r="AN5" s="2683"/>
      <x:c r="AO5" s="2683"/>
      <x:c r="AP5" s="2683"/>
      <x:c r="AQ5" s="2683"/>
      <x:c r="AR5" s="444"/>
      <x:c r="AS5" s="444"/>
      <x:c r="AT5" s="444"/>
      <x:c r="AU5" s="444"/>
      <x:c r="AV5" s="444"/>
      <x:c r="AW5" s="444"/>
      <x:c r="AX5" s="444"/>
      <x:c r="AY5" s="444"/>
      <x:c r="AZ5" s="444"/>
      <x:c r="BA5" s="444"/>
      <x:c r="BB5" s="444"/>
      <x:c r="BC5" s="444"/>
      <x:c r="BD5" s="444"/>
      <x:c r="BE5" s="444"/>
      <x:c r="BF5" s="444"/>
      <x:c r="BG5" s="444"/>
      <x:c r="BH5" s="321"/>
      <x:c r="BI5" s="449"/>
      <x:c r="CA5" s="302"/>
      <x:c r="CB5" s="292"/>
      <x:c r="CC5" s="292"/>
      <x:c r="CD5" s="292"/>
      <x:c r="CE5" s="292"/>
      <x:c r="CF5" s="292"/>
      <x:c r="CG5" s="292"/>
      <x:c r="CH5" s="292"/>
      <x:c r="CI5" s="292"/>
      <x:c r="CJ5" s="292"/>
      <x:c r="CK5" s="292"/>
      <x:c r="CL5" s="306"/>
      <x:c r="CM5" s="292"/>
      <x:c r="CN5" s="292"/>
      <x:c r="CO5" s="293"/>
      <x:c r="CP5" s="293"/>
      <x:c r="CQ5" s="293"/>
      <x:c r="CR5" s="293"/>
      <x:c r="CS5" s="293"/>
      <x:c r="CT5" s="293"/>
      <x:c r="CU5" s="293"/>
      <x:c r="CV5" s="293"/>
      <x:c r="CW5" s="293"/>
      <x:c r="CX5" s="287"/>
      <x:c r="CY5" s="293"/>
      <x:c r="CZ5" s="293"/>
      <x:c r="DA5" s="292"/>
      <x:c r="DB5" s="292"/>
      <x:c r="DC5" s="292"/>
      <x:c r="DD5" s="292"/>
      <x:c r="DE5" s="292"/>
      <x:c r="DF5" s="292"/>
      <x:c r="DG5" s="292"/>
      <x:c r="DH5" s="292"/>
      <x:c r="DI5" s="292"/>
      <x:c r="DJ5" s="294"/>
      <x:c r="DK5" s="294"/>
      <x:c r="DL5" s="294"/>
      <x:c r="DM5" s="294"/>
      <x:c r="DN5" s="294"/>
      <x:c r="DO5" s="294"/>
      <x:c r="DP5" s="294"/>
      <x:c r="DQ5" s="287"/>
      <x:c r="DR5" s="287"/>
      <x:c r="DS5" s="287"/>
      <x:c r="DT5" s="287"/>
      <x:c r="DU5" s="287"/>
      <x:c r="DV5" s="287"/>
      <x:c r="DW5" s="287"/>
      <x:c r="DX5" s="287"/>
      <x:c r="DY5" s="287"/>
      <x:c r="DZ5" s="287"/>
      <x:c r="EA5" s="287"/>
      <x:c r="EB5" s="287"/>
      <x:c r="EC5" s="293"/>
      <x:c r="ED5" s="293"/>
      <x:c r="EE5" s="293"/>
      <x:c r="EF5" s="293"/>
      <x:c r="EG5" s="293"/>
      <x:c r="EH5" s="292"/>
      <x:c r="EI5" s="292"/>
      <x:c r="EJ5" s="292"/>
      <x:c r="EK5" s="292"/>
      <x:c r="EL5" s="294"/>
      <x:c r="EM5" s="287"/>
      <x:c r="EN5" s="1178"/>
      <x:c r="EO5" s="1176"/>
      <x:c r="EP5" s="1176"/>
      <x:c r="EQ5" s="1176"/>
      <x:c r="ER5" s="1179"/>
      <x:c r="ES5" s="1179"/>
      <x:c r="ET5" s="1179"/>
      <x:c r="EU5" s="1179"/>
      <x:c r="EV5" s="377"/>
      <x:c r="EW5" s="1291" t="s">
        <x:v>1177</x:v>
      </x:c>
      <x:c r="EX5" s="1292">
        <x:f ca="1">OFFSET('Job Info.'!AI3,'Job Info.'!P34,1)</x:f>
        <x:v>1.1499999999999999</x:v>
      </x:c>
      <x:c r="EY5" s="360"/>
      <x:c r="EZ5" s="359"/>
      <x:c r="FA5" s="359"/>
      <x:c r="FB5" s="360"/>
      <x:c r="FC5" s="360"/>
      <x:c r="FD5" s="360"/>
      <x:c r="FE5" s="296"/>
      <x:c r="FG5" s="995">
        <x:v>4.5</x:v>
      </x:c>
      <x:c r="FH5" s="995">
        <x:v>5</x:v>
      </x:c>
      <x:c r="FI5" s="996">
        <x:v>6</x:v>
      </x:c>
      <x:c r="GA5" s="287"/>
      <x:c r="GB5" s="287"/>
      <x:c r="GC5" s="287"/>
      <x:c r="GD5" s="287"/>
      <x:c r="GE5" s="287"/>
      <x:c r="GF5" s="288"/>
      <x:c r="GG5" s="288"/>
      <x:c r="GH5" s="288"/>
      <x:c r="GI5" s="288"/>
      <x:c r="GJ5" s="288"/>
      <x:c r="GK5" s="295"/>
      <x:c r="GL5" s="298"/>
      <x:c r="GM5" s="298"/>
      <x:c r="GN5" s="298"/>
      <x:c r="GO5" s="298"/>
      <x:c r="GP5" s="298"/>
      <x:c r="GZ5" s="298"/>
      <x:c r="HA5" s="1534"/>
      <x:c r="HB5" s="1535"/>
      <x:c r="HC5" s="1535"/>
      <x:c r="HD5" s="1535"/>
      <x:c r="HE5" s="1535"/>
      <x:c r="HF5" s="1535"/>
      <x:c r="HG5" s="1535"/>
      <x:c r="HH5" s="1535"/>
      <x:c r="HI5" s="1535"/>
      <x:c r="HJ5" s="1535"/>
      <x:c r="HK5" s="1535"/>
      <x:c r="HL5" s="1535"/>
      <x:c r="HM5" s="1535"/>
      <x:c r="HN5" s="1535"/>
      <x:c r="HO5" s="1535"/>
      <x:c r="HP5" s="1535"/>
      <x:c r="HQ5" s="1535"/>
      <x:c r="HR5" s="1535"/>
      <x:c r="HS5" s="1535"/>
      <x:c r="HT5" s="1535"/>
      <x:c r="HU5" s="1535"/>
      <x:c r="HV5" s="1535"/>
      <x:c r="HW5" s="1535"/>
      <x:c r="HX5" s="1535"/>
      <x:c r="HY5" s="1529"/>
      <x:c r="HZ5" s="1529"/>
      <x:c r="IA5" s="1529"/>
      <x:c r="IB5" s="1529"/>
      <x:c r="IC5" s="1529"/>
      <x:c r="ID5" s="1529"/>
      <x:c r="IE5" s="1529"/>
      <x:c r="IF5" s="1529"/>
      <x:c r="IG5" s="1529"/>
      <x:c r="IH5" s="1532"/>
      <x:c r="II5" s="1532"/>
      <x:c r="IJ5" s="1532"/>
      <x:c r="IK5" s="1532"/>
      <x:c r="IL5" s="1532"/>
      <x:c r="IM5" s="1532"/>
      <x:c r="IN5" s="1532"/>
      <x:c r="IO5" s="1532"/>
      <x:c r="IP5" s="1532"/>
      <x:c r="IQ5" s="1532"/>
      <x:c r="IR5" s="1532"/>
      <x:c r="IS5" s="1532"/>
      <x:c r="IT5" s="1532"/>
      <x:c r="IU5" s="1532"/>
      <x:c r="IV5" s="1532"/>
      <x:c r="IW5" s="1532"/>
      <x:c r="IX5" s="1532"/>
      <x:c r="IY5" s="1532"/>
      <x:c r="IZ5" s="1532"/>
      <x:c r="JA5" s="1532"/>
      <x:c r="JB5" s="1532"/>
      <x:c r="JC5" s="1532"/>
      <x:c r="JD5" s="1532"/>
      <x:c r="JE5" s="1532"/>
      <x:c r="JF5" s="1532"/>
      <x:c r="JG5" s="1532"/>
      <x:c r="JH5" s="1532"/>
      <x:c r="JI5" s="1532"/>
      <x:c r="JJ5" s="1532"/>
      <x:c r="JK5" s="1532"/>
      <x:c r="JL5" s="1532"/>
      <x:c r="JM5" s="1532"/>
      <x:c r="JN5" s="1532"/>
      <x:c r="JO5" s="1532"/>
    </x:row>
    <x:row r="6" spans="1:276" s="289" customFormat="1" ht="12.95" customHeight="1" thickTop="1" thickBot="1" x14ac:dyDescent="0.25">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2423" t="s">
        <x:v>20</x:v>
      </x:c>
      <x:c r="W6" s="2423"/>
      <x:c r="X6" s="2300">
        <x:f>IF(ISBLANK('Job Info.'!D8),"",'Job Info.'!D8)</x:f>
        <x:v>43406</x:v>
      </x:c>
      <x:c r="Y6" s="2300"/>
      <x:c r="Z6" s="1399"/>
      <x:c r="AA6" s="444"/>
      <x:c r="AB6" s="444"/>
      <x:c r="AC6" s="444"/>
      <x:c r="AD6" s="444"/>
      <x:c r="AE6" s="444"/>
      <x:c r="AF6" s="444"/>
      <x:c r="AG6" s="444"/>
      <x:c r="AH6" s="444"/>
      <x:c r="AI6" s="444"/>
      <x:c r="AJ6" s="444"/>
      <x:c r="AK6" s="444"/>
      <x:c r="AL6" s="444"/>
      <x:c r="AM6" s="444"/>
      <x:c r="AN6" s="444"/>
      <x:c r="AO6" s="444"/>
      <x:c r="AP6" s="444"/>
      <x:c r="AQ6" s="444"/>
      <x:c r="AR6" s="444"/>
      <x:c r="AS6" s="444"/>
      <x:c r="AT6" s="444"/>
      <x:c r="AU6" s="444"/>
      <x:c r="AV6" s="444"/>
      <x:c r="AW6" s="444"/>
      <x:c r="AX6" s="444"/>
      <x:c r="AY6" s="444"/>
      <x:c r="AZ6" s="2424" t="s">
        <x:v>20</x:v>
      </x:c>
      <x:c r="BA6" s="2424"/>
      <x:c r="BB6" s="2300">
        <x:f>X6</x:f>
        <x:v>43406</x:v>
      </x:c>
      <x:c r="BC6" s="2300"/>
      <x:c r="BD6" s="2300"/>
      <x:c r="BE6" s="1400"/>
      <x:c r="BF6" s="444"/>
      <x:c r="BG6" s="444"/>
      <x:c r="BH6" s="321"/>
      <x:c r="BI6" s="1392" t="s">
        <x:v>1180</x:v>
      </x:c>
      <x:c r="CA6" s="302"/>
      <x:c r="CB6" s="292"/>
      <x:c r="CC6" s="292"/>
      <x:c r="CD6" s="292"/>
      <x:c r="CE6" s="292"/>
      <x:c r="CF6" s="292"/>
      <x:c r="CG6" s="292"/>
      <x:c r="CH6" s="292"/>
      <x:c r="CI6" s="292"/>
      <x:c r="CJ6" s="292"/>
      <x:c r="CK6" s="292"/>
      <x:c r="CL6" s="292"/>
      <x:c r="CM6" s="292"/>
      <x:c r="CN6" s="292"/>
      <x:c r="CO6" s="292"/>
      <x:c r="CP6" s="292"/>
      <x:c r="CQ6" s="292"/>
      <x:c r="CR6" s="292"/>
      <x:c r="CS6" s="292"/>
      <x:c r="CT6" s="292"/>
      <x:c r="CU6" s="292"/>
      <x:c r="CV6" s="292"/>
      <x:c r="CW6" s="292"/>
      <x:c r="CX6" s="287"/>
      <x:c r="CY6" s="292"/>
      <x:c r="CZ6" s="292"/>
      <x:c r="DA6" s="292"/>
      <x:c r="DB6" s="292"/>
      <x:c r="DC6" s="292"/>
      <x:c r="DD6" s="292"/>
      <x:c r="DE6" s="292"/>
      <x:c r="DF6" s="292"/>
      <x:c r="DG6" s="651"/>
      <x:c r="DH6" s="2662" t="s">
        <x:v>680</x:v>
      </x:c>
      <x:c r="DI6" s="2597"/>
      <x:c r="DJ6" s="2597"/>
      <x:c r="DK6" s="2597"/>
      <x:c r="DL6" s="2597"/>
      <x:c r="DM6" s="2597"/>
      <x:c r="DN6" s="2597"/>
      <x:c r="DO6" s="2597"/>
      <x:c r="DP6" s="2597"/>
      <x:c r="DQ6" s="2597"/>
      <x:c r="DR6" s="2597"/>
      <x:c r="DS6" s="2597"/>
      <x:c r="DT6" s="2597"/>
      <x:c r="DU6" s="2597"/>
      <x:c r="DV6" s="2597"/>
      <x:c r="DW6" s="2597"/>
      <x:c r="DX6" s="2597"/>
      <x:c r="DY6" s="2597"/>
      <x:c r="DZ6" s="2597"/>
      <x:c r="EA6" s="2597"/>
      <x:c r="EB6" s="2597"/>
      <x:c r="EC6" s="2597"/>
      <x:c r="ED6" s="2597"/>
      <x:c r="EE6" s="2597"/>
      <x:c r="EF6" s="2597"/>
      <x:c r="EG6" s="2597"/>
      <x:c r="EH6" s="2597"/>
      <x:c r="EI6" s="2597"/>
      <x:c r="EJ6" s="2597"/>
      <x:c r="EK6" s="2663"/>
      <x:c r="EL6" s="294"/>
      <x:c r="EM6" s="294"/>
      <x:c r="EN6" s="294"/>
      <x:c r="EO6" s="1179"/>
      <x:c r="EP6" s="1179"/>
      <x:c r="EQ6" s="1179"/>
      <x:c r="ER6" s="1179"/>
      <x:c r="ES6" s="1179"/>
      <x:c r="ET6" s="1180"/>
      <x:c r="EU6" s="1176"/>
      <x:c r="EV6" s="359"/>
      <x:c r="FQ6" s="582"/>
      <x:c r="GA6" s="287"/>
      <x:c r="GB6" s="287"/>
      <x:c r="GC6" s="287"/>
      <x:c r="GD6" s="287"/>
      <x:c r="GE6" s="287"/>
      <x:c r="GF6" s="288"/>
      <x:c r="GG6" s="288"/>
      <x:c r="GH6" s="288"/>
      <x:c r="GI6" s="288"/>
      <x:c r="GJ6" s="288"/>
      <x:c r="GK6" s="295"/>
      <x:c r="GL6" s="298"/>
      <x:c r="GM6" s="298"/>
      <x:c r="GN6" s="298"/>
      <x:c r="GO6" s="298"/>
      <x:c r="GP6" s="298"/>
      <x:c r="GZ6" s="298"/>
      <x:c r="HA6" s="1535"/>
      <x:c r="HB6" s="1535"/>
      <x:c r="HC6" s="1535"/>
      <x:c r="HD6" s="1535"/>
      <x:c r="HE6" s="1535"/>
      <x:c r="HF6" s="1535"/>
      <x:c r="HG6" s="1535"/>
      <x:c r="HH6" s="1535"/>
      <x:c r="HI6" s="1535"/>
      <x:c r="HJ6" s="1535"/>
      <x:c r="HK6" s="1535"/>
      <x:c r="HL6" s="1535"/>
      <x:c r="HM6" s="1535"/>
      <x:c r="HN6" s="1535"/>
      <x:c r="HO6" s="1535"/>
      <x:c r="HP6" s="1535"/>
      <x:c r="HQ6" s="1535"/>
      <x:c r="HR6" s="1535"/>
      <x:c r="HS6" s="1535"/>
      <x:c r="HT6" s="1535"/>
      <x:c r="HU6" s="1535"/>
      <x:c r="HV6" s="1535"/>
      <x:c r="HW6" s="1535"/>
      <x:c r="HX6" s="1535"/>
      <x:c r="HY6" s="1536"/>
      <x:c r="HZ6" s="1529"/>
      <x:c r="IA6" s="1529"/>
      <x:c r="IB6" s="1529"/>
      <x:c r="IC6" s="1529"/>
      <x:c r="ID6" s="1529"/>
      <x:c r="IE6" s="1529"/>
      <x:c r="IF6" s="1529"/>
      <x:c r="IG6" s="1529"/>
      <x:c r="IH6" s="1532"/>
      <x:c r="II6" s="1532"/>
      <x:c r="IJ6" s="1532"/>
      <x:c r="IK6" s="1532"/>
      <x:c r="IL6" s="1532"/>
      <x:c r="IM6" s="1532"/>
      <x:c r="IN6" s="1532"/>
      <x:c r="IO6" s="1532"/>
      <x:c r="IP6" s="1532"/>
      <x:c r="IQ6" s="1532"/>
      <x:c r="IR6" s="1532"/>
      <x:c r="IS6" s="1532"/>
      <x:c r="IT6" s="1532"/>
      <x:c r="IU6" s="1532"/>
      <x:c r="IV6" s="1532"/>
      <x:c r="IW6" s="1532"/>
      <x:c r="IX6" s="1532"/>
      <x:c r="IY6" s="1532"/>
      <x:c r="IZ6" s="1532"/>
      <x:c r="JA6" s="1532"/>
      <x:c r="JB6" s="1532"/>
      <x:c r="JC6" s="1532"/>
      <x:c r="JD6" s="1532"/>
      <x:c r="JE6" s="1532"/>
      <x:c r="JF6" s="1532"/>
      <x:c r="JG6" s="1532"/>
      <x:c r="JH6" s="1532"/>
      <x:c r="JI6" s="1532"/>
      <x:c r="JJ6" s="1532"/>
      <x:c r="JK6" s="1532"/>
      <x:c r="JL6" s="1532"/>
      <x:c r="JM6" s="1532"/>
      <x:c r="JN6" s="1532"/>
      <x:c r="JO6" s="1532"/>
    </x:row>
    <x:row r="7" spans="1:276" s="139" customFormat="1" ht="12.95" customHeight="1" thickTop="1" x14ac:dyDescent="0.2">
      <x:c r="A7" s="1401" t="s">
        <x:v>37</x:v>
      </x:c>
      <x:c r="B7" s="473"/>
      <x:c r="C7" s="473"/>
      <x:c r="D7" s="444"/>
      <x:c r="E7" s="444"/>
      <x:c r="F7" s="473"/>
      <x:c r="G7" s="473"/>
      <x:c r="H7" s="473"/>
      <x:c r="I7" s="473"/>
      <x:c r="J7" s="473"/>
      <x:c r="K7" s="2424" t="s">
        <x:v>26</x:v>
      </x:c>
      <x:c r="L7" s="2425"/>
      <x:c r="M7" s="2429" t="s">
        <x:v>1951</x:v>
      </x:c>
      <x:c r="N7" s="2430"/>
      <x:c r="O7" s="2430"/>
      <x:c r="P7" s="2430"/>
      <x:c r="Q7" s="2430"/>
      <x:c r="R7" s="2430"/>
      <x:c r="S7" s="2430"/>
      <x:c r="T7" s="1837"/>
      <x:c r="U7" s="1402"/>
      <x:c r="V7" s="2423" t="s">
        <x:v>21</x:v>
      </x:c>
      <x:c r="W7" s="2423"/>
      <x:c r="X7" s="2213" t="str">
        <x:f>CONCATENATE(BI7, " of ",IF(ISBLANK('Job Info.'!D9),"",'Job Info.'!D9))</x:f>
        <x:v>28 of 42</x:v>
      </x:c>
      <x:c r="Y7" s="822"/>
      <x:c r="Z7" s="1399"/>
      <x:c r="AA7" s="444"/>
      <x:c r="AB7" s="1401" t="s">
        <x:v>38</x:v>
      </x:c>
      <x:c r="AC7" s="444"/>
      <x:c r="AD7" s="444"/>
      <x:c r="AE7" s="473"/>
      <x:c r="AF7" s="473"/>
      <x:c r="AG7" s="473"/>
      <x:c r="AH7" s="473"/>
      <x:c r="AI7" s="473"/>
      <x:c r="AJ7" s="473"/>
      <x:c r="AK7" s="473"/>
      <x:c r="AL7" s="473"/>
      <x:c r="AM7" s="444"/>
      <x:c r="AN7" s="444"/>
      <x:c r="AO7" s="444"/>
      <x:c r="AP7" s="473"/>
      <x:c r="AQ7" s="473"/>
      <x:c r="AR7" s="444"/>
      <x:c r="AS7" s="444"/>
      <x:c r="AT7" s="444"/>
      <x:c r="AU7" s="444"/>
      <x:c r="AV7" s="444"/>
      <x:c r="AW7" s="444"/>
      <x:c r="AX7" s="444"/>
      <x:c r="AY7" s="444"/>
      <x:c r="AZ7" s="2423" t="s">
        <x:v>21</x:v>
      </x:c>
      <x:c r="BA7" s="2423"/>
      <x:c r="BB7" s="1419" t="str">
        <x:f>CONCATENATE(IF(ISBLANK(BI7),"",BI7+1), " of ",IF(ISBLANK('Job Info.'!D9),"",'Job Info.'!D9))</x:f>
        <x:v>29 of 42</x:v>
      </x:c>
      <x:c r="BC7" s="822"/>
      <x:c r="BD7" s="822"/>
      <x:c r="BE7" s="444"/>
      <x:c r="BF7" s="444"/>
      <x:c r="BG7" s="444"/>
      <x:c r="BH7" s="322"/>
      <x:c r="BI7" s="1393">
        <x:v>28</x:v>
      </x:c>
      <x:c r="CA7" s="302"/>
      <x:c r="CB7" s="2477" t="s">
        <x:v>679</x:v>
      </x:c>
      <x:c r="CC7" s="2588"/>
      <x:c r="CD7" s="2588"/>
      <x:c r="CE7" s="2588"/>
      <x:c r="CF7" s="2588"/>
      <x:c r="CG7" s="2588"/>
      <x:c r="CH7" s="2588"/>
      <x:c r="CI7" s="2588"/>
      <x:c r="CJ7" s="2588"/>
      <x:c r="CK7" s="2588"/>
      <x:c r="CL7" s="2588"/>
      <x:c r="CM7" s="2588"/>
      <x:c r="CN7" s="2588"/>
      <x:c r="CO7" s="2588"/>
      <x:c r="CP7" s="2588"/>
      <x:c r="CQ7" s="2588"/>
      <x:c r="CR7" s="2588"/>
      <x:c r="CS7" s="2588"/>
      <x:c r="CT7" s="2588"/>
      <x:c r="CU7" s="2588"/>
      <x:c r="CV7" s="2588"/>
      <x:c r="CW7" s="2588"/>
      <x:c r="CX7" s="2588"/>
      <x:c r="CY7" s="2589"/>
      <x:c r="CZ7" s="292"/>
      <x:c r="DA7" s="292"/>
      <x:c r="DB7" s="292"/>
      <x:c r="DC7" s="292"/>
      <x:c r="DD7" s="292"/>
      <x:c r="DE7" s="292"/>
      <x:c r="DF7" s="292"/>
      <x:c r="DG7" s="292"/>
      <x:c r="DH7" s="2664"/>
      <x:c r="DI7" s="2600"/>
      <x:c r="DJ7" s="2600"/>
      <x:c r="DK7" s="2600"/>
      <x:c r="DL7" s="2600"/>
      <x:c r="DM7" s="2600"/>
      <x:c r="DN7" s="2600"/>
      <x:c r="DO7" s="2600"/>
      <x:c r="DP7" s="2600"/>
      <x:c r="DQ7" s="2600"/>
      <x:c r="DR7" s="2600"/>
      <x:c r="DS7" s="2600"/>
      <x:c r="DT7" s="2600"/>
      <x:c r="DU7" s="2600"/>
      <x:c r="DV7" s="2600"/>
      <x:c r="DW7" s="2600"/>
      <x:c r="DX7" s="2600"/>
      <x:c r="DY7" s="2600"/>
      <x:c r="DZ7" s="2600"/>
      <x:c r="EA7" s="2600"/>
      <x:c r="EB7" s="2600"/>
      <x:c r="EC7" s="2600"/>
      <x:c r="ED7" s="2600"/>
      <x:c r="EE7" s="2600"/>
      <x:c r="EF7" s="2600"/>
      <x:c r="EG7" s="2600"/>
      <x:c r="EH7" s="2600"/>
      <x:c r="EI7" s="2600"/>
      <x:c r="EJ7" s="2600"/>
      <x:c r="EK7" s="2665"/>
      <x:c r="EL7" s="292"/>
      <x:c r="EM7" s="292"/>
      <x:c r="EN7" s="294"/>
      <x:c r="EO7" s="1180"/>
      <x:c r="EP7" s="1179"/>
      <x:c r="EQ7" s="1179"/>
      <x:c r="ER7" s="1179"/>
      <x:c r="ES7" s="1180"/>
      <x:c r="ET7" s="1180"/>
      <x:c r="EU7" s="1180"/>
      <x:c r="EV7" s="360"/>
      <x:c r="GA7" s="288"/>
      <x:c r="GB7" s="288"/>
      <x:c r="GC7" s="288"/>
      <x:c r="GD7" s="288"/>
      <x:c r="GE7" s="288"/>
      <x:c r="GF7" s="288"/>
      <x:c r="GG7" s="288"/>
      <x:c r="GH7" s="288"/>
      <x:c r="GI7" s="288"/>
      <x:c r="GJ7" s="288"/>
      <x:c r="GK7" s="295"/>
      <x:c r="GL7" s="298"/>
      <x:c r="GM7" s="298"/>
      <x:c r="GN7" s="298"/>
      <x:c r="GO7" s="298"/>
      <x:c r="GP7" s="298"/>
      <x:c r="GZ7" s="298"/>
      <x:c r="HA7" s="1537"/>
      <x:c r="HB7" s="1537"/>
      <x:c r="HC7" s="1537"/>
      <x:c r="HD7" s="1537"/>
      <x:c r="HE7" s="1537"/>
      <x:c r="HF7" s="1537"/>
      <x:c r="HG7" s="1537"/>
      <x:c r="HH7" s="1537"/>
      <x:c r="HI7" s="1537"/>
      <x:c r="HJ7" s="1537"/>
      <x:c r="HK7" s="1537"/>
      <x:c r="HL7" s="1537"/>
      <x:c r="HM7" s="1537"/>
      <x:c r="HN7" s="1537"/>
      <x:c r="HO7" s="1537"/>
      <x:c r="HP7" s="1537"/>
      <x:c r="HQ7" s="1537"/>
      <x:c r="HR7" s="1537"/>
      <x:c r="HS7" s="1537"/>
      <x:c r="HT7" s="1537"/>
      <x:c r="HU7" s="1537"/>
      <x:c r="HV7" s="1537"/>
      <x:c r="HW7" s="1537"/>
      <x:c r="HX7" s="1537"/>
      <x:c r="HY7" s="1538"/>
      <x:c r="HZ7" s="1529"/>
      <x:c r="IA7" s="1529"/>
      <x:c r="IB7" s="1529"/>
      <x:c r="IC7" s="1529"/>
      <x:c r="ID7" s="1529"/>
      <x:c r="IE7" s="1529"/>
      <x:c r="IF7" s="1529"/>
      <x:c r="IG7" s="1529"/>
      <x:c r="IH7" s="1532"/>
      <x:c r="II7" s="1528"/>
      <x:c r="IJ7" s="1528"/>
      <x:c r="IK7" s="1528"/>
      <x:c r="IL7" s="1532"/>
      <x:c r="IM7" s="1532"/>
      <x:c r="IN7" s="1532"/>
      <x:c r="IO7" s="1532"/>
      <x:c r="IP7" s="1532"/>
      <x:c r="IQ7" s="1532"/>
      <x:c r="IR7" s="1532"/>
      <x:c r="IS7" s="1532"/>
      <x:c r="IT7" s="1532"/>
      <x:c r="IU7" s="1532"/>
      <x:c r="IV7" s="1532"/>
      <x:c r="IW7" s="1532"/>
      <x:c r="IX7" s="1532"/>
      <x:c r="IY7" s="1532"/>
      <x:c r="IZ7" s="1532"/>
      <x:c r="JA7" s="1532"/>
      <x:c r="JB7" s="1532"/>
      <x:c r="JC7" s="1532"/>
      <x:c r="JD7" s="1532"/>
      <x:c r="JE7" s="1532"/>
      <x:c r="JF7" s="1532"/>
      <x:c r="JG7" s="1532"/>
      <x:c r="JH7" s="1532"/>
      <x:c r="JI7" s="1532"/>
      <x:c r="JJ7" s="1532"/>
      <x:c r="JK7" s="1532"/>
      <x:c r="JL7" s="1532"/>
      <x:c r="JM7" s="1532"/>
      <x:c r="JN7" s="1532"/>
      <x:c r="JO7" s="1532"/>
    </x:row>
    <x:row r="8" spans="1:276" s="139" customFormat="1" ht="2.85" customHeight="1" thickBot="1" x14ac:dyDescent="0.25">
      <x:c r="A8" s="2684"/>
      <x:c r="B8" s="2684"/>
      <x:c r="C8" s="2684"/>
      <x:c r="D8" s="2684"/>
      <x:c r="E8" s="2684"/>
      <x:c r="F8" s="2684"/>
      <x:c r="G8" s="2684"/>
      <x:c r="H8" s="2684"/>
      <x:c r="I8" s="2684"/>
      <x:c r="J8" s="2684"/>
      <x:c r="K8" s="2684"/>
      <x:c r="L8" s="2684"/>
      <x:c r="M8" s="2684"/>
      <x:c r="N8" s="2684"/>
      <x:c r="O8" s="2684"/>
      <x:c r="P8" s="2684"/>
      <x:c r="Q8" s="2684"/>
      <x:c r="R8" s="2684"/>
      <x:c r="S8" s="2684"/>
      <x:c r="T8" s="2684"/>
      <x:c r="U8" s="2684"/>
      <x:c r="V8" s="2684"/>
      <x:c r="W8" s="2684"/>
      <x:c r="X8" s="2684"/>
      <x:c r="Y8" s="2684"/>
      <x:c r="Z8" s="2684"/>
      <x:c r="AA8" s="2684"/>
      <x:c r="AB8" s="2428"/>
      <x:c r="AC8" s="2428"/>
      <x:c r="AD8" s="2428"/>
      <x:c r="AE8" s="2428"/>
      <x:c r="AF8" s="2428"/>
      <x:c r="AG8" s="2428"/>
      <x:c r="AH8" s="2428"/>
      <x:c r="AI8" s="2428"/>
      <x:c r="AJ8" s="2428"/>
      <x:c r="AK8" s="2428"/>
      <x:c r="AL8" s="2428"/>
      <x:c r="AM8" s="2428"/>
      <x:c r="AN8" s="2428"/>
      <x:c r="AO8" s="2428"/>
      <x:c r="AP8" s="2428"/>
      <x:c r="AQ8" s="2428"/>
      <x:c r="AR8" s="2428"/>
      <x:c r="AS8" s="2428"/>
      <x:c r="AT8" s="2428"/>
      <x:c r="AU8" s="2428"/>
      <x:c r="AV8" s="2428"/>
      <x:c r="AW8" s="2428"/>
      <x:c r="AX8" s="2428"/>
      <x:c r="AY8" s="2428"/>
      <x:c r="AZ8" s="2428"/>
      <x:c r="BA8" s="2428"/>
      <x:c r="BB8" s="2428"/>
      <x:c r="BC8" s="2428"/>
      <x:c r="BD8" s="2428"/>
      <x:c r="BE8" s="2428"/>
      <x:c r="BF8" s="2428"/>
      <x:c r="BG8" s="2428"/>
      <x:c r="BH8" s="322"/>
      <x:c r="BI8" s="295"/>
      <x:c r="CA8" s="302"/>
      <x:c r="CB8" s="2590"/>
      <x:c r="CC8" s="2591"/>
      <x:c r="CD8" s="2591"/>
      <x:c r="CE8" s="2591"/>
      <x:c r="CF8" s="2591"/>
      <x:c r="CG8" s="2591"/>
      <x:c r="CH8" s="2591"/>
      <x:c r="CI8" s="2591"/>
      <x:c r="CJ8" s="2591"/>
      <x:c r="CK8" s="2591"/>
      <x:c r="CL8" s="2591"/>
      <x:c r="CM8" s="2591"/>
      <x:c r="CN8" s="2591"/>
      <x:c r="CO8" s="2591"/>
      <x:c r="CP8" s="2591"/>
      <x:c r="CQ8" s="2591"/>
      <x:c r="CR8" s="2591"/>
      <x:c r="CS8" s="2591"/>
      <x:c r="CT8" s="2591"/>
      <x:c r="CU8" s="2591"/>
      <x:c r="CV8" s="2591"/>
      <x:c r="CW8" s="2591"/>
      <x:c r="CX8" s="2591"/>
      <x:c r="CY8" s="2592"/>
      <x:c r="CZ8" s="173"/>
      <x:c r="DA8" s="173"/>
      <x:c r="DB8" s="173"/>
      <x:c r="DC8" s="173"/>
      <x:c r="DD8" s="173"/>
      <x:c r="DE8" s="173"/>
      <x:c r="DF8" s="173"/>
      <x:c r="DG8" s="173"/>
      <x:c r="DH8" s="2666"/>
      <x:c r="DI8" s="2667"/>
      <x:c r="DJ8" s="2667"/>
      <x:c r="DK8" s="2667"/>
      <x:c r="DL8" s="2667"/>
      <x:c r="DM8" s="2667"/>
      <x:c r="DN8" s="2667"/>
      <x:c r="DO8" s="2667"/>
      <x:c r="DP8" s="2667"/>
      <x:c r="DQ8" s="2667"/>
      <x:c r="DR8" s="2667"/>
      <x:c r="DS8" s="2667"/>
      <x:c r="DT8" s="2667"/>
      <x:c r="DU8" s="2667"/>
      <x:c r="DV8" s="2667"/>
      <x:c r="DW8" s="2667"/>
      <x:c r="DX8" s="2667"/>
      <x:c r="DY8" s="2667"/>
      <x:c r="DZ8" s="2667"/>
      <x:c r="EA8" s="2667"/>
      <x:c r="EB8" s="2667"/>
      <x:c r="EC8" s="2667"/>
      <x:c r="ED8" s="2667"/>
      <x:c r="EE8" s="2667"/>
      <x:c r="EF8" s="2667"/>
      <x:c r="EG8" s="2667"/>
      <x:c r="EH8" s="2667"/>
      <x:c r="EI8" s="2667"/>
      <x:c r="EJ8" s="2667"/>
      <x:c r="EK8" s="2668"/>
      <x:c r="EL8" s="293"/>
      <x:c r="EM8" s="292"/>
      <x:c r="EN8" s="294"/>
      <x:c r="EO8" s="292"/>
      <x:c r="EP8" s="294"/>
      <x:c r="EQ8" s="294"/>
      <x:c r="ER8" s="294"/>
      <x:c r="ES8" s="292"/>
      <x:c r="ET8" s="292"/>
      <x:c r="EU8" s="292"/>
      <x:c r="EV8" s="296"/>
      <x:c r="GA8" s="288"/>
      <x:c r="GB8" s="288"/>
      <x:c r="GC8" s="288"/>
      <x:c r="GD8" s="288"/>
      <x:c r="GE8" s="288"/>
      <x:c r="GF8" s="288"/>
      <x:c r="GG8" s="288"/>
      <x:c r="GH8" s="288"/>
      <x:c r="GI8" s="288"/>
      <x:c r="GJ8" s="288"/>
      <x:c r="GK8" s="295"/>
      <x:c r="GL8" s="298"/>
      <x:c r="GM8" s="298"/>
      <x:c r="GN8" s="298"/>
      <x:c r="GO8" s="298"/>
      <x:c r="GP8" s="298"/>
      <x:c r="GZ8" s="298"/>
      <x:c r="HA8" s="1539"/>
      <x:c r="HB8" s="1539"/>
      <x:c r="HC8" s="1539"/>
      <x:c r="HD8" s="1540"/>
      <x:c r="HE8" s="1541"/>
      <x:c r="HF8" s="1539"/>
      <x:c r="HG8" s="1539"/>
      <x:c r="HH8" s="1539"/>
      <x:c r="HI8" s="1539"/>
      <x:c r="HJ8" s="1539"/>
      <x:c r="HK8" s="1539"/>
      <x:c r="HL8" s="1539"/>
      <x:c r="HM8" s="1539"/>
      <x:c r="HN8" s="1539"/>
      <x:c r="HO8" s="1539"/>
      <x:c r="HP8" s="1539"/>
      <x:c r="HQ8" s="1539"/>
      <x:c r="HR8" s="1539"/>
      <x:c r="HS8" s="1539"/>
      <x:c r="HT8" s="1539"/>
      <x:c r="HU8" s="1539"/>
      <x:c r="HV8" s="1539"/>
      <x:c r="HW8" s="1539"/>
      <x:c r="HX8" s="1539"/>
      <x:c r="HY8" s="1538"/>
      <x:c r="HZ8" s="1529"/>
      <x:c r="IA8" s="1529"/>
      <x:c r="IB8" s="1529"/>
      <x:c r="IC8" s="1529"/>
      <x:c r="ID8" s="1529"/>
      <x:c r="IE8" s="1529"/>
      <x:c r="IF8" s="1529"/>
      <x:c r="IG8" s="1529"/>
      <x:c r="IH8" s="1532"/>
      <x:c r="II8" s="1532"/>
      <x:c r="IJ8" s="1532"/>
      <x:c r="IK8" s="1532"/>
      <x:c r="IL8" s="1532"/>
      <x:c r="IM8" s="1532"/>
      <x:c r="IN8" s="1532"/>
      <x:c r="IO8" s="1532"/>
      <x:c r="IP8" s="1532"/>
      <x:c r="IQ8" s="1532"/>
      <x:c r="IR8" s="1532"/>
      <x:c r="IS8" s="1532"/>
      <x:c r="IT8" s="1532"/>
      <x:c r="IU8" s="1532"/>
      <x:c r="IV8" s="1532"/>
      <x:c r="IW8" s="1532"/>
      <x:c r="IX8" s="1532"/>
      <x:c r="IY8" s="1532"/>
      <x:c r="IZ8" s="1532"/>
      <x:c r="JA8" s="1532"/>
      <x:c r="JB8" s="1532"/>
      <x:c r="JC8" s="1532"/>
      <x:c r="JD8" s="1532"/>
      <x:c r="JE8" s="1532"/>
      <x:c r="JF8" s="1532"/>
      <x:c r="JG8" s="1532"/>
      <x:c r="JH8" s="1532"/>
      <x:c r="JI8" s="1532"/>
      <x:c r="JJ8" s="1532"/>
      <x:c r="JK8" s="1532"/>
      <x:c r="JL8" s="1532"/>
      <x:c r="JM8" s="1532"/>
      <x:c r="JN8" s="1532"/>
      <x:c r="JO8" s="1532"/>
    </x:row>
    <x:row r="9" spans="1:276" s="139" customFormat="1" ht="12.2" customHeight="1" thickTop="1" thickBot="1" x14ac:dyDescent="0.25">
      <x:c r="A9" s="2319" t="s">
        <x:v>1</x:v>
      </x:c>
      <x:c r="B9" s="2239"/>
      <x:c r="C9" s="2225" t="str">
        <x:f>IF(ISBLANK('Job Info.'!D3),"",'Job Info.'!D3)</x:f>
        <x:v>SUNPOINT CROSSING</x:v>
      </x:c>
      <x:c r="D9" s="2225"/>
      <x:c r="E9" s="2225"/>
      <x:c r="F9" s="2225"/>
      <x:c r="G9" s="2225"/>
      <x:c r="H9" s="2225"/>
      <x:c r="I9" s="2225"/>
      <x:c r="J9" s="2225"/>
      <x:c r="K9" s="2225"/>
      <x:c r="L9" s="2225"/>
      <x:c r="M9" s="2225"/>
      <x:c r="N9" s="2225"/>
      <x:c r="O9" s="2225"/>
      <x:c r="P9" s="2226"/>
      <x:c r="Q9" s="2319" t="s">
        <x:v>2</x:v>
      </x:c>
      <x:c r="R9" s="2239"/>
      <x:c r="S9" s="2239"/>
      <x:c r="T9" s="2225" t="str">
        <x:f>IF(ISBLANK('Job Info.'!D5),"",'Job Info.'!D5)</x:f>
        <x:v>9118-0062</x:v>
      </x:c>
      <x:c r="U9" s="2225"/>
      <x:c r="V9" s="2225"/>
      <x:c r="W9" s="2225"/>
      <x:c r="X9" s="2225"/>
      <x:c r="Y9" s="2225"/>
      <x:c r="Z9" s="2225"/>
      <x:c r="AA9" s="2226"/>
      <x:c r="AB9" s="2319" t="s">
        <x:v>1</x:v>
      </x:c>
      <x:c r="AC9" s="2685"/>
      <x:c r="AD9" s="2685"/>
      <x:c r="AE9" s="2225" t="str">
        <x:f>C9</x:f>
        <x:v>SUNPOINT CROSSING</x:v>
      </x:c>
      <x:c r="AF9" s="2225"/>
      <x:c r="AG9" s="2225"/>
      <x:c r="AH9" s="2225"/>
      <x:c r="AI9" s="2225"/>
      <x:c r="AJ9" s="2225"/>
      <x:c r="AK9" s="2225"/>
      <x:c r="AL9" s="2225"/>
      <x:c r="AM9" s="2225"/>
      <x:c r="AN9" s="2225"/>
      <x:c r="AO9" s="2225"/>
      <x:c r="AP9" s="2225"/>
      <x:c r="AQ9" s="2225"/>
      <x:c r="AR9" s="2225"/>
      <x:c r="AS9" s="2225"/>
      <x:c r="AT9" s="2226"/>
      <x:c r="AU9" s="2319" t="s">
        <x:v>2</x:v>
      </x:c>
      <x:c r="AV9" s="2239"/>
      <x:c r="AW9" s="2239"/>
      <x:c r="AX9" s="2225" t="str">
        <x:f>T9</x:f>
        <x:v>9118-0062</x:v>
      </x:c>
      <x:c r="AY9" s="2225"/>
      <x:c r="AZ9" s="2225"/>
      <x:c r="BA9" s="2225"/>
      <x:c r="BB9" s="2225"/>
      <x:c r="BC9" s="2225"/>
      <x:c r="BD9" s="2225"/>
      <x:c r="BE9" s="2225"/>
      <x:c r="BF9" s="2225"/>
      <x:c r="BG9" s="2226"/>
      <x:c r="BH9" s="322"/>
      <x:c r="BI9" s="295"/>
      <x:c r="CA9" s="302"/>
      <x:c r="CB9" s="2590"/>
      <x:c r="CC9" s="2591"/>
      <x:c r="CD9" s="2591"/>
      <x:c r="CE9" s="2591"/>
      <x:c r="CF9" s="2591"/>
      <x:c r="CG9" s="2594"/>
      <x:c r="CH9" s="2594"/>
      <x:c r="CI9" s="2594"/>
      <x:c r="CJ9" s="2594"/>
      <x:c r="CK9" s="2594"/>
      <x:c r="CL9" s="2594"/>
      <x:c r="CM9" s="2594"/>
      <x:c r="CN9" s="2594"/>
      <x:c r="CO9" s="2594"/>
      <x:c r="CP9" s="2594"/>
      <x:c r="CQ9" s="2594"/>
      <x:c r="CR9" s="2594"/>
      <x:c r="CS9" s="2594"/>
      <x:c r="CT9" s="2594"/>
      <x:c r="CU9" s="2591"/>
      <x:c r="CV9" s="2594"/>
      <x:c r="CW9" s="2594"/>
      <x:c r="CX9" s="2591"/>
      <x:c r="CY9" s="2592"/>
      <x:c r="CZ9" s="2633" t="s">
        <x:v>1103</x:v>
      </x:c>
      <x:c r="DA9" s="2634"/>
      <x:c r="DB9" s="173"/>
      <x:c r="DC9" s="173"/>
      <x:c r="DD9" s="173"/>
      <x:c r="DE9" s="173"/>
      <x:c r="DF9" s="173"/>
      <x:c r="DG9" s="173"/>
      <x:c r="DH9" s="2381" t="s">
        <x:v>653</x:v>
      </x:c>
      <x:c r="DI9" s="2596" t="s">
        <x:v>681</x:v>
      </x:c>
      <x:c r="DJ9" s="2597"/>
      <x:c r="DK9" s="2597"/>
      <x:c r="DL9" s="2597"/>
      <x:c r="DM9" s="2597"/>
      <x:c r="DN9" s="2598"/>
      <x:c r="DO9" s="2378" t="s">
        <x:v>640</x:v>
      </x:c>
      <x:c r="DP9" s="2602" t="s">
        <x:v>682</x:v>
      </x:c>
      <x:c r="DQ9" s="2565"/>
      <x:c r="DR9" s="2565"/>
      <x:c r="DS9" s="2565"/>
      <x:c r="DT9" s="2565"/>
      <x:c r="DU9" s="2565"/>
      <x:c r="DV9" s="2605" t="s">
        <x:v>650</x:v>
      </x:c>
      <x:c r="DW9" s="2565"/>
      <x:c r="DX9" s="2565"/>
      <x:c r="DY9" s="2565"/>
      <x:c r="DZ9" s="2565"/>
      <x:c r="EA9" s="2565"/>
      <x:c r="EB9" s="2565"/>
      <x:c r="EC9" s="2565"/>
      <x:c r="ED9" s="2565"/>
      <x:c r="EE9" s="2565"/>
      <x:c r="EF9" s="2565"/>
      <x:c r="EG9" s="2565"/>
      <x:c r="EH9" s="2565"/>
      <x:c r="EI9" s="2565"/>
      <x:c r="EJ9" s="2565"/>
      <x:c r="EK9" s="2566"/>
      <x:c r="EL9" s="293"/>
      <x:c r="EM9" s="292"/>
      <x:c r="EN9" s="294"/>
      <x:c r="EO9" s="292"/>
      <x:c r="EP9" s="294"/>
      <x:c r="EQ9" s="288"/>
      <x:c r="ER9" s="288"/>
      <x:c r="ES9" s="288"/>
      <x:c r="ET9" s="288"/>
      <x:c r="EU9" s="292"/>
      <x:c r="EV9" s="296"/>
      <x:c r="FJ9" s="296"/>
      <x:c r="FK9" s="296"/>
      <x:c r="FL9" s="311"/>
      <x:c r="FM9" s="304"/>
      <x:c r="FN9" s="304"/>
      <x:c r="FO9" s="304"/>
      <x:c r="FP9" s="313"/>
      <x:c r="FQ9" s="314"/>
      <x:c r="FR9" s="304"/>
      <x:c r="FS9" s="304"/>
      <x:c r="FT9" s="304"/>
      <x:c r="FU9" s="295"/>
      <x:c r="FV9" s="295"/>
      <x:c r="FW9" s="295"/>
      <x:c r="FX9" s="295"/>
      <x:c r="FY9" s="295"/>
      <x:c r="FZ9" s="295"/>
      <x:c r="GA9" s="288"/>
      <x:c r="GB9" s="288"/>
      <x:c r="GC9" s="288"/>
      <x:c r="GD9" s="288"/>
      <x:c r="GE9" s="288"/>
      <x:c r="GF9" s="288"/>
      <x:c r="GG9" s="288"/>
      <x:c r="GH9" s="288"/>
      <x:c r="GI9" s="288"/>
      <x:c r="GJ9" s="288"/>
      <x:c r="GK9" s="295"/>
      <x:c r="GL9" s="298"/>
      <x:c r="GM9" s="298"/>
      <x:c r="GN9" s="298"/>
      <x:c r="GO9" s="298"/>
      <x:c r="GP9" s="298"/>
      <x:c r="GZ9" s="298"/>
      <x:c r="HA9" s="1539"/>
      <x:c r="HB9" s="1539"/>
      <x:c r="HC9" s="1539"/>
      <x:c r="HD9" s="1540"/>
      <x:c r="HE9" s="1541"/>
      <x:c r="HF9" s="1539"/>
      <x:c r="HG9" s="1539"/>
      <x:c r="HH9" s="1539"/>
      <x:c r="HI9" s="1539"/>
      <x:c r="HJ9" s="1539"/>
      <x:c r="HK9" s="1539"/>
      <x:c r="HL9" s="1539"/>
      <x:c r="HM9" s="1539"/>
      <x:c r="HN9" s="1539"/>
      <x:c r="HO9" s="1539"/>
      <x:c r="HP9" s="1539"/>
      <x:c r="HQ9" s="1539"/>
      <x:c r="HR9" s="1539"/>
      <x:c r="HS9" s="1539"/>
      <x:c r="HT9" s="1539"/>
      <x:c r="HU9" s="1539"/>
      <x:c r="HV9" s="1539"/>
      <x:c r="HW9" s="1539"/>
      <x:c r="HX9" s="1539"/>
      <x:c r="HY9" s="1538"/>
      <x:c r="HZ9" s="1542"/>
      <x:c r="IA9" s="1542"/>
      <x:c r="IB9" s="1542"/>
      <x:c r="IC9" s="1542"/>
      <x:c r="ID9" s="1542"/>
      <x:c r="IE9" s="1542"/>
      <x:c r="IF9" s="1542"/>
      <x:c r="IG9" s="1542"/>
      <x:c r="IH9" s="1542"/>
      <x:c r="II9" s="1542"/>
      <x:c r="IJ9" s="1542"/>
      <x:c r="IK9" s="1542"/>
      <x:c r="IL9" s="1542"/>
      <x:c r="IM9" s="1542"/>
      <x:c r="IN9" s="1542"/>
      <x:c r="IO9" s="1542"/>
      <x:c r="IP9" s="1542"/>
      <x:c r="IQ9" s="1542"/>
      <x:c r="IR9" s="1542"/>
      <x:c r="IS9" s="1542"/>
      <x:c r="IT9" s="1542"/>
      <x:c r="IU9" s="1542"/>
      <x:c r="IV9" s="1542"/>
      <x:c r="IW9" s="1542"/>
      <x:c r="IX9" s="1542"/>
      <x:c r="IY9" s="1542"/>
      <x:c r="IZ9" s="1542"/>
      <x:c r="JA9" s="1542"/>
      <x:c r="JB9" s="1542"/>
      <x:c r="JC9" s="1542"/>
      <x:c r="JD9" s="1542"/>
      <x:c r="JE9" s="1532"/>
      <x:c r="JF9" s="1532"/>
      <x:c r="JG9" s="1532"/>
      <x:c r="JH9" s="1532"/>
      <x:c r="JI9" s="1532"/>
      <x:c r="JJ9" s="1532"/>
      <x:c r="JK9" s="1532"/>
      <x:c r="JL9" s="1532"/>
      <x:c r="JM9" s="1532"/>
      <x:c r="JN9" s="1532"/>
      <x:c r="JO9" s="1532"/>
    </x:row>
    <x:row r="10" spans="1:276" s="139" customFormat="1" ht="12.2" customHeight="1" thickTop="1" x14ac:dyDescent="0.2">
      <x:c r="A10" s="2319" t="s">
        <x:v>3</x:v>
      </x:c>
      <x:c r="B10" s="2239"/>
      <x:c r="C10" s="2225" t="str">
        <x:f>IF(ISBLANK('Job Info.'!D4),"",'Job Info.'!D4)</x:f>
        <x:v>LAS VEGAS, NV</x:v>
      </x:c>
      <x:c r="D10" s="2225"/>
      <x:c r="E10" s="2225"/>
      <x:c r="F10" s="2225"/>
      <x:c r="G10" s="2225"/>
      <x:c r="H10" s="2225"/>
      <x:c r="I10" s="2225"/>
      <x:c r="J10" s="2225"/>
      <x:c r="K10" s="2225"/>
      <x:c r="L10" s="2225"/>
      <x:c r="M10" s="2225"/>
      <x:c r="N10" s="2225"/>
      <x:c r="O10" s="2225"/>
      <x:c r="P10" s="2226"/>
      <x:c r="Q10" s="2319" t="s">
        <x:v>22</x:v>
      </x:c>
      <x:c r="R10" s="2239"/>
      <x:c r="S10" s="2239"/>
      <x:c r="T10" s="2225" t="str">
        <x:f>IF(ISBLANK('Job Info.'!D6),"",'Job Info.'!D6)</x:f>
        <x:v>CJA</x:v>
      </x:c>
      <x:c r="U10" s="2225"/>
      <x:c r="V10" s="2225"/>
      <x:c r="W10" s="2226"/>
      <x:c r="X10" s="2319" t="s">
        <x:v>23</x:v>
      </x:c>
      <x:c r="Y10" s="2239"/>
      <x:c r="Z10" s="2225" t="str">
        <x:f>IF(ISBLANK('Job Info.'!D7),"",'Job Info.'!D7)</x:f>
        <x:v>LS</x:v>
      </x:c>
      <x:c r="AA10" s="2226"/>
      <x:c r="AB10" s="2319" t="s">
        <x:v>3</x:v>
      </x:c>
      <x:c r="AC10" s="2685"/>
      <x:c r="AD10" s="2685"/>
      <x:c r="AE10" s="2225" t="str">
        <x:f>C10</x:f>
        <x:v>LAS VEGAS, NV</x:v>
      </x:c>
      <x:c r="AF10" s="2225"/>
      <x:c r="AG10" s="2225"/>
      <x:c r="AH10" s="2225"/>
      <x:c r="AI10" s="2225"/>
      <x:c r="AJ10" s="2225"/>
      <x:c r="AK10" s="2225"/>
      <x:c r="AL10" s="2225"/>
      <x:c r="AM10" s="2225"/>
      <x:c r="AN10" s="2225"/>
      <x:c r="AO10" s="2225"/>
      <x:c r="AP10" s="2225"/>
      <x:c r="AQ10" s="2225"/>
      <x:c r="AR10" s="2225"/>
      <x:c r="AS10" s="2225"/>
      <x:c r="AT10" s="2226"/>
      <x:c r="AU10" s="2319" t="s">
        <x:v>22</x:v>
      </x:c>
      <x:c r="AV10" s="2239"/>
      <x:c r="AW10" s="2239"/>
      <x:c r="AX10" s="2225" t="str">
        <x:f>T10</x:f>
        <x:v>CJA</x:v>
      </x:c>
      <x:c r="AY10" s="2225"/>
      <x:c r="AZ10" s="2225"/>
      <x:c r="BA10" s="2226"/>
      <x:c r="BB10" s="2319" t="s">
        <x:v>23</x:v>
      </x:c>
      <x:c r="BC10" s="2239"/>
      <x:c r="BD10" s="2239"/>
      <x:c r="BE10" s="2225" t="str">
        <x:f>Z10</x:f>
        <x:v>LS</x:v>
      </x:c>
      <x:c r="BF10" s="2225"/>
      <x:c r="BG10" s="2226"/>
      <x:c r="BH10" s="322"/>
      <x:c r="BI10" s="295"/>
      <x:c r="CA10" s="302"/>
      <x:c r="CB10" s="624"/>
      <x:c r="CC10" s="625"/>
      <x:c r="CD10" s="625"/>
      <x:c r="CE10" s="625"/>
      <x:c r="CF10" s="626"/>
      <x:c r="CG10" s="2682" t="s">
        <x:v>506</x:v>
      </x:c>
      <x:c r="CH10" s="2414"/>
      <x:c r="CI10" s="2414"/>
      <x:c r="CJ10" s="2414"/>
      <x:c r="CK10" s="2414"/>
      <x:c r="CL10" s="2414"/>
      <x:c r="CM10" s="2415"/>
      <x:c r="CN10" s="2413" t="s">
        <x:v>507</x:v>
      </x:c>
      <x:c r="CO10" s="2414"/>
      <x:c r="CP10" s="2414"/>
      <x:c r="CQ10" s="2414"/>
      <x:c r="CR10" s="2414"/>
      <x:c r="CS10" s="2414"/>
      <x:c r="CT10" s="2414"/>
      <x:c r="CU10" s="631"/>
      <x:c r="CV10" s="652"/>
      <x:c r="CW10" s="652"/>
      <x:c r="CX10" s="624"/>
      <x:c r="CY10" s="626"/>
      <x:c r="CZ10" s="2673"/>
      <x:c r="DA10" s="2674"/>
      <x:c r="DB10" s="173"/>
      <x:c r="DC10" s="173"/>
      <x:c r="DD10" s="173"/>
      <x:c r="DE10" s="173"/>
      <x:c r="DF10" s="173"/>
      <x:c r="DG10" s="173"/>
      <x:c r="DH10" s="2382"/>
      <x:c r="DI10" s="2599"/>
      <x:c r="DJ10" s="2600"/>
      <x:c r="DK10" s="2600"/>
      <x:c r="DL10" s="2600"/>
      <x:c r="DM10" s="2600"/>
      <x:c r="DN10" s="2601"/>
      <x:c r="DO10" s="2379"/>
      <x:c r="DP10" s="2568"/>
      <x:c r="DQ10" s="2568"/>
      <x:c r="DR10" s="2568"/>
      <x:c r="DS10" s="2568"/>
      <x:c r="DT10" s="2568"/>
      <x:c r="DU10" s="2568"/>
      <x:c r="DV10" s="2567"/>
      <x:c r="DW10" s="2568"/>
      <x:c r="DX10" s="2568"/>
      <x:c r="DY10" s="2568"/>
      <x:c r="DZ10" s="2568"/>
      <x:c r="EA10" s="2568"/>
      <x:c r="EB10" s="2568"/>
      <x:c r="EC10" s="2568"/>
      <x:c r="ED10" s="2568"/>
      <x:c r="EE10" s="2568"/>
      <x:c r="EF10" s="2568"/>
      <x:c r="EG10" s="2568"/>
      <x:c r="EH10" s="2568"/>
      <x:c r="EI10" s="2568"/>
      <x:c r="EJ10" s="2568"/>
      <x:c r="EK10" s="2569"/>
      <x:c r="EL10" s="288"/>
      <x:c r="EM10" s="288"/>
      <x:c r="EN10" s="288"/>
      <x:c r="EO10" s="288"/>
      <x:c r="EP10" s="288"/>
      <x:c r="EQ10" s="288"/>
      <x:c r="ER10" s="2471" t="s">
        <x:v>655</x:v>
      </x:c>
      <x:c r="ES10" s="2472"/>
      <x:c r="ET10" s="2608" t="s">
        <x:v>519</x:v>
      </x:c>
      <x:c r="EU10" s="2611" t="s">
        <x:v>520</x:v>
      </x:c>
      <x:c r="FW10" s="295"/>
      <x:c r="FX10" s="295"/>
      <x:c r="FY10" s="295"/>
      <x:c r="FZ10" s="295"/>
      <x:c r="GA10" s="2639" t="s">
        <x:v>1188</x:v>
      </x:c>
      <x:c r="GB10" s="2655"/>
      <x:c r="GC10" s="2655"/>
      <x:c r="GD10" s="2655"/>
      <x:c r="GE10" s="2655"/>
      <x:c r="GF10" s="2655"/>
      <x:c r="GG10" s="2640"/>
      <x:c r="GH10" s="2640"/>
      <x:c r="GI10" s="2640"/>
      <x:c r="GJ10" s="2640"/>
      <x:c r="GK10" s="295"/>
      <x:c r="GL10" s="298"/>
      <x:c r="GM10" s="298"/>
      <x:c r="GN10" s="298"/>
      <x:c r="GO10" s="298"/>
      <x:c r="GP10" s="298"/>
      <x:c r="GZ10" s="298"/>
      <x:c r="HA10" s="1539"/>
      <x:c r="HB10" s="1539"/>
      <x:c r="HC10" s="1539"/>
      <x:c r="HD10" s="1540"/>
      <x:c r="HE10" s="1541"/>
      <x:c r="HF10" s="1543"/>
      <x:c r="HG10" s="1544"/>
      <x:c r="HH10" s="1544"/>
      <x:c r="HI10" s="1544"/>
      <x:c r="HJ10" s="1544"/>
      <x:c r="HK10" s="1544"/>
      <x:c r="HL10" s="1544"/>
      <x:c r="HM10" s="1543"/>
      <x:c r="HN10" s="1544"/>
      <x:c r="HO10" s="1544"/>
      <x:c r="HP10" s="1544"/>
      <x:c r="HQ10" s="1544"/>
      <x:c r="HR10" s="1544"/>
      <x:c r="HS10" s="1544"/>
      <x:c r="HT10" s="1539"/>
      <x:c r="HU10" s="1539"/>
      <x:c r="HV10" s="1539"/>
      <x:c r="HW10" s="1539"/>
      <x:c r="HX10" s="1539"/>
      <x:c r="HY10" s="1538"/>
      <x:c r="HZ10" s="1529"/>
      <x:c r="IA10" s="1529"/>
      <x:c r="IB10" s="1529"/>
      <x:c r="IC10" s="1529"/>
      <x:c r="ID10" s="1529"/>
      <x:c r="IE10" s="1529"/>
      <x:c r="IF10" s="1529"/>
      <x:c r="IG10" s="1529"/>
      <x:c r="IH10" s="1532"/>
      <x:c r="II10" s="1532"/>
      <x:c r="IJ10" s="1532"/>
      <x:c r="IK10" s="1532"/>
      <x:c r="IL10" s="1532"/>
      <x:c r="IM10" s="1532"/>
      <x:c r="IN10" s="1532"/>
      <x:c r="IO10" s="1532"/>
      <x:c r="IP10" s="1532"/>
      <x:c r="IQ10" s="1532"/>
      <x:c r="IR10" s="1532"/>
      <x:c r="IS10" s="1532"/>
      <x:c r="IT10" s="1532"/>
      <x:c r="IU10" s="1532"/>
      <x:c r="IV10" s="1532"/>
      <x:c r="IW10" s="1532"/>
      <x:c r="IX10" s="1532"/>
      <x:c r="IY10" s="1532"/>
      <x:c r="IZ10" s="1532"/>
      <x:c r="JA10" s="1532"/>
      <x:c r="JB10" s="1532"/>
      <x:c r="JC10" s="1532"/>
      <x:c r="JD10" s="1532"/>
      <x:c r="JE10" s="1532"/>
      <x:c r="JF10" s="1532"/>
      <x:c r="JG10" s="1532"/>
      <x:c r="JH10" s="1532"/>
      <x:c r="JI10" s="1532"/>
      <x:c r="JJ10" s="1532"/>
      <x:c r="JK10" s="1532"/>
      <x:c r="JL10" s="1532"/>
      <x:c r="JM10" s="1532"/>
      <x:c r="JN10" s="1532"/>
      <x:c r="JO10" s="1532"/>
    </x:row>
    <x:row r="11" spans="1:276" ht="3.95" customHeight="1" thickBot="1" x14ac:dyDescent="0.25">
      <x:c r="A11" s="2486"/>
      <x:c r="B11" s="2486"/>
      <x:c r="C11" s="2486"/>
      <x:c r="D11" s="2486"/>
      <x:c r="E11" s="2486"/>
      <x:c r="F11" s="2486"/>
      <x:c r="G11" s="2486"/>
      <x:c r="H11" s="2486"/>
      <x:c r="I11" s="2486"/>
      <x:c r="J11" s="2486"/>
      <x:c r="K11" s="2486"/>
      <x:c r="L11" s="2486"/>
      <x:c r="M11" s="2486"/>
      <x:c r="N11" s="2486"/>
      <x:c r="O11" s="2486"/>
      <x:c r="P11" s="2486"/>
      <x:c r="Q11" s="2486"/>
      <x:c r="R11" s="2486"/>
      <x:c r="S11" s="2486"/>
      <x:c r="T11" s="2486"/>
      <x:c r="U11" s="2486"/>
      <x:c r="V11" s="2486"/>
      <x:c r="W11" s="2486"/>
      <x:c r="X11" s="2486"/>
      <x:c r="Y11" s="2486"/>
      <x:c r="Z11" s="2486"/>
      <x:c r="AA11" s="2486"/>
      <x:c r="AB11" s="1436"/>
      <x:c r="AC11" s="1436"/>
      <x:c r="AD11" s="1436"/>
      <x:c r="AE11" s="1436"/>
      <x:c r="AF11" s="1436"/>
      <x:c r="AG11" s="1436"/>
      <x:c r="AH11" s="1436"/>
      <x:c r="AI11" s="1436"/>
      <x:c r="AJ11" s="1436"/>
      <x:c r="AK11" s="1436"/>
      <x:c r="AL11" s="1436"/>
      <x:c r="AM11" s="1436"/>
      <x:c r="AN11" s="1436"/>
      <x:c r="AO11" s="1436"/>
      <x:c r="AP11" s="1436"/>
      <x:c r="AQ11" s="1436"/>
      <x:c r="AR11" s="1436"/>
      <x:c r="AS11" s="1436"/>
      <x:c r="AT11" s="1436"/>
      <x:c r="AU11" s="1436"/>
      <x:c r="AV11" s="1436"/>
      <x:c r="AW11" s="1436"/>
      <x:c r="AX11" s="1436"/>
      <x:c r="AY11" s="1436"/>
      <x:c r="AZ11" s="1436"/>
      <x:c r="BA11" s="1436"/>
      <x:c r="BB11" s="1436"/>
      <x:c r="BC11" s="1436"/>
      <x:c r="BD11" s="1436"/>
      <x:c r="BE11" s="1436"/>
      <x:c r="BF11" s="1436"/>
      <x:c r="BG11" s="1436"/>
      <x:c r="BH11" s="322"/>
      <x:c r="BJ11" s="139"/>
      <x:c r="BK11" s="139"/>
      <x:c r="BL11" s="139"/>
      <x:c r="BM11" s="139"/>
      <x:c r="BN11" s="139"/>
      <x:c r="BO11" s="139"/>
      <x:c r="CA11" s="138"/>
      <x:c r="CB11" s="637"/>
      <x:c r="CC11" s="654"/>
      <x:c r="CD11" s="654"/>
      <x:c r="CE11" s="655"/>
      <x:c r="CF11" s="656"/>
      <x:c r="CG11" s="2417"/>
      <x:c r="CH11" s="2417"/>
      <x:c r="CI11" s="2417"/>
      <x:c r="CJ11" s="2417"/>
      <x:c r="CK11" s="2417"/>
      <x:c r="CL11" s="2417"/>
      <x:c r="CM11" s="2418"/>
      <x:c r="CN11" s="2416"/>
      <x:c r="CO11" s="2417"/>
      <x:c r="CP11" s="2417"/>
      <x:c r="CQ11" s="2417"/>
      <x:c r="CR11" s="2417"/>
      <x:c r="CS11" s="2417"/>
      <x:c r="CT11" s="2417"/>
      <x:c r="CU11" s="657"/>
      <x:c r="CV11" s="653"/>
      <x:c r="CW11" s="653"/>
      <x:c r="CX11" s="637"/>
      <x:c r="CY11" s="638"/>
      <x:c r="CZ11" s="2673"/>
      <x:c r="DA11" s="2674"/>
      <x:c r="DB11" s="173"/>
      <x:c r="DC11" s="173"/>
      <x:c r="DD11" s="173"/>
      <x:c r="DE11" s="173"/>
      <x:c r="DF11" s="173"/>
      <x:c r="DG11" s="173"/>
      <x:c r="DH11" s="2382"/>
      <x:c r="DI11" s="2599"/>
      <x:c r="DJ11" s="2600"/>
      <x:c r="DK11" s="2600"/>
      <x:c r="DL11" s="2600"/>
      <x:c r="DM11" s="2600"/>
      <x:c r="DN11" s="2601"/>
      <x:c r="DO11" s="2379"/>
      <x:c r="DP11" s="2568"/>
      <x:c r="DQ11" s="2568"/>
      <x:c r="DR11" s="2568"/>
      <x:c r="DS11" s="2568"/>
      <x:c r="DT11" s="2568"/>
      <x:c r="DU11" s="2568"/>
      <x:c r="DV11" s="2567"/>
      <x:c r="DW11" s="2568"/>
      <x:c r="DX11" s="2568"/>
      <x:c r="DY11" s="2568"/>
      <x:c r="DZ11" s="2568"/>
      <x:c r="EA11" s="2568"/>
      <x:c r="EB11" s="2568"/>
      <x:c r="EC11" s="2568"/>
      <x:c r="ED11" s="2568"/>
      <x:c r="EE11" s="2568"/>
      <x:c r="EF11" s="2568"/>
      <x:c r="EG11" s="2568"/>
      <x:c r="EH11" s="2568"/>
      <x:c r="EI11" s="2568"/>
      <x:c r="EJ11" s="2568"/>
      <x:c r="EK11" s="2569"/>
      <x:c r="EL11" s="173"/>
      <x:c r="EM11" s="173"/>
      <x:c r="EN11" s="1186"/>
      <x:c r="EO11" s="173"/>
      <x:c r="EP11" s="173"/>
      <x:c r="EQ11" s="173"/>
      <x:c r="ER11" s="2473"/>
      <x:c r="ES11" s="2474"/>
      <x:c r="ET11" s="2609"/>
      <x:c r="EU11" s="2612"/>
      <x:c r="FW11" s="2"/>
      <x:c r="FX11" s="2"/>
      <x:c r="FY11" s="2"/>
      <x:c r="FZ11" s="2"/>
      <x:c r="GA11" s="2656"/>
      <x:c r="GB11" s="2656"/>
      <x:c r="GC11" s="2656"/>
      <x:c r="GD11" s="2656"/>
      <x:c r="GE11" s="2656"/>
      <x:c r="GF11" s="2656"/>
      <x:c r="GG11" s="2657"/>
      <x:c r="GH11" s="2657"/>
      <x:c r="GI11" s="2657"/>
      <x:c r="GJ11" s="2657"/>
      <x:c r="GK11" s="2"/>
      <x:c r="GL11" s="171"/>
      <x:c r="GM11" s="171"/>
      <x:c r="GN11" s="171"/>
      <x:c r="GO11" s="171"/>
      <x:c r="GP11" s="171"/>
      <x:c r="GZ11" s="171"/>
      <x:c r="HA11" s="1539"/>
      <x:c r="HB11" s="1539"/>
      <x:c r="HC11" s="1539"/>
      <x:c r="HD11" s="1540"/>
      <x:c r="HE11" s="1541"/>
      <x:c r="HF11" s="1544"/>
      <x:c r="HG11" s="1544"/>
      <x:c r="HH11" s="1544"/>
      <x:c r="HI11" s="1544"/>
      <x:c r="HJ11" s="1544"/>
      <x:c r="HK11" s="1544"/>
      <x:c r="HL11" s="1544"/>
      <x:c r="HM11" s="1544"/>
      <x:c r="HN11" s="1544"/>
      <x:c r="HO11" s="1544"/>
      <x:c r="HP11" s="1544"/>
      <x:c r="HQ11" s="1544"/>
      <x:c r="HR11" s="1544"/>
      <x:c r="HS11" s="1544"/>
      <x:c r="HT11" s="1539"/>
      <x:c r="HU11" s="1539"/>
      <x:c r="HV11" s="1539"/>
      <x:c r="HW11" s="1539"/>
      <x:c r="HX11" s="1539"/>
      <x:c r="HY11" s="1538"/>
      <x:c r="HZ11" s="1539"/>
      <x:c r="IA11" s="1539"/>
      <x:c r="IB11" s="1539"/>
      <x:c r="IC11" s="1539"/>
      <x:c r="ID11" s="1539"/>
      <x:c r="IE11" s="1539"/>
      <x:c r="IF11" s="1539"/>
      <x:c r="IG11" s="1539"/>
      <x:c r="IH11" s="1545"/>
      <x:c r="II11" s="1545"/>
      <x:c r="IJ11" s="1545"/>
      <x:c r="IK11" s="1545"/>
      <x:c r="IL11" s="1545"/>
      <x:c r="IM11" s="1545"/>
      <x:c r="IN11" s="1545"/>
      <x:c r="IO11" s="1545"/>
      <x:c r="IP11" s="1545"/>
      <x:c r="IQ11" s="1545"/>
      <x:c r="IR11" s="1545"/>
      <x:c r="IS11" s="1545"/>
      <x:c r="IT11" s="1545"/>
      <x:c r="IU11" s="1545"/>
      <x:c r="IV11" s="1545"/>
      <x:c r="IW11" s="1545"/>
      <x:c r="IX11" s="1545"/>
      <x:c r="IY11" s="1545"/>
      <x:c r="IZ11" s="1545"/>
      <x:c r="JA11" s="1545"/>
      <x:c r="JB11" s="1545"/>
      <x:c r="JC11" s="1545"/>
      <x:c r="JD11" s="1545"/>
      <x:c r="JE11" s="1545"/>
      <x:c r="JF11" s="1545"/>
      <x:c r="JG11" s="1545"/>
      <x:c r="JH11" s="1545"/>
      <x:c r="JI11" s="1545"/>
      <x:c r="JJ11" s="1545"/>
      <x:c r="JK11" s="1545"/>
      <x:c r="JL11" s="1545"/>
      <x:c r="JM11" s="1545"/>
      <x:c r="JN11" s="1545"/>
      <x:c r="JO11" s="1545"/>
    </x:row>
    <x:row r="12" spans="1:276" ht="12" customHeight="1" thickTop="1" thickBot="1" x14ac:dyDescent="0.25">
      <x:c r="A12" s="2434" t="s">
        <x:v>40</x:v>
      </x:c>
      <x:c r="B12" s="2435" t="s">
        <x:v>131</x:v>
      </x:c>
      <x:c r="C12" s="2435" t="s">
        <x:v>31</x:v>
      </x:c>
      <x:c r="D12" s="2435" t="s">
        <x:v>25</x:v>
      </x:c>
      <x:c r="E12" s="2439"/>
      <x:c r="F12" s="2445" t="s">
        <x:v>89</x:v>
      </x:c>
      <x:c r="G12" s="2344" t="s">
        <x:v>9</x:v>
      </x:c>
      <x:c r="H12" s="2443"/>
      <x:c r="I12" s="2443"/>
      <x:c r="J12" s="2443" t="s">
        <x:v>10</x:v>
      </x:c>
      <x:c r="K12" s="2443"/>
      <x:c r="L12" s="2342"/>
      <x:c r="M12" s="2437" t="s">
        <x:v>11</x:v>
      </x:c>
      <x:c r="N12" s="2438"/>
      <x:c r="O12" s="2440" t="s">
        <x:v>12</x:v>
      </x:c>
      <x:c r="P12" s="2441"/>
      <x:c r="Q12" s="2441" t="s">
        <x:v>13</x:v>
      </x:c>
      <x:c r="R12" s="2451"/>
      <x:c r="S12" s="2442" t="s">
        <x:v>14</x:v>
      </x:c>
      <x:c r="T12" s="2443"/>
      <x:c r="U12" s="2443"/>
      <x:c r="V12" s="2443"/>
      <x:c r="W12" s="2444"/>
      <x:c r="X12" s="2344" t="s">
        <x:v>112</x:v>
      </x:c>
      <x:c r="Y12" s="2342"/>
      <x:c r="Z12" s="1437" t="s">
        <x:v>15</x:v>
      </x:c>
      <x:c r="AA12" s="2686" t="s">
        <x:v>982</x:v>
      </x:c>
      <x:c r="AB12" s="2453" t="s">
        <x:v>40</x:v>
      </x:c>
      <x:c r="AC12" s="2336" t="s">
        <x:v>63</x:v>
      </x:c>
      <x:c r="AD12" s="2338" t="s">
        <x:v>32</x:v>
      </x:c>
      <x:c r="AE12" s="2339"/>
      <x:c r="AF12" s="2443" t="s">
        <x:v>34</x:v>
      </x:c>
      <x:c r="AG12" s="2443"/>
      <x:c r="AH12" s="2443"/>
      <x:c r="AI12" s="2338" t="s">
        <x:v>35</x:v>
      </x:c>
      <x:c r="AJ12" s="2339"/>
      <x:c r="AK12" s="2345" t="s">
        <x:v>64</x:v>
      </x:c>
      <x:c r="AL12" s="2347" t="s">
        <x:v>778</x:v>
      </x:c>
      <x:c r="AM12" s="2348"/>
      <x:c r="AN12" s="2348"/>
      <x:c r="AO12" s="2348"/>
      <x:c r="AP12" s="2348"/>
      <x:c r="AQ12" s="2349"/>
      <x:c r="AR12" s="2343" t="s">
        <x:v>83</x:v>
      </x:c>
      <x:c r="AS12" s="2343"/>
      <x:c r="AT12" s="2343"/>
      <x:c r="AU12" s="2343"/>
      <x:c r="AV12" s="2343"/>
      <x:c r="AW12" s="2343"/>
      <x:c r="AX12" s="2343"/>
      <x:c r="AY12" s="2343"/>
      <x:c r="AZ12" s="2343"/>
      <x:c r="BA12" s="2343"/>
      <x:c r="BB12" s="2343"/>
      <x:c r="BC12" s="2343"/>
      <x:c r="BD12" s="2343"/>
      <x:c r="BE12" s="2343"/>
      <x:c r="BF12" s="2343"/>
      <x:c r="BG12" s="2350"/>
      <x:c r="BH12" s="322"/>
      <x:c r="BJ12" s="139"/>
      <x:c r="BK12" s="139"/>
      <x:c r="BL12" s="139"/>
      <x:c r="BM12" s="139"/>
      <x:c r="BN12" s="139"/>
      <x:c r="BO12" s="139"/>
      <x:c r="BW12" s="2688" t="s">
        <x:v>671</x:v>
      </x:c>
      <x:c r="BX12" s="2689"/>
      <x:c r="BY12" s="2689"/>
      <x:c r="BZ12" s="2690"/>
      <x:c r="CA12" s="138"/>
      <x:c r="CB12" s="2505" t="s">
        <x:v>653</x:v>
      </x:c>
      <x:c r="CC12" s="2484" t="s">
        <x:v>131</x:v>
      </x:c>
      <x:c r="CD12" s="2618" t="s">
        <x:v>515</x:v>
      </x:c>
      <x:c r="CE12" s="2693" t="s">
        <x:v>516</x:v>
      </x:c>
      <x:c r="CF12" s="2694"/>
      <x:c r="CG12" s="2616" t="s">
        <x:v>579</x:v>
      </x:c>
      <x:c r="CH12" s="2618" t="s">
        <x:v>635</x:v>
      </x:c>
      <x:c r="CI12" s="2670"/>
      <x:c r="CJ12" s="2618" t="s">
        <x:v>636</x:v>
      </x:c>
      <x:c r="CK12" s="2670"/>
      <x:c r="CL12" s="2484" t="s">
        <x:v>525</x:v>
      </x:c>
      <x:c r="CM12" s="2626" t="s">
        <x:v>832</x:v>
      </x:c>
      <x:c r="CN12" s="2616" t="s">
        <x:v>579</x:v>
      </x:c>
      <x:c r="CO12" s="2618" t="s">
        <x:v>635</x:v>
      </x:c>
      <x:c r="CP12" s="2670"/>
      <x:c r="CQ12" s="2618" t="s">
        <x:v>636</x:v>
      </x:c>
      <x:c r="CR12" s="2670"/>
      <x:c r="CS12" s="2484" t="s">
        <x:v>525</x:v>
      </x:c>
      <x:c r="CT12" s="2626" t="s">
        <x:v>832</x:v>
      </x:c>
      <x:c r="CU12" s="2669" t="s">
        <x:v>848</x:v>
      </x:c>
      <x:c r="CV12" s="2677"/>
      <x:c r="CW12" s="2678"/>
      <x:c r="CX12" s="2623" t="s">
        <x:v>981</x:v>
      </x:c>
      <x:c r="CY12" s="2675" t="s">
        <x:v>518</x:v>
      </x:c>
      <x:c r="CZ12" s="2635" t="s">
        <x:v>677</x:v>
      </x:c>
      <x:c r="DA12" s="2637" t="s">
        <x:v>678</x:v>
      </x:c>
      <x:c r="DB12" s="2632" t="s">
        <x:v>847</x:v>
      </x:c>
      <x:c r="DC12" s="2632"/>
      <x:c r="DD12" s="2573" t="s">
        <x:v>1064</x:v>
      </x:c>
      <x:c r="DE12" s="2573"/>
      <x:c r="DF12" s="173"/>
      <x:c r="DG12" s="173"/>
      <x:c r="DH12" s="2382"/>
      <x:c r="DI12" s="2356" t="s">
        <x:v>1108</x:v>
      </x:c>
      <x:c r="DJ12" s="2358" t="s">
        <x:v>32</x:v>
      </x:c>
      <x:c r="DK12" s="2359"/>
      <x:c r="DL12" s="2362" t="s">
        <x:v>34</x:v>
      </x:c>
      <x:c r="DM12" s="2364" t="s">
        <x:v>526</x:v>
      </x:c>
      <x:c r="DN12" s="2365"/>
      <x:c r="DO12" s="2379"/>
      <x:c r="DP12" s="2334" t="s">
        <x:v>641</x:v>
      </x:c>
      <x:c r="DQ12" s="2365" t="s">
        <x:v>642</x:v>
      </x:c>
      <x:c r="DR12" s="2365" t="s">
        <x:v>643</x:v>
      </x:c>
      <x:c r="DS12" s="2365" t="s">
        <x:v>644</x:v>
      </x:c>
      <x:c r="DT12" s="2368" t="s">
        <x:v>645</x:v>
      </x:c>
      <x:c r="DU12" s="2369"/>
      <x:c r="DV12" s="2370" t="s">
        <x:v>638</x:v>
      </x:c>
      <x:c r="DW12" s="2371"/>
      <x:c r="DX12" s="2362" t="s">
        <x:v>649</x:v>
      </x:c>
      <x:c r="DY12" s="2372" t="s">
        <x:v>639</x:v>
      </x:c>
      <x:c r="DZ12" s="2370" t="s">
        <x:v>638</x:v>
      </x:c>
      <x:c r="EA12" s="2371"/>
      <x:c r="EB12" s="2362" t="s">
        <x:v>649</x:v>
      </x:c>
      <x:c r="EC12" s="2372" t="s">
        <x:v>639</x:v>
      </x:c>
      <x:c r="ED12" s="2370" t="s">
        <x:v>638</x:v>
      </x:c>
      <x:c r="EE12" s="2371"/>
      <x:c r="EF12" s="2362" t="s">
        <x:v>649</x:v>
      </x:c>
      <x:c r="EG12" s="2372" t="s">
        <x:v>639</x:v>
      </x:c>
      <x:c r="EH12" s="2370" t="s">
        <x:v>638</x:v>
      </x:c>
      <x:c r="EI12" s="2371"/>
      <x:c r="EJ12" s="2362" t="s">
        <x:v>649</x:v>
      </x:c>
      <x:c r="EK12" s="2332" t="s">
        <x:v>639</x:v>
      </x:c>
      <x:c r="EL12" s="2630" t="s">
        <x:v>628</x:v>
      </x:c>
      <x:c r="EM12" s="2631"/>
      <x:c r="EN12" s="2631"/>
      <x:c r="EO12" s="2628" t="s">
        <x:v>629</x:v>
      </x:c>
      <x:c r="EP12" s="2621" t="s">
        <x:v>827</x:v>
      </x:c>
      <x:c r="EQ12" s="2622"/>
      <x:c r="ER12" s="2475"/>
      <x:c r="ES12" s="2476"/>
      <x:c r="ET12" s="2609"/>
      <x:c r="EU12" s="2612"/>
      <x:c r="FW12" s="2"/>
      <x:c r="FX12" s="2"/>
      <x:c r="FY12" s="2"/>
      <x:c r="FZ12" s="2"/>
      <x:c r="GA12" s="2498" t="s">
        <x:v>749</x:v>
      </x:c>
      <x:c r="GB12" s="2499"/>
      <x:c r="GC12" s="2498" t="s">
        <x:v>597</x:v>
      </x:c>
      <x:c r="GD12" s="2499"/>
      <x:c r="GE12" s="2500" t="s">
        <x:v>752</x:v>
      </x:c>
      <x:c r="GF12" s="2502" t="s">
        <x:v>673</x:v>
      </x:c>
      <x:c r="GG12" s="2498" t="s">
        <x:v>1190</x:v>
      </x:c>
      <x:c r="GH12" s="2499"/>
      <x:c r="GI12" s="2498" t="s">
        <x:v>1189</x:v>
      </x:c>
      <x:c r="GJ12" s="2499"/>
      <x:c r="GK12" s="2491" t="s">
        <x:v>753</x:v>
      </x:c>
      <x:c r="GL12" s="2491" t="s">
        <x:v>754</x:v>
      </x:c>
      <x:c r="GM12" s="2491" t="s">
        <x:v>755</x:v>
      </x:c>
      <x:c r="GN12" s="171"/>
      <x:c r="GO12" s="171"/>
      <x:c r="GP12" s="171"/>
      <x:c r="GZ12" s="171"/>
      <x:c r="HA12" s="2574" t="s">
        <x:v>673</x:v>
      </x:c>
      <x:c r="HB12" s="2493" t="s">
        <x:v>1182</x:v>
      </x:c>
      <x:c r="HC12" s="2493" t="s">
        <x:v>1207</x:v>
      </x:c>
      <x:c r="HD12" s="2493" t="str">
        <x:f>IF($HA$1,"Bay Length","Overall Length")</x:f>
        <x:v>Overall Length</x:v>
      </x:c>
      <x:c r="HE12" s="2561"/>
      <x:c r="HF12" s="2493" t="str">
        <x:f>IF($HA$1,"L Sect #","TC Width")</x:f>
        <x:v>TC Width</x:v>
      </x:c>
      <x:c r="HG12" s="2495" t="str">
        <x:f>IF($HA$1,"L Min Sup Wid","TCXL Feet")</x:f>
        <x:v>TCXL Feet</x:v>
      </x:c>
      <x:c r="HH12" s="2495" t="str">
        <x:f>IF($HA$1,"L Max Sup Wid","TCXL Inch")</x:f>
        <x:v>TCXL Inch</x:v>
      </x:c>
      <x:c r="HI12" s="2495" t="str">
        <x:f>IF($HA$1,"L Min Flg Ga","TCXL Type")</x:f>
        <x:v>TCXL Type</x:v>
      </x:c>
      <x:c r="HJ12" s="2495" t="str">
        <x:f>IF($HA$1,"L Max Flg Ga","TCXR Feet")</x:f>
        <x:v>TCXR Feet</x:v>
      </x:c>
      <x:c r="HK12" s="2495" t="str">
        <x:f>IF($HA$1,"L Skew","TCXR Inch")</x:f>
        <x:v>TCXR Inch</x:v>
      </x:c>
      <x:c r="HL12" s="2495" t="str">
        <x:f>IF($HA$1,"L Brg Slp","TCXR Type")</x:f>
        <x:v>TCXR Type</x:v>
      </x:c>
      <x:c r="HM12" s="2493" t="str">
        <x:f>IF($HA$1,"R Sect #","BDL")</x:f>
        <x:v>BDL</x:v>
      </x:c>
      <x:c r="HN12" s="2495" t="str">
        <x:f>IF($HA$1,"R Min Sup Wid","BDR")</x:f>
        <x:v>BDR</x:v>
      </x:c>
      <x:c r="HO12" s="2495" t="str">
        <x:f>IF($HA$1,"R Max Sup Wid","BCXL Feet")</x:f>
        <x:v>BCXL Feet</x:v>
      </x:c>
      <x:c r="HP12" s="2495" t="str">
        <x:f>IF($HA$1,"R Min Flg Ga","BCXL Inch")</x:f>
        <x:v>BCXL Inch</x:v>
      </x:c>
      <x:c r="HQ12" s="2495" t="str">
        <x:f>IF($HA$1,"R Max Flg Ga","BCXR Feet")</x:f>
        <x:v>BCXR Feet</x:v>
      </x:c>
      <x:c r="HR12" s="2495" t="str">
        <x:f>IF($HA$1,"R Skew","BCXR Inch")</x:f>
        <x:v>BCXR Inch</x:v>
      </x:c>
      <x:c r="HS12" s="2495" t="str">
        <x:f>IF($HA$1,"R Brg Slp","HL Feet")</x:f>
        <x:v>HL Feet</x:v>
      </x:c>
      <x:c r="HT12" s="2495" t="str">
        <x:f>IF($HA$1,"TC Slope","HL Inch")</x:f>
        <x:v>HL Inch</x:v>
      </x:c>
      <x:c r="HU12" s="2495" t="str">
        <x:f>IF($HA$1,"Load Notes","HR Feet")</x:f>
        <x:v>HR Feet</x:v>
      </x:c>
      <x:c r="HV12" s="2495" t="str">
        <x:f>IF($HA$1,"Spcl Notes","HR Inch")</x:f>
        <x:v>HR Inch</x:v>
      </x:c>
      <x:c r="HW12" s="2495" t="str">
        <x:f>IF($HA$1,"# KB","Slot Ga")</x:f>
        <x:v>Slot Ga</x:v>
      </x:c>
      <x:c r="HX12" s="2495" t="str">
        <x:f>IF($HA$1,"TC Width","L Seat Slp")</x:f>
        <x:v>L Seat Slp</x:v>
      </x:c>
      <x:c r="HY12" s="2495" t="str">
        <x:f>IF($HA$1,"TCL Override","R Seat Slp")</x:f>
        <x:v>R Seat Slp</x:v>
      </x:c>
      <x:c r="HZ12" s="2495" t="str">
        <x:f>IF($HA$1,"TCR Override","Load Notes")</x:f>
        <x:v>Load Notes</x:v>
      </x:c>
      <x:c r="IA12" s="2495" t="str">
        <x:f>IF($HA$1,"L-BL Override","Spcl Notes")</x:f>
        <x:v>Spcl Notes</x:v>
      </x:c>
      <x:c r="IB12" s="2576" t="str">
        <x:f>IF($HA$1,"R-BL Override","# KB")</x:f>
        <x:v># KB</x:v>
      </x:c>
      <x:c r="IC12" s="2495" t="str">
        <x:f>IF($HA$1,"BDL Override","-")</x:f>
        <x:v>-</x:v>
      </x:c>
      <x:c r="ID12" s="2696" t="str">
        <x:f>IF($HA$1,"BDR Override","-")</x:f>
        <x:v>-</x:v>
      </x:c>
      <x:c r="IE12" s="2562" t="s">
        <x:v>673</x:v>
      </x:c>
      <x:c r="IF12" s="2465" t="s">
        <x:v>1209</x:v>
      </x:c>
      <x:c r="IG12" s="2465" t="s">
        <x:v>1210</x:v>
      </x:c>
      <x:c r="IH12" s="2465" t="s">
        <x:v>1211</x:v>
      </x:c>
      <x:c r="II12" s="2465" t="s">
        <x:v>1212</x:v>
      </x:c>
      <x:c r="IJ12" s="2465" t="s">
        <x:v>1214</x:v>
      </x:c>
      <x:c r="IK12" s="2465" t="s">
        <x:v>1213</x:v>
      </x:c>
      <x:c r="IL12" s="2465" t="str">
        <x:f>IF($HA$1,"Load (Kip)","Panel ""B"" Feet")</x:f>
        <x:v>Panel "B" Feet</x:v>
      </x:c>
      <x:c r="IM12" s="2465" t="str">
        <x:f>IF($HA$1,"OSHA N/F/B","Panel ""B"" Inch")</x:f>
        <x:v>Panel "B" Inch</x:v>
      </x:c>
      <x:c r="IN12" s="2465" t="str">
        <x:f>IF($HA$1,"Girder TC Ga","Load (Kip)")</x:f>
        <x:v>Load (Kip)</x:v>
      </x:c>
      <x:c r="IO12" s="2465" t="str">
        <x:f>IF($HA$1,"Jst Hole (x/16)","OSHA N/F/B")</x:f>
        <x:v>OSHA N/F/B</x:v>
      </x:c>
      <x:c r="IP12" s="2465" t="str">
        <x:f>IF($HA$1,"Joist Gage","Girder TC Gage")</x:f>
        <x:v>Girder TC Gage</x:v>
      </x:c>
      <x:c r="IQ12" s="2465" t="str">
        <x:f>IF($HA$1,"TC Hole L","Girder TC Hole (x/16)")</x:f>
        <x:v>Girder TC Hole (x/16)</x:v>
      </x:c>
      <x:c r="IR12" s="2465" t="str">
        <x:f>IF($HA$1,"TC Hole R","Joist Gage")</x:f>
        <x:v>Joist Gage</x:v>
      </x:c>
      <x:c r="IS12" s="2465" t="str">
        <x:f>IF($HA$1,"Add Jst#1 Feet","TCHoleL")</x:f>
        <x:v>TCHoleL</x:v>
      </x:c>
      <x:c r="IT12" s="2465" t="str">
        <x:f>IF($HA$1,"Add Jst#1 Inch","TC Hole R")</x:f>
        <x:v>TC Hole R</x:v>
      </x:c>
      <x:c r="IU12" s="2465" t="str">
        <x:f>IF($HA$1,"Add Jst#1 Load","Add Jst#1 Feet")</x:f>
        <x:v>Add Jst#1 Feet</x:v>
      </x:c>
      <x:c r="IV12" s="2465" t="str">
        <x:f>IF($HA$1,"Add Jst#1 Bolt N/F/B","Add Jst#1 inch")</x:f>
        <x:v>Add Jst#1 inch</x:v>
      </x:c>
      <x:c r="IW12" s="2465" t="str">
        <x:f>IF($HA$1,"Add Jst#2 Feet","Add Jst#1 Load")</x:f>
        <x:v>Add Jst#1 Load</x:v>
      </x:c>
      <x:c r="IX12" s="2465" t="str">
        <x:f>IF($HA$1,"Add Jst#2 Inch","Add Jst#1 Bolt N/F/B")</x:f>
        <x:v>Add Jst#1 Bolt N/F/B</x:v>
      </x:c>
      <x:c r="IY12" s="2465" t="str">
        <x:f>IF($HA$1,"Add Jst#2 Load","Add Jst#2 Feet")</x:f>
        <x:v>Add Jst#2 Feet</x:v>
      </x:c>
      <x:c r="IZ12" s="2465" t="str">
        <x:f>IF($HA$1,"Add Jst#2 Bolt N/F/B","Add Jst#2 inch")</x:f>
        <x:v>Add Jst#2 inch</x:v>
      </x:c>
      <x:c r="JA12" s="2465" t="str">
        <x:f>IF($HA$1,"Add Jst#3 Feet","Add Jst#2 Load")</x:f>
        <x:v>Add Jst#2 Load</x:v>
      </x:c>
      <x:c r="JB12" s="2465" t="str">
        <x:f>IF($HA$1,"Add Jst#3 Inch","Add Jst#2 Bolt N/F/B")</x:f>
        <x:v>Add Jst#2 Bolt N/F/B</x:v>
      </x:c>
      <x:c r="JC12" s="2465" t="str">
        <x:f>IF($HA$1,"Add Jst#3 Load","Add Jst#3 Feet")</x:f>
        <x:v>Add Jst#3 Feet</x:v>
      </x:c>
      <x:c r="JD12" s="2465" t="str">
        <x:f>IF($HA$1,"Add Jst#3 Bolt N/F/B","Add Jst#3 inch")</x:f>
        <x:v>Add Jst#3 inch</x:v>
      </x:c>
      <x:c r="JE12" s="2465" t="str">
        <x:f>IF($HA$1,"Add Jst#4 Feet","Add Jst#3 Load")</x:f>
        <x:v>Add Jst#3 Load</x:v>
      </x:c>
      <x:c r="JF12" s="2465" t="str">
        <x:f>IF($HA$1,"Add Jst#4 Inch","Add Jst#3 Bolt N/F/B")</x:f>
        <x:v>Add Jst#3 Bolt N/F/B</x:v>
      </x:c>
      <x:c r="JG12" s="2465" t="str">
        <x:f>IF($HA$1,"Add Jst#4 Load","Add Jst#4 Feet")</x:f>
        <x:v>Add Jst#4 Feet</x:v>
      </x:c>
      <x:c r="JH12" s="2465" t="str">
        <x:f>IF($HA$1,"Add Jst#4 Bolt N/F/B","Add Jst#4 inch")</x:f>
        <x:v>Add Jst#4 inch</x:v>
      </x:c>
      <x:c r="JI12" s="2465" t="str">
        <x:f>IF($HA$1,"-","Add Jst#4 Load")</x:f>
        <x:v>Add Jst#4 Load</x:v>
      </x:c>
      <x:c r="JJ12" s="2465" t="str">
        <x:f>IF($HA$1,"-","Add Jst#4 Bolt N/F/B")</x:f>
        <x:v>Add Jst#4 Bolt N/F/B</x:v>
      </x:c>
      <x:c r="JK12" s="2642" t="str">
        <x:f>IF($HA$1,"# Rows Req'd","# Rows Req'd")</x:f>
        <x:v># Rows Req'd</x:v>
      </x:c>
      <x:c r="JL12" s="2644" t="s">
        <x:v>1216</x:v>
      </x:c>
      <x:c r="JM12" s="1545"/>
      <x:c r="JN12" s="1545"/>
      <x:c r="JO12" s="1545"/>
    </x:row>
    <x:row r="13" spans="1:276" ht="21" customHeight="1" thickTop="1" thickBot="1" x14ac:dyDescent="0.25">
      <x:c r="A13" s="2434"/>
      <x:c r="B13" s="2435"/>
      <x:c r="C13" s="2435"/>
      <x:c r="D13" s="2435"/>
      <x:c r="E13" s="2439"/>
      <x:c r="F13" s="2445"/>
      <x:c r="G13" s="2352" t="s">
        <x:v>16</x:v>
      </x:c>
      <x:c r="H13" s="2436"/>
      <x:c r="I13" s="1839" t="s">
        <x:v>773</x:v>
      </x:c>
      <x:c r="J13" s="2436" t="s">
        <x:v>16</x:v>
      </x:c>
      <x:c r="K13" s="2436"/>
      <x:c r="L13" s="1832" t="s">
        <x:v>773</x:v>
      </x:c>
      <x:c r="M13" s="1834" t="s">
        <x:v>18</x:v>
      </x:c>
      <x:c r="N13" s="549" t="s">
        <x:v>19</x:v>
      </x:c>
      <x:c r="O13" s="2440"/>
      <x:c r="P13" s="2441"/>
      <x:c r="Q13" s="2441"/>
      <x:c r="R13" s="2451"/>
      <x:c r="S13" s="2355" t="s">
        <x:v>81</x:v>
      </x:c>
      <x:c r="T13" s="2436"/>
      <x:c r="U13" s="2436" t="s">
        <x:v>82</x:v>
      </x:c>
      <x:c r="V13" s="2436"/>
      <x:c r="W13" s="549" t="s">
        <x:v>27</x:v>
      </x:c>
      <x:c r="X13" s="1833" t="s">
        <x:v>113</x:v>
      </x:c>
      <x:c r="Y13" s="1832" t="s">
        <x:v>114</x:v>
      </x:c>
      <x:c r="Z13" s="1438" t="s">
        <x:v>58</x:v>
      </x:c>
      <x:c r="AA13" s="2687"/>
      <x:c r="AB13" s="2454"/>
      <x:c r="AC13" s="2337"/>
      <x:c r="AD13" s="2340"/>
      <x:c r="AE13" s="2341"/>
      <x:c r="AF13" s="1839" t="s">
        <x:v>33</x:v>
      </x:c>
      <x:c r="AG13" s="2436" t="s">
        <x:v>16</x:v>
      </x:c>
      <x:c r="AH13" s="2436"/>
      <x:c r="AI13" s="2340"/>
      <x:c r="AJ13" s="2341"/>
      <x:c r="AK13" s="2346"/>
      <x:c r="AL13" s="1439" t="s">
        <x:v>779</x:v>
      </x:c>
      <x:c r="AM13" s="1840" t="s">
        <x:v>776</x:v>
      </x:c>
      <x:c r="AN13" s="1840" t="s">
        <x:v>777</x:v>
      </x:c>
      <x:c r="AO13" s="1841" t="s">
        <x:v>61</x:v>
      </x:c>
      <x:c r="AP13" s="1842" t="s">
        <x:v>780</x:v>
      </x:c>
      <x:c r="AQ13" s="1440" t="s">
        <x:v>781</x:v>
      </x:c>
      <x:c r="AR13" s="2353" t="s">
        <x:v>59</x:v>
      </x:c>
      <x:c r="AS13" s="2352"/>
      <x:c r="AT13" s="1441" t="s">
        <x:v>64</x:v>
      </x:c>
      <x:c r="AU13" s="1442" t="s">
        <x:v>60</x:v>
      </x:c>
      <x:c r="AV13" s="2354" t="s">
        <x:v>59</x:v>
      </x:c>
      <x:c r="AW13" s="2355"/>
      <x:c r="AX13" s="1441" t="s">
        <x:v>64</x:v>
      </x:c>
      <x:c r="AY13" s="1442" t="s">
        <x:v>60</x:v>
      </x:c>
      <x:c r="AZ13" s="2354" t="s">
        <x:v>59</x:v>
      </x:c>
      <x:c r="BA13" s="2355"/>
      <x:c r="BB13" s="1441" t="s">
        <x:v>64</x:v>
      </x:c>
      <x:c r="BC13" s="1442" t="s">
        <x:v>60</x:v>
      </x:c>
      <x:c r="BD13" s="2354" t="s">
        <x:v>59</x:v>
      </x:c>
      <x:c r="BE13" s="2355"/>
      <x:c r="BF13" s="1441" t="s">
        <x:v>64</x:v>
      </x:c>
      <x:c r="BG13" s="1442" t="s">
        <x:v>60</x:v>
      </x:c>
      <x:c r="BH13" s="322"/>
      <x:c r="BJ13" s="622" t="s">
        <x:v>673</x:v>
      </x:c>
      <x:c r="BK13" s="623" t="s">
        <x:v>830</x:v>
      </x:c>
      <x:c r="BL13" s="440" t="s">
        <x:v>171</x:v>
      </x:c>
      <x:c r="BM13" s="440" t="s">
        <x:v>172</x:v>
      </x:c>
      <x:c r="BN13" s="440" t="s">
        <x:v>173</x:v>
      </x:c>
      <x:c r="BO13" s="440" t="s">
        <x:v>454</x:v>
      </x:c>
      <x:c r="BP13" s="440" t="s">
        <x:v>455</x:v>
      </x:c>
      <x:c r="BQ13" s="440" t="s">
        <x:v>456</x:v>
      </x:c>
      <x:c r="BR13" s="440" t="s">
        <x:v>180</x:v>
      </x:c>
      <x:c r="BS13" s="440" t="s">
        <x:v>177</x:v>
      </x:c>
      <x:c r="BT13" s="440" t="s">
        <x:v>175</x:v>
      </x:c>
      <x:c r="BU13" s="440" t="s">
        <x:v>178</x:v>
      </x:c>
      <x:c r="BV13" s="440" t="s">
        <x:v>179</x:v>
      </x:c>
      <x:c r="BW13" s="441" t="s">
        <x:v>672</x:v>
      </x:c>
      <x:c r="BX13" s="442" t="s">
        <x:v>673</x:v>
      </x:c>
      <x:c r="BY13" s="442" t="s">
        <x:v>171</x:v>
      </x:c>
      <x:c r="BZ13" s="623" t="s">
        <x:v>830</x:v>
      </x:c>
      <x:c r="CB13" s="2506"/>
      <x:c r="CC13" s="2691"/>
      <x:c r="CD13" s="2692"/>
      <x:c r="CE13" s="2421"/>
      <x:c r="CF13" s="2422"/>
      <x:c r="CG13" s="2617"/>
      <x:c r="CH13" s="2671"/>
      <x:c r="CI13" s="2672"/>
      <x:c r="CJ13" s="2671"/>
      <x:c r="CK13" s="2672"/>
      <x:c r="CL13" s="2681"/>
      <x:c r="CM13" s="2627"/>
      <x:c r="CN13" s="2617"/>
      <x:c r="CO13" s="2671"/>
      <x:c r="CP13" s="2672"/>
      <x:c r="CQ13" s="2671"/>
      <x:c r="CR13" s="2672"/>
      <x:c r="CS13" s="2681"/>
      <x:c r="CT13" s="2627"/>
      <x:c r="CU13" s="2615"/>
      <x:c r="CV13" s="515" t="s">
        <x:v>455</x:v>
      </x:c>
      <x:c r="CW13" s="516" t="s">
        <x:v>592</x:v>
      </x:c>
      <x:c r="CX13" s="2624"/>
      <x:c r="CY13" s="2676"/>
      <x:c r="CZ13" s="2636"/>
      <x:c r="DA13" s="2638"/>
      <x:c r="DB13" s="1041" t="s">
        <x:v>646</x:v>
      </x:c>
      <x:c r="DC13" s="1042" t="s">
        <x:v>647</x:v>
      </x:c>
      <x:c r="DD13" s="594" t="s">
        <x:v>646</x:v>
      </x:c>
      <x:c r="DE13" s="595" t="s">
        <x:v>647</x:v>
      </x:c>
      <x:c r="DF13" s="173"/>
      <x:c r="DG13" s="173"/>
      <x:c r="DH13" s="2383"/>
      <x:c r="DI13" s="2357"/>
      <x:c r="DJ13" s="2360"/>
      <x:c r="DK13" s="2361"/>
      <x:c r="DL13" s="2363"/>
      <x:c r="DM13" s="2366"/>
      <x:c r="DN13" s="2367"/>
      <x:c r="DO13" s="2380"/>
      <x:c r="DP13" s="2335"/>
      <x:c r="DQ13" s="2367"/>
      <x:c r="DR13" s="2367"/>
      <x:c r="DS13" s="2367"/>
      <x:c r="DT13" s="634" t="s">
        <x:v>646</x:v>
      </x:c>
      <x:c r="DU13" s="635" t="s">
        <x:v>647</x:v>
      </x:c>
      <x:c r="DV13" s="669" t="s">
        <x:v>674</x:v>
      </x:c>
      <x:c r="DW13" s="670" t="s">
        <x:v>648</x:v>
      </x:c>
      <x:c r="DX13" s="2363"/>
      <x:c r="DY13" s="2364"/>
      <x:c r="DZ13" s="669" t="s">
        <x:v>674</x:v>
      </x:c>
      <x:c r="EA13" s="670" t="s">
        <x:v>648</x:v>
      </x:c>
      <x:c r="EB13" s="2363"/>
      <x:c r="EC13" s="2364"/>
      <x:c r="ED13" s="669" t="s">
        <x:v>674</x:v>
      </x:c>
      <x:c r="EE13" s="670" t="s">
        <x:v>648</x:v>
      </x:c>
      <x:c r="EF13" s="2363"/>
      <x:c r="EG13" s="2364"/>
      <x:c r="EH13" s="669" t="s">
        <x:v>674</x:v>
      </x:c>
      <x:c r="EI13" s="670" t="s">
        <x:v>648</x:v>
      </x:c>
      <x:c r="EJ13" s="2363"/>
      <x:c r="EK13" s="2333"/>
      <x:c r="EL13" s="636" t="s">
        <x:v>625</x:v>
      </x:c>
      <x:c r="EM13" s="517" t="s">
        <x:v>626</x:v>
      </x:c>
      <x:c r="EN13" s="518" t="s">
        <x:v>627</x:v>
      </x:c>
      <x:c r="EO13" s="2629"/>
      <x:c r="EP13" s="658" t="s">
        <x:v>646</x:v>
      </x:c>
      <x:c r="EQ13" s="659" t="s">
        <x:v>647</x:v>
      </x:c>
      <x:c r="ER13" s="520" t="s">
        <x:v>557</x:v>
      </x:c>
      <x:c r="ES13" s="521" t="s">
        <x:v>170</x:v>
      </x:c>
      <x:c r="ET13" s="2610"/>
      <x:c r="EU13" s="2613"/>
      <x:c r="EX13" s="442" t="s">
        <x:v>673</x:v>
      </x:c>
      <x:c r="EY13" s="1195" t="s">
        <x:v>1107</x:v>
      </x:c>
      <x:c r="EZ13" s="1198" t="s">
        <x:v>1109</x:v>
      </x:c>
      <x:c r="FA13" s="165" t="s">
        <x:v>1145</x:v>
      </x:c>
      <x:c r="FB13" s="1215" t="s">
        <x:v>177</x:v>
      </x:c>
      <x:c r="FC13" s="1215" t="s">
        <x:v>32</x:v>
      </x:c>
      <x:c r="FD13" s="1215" t="s">
        <x:v>34</x:v>
      </x:c>
      <x:c r="FE13" s="1215" t="s">
        <x:v>35</x:v>
      </x:c>
      <x:c r="FF13" s="1216" t="s">
        <x:v>1146</x:v>
      </x:c>
      <x:c r="FN13" s="1816" t="s">
        <x:v>1147</x:v>
      </x:c>
      <x:c r="FO13" s="1817" t="s">
        <x:v>1255</x:v>
      </x:c>
      <x:c r="FP13" s="1195" t="s">
        <x:v>1147</x:v>
      </x:c>
      <x:c r="FQ13" s="1817" t="s">
        <x:v>1256</x:v>
      </x:c>
      <x:c r="FW13" s="2"/>
      <x:c r="FX13" s="2"/>
      <x:c r="FZ13" s="2"/>
      <x:c r="GA13" s="664" t="s">
        <x:v>750</x:v>
      </x:c>
      <x:c r="GB13" s="665" t="s">
        <x:v>751</x:v>
      </x:c>
      <x:c r="GC13" s="664" t="s">
        <x:v>646</x:v>
      </x:c>
      <x:c r="GD13" s="665" t="s">
        <x:v>647</x:v>
      </x:c>
      <x:c r="GE13" s="2501"/>
      <x:c r="GF13" s="2501"/>
      <x:c r="GG13" s="664" t="s">
        <x:v>750</x:v>
      </x:c>
      <x:c r="GH13" s="665" t="s">
        <x:v>751</x:v>
      </x:c>
      <x:c r="GI13" s="664" t="s">
        <x:v>750</x:v>
      </x:c>
      <x:c r="GJ13" s="665" t="s">
        <x:v>751</x:v>
      </x:c>
      <x:c r="GK13" s="2492"/>
      <x:c r="GL13" s="2492"/>
      <x:c r="GM13" s="2492"/>
      <x:c r="GO13" s="171"/>
      <x:c r="GP13" s="171"/>
      <x:c r="GZ13" s="171"/>
      <x:c r="HA13" s="2659"/>
      <x:c r="HB13" s="2658"/>
      <x:c r="HC13" s="2658"/>
      <x:c r="HD13" s="2658"/>
      <x:c r="HE13" s="2658"/>
      <x:c r="HF13" s="2658"/>
      <x:c r="HG13" s="2658"/>
      <x:c r="HH13" s="2658"/>
      <x:c r="HI13" s="2658"/>
      <x:c r="HJ13" s="2658"/>
      <x:c r="HK13" s="2658"/>
      <x:c r="HL13" s="2658"/>
      <x:c r="HM13" s="2658"/>
      <x:c r="HN13" s="2658"/>
      <x:c r="HO13" s="2658"/>
      <x:c r="HP13" s="2658"/>
      <x:c r="HQ13" s="2658"/>
      <x:c r="HR13" s="2658"/>
      <x:c r="HS13" s="2658"/>
      <x:c r="HT13" s="2658"/>
      <x:c r="HU13" s="2658"/>
      <x:c r="HV13" s="2658"/>
      <x:c r="HW13" s="2658"/>
      <x:c r="HX13" s="2658"/>
      <x:c r="HY13" s="2658"/>
      <x:c r="HZ13" s="2658"/>
      <x:c r="IA13" s="2658"/>
      <x:c r="IB13" s="2695"/>
      <x:c r="IC13" s="2658"/>
      <x:c r="ID13" s="2697"/>
      <x:c r="IE13" s="2563"/>
      <x:c r="IF13" s="2466"/>
      <x:c r="IG13" s="2466"/>
      <x:c r="IH13" s="2466"/>
      <x:c r="II13" s="2466"/>
      <x:c r="IJ13" s="2466"/>
      <x:c r="IK13" s="2466"/>
      <x:c r="IL13" s="2466"/>
      <x:c r="IM13" s="2466"/>
      <x:c r="IN13" s="2466"/>
      <x:c r="IO13" s="2466"/>
      <x:c r="IP13" s="2466"/>
      <x:c r="IQ13" s="2466"/>
      <x:c r="IR13" s="2466"/>
      <x:c r="IS13" s="2466"/>
      <x:c r="IT13" s="2466"/>
      <x:c r="IU13" s="2466"/>
      <x:c r="IV13" s="2466"/>
      <x:c r="IW13" s="2466"/>
      <x:c r="IX13" s="2466"/>
      <x:c r="IY13" s="2466"/>
      <x:c r="IZ13" s="2466"/>
      <x:c r="JA13" s="2466"/>
      <x:c r="JB13" s="2466"/>
      <x:c r="JC13" s="2466"/>
      <x:c r="JD13" s="2466"/>
      <x:c r="JE13" s="2466"/>
      <x:c r="JF13" s="2466"/>
      <x:c r="JG13" s="2466"/>
      <x:c r="JH13" s="2466"/>
      <x:c r="JI13" s="2466"/>
      <x:c r="JJ13" s="2466"/>
      <x:c r="JK13" s="2643"/>
      <x:c r="JL13" s="2645"/>
      <x:c r="JM13" s="1545"/>
      <x:c r="JN13" s="1545"/>
      <x:c r="JO13" s="1545"/>
    </x:row>
    <x:row r="14" spans="1:276" ht="12.6" customHeight="1" thickTop="1" x14ac:dyDescent="0.25">
      <x:c r="A14" s="2138" t="s">
        <x:v>1304</x:v>
      </x:c>
      <x:c r="B14" s="2139">
        <x:v>1</x:v>
      </x:c>
      <x:c r="C14" s="2140" t="s">
        <x:v>1952</x:v>
      </x:c>
      <x:c r="D14" s="2141">
        <x:v>51</x:v>
      </x:c>
      <x:c r="E14" s="2142">
        <x:v>5.75</x:v>
      </x:c>
      <x:c r="F14" s="2143">
        <x:v>11.125</x:v>
      </x:c>
      <x:c r="G14" s="2144" t="str">
        <x:f t="shared" ref="G14:G45" si="0">IF(DD54=0,"",TRUNC(DD54/12))</x:f>
        <x:v/>
      </x:c>
      <x:c r="H14" s="2145" t="str">
        <x:f t="shared" ref="H14:H45" si="1">IF(DD54=0,"",DD54-(G14*12))</x:f>
        <x:v/>
      </x:c>
      <x:c r="I14" s="2146" t="str">
        <x:f t="shared" ref="I14:I45" si="2">IF(DD54=0,"",CE54)</x:f>
        <x:v/>
      </x:c>
      <x:c r="J14" s="2141">
        <x:v>0</x:v>
      </x:c>
      <x:c r="K14" s="2145">
        <x:v>1.75</x:v>
      </x:c>
      <x:c r="L14" s="2147" t="s">
        <x:v>114</x:v>
      </x:c>
      <x:c r="M14" s="2148">
        <x:v>7.5</x:v>
      </x:c>
      <x:c r="N14" s="2149">
        <x:v>7.5</x:v>
      </x:c>
      <x:c r="O14" s="2144">
        <x:v>0</x:v>
      </x:c>
      <x:c r="P14" s="2145">
        <x:v>1</x:v>
      </x:c>
      <x:c r="Q14" s="2141">
        <x:v>0</x:v>
      </x:c>
      <x:c r="R14" s="2142">
        <x:v>6.75</x:v>
      </x:c>
      <x:c r="S14" s="2150">
        <x:v>0</x:v>
      </x:c>
      <x:c r="T14" s="2145">
        <x:v>2</x:v>
      </x:c>
      <x:c r="U14" s="2141">
        <x:v>0</x:v>
      </x:c>
      <x:c r="V14" s="2145">
        <x:v>6.25</x:v>
      </x:c>
      <x:c r="W14" s="2149">
        <x:v>5</x:v>
      </x:c>
      <x:c r="X14" s="2151" t="str">
        <x:f t="shared" ref="X14:X45" si="3">IF(EN54="","",EN54)</x:f>
        <x:v/>
      </x:c>
      <x:c r="Y14" s="2152" t="str">
        <x:f t="shared" ref="Y14:Y45" si="4">IF(ES54="","",ES54)</x:f>
        <x:v/>
      </x:c>
      <x:c r="Z14" s="2210" t="s">
        <x:v>2321</x:v>
      </x:c>
      <x:c r="AA14" s="2153" t="str">
        <x:f t="shared" ref="AA14:AA45" si="5">IF(ISBLANK(CX14),"",CX14)</x:f>
        <x:v/>
      </x:c>
      <x:c r="AB14" s="2106" t="s">
        <x:v>1304</x:v>
      </x:c>
      <x:c r="AC14" s="2107" t="s">
        <x:v>1703</x:v>
      </x:c>
      <x:c r="AD14" s="2108">
        <x:v>7</x:v>
      </x:c>
      <x:c r="AE14" s="2109">
        <x:v>6</x:v>
      </x:c>
      <x:c r="AF14" s="2107">
        <x:v>5</x:v>
      </x:c>
      <x:c r="AG14" s="2108">
        <x:v>8</x:v>
      </x:c>
      <x:c r="AH14" s="2109">
        <x:v>0</x:v>
      </x:c>
      <x:c r="AI14" s="2108">
        <x:v>3</x:v>
      </x:c>
      <x:c r="AJ14" s="2109">
        <x:v>10</x:v>
      </x:c>
      <x:c r="AK14" s="2110" t="str">
        <x:f t="shared" ref="AK14:AO45" si="6">IF(ISBLANK(DO14),"",DO14)</x:f>
        <x:v/>
      </x:c>
      <x:c r="AL14" s="2111" t="str">
        <x:f t="shared" si="6"/>
        <x:v/>
      </x:c>
      <x:c r="AM14" s="2112">
        <x:v>5</x:v>
      </x:c>
      <x:c r="AN14" s="2107">
        <x:v>13</x:v>
      </x:c>
      <x:c r="AO14" s="2155">
        <x:v>4</x:v>
      </x:c>
      <x:c r="AP14" s="2208">
        <x:v>1.75</x:v>
      </x:c>
      <x:c r="AQ14" s="2115">
        <x:v>1.75</x:v>
      </x:c>
      <x:c r="AR14" s="2205">
        <x:v>50</x:v>
      </x:c>
      <x:c r="AS14" s="2206">
        <x:v>6</x:v>
      </x:c>
      <x:c r="AT14" s="2117" t="str">
        <x:f t="shared" ref="AT14:AU45" si="7">IF(ISBLANK(DX14),"",DX14)</x:f>
        <x:v/>
      </x:c>
      <x:c r="AU14" s="2207" t="s">
        <x:v>1703</x:v>
      </x:c>
      <x:c r="AV14" s="2156" t="str">
        <x:f t="shared" ref="AV14:AV45" si="8">IF(GG54="","",IF(ISTEXT(GG54),"P",TRUNC(GG54/12)))</x:f>
        <x:v/>
      </x:c>
      <x:c r="AW14" s="2109" t="str">
        <x:f t="shared" ref="AW14:AW45" si="9">IF(GG54="","",IF(AV14="P",GG54,GG54-(AV14*12)))</x:f>
        <x:v/>
      </x:c>
      <x:c r="AX14" s="2117" t="str">
        <x:f t="shared" ref="AX14:AY45" si="10">IF(ISBLANK(EB14),"",EB14)</x:f>
        <x:v/>
      </x:c>
      <x:c r="AY14" s="2120" t="str">
        <x:f t="shared" si="10"/>
        <x:v/>
      </x:c>
      <x:c r="AZ14" s="2156" t="str">
        <x:f t="shared" ref="AZ14:AZ45" si="11">IF(GH54="","",IF(ISTEXT(GH54),"P",TRUNC(GH54/12)))</x:f>
        <x:v/>
      </x:c>
      <x:c r="BA14" s="2109" t="str">
        <x:f t="shared" ref="BA14:BA45" si="12">IF(GH54="","",IF(AZ14="P",GH54,GH54-(AZ14*12)))</x:f>
        <x:v/>
      </x:c>
      <x:c r="BB14" s="2117" t="str">
        <x:f t="shared" ref="BB14:BC45" si="13">IF(ISBLANK(EF14),"",EF14)</x:f>
        <x:v/>
      </x:c>
      <x:c r="BC14" s="2120" t="str">
        <x:f t="shared" si="13"/>
        <x:v/>
      </x:c>
      <x:c r="BD14" s="2156" t="str">
        <x:f t="shared" ref="BD14:BD45" si="14">IF(GI54="","",IF(ISTEXT(GI54),"P",TRUNC(GI54/12)))</x:f>
        <x:v/>
      </x:c>
      <x:c r="BE14" s="2109" t="str">
        <x:f t="shared" ref="BE14:BE45" si="15">IF(GI54="","",IF(BD14="P",GI54,GI54-(BD14*12)))</x:f>
        <x:v/>
      </x:c>
      <x:c r="BF14" s="2117" t="str">
        <x:f t="shared" ref="BF14:BG45" si="16">IF(ISBLANK(EJ14),"",EJ14)</x:f>
        <x:v/>
      </x:c>
      <x:c r="BG14" s="2120" t="str">
        <x:f t="shared" si="16"/>
        <x:v/>
      </x:c>
      <x:c r="BH14" s="322"/>
      <x:c r="BJ14" s="1258" t="str">
        <x:f>IF(OR(ISBLANK(A14),A14=""),"",A14)</x:f>
        <x:v>G41</x:v>
      </x:c>
      <x:c r="BK14" s="1256" t="b">
        <x:f t="shared" ref="BK14:BK45" si="17">IF($BK$1,IF(BJ14=BJ13,BK13,IF(AND(BJ14&lt;&gt;"",OR(B14=0,B14="")),TRUE,FALSE)),FALSE)</x:f>
        <x:v>0</x:v>
      </x:c>
      <x:c r="BL14" s="2002" t="b">
        <x:v>0</x:v>
      </x:c>
      <x:c r="BM14" s="1251">
        <x:f t="shared" ref="BM14:BM45" si="18">IF(C14="",0,VALUE(IF(BN14="","",LEFT(C14,SEARCH(BN14,C14)-1))))</x:f>
        <x:v>54</x:v>
      </x:c>
      <x:c r="BN14" s="1251" t="str">
        <x:f t="shared" ref="BN14:BN45" si="19">IF(C14="",0,IF(NOT(ISERROR(SEARCH("VG",C14))),"VG",IF(NOT(ISERROR(SEARCH("BG",C14))),"BG",IF(NOT(ISERROR(SEARCH("G",C14))),"G"))))</x:f>
        <x:v>G</x:v>
      </x:c>
      <x:c r="BO14" s="1251">
        <x:f t="shared" ref="BO14:BO45" si="20">IF(C14="",0,VALUE(MID(C14,SEARCH(BN14,C14)+LEN(BN14),SEARCH("N",C14)-SEARCH(BN14,C14)-LEN(BN14))))</x:f>
        <x:v>7</x:v>
      </x:c>
      <x:c r="BP14" s="1251">
        <x:f t="shared" ref="BP14:BP45" si="21">IF(ISERROR(SEARCH("F",C14)),IF(C14="",0,VALUE(MID(C14,SEARCH("N",C14)+1,SEARCH("K",C14)-SEARCH("N",C14)-1))),IF(C14="",0,VALUE(MID(C14,SEARCH("N",C14)+1,SEARCH("F",C14)-SEARCH("N",C14)-1))))</x:f>
        <x:v>6.5</x:v>
      </x:c>
      <x:c r="BQ14" s="1251">
        <x:f t="shared" ref="BQ14:BQ45" si="22">IF(ISERROR(SEARCH("F",C14)),IF(C14="",0,IF(SEARCH("K",C14)=LEN(C14),0,VALUE(MID(C14,SEARCH("K",C14)+1,LEN(C14))))),IF(C14="",0,IF(SEARCH("F",C14)=LEN(C14),0,VALUE(MID(C14,SEARCH("F",C14)+1,LEN(C14))))))</x:f>
        <x:v>2.1</x:v>
      </x:c>
      <x:c r="BR14" s="1251" t="b">
        <x:f t="shared" ref="BR14:BR45" si="23">IF(OR(ISERROR(BM14),ISERROR(BN14),ISERROR(BO14),ISERROR(BP14),ISERROR(BQ14)),FALSE,TRUE)</x:f>
        <x:v>1</x:v>
      </x:c>
      <x:c r="BS14" s="1252">
        <x:f t="shared" ref="BS14:BS45" si="24">6+IF(LEFT(I14,1)="R",IF(ISNUMBER(G14),G14*12,0)+IF(ISNUMBER(H14),H14,0),0)</x:f>
        <x:v>6</x:v>
      </x:c>
      <x:c r="BT14" s="1252" t="str">
        <x:f t="shared" ref="BT14:BT45" si="25">IF(IF(ISNUMBER(S14),S14*12,0)+IF(ISNUMBER(T14),T14,0)&gt;0,IF(AND(IF(ISNUMBER(S14),S14*12,0)+IF(ISNUMBER(T14),T14,0)&gt;=1.25,IF(ISNUMBER(S14),S14*12,0)+IF(ISNUMBER(T14),T14,0)&lt;=(BS14-1.25)+IF(I14="X",2,0)),"Yes","No"),"No")</x:f>
        <x:v>Yes</x:v>
      </x:c>
      <x:c r="BU14" s="1252">
        <x:f t="shared" ref="BU14:BU45" si="26">6+IF(LEFT(L14,1)="R",IF(ISNUMBER(J14),J14*12,0)+IF(ISNUMBER(K14),K14,0),0)</x:f>
        <x:v>7.75</x:v>
      </x:c>
      <x:c r="BV14" s="1252" t="str">
        <x:f t="shared" ref="BV14:BV45" si="27">IF(IF(ISNUMBER(U14),U14*12,0)+IF(ISNUMBER(V14),V14,0)&gt;0,IF(AND(IF(ISNUMBER(U14),U14*12,0)+IF(ISNUMBER(V14),V14,0)&gt;=1.25,IF(ISNUMBER(U14),U14*12,0)+IF(ISNUMBER(V14),V14,0)&lt;=(BU14-1.25)+IF(L14="X",2,0)),"Yes","No"),"No")</x:f>
        <x:v>Yes</x:v>
      </x:c>
      <x:c r="BW14" s="1253">
        <x:f t="shared" ref="BW14:BW45" si="28">IF(AB14="",0,1)+IF(AC14="",0,1)+IF(AD14="",0,1)+IF(AE14="",0,1)+IF(AF14="",0,1)+IF(AG14="",0,1)+IF(AH14="",0,1)+IF(AI14="",0,1)+IF(AJ14="",0,1)+IF(AK14="",0,1)+IF(AL14="",0,1)+IF(AM14="",0,1)+IF(AN14="",0,1)+IF(AO14="",0,1)+IF(AP14="",0,1)+IF(AQ14="",0,1)+IF(AR14="",0,1)+IF(AS14="",0,1)+IF(AT14="",0,1)+IF(AU14="",0,1)+IF(AV14="",0,1)+IF(AW14="",0,1)+IF(AX14="",0,1)+IF(AY14="",0,1)+IF(AZ14="",0,1)+IF(BA14="",0,1)+IF(BB14="",0,1)+IF(BC14="",0,1)+IF(BD14="",0,1)+IF(BE14="",0,1)+IF(BF14="",0,1)+IF(BG14="",0,1)</x:f>
        <x:v>17</x:v>
      </x:c>
      <x:c r="BX14" s="1254" t="str">
        <x:f t="shared" ref="BX14:BX45" si="29">IF(AND(AB14="",BW14&gt;0),BX13,IF(ISBLANK(AB14),"",AB14))</x:f>
        <x:v>G41</x:v>
      </x:c>
      <x:c r="BY14" s="1254" t="b">
        <x:f t="shared" ref="BY14:BY45" si="30">IF(ISERROR(VLOOKUP(BX14,$BJ$14:$BL$45,3,FALSE)),FALSE,VLOOKUP(BX14,$BJ$14:$BL$45,3,FALSE))</x:f>
        <x:v>0</x:v>
      </x:c>
      <x:c r="BZ14" s="1253" t="b">
        <x:f>IF($BK$1,IF(BX14="",FALSE,IF(ISERROR(VLOOKUP(BX14,$A$14:$B$45,2,FALSE)),FALSE,IF(VLOOKUP(BX14,$A$14:$B$45,2,FALSE)=0,TRUE,FALSE))))</x:f>
        <x:v>0</x:v>
      </x:c>
      <x:c r="CB14" s="842"/>
      <x:c r="CC14" s="893"/>
      <x:c r="CD14" s="880"/>
      <x:c r="CE14" s="881"/>
      <x:c r="CF14" s="882"/>
      <x:c r="CG14" s="896"/>
      <x:c r="CH14" s="897"/>
      <x:c r="CI14" s="898"/>
      <x:c r="CJ14" s="897"/>
      <x:c r="CK14" s="898"/>
      <x:c r="CL14" s="899"/>
      <x:c r="CM14" s="943"/>
      <x:c r="CN14" s="896"/>
      <x:c r="CO14" s="897"/>
      <x:c r="CP14" s="898"/>
      <x:c r="CQ14" s="897"/>
      <x:c r="CR14" s="898"/>
      <x:c r="CS14" s="899"/>
      <x:c r="CT14" s="943"/>
      <x:c r="CU14" s="900"/>
      <x:c r="CV14" s="886"/>
      <x:c r="CW14" s="887"/>
      <x:c r="CX14" s="913"/>
      <x:c r="CY14" s="914"/>
      <x:c r="CZ14" s="932"/>
      <x:c r="DA14" s="933"/>
      <x:c r="DB14" s="922"/>
      <x:c r="DC14" s="923"/>
      <x:c r="DD14" s="1149"/>
      <x:c r="DE14" s="1150"/>
      <x:c r="DF14" s="173"/>
      <x:c r="DG14" s="173"/>
      <x:c r="DH14" s="842"/>
      <x:c r="DI14" s="830"/>
      <x:c r="DJ14" s="868"/>
      <x:c r="DK14" s="869"/>
      <x:c r="DL14" s="831"/>
      <x:c r="DM14" s="870"/>
      <x:c r="DN14" s="871"/>
      <x:c r="DO14" s="832"/>
      <x:c r="DP14" s="833"/>
      <x:c r="DQ14" s="834"/>
      <x:c r="DR14" s="834"/>
      <x:c r="DS14" s="835"/>
      <x:c r="DT14" s="836"/>
      <x:c r="DU14" s="837"/>
      <x:c r="DV14" s="849"/>
      <x:c r="DW14" s="850"/>
      <x:c r="DX14" s="851"/>
      <x:c r="DY14" s="852"/>
      <x:c r="DZ14" s="849"/>
      <x:c r="EA14" s="850"/>
      <x:c r="EB14" s="851"/>
      <x:c r="EC14" s="852"/>
      <x:c r="ED14" s="849"/>
      <x:c r="EE14" s="850"/>
      <x:c r="EF14" s="851"/>
      <x:c r="EG14" s="852"/>
      <x:c r="EH14" s="849"/>
      <x:c r="EI14" s="850"/>
      <x:c r="EJ14" s="851"/>
      <x:c r="EK14" s="853"/>
      <x:c r="EL14" s="795" t="str">
        <x:f t="shared" ref="EL14:EL45" si="31">IF(DQ54=DR54,"",CONCATENATE(IF(CL14&lt;0,"NS ","FS "),IF(DR54="ERR","Slot Only",CONCATENATE("Slot @ ",DQ54))))</x:f>
        <x:v/>
      </x:c>
      <x:c r="EM14" s="796" t="str">
        <x:f t="shared" ref="EM14:EM45" si="32">IF(DX54=DY54,"",CONCATENATE(IF(CS14&lt;0,"FS ","NS "),IF(DY54="ERR","Slot Only",CONCATENATE("Slot @ ",DX54))))</x:f>
        <x:v/>
      </x:c>
      <x:c r="EN14" s="797" t="str">
        <x:f t="shared" ref="EN14:EN45" si="33">IF(EC54="","",IF(CI54&lt;&gt;EC54,CONCATENATE("LE slots @ ",CI54," Ga."),IF(CR54&lt;&gt;EC54,CONCATENATE("RE slots @ ",CR54," Ga."),"")))</x:f>
        <x:v/>
      </x:c>
      <x:c r="EO14" s="1029" t="str">
        <x:f t="shared" ref="EO14:EO45" si="34">IF(AND(ER14&lt;&gt;"",CL14&lt;&gt;"",ES14&lt;&gt;"",CS14&lt;&gt;""),"BE",IF(AND(ER14&lt;&gt;"",CL14&lt;&gt;""),"LE",IF(AND(ES14&lt;&gt;"",CS14&lt;&gt;""),"RE","")))</x:f>
        <x:v/>
      </x:c>
      <x:c r="EP14" s="724" t="str">
        <x:f t="shared" ref="EP14:EP45" si="35">IF(ISBLANK(DB14),"",DB54+IF(DB14&gt;0,0,ABS(DB14)))</x:f>
        <x:v/>
      </x:c>
      <x:c r="EQ14" s="725" t="str">
        <x:f t="shared" ref="EQ14:EQ45" si="36">IF(ISBLANK(DC14),"",DH54+IF(DC14&gt;0,0,ABS(DC14)))</x:f>
        <x:v/>
      </x:c>
      <x:c r="ER14" s="957" t="str">
        <x:f t="shared" ref="ER14:ER45" si="37">IF(CG14="","",IF($FB$4&gt;EV54,EV54,""))</x:f>
        <x:v/>
      </x:c>
      <x:c r="ES14" s="958"/>
      <x:c r="ET14" s="959" t="str">
        <x:f t="shared" ref="ET14:ET45" si="38">IF(CC54="","",IF(ABS(EM54)&lt;ABS($FA$2),$EZ$4,CEILING($EZ$4/COS(EL54)+0.375+IF(CC54="M",IF(EL54&gt;0,(DB54-DC54)/12,0),IF(EL54&gt;0,0,(DB54-CD54)/12))*ABS(EM54),0.125)))</x:f>
        <x:v/>
      </x:c>
      <x:c r="EU14" s="960" t="str">
        <x:f t="shared" ref="EU14:EU45" si="39">IF(CL54="","",IF(ABS(ER54)&lt;ABS($FA$2),$EZ$4,CEILING($EZ$4/COS(EQ54)+0.375+IF(CL54="M",IF(EQ54&lt;0,(DH54-DI54)/12,0),IF(EQ54&lt;0,0,(DH54-CM54)/12))*ABS(ER54),0.125)))</x:f>
        <x:v/>
      </x:c>
      <x:c r="EX14" s="1194" t="str">
        <x:f>CONCATENATE(BX14,AC14)</x:f>
        <x:v>G41F</x:v>
      </x:c>
      <x:c r="EY14" s="1196" t="b">
        <x:f t="shared" ref="EY14:EY45" ca="1" si="40">IF(OR(ISBLANK(AB14),AB14=""),"",VLOOKUP(LEFT(EX14,LEN(EX14)-1),$BJ$14:$BO$45,6,FALSE)=SUMIF($EX$14:$EX$45,EX14,$AF$14:$AF$45)+2)</x:f>
        <x:v>1</x:v>
      </x:c>
      <x:c r="EZ14" s="1196">
        <x:f>IF(AB14="","",IF(VLOOKUP(BX14,$A$14:$F$45,6,FALSE)="",0,HLOOKUP(VLOOKUP(BX14,$A$14:$F$45,6,FALSE),$FG$4:$FI$5,2,TRUE)))</x:f>
        <x:v>5</x:v>
      </x:c>
      <x:c r="FA14" s="1217" t="e">
        <x:f>IF(FB15="","",FB14=FF14)</x:f>
        <x:v>#N/A</x:v>
      </x:c>
      <x:c r="FB14" s="1218" t="e">
        <x: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x:f>
        <x:v>#N/A</x:v>
      </x:c>
      <x:c r="FC14" s="1218">
        <x:f t="shared" ref="FC14:FC45" si="41">IF(ISNUMBER(AD14),AD14,0)*12+IF(ISNUMBER(AE14),AE14,0)</x:f>
        <x:v>90</x:v>
      </x:c>
      <x:c r="FD14" s="1218">
        <x:f t="shared" ref="FD14:FD45" si="42">IF(ISNUMBER(AF14),AF14,0)*(IF(ISNUMBER(AG14),AG14,0)*12+IF(ISNUMBER(AH14),AH14,0))</x:f>
        <x:v>480</x:v>
      </x:c>
      <x:c r="FE14" s="1218">
        <x:f t="shared" ref="FE14:FE45" si="43">IF(ISNUMBER(AI14),AI14,0)*12+IF(ISNUMBER(AJ14),AJ14,0)</x:f>
        <x:v>46</x:v>
      </x:c>
      <x:c r="FF14" s="1218">
        <x:f>SUM(FC14:FE14)+IF(FE14=0,FF15,0)</x:f>
        <x:v>616</x:v>
      </x:c>
      <x:c r="FN14" s="969" t="b">
        <x:v>0</x:v>
      </x:c>
      <x:c r="FO14" s="969" t="b">
        <x:f t="shared" ref="FO14:FO45" si="44">NOT(ISERROR(VLOOKUP(A14,$AB$14:$AB$45,1,FALSE)))</x:f>
        <x:v>1</x:v>
      </x:c>
      <x:c r="FP14" s="969" t="b">
        <x:v>0</x:v>
      </x:c>
      <x:c r="FQ14" s="969" t="b">
        <x:f>NOT(ISERROR(VLOOKUP(AB14,$A$14:$A$45,1,FALSE)))</x:f>
        <x:v>1</x:v>
      </x:c>
      <x:c r="FW14" s="2"/>
      <x:c r="FX14" s="2"/>
      <x:c r="FZ14" s="2"/>
      <x:c r="GA14" s="1935">
        <x:v>52</x:v>
      </x:c>
      <x:c r="GB14" s="1936">
        <x:v>0</x:v>
      </x:c>
      <x:c r="GC14" s="1937">
        <x:v>-6</x:v>
      </x:c>
      <x:c r="GD14" s="1938">
        <x:v>-0.25</x:v>
      </x:c>
      <x:c r="GE14" s="1939">
        <x:f t="shared" ref="GE14:GE45" si="45">IF(GF14="","",IF(ISBLANK(CU14),IF(X14=Y14,0,MAX(ABS(X14),ABS(Y14))*IF(X14&lt;0,-1,1)),CU14))</x:f>
        <x:v>0</x:v>
      </x:c>
      <x:c r="GF14" s="1940" t="str">
        <x:f t="shared" ref="GF14:GF45" si="46">IF(A14=0,"",A14)</x:f>
        <x:v>G41</x:v>
      </x:c>
      <x:c r="GG14" s="1457"/>
      <x:c r="GH14" s="1458"/>
      <x:c r="GI14" s="1457"/>
      <x:c r="GJ14" s="1458"/>
      <x:c r="GK14" s="326">
        <x:f t="shared" ref="GK14:GK45" si="47">IF(D14="",0,D14*12+E14)</x:f>
        <x:v>617.75</x:v>
      </x:c>
      <x:c r="GL14" s="326">
        <x:f t="shared" ref="GL14:GL45" si="48">(GA14*12+GB14+GC14+GD14)/COS(ATAN(ABS(GE14/12)))</x:f>
        <x:v>617.75</x:v>
      </x:c>
      <x:c r="GM14" s="327">
        <x:f>IF(ABS(GK14-GL14)&gt;='Job Info.'!$L$22,ABS(GK14-GL14),0)</x:f>
        <x:v>0</x:v>
      </x:c>
      <x:c r="GO14" s="171"/>
      <x:c r="GP14" s="171"/>
      <x:c r="GZ14" s="171"/>
      <x:c r="HA14" s="1612" t="s">
        <x:v>1304</x:v>
      </x:c>
      <x:c r="HB14" s="1613">
        <x:v>1</x:v>
      </x:c>
      <x:c r="HC14" s="1613" t="s">
        <x:v>1952</x:v>
      </x:c>
      <x:c r="HD14" s="1614">
        <x:v>51</x:v>
      </x:c>
      <x:c r="HE14" s="1615">
        <x:v>5.75</x:v>
      </x:c>
      <x:c r="HF14" s="1613">
        <x:v>11.125</x:v>
      </x:c>
      <x:c r="HG14" s="1613" t="s">
        <x:v>117</x:v>
      </x:c>
      <x:c r="HH14" s="1613" t="s">
        <x:v>117</x:v>
      </x:c>
      <x:c r="HI14" s="1613" t="s">
        <x:v>117</x:v>
      </x:c>
      <x:c r="HJ14" s="1613">
        <x:v>0</x:v>
      </x:c>
      <x:c r="HK14" s="1613">
        <x:v>1.75</x:v>
      </x:c>
      <x:c r="HL14" s="1613" t="s">
        <x:v>114</x:v>
      </x:c>
      <x:c r="HM14" s="1613">
        <x:v>7.5</x:v>
      </x:c>
      <x:c r="HN14" s="1613">
        <x:v>7.5</x:v>
      </x:c>
      <x:c r="HO14" s="1613">
        <x:v>0</x:v>
      </x:c>
      <x:c r="HP14" s="1613">
        <x:v>1</x:v>
      </x:c>
      <x:c r="HQ14" s="1613">
        <x:v>0</x:v>
      </x:c>
      <x:c r="HR14" s="1613">
        <x:v>6.75</x:v>
      </x:c>
      <x:c r="HS14" s="1613">
        <x:v>0</x:v>
      </x:c>
      <x:c r="HT14" s="1613">
        <x:v>2</x:v>
      </x:c>
      <x:c r="HU14" s="1613">
        <x:v>0</x:v>
      </x:c>
      <x:c r="HV14" s="1613">
        <x:v>6.25</x:v>
      </x:c>
      <x:c r="HW14" s="1613">
        <x:v>5</x:v>
      </x:c>
      <x:c r="HX14" s="1613" t="s">
        <x:v>117</x:v>
      </x:c>
      <x:c r="HY14" s="1617" t="s">
        <x:v>117</x:v>
      </x:c>
      <x:c r="HZ14" s="1617" t="s">
        <x:v>2052</x:v>
      </x:c>
      <x:c r="IA14" s="1617" t="s">
        <x:v>117</x:v>
      </x:c>
      <x:c r="IB14" s="1617"/>
      <x:c r="IC14" s="1617"/>
      <x:c r="ID14" s="1632"/>
      <x:c r="IE14" s="1627" t="s">
        <x:v>1304</x:v>
      </x:c>
      <x:c r="IF14" s="1628" t="s">
        <x:v>1703</x:v>
      </x:c>
      <x:c r="IG14" s="1629">
        <x:v>7</x:v>
      </x:c>
      <x:c r="IH14" s="1630">
        <x:v>6</x:v>
      </x:c>
      <x:c r="II14" s="1628">
        <x:v>5</x:v>
      </x:c>
      <x:c r="IJ14" s="1629">
        <x:v>8</x:v>
      </x:c>
      <x:c r="IK14" s="1630">
        <x:v>0</x:v>
      </x:c>
      <x:c r="IL14" s="1628">
        <x:v>3</x:v>
      </x:c>
      <x:c r="IM14" s="1628">
        <x:v>10</x:v>
      </x:c>
      <x:c r="IN14" s="1628" t="s">
        <x:v>117</x:v>
      </x:c>
      <x:c r="IO14" s="1628" t="s">
        <x:v>117</x:v>
      </x:c>
      <x:c r="IP14" s="1628">
        <x:v>5</x:v>
      </x:c>
      <x:c r="IQ14" s="1628">
        <x:v>13</x:v>
      </x:c>
      <x:c r="IR14" s="1628">
        <x:v>4</x:v>
      </x:c>
      <x:c r="IS14" s="1629">
        <x:v>-4</x:v>
      </x:c>
      <x:c r="IT14" s="1630">
        <x:v>1.75</x:v>
      </x:c>
      <x:c r="IU14" s="1628" t="s">
        <x:v>117</x:v>
      </x:c>
      <x:c r="IV14" s="1628" t="s">
        <x:v>117</x:v>
      </x:c>
      <x:c r="IW14" s="1629" t="s">
        <x:v>117</x:v>
      </x:c>
      <x:c r="IX14" s="1630" t="s">
        <x:v>117</x:v>
      </x:c>
      <x:c r="IY14" s="1628" t="s">
        <x:v>117</x:v>
      </x:c>
      <x:c r="IZ14" s="1628" t="s">
        <x:v>117</x:v>
      </x:c>
      <x:c r="JA14" s="1629" t="s">
        <x:v>117</x:v>
      </x:c>
      <x:c r="JB14" s="1630" t="s">
        <x:v>117</x:v>
      </x:c>
      <x:c r="JC14" s="1628" t="s">
        <x:v>117</x:v>
      </x:c>
      <x:c r="JD14" s="1628" t="s">
        <x:v>117</x:v>
      </x:c>
      <x:c r="JE14" s="1629" t="s">
        <x:v>117</x:v>
      </x:c>
      <x:c r="JF14" s="1630" t="s">
        <x:v>117</x:v>
      </x:c>
      <x:c r="JG14" s="1628" t="s">
        <x:v>117</x:v>
      </x:c>
      <x:c r="JH14" s="1628" t="s">
        <x:v>117</x:v>
      </x:c>
      <x:c r="JI14" s="1628" t="s">
        <x:v>117</x:v>
      </x:c>
      <x:c r="JJ14" s="1631" t="s">
        <x:v>117</x:v>
      </x:c>
      <x:c r="JK14" s="1628">
        <x:v>1</x:v>
      </x:c>
      <x:c r="JL14" s="1520">
        <x:f>IF(JK14="",0,1)</x:f>
        <x:v>1</x:v>
      </x:c>
      <x:c r="JM14" s="1545"/>
      <x:c r="JN14" s="1545"/>
      <x:c r="JO14" s="1545"/>
    </x:row>
    <x:row r="15" spans="1:276" ht="12.6" customHeight="1" x14ac:dyDescent="0.25">
      <x:c r="A15" s="1583" t="s">
        <x:v>1305</x:v>
      </x:c>
      <x:c r="B15" s="1584">
        <x:v>1</x:v>
      </x:c>
      <x:c r="C15" s="1585" t="s">
        <x:v>1960</x:v>
      </x:c>
      <x:c r="D15" s="1586">
        <x:v>16</x:v>
      </x:c>
      <x:c r="E15" s="1587">
        <x:v>0.25</x:v>
      </x:c>
      <x:c r="F15" s="1588">
        <x:v>11.125</x:v>
      </x:c>
      <x:c r="G15" s="1589">
        <x:v>0</x:v>
      </x:c>
      <x:c r="H15" s="1590">
        <x:v>1.75</x:v>
      </x:c>
      <x:c r="I15" s="1591" t="s">
        <x:v>114</x:v>
      </x:c>
      <x:c r="J15" s="2202">
        <x:v>0</x:v>
      </x:c>
      <x:c r="K15" s="2203">
        <x:v>0.25</x:v>
      </x:c>
      <x:c r="L15" s="2204" t="s">
        <x:v>114</x:v>
      </x:c>
      <x:c r="M15" s="1593">
        <x:v>7.5</x:v>
      </x:c>
      <x:c r="N15" s="1594">
        <x:v>7.5</x:v>
      </x:c>
      <x:c r="O15" s="1589">
        <x:v>0</x:v>
      </x:c>
      <x:c r="P15" s="1590">
        <x:v>6.75</x:v>
      </x:c>
      <x:c r="Q15" s="1586">
        <x:v>0</x:v>
      </x:c>
      <x:c r="R15" s="1587">
        <x:v>1</x:v>
      </x:c>
      <x:c r="S15" s="1595">
        <x:v>0</x:v>
      </x:c>
      <x:c r="T15" s="1590">
        <x:v>6.25</x:v>
      </x:c>
      <x:c r="U15" s="1586">
        <x:v>0</x:v>
      </x:c>
      <x:c r="V15" s="1590">
        <x:v>3.875</x:v>
      </x:c>
      <x:c r="W15" s="1594">
        <x:v>5</x:v>
      </x:c>
      <x:c r="X15" s="1596" t="str">
        <x:f t="shared" si="3"/>
        <x:v/>
      </x:c>
      <x:c r="Y15" s="1597" t="str">
        <x:f t="shared" si="4"/>
        <x:v/>
      </x:c>
      <x:c r="Z15" s="2210" t="s">
        <x:v>2313</x:v>
      </x:c>
      <x:c r="AA15" s="1605" t="str">
        <x:f t="shared" si="5"/>
        <x:v/>
      </x:c>
      <x:c r="AB15" s="1264" t="s">
        <x:v>1305</x:v>
      </x:c>
      <x:c r="AC15" s="1260" t="s">
        <x:v>35</x:v>
      </x:c>
      <x:c r="AD15" s="1261">
        <x:v>7</x:v>
      </x:c>
      <x:c r="AE15" s="1262">
        <x:v>10</x:v>
      </x:c>
      <x:c r="AF15" s="2194">
        <x:v>1</x:v>
      </x:c>
      <x:c r="AG15" s="2195">
        <x:v>0</x:v>
      </x:c>
      <x:c r="AH15" s="2122">
        <x:v>1</x:v>
      </x:c>
      <x:c r="AI15" s="2195">
        <x:v>7</x:v>
      </x:c>
      <x:c r="AJ15" s="2122">
        <x:v>6.5</x:v>
      </x:c>
      <x:c r="AK15" s="1599" t="str">
        <x:f t="shared" si="6"/>
        <x:v/>
      </x:c>
      <x:c r="AL15" s="1600" t="str">
        <x:f t="shared" si="6"/>
        <x:v/>
      </x:c>
      <x:c r="AM15" s="1601">
        <x:v>5</x:v>
      </x:c>
      <x:c r="AN15" s="1260">
        <x:v>13</x:v>
      </x:c>
      <x:c r="AO15" s="1329">
        <x:v>4</x:v>
      </x:c>
      <x:c r="AP15" s="1327">
        <x:v>1.75</x:v>
      </x:c>
      <x:c r="AQ15" s="1602" t="str">
        <x:f t="shared" ref="AP15:AQ45" si="49">IF(OR(GE55="",GE55=0),"",GE55)</x:f>
        <x:v/>
      </x:c>
      <x:c r="AR15" s="2157">
        <x:v>1</x:v>
      </x:c>
      <x:c r="AS15" s="2122">
        <x:v>0</x:v>
      </x:c>
      <x:c r="AT15" s="1603" t="str">
        <x:f t="shared" si="7"/>
        <x:v/>
      </x:c>
      <x:c r="AU15" s="2123" t="s">
        <x:v>35</x:v>
      </x:c>
      <x:c r="AV15" s="1328" t="str">
        <x:f t="shared" si="8"/>
        <x:v/>
      </x:c>
      <x:c r="AW15" s="1262" t="str">
        <x:f t="shared" si="9"/>
        <x:v/>
      </x:c>
      <x:c r="AX15" s="1603" t="str">
        <x:f t="shared" si="10"/>
        <x:v/>
      </x:c>
      <x:c r="AY15" s="1410" t="str">
        <x:f t="shared" si="10"/>
        <x:v/>
      </x:c>
      <x:c r="AZ15" s="1328" t="str">
        <x:f t="shared" si="11"/>
        <x:v/>
      </x:c>
      <x:c r="BA15" s="1262" t="str">
        <x:f t="shared" si="12"/>
        <x:v/>
      </x:c>
      <x:c r="BB15" s="1603" t="str">
        <x:f t="shared" si="13"/>
        <x:v/>
      </x:c>
      <x:c r="BC15" s="1410" t="str">
        <x:f t="shared" si="13"/>
        <x:v/>
      </x:c>
      <x:c r="BD15" s="1328" t="str">
        <x:f t="shared" si="14"/>
        <x:v/>
      </x:c>
      <x:c r="BE15" s="1262" t="str">
        <x:f t="shared" si="15"/>
        <x:v/>
      </x:c>
      <x:c r="BF15" s="1603" t="str">
        <x:f t="shared" si="16"/>
        <x:v/>
      </x:c>
      <x:c r="BG15" s="1410" t="str">
        <x:f t="shared" si="16"/>
        <x:v/>
      </x:c>
      <x:c r="BH15" s="322"/>
      <x:c r="BJ15" s="1258" t="str">
        <x:f>IF(AND(OR(ISBLANK(A15),A15=""),Z15&lt;&gt;""),BJ14,IF(OR(ISBLANK(A15),A15=""),"",A15))</x:f>
        <x:v>G42</x:v>
      </x:c>
      <x:c r="BK15" s="1256" t="b">
        <x:f t="shared" si="17"/>
        <x:v>0</x:v>
      </x:c>
      <x:c r="BL15" s="2002" t="b">
        <x:v>0</x:v>
      </x:c>
      <x:c r="BM15" s="1251">
        <x:f t="shared" si="18"/>
        <x:v>54</x:v>
      </x:c>
      <x:c r="BN15" s="1251" t="str">
        <x:f t="shared" si="19"/>
        <x:v>G</x:v>
      </x:c>
      <x:c r="BO15" s="1251">
        <x:f t="shared" si="20"/>
        <x:v>3</x:v>
      </x:c>
      <x:c r="BP15" s="1251">
        <x:f t="shared" si="21"/>
        <x:v>13.4</x:v>
      </x:c>
      <x:c r="BQ15" s="1251">
        <x:f t="shared" si="22"/>
        <x:v>3.9</x:v>
      </x:c>
      <x:c r="BR15" s="1251" t="b">
        <x:f t="shared" si="23"/>
        <x:v>1</x:v>
      </x:c>
      <x:c r="BS15" s="1252">
        <x:f t="shared" si="24"/>
        <x:v>7.75</x:v>
      </x:c>
      <x:c r="BT15" s="1252" t="str">
        <x:f t="shared" si="25"/>
        <x:v>Yes</x:v>
      </x:c>
      <x:c r="BU15" s="1252">
        <x:f t="shared" si="26"/>
        <x:v>6.25</x:v>
      </x:c>
      <x:c r="BV15" s="1252" t="str">
        <x:f t="shared" si="27"/>
        <x:v>Yes</x:v>
      </x:c>
      <x:c r="BW15" s="1253">
        <x:f t="shared" si="28"/>
        <x:v>16</x:v>
      </x:c>
      <x:c r="BX15" s="1254" t="str">
        <x:f t="shared" si="29"/>
        <x:v>G42</x:v>
      </x:c>
      <x:c r="BY15" s="1254" t="b">
        <x:f t="shared" si="30"/>
        <x:v>0</x:v>
      </x:c>
      <x:c r="BZ15" s="1253" t="b">
        <x:f t="shared" ref="BZ15:BZ45" si="50">IF($BK$1,IF(BX15="",FALSE,IF(ISERROR(VLOOKUP(BX15,$A$14:$B$45,2,FALSE)),FALSE,IF(VLOOKUP(BX15,$A$14:$B$45,2,FALSE)=0,TRUE,FALSE))))</x:f>
        <x:v>0</x:v>
      </x:c>
      <x:c r="CB15" s="842"/>
      <x:c r="CC15" s="894"/>
      <x:c r="CD15" s="883"/>
      <x:c r="CE15" s="884"/>
      <x:c r="CF15" s="885"/>
      <x:c r="CG15" s="901"/>
      <x:c r="CH15" s="902"/>
      <x:c r="CI15" s="903"/>
      <x:c r="CJ15" s="902"/>
      <x:c r="CK15" s="903"/>
      <x:c r="CL15" s="904"/>
      <x:c r="CM15" s="944"/>
      <x:c r="CN15" s="901"/>
      <x:c r="CO15" s="902"/>
      <x:c r="CP15" s="903"/>
      <x:c r="CQ15" s="902"/>
      <x:c r="CR15" s="903"/>
      <x:c r="CS15" s="904"/>
      <x:c r="CT15" s="944"/>
      <x:c r="CU15" s="906"/>
      <x:c r="CV15" s="886"/>
      <x:c r="CW15" s="887"/>
      <x:c r="CX15" s="915"/>
      <x:c r="CY15" s="916"/>
      <x:c r="CZ15" s="932"/>
      <x:c r="DA15" s="933"/>
      <x:c r="DB15" s="932"/>
      <x:c r="DC15" s="933"/>
      <x:c r="DD15" s="1149"/>
      <x:c r="DE15" s="1150"/>
      <x:c r="DF15" s="173"/>
      <x:c r="DG15" s="173"/>
      <x:c r="DH15" s="842"/>
      <x:c r="DI15" s="843"/>
      <x:c r="DJ15" s="872"/>
      <x:c r="DK15" s="873"/>
      <x:c r="DL15" s="844"/>
      <x:c r="DM15" s="874"/>
      <x:c r="DN15" s="875"/>
      <x:c r="DO15" s="845"/>
      <x:c r="DP15" s="846"/>
      <x:c r="DQ15" s="847"/>
      <x:c r="DR15" s="847"/>
      <x:c r="DS15" s="848"/>
      <x:c r="DT15" s="836"/>
      <x:c r="DU15" s="837"/>
      <x:c r="DV15" s="849"/>
      <x:c r="DW15" s="850"/>
      <x:c r="DX15" s="851"/>
      <x:c r="DY15" s="852"/>
      <x:c r="DZ15" s="849"/>
      <x:c r="EA15" s="850"/>
      <x:c r="EB15" s="851"/>
      <x:c r="EC15" s="852"/>
      <x:c r="ED15" s="849"/>
      <x:c r="EE15" s="850"/>
      <x:c r="EF15" s="851"/>
      <x:c r="EG15" s="852"/>
      <x:c r="EH15" s="849"/>
      <x:c r="EI15" s="850"/>
      <x:c r="EJ15" s="851"/>
      <x:c r="EK15" s="853"/>
      <x:c r="EL15" s="798" t="str">
        <x:f t="shared" si="31"/>
        <x:v/>
      </x:c>
      <x:c r="EM15" s="799" t="str">
        <x:f t="shared" si="32"/>
        <x:v/>
      </x:c>
      <x:c r="EN15" s="800" t="str">
        <x:f t="shared" si="33"/>
        <x:v/>
      </x:c>
      <x:c r="EO15" s="1030" t="str">
        <x:f t="shared" si="34"/>
        <x:v/>
      </x:c>
      <x:c r="EP15" s="726" t="str">
        <x:f t="shared" si="35"/>
        <x:v/>
      </x:c>
      <x:c r="EQ15" s="727" t="str">
        <x:f t="shared" si="36"/>
        <x:v/>
      </x:c>
      <x:c r="ER15" s="961" t="str">
        <x:f t="shared" si="37"/>
        <x:v/>
      </x:c>
      <x:c r="ES15" s="962" t="str">
        <x:f t="shared" ref="ES15:ES45" si="51">IF(CN15="","",IF($FB$4&gt;EW55,EW55,""))</x:f>
        <x:v/>
      </x:c>
      <x:c r="ET15" s="963" t="str">
        <x:f t="shared" si="38"/>
        <x:v/>
      </x:c>
      <x:c r="EU15" s="964" t="str">
        <x:f t="shared" si="39"/>
        <x:v/>
      </x:c>
      <x:c r="EX15" s="1194" t="str">
        <x:f t="shared" ref="EX15:EX45" si="52">IF(AND(AC15="",BX15=BX14),EX14,CONCATENATE(BX15,AC15))</x:f>
        <x:v>G42B</x:v>
      </x:c>
      <x:c r="EY15" s="1196" t="b">
        <x:f t="shared" ca="1" si="40"/>
        <x:v>1</x:v>
      </x:c>
      <x:c r="EZ15" s="1196">
        <x:f t="shared" ref="EZ15:EZ45" si="53">IF(AB15="","",IF(VLOOKUP(BX15,$A$14:$F$45,6,FALSE)="",0,HLOOKUP(VLOOKUP(BX15,$A$14:$F$45,6,FALSE),$FG$4:$FI$5,2,TRUE)))</x:f>
        <x:v>5</x:v>
      </x:c>
      <x:c r="FA15" s="1217" t="e">
        <x:f>IF(FB15="","",IF(FC15=0,FA14,FB15=FF15))</x:f>
        <x:v>#N/A</x:v>
      </x:c>
      <x:c r="FB15" s="1218" t="e">
        <x:f t="shared" ref="FB15:FB45" si="54">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x:f>
        <x:v>#N/A</x:v>
      </x:c>
      <x:c r="FC15" s="1218">
        <x:f t="shared" si="41"/>
        <x:v>94</x:v>
      </x:c>
      <x:c r="FD15" s="1218">
        <x:f t="shared" si="42"/>
        <x:v>1</x:v>
      </x:c>
      <x:c r="FE15" s="1218">
        <x:f t="shared" si="43"/>
        <x:v>90.5</x:v>
      </x:c>
      <x:c r="FF15" s="1218">
        <x:f t="shared" ref="FF15:FF45" si="55">SUM(FC15:FE15)+IF(FE15=0,FF16,0)</x:f>
        <x:v>185.5</x:v>
      </x:c>
      <x:c r="FN15" s="969" t="b">
        <x:v>0</x:v>
      </x:c>
      <x:c r="FO15" s="969" t="b">
        <x:f t="shared" si="44"/>
        <x:v>1</x:v>
      </x:c>
      <x:c r="FP15" s="1815" t="b">
        <x:v>0</x:v>
      </x:c>
      <x:c r="FQ15" s="969" t="b">
        <x:f t="shared" ref="FQ15:FQ45" si="56">NOT(ISERROR(VLOOKUP(AB15,$A$14:$A$45,1,FALSE)))</x:f>
        <x:v>1</x:v>
      </x:c>
      <x:c r="FW15" s="2"/>
      <x:c r="FX15" s="2"/>
      <x:c r="FZ15" s="2"/>
      <x:c r="GA15" s="1935">
        <x:v>16</x:v>
      </x:c>
      <x:c r="GB15" s="1936">
        <x:v>1.5</x:v>
      </x:c>
      <x:c r="GC15" s="1937">
        <x:v>-0.25</x:v>
      </x:c>
      <x:c r="GD15" s="1938">
        <x:v>-1</x:v>
      </x:c>
      <x:c r="GE15" s="1939">
        <x:f t="shared" si="45"/>
        <x:v>0</x:v>
      </x:c>
      <x:c r="GF15" s="1940" t="str">
        <x:f t="shared" si="46"/>
        <x:v>G42</x:v>
      </x:c>
      <x:c r="GG15" s="1457"/>
      <x:c r="GH15" s="1459"/>
      <x:c r="GI15" s="1457"/>
      <x:c r="GJ15" s="1459"/>
      <x:c r="GK15" s="326">
        <x:f t="shared" si="47"/>
        <x:v>192.25</x:v>
      </x:c>
      <x:c r="GL15" s="326">
        <x:f t="shared" si="48"/>
        <x:v>192.25</x:v>
      </x:c>
      <x:c r="GM15" s="327">
        <x:f>IF(ABS(GK15-GL15)&gt;='Job Info.'!$L$22,ABS(GK15-GL15),0)</x:f>
        <x:v>0</x:v>
      </x:c>
      <x:c r="GO15" s="171"/>
      <x:c r="GP15" s="171"/>
      <x:c r="GZ15" s="171"/>
      <x:c r="HA15" s="1612" t="s">
        <x:v>1305</x:v>
      </x:c>
      <x:c r="HB15" s="1613">
        <x:v>1</x:v>
      </x:c>
      <x:c r="HC15" s="1613" t="s">
        <x:v>1960</x:v>
      </x:c>
      <x:c r="HD15" s="1614">
        <x:v>16</x:v>
      </x:c>
      <x:c r="HE15" s="1615">
        <x:v>0.25</x:v>
      </x:c>
      <x:c r="HF15" s="1613">
        <x:v>11.125</x:v>
      </x:c>
      <x:c r="HG15" s="1613">
        <x:v>0</x:v>
      </x:c>
      <x:c r="HH15" s="1613">
        <x:v>1.75</x:v>
      </x:c>
      <x:c r="HI15" s="1613" t="s">
        <x:v>114</x:v>
      </x:c>
      <x:c r="HJ15" s="1613" t="s">
        <x:v>117</x:v>
      </x:c>
      <x:c r="HK15" s="1613" t="s">
        <x:v>117</x:v>
      </x:c>
      <x:c r="HL15" s="1613" t="s">
        <x:v>117</x:v>
      </x:c>
      <x:c r="HM15" s="1613">
        <x:v>7.5</x:v>
      </x:c>
      <x:c r="HN15" s="1613">
        <x:v>7.5</x:v>
      </x:c>
      <x:c r="HO15" s="1613">
        <x:v>0</x:v>
      </x:c>
      <x:c r="HP15" s="1613">
        <x:v>6.75</x:v>
      </x:c>
      <x:c r="HQ15" s="1613">
        <x:v>0</x:v>
      </x:c>
      <x:c r="HR15" s="1613">
        <x:v>1</x:v>
      </x:c>
      <x:c r="HS15" s="1613">
        <x:v>0</x:v>
      </x:c>
      <x:c r="HT15" s="1613">
        <x:v>6.25</x:v>
      </x:c>
      <x:c r="HU15" s="1613">
        <x:v>0</x:v>
      </x:c>
      <x:c r="HV15" s="1613">
        <x:v>3.875</x:v>
      </x:c>
      <x:c r="HW15" s="1613">
        <x:v>5</x:v>
      </x:c>
      <x:c r="HX15" s="1613" t="s">
        <x:v>117</x:v>
      </x:c>
      <x:c r="HY15" s="1617" t="s">
        <x:v>117</x:v>
      </x:c>
      <x:c r="HZ15" s="1617" t="s">
        <x:v>2045</x:v>
      </x:c>
      <x:c r="IA15" s="1617" t="s">
        <x:v>117</x:v>
      </x:c>
      <x:c r="IB15" s="1617"/>
      <x:c r="IC15" s="1617"/>
      <x:c r="ID15" s="1632"/>
      <x:c r="IE15" s="1612" t="s">
        <x:v>1305</x:v>
      </x:c>
      <x:c r="IF15" s="1613" t="s">
        <x:v>35</x:v>
      </x:c>
      <x:c r="IG15" s="1614">
        <x:v>7</x:v>
      </x:c>
      <x:c r="IH15" s="1615">
        <x:v>10</x:v>
      </x:c>
      <x:c r="II15" s="1613" t="s">
        <x:v>117</x:v>
      </x:c>
      <x:c r="IJ15" s="1614" t="s">
        <x:v>117</x:v>
      </x:c>
      <x:c r="IK15" s="1615" t="s">
        <x:v>117</x:v>
      </x:c>
      <x:c r="IL15" s="1613">
        <x:v>8</x:v>
      </x:c>
      <x:c r="IM15" s="1613">
        <x:v>0.5</x:v>
      </x:c>
      <x:c r="IN15" s="1613" t="s">
        <x:v>117</x:v>
      </x:c>
      <x:c r="IO15" s="1613" t="s">
        <x:v>117</x:v>
      </x:c>
      <x:c r="IP15" s="1613">
        <x:v>5</x:v>
      </x:c>
      <x:c r="IQ15" s="1613">
        <x:v>13</x:v>
      </x:c>
      <x:c r="IR15" s="1613">
        <x:v>4</x:v>
      </x:c>
      <x:c r="IS15" s="1614">
        <x:v>1.75</x:v>
      </x:c>
      <x:c r="IT15" s="1615" t="s">
        <x:v>117</x:v>
      </x:c>
      <x:c r="IU15" s="1613" t="s">
        <x:v>117</x:v>
      </x:c>
      <x:c r="IV15" s="1613" t="s">
        <x:v>117</x:v>
      </x:c>
      <x:c r="IW15" s="1614" t="s">
        <x:v>117</x:v>
      </x:c>
      <x:c r="IX15" s="1615" t="s">
        <x:v>117</x:v>
      </x:c>
      <x:c r="IY15" s="1613" t="s">
        <x:v>117</x:v>
      </x:c>
      <x:c r="IZ15" s="1613" t="s">
        <x:v>117</x:v>
      </x:c>
      <x:c r="JA15" s="1614" t="s">
        <x:v>117</x:v>
      </x:c>
      <x:c r="JB15" s="1615" t="s">
        <x:v>117</x:v>
      </x:c>
      <x:c r="JC15" s="1613" t="s">
        <x:v>117</x:v>
      </x:c>
      <x:c r="JD15" s="1613" t="s">
        <x:v>117</x:v>
      </x:c>
      <x:c r="JE15" s="1614" t="s">
        <x:v>117</x:v>
      </x:c>
      <x:c r="JF15" s="1615" t="s">
        <x:v>117</x:v>
      </x:c>
      <x:c r="JG15" s="1613" t="s">
        <x:v>117</x:v>
      </x:c>
      <x:c r="JH15" s="1613" t="s">
        <x:v>117</x:v>
      </x:c>
      <x:c r="JI15" s="1613" t="s">
        <x:v>117</x:v>
      </x:c>
      <x:c r="JJ15" s="1616" t="s">
        <x:v>117</x:v>
      </x:c>
      <x:c r="JK15" s="1613">
        <x:v>1</x:v>
      </x:c>
      <x:c r="JL15" s="1521">
        <x:f ca="1">IF(ISBLANK(JK15),IF(JL14=0,0,IF(VALUE(OFFSET(JK15,JL14*-1,0))&lt;JL14+1,0,JL14+1)),1)</x:f>
        <x:v>1</x:v>
      </x:c>
    </x:row>
    <x:row r="16" spans="1:276" ht="12.6" customHeight="1" x14ac:dyDescent="0.25">
      <x:c r="A16" s="1583" t="s">
        <x:v>1306</x:v>
      </x:c>
      <x:c r="B16" s="1584">
        <x:v>1</x:v>
      </x:c>
      <x:c r="C16" s="1585" t="s">
        <x:v>1961</x:v>
      </x:c>
      <x:c r="D16" s="1586">
        <x:v>32</x:v>
      </x:c>
      <x:c r="E16" s="1587">
        <x:v>3.125</x:v>
      </x:c>
      <x:c r="F16" s="1588">
        <x:v>11.125</x:v>
      </x:c>
      <x:c r="G16" s="1589">
        <x:v>0</x:v>
      </x:c>
      <x:c r="H16" s="1590">
        <x:v>1.75</x:v>
      </x:c>
      <x:c r="I16" s="1591" t="s">
        <x:v>114</x:v>
      </x:c>
      <x:c r="J16" s="1586" t="str">
        <x:f t="shared" ref="J16:J45" si="57">IF(DJ56=0,"",TRUNC(DJ56/12))</x:f>
        <x:v/>
      </x:c>
      <x:c r="K16" s="1590" t="str">
        <x:f t="shared" ref="K16:K45" si="58">IF(DJ56=0,"",DJ56-(J16*12))</x:f>
        <x:v/>
      </x:c>
      <x:c r="L16" s="1592" t="str">
        <x:f t="shared" ref="L16:L45" si="59">IF(DJ56=0,"",CN56)</x:f>
        <x:v/>
      </x:c>
      <x:c r="M16" s="1593">
        <x:v>7.5</x:v>
      </x:c>
      <x:c r="N16" s="1594">
        <x:v>7.5</x:v>
      </x:c>
      <x:c r="O16" s="1589">
        <x:v>0</x:v>
      </x:c>
      <x:c r="P16" s="1590">
        <x:v>6</x:v>
      </x:c>
      <x:c r="Q16" s="1586">
        <x:v>0</x:v>
      </x:c>
      <x:c r="R16" s="1587">
        <x:v>1.875</x:v>
      </x:c>
      <x:c r="S16" s="1595">
        <x:v>0</x:v>
      </x:c>
      <x:c r="T16" s="1590">
        <x:v>6.25</x:v>
      </x:c>
      <x:c r="U16" s="1586">
        <x:v>0</x:v>
      </x:c>
      <x:c r="V16" s="1590">
        <x:v>3.875</x:v>
      </x:c>
      <x:c r="W16" s="1594">
        <x:v>5</x:v>
      </x:c>
      <x:c r="X16" s="1596" t="str">
        <x:f t="shared" si="3"/>
        <x:v/>
      </x:c>
      <x:c r="Y16" s="1597" t="str">
        <x:f t="shared" si="4"/>
        <x:v/>
      </x:c>
      <x:c r="Z16" s="2210" t="s">
        <x:v>2313</x:v>
      </x:c>
      <x:c r="AA16" s="1605" t="str">
        <x:f t="shared" si="5"/>
        <x:v/>
      </x:c>
      <x:c r="AB16" s="1264" t="s">
        <x:v>1306</x:v>
      </x:c>
      <x:c r="AC16" s="2194" t="s">
        <x:v>35</x:v>
      </x:c>
      <x:c r="AD16" s="1261">
        <x:v>3</x:v>
      </x:c>
      <x:c r="AE16" s="1262">
        <x:v>10</x:v>
      </x:c>
      <x:c r="AF16" s="1260">
        <x:v>3</x:v>
      </x:c>
      <x:c r="AG16" s="1261">
        <x:v>8</x:v>
      </x:c>
      <x:c r="AH16" s="1262">
        <x:v>0</x:v>
      </x:c>
      <x:c r="AI16" s="1261">
        <x:v>4</x:v>
      </x:c>
      <x:c r="AJ16" s="1262">
        <x:v>3.375</x:v>
      </x:c>
      <x:c r="AK16" s="1599" t="str">
        <x:f t="shared" si="6"/>
        <x:v/>
      </x:c>
      <x:c r="AL16" s="1600" t="str">
        <x:f t="shared" si="6"/>
        <x:v/>
      </x:c>
      <x:c r="AM16" s="1601">
        <x:v>5</x:v>
      </x:c>
      <x:c r="AN16" s="1260">
        <x:v>13</x:v>
      </x:c>
      <x:c r="AO16" s="1329">
        <x:v>4</x:v>
      </x:c>
      <x:c r="AP16" s="1327" t="str">
        <x:f t="shared" si="49"/>
        <x:v/>
      </x:c>
      <x:c r="AQ16" s="1602" t="str">
        <x:f t="shared" si="49"/>
        <x:v/>
      </x:c>
      <x:c r="AR16" s="1263" t="s">
        <x:v>1061</x:v>
      </x:c>
      <x:c r="AS16" s="1262" t="s">
        <x:v>1956</x:v>
      </x:c>
      <x:c r="AT16" s="1603" t="str">
        <x:f t="shared" si="7"/>
        <x:v/>
      </x:c>
      <x:c r="AU16" s="1410" t="s">
        <x:v>35</x:v>
      </x:c>
      <x:c r="AV16" s="2121">
        <x:v>1</x:v>
      </x:c>
      <x:c r="AW16" s="2122">
        <x:v>0</x:v>
      </x:c>
      <x:c r="AX16" s="1603" t="str">
        <x:f t="shared" si="10"/>
        <x:v/>
      </x:c>
      <x:c r="AY16" s="2123" t="s">
        <x:v>35</x:v>
      </x:c>
      <x:c r="AZ16" s="1328" t="str">
        <x:f t="shared" si="11"/>
        <x:v/>
      </x:c>
      <x:c r="BA16" s="1262" t="str">
        <x:f t="shared" si="12"/>
        <x:v/>
      </x:c>
      <x:c r="BB16" s="1603" t="str">
        <x:f t="shared" si="13"/>
        <x:v/>
      </x:c>
      <x:c r="BC16" s="1410" t="str">
        <x:f t="shared" si="13"/>
        <x:v/>
      </x:c>
      <x:c r="BD16" s="1328" t="str">
        <x:f t="shared" si="14"/>
        <x:v/>
      </x:c>
      <x:c r="BE16" s="1262" t="str">
        <x:f t="shared" si="15"/>
        <x:v/>
      </x:c>
      <x:c r="BF16" s="1603" t="str">
        <x:f t="shared" si="16"/>
        <x:v/>
      </x:c>
      <x:c r="BG16" s="1410" t="str">
        <x:f t="shared" si="16"/>
        <x:v/>
      </x:c>
      <x:c r="BH16" s="322"/>
      <x:c r="BJ16" s="1258" t="str">
        <x:f t="shared" ref="BJ16:BJ45" si="60">IF(AND(OR(ISBLANK(A16),A16=""),Z16&lt;&gt;""),BJ15,IF(OR(ISBLANK(A16),A16=""),"",A16))</x:f>
        <x:v>G43</x:v>
      </x:c>
      <x:c r="BK16" s="1256" t="b">
        <x:f t="shared" si="17"/>
        <x:v>0</x:v>
      </x:c>
      <x:c r="BL16" s="2002" t="b">
        <x:v>0</x:v>
      </x:c>
      <x:c r="BM16" s="1251">
        <x:f t="shared" si="18"/>
        <x:v>54</x:v>
      </x:c>
      <x:c r="BN16" s="1251" t="str">
        <x:f t="shared" si="19"/>
        <x:v>G</x:v>
      </x:c>
      <x:c r="BO16" s="1251">
        <x:f t="shared" si="20"/>
        <x:v>5</x:v>
      </x:c>
      <x:c r="BP16" s="1251">
        <x:f t="shared" si="21"/>
        <x:v>13.4</x:v>
      </x:c>
      <x:c r="BQ16" s="1251">
        <x:f t="shared" si="22"/>
        <x:v>3.9</x:v>
      </x:c>
      <x:c r="BR16" s="1251" t="b">
        <x:f t="shared" si="23"/>
        <x:v>1</x:v>
      </x:c>
      <x:c r="BS16" s="1252">
        <x:f t="shared" si="24"/>
        <x:v>7.75</x:v>
      </x:c>
      <x:c r="BT16" s="1252" t="str">
        <x:f t="shared" si="25"/>
        <x:v>Yes</x:v>
      </x:c>
      <x:c r="BU16" s="1252">
        <x:f t="shared" si="26"/>
        <x:v>6</x:v>
      </x:c>
      <x:c r="BV16" s="1252" t="str">
        <x:f t="shared" si="27"/>
        <x:v>Yes</x:v>
      </x:c>
      <x:c r="BW16" s="1253">
        <x:f t="shared" si="28"/>
        <x:v>18</x:v>
      </x:c>
      <x:c r="BX16" s="1254" t="str">
        <x:f t="shared" si="29"/>
        <x:v>G43</x:v>
      </x:c>
      <x:c r="BY16" s="1254" t="b">
        <x:f t="shared" si="30"/>
        <x:v>0</x:v>
      </x:c>
      <x:c r="BZ16" s="1253" t="b">
        <x:f t="shared" si="50"/>
        <x:v>0</x:v>
      </x:c>
      <x:c r="CB16" s="842"/>
      <x:c r="CC16" s="894"/>
      <x:c r="CD16" s="883"/>
      <x:c r="CE16" s="884"/>
      <x:c r="CF16" s="885"/>
      <x:c r="CG16" s="901"/>
      <x:c r="CH16" s="902"/>
      <x:c r="CI16" s="903"/>
      <x:c r="CJ16" s="902"/>
      <x:c r="CK16" s="903"/>
      <x:c r="CL16" s="904"/>
      <x:c r="CM16" s="944"/>
      <x:c r="CN16" s="901"/>
      <x:c r="CO16" s="902"/>
      <x:c r="CP16" s="903"/>
      <x:c r="CQ16" s="902"/>
      <x:c r="CR16" s="903"/>
      <x:c r="CS16" s="904"/>
      <x:c r="CT16" s="944"/>
      <x:c r="CU16" s="906"/>
      <x:c r="CV16" s="886"/>
      <x:c r="CW16" s="887"/>
      <x:c r="CX16" s="915"/>
      <x:c r="CY16" s="916"/>
      <x:c r="CZ16" s="932"/>
      <x:c r="DA16" s="933"/>
      <x:c r="DB16" s="932"/>
      <x:c r="DC16" s="933"/>
      <x:c r="DD16" s="1149"/>
      <x:c r="DE16" s="1150"/>
      <x:c r="DF16" s="173"/>
      <x:c r="DG16" s="173"/>
      <x:c r="DH16" s="842"/>
      <x:c r="DI16" s="843"/>
      <x:c r="DJ16" s="872"/>
      <x:c r="DK16" s="873"/>
      <x:c r="DL16" s="844"/>
      <x:c r="DM16" s="874"/>
      <x:c r="DN16" s="875"/>
      <x:c r="DO16" s="845"/>
      <x:c r="DP16" s="846"/>
      <x:c r="DQ16" s="847"/>
      <x:c r="DR16" s="847"/>
      <x:c r="DS16" s="848"/>
      <x:c r="DT16" s="836"/>
      <x:c r="DU16" s="837"/>
      <x:c r="DV16" s="849"/>
      <x:c r="DW16" s="850"/>
      <x:c r="DX16" s="851"/>
      <x:c r="DY16" s="852"/>
      <x:c r="DZ16" s="849"/>
      <x:c r="EA16" s="850"/>
      <x:c r="EB16" s="851"/>
      <x:c r="EC16" s="852"/>
      <x:c r="ED16" s="849"/>
      <x:c r="EE16" s="850"/>
      <x:c r="EF16" s="851"/>
      <x:c r="EG16" s="852"/>
      <x:c r="EH16" s="849"/>
      <x:c r="EI16" s="850"/>
      <x:c r="EJ16" s="851"/>
      <x:c r="EK16" s="853"/>
      <x:c r="EL16" s="798" t="str">
        <x:f t="shared" si="31"/>
        <x:v/>
      </x:c>
      <x:c r="EM16" s="799" t="str">
        <x:f t="shared" si="32"/>
        <x:v/>
      </x:c>
      <x:c r="EN16" s="800" t="str">
        <x:f t="shared" si="33"/>
        <x:v/>
      </x:c>
      <x:c r="EO16" s="1030" t="str">
        <x:f t="shared" si="34"/>
        <x:v/>
      </x:c>
      <x:c r="EP16" s="726" t="str">
        <x:f t="shared" si="35"/>
        <x:v/>
      </x:c>
      <x:c r="EQ16" s="727" t="str">
        <x:f t="shared" si="36"/>
        <x:v/>
      </x:c>
      <x:c r="ER16" s="961" t="str">
        <x:f t="shared" si="37"/>
        <x:v/>
      </x:c>
      <x:c r="ES16" s="962" t="str">
        <x:f t="shared" si="51"/>
        <x:v/>
      </x:c>
      <x:c r="ET16" s="963" t="str">
        <x:f t="shared" si="38"/>
        <x:v/>
      </x:c>
      <x:c r="EU16" s="964" t="str">
        <x:f t="shared" si="39"/>
        <x:v/>
      </x:c>
      <x:c r="EX16" s="1194" t="str">
        <x:f t="shared" si="52"/>
        <x:v>G43B</x:v>
      </x:c>
      <x:c r="EY16" s="1196" t="b">
        <x:f t="shared" ca="1" si="40"/>
        <x:v>1</x:v>
      </x:c>
      <x:c r="EZ16" s="1196">
        <x:f t="shared" si="53"/>
        <x:v>5</x:v>
      </x:c>
      <x:c r="FA16" s="1217" t="e">
        <x:f t="shared" ref="FA16:FA45" si="61">IF(FB16="","",IF(FC16=0,FA15,FB16=FF16))</x:f>
        <x:v>#N/A</x:v>
      </x:c>
      <x:c r="FB16" s="1218" t="e">
        <x:f t="shared" si="54"/>
        <x:v>#N/A</x:v>
      </x:c>
      <x:c r="FC16" s="1218">
        <x:f t="shared" si="41"/>
        <x:v>46</x:v>
      </x:c>
      <x:c r="FD16" s="1218">
        <x:f t="shared" si="42"/>
        <x:v>288</x:v>
      </x:c>
      <x:c r="FE16" s="1218">
        <x:f t="shared" si="43"/>
        <x:v>51.375</x:v>
      </x:c>
      <x:c r="FF16" s="1218">
        <x:f t="shared" si="55"/>
        <x:v>385.375</x:v>
      </x:c>
      <x:c r="FN16" s="969" t="b">
        <x:v>0</x:v>
      </x:c>
      <x:c r="FO16" s="969" t="b">
        <x:f t="shared" si="44"/>
        <x:v>1</x:v>
      </x:c>
      <x:c r="FP16" s="1815" t="b">
        <x:v>0</x:v>
      </x:c>
      <x:c r="FQ16" s="969" t="b">
        <x:f t="shared" si="56"/>
        <x:v>1</x:v>
      </x:c>
      <x:c r="FW16" s="2"/>
      <x:c r="FX16" s="2"/>
      <x:c r="FZ16" s="2"/>
      <x:c r="GA16" s="1935">
        <x:v>32</x:v>
      </x:c>
      <x:c r="GB16" s="1936">
        <x:v>4.375</x:v>
      </x:c>
      <x:c r="GC16" s="1937">
        <x:v>-0.25</x:v>
      </x:c>
      <x:c r="GD16" s="1938">
        <x:v>-1</x:v>
      </x:c>
      <x:c r="GE16" s="1939">
        <x:v>0.185414549850556</x:v>
      </x:c>
      <x:c r="GF16" s="1940" t="str">
        <x:f t="shared" si="46"/>
        <x:v>G43</x:v>
      </x:c>
      <x:c r="GG16" s="1457"/>
      <x:c r="GH16" s="1459"/>
      <x:c r="GI16" s="1457"/>
      <x:c r="GJ16" s="1459"/>
      <x:c r="GK16" s="326">
        <x:f t="shared" si="47"/>
        <x:v>387.125</x:v>
      </x:c>
      <x:c r="GL16" s="326">
        <x:f t="shared" si="48"/>
        <x:v>387.17120834714711</x:v>
      </x:c>
      <x:c r="GM16" s="327">
        <x:f>IF(ABS(GK16-GL16)&gt;='Job Info.'!$L$22,ABS(GK16-GL16),0)</x:f>
        <x:v>0</x:v>
      </x:c>
      <x:c r="GN16" s="171"/>
      <x:c r="GO16" s="172"/>
      <x:c r="GP16" s="172"/>
      <x:c r="GZ16" s="172"/>
      <x:c r="HA16" s="1612" t="s">
        <x:v>1306</x:v>
      </x:c>
      <x:c r="HB16" s="1613">
        <x:v>1</x:v>
      </x:c>
      <x:c r="HC16" s="1613" t="s">
        <x:v>1961</x:v>
      </x:c>
      <x:c r="HD16" s="1614">
        <x:v>32</x:v>
      </x:c>
      <x:c r="HE16" s="1615">
        <x:v>3.125</x:v>
      </x:c>
      <x:c r="HF16" s="1613">
        <x:v>11.125</x:v>
      </x:c>
      <x:c r="HG16" s="1613">
        <x:v>0</x:v>
      </x:c>
      <x:c r="HH16" s="1613">
        <x:v>1.75</x:v>
      </x:c>
      <x:c r="HI16" s="1613" t="s">
        <x:v>114</x:v>
      </x:c>
      <x:c r="HJ16" s="1613" t="s">
        <x:v>117</x:v>
      </x:c>
      <x:c r="HK16" s="1613" t="s">
        <x:v>117</x:v>
      </x:c>
      <x:c r="HL16" s="1613" t="s">
        <x:v>117</x:v>
      </x:c>
      <x:c r="HM16" s="1613">
        <x:v>7.5</x:v>
      </x:c>
      <x:c r="HN16" s="1613">
        <x:v>7.5</x:v>
      </x:c>
      <x:c r="HO16" s="1613">
        <x:v>0</x:v>
      </x:c>
      <x:c r="HP16" s="1613">
        <x:v>6</x:v>
      </x:c>
      <x:c r="HQ16" s="1613">
        <x:v>0</x:v>
      </x:c>
      <x:c r="HR16" s="1613">
        <x:v>1.875</x:v>
      </x:c>
      <x:c r="HS16" s="1613">
        <x:v>0</x:v>
      </x:c>
      <x:c r="HT16" s="1613">
        <x:v>6.25</x:v>
      </x:c>
      <x:c r="HU16" s="1613">
        <x:v>0</x:v>
      </x:c>
      <x:c r="HV16" s="1613">
        <x:v>3.875</x:v>
      </x:c>
      <x:c r="HW16" s="1613">
        <x:v>5</x:v>
      </x:c>
      <x:c r="HX16" s="1613" t="s">
        <x:v>117</x:v>
      </x:c>
      <x:c r="HY16" s="1617" t="s">
        <x:v>117</x:v>
      </x:c>
      <x:c r="HZ16" s="1617" t="s">
        <x:v>2045</x:v>
      </x:c>
      <x:c r="IA16" s="1617" t="s">
        <x:v>117</x:v>
      </x:c>
      <x:c r="IB16" s="1617"/>
      <x:c r="IC16" s="1617"/>
      <x:c r="ID16" s="1632"/>
      <x:c r="IE16" s="1612" t="s">
        <x:v>1306</x:v>
      </x:c>
      <x:c r="IF16" s="1613" t="s">
        <x:v>34</x:v>
      </x:c>
      <x:c r="IG16" s="1614">
        <x:v>3</x:v>
      </x:c>
      <x:c r="IH16" s="1615">
        <x:v>10</x:v>
      </x:c>
      <x:c r="II16" s="1613">
        <x:v>3</x:v>
      </x:c>
      <x:c r="IJ16" s="1614">
        <x:v>8</x:v>
      </x:c>
      <x:c r="IK16" s="1615">
        <x:v>0</x:v>
      </x:c>
      <x:c r="IL16" s="1613">
        <x:v>4</x:v>
      </x:c>
      <x:c r="IM16" s="1613">
        <x:v>3.375</x:v>
      </x:c>
      <x:c r="IN16" s="1613" t="s">
        <x:v>117</x:v>
      </x:c>
      <x:c r="IO16" s="1613" t="s">
        <x:v>117</x:v>
      </x:c>
      <x:c r="IP16" s="1613">
        <x:v>5</x:v>
      </x:c>
      <x:c r="IQ16" s="1613">
        <x:v>13</x:v>
      </x:c>
      <x:c r="IR16" s="1613">
        <x:v>4</x:v>
      </x:c>
      <x:c r="IS16" s="1614" t="s">
        <x:v>117</x:v>
      </x:c>
      <x:c r="IT16" s="1615" t="s">
        <x:v>117</x:v>
      </x:c>
      <x:c r="IU16" s="1613" t="s">
        <x:v>1061</x:v>
      </x:c>
      <x:c r="IV16" s="1613" t="s">
        <x:v>1956</x:v>
      </x:c>
      <x:c r="IW16" s="1614" t="s">
        <x:v>117</x:v>
      </x:c>
      <x:c r="IX16" s="1615" t="s">
        <x:v>35</x:v>
      </x:c>
      <x:c r="IY16" s="1613" t="s">
        <x:v>117</x:v>
      </x:c>
      <x:c r="IZ16" s="1613" t="s">
        <x:v>117</x:v>
      </x:c>
      <x:c r="JA16" s="1614" t="s">
        <x:v>117</x:v>
      </x:c>
      <x:c r="JB16" s="1615" t="s">
        <x:v>117</x:v>
      </x:c>
      <x:c r="JC16" s="1613" t="s">
        <x:v>117</x:v>
      </x:c>
      <x:c r="JD16" s="1613" t="s">
        <x:v>117</x:v>
      </x:c>
      <x:c r="JE16" s="1614" t="s">
        <x:v>117</x:v>
      </x:c>
      <x:c r="JF16" s="1615" t="s">
        <x:v>117</x:v>
      </x:c>
      <x:c r="JG16" s="1613" t="s">
        <x:v>117</x:v>
      </x:c>
      <x:c r="JH16" s="1613" t="s">
        <x:v>117</x:v>
      </x:c>
      <x:c r="JI16" s="1613" t="s">
        <x:v>117</x:v>
      </x:c>
      <x:c r="JJ16" s="1616" t="s">
        <x:v>117</x:v>
      </x:c>
      <x:c r="JK16" s="1613">
        <x:v>2</x:v>
      </x:c>
      <x:c r="JL16" s="1521">
        <x:f t="shared" ref="JL16:JL45" ca="1" si="62">IF(ISBLANK(JK16),IF(JL15=0,0,IF(VALUE(OFFSET(JK16,JL15*-1,0))&lt;JL15+1,0,JL15+1)),1)</x:f>
        <x:v>1</x:v>
      </x:c>
    </x:row>
    <x:row r="17" spans="1:272" ht="12.6" customHeight="1" x14ac:dyDescent="0.25">
      <x:c r="A17" s="1583" t="s">
        <x:v>1307</x:v>
      </x:c>
      <x:c r="B17" s="1584">
        <x:v>1</x:v>
      </x:c>
      <x:c r="C17" s="1585" t="s">
        <x:v>1962</x:v>
      </x:c>
      <x:c r="D17" s="1586">
        <x:v>42</x:v>
      </x:c>
      <x:c r="E17" s="1587">
        <x:v>1.25</x:v>
      </x:c>
      <x:c r="F17" s="1588">
        <x:v>11.125</x:v>
      </x:c>
      <x:c r="G17" s="1589">
        <x:v>0</x:v>
      </x:c>
      <x:c r="H17" s="1590">
        <x:v>1.75</x:v>
      </x:c>
      <x:c r="I17" s="1591" t="s">
        <x:v>114</x:v>
      </x:c>
      <x:c r="J17" s="2202">
        <x:v>0</x:v>
      </x:c>
      <x:c r="K17" s="2203">
        <x:v>0.25</x:v>
      </x:c>
      <x:c r="L17" s="2204" t="s">
        <x:v>114</x:v>
      </x:c>
      <x:c r="M17" s="1593">
        <x:v>7.5</x:v>
      </x:c>
      <x:c r="N17" s="1594">
        <x:v>7.5</x:v>
      </x:c>
      <x:c r="O17" s="1589">
        <x:v>0</x:v>
      </x:c>
      <x:c r="P17" s="1590">
        <x:v>6</x:v>
      </x:c>
      <x:c r="Q17" s="1586">
        <x:v>0</x:v>
      </x:c>
      <x:c r="R17" s="1587">
        <x:v>1.875</x:v>
      </x:c>
      <x:c r="S17" s="1595">
        <x:v>0</x:v>
      </x:c>
      <x:c r="T17" s="1590">
        <x:v>6.25</x:v>
      </x:c>
      <x:c r="U17" s="1586">
        <x:v>0</x:v>
      </x:c>
      <x:c r="V17" s="1590">
        <x:v>3.875</x:v>
      </x:c>
      <x:c r="W17" s="1594">
        <x:v>5</x:v>
      </x:c>
      <x:c r="X17" s="1596" t="str">
        <x:f t="shared" si="3"/>
        <x:v/>
      </x:c>
      <x:c r="Y17" s="1597" t="str">
        <x:f t="shared" si="4"/>
        <x:v/>
      </x:c>
      <x:c r="Z17" s="2210" t="s">
        <x:v>2323</x:v>
      </x:c>
      <x:c r="AA17" s="1605" t="str">
        <x:f t="shared" si="5"/>
        <x:v/>
      </x:c>
      <x:c r="AB17" s="1264" t="str">
        <x:f t="shared" ref="AB17:AC45" si="63">IF(ISBLANK(DH17),"",DH17)</x:f>
        <x:v/>
      </x:c>
      <x:c r="AC17" s="2194"/>
      <x:c r="AD17" s="2195"/>
      <x:c r="AE17" s="2122"/>
      <x:c r="AF17" s="2194"/>
      <x:c r="AG17" s="2195"/>
      <x:c r="AH17" s="1262"/>
      <x:c r="AI17" s="2195"/>
      <x:c r="AJ17" s="2122"/>
      <x:c r="AK17" s="1599" t="str">
        <x:f t="shared" si="6"/>
        <x:v/>
      </x:c>
      <x:c r="AL17" s="1600" t="str">
        <x:f t="shared" si="6"/>
        <x:v/>
      </x:c>
      <x:c r="AM17" s="1601" t="str">
        <x:f t="shared" si="6"/>
        <x:v/>
      </x:c>
      <x:c r="AN17" s="1260" t="str">
        <x:f t="shared" si="6"/>
        <x:v/>
      </x:c>
      <x:c r="AO17" s="1329" t="str">
        <x:f t="shared" si="6"/>
        <x:v/>
      </x:c>
      <x:c r="AP17" s="1327" t="str">
        <x:f t="shared" si="49"/>
        <x:v/>
      </x:c>
      <x:c r="AQ17" s="1602" t="str">
        <x:f t="shared" si="49"/>
        <x:v/>
      </x:c>
      <x:c r="AR17" s="1263" t="str">
        <x:f t="shared" ref="AR17:AR45" si="64">IF(GF57="","",IF(ISTEXT(GF57),"P",TRUNC(GF57/12)))</x:f>
        <x:v/>
      </x:c>
      <x:c r="AS17" s="1262" t="str">
        <x:f t="shared" ref="AS17:AS45" si="65">IF(GF57="","",IF(AR17="P",GF57,GF57-(AR17*12)))</x:f>
        <x:v/>
      </x:c>
      <x:c r="AT17" s="1603" t="str">
        <x:f t="shared" si="7"/>
        <x:v/>
      </x:c>
      <x:c r="AU17" s="1410" t="str">
        <x:f t="shared" si="7"/>
        <x:v/>
      </x:c>
      <x:c r="AV17" s="1328" t="str">
        <x:f t="shared" si="8"/>
        <x:v/>
      </x:c>
      <x:c r="AW17" s="1262" t="str">
        <x:f t="shared" si="9"/>
        <x:v/>
      </x:c>
      <x:c r="AX17" s="1603" t="str">
        <x:f t="shared" si="10"/>
        <x:v/>
      </x:c>
      <x:c r="AY17" s="1410" t="str">
        <x:f t="shared" si="10"/>
        <x:v/>
      </x:c>
      <x:c r="AZ17" s="1328" t="str">
        <x:f t="shared" si="11"/>
        <x:v/>
      </x:c>
      <x:c r="BA17" s="1262" t="str">
        <x:f t="shared" si="12"/>
        <x:v/>
      </x:c>
      <x:c r="BB17" s="1603" t="str">
        <x:f t="shared" si="13"/>
        <x:v/>
      </x:c>
      <x:c r="BC17" s="1410" t="str">
        <x:f t="shared" si="13"/>
        <x:v/>
      </x:c>
      <x:c r="BD17" s="1328" t="str">
        <x:f t="shared" si="14"/>
        <x:v/>
      </x:c>
      <x:c r="BE17" s="1262" t="str">
        <x:f t="shared" si="15"/>
        <x:v/>
      </x:c>
      <x:c r="BF17" s="1603" t="str">
        <x:f t="shared" si="16"/>
        <x:v/>
      </x:c>
      <x:c r="BG17" s="1410" t="str">
        <x:f t="shared" si="16"/>
        <x:v/>
      </x:c>
      <x:c r="BH17" s="322"/>
      <x:c r="BJ17" s="1258" t="str">
        <x:f t="shared" si="60"/>
        <x:v>G44</x:v>
      </x:c>
      <x:c r="BK17" s="1256" t="b">
        <x:f t="shared" si="17"/>
        <x:v>0</x:v>
      </x:c>
      <x:c r="BL17" s="2002" t="b">
        <x:v>0</x:v>
      </x:c>
      <x:c r="BM17" s="1251">
        <x:f t="shared" si="18"/>
        <x:v>54</x:v>
      </x:c>
      <x:c r="BN17" s="1251" t="str">
        <x:f t="shared" si="19"/>
        <x:v>G</x:v>
      </x:c>
      <x:c r="BO17" s="1251">
        <x:f t="shared" si="20"/>
        <x:v>5</x:v>
      </x:c>
      <x:c r="BP17" s="1251">
        <x:f t="shared" si="21"/>
        <x:v>13.7</x:v>
      </x:c>
      <x:c r="BQ17" s="1251">
        <x:f t="shared" si="22"/>
        <x:v>3.9</x:v>
      </x:c>
      <x:c r="BR17" s="1251" t="b">
        <x:f t="shared" si="23"/>
        <x:v>1</x:v>
      </x:c>
      <x:c r="BS17" s="1252">
        <x:f t="shared" si="24"/>
        <x:v>7.75</x:v>
      </x:c>
      <x:c r="BT17" s="1252" t="str">
        <x:f t="shared" si="25"/>
        <x:v>Yes</x:v>
      </x:c>
      <x:c r="BU17" s="1252">
        <x:f t="shared" si="26"/>
        <x:v>6.25</x:v>
      </x:c>
      <x:c r="BV17" s="1252" t="str">
        <x:f t="shared" si="27"/>
        <x:v>Yes</x:v>
      </x:c>
      <x:c r="BW17" s="1253">
        <x:f t="shared" si="28"/>
        <x:v>0</x:v>
      </x:c>
      <x:c r="BX17" s="1254" t="str">
        <x:f t="shared" si="29"/>
        <x:v/>
      </x:c>
      <x:c r="BY17" s="1254" t="b">
        <x:f t="shared" si="30"/>
        <x:v>0</x:v>
      </x:c>
      <x:c r="BZ17" s="1253" t="b">
        <x:f t="shared" si="50"/>
        <x:v>0</x:v>
      </x:c>
      <x:c r="CB17" s="842"/>
      <x:c r="CC17" s="894"/>
      <x:c r="CD17" s="883"/>
      <x:c r="CE17" s="884"/>
      <x:c r="CF17" s="885"/>
      <x:c r="CG17" s="901"/>
      <x:c r="CH17" s="902"/>
      <x:c r="CI17" s="903"/>
      <x:c r="CJ17" s="902"/>
      <x:c r="CK17" s="903"/>
      <x:c r="CL17" s="904"/>
      <x:c r="CM17" s="944"/>
      <x:c r="CN17" s="901"/>
      <x:c r="CO17" s="902"/>
      <x:c r="CP17" s="903"/>
      <x:c r="CQ17" s="902"/>
      <x:c r="CR17" s="903"/>
      <x:c r="CS17" s="904"/>
      <x:c r="CT17" s="944"/>
      <x:c r="CU17" s="906"/>
      <x:c r="CV17" s="886"/>
      <x:c r="CW17" s="887"/>
      <x:c r="CX17" s="915"/>
      <x:c r="CY17" s="916"/>
      <x:c r="CZ17" s="932"/>
      <x:c r="DA17" s="933"/>
      <x:c r="DB17" s="932"/>
      <x:c r="DC17" s="933"/>
      <x:c r="DD17" s="1149"/>
      <x:c r="DE17" s="1150"/>
      <x:c r="DF17" s="173"/>
      <x:c r="DG17" s="173"/>
      <x:c r="DH17" s="842"/>
      <x:c r="DI17" s="843"/>
      <x:c r="DJ17" s="872"/>
      <x:c r="DK17" s="873"/>
      <x:c r="DL17" s="844"/>
      <x:c r="DM17" s="874"/>
      <x:c r="DN17" s="875"/>
      <x:c r="DO17" s="845"/>
      <x:c r="DP17" s="846"/>
      <x:c r="DQ17" s="847"/>
      <x:c r="DR17" s="847"/>
      <x:c r="DS17" s="848"/>
      <x:c r="DT17" s="836"/>
      <x:c r="DU17" s="837"/>
      <x:c r="DV17" s="849"/>
      <x:c r="DW17" s="850"/>
      <x:c r="DX17" s="851"/>
      <x:c r="DY17" s="852"/>
      <x:c r="DZ17" s="849"/>
      <x:c r="EA17" s="850"/>
      <x:c r="EB17" s="851"/>
      <x:c r="EC17" s="852"/>
      <x:c r="ED17" s="849"/>
      <x:c r="EE17" s="850"/>
      <x:c r="EF17" s="851"/>
      <x:c r="EG17" s="852"/>
      <x:c r="EH17" s="849"/>
      <x:c r="EI17" s="850"/>
      <x:c r="EJ17" s="851"/>
      <x:c r="EK17" s="853"/>
      <x:c r="EL17" s="798" t="str">
        <x:f t="shared" si="31"/>
        <x:v/>
      </x:c>
      <x:c r="EM17" s="799" t="str">
        <x:f t="shared" si="32"/>
        <x:v/>
      </x:c>
      <x:c r="EN17" s="800" t="str">
        <x:f t="shared" si="33"/>
        <x:v/>
      </x:c>
      <x:c r="EO17" s="1030" t="str">
        <x:f t="shared" si="34"/>
        <x:v/>
      </x:c>
      <x:c r="EP17" s="726" t="str">
        <x:f t="shared" si="35"/>
        <x:v/>
      </x:c>
      <x:c r="EQ17" s="727" t="str">
        <x:f t="shared" si="36"/>
        <x:v/>
      </x:c>
      <x:c r="ER17" s="961" t="str">
        <x:f t="shared" si="37"/>
        <x:v/>
      </x:c>
      <x:c r="ES17" s="962" t="str">
        <x:f t="shared" si="51"/>
        <x:v/>
      </x:c>
      <x:c r="ET17" s="963" t="str">
        <x:f t="shared" si="38"/>
        <x:v/>
      </x:c>
      <x:c r="EU17" s="964" t="str">
        <x:f t="shared" si="39"/>
        <x:v/>
      </x:c>
      <x:c r="EX17" s="1194" t="str">
        <x:f t="shared" si="52"/>
        <x:v/>
      </x:c>
      <x:c r="EY17" s="1196" t="str">
        <x:f t="shared" si="40"/>
        <x:v/>
      </x:c>
      <x:c r="EZ17" s="1196" t="str">
        <x:f t="shared" si="53"/>
        <x:v/>
      </x:c>
      <x:c r="FA17" s="1217" t="str">
        <x:f t="shared" si="61"/>
        <x:v/>
      </x:c>
      <x:c r="FB17" s="1218" t="str">
        <x:f t="shared" si="54"/>
        <x:v/>
      </x:c>
      <x:c r="FC17" s="1218">
        <x:f t="shared" si="41"/>
        <x:v>0</x:v>
      </x:c>
      <x:c r="FD17" s="1218">
        <x:f t="shared" si="42"/>
        <x:v>0</x:v>
      </x:c>
      <x:c r="FE17" s="1218">
        <x:f t="shared" si="43"/>
        <x:v>0</x:v>
      </x:c>
      <x:c r="FF17" s="1218">
        <x:f t="shared" si="55"/>
        <x:v>503.5</x:v>
      </x:c>
      <x:c r="FN17" s="969" t="b">
        <x:v>0</x:v>
      </x:c>
      <x:c r="FO17" s="969" t="b">
        <x:f t="shared" si="44"/>
        <x:v>1</x:v>
      </x:c>
      <x:c r="FP17" s="1815" t="b">
        <x:v>0</x:v>
      </x:c>
      <x:c r="FQ17" s="969" t="b">
        <x:f t="shared" si="56"/>
        <x:v>1</x:v>
      </x:c>
      <x:c r="FW17" s="2"/>
      <x:c r="FX17" s="2"/>
      <x:c r="FZ17" s="2"/>
      <x:c r="GA17" s="1935">
        <x:v>42</x:v>
      </x:c>
      <x:c r="GB17" s="1936">
        <x:v>2.5</x:v>
      </x:c>
      <x:c r="GC17" s="1937">
        <x:v>-0.25</x:v>
      </x:c>
      <x:c r="GD17" s="1938">
        <x:v>-1</x:v>
      </x:c>
      <x:c r="GE17" s="1939">
        <x:v>0.18953589313271399</x:v>
      </x:c>
      <x:c r="GF17" s="1940" t="str">
        <x:f t="shared" si="46"/>
        <x:v>G44</x:v>
      </x:c>
      <x:c r="GG17" s="1457"/>
      <x:c r="GH17" s="1459"/>
      <x:c r="GI17" s="1457"/>
      <x:c r="GJ17" s="1459"/>
      <x:c r="GK17" s="326">
        <x:f t="shared" si="47"/>
        <x:v>505.25</x:v>
      </x:c>
      <x:c r="GL17" s="326">
        <x:f t="shared" si="48"/>
        <x:v>505.31301873528844</x:v>
      </x:c>
      <x:c r="GM17" s="327">
        <x:f>IF(ABS(GK17-GL17)&gt;='Job Info.'!$L$22,ABS(GK17-GL17),0)</x:f>
        <x:v>0</x:v>
      </x:c>
      <x:c r="HA17" s="1612" t="s">
        <x:v>1307</x:v>
      </x:c>
      <x:c r="HB17" s="1613">
        <x:v>1</x:v>
      </x:c>
      <x:c r="HC17" s="1613" t="s">
        <x:v>1962</x:v>
      </x:c>
      <x:c r="HD17" s="1614">
        <x:v>42</x:v>
      </x:c>
      <x:c r="HE17" s="1615">
        <x:v>1.25</x:v>
      </x:c>
      <x:c r="HF17" s="1613">
        <x:v>11.125</x:v>
      </x:c>
      <x:c r="HG17" s="1613">
        <x:v>0</x:v>
      </x:c>
      <x:c r="HH17" s="1613">
        <x:v>1.75</x:v>
      </x:c>
      <x:c r="HI17" s="1613" t="s">
        <x:v>114</x:v>
      </x:c>
      <x:c r="HJ17" s="1613" t="s">
        <x:v>117</x:v>
      </x:c>
      <x:c r="HK17" s="1613" t="s">
        <x:v>117</x:v>
      </x:c>
      <x:c r="HL17" s="1613" t="s">
        <x:v>117</x:v>
      </x:c>
      <x:c r="HM17" s="1613">
        <x:v>7.5</x:v>
      </x:c>
      <x:c r="HN17" s="1613">
        <x:v>7.5</x:v>
      </x:c>
      <x:c r="HO17" s="1613">
        <x:v>0</x:v>
      </x:c>
      <x:c r="HP17" s="1613">
        <x:v>6</x:v>
      </x:c>
      <x:c r="HQ17" s="1613">
        <x:v>0</x:v>
      </x:c>
      <x:c r="HR17" s="1613">
        <x:v>1.875</x:v>
      </x:c>
      <x:c r="HS17" s="1613">
        <x:v>0</x:v>
      </x:c>
      <x:c r="HT17" s="1613">
        <x:v>6.25</x:v>
      </x:c>
      <x:c r="HU17" s="1613">
        <x:v>0</x:v>
      </x:c>
      <x:c r="HV17" s="1613">
        <x:v>3.875</x:v>
      </x:c>
      <x:c r="HW17" s="1613">
        <x:v>5</x:v>
      </x:c>
      <x:c r="HX17" s="1613" t="s">
        <x:v>117</x:v>
      </x:c>
      <x:c r="HY17" s="1617" t="s">
        <x:v>117</x:v>
      </x:c>
      <x:c r="HZ17" s="1617" t="s">
        <x:v>2053</x:v>
      </x:c>
      <x:c r="IA17" s="1617" t="s">
        <x:v>117</x:v>
      </x:c>
      <x:c r="IB17" s="1617"/>
      <x:c r="IC17" s="1617"/>
      <x:c r="ID17" s="1632"/>
      <x:c r="IE17" s="1612" t="s">
        <x:v>117</x:v>
      </x:c>
      <x:c r="IF17" s="1613" t="s">
        <x:v>1703</x:v>
      </x:c>
      <x:c r="IG17" s="1614">
        <x:v>3</x:v>
      </x:c>
      <x:c r="IH17" s="1615">
        <x:v>10</x:v>
      </x:c>
      <x:c r="II17" s="1613">
        <x:v>2</x:v>
      </x:c>
      <x:c r="IJ17" s="1614">
        <x:v>8</x:v>
      </x:c>
      <x:c r="IK17" s="1615">
        <x:v>0</x:v>
      </x:c>
      <x:c r="IL17" s="1613">
        <x:v>12</x:v>
      </x:c>
      <x:c r="IM17" s="1613">
        <x:v>3.375</x:v>
      </x:c>
      <x:c r="IN17" s="1613" t="s">
        <x:v>117</x:v>
      </x:c>
      <x:c r="IO17" s="1613" t="s">
        <x:v>117</x:v>
      </x:c>
      <x:c r="IP17" s="1613" t="s">
        <x:v>117</x:v>
      </x:c>
      <x:c r="IQ17" s="1613" t="s">
        <x:v>117</x:v>
      </x:c>
      <x:c r="IR17" s="1613" t="s">
        <x:v>117</x:v>
      </x:c>
      <x:c r="IS17" s="1614" t="s">
        <x:v>117</x:v>
      </x:c>
      <x:c r="IT17" s="1615" t="s">
        <x:v>117</x:v>
      </x:c>
      <x:c r="IU17" s="1613" t="s">
        <x:v>117</x:v>
      </x:c>
      <x:c r="IV17" s="1613" t="s">
        <x:v>117</x:v>
      </x:c>
      <x:c r="IW17" s="1614" t="s">
        <x:v>117</x:v>
      </x:c>
      <x:c r="IX17" s="1615" t="s">
        <x:v>117</x:v>
      </x:c>
      <x:c r="IY17" s="1613" t="s">
        <x:v>117</x:v>
      </x:c>
      <x:c r="IZ17" s="1613" t="s">
        <x:v>117</x:v>
      </x:c>
      <x:c r="JA17" s="1614" t="s">
        <x:v>117</x:v>
      </x:c>
      <x:c r="JB17" s="1615" t="s">
        <x:v>117</x:v>
      </x:c>
      <x:c r="JC17" s="1613" t="s">
        <x:v>117</x:v>
      </x:c>
      <x:c r="JD17" s="1613" t="s">
        <x:v>117</x:v>
      </x:c>
      <x:c r="JE17" s="1614" t="s">
        <x:v>117</x:v>
      </x:c>
      <x:c r="JF17" s="1615" t="s">
        <x:v>117</x:v>
      </x:c>
      <x:c r="JG17" s="1613" t="s">
        <x:v>117</x:v>
      </x:c>
      <x:c r="JH17" s="1613" t="s">
        <x:v>117</x:v>
      </x:c>
      <x:c r="JI17" s="1613" t="s">
        <x:v>117</x:v>
      </x:c>
      <x:c r="JJ17" s="1616" t="s">
        <x:v>117</x:v>
      </x:c>
      <x:c r="JK17" s="1613"/>
      <x:c r="JL17" s="1521">
        <x:f t="shared" ca="1" si="62"/>
        <x:v>2</x:v>
      </x:c>
    </x:row>
    <x:row r="18" spans="1:272" ht="12.6" customHeight="1" x14ac:dyDescent="0.25">
      <x:c r="A18" s="1583" t="s">
        <x:v>1308</x:v>
      </x:c>
      <x:c r="B18" s="1584">
        <x:v>1</x:v>
      </x:c>
      <x:c r="C18" s="1585" t="s">
        <x:v>1964</x:v>
      </x:c>
      <x:c r="D18" s="1586">
        <x:v>51</x:v>
      </x:c>
      <x:c r="E18" s="1587">
        <x:v>11.5</x:v>
      </x:c>
      <x:c r="F18" s="1588">
        <x:v>11.125</x:v>
      </x:c>
      <x:c r="G18" s="1589">
        <x:v>0</x:v>
      </x:c>
      <x:c r="H18" s="1590">
        <x:v>1.75</x:v>
      </x:c>
      <x:c r="I18" s="1591" t="s">
        <x:v>114</x:v>
      </x:c>
      <x:c r="J18" s="1586">
        <x:v>0</x:v>
      </x:c>
      <x:c r="K18" s="1590">
        <x:v>1.75</x:v>
      </x:c>
      <x:c r="L18" s="1592" t="s">
        <x:v>114</x:v>
      </x:c>
      <x:c r="M18" s="1593">
        <x:v>7.5</x:v>
      </x:c>
      <x:c r="N18" s="1594">
        <x:v>7.5</x:v>
      </x:c>
      <x:c r="O18" s="1589">
        <x:v>0</x:v>
      </x:c>
      <x:c r="P18" s="1590">
        <x:v>6.75</x:v>
      </x:c>
      <x:c r="Q18" s="1586">
        <x:v>0</x:v>
      </x:c>
      <x:c r="R18" s="1587">
        <x:v>6.75</x:v>
      </x:c>
      <x:c r="S18" s="1595">
        <x:v>0</x:v>
      </x:c>
      <x:c r="T18" s="1590">
        <x:v>6.25</x:v>
      </x:c>
      <x:c r="U18" s="1586">
        <x:v>0</x:v>
      </x:c>
      <x:c r="V18" s="1590">
        <x:v>6.25</x:v>
      </x:c>
      <x:c r="W18" s="1594">
        <x:v>5</x:v>
      </x:c>
      <x:c r="X18" s="1596" t="str">
        <x:f t="shared" si="3"/>
        <x:v/>
      </x:c>
      <x:c r="Y18" s="1597" t="str">
        <x:f t="shared" si="4"/>
        <x:v/>
      </x:c>
      <x:c r="Z18" s="2210" t="s">
        <x:v>2310</x:v>
      </x:c>
      <x:c r="AA18" s="1605" t="str">
        <x:f t="shared" si="5"/>
        <x:v/>
      </x:c>
      <x:c r="AB18" s="1264" t="s">
        <x:v>1307</x:v>
      </x:c>
      <x:c r="AC18" s="2194" t="s">
        <x:v>35</x:v>
      </x:c>
      <x:c r="AD18" s="1261">
        <x:v>3</x:v>
      </x:c>
      <x:c r="AE18" s="1262">
        <x:v>10</x:v>
      </x:c>
      <x:c r="AF18" s="1260">
        <x:v>4</x:v>
      </x:c>
      <x:c r="AG18" s="1261">
        <x:v>8</x:v>
      </x:c>
      <x:c r="AH18" s="1262">
        <x:v>0</x:v>
      </x:c>
      <x:c r="AI18" s="1261">
        <x:v>6</x:v>
      </x:c>
      <x:c r="AJ18" s="1262">
        <x:v>1.5</x:v>
      </x:c>
      <x:c r="AK18" s="1599" t="str">
        <x:f t="shared" si="6"/>
        <x:v/>
      </x:c>
      <x:c r="AL18" s="1600" t="str">
        <x:f t="shared" si="6"/>
        <x:v/>
      </x:c>
      <x:c r="AM18" s="1601">
        <x:v>5</x:v>
      </x:c>
      <x:c r="AN18" s="1260">
        <x:v>13</x:v>
      </x:c>
      <x:c r="AO18" s="1329">
        <x:v>4</x:v>
      </x:c>
      <x:c r="AP18" s="1327" t="str">
        <x:f t="shared" si="49"/>
        <x:v/>
      </x:c>
      <x:c r="AQ18" s="1602" t="str">
        <x:f t="shared" si="49"/>
        <x:v/>
      </x:c>
      <x:c r="AR18" s="1263" t="s">
        <x:v>1061</x:v>
      </x:c>
      <x:c r="AS18" s="1262" t="s">
        <x:v>1956</x:v>
      </x:c>
      <x:c r="AT18" s="1603" t="str">
        <x:f t="shared" si="7"/>
        <x:v/>
      </x:c>
      <x:c r="AU18" s="1410" t="s">
        <x:v>35</x:v>
      </x:c>
      <x:c r="AV18" s="1328" t="s">
        <x:v>1061</x:v>
      </x:c>
      <x:c r="AW18" s="1262" t="s">
        <x:v>1963</x:v>
      </x:c>
      <x:c r="AX18" s="1603" t="str">
        <x:f t="shared" si="10"/>
        <x:v/>
      </x:c>
      <x:c r="AY18" s="1410" t="s">
        <x:v>1703</x:v>
      </x:c>
      <x:c r="AZ18" s="1328" t="str">
        <x:f t="shared" si="11"/>
        <x:v/>
      </x:c>
      <x:c r="BA18" s="1262" t="str">
        <x:f t="shared" si="12"/>
        <x:v/>
      </x:c>
      <x:c r="BB18" s="1603" t="str">
        <x:f t="shared" si="13"/>
        <x:v/>
      </x:c>
      <x:c r="BC18" s="1410" t="str">
        <x:f t="shared" si="13"/>
        <x:v/>
      </x:c>
      <x:c r="BD18" s="1328" t="str">
        <x:f t="shared" si="14"/>
        <x:v/>
      </x:c>
      <x:c r="BE18" s="1262" t="str">
        <x:f t="shared" si="15"/>
        <x:v/>
      </x:c>
      <x:c r="BF18" s="1603" t="str">
        <x:f t="shared" si="16"/>
        <x:v/>
      </x:c>
      <x:c r="BG18" s="1410" t="str">
        <x:f t="shared" si="16"/>
        <x:v/>
      </x:c>
      <x:c r="BH18" s="322"/>
      <x:c r="BJ18" s="1258" t="str">
        <x:f t="shared" si="60"/>
        <x:v>G45</x:v>
      </x:c>
      <x:c r="BK18" s="1256" t="b">
        <x:f t="shared" si="17"/>
        <x:v>0</x:v>
      </x:c>
      <x:c r="BL18" s="2002" t="b">
        <x:v>0</x:v>
      </x:c>
      <x:c r="BM18" s="1251">
        <x:f t="shared" si="18"/>
        <x:v>54</x:v>
      </x:c>
      <x:c r="BN18" s="1251" t="str">
        <x:f t="shared" si="19"/>
        <x:v>G</x:v>
      </x:c>
      <x:c r="BO18" s="1251">
        <x:f t="shared" si="20"/>
        <x:v>7</x:v>
      </x:c>
      <x:c r="BP18" s="1251">
        <x:f t="shared" si="21"/>
        <x:v>13.7</x:v>
      </x:c>
      <x:c r="BQ18" s="1251">
        <x:f t="shared" si="22"/>
        <x:v>3.9</x:v>
      </x:c>
      <x:c r="BR18" s="1251" t="b">
        <x:f t="shared" si="23"/>
        <x:v>1</x:v>
      </x:c>
      <x:c r="BS18" s="1252">
        <x:f t="shared" si="24"/>
        <x:v>7.75</x:v>
      </x:c>
      <x:c r="BT18" s="1252" t="str">
        <x:f t="shared" si="25"/>
        <x:v>Yes</x:v>
      </x:c>
      <x:c r="BU18" s="1252">
        <x:f t="shared" si="26"/>
        <x:v>7.75</x:v>
      </x:c>
      <x:c r="BV18" s="1252" t="str">
        <x:f t="shared" si="27"/>
        <x:v>Yes</x:v>
      </x:c>
      <x:c r="BW18" s="1253">
        <x:f t="shared" si="28"/>
        <x:v>18</x:v>
      </x:c>
      <x:c r="BX18" s="1254" t="str">
        <x:f t="shared" si="29"/>
        <x:v>G44</x:v>
      </x:c>
      <x:c r="BY18" s="1254" t="b">
        <x:f t="shared" si="30"/>
        <x:v>0</x:v>
      </x:c>
      <x:c r="BZ18" s="1253" t="b">
        <x:f t="shared" si="50"/>
        <x:v>0</x:v>
      </x:c>
      <x:c r="CB18" s="842"/>
      <x:c r="CC18" s="894"/>
      <x:c r="CD18" s="883"/>
      <x:c r="CE18" s="884"/>
      <x:c r="CF18" s="885"/>
      <x:c r="CG18" s="901"/>
      <x:c r="CH18" s="902"/>
      <x:c r="CI18" s="903"/>
      <x:c r="CJ18" s="902"/>
      <x:c r="CK18" s="903"/>
      <x:c r="CL18" s="904"/>
      <x:c r="CM18" s="944"/>
      <x:c r="CN18" s="901"/>
      <x:c r="CO18" s="902"/>
      <x:c r="CP18" s="903"/>
      <x:c r="CQ18" s="902"/>
      <x:c r="CR18" s="903"/>
      <x:c r="CS18" s="904"/>
      <x:c r="CT18" s="944"/>
      <x:c r="CU18" s="906"/>
      <x:c r="CV18" s="886"/>
      <x:c r="CW18" s="887"/>
      <x:c r="CX18" s="915"/>
      <x:c r="CY18" s="916"/>
      <x:c r="CZ18" s="932"/>
      <x:c r="DA18" s="933"/>
      <x:c r="DB18" s="932"/>
      <x:c r="DC18" s="933"/>
      <x:c r="DD18" s="1149"/>
      <x:c r="DE18" s="1150"/>
      <x:c r="DF18" s="173"/>
      <x:c r="DG18" s="173"/>
      <x:c r="DH18" s="842"/>
      <x:c r="DI18" s="843"/>
      <x:c r="DJ18" s="872"/>
      <x:c r="DK18" s="873"/>
      <x:c r="DL18" s="844"/>
      <x:c r="DM18" s="874"/>
      <x:c r="DN18" s="875"/>
      <x:c r="DO18" s="845"/>
      <x:c r="DP18" s="846"/>
      <x:c r="DQ18" s="847"/>
      <x:c r="DR18" s="847"/>
      <x:c r="DS18" s="848"/>
      <x:c r="DT18" s="836"/>
      <x:c r="DU18" s="837"/>
      <x:c r="DV18" s="849"/>
      <x:c r="DW18" s="850"/>
      <x:c r="DX18" s="851"/>
      <x:c r="DY18" s="852"/>
      <x:c r="DZ18" s="849"/>
      <x:c r="EA18" s="850"/>
      <x:c r="EB18" s="851"/>
      <x:c r="EC18" s="852"/>
      <x:c r="ED18" s="849"/>
      <x:c r="EE18" s="850"/>
      <x:c r="EF18" s="851"/>
      <x:c r="EG18" s="852"/>
      <x:c r="EH18" s="849"/>
      <x:c r="EI18" s="850"/>
      <x:c r="EJ18" s="851"/>
      <x:c r="EK18" s="853"/>
      <x:c r="EL18" s="798" t="str">
        <x:f t="shared" si="31"/>
        <x:v/>
      </x:c>
      <x:c r="EM18" s="799" t="str">
        <x:f t="shared" si="32"/>
        <x:v/>
      </x:c>
      <x:c r="EN18" s="800" t="str">
        <x:f t="shared" si="33"/>
        <x:v/>
      </x:c>
      <x:c r="EO18" s="1030" t="str">
        <x:f t="shared" si="34"/>
        <x:v/>
      </x:c>
      <x:c r="EP18" s="726" t="str">
        <x:f t="shared" si="35"/>
        <x:v/>
      </x:c>
      <x:c r="EQ18" s="727" t="str">
        <x:f t="shared" si="36"/>
        <x:v/>
      </x:c>
      <x:c r="ER18" s="961" t="str">
        <x:f t="shared" si="37"/>
        <x:v/>
      </x:c>
      <x:c r="ES18" s="962" t="str">
        <x:f t="shared" si="51"/>
        <x:v/>
      </x:c>
      <x:c r="ET18" s="963" t="str">
        <x:f t="shared" si="38"/>
        <x:v/>
      </x:c>
      <x:c r="EU18" s="964" t="str">
        <x:f t="shared" si="39"/>
        <x:v/>
      </x:c>
      <x:c r="EX18" s="1194" t="str">
        <x:f t="shared" si="52"/>
        <x:v>G44B</x:v>
      </x:c>
      <x:c r="EY18" s="1196" t="b">
        <x:f t="shared" ca="1" si="40"/>
        <x:v>0</x:v>
      </x:c>
      <x:c r="EZ18" s="1196">
        <x:f t="shared" si="53"/>
        <x:v>5</x:v>
      </x:c>
      <x:c r="FA18" s="1217" t="e">
        <x:f t="shared" si="61"/>
        <x:v>#N/A</x:v>
      </x:c>
      <x:c r="FB18" s="1218" t="e">
        <x:f t="shared" si="54"/>
        <x:v>#N/A</x:v>
      </x:c>
      <x:c r="FC18" s="1218">
        <x:f t="shared" si="41"/>
        <x:v>46</x:v>
      </x:c>
      <x:c r="FD18" s="1218">
        <x:f t="shared" si="42"/>
        <x:v>384</x:v>
      </x:c>
      <x:c r="FE18" s="1218">
        <x:f t="shared" si="43"/>
        <x:v>73.5</x:v>
      </x:c>
      <x:c r="FF18" s="1218">
        <x:f t="shared" si="55"/>
        <x:v>503.5</x:v>
      </x:c>
      <x:c r="FN18" s="969" t="b">
        <x:v>0</x:v>
      </x:c>
      <x:c r="FO18" s="969" t="b">
        <x:f t="shared" si="44"/>
        <x:v>1</x:v>
      </x:c>
      <x:c r="FP18" s="1815" t="b">
        <x:v>0</x:v>
      </x:c>
      <x:c r="FQ18" s="969" t="b">
        <x:f t="shared" si="56"/>
        <x:v>1</x:v>
      </x:c>
      <x:c r="FW18" s="2"/>
      <x:c r="FX18" s="2"/>
      <x:c r="FZ18" s="2"/>
      <x:c r="GA18" s="1935">
        <x:v>52</x:v>
      </x:c>
      <x:c r="GB18" s="1936">
        <x:v>0</x:v>
      </x:c>
      <x:c r="GC18" s="1937">
        <x:v>-0.25</x:v>
      </x:c>
      <x:c r="GD18" s="1938">
        <x:v>-0.25</x:v>
      </x:c>
      <x:c r="GE18" s="1939">
        <x:f t="shared" si="45"/>
        <x:v>0</x:v>
      </x:c>
      <x:c r="GF18" s="1940" t="str">
        <x:f t="shared" si="46"/>
        <x:v>G45</x:v>
      </x:c>
      <x:c r="GG18" s="1457"/>
      <x:c r="GH18" s="1459"/>
      <x:c r="GI18" s="1457"/>
      <x:c r="GJ18" s="1459"/>
      <x:c r="GK18" s="326">
        <x:f t="shared" si="47"/>
        <x:v>623.5</x:v>
      </x:c>
      <x:c r="GL18" s="326">
        <x:f t="shared" si="48"/>
        <x:v>623.5</x:v>
      </x:c>
      <x:c r="GM18" s="327">
        <x:f>IF(ABS(GK18-GL18)&gt;='Job Info.'!$L$22,ABS(GK18-GL18),0)</x:f>
        <x:v>0</x:v>
      </x:c>
      <x:c r="HA18" s="1612" t="s">
        <x:v>1308</x:v>
      </x:c>
      <x:c r="HB18" s="1613">
        <x:v>1</x:v>
      </x:c>
      <x:c r="HC18" s="1613" t="s">
        <x:v>1964</x:v>
      </x:c>
      <x:c r="HD18" s="1614">
        <x:v>51</x:v>
      </x:c>
      <x:c r="HE18" s="1615">
        <x:v>11.5</x:v>
      </x:c>
      <x:c r="HF18" s="1613">
        <x:v>11.125</x:v>
      </x:c>
      <x:c r="HG18" s="1613">
        <x:v>0</x:v>
      </x:c>
      <x:c r="HH18" s="1613">
        <x:v>1.75</x:v>
      </x:c>
      <x:c r="HI18" s="1613" t="s">
        <x:v>114</x:v>
      </x:c>
      <x:c r="HJ18" s="1613">
        <x:v>0</x:v>
      </x:c>
      <x:c r="HK18" s="1613">
        <x:v>1.75</x:v>
      </x:c>
      <x:c r="HL18" s="1613" t="s">
        <x:v>114</x:v>
      </x:c>
      <x:c r="HM18" s="1613">
        <x:v>7.5</x:v>
      </x:c>
      <x:c r="HN18" s="1613">
        <x:v>7.5</x:v>
      </x:c>
      <x:c r="HO18" s="1613">
        <x:v>0</x:v>
      </x:c>
      <x:c r="HP18" s="1613">
        <x:v>6.75</x:v>
      </x:c>
      <x:c r="HQ18" s="1613">
        <x:v>0</x:v>
      </x:c>
      <x:c r="HR18" s="1613">
        <x:v>6.75</x:v>
      </x:c>
      <x:c r="HS18" s="1613">
        <x:v>0</x:v>
      </x:c>
      <x:c r="HT18" s="1613">
        <x:v>6.25</x:v>
      </x:c>
      <x:c r="HU18" s="1613">
        <x:v>0</x:v>
      </x:c>
      <x:c r="HV18" s="1613">
        <x:v>6.25</x:v>
      </x:c>
      <x:c r="HW18" s="1613">
        <x:v>5</x:v>
      </x:c>
      <x:c r="HX18" s="1613" t="s">
        <x:v>117</x:v>
      </x:c>
      <x:c r="HY18" s="1617" t="s">
        <x:v>117</x:v>
      </x:c>
      <x:c r="HZ18" s="1617" t="s">
        <x:v>2042</x:v>
      </x:c>
      <x:c r="IA18" s="1617" t="s">
        <x:v>117</x:v>
      </x:c>
      <x:c r="IB18" s="1617"/>
      <x:c r="IC18" s="1617"/>
      <x:c r="ID18" s="1632"/>
      <x:c r="IE18" s="1612" t="s">
        <x:v>1307</x:v>
      </x:c>
      <x:c r="IF18" s="1613" t="s">
        <x:v>34</x:v>
      </x:c>
      <x:c r="IG18" s="1614">
        <x:v>3</x:v>
      </x:c>
      <x:c r="IH18" s="1615">
        <x:v>10</x:v>
      </x:c>
      <x:c r="II18" s="1613">
        <x:v>4</x:v>
      </x:c>
      <x:c r="IJ18" s="1614">
        <x:v>8</x:v>
      </x:c>
      <x:c r="IK18" s="1615">
        <x:v>0</x:v>
      </x:c>
      <x:c r="IL18" s="1613">
        <x:v>6</x:v>
      </x:c>
      <x:c r="IM18" s="1613">
        <x:v>1.5</x:v>
      </x:c>
      <x:c r="IN18" s="1613" t="s">
        <x:v>117</x:v>
      </x:c>
      <x:c r="IO18" s="1613" t="s">
        <x:v>117</x:v>
      </x:c>
      <x:c r="IP18" s="1613">
        <x:v>5</x:v>
      </x:c>
      <x:c r="IQ18" s="1613">
        <x:v>13</x:v>
      </x:c>
      <x:c r="IR18" s="1613">
        <x:v>4</x:v>
      </x:c>
      <x:c r="IS18" s="1614" t="s">
        <x:v>117</x:v>
      </x:c>
      <x:c r="IT18" s="1615" t="s">
        <x:v>117</x:v>
      </x:c>
      <x:c r="IU18" s="1613" t="s">
        <x:v>1061</x:v>
      </x:c>
      <x:c r="IV18" s="1613" t="s">
        <x:v>1956</x:v>
      </x:c>
      <x:c r="IW18" s="1614" t="s">
        <x:v>117</x:v>
      </x:c>
      <x:c r="IX18" s="1615" t="s">
        <x:v>35</x:v>
      </x:c>
      <x:c r="IY18" s="1613" t="s">
        <x:v>1061</x:v>
      </x:c>
      <x:c r="IZ18" s="1613" t="s">
        <x:v>1963</x:v>
      </x:c>
      <x:c r="JA18" s="1614" t="s">
        <x:v>117</x:v>
      </x:c>
      <x:c r="JB18" s="1615" t="s">
        <x:v>1703</x:v>
      </x:c>
      <x:c r="JC18" s="1613" t="s">
        <x:v>117</x:v>
      </x:c>
      <x:c r="JD18" s="1613" t="s">
        <x:v>117</x:v>
      </x:c>
      <x:c r="JE18" s="1614" t="s">
        <x:v>117</x:v>
      </x:c>
      <x:c r="JF18" s="1615" t="s">
        <x:v>117</x:v>
      </x:c>
      <x:c r="JG18" s="1613" t="s">
        <x:v>117</x:v>
      </x:c>
      <x:c r="JH18" s="1613" t="s">
        <x:v>117</x:v>
      </x:c>
      <x:c r="JI18" s="1613" t="s">
        <x:v>117</x:v>
      </x:c>
      <x:c r="JJ18" s="1616" t="s">
        <x:v>117</x:v>
      </x:c>
      <x:c r="JK18" s="1613">
        <x:v>2</x:v>
      </x:c>
      <x:c r="JL18" s="1521">
        <x:f t="shared" ca="1" si="62"/>
        <x:v>1</x:v>
      </x:c>
    </x:row>
    <x:row r="19" spans="1:272" ht="12.6" customHeight="1" x14ac:dyDescent="0.25">
      <x:c r="A19" s="1583" t="s">
        <x:v>1309</x:v>
      </x:c>
      <x:c r="B19" s="1584">
        <x:v>3</x:v>
      </x:c>
      <x:c r="C19" s="1585" t="s">
        <x:v>1954</x:v>
      </x:c>
      <x:c r="D19" s="1586">
        <x:v>51</x:v>
      </x:c>
      <x:c r="E19" s="1587">
        <x:v>11.5</x:v>
      </x:c>
      <x:c r="F19" s="1588">
        <x:v>11.125</x:v>
      </x:c>
      <x:c r="G19" s="1589">
        <x:v>0</x:v>
      </x:c>
      <x:c r="H19" s="1590">
        <x:v>1.75</x:v>
      </x:c>
      <x:c r="I19" s="1591" t="s">
        <x:v>114</x:v>
      </x:c>
      <x:c r="J19" s="1586">
        <x:v>0</x:v>
      </x:c>
      <x:c r="K19" s="1590">
        <x:v>1.75</x:v>
      </x:c>
      <x:c r="L19" s="1592" t="s">
        <x:v>114</x:v>
      </x:c>
      <x:c r="M19" s="1593">
        <x:v>7.5</x:v>
      </x:c>
      <x:c r="N19" s="1594">
        <x:v>7.5</x:v>
      </x:c>
      <x:c r="O19" s="1589">
        <x:v>0</x:v>
      </x:c>
      <x:c r="P19" s="1590">
        <x:v>6.75</x:v>
      </x:c>
      <x:c r="Q19" s="1586">
        <x:v>0</x:v>
      </x:c>
      <x:c r="R19" s="1587">
        <x:v>6.75</x:v>
      </x:c>
      <x:c r="S19" s="1595">
        <x:v>0</x:v>
      </x:c>
      <x:c r="T19" s="1590">
        <x:v>6.25</x:v>
      </x:c>
      <x:c r="U19" s="1586">
        <x:v>0</x:v>
      </x:c>
      <x:c r="V19" s="1590">
        <x:v>6.25</x:v>
      </x:c>
      <x:c r="W19" s="1594">
        <x:v>5</x:v>
      </x:c>
      <x:c r="X19" s="1596" t="str">
        <x:f t="shared" si="3"/>
        <x:v/>
      </x:c>
      <x:c r="Y19" s="1597" t="str">
        <x:f t="shared" si="4"/>
        <x:v/>
      </x:c>
      <x:c r="Z19" s="2210" t="s">
        <x:v>2304</x:v>
      </x:c>
      <x:c r="AA19" s="1605" t="str">
        <x:f t="shared" si="5"/>
        <x:v/>
      </x:c>
      <x:c r="AB19" s="1264" t="str">
        <x:f t="shared" si="63"/>
        <x:v/>
      </x:c>
      <x:c r="AC19" s="2194"/>
      <x:c r="AD19" s="2195"/>
      <x:c r="AE19" s="2122"/>
      <x:c r="AF19" s="2194"/>
      <x:c r="AG19" s="2195"/>
      <x:c r="AH19" s="1262"/>
      <x:c r="AI19" s="2195"/>
      <x:c r="AJ19" s="2122"/>
      <x:c r="AK19" s="1599" t="str">
        <x:f t="shared" si="6"/>
        <x:v/>
      </x:c>
      <x:c r="AL19" s="1600" t="str">
        <x:f t="shared" si="6"/>
        <x:v/>
      </x:c>
      <x:c r="AM19" s="1601" t="str">
        <x:f t="shared" si="6"/>
        <x:v/>
      </x:c>
      <x:c r="AN19" s="1260" t="str">
        <x:f t="shared" si="6"/>
        <x:v/>
      </x:c>
      <x:c r="AO19" s="1329" t="str">
        <x:f t="shared" si="6"/>
        <x:v/>
      </x:c>
      <x:c r="AP19" s="1327" t="str">
        <x:f t="shared" si="49"/>
        <x:v/>
      </x:c>
      <x:c r="AQ19" s="1602" t="str">
        <x:f t="shared" si="49"/>
        <x:v/>
      </x:c>
      <x:c r="AR19" s="1263" t="str">
        <x:f t="shared" si="64"/>
        <x:v/>
      </x:c>
      <x:c r="AS19" s="1262" t="str">
        <x:f t="shared" si="65"/>
        <x:v/>
      </x:c>
      <x:c r="AT19" s="1603" t="str">
        <x:f t="shared" si="7"/>
        <x:v/>
      </x:c>
      <x:c r="AU19" s="1410" t="str">
        <x:f t="shared" si="7"/>
        <x:v/>
      </x:c>
      <x:c r="AV19" s="1328" t="str">
        <x:f t="shared" si="8"/>
        <x:v/>
      </x:c>
      <x:c r="AW19" s="1262" t="str">
        <x:f t="shared" si="9"/>
        <x:v/>
      </x:c>
      <x:c r="AX19" s="1603" t="str">
        <x:f t="shared" si="10"/>
        <x:v/>
      </x:c>
      <x:c r="AY19" s="1410" t="str">
        <x:f t="shared" si="10"/>
        <x:v/>
      </x:c>
      <x:c r="AZ19" s="1328" t="str">
        <x:f t="shared" si="11"/>
        <x:v/>
      </x:c>
      <x:c r="BA19" s="1262" t="str">
        <x:f t="shared" si="12"/>
        <x:v/>
      </x:c>
      <x:c r="BB19" s="1603" t="str">
        <x:f t="shared" si="13"/>
        <x:v/>
      </x:c>
      <x:c r="BC19" s="1410" t="str">
        <x:f t="shared" si="13"/>
        <x:v/>
      </x:c>
      <x:c r="BD19" s="1328" t="str">
        <x:f t="shared" si="14"/>
        <x:v/>
      </x:c>
      <x:c r="BE19" s="1262" t="str">
        <x:f t="shared" si="15"/>
        <x:v/>
      </x:c>
      <x:c r="BF19" s="1603" t="str">
        <x:f t="shared" si="16"/>
        <x:v/>
      </x:c>
      <x:c r="BG19" s="1410" t="str">
        <x:f t="shared" si="16"/>
        <x:v/>
      </x:c>
      <x:c r="BH19" s="322"/>
      <x:c r="BJ19" s="1258" t="str">
        <x:f t="shared" si="60"/>
        <x:v>G46</x:v>
      </x:c>
      <x:c r="BK19" s="1256" t="b">
        <x:f t="shared" si="17"/>
        <x:v>0</x:v>
      </x:c>
      <x:c r="BL19" s="2002" t="b">
        <x:v>0</x:v>
      </x:c>
      <x:c r="BM19" s="1251">
        <x:f t="shared" si="18"/>
        <x:v>54</x:v>
      </x:c>
      <x:c r="BN19" s="1251" t="str">
        <x:f t="shared" si="19"/>
        <x:v>G</x:v>
      </x:c>
      <x:c r="BO19" s="1251">
        <x:f t="shared" si="20"/>
        <x:v>7</x:v>
      </x:c>
      <x:c r="BP19" s="1251">
        <x:f t="shared" si="21"/>
        <x:v>13.4</x:v>
      </x:c>
      <x:c r="BQ19" s="1251">
        <x:f t="shared" si="22"/>
        <x:v>3.9</x:v>
      </x:c>
      <x:c r="BR19" s="1251" t="b">
        <x:f t="shared" si="23"/>
        <x:v>1</x:v>
      </x:c>
      <x:c r="BS19" s="1252">
        <x:f t="shared" si="24"/>
        <x:v>7.75</x:v>
      </x:c>
      <x:c r="BT19" s="1252" t="str">
        <x:f t="shared" si="25"/>
        <x:v>Yes</x:v>
      </x:c>
      <x:c r="BU19" s="1252">
        <x:f t="shared" si="26"/>
        <x:v>7.75</x:v>
      </x:c>
      <x:c r="BV19" s="1252" t="str">
        <x:f t="shared" si="27"/>
        <x:v>Yes</x:v>
      </x:c>
      <x:c r="BW19" s="1253">
        <x:f t="shared" si="28"/>
        <x:v>0</x:v>
      </x:c>
      <x:c r="BX19" s="1254" t="str">
        <x:f t="shared" si="29"/>
        <x:v/>
      </x:c>
      <x:c r="BY19" s="1254" t="b">
        <x:f t="shared" si="30"/>
        <x:v>0</x:v>
      </x:c>
      <x:c r="BZ19" s="1253" t="b">
        <x:f t="shared" si="50"/>
        <x:v>0</x:v>
      </x:c>
      <x:c r="CB19" s="842"/>
      <x:c r="CC19" s="894"/>
      <x:c r="CD19" s="883"/>
      <x:c r="CE19" s="884"/>
      <x:c r="CF19" s="885"/>
      <x:c r="CG19" s="901"/>
      <x:c r="CH19" s="902"/>
      <x:c r="CI19" s="903"/>
      <x:c r="CJ19" s="902"/>
      <x:c r="CK19" s="903"/>
      <x:c r="CL19" s="904"/>
      <x:c r="CM19" s="944"/>
      <x:c r="CN19" s="901"/>
      <x:c r="CO19" s="902"/>
      <x:c r="CP19" s="903"/>
      <x:c r="CQ19" s="902"/>
      <x:c r="CR19" s="903"/>
      <x:c r="CS19" s="904"/>
      <x:c r="CT19" s="944"/>
      <x:c r="CU19" s="906"/>
      <x:c r="CV19" s="886"/>
      <x:c r="CW19" s="887"/>
      <x:c r="CX19" s="915"/>
      <x:c r="CY19" s="916"/>
      <x:c r="CZ19" s="932"/>
      <x:c r="DA19" s="933"/>
      <x:c r="DB19" s="932"/>
      <x:c r="DC19" s="933"/>
      <x:c r="DD19" s="1149"/>
      <x:c r="DE19" s="1150"/>
      <x:c r="DF19" s="173"/>
      <x:c r="DG19" s="173"/>
      <x:c r="DH19" s="842"/>
      <x:c r="DI19" s="843"/>
      <x:c r="DJ19" s="872"/>
      <x:c r="DK19" s="873"/>
      <x:c r="DL19" s="844"/>
      <x:c r="DM19" s="874"/>
      <x:c r="DN19" s="875"/>
      <x:c r="DO19" s="845"/>
      <x:c r="DP19" s="846"/>
      <x:c r="DQ19" s="847"/>
      <x:c r="DR19" s="847"/>
      <x:c r="DS19" s="848"/>
      <x:c r="DT19" s="836"/>
      <x:c r="DU19" s="837"/>
      <x:c r="DV19" s="849"/>
      <x:c r="DW19" s="850"/>
      <x:c r="DX19" s="851"/>
      <x:c r="DY19" s="852"/>
      <x:c r="DZ19" s="849"/>
      <x:c r="EA19" s="850"/>
      <x:c r="EB19" s="851"/>
      <x:c r="EC19" s="852"/>
      <x:c r="ED19" s="849"/>
      <x:c r="EE19" s="850"/>
      <x:c r="EF19" s="851"/>
      <x:c r="EG19" s="852"/>
      <x:c r="EH19" s="849"/>
      <x:c r="EI19" s="850"/>
      <x:c r="EJ19" s="851"/>
      <x:c r="EK19" s="853"/>
      <x:c r="EL19" s="798" t="str">
        <x:f t="shared" si="31"/>
        <x:v/>
      </x:c>
      <x:c r="EM19" s="799" t="str">
        <x:f t="shared" si="32"/>
        <x:v/>
      </x:c>
      <x:c r="EN19" s="800" t="str">
        <x:f t="shared" si="33"/>
        <x:v/>
      </x:c>
      <x:c r="EO19" s="1030" t="str">
        <x:f t="shared" si="34"/>
        <x:v/>
      </x:c>
      <x:c r="EP19" s="726" t="str">
        <x:f t="shared" si="35"/>
        <x:v/>
      </x:c>
      <x:c r="EQ19" s="727" t="str">
        <x:f t="shared" si="36"/>
        <x:v/>
      </x:c>
      <x:c r="ER19" s="961" t="str">
        <x:f t="shared" si="37"/>
        <x:v/>
      </x:c>
      <x:c r="ES19" s="962" t="str">
        <x:f t="shared" si="51"/>
        <x:v/>
      </x:c>
      <x:c r="ET19" s="963" t="str">
        <x:f t="shared" si="38"/>
        <x:v/>
      </x:c>
      <x:c r="EU19" s="964" t="str">
        <x:f t="shared" si="39"/>
        <x:v/>
      </x:c>
      <x:c r="EX19" s="1194" t="str">
        <x:f t="shared" si="52"/>
        <x:v/>
      </x:c>
      <x:c r="EY19" s="1196" t="str">
        <x:f t="shared" si="40"/>
        <x:v/>
      </x:c>
      <x:c r="EZ19" s="1196" t="str">
        <x:f t="shared" si="53"/>
        <x:v/>
      </x:c>
      <x:c r="FA19" s="1217" t="str">
        <x:f t="shared" si="61"/>
        <x:v/>
      </x:c>
      <x:c r="FB19" s="1218" t="str">
        <x:f t="shared" si="54"/>
        <x:v/>
      </x:c>
      <x:c r="FC19" s="1218">
        <x:f t="shared" si="41"/>
        <x:v>0</x:v>
      </x:c>
      <x:c r="FD19" s="1218">
        <x:f t="shared" si="42"/>
        <x:v>0</x:v>
      </x:c>
      <x:c r="FE19" s="1218">
        <x:f t="shared" si="43"/>
        <x:v>0</x:v>
      </x:c>
      <x:c r="FF19" s="1218">
        <x:f t="shared" si="55"/>
        <x:v>620</x:v>
      </x:c>
      <x:c r="FN19" s="969" t="b">
        <x:v>0</x:v>
      </x:c>
      <x:c r="FO19" s="969" t="b">
        <x:f t="shared" si="44"/>
        <x:v>1</x:v>
      </x:c>
      <x:c r="FP19" s="1815" t="b">
        <x:v>0</x:v>
      </x:c>
      <x:c r="FQ19" s="969" t="b">
        <x:f t="shared" si="56"/>
        <x:v>1</x:v>
      </x:c>
      <x:c r="FW19" s="2"/>
      <x:c r="FX19" s="2"/>
      <x:c r="FZ19" s="2"/>
      <x:c r="GA19" s="1935">
        <x:v>52</x:v>
      </x:c>
      <x:c r="GB19" s="1936">
        <x:v>0</x:v>
      </x:c>
      <x:c r="GC19" s="1937">
        <x:v>-0.25</x:v>
      </x:c>
      <x:c r="GD19" s="1938">
        <x:v>-0.25</x:v>
      </x:c>
      <x:c r="GE19" s="1939">
        <x:f t="shared" si="45"/>
        <x:v>0</x:v>
      </x:c>
      <x:c r="GF19" s="1940" t="str">
        <x:f t="shared" si="46"/>
        <x:v>G46</x:v>
      </x:c>
      <x:c r="GG19" s="1457"/>
      <x:c r="GH19" s="1459"/>
      <x:c r="GI19" s="1457"/>
      <x:c r="GJ19" s="1459"/>
      <x:c r="GK19" s="326">
        <x:f t="shared" si="47"/>
        <x:v>623.5</x:v>
      </x:c>
      <x:c r="GL19" s="326">
        <x:f t="shared" si="48"/>
        <x:v>623.5</x:v>
      </x:c>
      <x:c r="GM19" s="327">
        <x:f>IF(ABS(GK19-GL19)&gt;='Job Info.'!$L$22,ABS(GK19-GL19),0)</x:f>
        <x:v>0</x:v>
      </x:c>
      <x:c r="GZ19" s="171"/>
      <x:c r="HA19" s="1612" t="s">
        <x:v>1309</x:v>
      </x:c>
      <x:c r="HB19" s="1613">
        <x:v>3</x:v>
      </x:c>
      <x:c r="HC19" s="1613" t="s">
        <x:v>1954</x:v>
      </x:c>
      <x:c r="HD19" s="1614">
        <x:v>51</x:v>
      </x:c>
      <x:c r="HE19" s="1615">
        <x:v>11.5</x:v>
      </x:c>
      <x:c r="HF19" s="1613">
        <x:v>11.125</x:v>
      </x:c>
      <x:c r="HG19" s="1613">
        <x:v>0</x:v>
      </x:c>
      <x:c r="HH19" s="1613">
        <x:v>1.75</x:v>
      </x:c>
      <x:c r="HI19" s="1613" t="s">
        <x:v>114</x:v>
      </x:c>
      <x:c r="HJ19" s="1613">
        <x:v>0</x:v>
      </x:c>
      <x:c r="HK19" s="1613">
        <x:v>1.75</x:v>
      </x:c>
      <x:c r="HL19" s="1613" t="s">
        <x:v>114</x:v>
      </x:c>
      <x:c r="HM19" s="1613">
        <x:v>7.5</x:v>
      </x:c>
      <x:c r="HN19" s="1613">
        <x:v>7.5</x:v>
      </x:c>
      <x:c r="HO19" s="1613">
        <x:v>0</x:v>
      </x:c>
      <x:c r="HP19" s="1613">
        <x:v>6.75</x:v>
      </x:c>
      <x:c r="HQ19" s="1613">
        <x:v>0</x:v>
      </x:c>
      <x:c r="HR19" s="1613">
        <x:v>6.75</x:v>
      </x:c>
      <x:c r="HS19" s="1613">
        <x:v>0</x:v>
      </x:c>
      <x:c r="HT19" s="1613">
        <x:v>6.25</x:v>
      </x:c>
      <x:c r="HU19" s="1613">
        <x:v>0</x:v>
      </x:c>
      <x:c r="HV19" s="1613">
        <x:v>6.25</x:v>
      </x:c>
      <x:c r="HW19" s="1613">
        <x:v>5</x:v>
      </x:c>
      <x:c r="HX19" s="1613" t="s">
        <x:v>117</x:v>
      </x:c>
      <x:c r="HY19" s="1617" t="s">
        <x:v>117</x:v>
      </x:c>
      <x:c r="HZ19" s="1617" t="s">
        <x:v>2054</x:v>
      </x:c>
      <x:c r="IA19" s="1617" t="s">
        <x:v>117</x:v>
      </x:c>
      <x:c r="IB19" s="1617"/>
      <x:c r="IC19" s="1617"/>
      <x:c r="ID19" s="1632"/>
      <x:c r="IE19" s="1612" t="s">
        <x:v>117</x:v>
      </x:c>
      <x:c r="IF19" s="1613" t="s">
        <x:v>1703</x:v>
      </x:c>
      <x:c r="IG19" s="1614">
        <x:v>3</x:v>
      </x:c>
      <x:c r="IH19" s="1615">
        <x:v>10</x:v>
      </x:c>
      <x:c r="II19" s="1613">
        <x:v>3</x:v>
      </x:c>
      <x:c r="IJ19" s="1614">
        <x:v>8</x:v>
      </x:c>
      <x:c r="IK19" s="1615">
        <x:v>0</x:v>
      </x:c>
      <x:c r="IL19" s="1613">
        <x:v>14</x:v>
      </x:c>
      <x:c r="IM19" s="1613">
        <x:v>1.5</x:v>
      </x:c>
      <x:c r="IN19" s="1613" t="s">
        <x:v>117</x:v>
      </x:c>
      <x:c r="IO19" s="1613" t="s">
        <x:v>117</x:v>
      </x:c>
      <x:c r="IP19" s="1613" t="s">
        <x:v>117</x:v>
      </x:c>
      <x:c r="IQ19" s="1613" t="s">
        <x:v>117</x:v>
      </x:c>
      <x:c r="IR19" s="1613" t="s">
        <x:v>117</x:v>
      </x:c>
      <x:c r="IS19" s="1614" t="s">
        <x:v>117</x:v>
      </x:c>
      <x:c r="IT19" s="1615" t="s">
        <x:v>117</x:v>
      </x:c>
      <x:c r="IU19" s="1613" t="s">
        <x:v>117</x:v>
      </x:c>
      <x:c r="IV19" s="1613" t="s">
        <x:v>117</x:v>
      </x:c>
      <x:c r="IW19" s="1614" t="s">
        <x:v>117</x:v>
      </x:c>
      <x:c r="IX19" s="1615" t="s">
        <x:v>117</x:v>
      </x:c>
      <x:c r="IY19" s="1613" t="s">
        <x:v>117</x:v>
      </x:c>
      <x:c r="IZ19" s="1613" t="s">
        <x:v>117</x:v>
      </x:c>
      <x:c r="JA19" s="1614" t="s">
        <x:v>117</x:v>
      </x:c>
      <x:c r="JB19" s="1615" t="s">
        <x:v>117</x:v>
      </x:c>
      <x:c r="JC19" s="1613" t="s">
        <x:v>117</x:v>
      </x:c>
      <x:c r="JD19" s="1613" t="s">
        <x:v>117</x:v>
      </x:c>
      <x:c r="JE19" s="1614" t="s">
        <x:v>117</x:v>
      </x:c>
      <x:c r="JF19" s="1615" t="s">
        <x:v>117</x:v>
      </x:c>
      <x:c r="JG19" s="1613" t="s">
        <x:v>117</x:v>
      </x:c>
      <x:c r="JH19" s="1613" t="s">
        <x:v>117</x:v>
      </x:c>
      <x:c r="JI19" s="1613" t="s">
        <x:v>117</x:v>
      </x:c>
      <x:c r="JJ19" s="1616" t="s">
        <x:v>117</x:v>
      </x:c>
      <x:c r="JK19" s="1613"/>
      <x:c r="JL19" s="1521">
        <x:f t="shared" ca="1" si="62"/>
        <x:v>2</x:v>
      </x:c>
    </x:row>
    <x:row r="20" spans="1:272" ht="12.6" customHeight="1" x14ac:dyDescent="0.25">
      <x:c r="A20" s="1583" t="s">
        <x:v>1310</x:v>
      </x:c>
      <x:c r="B20" s="1584">
        <x:v>14</x:v>
      </x:c>
      <x:c r="C20" s="1585" t="s">
        <x:v>1954</x:v>
      </x:c>
      <x:c r="D20" s="1586">
        <x:v>51</x:v>
      </x:c>
      <x:c r="E20" s="1587">
        <x:v>11.5</x:v>
      </x:c>
      <x:c r="F20" s="1588">
        <x:v>11.125</x:v>
      </x:c>
      <x:c r="G20" s="1589">
        <x:v>0</x:v>
      </x:c>
      <x:c r="H20" s="1590">
        <x:v>1.75</x:v>
      </x:c>
      <x:c r="I20" s="1591" t="s">
        <x:v>114</x:v>
      </x:c>
      <x:c r="J20" s="1586">
        <x:v>0</x:v>
      </x:c>
      <x:c r="K20" s="1590">
        <x:v>1.75</x:v>
      </x:c>
      <x:c r="L20" s="1592" t="s">
        <x:v>114</x:v>
      </x:c>
      <x:c r="M20" s="1593">
        <x:v>7.5</x:v>
      </x:c>
      <x:c r="N20" s="1594">
        <x:v>7.5</x:v>
      </x:c>
      <x:c r="O20" s="1589">
        <x:v>0</x:v>
      </x:c>
      <x:c r="P20" s="1590">
        <x:v>6.75</x:v>
      </x:c>
      <x:c r="Q20" s="1586">
        <x:v>0</x:v>
      </x:c>
      <x:c r="R20" s="1587">
        <x:v>6.75</x:v>
      </x:c>
      <x:c r="S20" s="1595">
        <x:v>0</x:v>
      </x:c>
      <x:c r="T20" s="1590">
        <x:v>6.25</x:v>
      </x:c>
      <x:c r="U20" s="1586">
        <x:v>0</x:v>
      </x:c>
      <x:c r="V20" s="1590">
        <x:v>6.25</x:v>
      </x:c>
      <x:c r="W20" s="1594">
        <x:v>5</x:v>
      </x:c>
      <x:c r="X20" s="1596" t="str">
        <x:f t="shared" si="3"/>
        <x:v/>
      </x:c>
      <x:c r="Y20" s="1597" t="str">
        <x:f t="shared" si="4"/>
        <x:v/>
      </x:c>
      <x:c r="Z20" s="2210" t="s">
        <x:v>2310</x:v>
      </x:c>
      <x:c r="AA20" s="1605" t="str">
        <x:f t="shared" si="5"/>
        <x:v/>
      </x:c>
      <x:c r="AB20" s="1264" t="s">
        <x:v>1308</x:v>
      </x:c>
      <x:c r="AC20" s="1260" t="s">
        <x:v>35</x:v>
      </x:c>
      <x:c r="AD20" s="1261">
        <x:v>3</x:v>
      </x:c>
      <x:c r="AE20" s="1262">
        <x:v>10</x:v>
      </x:c>
      <x:c r="AF20" s="1260">
        <x:v>5</x:v>
      </x:c>
      <x:c r="AG20" s="1261">
        <x:v>8</x:v>
      </x:c>
      <x:c r="AH20" s="1262">
        <x:v>0</x:v>
      </x:c>
      <x:c r="AI20" s="1261">
        <x:v>7</x:v>
      </x:c>
      <x:c r="AJ20" s="1262">
        <x:v>10</x:v>
      </x:c>
      <x:c r="AK20" s="1599" t="str">
        <x:f t="shared" si="6"/>
        <x:v/>
      </x:c>
      <x:c r="AL20" s="1600" t="str">
        <x:f t="shared" si="6"/>
        <x:v/>
      </x:c>
      <x:c r="AM20" s="1601">
        <x:v>5</x:v>
      </x:c>
      <x:c r="AN20" s="1260">
        <x:v>13</x:v>
      </x:c>
      <x:c r="AO20" s="1329">
        <x:v>4</x:v>
      </x:c>
      <x:c r="AP20" s="1327" t="str">
        <x:f t="shared" si="49"/>
        <x:v/>
      </x:c>
      <x:c r="AQ20" s="1602">
        <x:v>1.75</x:v>
      </x:c>
      <x:c r="AR20" s="1263" t="s">
        <x:v>1061</x:v>
      </x:c>
      <x:c r="AS20" s="1262" t="s">
        <x:v>1956</x:v>
      </x:c>
      <x:c r="AT20" s="1603" t="str">
        <x:f t="shared" si="7"/>
        <x:v/>
      </x:c>
      <x:c r="AU20" s="1410" t="s">
        <x:v>35</x:v>
      </x:c>
      <x:c r="AV20" s="2121">
        <x:v>51</x:v>
      </x:c>
      <x:c r="AW20" s="2122">
        <x:v>0</x:v>
      </x:c>
      <x:c r="AX20" s="1603" t="str">
        <x:f t="shared" si="10"/>
        <x:v/>
      </x:c>
      <x:c r="AY20" s="2123" t="s">
        <x:v>35</x:v>
      </x:c>
      <x:c r="AZ20" s="1328" t="str">
        <x:f t="shared" si="11"/>
        <x:v/>
      </x:c>
      <x:c r="BA20" s="1262" t="str">
        <x:f t="shared" si="12"/>
        <x:v/>
      </x:c>
      <x:c r="BB20" s="1603" t="str">
        <x:f t="shared" si="13"/>
        <x:v/>
      </x:c>
      <x:c r="BC20" s="1410" t="str">
        <x:f t="shared" si="13"/>
        <x:v/>
      </x:c>
      <x:c r="BD20" s="1328" t="str">
        <x:f t="shared" si="14"/>
        <x:v/>
      </x:c>
      <x:c r="BE20" s="1262" t="str">
        <x:f t="shared" si="15"/>
        <x:v/>
      </x:c>
      <x:c r="BF20" s="1603" t="str">
        <x:f t="shared" si="16"/>
        <x:v/>
      </x:c>
      <x:c r="BG20" s="1410" t="str">
        <x:f t="shared" si="16"/>
        <x:v/>
      </x:c>
      <x:c r="BH20" s="322"/>
      <x:c r="BJ20" s="1258" t="str">
        <x:f t="shared" si="60"/>
        <x:v>G47</x:v>
      </x:c>
      <x:c r="BK20" s="1256" t="b">
        <x:f t="shared" si="17"/>
        <x:v>0</x:v>
      </x:c>
      <x:c r="BL20" s="2002" t="b">
        <x:v>0</x:v>
      </x:c>
      <x:c r="BM20" s="1251">
        <x:f t="shared" si="18"/>
        <x:v>54</x:v>
      </x:c>
      <x:c r="BN20" s="1251" t="str">
        <x:f t="shared" si="19"/>
        <x:v>G</x:v>
      </x:c>
      <x:c r="BO20" s="1251">
        <x:f t="shared" si="20"/>
        <x:v>7</x:v>
      </x:c>
      <x:c r="BP20" s="1251">
        <x:f t="shared" si="21"/>
        <x:v>13.4</x:v>
      </x:c>
      <x:c r="BQ20" s="1251">
        <x:f t="shared" si="22"/>
        <x:v>3.9</x:v>
      </x:c>
      <x:c r="BR20" s="1251" t="b">
        <x:f t="shared" si="23"/>
        <x:v>1</x:v>
      </x:c>
      <x:c r="BS20" s="1252">
        <x:f t="shared" si="24"/>
        <x:v>7.75</x:v>
      </x:c>
      <x:c r="BT20" s="1252" t="str">
        <x:f t="shared" si="25"/>
        <x:v>Yes</x:v>
      </x:c>
      <x:c r="BU20" s="1252">
        <x:f t="shared" si="26"/>
        <x:v>7.75</x:v>
      </x:c>
      <x:c r="BV20" s="1252" t="str">
        <x:f t="shared" si="27"/>
        <x:v>Yes</x:v>
      </x:c>
      <x:c r="BW20" s="1253">
        <x:f t="shared" si="28"/>
        <x:v>19</x:v>
      </x:c>
      <x:c r="BX20" s="1254" t="str">
        <x:f t="shared" si="29"/>
        <x:v>G45</x:v>
      </x:c>
      <x:c r="BY20" s="1254" t="b">
        <x:f t="shared" si="30"/>
        <x:v>0</x:v>
      </x:c>
      <x:c r="BZ20" s="1253" t="b">
        <x:f t="shared" si="50"/>
        <x:v>0</x:v>
      </x:c>
      <x:c r="CB20" s="842"/>
      <x:c r="CC20" s="894"/>
      <x:c r="CD20" s="883"/>
      <x:c r="CE20" s="884"/>
      <x:c r="CF20" s="885"/>
      <x:c r="CG20" s="901"/>
      <x:c r="CH20" s="902"/>
      <x:c r="CI20" s="903"/>
      <x:c r="CJ20" s="902"/>
      <x:c r="CK20" s="903"/>
      <x:c r="CL20" s="904"/>
      <x:c r="CM20" s="944"/>
      <x:c r="CN20" s="901"/>
      <x:c r="CO20" s="902"/>
      <x:c r="CP20" s="903"/>
      <x:c r="CQ20" s="902"/>
      <x:c r="CR20" s="903"/>
      <x:c r="CS20" s="904"/>
      <x:c r="CT20" s="944"/>
      <x:c r="CU20" s="906"/>
      <x:c r="CV20" s="886"/>
      <x:c r="CW20" s="887"/>
      <x:c r="CX20" s="915"/>
      <x:c r="CY20" s="916"/>
      <x:c r="CZ20" s="932"/>
      <x:c r="DA20" s="933"/>
      <x:c r="DB20" s="932"/>
      <x:c r="DC20" s="933"/>
      <x:c r="DD20" s="1149"/>
      <x:c r="DE20" s="1150"/>
      <x:c r="DF20" s="173"/>
      <x:c r="DG20" s="173"/>
      <x:c r="DH20" s="842"/>
      <x:c r="DI20" s="843"/>
      <x:c r="DJ20" s="872"/>
      <x:c r="DK20" s="873"/>
      <x:c r="DL20" s="844"/>
      <x:c r="DM20" s="874"/>
      <x:c r="DN20" s="875"/>
      <x:c r="DO20" s="845"/>
      <x:c r="DP20" s="846"/>
      <x:c r="DQ20" s="847"/>
      <x:c r="DR20" s="847"/>
      <x:c r="DS20" s="848"/>
      <x:c r="DT20" s="836"/>
      <x:c r="DU20" s="837"/>
      <x:c r="DV20" s="849"/>
      <x:c r="DW20" s="850"/>
      <x:c r="DX20" s="851"/>
      <x:c r="DY20" s="852"/>
      <x:c r="DZ20" s="849"/>
      <x:c r="EA20" s="850"/>
      <x:c r="EB20" s="851"/>
      <x:c r="EC20" s="852"/>
      <x:c r="ED20" s="849"/>
      <x:c r="EE20" s="850"/>
      <x:c r="EF20" s="851"/>
      <x:c r="EG20" s="852"/>
      <x:c r="EH20" s="849"/>
      <x:c r="EI20" s="850"/>
      <x:c r="EJ20" s="851"/>
      <x:c r="EK20" s="853"/>
      <x:c r="EL20" s="798" t="str">
        <x:f t="shared" si="31"/>
        <x:v/>
      </x:c>
      <x:c r="EM20" s="799" t="str">
        <x:f t="shared" si="32"/>
        <x:v/>
      </x:c>
      <x:c r="EN20" s="800" t="str">
        <x:f t="shared" si="33"/>
        <x:v/>
      </x:c>
      <x:c r="EO20" s="1030" t="str">
        <x:f t="shared" si="34"/>
        <x:v/>
      </x:c>
      <x:c r="EP20" s="726" t="str">
        <x:f t="shared" si="35"/>
        <x:v/>
      </x:c>
      <x:c r="EQ20" s="727" t="str">
        <x:f t="shared" si="36"/>
        <x:v/>
      </x:c>
      <x:c r="ER20" s="961" t="str">
        <x:f t="shared" si="37"/>
        <x:v/>
      </x:c>
      <x:c r="ES20" s="962" t="str">
        <x:f t="shared" si="51"/>
        <x:v/>
      </x:c>
      <x:c r="ET20" s="963" t="str">
        <x:f t="shared" si="38"/>
        <x:v/>
      </x:c>
      <x:c r="EU20" s="964" t="str">
        <x:f t="shared" si="39"/>
        <x:v/>
      </x:c>
      <x:c r="EX20" s="1194" t="str">
        <x:f t="shared" si="52"/>
        <x:v>G45B</x:v>
      </x:c>
      <x:c r="EY20" s="1196" t="b">
        <x:f t="shared" ca="1" si="40"/>
        <x:v>1</x:v>
      </x:c>
      <x:c r="EZ20" s="1196">
        <x:f t="shared" si="53"/>
        <x:v>5</x:v>
      </x:c>
      <x:c r="FA20" s="1217" t="e">
        <x:f t="shared" si="61"/>
        <x:v>#N/A</x:v>
      </x:c>
      <x:c r="FB20" s="1218" t="e">
        <x:f t="shared" si="54"/>
        <x:v>#N/A</x:v>
      </x:c>
      <x:c r="FC20" s="1218">
        <x:f t="shared" si="41"/>
        <x:v>46</x:v>
      </x:c>
      <x:c r="FD20" s="1218">
        <x:f t="shared" si="42"/>
        <x:v>480</x:v>
      </x:c>
      <x:c r="FE20" s="1218">
        <x:f t="shared" si="43"/>
        <x:v>94</x:v>
      </x:c>
      <x:c r="FF20" s="1218">
        <x:f t="shared" si="55"/>
        <x:v>620</x:v>
      </x:c>
      <x:c r="FN20" s="969" t="b">
        <x:v>0</x:v>
      </x:c>
      <x:c r="FO20" s="969" t="b">
        <x:f t="shared" si="44"/>
        <x:v>1</x:v>
      </x:c>
      <x:c r="FP20" s="1815" t="b">
        <x:v>0</x:v>
      </x:c>
      <x:c r="FQ20" s="969" t="b">
        <x:f t="shared" si="56"/>
        <x:v>1</x:v>
      </x:c>
      <x:c r="FW20" s="2"/>
      <x:c r="FX20" s="2"/>
      <x:c r="FZ20" s="2"/>
      <x:c r="GA20" s="1935">
        <x:v>52</x:v>
      </x:c>
      <x:c r="GB20" s="1936">
        <x:v>0</x:v>
      </x:c>
      <x:c r="GC20" s="1937">
        <x:v>-0.25</x:v>
      </x:c>
      <x:c r="GD20" s="1938">
        <x:v>-0.25</x:v>
      </x:c>
      <x:c r="GE20" s="1939">
        <x:f t="shared" si="45"/>
        <x:v>0</x:v>
      </x:c>
      <x:c r="GF20" s="1940" t="str">
        <x:f t="shared" si="46"/>
        <x:v>G47</x:v>
      </x:c>
      <x:c r="GG20" s="1457"/>
      <x:c r="GH20" s="1459"/>
      <x:c r="GI20" s="1457"/>
      <x:c r="GJ20" s="1459"/>
      <x:c r="GK20" s="326">
        <x:f t="shared" si="47"/>
        <x:v>623.5</x:v>
      </x:c>
      <x:c r="GL20" s="326">
        <x:f t="shared" si="48"/>
        <x:v>623.5</x:v>
      </x:c>
      <x:c r="GM20" s="327">
        <x:f>IF(ABS(GK20-GL20)&gt;='Job Info.'!$L$22,ABS(GK20-GL20),0)</x:f>
        <x:v>0</x:v>
      </x:c>
      <x:c r="GZ20" s="171"/>
      <x:c r="HA20" s="1612" t="s">
        <x:v>1310</x:v>
      </x:c>
      <x:c r="HB20" s="1613">
        <x:v>14</x:v>
      </x:c>
      <x:c r="HC20" s="1613" t="s">
        <x:v>1954</x:v>
      </x:c>
      <x:c r="HD20" s="1614">
        <x:v>51</x:v>
      </x:c>
      <x:c r="HE20" s="1615">
        <x:v>11.5</x:v>
      </x:c>
      <x:c r="HF20" s="1613">
        <x:v>11.125</x:v>
      </x:c>
      <x:c r="HG20" s="1613">
        <x:v>0</x:v>
      </x:c>
      <x:c r="HH20" s="1613">
        <x:v>1.75</x:v>
      </x:c>
      <x:c r="HI20" s="1613" t="s">
        <x:v>114</x:v>
      </x:c>
      <x:c r="HJ20" s="1613">
        <x:v>0</x:v>
      </x:c>
      <x:c r="HK20" s="1613">
        <x:v>1.75</x:v>
      </x:c>
      <x:c r="HL20" s="1613" t="s">
        <x:v>114</x:v>
      </x:c>
      <x:c r="HM20" s="1613">
        <x:v>7.5</x:v>
      </x:c>
      <x:c r="HN20" s="1613">
        <x:v>7.5</x:v>
      </x:c>
      <x:c r="HO20" s="1613">
        <x:v>0</x:v>
      </x:c>
      <x:c r="HP20" s="1613">
        <x:v>6.75</x:v>
      </x:c>
      <x:c r="HQ20" s="1613">
        <x:v>0</x:v>
      </x:c>
      <x:c r="HR20" s="1613">
        <x:v>6.75</x:v>
      </x:c>
      <x:c r="HS20" s="1613">
        <x:v>0</x:v>
      </x:c>
      <x:c r="HT20" s="1613">
        <x:v>6.25</x:v>
      </x:c>
      <x:c r="HU20" s="1613">
        <x:v>0</x:v>
      </x:c>
      <x:c r="HV20" s="1613">
        <x:v>6.25</x:v>
      </x:c>
      <x:c r="HW20" s="1613">
        <x:v>5</x:v>
      </x:c>
      <x:c r="HX20" s="1613" t="s">
        <x:v>117</x:v>
      </x:c>
      <x:c r="HY20" s="1617" t="s">
        <x:v>117</x:v>
      </x:c>
      <x:c r="HZ20" s="1617" t="s">
        <x:v>2042</x:v>
      </x:c>
      <x:c r="IA20" s="1617" t="s">
        <x:v>117</x:v>
      </x:c>
      <x:c r="IB20" s="1617"/>
      <x:c r="IC20" s="1617"/>
      <x:c r="ID20" s="1632"/>
      <x:c r="IE20" s="1612" t="s">
        <x:v>1308</x:v>
      </x:c>
      <x:c r="IF20" s="1613" t="s">
        <x:v>35</x:v>
      </x:c>
      <x:c r="IG20" s="1614">
        <x:v>3</x:v>
      </x:c>
      <x:c r="IH20" s="1615">
        <x:v>10</x:v>
      </x:c>
      <x:c r="II20" s="1613">
        <x:v>5</x:v>
      </x:c>
      <x:c r="IJ20" s="1614">
        <x:v>8</x:v>
      </x:c>
      <x:c r="IK20" s="1615">
        <x:v>0</x:v>
      </x:c>
      <x:c r="IL20" s="1613">
        <x:v>7</x:v>
      </x:c>
      <x:c r="IM20" s="1613">
        <x:v>10</x:v>
      </x:c>
      <x:c r="IN20" s="1613" t="s">
        <x:v>117</x:v>
      </x:c>
      <x:c r="IO20" s="1613" t="s">
        <x:v>117</x:v>
      </x:c>
      <x:c r="IP20" s="1613">
        <x:v>5</x:v>
      </x:c>
      <x:c r="IQ20" s="1613">
        <x:v>13</x:v>
      </x:c>
      <x:c r="IR20" s="1613">
        <x:v>4</x:v>
      </x:c>
      <x:c r="IS20" s="1614" t="s">
        <x:v>117</x:v>
      </x:c>
      <x:c r="IT20" s="1615">
        <x:v>1.75</x:v>
      </x:c>
      <x:c r="IU20" s="1613" t="s">
        <x:v>1061</x:v>
      </x:c>
      <x:c r="IV20" s="1613" t="s">
        <x:v>1956</x:v>
      </x:c>
      <x:c r="IW20" s="1614" t="s">
        <x:v>117</x:v>
      </x:c>
      <x:c r="IX20" s="1615" t="s">
        <x:v>35</x:v>
      </x:c>
      <x:c r="IY20" s="1613" t="s">
        <x:v>117</x:v>
      </x:c>
      <x:c r="IZ20" s="1613" t="s">
        <x:v>117</x:v>
      </x:c>
      <x:c r="JA20" s="1614" t="s">
        <x:v>117</x:v>
      </x:c>
      <x:c r="JB20" s="1615" t="s">
        <x:v>117</x:v>
      </x:c>
      <x:c r="JC20" s="1613" t="s">
        <x:v>117</x:v>
      </x:c>
      <x:c r="JD20" s="1613" t="s">
        <x:v>117</x:v>
      </x:c>
      <x:c r="JE20" s="1614" t="s">
        <x:v>117</x:v>
      </x:c>
      <x:c r="JF20" s="1615" t="s">
        <x:v>117</x:v>
      </x:c>
      <x:c r="JG20" s="1613" t="s">
        <x:v>117</x:v>
      </x:c>
      <x:c r="JH20" s="1613" t="s">
        <x:v>117</x:v>
      </x:c>
      <x:c r="JI20" s="1613" t="s">
        <x:v>117</x:v>
      </x:c>
      <x:c r="JJ20" s="1616" t="s">
        <x:v>117</x:v>
      </x:c>
      <x:c r="JK20" s="1613">
        <x:v>1</x:v>
      </x:c>
      <x:c r="JL20" s="1521">
        <x:f t="shared" ca="1" si="62"/>
        <x:v>1</x:v>
      </x:c>
    </x:row>
    <x:row r="21" spans="1:272" ht="12.6" customHeight="1" x14ac:dyDescent="0.25">
      <x:c r="A21" s="1583" t="s">
        <x:v>1311</x:v>
      </x:c>
      <x:c r="B21" s="1584">
        <x:v>3</x:v>
      </x:c>
      <x:c r="C21" s="1585" t="s">
        <x:v>1954</x:v>
      </x:c>
      <x:c r="D21" s="1586">
        <x:v>51</x:v>
      </x:c>
      <x:c r="E21" s="1587">
        <x:v>11.5</x:v>
      </x:c>
      <x:c r="F21" s="1588">
        <x:v>11.125</x:v>
      </x:c>
      <x:c r="G21" s="1589">
        <x:v>0</x:v>
      </x:c>
      <x:c r="H21" s="1590">
        <x:v>1.75</x:v>
      </x:c>
      <x:c r="I21" s="1591" t="s">
        <x:v>114</x:v>
      </x:c>
      <x:c r="J21" s="1586">
        <x:v>0</x:v>
      </x:c>
      <x:c r="K21" s="1590">
        <x:v>1.75</x:v>
      </x:c>
      <x:c r="L21" s="1592" t="s">
        <x:v>114</x:v>
      </x:c>
      <x:c r="M21" s="1593">
        <x:v>7.5</x:v>
      </x:c>
      <x:c r="N21" s="1594">
        <x:v>7.5</x:v>
      </x:c>
      <x:c r="O21" s="1589">
        <x:v>0</x:v>
      </x:c>
      <x:c r="P21" s="1590">
        <x:v>6.75</x:v>
      </x:c>
      <x:c r="Q21" s="1586">
        <x:v>0</x:v>
      </x:c>
      <x:c r="R21" s="1587">
        <x:v>6.75</x:v>
      </x:c>
      <x:c r="S21" s="1595">
        <x:v>0</x:v>
      </x:c>
      <x:c r="T21" s="1590">
        <x:v>6.25</x:v>
      </x:c>
      <x:c r="U21" s="1586">
        <x:v>0</x:v>
      </x:c>
      <x:c r="V21" s="1590">
        <x:v>6.25</x:v>
      </x:c>
      <x:c r="W21" s="1594">
        <x:v>5</x:v>
      </x:c>
      <x:c r="X21" s="1596" t="str">
        <x:f t="shared" si="3"/>
        <x:v/>
      </x:c>
      <x:c r="Y21" s="1597" t="str">
        <x:f t="shared" si="4"/>
        <x:v/>
      </x:c>
      <x:c r="Z21" s="2210" t="s">
        <x:v>2324</x:v>
      </x:c>
      <x:c r="AA21" s="1605" t="str">
        <x:f t="shared" si="5"/>
        <x:v/>
      </x:c>
      <x:c r="AB21" s="1264" t="s">
        <x:v>1309</x:v>
      </x:c>
      <x:c r="AC21" s="1260" t="s">
        <x:v>35</x:v>
      </x:c>
      <x:c r="AD21" s="1261">
        <x:v>3</x:v>
      </x:c>
      <x:c r="AE21" s="1262">
        <x:v>10</x:v>
      </x:c>
      <x:c r="AF21" s="1260">
        <x:v>5</x:v>
      </x:c>
      <x:c r="AG21" s="1261">
        <x:v>8</x:v>
      </x:c>
      <x:c r="AH21" s="1262">
        <x:v>0</x:v>
      </x:c>
      <x:c r="AI21" s="1261">
        <x:v>7</x:v>
      </x:c>
      <x:c r="AJ21" s="1262">
        <x:v>10</x:v>
      </x:c>
      <x:c r="AK21" s="1599" t="str">
        <x:f t="shared" si="6"/>
        <x:v/>
      </x:c>
      <x:c r="AL21" s="1600" t="str">
        <x:f t="shared" si="6"/>
        <x:v/>
      </x:c>
      <x:c r="AM21" s="1601">
        <x:v>5</x:v>
      </x:c>
      <x:c r="AN21" s="1260">
        <x:v>13</x:v>
      </x:c>
      <x:c r="AO21" s="1329">
        <x:v>4</x:v>
      </x:c>
      <x:c r="AP21" s="1327" t="str">
        <x:f t="shared" si="49"/>
        <x:v/>
      </x:c>
      <x:c r="AQ21" s="1602">
        <x:v>1.75</x:v>
      </x:c>
      <x:c r="AR21" s="1263" t="s">
        <x:v>1061</x:v>
      </x:c>
      <x:c r="AS21" s="1262" t="s">
        <x:v>1956</x:v>
      </x:c>
      <x:c r="AT21" s="1603" t="str">
        <x:f t="shared" si="7"/>
        <x:v/>
      </x:c>
      <x:c r="AU21" s="1410" t="s">
        <x:v>35</x:v>
      </x:c>
      <x:c r="AV21" s="2121">
        <x:v>51</x:v>
      </x:c>
      <x:c r="AW21" s="2122">
        <x:v>0</x:v>
      </x:c>
      <x:c r="AX21" s="1603" t="str">
        <x:f t="shared" si="10"/>
        <x:v/>
      </x:c>
      <x:c r="AY21" s="2123" t="s">
        <x:v>35</x:v>
      </x:c>
      <x:c r="AZ21" s="1328" t="str">
        <x:f t="shared" si="11"/>
        <x:v/>
      </x:c>
      <x:c r="BA21" s="1262" t="str">
        <x:f t="shared" si="12"/>
        <x:v/>
      </x:c>
      <x:c r="BB21" s="1603" t="str">
        <x:f t="shared" si="13"/>
        <x:v/>
      </x:c>
      <x:c r="BC21" s="1410" t="str">
        <x:f t="shared" si="13"/>
        <x:v/>
      </x:c>
      <x:c r="BD21" s="1328" t="str">
        <x:f t="shared" si="14"/>
        <x:v/>
      </x:c>
      <x:c r="BE21" s="1262" t="str">
        <x:f t="shared" si="15"/>
        <x:v/>
      </x:c>
      <x:c r="BF21" s="1603" t="str">
        <x:f t="shared" si="16"/>
        <x:v/>
      </x:c>
      <x:c r="BG21" s="1410" t="str">
        <x:f t="shared" si="16"/>
        <x:v/>
      </x:c>
      <x:c r="BH21" s="322"/>
      <x:c r="BJ21" s="1258" t="str">
        <x:f t="shared" si="60"/>
        <x:v>G48</x:v>
      </x:c>
      <x:c r="BK21" s="1256" t="b">
        <x:f t="shared" si="17"/>
        <x:v>0</x:v>
      </x:c>
      <x:c r="BL21" s="2002" t="b">
        <x:v>0</x:v>
      </x:c>
      <x:c r="BM21" s="1251">
        <x:f t="shared" si="18"/>
        <x:v>54</x:v>
      </x:c>
      <x:c r="BN21" s="1251" t="str">
        <x:f t="shared" si="19"/>
        <x:v>G</x:v>
      </x:c>
      <x:c r="BO21" s="1251">
        <x:f t="shared" si="20"/>
        <x:v>7</x:v>
      </x:c>
      <x:c r="BP21" s="1251">
        <x:f t="shared" si="21"/>
        <x:v>13.4</x:v>
      </x:c>
      <x:c r="BQ21" s="1251">
        <x:f t="shared" si="22"/>
        <x:v>3.9</x:v>
      </x:c>
      <x:c r="BR21" s="1251" t="b">
        <x:f t="shared" si="23"/>
        <x:v>1</x:v>
      </x:c>
      <x:c r="BS21" s="1252">
        <x:f t="shared" si="24"/>
        <x:v>7.75</x:v>
      </x:c>
      <x:c r="BT21" s="1252" t="str">
        <x:f t="shared" si="25"/>
        <x:v>Yes</x:v>
      </x:c>
      <x:c r="BU21" s="1252">
        <x:f t="shared" si="26"/>
        <x:v>7.75</x:v>
      </x:c>
      <x:c r="BV21" s="1252" t="str">
        <x:f t="shared" si="27"/>
        <x:v>Yes</x:v>
      </x:c>
      <x:c r="BW21" s="1253">
        <x:f t="shared" si="28"/>
        <x:v>19</x:v>
      </x:c>
      <x:c r="BX21" s="1254" t="str">
        <x:f t="shared" si="29"/>
        <x:v>G46</x:v>
      </x:c>
      <x:c r="BY21" s="1254" t="b">
        <x:f t="shared" si="30"/>
        <x:v>0</x:v>
      </x:c>
      <x:c r="BZ21" s="1253" t="b">
        <x:f t="shared" si="50"/>
        <x:v>0</x:v>
      </x:c>
      <x:c r="CB21" s="842"/>
      <x:c r="CC21" s="894"/>
      <x:c r="CD21" s="883"/>
      <x:c r="CE21" s="884"/>
      <x:c r="CF21" s="885"/>
      <x:c r="CG21" s="901"/>
      <x:c r="CH21" s="902"/>
      <x:c r="CI21" s="903"/>
      <x:c r="CJ21" s="902"/>
      <x:c r="CK21" s="903"/>
      <x:c r="CL21" s="904"/>
      <x:c r="CM21" s="944"/>
      <x:c r="CN21" s="901"/>
      <x:c r="CO21" s="902"/>
      <x:c r="CP21" s="903"/>
      <x:c r="CQ21" s="902"/>
      <x:c r="CR21" s="903"/>
      <x:c r="CS21" s="904"/>
      <x:c r="CT21" s="944"/>
      <x:c r="CU21" s="906"/>
      <x:c r="CV21" s="886"/>
      <x:c r="CW21" s="887"/>
      <x:c r="CX21" s="915"/>
      <x:c r="CY21" s="916"/>
      <x:c r="CZ21" s="932"/>
      <x:c r="DA21" s="933"/>
      <x:c r="DB21" s="932"/>
      <x:c r="DC21" s="933"/>
      <x:c r="DD21" s="1149"/>
      <x:c r="DE21" s="1150"/>
      <x:c r="DF21" s="173"/>
      <x:c r="DG21" s="173"/>
      <x:c r="DH21" s="842"/>
      <x:c r="DI21" s="843"/>
      <x:c r="DJ21" s="872"/>
      <x:c r="DK21" s="873"/>
      <x:c r="DL21" s="844"/>
      <x:c r="DM21" s="874"/>
      <x:c r="DN21" s="875"/>
      <x:c r="DO21" s="845"/>
      <x:c r="DP21" s="846"/>
      <x:c r="DQ21" s="847"/>
      <x:c r="DR21" s="847"/>
      <x:c r="DS21" s="848"/>
      <x:c r="DT21" s="836"/>
      <x:c r="DU21" s="837"/>
      <x:c r="DV21" s="849"/>
      <x:c r="DW21" s="850"/>
      <x:c r="DX21" s="851"/>
      <x:c r="DY21" s="852"/>
      <x:c r="DZ21" s="849"/>
      <x:c r="EA21" s="850"/>
      <x:c r="EB21" s="851"/>
      <x:c r="EC21" s="852"/>
      <x:c r="ED21" s="849"/>
      <x:c r="EE21" s="850"/>
      <x:c r="EF21" s="851"/>
      <x:c r="EG21" s="852"/>
      <x:c r="EH21" s="849"/>
      <x:c r="EI21" s="850"/>
      <x:c r="EJ21" s="851"/>
      <x:c r="EK21" s="853"/>
      <x:c r="EL21" s="798" t="str">
        <x:f t="shared" si="31"/>
        <x:v/>
      </x:c>
      <x:c r="EM21" s="799" t="str">
        <x:f t="shared" si="32"/>
        <x:v/>
      </x:c>
      <x:c r="EN21" s="800" t="str">
        <x:f t="shared" si="33"/>
        <x:v/>
      </x:c>
      <x:c r="EO21" s="1030" t="str">
        <x:f t="shared" si="34"/>
        <x:v/>
      </x:c>
      <x:c r="EP21" s="726" t="str">
        <x:f t="shared" si="35"/>
        <x:v/>
      </x:c>
      <x:c r="EQ21" s="727" t="str">
        <x:f t="shared" si="36"/>
        <x:v/>
      </x:c>
      <x:c r="ER21" s="961" t="str">
        <x:f t="shared" si="37"/>
        <x:v/>
      </x:c>
      <x:c r="ES21" s="962" t="str">
        <x:f t="shared" si="51"/>
        <x:v/>
      </x:c>
      <x:c r="ET21" s="963" t="str">
        <x:f t="shared" si="38"/>
        <x:v/>
      </x:c>
      <x:c r="EU21" s="964" t="str">
        <x:f t="shared" si="39"/>
        <x:v/>
      </x:c>
      <x:c r="EX21" s="1194" t="str">
        <x:f t="shared" si="52"/>
        <x:v>G46B</x:v>
      </x:c>
      <x:c r="EY21" s="1196" t="b">
        <x:f t="shared" ca="1" si="40"/>
        <x:v>1</x:v>
      </x:c>
      <x:c r="EZ21" s="1196">
        <x:f t="shared" si="53"/>
        <x:v>5</x:v>
      </x:c>
      <x:c r="FA21" s="1217" t="e">
        <x:f t="shared" si="61"/>
        <x:v>#N/A</x:v>
      </x:c>
      <x:c r="FB21" s="1218" t="e">
        <x:f t="shared" si="54"/>
        <x:v>#N/A</x:v>
      </x:c>
      <x:c r="FC21" s="1218">
        <x:f t="shared" si="41"/>
        <x:v>46</x:v>
      </x:c>
      <x:c r="FD21" s="1218">
        <x:f t="shared" si="42"/>
        <x:v>480</x:v>
      </x:c>
      <x:c r="FE21" s="1218">
        <x:f t="shared" si="43"/>
        <x:v>94</x:v>
      </x:c>
      <x:c r="FF21" s="1218">
        <x:f t="shared" si="55"/>
        <x:v>620</x:v>
      </x:c>
      <x:c r="FN21" s="969" t="b">
        <x:v>0</x:v>
      </x:c>
      <x:c r="FO21" s="969" t="b">
        <x:f t="shared" si="44"/>
        <x:v>1</x:v>
      </x:c>
      <x:c r="FP21" s="969" t="b">
        <x:v>0</x:v>
      </x:c>
      <x:c r="FQ21" s="969" t="b">
        <x:f t="shared" si="56"/>
        <x:v>1</x:v>
      </x:c>
      <x:c r="FW21" s="26"/>
      <x:c r="FX21" s="26"/>
      <x:c r="FZ21" s="26"/>
      <x:c r="GA21" s="1935">
        <x:v>52</x:v>
      </x:c>
      <x:c r="GB21" s="1936">
        <x:v>0</x:v>
      </x:c>
      <x:c r="GC21" s="1937">
        <x:v>-0.25</x:v>
      </x:c>
      <x:c r="GD21" s="1938">
        <x:v>-0.25</x:v>
      </x:c>
      <x:c r="GE21" s="1939">
        <x:f t="shared" si="45"/>
        <x:v>0</x:v>
      </x:c>
      <x:c r="GF21" s="1940" t="str">
        <x:f t="shared" si="46"/>
        <x:v>G48</x:v>
      </x:c>
      <x:c r="GG21" s="1457"/>
      <x:c r="GH21" s="1459"/>
      <x:c r="GI21" s="1457"/>
      <x:c r="GJ21" s="1459"/>
      <x:c r="GK21" s="326">
        <x:f t="shared" si="47"/>
        <x:v>623.5</x:v>
      </x:c>
      <x:c r="GL21" s="326">
        <x:f t="shared" si="48"/>
        <x:v>623.5</x:v>
      </x:c>
      <x:c r="GM21" s="327">
        <x:f>IF(ABS(GK21-GL21)&gt;='Job Info.'!$L$22,ABS(GK21-GL21),0)</x:f>
        <x:v>0</x:v>
      </x:c>
      <x:c r="HA21" s="1612" t="s">
        <x:v>1311</x:v>
      </x:c>
      <x:c r="HB21" s="1613">
        <x:v>3</x:v>
      </x:c>
      <x:c r="HC21" s="1613" t="s">
        <x:v>1954</x:v>
      </x:c>
      <x:c r="HD21" s="1614">
        <x:v>51</x:v>
      </x:c>
      <x:c r="HE21" s="1615">
        <x:v>11.5</x:v>
      </x:c>
      <x:c r="HF21" s="1613">
        <x:v>11.125</x:v>
      </x:c>
      <x:c r="HG21" s="1613">
        <x:v>0</x:v>
      </x:c>
      <x:c r="HH21" s="1613">
        <x:v>1.75</x:v>
      </x:c>
      <x:c r="HI21" s="1613" t="s">
        <x:v>114</x:v>
      </x:c>
      <x:c r="HJ21" s="1613">
        <x:v>0</x:v>
      </x:c>
      <x:c r="HK21" s="1613">
        <x:v>1.75</x:v>
      </x:c>
      <x:c r="HL21" s="1613" t="s">
        <x:v>114</x:v>
      </x:c>
      <x:c r="HM21" s="1613">
        <x:v>7.5</x:v>
      </x:c>
      <x:c r="HN21" s="1613">
        <x:v>7.5</x:v>
      </x:c>
      <x:c r="HO21" s="1613">
        <x:v>0</x:v>
      </x:c>
      <x:c r="HP21" s="1613">
        <x:v>6.75</x:v>
      </x:c>
      <x:c r="HQ21" s="1613">
        <x:v>0</x:v>
      </x:c>
      <x:c r="HR21" s="1613">
        <x:v>6.75</x:v>
      </x:c>
      <x:c r="HS21" s="1613">
        <x:v>0</x:v>
      </x:c>
      <x:c r="HT21" s="1613">
        <x:v>6.25</x:v>
      </x:c>
      <x:c r="HU21" s="1613">
        <x:v>0</x:v>
      </x:c>
      <x:c r="HV21" s="1613">
        <x:v>6.25</x:v>
      </x:c>
      <x:c r="HW21" s="1613">
        <x:v>5</x:v>
      </x:c>
      <x:c r="HX21" s="1613" t="s">
        <x:v>117</x:v>
      </x:c>
      <x:c r="HY21" s="1617" t="s">
        <x:v>117</x:v>
      </x:c>
      <x:c r="HZ21" s="1617" t="s">
        <x:v>2055</x:v>
      </x:c>
      <x:c r="IA21" s="1617" t="s">
        <x:v>117</x:v>
      </x:c>
      <x:c r="IB21" s="1617"/>
      <x:c r="IC21" s="1617"/>
      <x:c r="ID21" s="1632"/>
      <x:c r="IE21" s="1612" t="s">
        <x:v>1309</x:v>
      </x:c>
      <x:c r="IF21" s="1613" t="s">
        <x:v>35</x:v>
      </x:c>
      <x:c r="IG21" s="1614">
        <x:v>3</x:v>
      </x:c>
      <x:c r="IH21" s="1615">
        <x:v>10</x:v>
      </x:c>
      <x:c r="II21" s="1613">
        <x:v>5</x:v>
      </x:c>
      <x:c r="IJ21" s="1614">
        <x:v>8</x:v>
      </x:c>
      <x:c r="IK21" s="1615">
        <x:v>0</x:v>
      </x:c>
      <x:c r="IL21" s="1613">
        <x:v>7</x:v>
      </x:c>
      <x:c r="IM21" s="1613">
        <x:v>10</x:v>
      </x:c>
      <x:c r="IN21" s="1613" t="s">
        <x:v>117</x:v>
      </x:c>
      <x:c r="IO21" s="1613" t="s">
        <x:v>117</x:v>
      </x:c>
      <x:c r="IP21" s="1613">
        <x:v>5</x:v>
      </x:c>
      <x:c r="IQ21" s="1613">
        <x:v>13</x:v>
      </x:c>
      <x:c r="IR21" s="1613">
        <x:v>4</x:v>
      </x:c>
      <x:c r="IS21" s="1614" t="s">
        <x:v>117</x:v>
      </x:c>
      <x:c r="IT21" s="1615">
        <x:v>1.75</x:v>
      </x:c>
      <x:c r="IU21" s="1613" t="s">
        <x:v>1061</x:v>
      </x:c>
      <x:c r="IV21" s="1613" t="s">
        <x:v>1956</x:v>
      </x:c>
      <x:c r="IW21" s="1614" t="s">
        <x:v>117</x:v>
      </x:c>
      <x:c r="IX21" s="1615" t="s">
        <x:v>35</x:v>
      </x:c>
      <x:c r="IY21" s="1613" t="s">
        <x:v>117</x:v>
      </x:c>
      <x:c r="IZ21" s="1613" t="s">
        <x:v>117</x:v>
      </x:c>
      <x:c r="JA21" s="1614" t="s">
        <x:v>117</x:v>
      </x:c>
      <x:c r="JB21" s="1615" t="s">
        <x:v>117</x:v>
      </x:c>
      <x:c r="JC21" s="1613" t="s">
        <x:v>117</x:v>
      </x:c>
      <x:c r="JD21" s="1613" t="s">
        <x:v>117</x:v>
      </x:c>
      <x:c r="JE21" s="1614" t="s">
        <x:v>117</x:v>
      </x:c>
      <x:c r="JF21" s="1615" t="s">
        <x:v>117</x:v>
      </x:c>
      <x:c r="JG21" s="1613" t="s">
        <x:v>117</x:v>
      </x:c>
      <x:c r="JH21" s="1613" t="s">
        <x:v>117</x:v>
      </x:c>
      <x:c r="JI21" s="1613" t="s">
        <x:v>117</x:v>
      </x:c>
      <x:c r="JJ21" s="1616" t="s">
        <x:v>117</x:v>
      </x:c>
      <x:c r="JK21" s="1613">
        <x:v>1</x:v>
      </x:c>
      <x:c r="JL21" s="1521">
        <x:f t="shared" ca="1" si="62"/>
        <x:v>1</x:v>
      </x:c>
    </x:row>
    <x:row r="22" spans="1:272" ht="12.6" customHeight="1" x14ac:dyDescent="0.25">
      <x:c r="A22" s="1583" t="s">
        <x:v>1312</x:v>
      </x:c>
      <x:c r="B22" s="1584">
        <x:v>6</x:v>
      </x:c>
      <x:c r="C22" s="1585" t="s">
        <x:v>1954</x:v>
      </x:c>
      <x:c r="D22" s="1586">
        <x:v>51</x:v>
      </x:c>
      <x:c r="E22" s="1587">
        <x:v>11.5</x:v>
      </x:c>
      <x:c r="F22" s="1588">
        <x:v>11.125</x:v>
      </x:c>
      <x:c r="G22" s="1589">
        <x:v>0</x:v>
      </x:c>
      <x:c r="H22" s="1590">
        <x:v>1.75</x:v>
      </x:c>
      <x:c r="I22" s="1591" t="s">
        <x:v>114</x:v>
      </x:c>
      <x:c r="J22" s="1586">
        <x:v>0</x:v>
      </x:c>
      <x:c r="K22" s="1590">
        <x:v>1.75</x:v>
      </x:c>
      <x:c r="L22" s="1592" t="s">
        <x:v>114</x:v>
      </x:c>
      <x:c r="M22" s="1593">
        <x:v>7.5</x:v>
      </x:c>
      <x:c r="N22" s="1594">
        <x:v>7.5</x:v>
      </x:c>
      <x:c r="O22" s="1589">
        <x:v>0</x:v>
      </x:c>
      <x:c r="P22" s="1590">
        <x:v>6.75</x:v>
      </x:c>
      <x:c r="Q22" s="1586">
        <x:v>0</x:v>
      </x:c>
      <x:c r="R22" s="1587">
        <x:v>6.75</x:v>
      </x:c>
      <x:c r="S22" s="1595">
        <x:v>0</x:v>
      </x:c>
      <x:c r="T22" s="1590">
        <x:v>6.25</x:v>
      </x:c>
      <x:c r="U22" s="1586">
        <x:v>0</x:v>
      </x:c>
      <x:c r="V22" s="1590">
        <x:v>6.25</x:v>
      </x:c>
      <x:c r="W22" s="1594">
        <x:v>5</x:v>
      </x:c>
      <x:c r="X22" s="1596" t="str">
        <x:f t="shared" si="3"/>
        <x:v/>
      </x:c>
      <x:c r="Y22" s="1597" t="str">
        <x:f t="shared" si="4"/>
        <x:v/>
      </x:c>
      <x:c r="Z22" s="2210" t="s">
        <x:v>2304</x:v>
      </x:c>
      <x:c r="AA22" s="1605" t="str">
        <x:f t="shared" si="5"/>
        <x:v/>
      </x:c>
      <x:c r="AB22" s="1264" t="s">
        <x:v>1310</x:v>
      </x:c>
      <x:c r="AC22" s="1260" t="s">
        <x:v>35</x:v>
      </x:c>
      <x:c r="AD22" s="1261">
        <x:v>3</x:v>
      </x:c>
      <x:c r="AE22" s="1262">
        <x:v>10</x:v>
      </x:c>
      <x:c r="AF22" s="1260">
        <x:v>5</x:v>
      </x:c>
      <x:c r="AG22" s="1261">
        <x:v>8</x:v>
      </x:c>
      <x:c r="AH22" s="1262">
        <x:v>0</x:v>
      </x:c>
      <x:c r="AI22" s="1261">
        <x:v>7</x:v>
      </x:c>
      <x:c r="AJ22" s="1262">
        <x:v>10</x:v>
      </x:c>
      <x:c r="AK22" s="1599" t="str">
        <x:f t="shared" si="6"/>
        <x:v/>
      </x:c>
      <x:c r="AL22" s="1600" t="str">
        <x:f t="shared" si="6"/>
        <x:v/>
      </x:c>
      <x:c r="AM22" s="1601">
        <x:v>5</x:v>
      </x:c>
      <x:c r="AN22" s="1260">
        <x:v>13</x:v>
      </x:c>
      <x:c r="AO22" s="1329">
        <x:v>4</x:v>
      </x:c>
      <x:c r="AP22" s="1327" t="str">
        <x:f t="shared" si="49"/>
        <x:v/>
      </x:c>
      <x:c r="AQ22" s="1602">
        <x:v>1.75</x:v>
      </x:c>
      <x:c r="AR22" s="1263" t="s">
        <x:v>1061</x:v>
      </x:c>
      <x:c r="AS22" s="1262" t="s">
        <x:v>1956</x:v>
      </x:c>
      <x:c r="AT22" s="1603" t="str">
        <x:f t="shared" si="7"/>
        <x:v/>
      </x:c>
      <x:c r="AU22" s="1410" t="s">
        <x:v>35</x:v>
      </x:c>
      <x:c r="AV22" s="2121">
        <x:v>51</x:v>
      </x:c>
      <x:c r="AW22" s="2122">
        <x:v>0</x:v>
      </x:c>
      <x:c r="AX22" s="1603" t="str">
        <x:f t="shared" si="10"/>
        <x:v/>
      </x:c>
      <x:c r="AY22" s="2123" t="s">
        <x:v>35</x:v>
      </x:c>
      <x:c r="AZ22" s="1328" t="str">
        <x:f t="shared" si="11"/>
        <x:v/>
      </x:c>
      <x:c r="BA22" s="1262" t="str">
        <x:f t="shared" si="12"/>
        <x:v/>
      </x:c>
      <x:c r="BB22" s="1603" t="str">
        <x:f t="shared" si="13"/>
        <x:v/>
      </x:c>
      <x:c r="BC22" s="1410" t="str">
        <x:f t="shared" si="13"/>
        <x:v/>
      </x:c>
      <x:c r="BD22" s="1328" t="str">
        <x:f t="shared" si="14"/>
        <x:v/>
      </x:c>
      <x:c r="BE22" s="1262" t="str">
        <x:f t="shared" si="15"/>
        <x:v/>
      </x:c>
      <x:c r="BF22" s="1603" t="str">
        <x:f t="shared" si="16"/>
        <x:v/>
      </x:c>
      <x:c r="BG22" s="1410" t="str">
        <x:f t="shared" si="16"/>
        <x:v/>
      </x:c>
      <x:c r="BH22" s="322"/>
      <x:c r="BJ22" s="1258" t="str">
        <x:f t="shared" si="60"/>
        <x:v>G49</x:v>
      </x:c>
      <x:c r="BK22" s="1256" t="b">
        <x:f t="shared" si="17"/>
        <x:v>0</x:v>
      </x:c>
      <x:c r="BL22" s="2002" t="b">
        <x:v>0</x:v>
      </x:c>
      <x:c r="BM22" s="1251">
        <x:f t="shared" si="18"/>
        <x:v>54</x:v>
      </x:c>
      <x:c r="BN22" s="1251" t="str">
        <x:f t="shared" si="19"/>
        <x:v>G</x:v>
      </x:c>
      <x:c r="BO22" s="1251">
        <x:f t="shared" si="20"/>
        <x:v>7</x:v>
      </x:c>
      <x:c r="BP22" s="1251">
        <x:f t="shared" si="21"/>
        <x:v>13.4</x:v>
      </x:c>
      <x:c r="BQ22" s="1251">
        <x:f t="shared" si="22"/>
        <x:v>3.9</x:v>
      </x:c>
      <x:c r="BR22" s="1251" t="b">
        <x:f t="shared" si="23"/>
        <x:v>1</x:v>
      </x:c>
      <x:c r="BS22" s="1252">
        <x:f t="shared" si="24"/>
        <x:v>7.75</x:v>
      </x:c>
      <x:c r="BT22" s="1252" t="str">
        <x:f t="shared" si="25"/>
        <x:v>Yes</x:v>
      </x:c>
      <x:c r="BU22" s="1252">
        <x:f t="shared" si="26"/>
        <x:v>7.75</x:v>
      </x:c>
      <x:c r="BV22" s="1252" t="str">
        <x:f t="shared" si="27"/>
        <x:v>Yes</x:v>
      </x:c>
      <x:c r="BW22" s="1253">
        <x:f t="shared" si="28"/>
        <x:v>19</x:v>
      </x:c>
      <x:c r="BX22" s="1254" t="str">
        <x:f t="shared" si="29"/>
        <x:v>G47</x:v>
      </x:c>
      <x:c r="BY22" s="1254" t="b">
        <x:f t="shared" si="30"/>
        <x:v>0</x:v>
      </x:c>
      <x:c r="BZ22" s="1253" t="b">
        <x:f t="shared" si="50"/>
        <x:v>0</x:v>
      </x:c>
      <x:c r="CB22" s="842"/>
      <x:c r="CC22" s="894"/>
      <x:c r="CD22" s="883"/>
      <x:c r="CE22" s="884"/>
      <x:c r="CF22" s="885"/>
      <x:c r="CG22" s="901"/>
      <x:c r="CH22" s="902"/>
      <x:c r="CI22" s="903"/>
      <x:c r="CJ22" s="902"/>
      <x:c r="CK22" s="903"/>
      <x:c r="CL22" s="904"/>
      <x:c r="CM22" s="944"/>
      <x:c r="CN22" s="901"/>
      <x:c r="CO22" s="902"/>
      <x:c r="CP22" s="903"/>
      <x:c r="CQ22" s="902"/>
      <x:c r="CR22" s="903"/>
      <x:c r="CS22" s="904"/>
      <x:c r="CT22" s="944"/>
      <x:c r="CU22" s="906"/>
      <x:c r="CV22" s="886"/>
      <x:c r="CW22" s="887"/>
      <x:c r="CX22" s="915"/>
      <x:c r="CY22" s="916"/>
      <x:c r="CZ22" s="932"/>
      <x:c r="DA22" s="933"/>
      <x:c r="DB22" s="932"/>
      <x:c r="DC22" s="933"/>
      <x:c r="DD22" s="1149"/>
      <x:c r="DE22" s="1150"/>
      <x:c r="DF22" s="173"/>
      <x:c r="DG22" s="173"/>
      <x:c r="DH22" s="842"/>
      <x:c r="DI22" s="843"/>
      <x:c r="DJ22" s="872"/>
      <x:c r="DK22" s="873"/>
      <x:c r="DL22" s="844"/>
      <x:c r="DM22" s="874"/>
      <x:c r="DN22" s="875"/>
      <x:c r="DO22" s="845"/>
      <x:c r="DP22" s="846"/>
      <x:c r="DQ22" s="847"/>
      <x:c r="DR22" s="847"/>
      <x:c r="DS22" s="848"/>
      <x:c r="DT22" s="836"/>
      <x:c r="DU22" s="837"/>
      <x:c r="DV22" s="849"/>
      <x:c r="DW22" s="850"/>
      <x:c r="DX22" s="851"/>
      <x:c r="DY22" s="852"/>
      <x:c r="DZ22" s="849"/>
      <x:c r="EA22" s="850"/>
      <x:c r="EB22" s="851"/>
      <x:c r="EC22" s="852"/>
      <x:c r="ED22" s="849"/>
      <x:c r="EE22" s="850"/>
      <x:c r="EF22" s="851"/>
      <x:c r="EG22" s="852"/>
      <x:c r="EH22" s="849"/>
      <x:c r="EI22" s="850"/>
      <x:c r="EJ22" s="851"/>
      <x:c r="EK22" s="853"/>
      <x:c r="EL22" s="798" t="str">
        <x:f t="shared" si="31"/>
        <x:v/>
      </x:c>
      <x:c r="EM22" s="799" t="str">
        <x:f t="shared" si="32"/>
        <x:v/>
      </x:c>
      <x:c r="EN22" s="800" t="str">
        <x:f t="shared" si="33"/>
        <x:v/>
      </x:c>
      <x:c r="EO22" s="1030" t="str">
        <x:f t="shared" si="34"/>
        <x:v/>
      </x:c>
      <x:c r="EP22" s="726" t="str">
        <x:f t="shared" si="35"/>
        <x:v/>
      </x:c>
      <x:c r="EQ22" s="727" t="str">
        <x:f t="shared" si="36"/>
        <x:v/>
      </x:c>
      <x:c r="ER22" s="961" t="str">
        <x:f t="shared" si="37"/>
        <x:v/>
      </x:c>
      <x:c r="ES22" s="962" t="str">
        <x:f t="shared" si="51"/>
        <x:v/>
      </x:c>
      <x:c r="ET22" s="963" t="str">
        <x:f t="shared" si="38"/>
        <x:v/>
      </x:c>
      <x:c r="EU22" s="964" t="str">
        <x:f t="shared" si="39"/>
        <x:v/>
      </x:c>
      <x:c r="EX22" s="1194" t="str">
        <x:f t="shared" si="52"/>
        <x:v>G47B</x:v>
      </x:c>
      <x:c r="EY22" s="1196" t="b">
        <x:f t="shared" ca="1" si="40"/>
        <x:v>1</x:v>
      </x:c>
      <x:c r="EZ22" s="1196">
        <x:f t="shared" si="53"/>
        <x:v>5</x:v>
      </x:c>
      <x:c r="FA22" s="1217" t="e">
        <x:f t="shared" si="61"/>
        <x:v>#N/A</x:v>
      </x:c>
      <x:c r="FB22" s="1218" t="e">
        <x:f t="shared" si="54"/>
        <x:v>#N/A</x:v>
      </x:c>
      <x:c r="FC22" s="1218">
        <x:f t="shared" si="41"/>
        <x:v>46</x:v>
      </x:c>
      <x:c r="FD22" s="1218">
        <x:f t="shared" si="42"/>
        <x:v>480</x:v>
      </x:c>
      <x:c r="FE22" s="1218">
        <x:f t="shared" si="43"/>
        <x:v>94</x:v>
      </x:c>
      <x:c r="FF22" s="1218">
        <x:f t="shared" si="55"/>
        <x:v>620</x:v>
      </x:c>
      <x:c r="FN22" s="969" t="b">
        <x:v>0</x:v>
      </x:c>
      <x:c r="FO22" s="969" t="b">
        <x:f t="shared" si="44"/>
        <x:v>1</x:v>
      </x:c>
      <x:c r="FP22" s="969" t="b">
        <x:v>0</x:v>
      </x:c>
      <x:c r="FQ22" s="969" t="b">
        <x:f t="shared" si="56"/>
        <x:v>1</x:v>
      </x:c>
      <x:c r="FW22" s="26"/>
      <x:c r="FX22" s="26"/>
      <x:c r="FZ22" s="26"/>
      <x:c r="GA22" s="1935">
        <x:v>52</x:v>
      </x:c>
      <x:c r="GB22" s="1936">
        <x:v>0</x:v>
      </x:c>
      <x:c r="GC22" s="1937">
        <x:v>-0.25</x:v>
      </x:c>
      <x:c r="GD22" s="1938">
        <x:v>-0.25</x:v>
      </x:c>
      <x:c r="GE22" s="1939">
        <x:f t="shared" si="45"/>
        <x:v>0</x:v>
      </x:c>
      <x:c r="GF22" s="1940" t="str">
        <x:f t="shared" si="46"/>
        <x:v>G49</x:v>
      </x:c>
      <x:c r="GG22" s="1457"/>
      <x:c r="GH22" s="1459"/>
      <x:c r="GI22" s="1457"/>
      <x:c r="GJ22" s="1459"/>
      <x:c r="GK22" s="326">
        <x:f t="shared" si="47"/>
        <x:v>623.5</x:v>
      </x:c>
      <x:c r="GL22" s="326">
        <x:f t="shared" si="48"/>
        <x:v>623.5</x:v>
      </x:c>
      <x:c r="GM22" s="327">
        <x:f>IF(ABS(GK22-GL22)&gt;='Job Info.'!$L$22,ABS(GK22-GL22),0)</x:f>
        <x:v>0</x:v>
      </x:c>
      <x:c r="HA22" s="1612" t="s">
        <x:v>1312</x:v>
      </x:c>
      <x:c r="HB22" s="1613">
        <x:v>6</x:v>
      </x:c>
      <x:c r="HC22" s="1613" t="s">
        <x:v>1954</x:v>
      </x:c>
      <x:c r="HD22" s="1614">
        <x:v>51</x:v>
      </x:c>
      <x:c r="HE22" s="1615">
        <x:v>11.5</x:v>
      </x:c>
      <x:c r="HF22" s="1613">
        <x:v>11.125</x:v>
      </x:c>
      <x:c r="HG22" s="1613">
        <x:v>0</x:v>
      </x:c>
      <x:c r="HH22" s="1613">
        <x:v>1.75</x:v>
      </x:c>
      <x:c r="HI22" s="1613" t="s">
        <x:v>114</x:v>
      </x:c>
      <x:c r="HJ22" s="1613">
        <x:v>0</x:v>
      </x:c>
      <x:c r="HK22" s="1613">
        <x:v>1.75</x:v>
      </x:c>
      <x:c r="HL22" s="1613" t="s">
        <x:v>114</x:v>
      </x:c>
      <x:c r="HM22" s="1613">
        <x:v>7.5</x:v>
      </x:c>
      <x:c r="HN22" s="1613">
        <x:v>7.5</x:v>
      </x:c>
      <x:c r="HO22" s="1613">
        <x:v>0</x:v>
      </x:c>
      <x:c r="HP22" s="1613">
        <x:v>6.75</x:v>
      </x:c>
      <x:c r="HQ22" s="1613">
        <x:v>0</x:v>
      </x:c>
      <x:c r="HR22" s="1613">
        <x:v>6.75</x:v>
      </x:c>
      <x:c r="HS22" s="1613">
        <x:v>0</x:v>
      </x:c>
      <x:c r="HT22" s="1613">
        <x:v>6.25</x:v>
      </x:c>
      <x:c r="HU22" s="1613">
        <x:v>0</x:v>
      </x:c>
      <x:c r="HV22" s="1613">
        <x:v>6.25</x:v>
      </x:c>
      <x:c r="HW22" s="1613">
        <x:v>5</x:v>
      </x:c>
      <x:c r="HX22" s="1613" t="s">
        <x:v>117</x:v>
      </x:c>
      <x:c r="HY22" s="1617" t="s">
        <x:v>117</x:v>
      </x:c>
      <x:c r="HZ22" s="1617" t="s">
        <x:v>2036</x:v>
      </x:c>
      <x:c r="IA22" s="1617" t="s">
        <x:v>117</x:v>
      </x:c>
      <x:c r="IB22" s="1617"/>
      <x:c r="IC22" s="1617"/>
      <x:c r="ID22" s="1632"/>
      <x:c r="IE22" s="1612" t="s">
        <x:v>1310</x:v>
      </x:c>
      <x:c r="IF22" s="1613" t="s">
        <x:v>35</x:v>
      </x:c>
      <x:c r="IG22" s="1614">
        <x:v>3</x:v>
      </x:c>
      <x:c r="IH22" s="1615">
        <x:v>10</x:v>
      </x:c>
      <x:c r="II22" s="1613">
        <x:v>5</x:v>
      </x:c>
      <x:c r="IJ22" s="1614">
        <x:v>8</x:v>
      </x:c>
      <x:c r="IK22" s="1615">
        <x:v>0</x:v>
      </x:c>
      <x:c r="IL22" s="1613">
        <x:v>7</x:v>
      </x:c>
      <x:c r="IM22" s="1613">
        <x:v>10</x:v>
      </x:c>
      <x:c r="IN22" s="1613" t="s">
        <x:v>117</x:v>
      </x:c>
      <x:c r="IO22" s="1613" t="s">
        <x:v>117</x:v>
      </x:c>
      <x:c r="IP22" s="1613">
        <x:v>5</x:v>
      </x:c>
      <x:c r="IQ22" s="1613">
        <x:v>13</x:v>
      </x:c>
      <x:c r="IR22" s="1613">
        <x:v>4</x:v>
      </x:c>
      <x:c r="IS22" s="1614" t="s">
        <x:v>117</x:v>
      </x:c>
      <x:c r="IT22" s="1615">
        <x:v>1.75</x:v>
      </x:c>
      <x:c r="IU22" s="1613" t="s">
        <x:v>1061</x:v>
      </x:c>
      <x:c r="IV22" s="1613" t="s">
        <x:v>1956</x:v>
      </x:c>
      <x:c r="IW22" s="1614" t="s">
        <x:v>117</x:v>
      </x:c>
      <x:c r="IX22" s="1615" t="s">
        <x:v>35</x:v>
      </x:c>
      <x:c r="IY22" s="1613" t="s">
        <x:v>117</x:v>
      </x:c>
      <x:c r="IZ22" s="1613" t="s">
        <x:v>117</x:v>
      </x:c>
      <x:c r="JA22" s="1614" t="s">
        <x:v>117</x:v>
      </x:c>
      <x:c r="JB22" s="1615" t="s">
        <x:v>117</x:v>
      </x:c>
      <x:c r="JC22" s="1613" t="s">
        <x:v>117</x:v>
      </x:c>
      <x:c r="JD22" s="1613" t="s">
        <x:v>117</x:v>
      </x:c>
      <x:c r="JE22" s="1614" t="s">
        <x:v>117</x:v>
      </x:c>
      <x:c r="JF22" s="1615" t="s">
        <x:v>117</x:v>
      </x:c>
      <x:c r="JG22" s="1613" t="s">
        <x:v>117</x:v>
      </x:c>
      <x:c r="JH22" s="1613" t="s">
        <x:v>117</x:v>
      </x:c>
      <x:c r="JI22" s="1613" t="s">
        <x:v>117</x:v>
      </x:c>
      <x:c r="JJ22" s="1616" t="s">
        <x:v>117</x:v>
      </x:c>
      <x:c r="JK22" s="1613">
        <x:v>1</x:v>
      </x:c>
      <x:c r="JL22" s="1521">
        <x:f t="shared" ca="1" si="62"/>
        <x:v>1</x:v>
      </x:c>
    </x:row>
    <x:row r="23" spans="1:272" ht="12.6" customHeight="1" x14ac:dyDescent="0.25">
      <x:c r="A23" s="1583" t="s">
        <x:v>1313</x:v>
      </x:c>
      <x:c r="B23" s="1584">
        <x:v>3</x:v>
      </x:c>
      <x:c r="C23" s="1585" t="s">
        <x:v>1954</x:v>
      </x:c>
      <x:c r="D23" s="1586">
        <x:v>51</x:v>
      </x:c>
      <x:c r="E23" s="1587">
        <x:v>11.5</x:v>
      </x:c>
      <x:c r="F23" s="1588">
        <x:v>11.125</x:v>
      </x:c>
      <x:c r="G23" s="1589">
        <x:v>0</x:v>
      </x:c>
      <x:c r="H23" s="1590">
        <x:v>1.75</x:v>
      </x:c>
      <x:c r="I23" s="1591" t="s">
        <x:v>114</x:v>
      </x:c>
      <x:c r="J23" s="1586">
        <x:v>0</x:v>
      </x:c>
      <x:c r="K23" s="1590">
        <x:v>1.75</x:v>
      </x:c>
      <x:c r="L23" s="1592" t="s">
        <x:v>114</x:v>
      </x:c>
      <x:c r="M23" s="1593">
        <x:v>7.5</x:v>
      </x:c>
      <x:c r="N23" s="1594">
        <x:v>7.5</x:v>
      </x:c>
      <x:c r="O23" s="1589">
        <x:v>0</x:v>
      </x:c>
      <x:c r="P23" s="1590">
        <x:v>6.75</x:v>
      </x:c>
      <x:c r="Q23" s="1586">
        <x:v>0</x:v>
      </x:c>
      <x:c r="R23" s="1587">
        <x:v>6.75</x:v>
      </x:c>
      <x:c r="S23" s="1595">
        <x:v>0</x:v>
      </x:c>
      <x:c r="T23" s="1590">
        <x:v>6.25</x:v>
      </x:c>
      <x:c r="U23" s="1586">
        <x:v>0</x:v>
      </x:c>
      <x:c r="V23" s="1590">
        <x:v>6.25</x:v>
      </x:c>
      <x:c r="W23" s="1594">
        <x:v>5</x:v>
      </x:c>
      <x:c r="X23" s="1596" t="str">
        <x:f t="shared" si="3"/>
        <x:v/>
      </x:c>
      <x:c r="Y23" s="1597" t="str">
        <x:f t="shared" si="4"/>
        <x:v/>
      </x:c>
      <x:c r="Z23" s="2210" t="s">
        <x:v>2305</x:v>
      </x:c>
      <x:c r="AA23" s="1605" t="str">
        <x:f t="shared" si="5"/>
        <x:v/>
      </x:c>
      <x:c r="AB23" s="1264" t="s">
        <x:v>1311</x:v>
      </x:c>
      <x:c r="AC23" s="1260" t="s">
        <x:v>35</x:v>
      </x:c>
      <x:c r="AD23" s="1261">
        <x:v>3</x:v>
      </x:c>
      <x:c r="AE23" s="1262">
        <x:v>10</x:v>
      </x:c>
      <x:c r="AF23" s="1260">
        <x:v>5</x:v>
      </x:c>
      <x:c r="AG23" s="1261">
        <x:v>8</x:v>
      </x:c>
      <x:c r="AH23" s="1262">
        <x:v>0</x:v>
      </x:c>
      <x:c r="AI23" s="1261">
        <x:v>7</x:v>
      </x:c>
      <x:c r="AJ23" s="1262">
        <x:v>10</x:v>
      </x:c>
      <x:c r="AK23" s="1599" t="str">
        <x:f t="shared" si="6"/>
        <x:v/>
      </x:c>
      <x:c r="AL23" s="1600" t="str">
        <x:f t="shared" si="6"/>
        <x:v/>
      </x:c>
      <x:c r="AM23" s="1601">
        <x:v>5</x:v>
      </x:c>
      <x:c r="AN23" s="1260">
        <x:v>13</x:v>
      </x:c>
      <x:c r="AO23" s="1329">
        <x:v>4</x:v>
      </x:c>
      <x:c r="AP23" s="1327" t="str">
        <x:f t="shared" si="49"/>
        <x:v/>
      </x:c>
      <x:c r="AQ23" s="1602">
        <x:v>1.75</x:v>
      </x:c>
      <x:c r="AR23" s="1263" t="s">
        <x:v>1061</x:v>
      </x:c>
      <x:c r="AS23" s="1262" t="s">
        <x:v>1956</x:v>
      </x:c>
      <x:c r="AT23" s="1603" t="str">
        <x:f t="shared" si="7"/>
        <x:v/>
      </x:c>
      <x:c r="AU23" s="1410" t="s">
        <x:v>35</x:v>
      </x:c>
      <x:c r="AV23" s="2121">
        <x:v>51</x:v>
      </x:c>
      <x:c r="AW23" s="2122">
        <x:v>0</x:v>
      </x:c>
      <x:c r="AX23" s="1603" t="str">
        <x:f t="shared" si="10"/>
        <x:v/>
      </x:c>
      <x:c r="AY23" s="2123" t="s">
        <x:v>35</x:v>
      </x:c>
      <x:c r="AZ23" s="1328" t="str">
        <x:f t="shared" si="11"/>
        <x:v/>
      </x:c>
      <x:c r="BA23" s="1262" t="str">
        <x:f t="shared" si="12"/>
        <x:v/>
      </x:c>
      <x:c r="BB23" s="1603" t="str">
        <x:f t="shared" si="13"/>
        <x:v/>
      </x:c>
      <x:c r="BC23" s="1410" t="str">
        <x:f t="shared" si="13"/>
        <x:v/>
      </x:c>
      <x:c r="BD23" s="1328" t="str">
        <x:f t="shared" si="14"/>
        <x:v/>
      </x:c>
      <x:c r="BE23" s="1262" t="str">
        <x:f t="shared" si="15"/>
        <x:v/>
      </x:c>
      <x:c r="BF23" s="1603" t="str">
        <x:f t="shared" si="16"/>
        <x:v/>
      </x:c>
      <x:c r="BG23" s="1410" t="str">
        <x:f t="shared" si="16"/>
        <x:v/>
      </x:c>
      <x:c r="BH23" s="322"/>
      <x:c r="BJ23" s="1258" t="str">
        <x:f t="shared" si="60"/>
        <x:v>G50</x:v>
      </x:c>
      <x:c r="BK23" s="1256" t="b">
        <x:f t="shared" si="17"/>
        <x:v>0</x:v>
      </x:c>
      <x:c r="BL23" s="2002" t="b">
        <x:v>0</x:v>
      </x:c>
      <x:c r="BM23" s="1251">
        <x:f t="shared" si="18"/>
        <x:v>54</x:v>
      </x:c>
      <x:c r="BN23" s="1251" t="str">
        <x:f t="shared" si="19"/>
        <x:v>G</x:v>
      </x:c>
      <x:c r="BO23" s="1251">
        <x:f t="shared" si="20"/>
        <x:v>7</x:v>
      </x:c>
      <x:c r="BP23" s="1251">
        <x:f t="shared" si="21"/>
        <x:v>13.4</x:v>
      </x:c>
      <x:c r="BQ23" s="1251">
        <x:f t="shared" si="22"/>
        <x:v>3.9</x:v>
      </x:c>
      <x:c r="BR23" s="1251" t="b">
        <x:f t="shared" si="23"/>
        <x:v>1</x:v>
      </x:c>
      <x:c r="BS23" s="1252">
        <x:f t="shared" si="24"/>
        <x:v>7.75</x:v>
      </x:c>
      <x:c r="BT23" s="1252" t="str">
        <x:f t="shared" si="25"/>
        <x:v>Yes</x:v>
      </x:c>
      <x:c r="BU23" s="1252">
        <x:f t="shared" si="26"/>
        <x:v>7.75</x:v>
      </x:c>
      <x:c r="BV23" s="1252" t="str">
        <x:f t="shared" si="27"/>
        <x:v>Yes</x:v>
      </x:c>
      <x:c r="BW23" s="1253">
        <x:f t="shared" si="28"/>
        <x:v>19</x:v>
      </x:c>
      <x:c r="BX23" s="1254" t="str">
        <x:f t="shared" si="29"/>
        <x:v>G48</x:v>
      </x:c>
      <x:c r="BY23" s="1254" t="b">
        <x:f t="shared" si="30"/>
        <x:v>0</x:v>
      </x:c>
      <x:c r="BZ23" s="1253" t="b">
        <x:f t="shared" si="50"/>
        <x:v>0</x:v>
      </x:c>
      <x:c r="CB23" s="842"/>
      <x:c r="CC23" s="894"/>
      <x:c r="CD23" s="883"/>
      <x:c r="CE23" s="884"/>
      <x:c r="CF23" s="885"/>
      <x:c r="CG23" s="901"/>
      <x:c r="CH23" s="902"/>
      <x:c r="CI23" s="903"/>
      <x:c r="CJ23" s="902"/>
      <x:c r="CK23" s="903"/>
      <x:c r="CL23" s="904"/>
      <x:c r="CM23" s="944"/>
      <x:c r="CN23" s="901"/>
      <x:c r="CO23" s="902"/>
      <x:c r="CP23" s="903"/>
      <x:c r="CQ23" s="902"/>
      <x:c r="CR23" s="903"/>
      <x:c r="CS23" s="904"/>
      <x:c r="CT23" s="944"/>
      <x:c r="CU23" s="906"/>
      <x:c r="CV23" s="886"/>
      <x:c r="CW23" s="887"/>
      <x:c r="CX23" s="915"/>
      <x:c r="CY23" s="916"/>
      <x:c r="CZ23" s="932"/>
      <x:c r="DA23" s="933"/>
      <x:c r="DB23" s="932"/>
      <x:c r="DC23" s="933"/>
      <x:c r="DD23" s="1149"/>
      <x:c r="DE23" s="1150"/>
      <x:c r="DF23" s="173"/>
      <x:c r="DG23" s="173"/>
      <x:c r="DH23" s="842"/>
      <x:c r="DI23" s="843"/>
      <x:c r="DJ23" s="872"/>
      <x:c r="DK23" s="873"/>
      <x:c r="DL23" s="844"/>
      <x:c r="DM23" s="874"/>
      <x:c r="DN23" s="875"/>
      <x:c r="DO23" s="845"/>
      <x:c r="DP23" s="846"/>
      <x:c r="DQ23" s="847"/>
      <x:c r="DR23" s="847"/>
      <x:c r="DS23" s="848"/>
      <x:c r="DT23" s="836"/>
      <x:c r="DU23" s="837"/>
      <x:c r="DV23" s="849"/>
      <x:c r="DW23" s="850"/>
      <x:c r="DX23" s="851"/>
      <x:c r="DY23" s="852"/>
      <x:c r="DZ23" s="849"/>
      <x:c r="EA23" s="850"/>
      <x:c r="EB23" s="851"/>
      <x:c r="EC23" s="852"/>
      <x:c r="ED23" s="849"/>
      <x:c r="EE23" s="850"/>
      <x:c r="EF23" s="851"/>
      <x:c r="EG23" s="852"/>
      <x:c r="EH23" s="849"/>
      <x:c r="EI23" s="850"/>
      <x:c r="EJ23" s="851"/>
      <x:c r="EK23" s="853"/>
      <x:c r="EL23" s="798" t="str">
        <x:f t="shared" si="31"/>
        <x:v/>
      </x:c>
      <x:c r="EM23" s="799" t="str">
        <x:f t="shared" si="32"/>
        <x:v/>
      </x:c>
      <x:c r="EN23" s="800" t="str">
        <x:f t="shared" si="33"/>
        <x:v/>
      </x:c>
      <x:c r="EO23" s="1030" t="str">
        <x:f t="shared" si="34"/>
        <x:v/>
      </x:c>
      <x:c r="EP23" s="726" t="str">
        <x:f t="shared" si="35"/>
        <x:v/>
      </x:c>
      <x:c r="EQ23" s="727" t="str">
        <x:f t="shared" si="36"/>
        <x:v/>
      </x:c>
      <x:c r="ER23" s="961" t="str">
        <x:f t="shared" si="37"/>
        <x:v/>
      </x:c>
      <x:c r="ES23" s="962" t="str">
        <x:f t="shared" si="51"/>
        <x:v/>
      </x:c>
      <x:c r="ET23" s="963" t="str">
        <x:f t="shared" si="38"/>
        <x:v/>
      </x:c>
      <x:c r="EU23" s="964" t="str">
        <x:f t="shared" si="39"/>
        <x:v/>
      </x:c>
      <x:c r="EX23" s="1194" t="str">
        <x:f t="shared" si="52"/>
        <x:v>G48B</x:v>
      </x:c>
      <x:c r="EY23" s="1196" t="b">
        <x:f t="shared" ca="1" si="40"/>
        <x:v>1</x:v>
      </x:c>
      <x:c r="EZ23" s="1196">
        <x:f t="shared" si="53"/>
        <x:v>5</x:v>
      </x:c>
      <x:c r="FA23" s="1217" t="e">
        <x:f t="shared" si="61"/>
        <x:v>#N/A</x:v>
      </x:c>
      <x:c r="FB23" s="1218" t="e">
        <x:f t="shared" si="54"/>
        <x:v>#N/A</x:v>
      </x:c>
      <x:c r="FC23" s="1218">
        <x:f t="shared" si="41"/>
        <x:v>46</x:v>
      </x:c>
      <x:c r="FD23" s="1218">
        <x:f t="shared" si="42"/>
        <x:v>480</x:v>
      </x:c>
      <x:c r="FE23" s="1218">
        <x:f t="shared" si="43"/>
        <x:v>94</x:v>
      </x:c>
      <x:c r="FF23" s="1218">
        <x:f t="shared" si="55"/>
        <x:v>620</x:v>
      </x:c>
      <x:c r="FN23" s="969" t="b">
        <x:v>0</x:v>
      </x:c>
      <x:c r="FO23" s="969" t="b">
        <x:f t="shared" si="44"/>
        <x:v>1</x:v>
      </x:c>
      <x:c r="FP23" s="969" t="b">
        <x:v>0</x:v>
      </x:c>
      <x:c r="FQ23" s="969" t="b">
        <x:f t="shared" si="56"/>
        <x:v>1</x:v>
      </x:c>
      <x:c r="FW23" s="2"/>
      <x:c r="FX23" s="2"/>
      <x:c r="FZ23" s="2"/>
      <x:c r="GA23" s="1935">
        <x:v>52</x:v>
      </x:c>
      <x:c r="GB23" s="1936">
        <x:v>0</x:v>
      </x:c>
      <x:c r="GC23" s="1937">
        <x:v>-0.25</x:v>
      </x:c>
      <x:c r="GD23" s="1938">
        <x:v>-0.25</x:v>
      </x:c>
      <x:c r="GE23" s="1939">
        <x:f t="shared" si="45"/>
        <x:v>0</x:v>
      </x:c>
      <x:c r="GF23" s="1940" t="str">
        <x:f t="shared" si="46"/>
        <x:v>G50</x:v>
      </x:c>
      <x:c r="GG23" s="1457"/>
      <x:c r="GH23" s="1459"/>
      <x:c r="GI23" s="1457"/>
      <x:c r="GJ23" s="1459"/>
      <x:c r="GK23" s="326">
        <x:f t="shared" si="47"/>
        <x:v>623.5</x:v>
      </x:c>
      <x:c r="GL23" s="326">
        <x:f t="shared" si="48"/>
        <x:v>623.5</x:v>
      </x:c>
      <x:c r="GM23" s="327">
        <x:f>IF(ABS(GK23-GL23)&gt;='Job Info.'!$L$22,ABS(GK23-GL23),0)</x:f>
        <x:v>0</x:v>
      </x:c>
      <x:c r="HA23" s="1612" t="s">
        <x:v>1313</x:v>
      </x:c>
      <x:c r="HB23" s="1613">
        <x:v>3</x:v>
      </x:c>
      <x:c r="HC23" s="1613" t="s">
        <x:v>1954</x:v>
      </x:c>
      <x:c r="HD23" s="1614">
        <x:v>51</x:v>
      </x:c>
      <x:c r="HE23" s="1615">
        <x:v>11.5</x:v>
      </x:c>
      <x:c r="HF23" s="1613">
        <x:v>11.125</x:v>
      </x:c>
      <x:c r="HG23" s="1613">
        <x:v>0</x:v>
      </x:c>
      <x:c r="HH23" s="1613">
        <x:v>1.75</x:v>
      </x:c>
      <x:c r="HI23" s="1613" t="s">
        <x:v>114</x:v>
      </x:c>
      <x:c r="HJ23" s="1613">
        <x:v>0</x:v>
      </x:c>
      <x:c r="HK23" s="1613">
        <x:v>1.75</x:v>
      </x:c>
      <x:c r="HL23" s="1613" t="s">
        <x:v>114</x:v>
      </x:c>
      <x:c r="HM23" s="1613">
        <x:v>7.5</x:v>
      </x:c>
      <x:c r="HN23" s="1613">
        <x:v>7.5</x:v>
      </x:c>
      <x:c r="HO23" s="1613">
        <x:v>0</x:v>
      </x:c>
      <x:c r="HP23" s="1613">
        <x:v>6.75</x:v>
      </x:c>
      <x:c r="HQ23" s="1613">
        <x:v>0</x:v>
      </x:c>
      <x:c r="HR23" s="1613">
        <x:v>6.75</x:v>
      </x:c>
      <x:c r="HS23" s="1613">
        <x:v>0</x:v>
      </x:c>
      <x:c r="HT23" s="1613">
        <x:v>6.25</x:v>
      </x:c>
      <x:c r="HU23" s="1613">
        <x:v>0</x:v>
      </x:c>
      <x:c r="HV23" s="1613">
        <x:v>6.25</x:v>
      </x:c>
      <x:c r="HW23" s="1613">
        <x:v>5</x:v>
      </x:c>
      <x:c r="HX23" s="1613" t="s">
        <x:v>117</x:v>
      </x:c>
      <x:c r="HY23" s="1617" t="s">
        <x:v>117</x:v>
      </x:c>
      <x:c r="HZ23" s="1617" t="s">
        <x:v>2037</x:v>
      </x:c>
      <x:c r="IA23" s="1617" t="s">
        <x:v>117</x:v>
      </x:c>
      <x:c r="IB23" s="1617"/>
      <x:c r="IC23" s="1617"/>
      <x:c r="ID23" s="1632"/>
      <x:c r="IE23" s="1612" t="s">
        <x:v>1311</x:v>
      </x:c>
      <x:c r="IF23" s="1613" t="s">
        <x:v>35</x:v>
      </x:c>
      <x:c r="IG23" s="1614">
        <x:v>3</x:v>
      </x:c>
      <x:c r="IH23" s="1615">
        <x:v>10</x:v>
      </x:c>
      <x:c r="II23" s="1613">
        <x:v>5</x:v>
      </x:c>
      <x:c r="IJ23" s="1614">
        <x:v>8</x:v>
      </x:c>
      <x:c r="IK23" s="1615">
        <x:v>0</x:v>
      </x:c>
      <x:c r="IL23" s="1613">
        <x:v>7</x:v>
      </x:c>
      <x:c r="IM23" s="1613">
        <x:v>10</x:v>
      </x:c>
      <x:c r="IN23" s="1613" t="s">
        <x:v>117</x:v>
      </x:c>
      <x:c r="IO23" s="1613" t="s">
        <x:v>117</x:v>
      </x:c>
      <x:c r="IP23" s="1613">
        <x:v>5</x:v>
      </x:c>
      <x:c r="IQ23" s="1613">
        <x:v>13</x:v>
      </x:c>
      <x:c r="IR23" s="1613">
        <x:v>4</x:v>
      </x:c>
      <x:c r="IS23" s="1614" t="s">
        <x:v>117</x:v>
      </x:c>
      <x:c r="IT23" s="1615">
        <x:v>1.75</x:v>
      </x:c>
      <x:c r="IU23" s="1613" t="s">
        <x:v>1061</x:v>
      </x:c>
      <x:c r="IV23" s="1613" t="s">
        <x:v>1956</x:v>
      </x:c>
      <x:c r="IW23" s="1614" t="s">
        <x:v>117</x:v>
      </x:c>
      <x:c r="IX23" s="1615" t="s">
        <x:v>35</x:v>
      </x:c>
      <x:c r="IY23" s="1613" t="s">
        <x:v>117</x:v>
      </x:c>
      <x:c r="IZ23" s="1613" t="s">
        <x:v>117</x:v>
      </x:c>
      <x:c r="JA23" s="1614" t="s">
        <x:v>117</x:v>
      </x:c>
      <x:c r="JB23" s="1615" t="s">
        <x:v>117</x:v>
      </x:c>
      <x:c r="JC23" s="1613" t="s">
        <x:v>117</x:v>
      </x:c>
      <x:c r="JD23" s="1613" t="s">
        <x:v>117</x:v>
      </x:c>
      <x:c r="JE23" s="1614" t="s">
        <x:v>117</x:v>
      </x:c>
      <x:c r="JF23" s="1615" t="s">
        <x:v>117</x:v>
      </x:c>
      <x:c r="JG23" s="1613" t="s">
        <x:v>117</x:v>
      </x:c>
      <x:c r="JH23" s="1613" t="s">
        <x:v>117</x:v>
      </x:c>
      <x:c r="JI23" s="1613" t="s">
        <x:v>117</x:v>
      </x:c>
      <x:c r="JJ23" s="1616" t="s">
        <x:v>117</x:v>
      </x:c>
      <x:c r="JK23" s="1613">
        <x:v>1</x:v>
      </x:c>
      <x:c r="JL23" s="1521">
        <x:f t="shared" ca="1" si="62"/>
        <x:v>1</x:v>
      </x:c>
    </x:row>
    <x:row r="24" spans="1:272" ht="12.6" customHeight="1" x14ac:dyDescent="0.25">
      <x:c r="A24" s="1583" t="s">
        <x:v>1314</x:v>
      </x:c>
      <x:c r="B24" s="1584">
        <x:v>1</x:v>
      </x:c>
      <x:c r="C24" s="1585" t="s">
        <x:v>1961</x:v>
      </x:c>
      <x:c r="D24" s="1586">
        <x:v>33</x:v>
      </x:c>
      <x:c r="E24" s="1587">
        <x:v>3.125</x:v>
      </x:c>
      <x:c r="F24" s="1588">
        <x:v>11.125</x:v>
      </x:c>
      <x:c r="G24" s="1589">
        <x:v>0</x:v>
      </x:c>
      <x:c r="H24" s="1590">
        <x:v>1.75</x:v>
      </x:c>
      <x:c r="I24" s="1591" t="s">
        <x:v>114</x:v>
      </x:c>
      <x:c r="J24" s="2202">
        <x:v>0</x:v>
      </x:c>
      <x:c r="K24" s="2203">
        <x:v>0.5</x:v>
      </x:c>
      <x:c r="L24" s="2204" t="s">
        <x:v>114</x:v>
      </x:c>
      <x:c r="M24" s="1593">
        <x:v>7.5</x:v>
      </x:c>
      <x:c r="N24" s="1594">
        <x:v>7.5</x:v>
      </x:c>
      <x:c r="O24" s="1589">
        <x:v>0</x:v>
      </x:c>
      <x:c r="P24" s="1590">
        <x:v>6.125</x:v>
      </x:c>
      <x:c r="Q24" s="1586">
        <x:v>0</x:v>
      </x:c>
      <x:c r="R24" s="1587">
        <x:v>1.625</x:v>
      </x:c>
      <x:c r="S24" s="1595">
        <x:v>0</x:v>
      </x:c>
      <x:c r="T24" s="1590">
        <x:v>6.25</x:v>
      </x:c>
      <x:c r="U24" s="1586">
        <x:v>0</x:v>
      </x:c>
      <x:c r="V24" s="1590">
        <x:v>3.875</x:v>
      </x:c>
      <x:c r="W24" s="1594">
        <x:v>5</x:v>
      </x:c>
      <x:c r="X24" s="1596" t="str">
        <x:f t="shared" si="3"/>
        <x:v/>
      </x:c>
      <x:c r="Y24" s="1597" t="str">
        <x:f t="shared" si="4"/>
        <x:v/>
      </x:c>
      <x:c r="Z24" s="2210" t="s">
        <x:v>2325</x:v>
      </x:c>
      <x:c r="AA24" s="1605" t="str">
        <x:f t="shared" si="5"/>
        <x:v/>
      </x:c>
      <x:c r="AB24" s="1264" t="s">
        <x:v>1312</x:v>
      </x:c>
      <x:c r="AC24" s="1260" t="s">
        <x:v>35</x:v>
      </x:c>
      <x:c r="AD24" s="1261">
        <x:v>3</x:v>
      </x:c>
      <x:c r="AE24" s="1262">
        <x:v>10</x:v>
      </x:c>
      <x:c r="AF24" s="1260">
        <x:v>5</x:v>
      </x:c>
      <x:c r="AG24" s="1261">
        <x:v>8</x:v>
      </x:c>
      <x:c r="AH24" s="1262">
        <x:v>0</x:v>
      </x:c>
      <x:c r="AI24" s="1261">
        <x:v>7</x:v>
      </x:c>
      <x:c r="AJ24" s="1262">
        <x:v>10</x:v>
      </x:c>
      <x:c r="AK24" s="1599" t="str">
        <x:f t="shared" si="6"/>
        <x:v/>
      </x:c>
      <x:c r="AL24" s="1600" t="str">
        <x:f t="shared" si="6"/>
        <x:v/>
      </x:c>
      <x:c r="AM24" s="1601">
        <x:v>5</x:v>
      </x:c>
      <x:c r="AN24" s="1260">
        <x:v>13</x:v>
      </x:c>
      <x:c r="AO24" s="1329">
        <x:v>4</x:v>
      </x:c>
      <x:c r="AP24" s="1327" t="str">
        <x:f t="shared" si="49"/>
        <x:v/>
      </x:c>
      <x:c r="AQ24" s="1602">
        <x:v>1.75</x:v>
      </x:c>
      <x:c r="AR24" s="1263" t="s">
        <x:v>1061</x:v>
      </x:c>
      <x:c r="AS24" s="1262" t="s">
        <x:v>1956</x:v>
      </x:c>
      <x:c r="AT24" s="1603" t="str">
        <x:f t="shared" si="7"/>
        <x:v/>
      </x:c>
      <x:c r="AU24" s="1410" t="s">
        <x:v>35</x:v>
      </x:c>
      <x:c r="AV24" s="2121">
        <x:v>51</x:v>
      </x:c>
      <x:c r="AW24" s="2122">
        <x:v>0</x:v>
      </x:c>
      <x:c r="AX24" s="1603" t="str">
        <x:f t="shared" si="10"/>
        <x:v/>
      </x:c>
      <x:c r="AY24" s="2123" t="s">
        <x:v>35</x:v>
      </x:c>
      <x:c r="AZ24" s="1328" t="str">
        <x:f t="shared" si="11"/>
        <x:v/>
      </x:c>
      <x:c r="BA24" s="1262" t="str">
        <x:f t="shared" si="12"/>
        <x:v/>
      </x:c>
      <x:c r="BB24" s="1603" t="str">
        <x:f t="shared" si="13"/>
        <x:v/>
      </x:c>
      <x:c r="BC24" s="1410" t="str">
        <x:f t="shared" si="13"/>
        <x:v/>
      </x:c>
      <x:c r="BD24" s="1328" t="str">
        <x:f t="shared" si="14"/>
        <x:v/>
      </x:c>
      <x:c r="BE24" s="1262" t="str">
        <x:f t="shared" si="15"/>
        <x:v/>
      </x:c>
      <x:c r="BF24" s="1603" t="str">
        <x:f t="shared" si="16"/>
        <x:v/>
      </x:c>
      <x:c r="BG24" s="1410" t="str">
        <x:f t="shared" si="16"/>
        <x:v/>
      </x:c>
      <x:c r="BH24" s="322"/>
      <x:c r="BJ24" s="1258" t="str">
        <x:f t="shared" si="60"/>
        <x:v>G51</x:v>
      </x:c>
      <x:c r="BK24" s="1256" t="b">
        <x:f t="shared" si="17"/>
        <x:v>0</x:v>
      </x:c>
      <x:c r="BL24" s="2002" t="b">
        <x:v>0</x:v>
      </x:c>
      <x:c r="BM24" s="1251">
        <x:f t="shared" si="18"/>
        <x:v>54</x:v>
      </x:c>
      <x:c r="BN24" s="1251" t="str">
        <x:f t="shared" si="19"/>
        <x:v>G</x:v>
      </x:c>
      <x:c r="BO24" s="1251">
        <x:f t="shared" si="20"/>
        <x:v>5</x:v>
      </x:c>
      <x:c r="BP24" s="1251">
        <x:f t="shared" si="21"/>
        <x:v>13.4</x:v>
      </x:c>
      <x:c r="BQ24" s="1251">
        <x:f t="shared" si="22"/>
        <x:v>3.9</x:v>
      </x:c>
      <x:c r="BR24" s="1251" t="b">
        <x:f t="shared" si="23"/>
        <x:v>1</x:v>
      </x:c>
      <x:c r="BS24" s="1252">
        <x:f t="shared" si="24"/>
        <x:v>7.75</x:v>
      </x:c>
      <x:c r="BT24" s="1252" t="str">
        <x:f t="shared" si="25"/>
        <x:v>Yes</x:v>
      </x:c>
      <x:c r="BU24" s="1252">
        <x:f t="shared" si="26"/>
        <x:v>6.5</x:v>
      </x:c>
      <x:c r="BV24" s="1252" t="str">
        <x:f t="shared" si="27"/>
        <x:v>Yes</x:v>
      </x:c>
      <x:c r="BW24" s="1253">
        <x:f t="shared" si="28"/>
        <x:v>19</x:v>
      </x:c>
      <x:c r="BX24" s="1254" t="str">
        <x:f t="shared" si="29"/>
        <x:v>G49</x:v>
      </x:c>
      <x:c r="BY24" s="1254" t="b">
        <x:f t="shared" si="30"/>
        <x:v>0</x:v>
      </x:c>
      <x:c r="BZ24" s="1253" t="b">
        <x:f t="shared" si="50"/>
        <x:v>0</x:v>
      </x:c>
      <x:c r="CB24" s="842"/>
      <x:c r="CC24" s="894"/>
      <x:c r="CD24" s="883"/>
      <x:c r="CE24" s="884"/>
      <x:c r="CF24" s="885"/>
      <x:c r="CG24" s="901"/>
      <x:c r="CH24" s="902"/>
      <x:c r="CI24" s="903"/>
      <x:c r="CJ24" s="902"/>
      <x:c r="CK24" s="903"/>
      <x:c r="CL24" s="904"/>
      <x:c r="CM24" s="944"/>
      <x:c r="CN24" s="901"/>
      <x:c r="CO24" s="902"/>
      <x:c r="CP24" s="903"/>
      <x:c r="CQ24" s="902"/>
      <x:c r="CR24" s="903"/>
      <x:c r="CS24" s="904"/>
      <x:c r="CT24" s="944"/>
      <x:c r="CU24" s="906"/>
      <x:c r="CV24" s="886"/>
      <x:c r="CW24" s="887"/>
      <x:c r="CX24" s="915"/>
      <x:c r="CY24" s="916"/>
      <x:c r="CZ24" s="932"/>
      <x:c r="DA24" s="933"/>
      <x:c r="DB24" s="932"/>
      <x:c r="DC24" s="933"/>
      <x:c r="DD24" s="1149"/>
      <x:c r="DE24" s="1150"/>
      <x:c r="DF24" s="173"/>
      <x:c r="DG24" s="173"/>
      <x:c r="DH24" s="842"/>
      <x:c r="DI24" s="843"/>
      <x:c r="DJ24" s="872"/>
      <x:c r="DK24" s="873"/>
      <x:c r="DL24" s="844"/>
      <x:c r="DM24" s="874"/>
      <x:c r="DN24" s="875"/>
      <x:c r="DO24" s="845"/>
      <x:c r="DP24" s="846"/>
      <x:c r="DQ24" s="847"/>
      <x:c r="DR24" s="847"/>
      <x:c r="DS24" s="848"/>
      <x:c r="DT24" s="836"/>
      <x:c r="DU24" s="837"/>
      <x:c r="DV24" s="849"/>
      <x:c r="DW24" s="850"/>
      <x:c r="DX24" s="851"/>
      <x:c r="DY24" s="852"/>
      <x:c r="DZ24" s="849"/>
      <x:c r="EA24" s="850"/>
      <x:c r="EB24" s="851"/>
      <x:c r="EC24" s="852"/>
      <x:c r="ED24" s="849"/>
      <x:c r="EE24" s="850"/>
      <x:c r="EF24" s="851"/>
      <x:c r="EG24" s="852"/>
      <x:c r="EH24" s="849"/>
      <x:c r="EI24" s="850"/>
      <x:c r="EJ24" s="851"/>
      <x:c r="EK24" s="853"/>
      <x:c r="EL24" s="798" t="str">
        <x:f t="shared" si="31"/>
        <x:v/>
      </x:c>
      <x:c r="EM24" s="799" t="str">
        <x:f t="shared" si="32"/>
        <x:v/>
      </x:c>
      <x:c r="EN24" s="800" t="str">
        <x:f t="shared" si="33"/>
        <x:v/>
      </x:c>
      <x:c r="EO24" s="1030" t="str">
        <x:f t="shared" si="34"/>
        <x:v/>
      </x:c>
      <x:c r="EP24" s="726" t="str">
        <x:f t="shared" si="35"/>
        <x:v/>
      </x:c>
      <x:c r="EQ24" s="727" t="str">
        <x:f t="shared" si="36"/>
        <x:v/>
      </x:c>
      <x:c r="ER24" s="961" t="str">
        <x:f t="shared" si="37"/>
        <x:v/>
      </x:c>
      <x:c r="ES24" s="962" t="str">
        <x:f t="shared" si="51"/>
        <x:v/>
      </x:c>
      <x:c r="ET24" s="963" t="str">
        <x:f t="shared" si="38"/>
        <x:v/>
      </x:c>
      <x:c r="EU24" s="964" t="str">
        <x:f t="shared" si="39"/>
        <x:v/>
      </x:c>
      <x:c r="EX24" s="1194" t="str">
        <x:f t="shared" si="52"/>
        <x:v>G49B</x:v>
      </x:c>
      <x:c r="EY24" s="1196" t="b">
        <x:f t="shared" ca="1" si="40"/>
        <x:v>1</x:v>
      </x:c>
      <x:c r="EZ24" s="1196">
        <x:f t="shared" si="53"/>
        <x:v>5</x:v>
      </x:c>
      <x:c r="FA24" s="1217" t="e">
        <x:f t="shared" si="61"/>
        <x:v>#N/A</x:v>
      </x:c>
      <x:c r="FB24" s="1218" t="e">
        <x:f t="shared" si="54"/>
        <x:v>#N/A</x:v>
      </x:c>
      <x:c r="FC24" s="1218">
        <x:f t="shared" si="41"/>
        <x:v>46</x:v>
      </x:c>
      <x:c r="FD24" s="1218">
        <x:f t="shared" si="42"/>
        <x:v>480</x:v>
      </x:c>
      <x:c r="FE24" s="1218">
        <x:f t="shared" si="43"/>
        <x:v>94</x:v>
      </x:c>
      <x:c r="FF24" s="1218">
        <x:f t="shared" si="55"/>
        <x:v>620</x:v>
      </x:c>
      <x:c r="FN24" s="969" t="b">
        <x:v>0</x:v>
      </x:c>
      <x:c r="FO24" s="969" t="b">
        <x:f t="shared" si="44"/>
        <x:v>1</x:v>
      </x:c>
      <x:c r="FP24" s="969" t="b">
        <x:v>0</x:v>
      </x:c>
      <x:c r="FQ24" s="969" t="b">
        <x:f t="shared" si="56"/>
        <x:v>1</x:v>
      </x:c>
      <x:c r="FW24" s="2"/>
      <x:c r="FX24" s="2"/>
      <x:c r="FZ24" s="2"/>
      <x:c r="GA24" s="1935">
        <x:v>33</x:v>
      </x:c>
      <x:c r="GB24" s="1936">
        <x:v>4.375</x:v>
      </x:c>
      <x:c r="GC24" s="1937">
        <x:v>-0.25</x:v>
      </x:c>
      <x:c r="GD24" s="1938">
        <x:v>-1</x:v>
      </x:c>
      <x:c r="GE24" s="1939">
        <x:v>0.14985198370309699</x:v>
      </x:c>
      <x:c r="GF24" s="1940" t="str">
        <x:f t="shared" si="46"/>
        <x:v>G51</x:v>
      </x:c>
      <x:c r="GG24" s="1457"/>
      <x:c r="GH24" s="1459"/>
      <x:c r="GI24" s="1457"/>
      <x:c r="GJ24" s="1459"/>
      <x:c r="GK24" s="326">
        <x:f t="shared" si="47"/>
        <x:v>399.125</x:v>
      </x:c>
      <x:c r="GL24" s="326">
        <x:f t="shared" si="48"/>
        <x:v>399.15611891930337</x:v>
      </x:c>
      <x:c r="GM24" s="327">
        <x:f>IF(ABS(GK24-GL24)&gt;='Job Info.'!$L$22,ABS(GK24-GL24),0)</x:f>
        <x:v>0</x:v>
      </x:c>
      <x:c r="HA24" s="1612" t="s">
        <x:v>1314</x:v>
      </x:c>
      <x:c r="HB24" s="1613">
        <x:v>1</x:v>
      </x:c>
      <x:c r="HC24" s="1613" t="s">
        <x:v>1961</x:v>
      </x:c>
      <x:c r="HD24" s="1614">
        <x:v>33</x:v>
      </x:c>
      <x:c r="HE24" s="1615">
        <x:v>3.125</x:v>
      </x:c>
      <x:c r="HF24" s="1613">
        <x:v>11.125</x:v>
      </x:c>
      <x:c r="HG24" s="1613">
        <x:v>0</x:v>
      </x:c>
      <x:c r="HH24" s="1613">
        <x:v>1.75</x:v>
      </x:c>
      <x:c r="HI24" s="1613" t="s">
        <x:v>114</x:v>
      </x:c>
      <x:c r="HJ24" s="1613" t="s">
        <x:v>117</x:v>
      </x:c>
      <x:c r="HK24" s="1613" t="s">
        <x:v>117</x:v>
      </x:c>
      <x:c r="HL24" s="1613" t="s">
        <x:v>117</x:v>
      </x:c>
      <x:c r="HM24" s="1613">
        <x:v>7.5</x:v>
      </x:c>
      <x:c r="HN24" s="1613">
        <x:v>7.5</x:v>
      </x:c>
      <x:c r="HO24" s="1613">
        <x:v>0</x:v>
      </x:c>
      <x:c r="HP24" s="1613">
        <x:v>6.125</x:v>
      </x:c>
      <x:c r="HQ24" s="1613">
        <x:v>0</x:v>
      </x:c>
      <x:c r="HR24" s="1613">
        <x:v>1.625</x:v>
      </x:c>
      <x:c r="HS24" s="1613">
        <x:v>0</x:v>
      </x:c>
      <x:c r="HT24" s="1613">
        <x:v>6.25</x:v>
      </x:c>
      <x:c r="HU24" s="1613">
        <x:v>0</x:v>
      </x:c>
      <x:c r="HV24" s="1613">
        <x:v>3.875</x:v>
      </x:c>
      <x:c r="HW24" s="1613">
        <x:v>5</x:v>
      </x:c>
      <x:c r="HX24" s="1613" t="s">
        <x:v>117</x:v>
      </x:c>
      <x:c r="HY24" s="1617" t="s">
        <x:v>117</x:v>
      </x:c>
      <x:c r="HZ24" s="1617" t="s">
        <x:v>2056</x:v>
      </x:c>
      <x:c r="IA24" s="1617" t="s">
        <x:v>117</x:v>
      </x:c>
      <x:c r="IB24" s="1617"/>
      <x:c r="IC24" s="1617"/>
      <x:c r="ID24" s="1632"/>
      <x:c r="IE24" s="1612" t="s">
        <x:v>1312</x:v>
      </x:c>
      <x:c r="IF24" s="1613" t="s">
        <x:v>35</x:v>
      </x:c>
      <x:c r="IG24" s="1614">
        <x:v>3</x:v>
      </x:c>
      <x:c r="IH24" s="1615">
        <x:v>10</x:v>
      </x:c>
      <x:c r="II24" s="1613">
        <x:v>5</x:v>
      </x:c>
      <x:c r="IJ24" s="1614">
        <x:v>8</x:v>
      </x:c>
      <x:c r="IK24" s="1615">
        <x:v>0</x:v>
      </x:c>
      <x:c r="IL24" s="1613">
        <x:v>7</x:v>
      </x:c>
      <x:c r="IM24" s="1613">
        <x:v>10</x:v>
      </x:c>
      <x:c r="IN24" s="1613" t="s">
        <x:v>117</x:v>
      </x:c>
      <x:c r="IO24" s="1613" t="s">
        <x:v>117</x:v>
      </x:c>
      <x:c r="IP24" s="1613">
        <x:v>5</x:v>
      </x:c>
      <x:c r="IQ24" s="1613">
        <x:v>13</x:v>
      </x:c>
      <x:c r="IR24" s="1613">
        <x:v>4</x:v>
      </x:c>
      <x:c r="IS24" s="1614" t="s">
        <x:v>117</x:v>
      </x:c>
      <x:c r="IT24" s="1615">
        <x:v>1.75</x:v>
      </x:c>
      <x:c r="IU24" s="1613" t="s">
        <x:v>1061</x:v>
      </x:c>
      <x:c r="IV24" s="1613" t="s">
        <x:v>1956</x:v>
      </x:c>
      <x:c r="IW24" s="1614" t="s">
        <x:v>117</x:v>
      </x:c>
      <x:c r="IX24" s="1615" t="s">
        <x:v>35</x:v>
      </x:c>
      <x:c r="IY24" s="1613" t="s">
        <x:v>117</x:v>
      </x:c>
      <x:c r="IZ24" s="1613" t="s">
        <x:v>117</x:v>
      </x:c>
      <x:c r="JA24" s="1614" t="s">
        <x:v>117</x:v>
      </x:c>
      <x:c r="JB24" s="1615" t="s">
        <x:v>117</x:v>
      </x:c>
      <x:c r="JC24" s="1613" t="s">
        <x:v>117</x:v>
      </x:c>
      <x:c r="JD24" s="1613" t="s">
        <x:v>117</x:v>
      </x:c>
      <x:c r="JE24" s="1614" t="s">
        <x:v>117</x:v>
      </x:c>
      <x:c r="JF24" s="1615" t="s">
        <x:v>117</x:v>
      </x:c>
      <x:c r="JG24" s="1613" t="s">
        <x:v>117</x:v>
      </x:c>
      <x:c r="JH24" s="1613" t="s">
        <x:v>117</x:v>
      </x:c>
      <x:c r="JI24" s="1613" t="s">
        <x:v>117</x:v>
      </x:c>
      <x:c r="JJ24" s="1616" t="s">
        <x:v>117</x:v>
      </x:c>
      <x:c r="JK24" s="1613">
        <x:v>1</x:v>
      </x:c>
      <x:c r="JL24" s="1521">
        <x:f t="shared" ca="1" si="62"/>
        <x:v>1</x:v>
      </x:c>
    </x:row>
    <x:row r="25" spans="1:272" ht="12.6" customHeight="1" x14ac:dyDescent="0.25">
      <x:c r="A25" s="1583" t="s">
        <x:v>1315</x:v>
      </x:c>
      <x:c r="B25" s="1584">
        <x:v>1</x:v>
      </x:c>
      <x:c r="C25" s="1585" t="s">
        <x:v>1965</x:v>
      </x:c>
      <x:c r="D25" s="1586">
        <x:v>24</x:v>
      </x:c>
      <x:c r="E25" s="1587">
        <x:v>5</x:v>
      </x:c>
      <x:c r="F25" s="1588">
        <x:v>11.125</x:v>
      </x:c>
      <x:c r="G25" s="1589">
        <x:v>0</x:v>
      </x:c>
      <x:c r="H25" s="1590">
        <x:v>1.75</x:v>
      </x:c>
      <x:c r="I25" s="1591" t="s">
        <x:v>114</x:v>
      </x:c>
      <x:c r="J25" s="2202">
        <x:v>0</x:v>
      </x:c>
      <x:c r="K25" s="2203">
        <x:v>0.5</x:v>
      </x:c>
      <x:c r="L25" s="2204" t="s">
        <x:v>114</x:v>
      </x:c>
      <x:c r="M25" s="1593">
        <x:v>7.5</x:v>
      </x:c>
      <x:c r="N25" s="1594">
        <x:v>7.5</x:v>
      </x:c>
      <x:c r="O25" s="1589">
        <x:v>0</x:v>
      </x:c>
      <x:c r="P25" s="1590">
        <x:v>6.75</x:v>
      </x:c>
      <x:c r="Q25" s="1586">
        <x:v>0</x:v>
      </x:c>
      <x:c r="R25" s="1587">
        <x:v>1</x:v>
      </x:c>
      <x:c r="S25" s="1595">
        <x:v>0</x:v>
      </x:c>
      <x:c r="T25" s="1590">
        <x:v>6.25</x:v>
      </x:c>
      <x:c r="U25" s="1586">
        <x:v>0</x:v>
      </x:c>
      <x:c r="V25" s="1590">
        <x:v>3.875</x:v>
      </x:c>
      <x:c r="W25" s="1594">
        <x:v>5</x:v>
      </x:c>
      <x:c r="X25" s="1596" t="str">
        <x:f t="shared" si="3"/>
        <x:v/>
      </x:c>
      <x:c r="Y25" s="1597" t="str">
        <x:f t="shared" si="4"/>
        <x:v/>
      </x:c>
      <x:c r="Z25" s="2210" t="s">
        <x:v>2326</x:v>
      </x:c>
      <x:c r="AA25" s="1605" t="str">
        <x:f t="shared" si="5"/>
        <x:v/>
      </x:c>
      <x:c r="AB25" s="1264" t="s">
        <x:v>1313</x:v>
      </x:c>
      <x:c r="AC25" s="1260" t="s">
        <x:v>35</x:v>
      </x:c>
      <x:c r="AD25" s="1261">
        <x:v>3</x:v>
      </x:c>
      <x:c r="AE25" s="1262">
        <x:v>10</x:v>
      </x:c>
      <x:c r="AF25" s="1260">
        <x:v>5</x:v>
      </x:c>
      <x:c r="AG25" s="1261">
        <x:v>8</x:v>
      </x:c>
      <x:c r="AH25" s="1262">
        <x:v>0</x:v>
      </x:c>
      <x:c r="AI25" s="1261">
        <x:v>7</x:v>
      </x:c>
      <x:c r="AJ25" s="1262">
        <x:v>10</x:v>
      </x:c>
      <x:c r="AK25" s="1599" t="str">
        <x:f t="shared" si="6"/>
        <x:v/>
      </x:c>
      <x:c r="AL25" s="1600" t="str">
        <x:f t="shared" si="6"/>
        <x:v/>
      </x:c>
      <x:c r="AM25" s="1601">
        <x:v>5</x:v>
      </x:c>
      <x:c r="AN25" s="1260">
        <x:v>13</x:v>
      </x:c>
      <x:c r="AO25" s="1329">
        <x:v>4</x:v>
      </x:c>
      <x:c r="AP25" s="1327" t="str">
        <x:f t="shared" si="49"/>
        <x:v/>
      </x:c>
      <x:c r="AQ25" s="1602">
        <x:v>1.75</x:v>
      </x:c>
      <x:c r="AR25" s="1263" t="s">
        <x:v>1061</x:v>
      </x:c>
      <x:c r="AS25" s="1262" t="s">
        <x:v>1956</x:v>
      </x:c>
      <x:c r="AT25" s="1603" t="str">
        <x:f t="shared" si="7"/>
        <x:v/>
      </x:c>
      <x:c r="AU25" s="1410" t="s">
        <x:v>35</x:v>
      </x:c>
      <x:c r="AV25" s="2121">
        <x:v>51</x:v>
      </x:c>
      <x:c r="AW25" s="2122">
        <x:v>0</x:v>
      </x:c>
      <x:c r="AX25" s="1603" t="str">
        <x:f t="shared" si="10"/>
        <x:v/>
      </x:c>
      <x:c r="AY25" s="2123" t="s">
        <x:v>35</x:v>
      </x:c>
      <x:c r="AZ25" s="1328" t="str">
        <x:f t="shared" si="11"/>
        <x:v/>
      </x:c>
      <x:c r="BA25" s="1262" t="str">
        <x:f t="shared" si="12"/>
        <x:v/>
      </x:c>
      <x:c r="BB25" s="1603" t="str">
        <x:f t="shared" si="13"/>
        <x:v/>
      </x:c>
      <x:c r="BC25" s="1410" t="str">
        <x:f t="shared" si="13"/>
        <x:v/>
      </x:c>
      <x:c r="BD25" s="1328" t="str">
        <x:f t="shared" si="14"/>
        <x:v/>
      </x:c>
      <x:c r="BE25" s="1262" t="str">
        <x:f t="shared" si="15"/>
        <x:v/>
      </x:c>
      <x:c r="BF25" s="1603" t="str">
        <x:f t="shared" si="16"/>
        <x:v/>
      </x:c>
      <x:c r="BG25" s="1410" t="str">
        <x:f t="shared" si="16"/>
        <x:v/>
      </x:c>
      <x:c r="BH25" s="322"/>
      <x:c r="BJ25" s="1258" t="str">
        <x:f t="shared" si="60"/>
        <x:v>G52</x:v>
      </x:c>
      <x:c r="BK25" s="1256" t="b">
        <x:f t="shared" si="17"/>
        <x:v>0</x:v>
      </x:c>
      <x:c r="BL25" s="2002" t="b">
        <x:v>0</x:v>
      </x:c>
      <x:c r="BM25" s="1251">
        <x:f t="shared" si="18"/>
        <x:v>54</x:v>
      </x:c>
      <x:c r="BN25" s="1251" t="str">
        <x:f t="shared" si="19"/>
        <x:v>G</x:v>
      </x:c>
      <x:c r="BO25" s="1251">
        <x:f t="shared" si="20"/>
        <x:v>4</x:v>
      </x:c>
      <x:c r="BP25" s="1251">
        <x:f t="shared" si="21"/>
        <x:v>13.4</x:v>
      </x:c>
      <x:c r="BQ25" s="1251">
        <x:f t="shared" si="22"/>
        <x:v>3.9</x:v>
      </x:c>
      <x:c r="BR25" s="1251" t="b">
        <x:f t="shared" si="23"/>
        <x:v>1</x:v>
      </x:c>
      <x:c r="BS25" s="1252">
        <x:f t="shared" si="24"/>
        <x:v>7.75</x:v>
      </x:c>
      <x:c r="BT25" s="1252" t="str">
        <x:f t="shared" si="25"/>
        <x:v>Yes</x:v>
      </x:c>
      <x:c r="BU25" s="1252">
        <x:f t="shared" si="26"/>
        <x:v>6.5</x:v>
      </x:c>
      <x:c r="BV25" s="1252" t="str">
        <x:f t="shared" si="27"/>
        <x:v>Yes</x:v>
      </x:c>
      <x:c r="BW25" s="1253">
        <x:f t="shared" si="28"/>
        <x:v>19</x:v>
      </x:c>
      <x:c r="BX25" s="1254" t="str">
        <x:f t="shared" si="29"/>
        <x:v>G50</x:v>
      </x:c>
      <x:c r="BY25" s="1254" t="b">
        <x:f t="shared" si="30"/>
        <x:v>0</x:v>
      </x:c>
      <x:c r="BZ25" s="1253" t="b">
        <x:f t="shared" si="50"/>
        <x:v>0</x:v>
      </x:c>
      <x:c r="CB25" s="842"/>
      <x:c r="CC25" s="894"/>
      <x:c r="CD25" s="883"/>
      <x:c r="CE25" s="884"/>
      <x:c r="CF25" s="885"/>
      <x:c r="CG25" s="901"/>
      <x:c r="CH25" s="902"/>
      <x:c r="CI25" s="903"/>
      <x:c r="CJ25" s="902"/>
      <x:c r="CK25" s="903"/>
      <x:c r="CL25" s="904"/>
      <x:c r="CM25" s="944"/>
      <x:c r="CN25" s="901"/>
      <x:c r="CO25" s="902"/>
      <x:c r="CP25" s="903"/>
      <x:c r="CQ25" s="902"/>
      <x:c r="CR25" s="903"/>
      <x:c r="CS25" s="904"/>
      <x:c r="CT25" s="944"/>
      <x:c r="CU25" s="906"/>
      <x:c r="CV25" s="886"/>
      <x:c r="CW25" s="887"/>
      <x:c r="CX25" s="915"/>
      <x:c r="CY25" s="916"/>
      <x:c r="CZ25" s="932"/>
      <x:c r="DA25" s="933"/>
      <x:c r="DB25" s="932"/>
      <x:c r="DC25" s="933"/>
      <x:c r="DD25" s="1149"/>
      <x:c r="DE25" s="1150"/>
      <x:c r="DF25" s="173"/>
      <x:c r="DG25" s="173"/>
      <x:c r="DH25" s="842"/>
      <x:c r="DI25" s="843"/>
      <x:c r="DJ25" s="872"/>
      <x:c r="DK25" s="873"/>
      <x:c r="DL25" s="844"/>
      <x:c r="DM25" s="874"/>
      <x:c r="DN25" s="875"/>
      <x:c r="DO25" s="845"/>
      <x:c r="DP25" s="846"/>
      <x:c r="DQ25" s="847"/>
      <x:c r="DR25" s="847"/>
      <x:c r="DS25" s="848"/>
      <x:c r="DT25" s="836"/>
      <x:c r="DU25" s="837"/>
      <x:c r="DV25" s="849"/>
      <x:c r="DW25" s="850"/>
      <x:c r="DX25" s="851"/>
      <x:c r="DY25" s="852"/>
      <x:c r="DZ25" s="849"/>
      <x:c r="EA25" s="850"/>
      <x:c r="EB25" s="851"/>
      <x:c r="EC25" s="852"/>
      <x:c r="ED25" s="849"/>
      <x:c r="EE25" s="850"/>
      <x:c r="EF25" s="851"/>
      <x:c r="EG25" s="852"/>
      <x:c r="EH25" s="849"/>
      <x:c r="EI25" s="850"/>
      <x:c r="EJ25" s="851"/>
      <x:c r="EK25" s="853"/>
      <x:c r="EL25" s="798" t="str">
        <x:f t="shared" si="31"/>
        <x:v/>
      </x:c>
      <x:c r="EM25" s="799" t="str">
        <x:f t="shared" si="32"/>
        <x:v/>
      </x:c>
      <x:c r="EN25" s="800" t="str">
        <x:f t="shared" si="33"/>
        <x:v/>
      </x:c>
      <x:c r="EO25" s="1030" t="str">
        <x:f t="shared" si="34"/>
        <x:v/>
      </x:c>
      <x:c r="EP25" s="726" t="str">
        <x:f t="shared" si="35"/>
        <x:v/>
      </x:c>
      <x:c r="EQ25" s="727" t="str">
        <x:f t="shared" si="36"/>
        <x:v/>
      </x:c>
      <x:c r="ER25" s="961" t="str">
        <x:f t="shared" si="37"/>
        <x:v/>
      </x:c>
      <x:c r="ES25" s="962" t="str">
        <x:f t="shared" si="51"/>
        <x:v/>
      </x:c>
      <x:c r="ET25" s="963" t="str">
        <x:f t="shared" si="38"/>
        <x:v/>
      </x:c>
      <x:c r="EU25" s="964" t="str">
        <x:f t="shared" si="39"/>
        <x:v/>
      </x:c>
      <x:c r="EX25" s="1194" t="str">
        <x:f t="shared" si="52"/>
        <x:v>G50B</x:v>
      </x:c>
      <x:c r="EY25" s="1196" t="b">
        <x:f t="shared" ca="1" si="40"/>
        <x:v>1</x:v>
      </x:c>
      <x:c r="EZ25" s="1196">
        <x:f t="shared" si="53"/>
        <x:v>5</x:v>
      </x:c>
      <x:c r="FA25" s="1217" t="e">
        <x:f t="shared" si="61"/>
        <x:v>#N/A</x:v>
      </x:c>
      <x:c r="FB25" s="1218" t="e">
        <x:f t="shared" si="54"/>
        <x:v>#N/A</x:v>
      </x:c>
      <x:c r="FC25" s="1218">
        <x:f t="shared" si="41"/>
        <x:v>46</x:v>
      </x:c>
      <x:c r="FD25" s="1218">
        <x:f t="shared" si="42"/>
        <x:v>480</x:v>
      </x:c>
      <x:c r="FE25" s="1218">
        <x:f t="shared" si="43"/>
        <x:v>94</x:v>
      </x:c>
      <x:c r="FF25" s="1218">
        <x:f t="shared" si="55"/>
        <x:v>620</x:v>
      </x:c>
      <x:c r="FN25" s="969" t="b">
        <x:v>0</x:v>
      </x:c>
      <x:c r="FO25" s="969" t="b">
        <x:f t="shared" si="44"/>
        <x:v>1</x:v>
      </x:c>
      <x:c r="FP25" s="969" t="b">
        <x:v>0</x:v>
      </x:c>
      <x:c r="FQ25" s="969" t="b">
        <x:f t="shared" si="56"/>
        <x:v>1</x:v>
      </x:c>
      <x:c r="FW25" s="2"/>
      <x:c r="FX25" s="2"/>
      <x:c r="FZ25" s="2"/>
      <x:c r="GA25" s="1935">
        <x:v>24</x:v>
      </x:c>
      <x:c r="GB25" s="1936">
        <x:v>6.25</x:v>
      </x:c>
      <x:c r="GC25" s="1937">
        <x:v>-0.25</x:v>
      </x:c>
      <x:c r="GD25" s="1938">
        <x:v>-1</x:v>
      </x:c>
      <x:c r="GE25" s="1939">
        <x:f t="shared" si="45"/>
        <x:v>0</x:v>
      </x:c>
      <x:c r="GF25" s="1940" t="str">
        <x:f t="shared" si="46"/>
        <x:v>G52</x:v>
      </x:c>
      <x:c r="GG25" s="1457"/>
      <x:c r="GH25" s="1459"/>
      <x:c r="GI25" s="1457"/>
      <x:c r="GJ25" s="1459"/>
      <x:c r="GK25" s="326">
        <x:f t="shared" si="47"/>
        <x:v>293</x:v>
      </x:c>
      <x:c r="GL25" s="326">
        <x:f t="shared" si="48"/>
        <x:v>293</x:v>
      </x:c>
      <x:c r="GM25" s="327">
        <x:f>IF(ABS(GK25-GL25)&gt;='Job Info.'!$L$22,ABS(GK25-GL25),0)</x:f>
        <x:v>0</x:v>
      </x:c>
      <x:c r="HA25" s="1612" t="s">
        <x:v>1315</x:v>
      </x:c>
      <x:c r="HB25" s="1613">
        <x:v>1</x:v>
      </x:c>
      <x:c r="HC25" s="1613" t="s">
        <x:v>1965</x:v>
      </x:c>
      <x:c r="HD25" s="1614">
        <x:v>24</x:v>
      </x:c>
      <x:c r="HE25" s="1615">
        <x:v>5</x:v>
      </x:c>
      <x:c r="HF25" s="1613">
        <x:v>11.125</x:v>
      </x:c>
      <x:c r="HG25" s="1613">
        <x:v>0</x:v>
      </x:c>
      <x:c r="HH25" s="1613">
        <x:v>1.75</x:v>
      </x:c>
      <x:c r="HI25" s="1613" t="s">
        <x:v>114</x:v>
      </x:c>
      <x:c r="HJ25" s="1613" t="s">
        <x:v>117</x:v>
      </x:c>
      <x:c r="HK25" s="1613" t="s">
        <x:v>117</x:v>
      </x:c>
      <x:c r="HL25" s="1613" t="s">
        <x:v>117</x:v>
      </x:c>
      <x:c r="HM25" s="1613">
        <x:v>7.5</x:v>
      </x:c>
      <x:c r="HN25" s="1613">
        <x:v>7.5</x:v>
      </x:c>
      <x:c r="HO25" s="1613">
        <x:v>0</x:v>
      </x:c>
      <x:c r="HP25" s="1613">
        <x:v>6.75</x:v>
      </x:c>
      <x:c r="HQ25" s="1613">
        <x:v>0</x:v>
      </x:c>
      <x:c r="HR25" s="1613">
        <x:v>1</x:v>
      </x:c>
      <x:c r="HS25" s="1613">
        <x:v>0</x:v>
      </x:c>
      <x:c r="HT25" s="1613">
        <x:v>6.25</x:v>
      </x:c>
      <x:c r="HU25" s="1613">
        <x:v>0</x:v>
      </x:c>
      <x:c r="HV25" s="1613">
        <x:v>3.875</x:v>
      </x:c>
      <x:c r="HW25" s="1613">
        <x:v>5</x:v>
      </x:c>
      <x:c r="HX25" s="1613" t="s">
        <x:v>117</x:v>
      </x:c>
      <x:c r="HY25" s="1617" t="s">
        <x:v>117</x:v>
      </x:c>
      <x:c r="HZ25" s="1617" t="s">
        <x:v>2057</x:v>
      </x:c>
      <x:c r="IA25" s="1617" t="s">
        <x:v>117</x:v>
      </x:c>
      <x:c r="IB25" s="1617"/>
      <x:c r="IC25" s="1617"/>
      <x:c r="ID25" s="1632"/>
      <x:c r="IE25" s="1612" t="s">
        <x:v>1313</x:v>
      </x:c>
      <x:c r="IF25" s="1613" t="s">
        <x:v>35</x:v>
      </x:c>
      <x:c r="IG25" s="1614">
        <x:v>3</x:v>
      </x:c>
      <x:c r="IH25" s="1615">
        <x:v>10</x:v>
      </x:c>
      <x:c r="II25" s="1613">
        <x:v>5</x:v>
      </x:c>
      <x:c r="IJ25" s="1614">
        <x:v>8</x:v>
      </x:c>
      <x:c r="IK25" s="1615">
        <x:v>0</x:v>
      </x:c>
      <x:c r="IL25" s="1613">
        <x:v>7</x:v>
      </x:c>
      <x:c r="IM25" s="1613">
        <x:v>10</x:v>
      </x:c>
      <x:c r="IN25" s="1613" t="s">
        <x:v>117</x:v>
      </x:c>
      <x:c r="IO25" s="1613" t="s">
        <x:v>117</x:v>
      </x:c>
      <x:c r="IP25" s="1613">
        <x:v>5</x:v>
      </x:c>
      <x:c r="IQ25" s="1613">
        <x:v>13</x:v>
      </x:c>
      <x:c r="IR25" s="1613">
        <x:v>4</x:v>
      </x:c>
      <x:c r="IS25" s="1614" t="s">
        <x:v>117</x:v>
      </x:c>
      <x:c r="IT25" s="1615">
        <x:v>1.75</x:v>
      </x:c>
      <x:c r="IU25" s="1613" t="s">
        <x:v>1061</x:v>
      </x:c>
      <x:c r="IV25" s="1613" t="s">
        <x:v>1956</x:v>
      </x:c>
      <x:c r="IW25" s="1614" t="s">
        <x:v>117</x:v>
      </x:c>
      <x:c r="IX25" s="1615" t="s">
        <x:v>35</x:v>
      </x:c>
      <x:c r="IY25" s="1613" t="s">
        <x:v>117</x:v>
      </x:c>
      <x:c r="IZ25" s="1613" t="s">
        <x:v>117</x:v>
      </x:c>
      <x:c r="JA25" s="1614" t="s">
        <x:v>117</x:v>
      </x:c>
      <x:c r="JB25" s="1615" t="s">
        <x:v>117</x:v>
      </x:c>
      <x:c r="JC25" s="1613" t="s">
        <x:v>117</x:v>
      </x:c>
      <x:c r="JD25" s="1613" t="s">
        <x:v>117</x:v>
      </x:c>
      <x:c r="JE25" s="1614" t="s">
        <x:v>117</x:v>
      </x:c>
      <x:c r="JF25" s="1615" t="s">
        <x:v>117</x:v>
      </x:c>
      <x:c r="JG25" s="1613" t="s">
        <x:v>117</x:v>
      </x:c>
      <x:c r="JH25" s="1613" t="s">
        <x:v>117</x:v>
      </x:c>
      <x:c r="JI25" s="1613" t="s">
        <x:v>117</x:v>
      </x:c>
      <x:c r="JJ25" s="1616" t="s">
        <x:v>117</x:v>
      </x:c>
      <x:c r="JK25" s="1613">
        <x:v>1</x:v>
      </x:c>
      <x:c r="JL25" s="1521">
        <x:f t="shared" ca="1" si="62"/>
        <x:v>1</x:v>
      </x:c>
    </x:row>
    <x:row r="26" spans="1:272" ht="12.6" customHeight="1" x14ac:dyDescent="0.25">
      <x:c r="A26" s="1583" t="s">
        <x:v>1316</x:v>
      </x:c>
      <x:c r="B26" s="1584">
        <x:v>1</x:v>
      </x:c>
      <x:c r="C26" s="1585" t="s">
        <x:v>1954</x:v>
      </x:c>
      <x:c r="D26" s="1586">
        <x:v>51</x:v>
      </x:c>
      <x:c r="E26" s="1587">
        <x:v>11.5</x:v>
      </x:c>
      <x:c r="F26" s="1588">
        <x:v>11.125</x:v>
      </x:c>
      <x:c r="G26" s="1589">
        <x:v>0</x:v>
      </x:c>
      <x:c r="H26" s="1590">
        <x:v>1.75</x:v>
      </x:c>
      <x:c r="I26" s="1591" t="s">
        <x:v>114</x:v>
      </x:c>
      <x:c r="J26" s="1586">
        <x:v>0</x:v>
      </x:c>
      <x:c r="K26" s="1590">
        <x:v>1.75</x:v>
      </x:c>
      <x:c r="L26" s="1592" t="s">
        <x:v>114</x:v>
      </x:c>
      <x:c r="M26" s="1593">
        <x:v>7.5</x:v>
      </x:c>
      <x:c r="N26" s="1594">
        <x:v>7.5</x:v>
      </x:c>
      <x:c r="O26" s="1589">
        <x:v>0</x:v>
      </x:c>
      <x:c r="P26" s="1590">
        <x:v>6.75</x:v>
      </x:c>
      <x:c r="Q26" s="1586">
        <x:v>0</x:v>
      </x:c>
      <x:c r="R26" s="1587">
        <x:v>6.75</x:v>
      </x:c>
      <x:c r="S26" s="1595">
        <x:v>0</x:v>
      </x:c>
      <x:c r="T26" s="1590">
        <x:v>6.25</x:v>
      </x:c>
      <x:c r="U26" s="1586">
        <x:v>0</x:v>
      </x:c>
      <x:c r="V26" s="1590">
        <x:v>6.25</x:v>
      </x:c>
      <x:c r="W26" s="1594">
        <x:v>5</x:v>
      </x:c>
      <x:c r="X26" s="1596" t="str">
        <x:f t="shared" si="3"/>
        <x:v/>
      </x:c>
      <x:c r="Y26" s="1597" t="str">
        <x:f t="shared" si="4"/>
        <x:v/>
      </x:c>
      <x:c r="Z26" s="2210" t="s">
        <x:v>2301</x:v>
      </x:c>
      <x:c r="AA26" s="1605" t="str">
        <x:f t="shared" si="5"/>
        <x:v/>
      </x:c>
      <x:c r="AB26" s="1264" t="s">
        <x:v>1314</x:v>
      </x:c>
      <x:c r="AC26" s="1260" t="s">
        <x:v>35</x:v>
      </x:c>
      <x:c r="AD26" s="1261">
        <x:v>3</x:v>
      </x:c>
      <x:c r="AE26" s="1262">
        <x:v>10</x:v>
      </x:c>
      <x:c r="AF26" s="1260">
        <x:v>3</x:v>
      </x:c>
      <x:c r="AG26" s="1261">
        <x:v>8</x:v>
      </x:c>
      <x:c r="AH26" s="1262">
        <x:v>0</x:v>
      </x:c>
      <x:c r="AI26" s="1261">
        <x:v>5</x:v>
      </x:c>
      <x:c r="AJ26" s="1262">
        <x:v>3.375</x:v>
      </x:c>
      <x:c r="AK26" s="1599" t="str">
        <x:f t="shared" si="6"/>
        <x:v/>
      </x:c>
      <x:c r="AL26" s="1600" t="str">
        <x:f t="shared" si="6"/>
        <x:v/>
      </x:c>
      <x:c r="AM26" s="1601" t="str">
        <x:f t="shared" si="6"/>
        <x:v/>
      </x:c>
      <x:c r="AN26" s="1260" t="str">
        <x:f t="shared" si="6"/>
        <x:v/>
      </x:c>
      <x:c r="AO26" s="1329" t="str">
        <x:f t="shared" si="6"/>
        <x:v/>
      </x:c>
      <x:c r="AP26" s="1327" t="str">
        <x:f t="shared" si="49"/>
        <x:v/>
      </x:c>
      <x:c r="AQ26" s="1602" t="str">
        <x:f t="shared" si="49"/>
        <x:v/>
      </x:c>
      <x:c r="AR26" s="1263" t="str">
        <x:f t="shared" si="64"/>
        <x:v/>
      </x:c>
      <x:c r="AS26" s="1262" t="str">
        <x:f t="shared" si="65"/>
        <x:v/>
      </x:c>
      <x:c r="AT26" s="1603" t="str">
        <x:f t="shared" si="7"/>
        <x:v/>
      </x:c>
      <x:c r="AU26" s="1410" t="str">
        <x:f t="shared" si="7"/>
        <x:v/>
      </x:c>
      <x:c r="AV26" s="1328" t="str">
        <x:f t="shared" si="8"/>
        <x:v/>
      </x:c>
      <x:c r="AW26" s="1262" t="str">
        <x:f t="shared" si="9"/>
        <x:v/>
      </x:c>
      <x:c r="AX26" s="1603" t="str">
        <x:f t="shared" si="10"/>
        <x:v/>
      </x:c>
      <x:c r="AY26" s="1410" t="str">
        <x:f t="shared" si="10"/>
        <x:v/>
      </x:c>
      <x:c r="AZ26" s="1328" t="str">
        <x:f t="shared" si="11"/>
        <x:v/>
      </x:c>
      <x:c r="BA26" s="1262" t="str">
        <x:f t="shared" si="12"/>
        <x:v/>
      </x:c>
      <x:c r="BB26" s="1603" t="str">
        <x:f t="shared" si="13"/>
        <x:v/>
      </x:c>
      <x:c r="BC26" s="1410" t="str">
        <x:f t="shared" si="13"/>
        <x:v/>
      </x:c>
      <x:c r="BD26" s="1328" t="str">
        <x:f t="shared" si="14"/>
        <x:v/>
      </x:c>
      <x:c r="BE26" s="1262" t="str">
        <x:f t="shared" si="15"/>
        <x:v/>
      </x:c>
      <x:c r="BF26" s="1603" t="str">
        <x:f t="shared" si="16"/>
        <x:v/>
      </x:c>
      <x:c r="BG26" s="1410" t="str">
        <x:f t="shared" si="16"/>
        <x:v/>
      </x:c>
      <x:c r="BH26" s="322"/>
      <x:c r="BJ26" s="1258" t="str">
        <x:f t="shared" si="60"/>
        <x:v>G53</x:v>
      </x:c>
      <x:c r="BK26" s="1256" t="b">
        <x:f t="shared" si="17"/>
        <x:v>0</x:v>
      </x:c>
      <x:c r="BL26" s="2002" t="b">
        <x:v>0</x:v>
      </x:c>
      <x:c r="BM26" s="1251">
        <x:f t="shared" si="18"/>
        <x:v>54</x:v>
      </x:c>
      <x:c r="BN26" s="1251" t="str">
        <x:f t="shared" si="19"/>
        <x:v>G</x:v>
      </x:c>
      <x:c r="BO26" s="1251">
        <x:f t="shared" si="20"/>
        <x:v>7</x:v>
      </x:c>
      <x:c r="BP26" s="1251">
        <x:f t="shared" si="21"/>
        <x:v>13.4</x:v>
      </x:c>
      <x:c r="BQ26" s="1251">
        <x:f t="shared" si="22"/>
        <x:v>3.9</x:v>
      </x:c>
      <x:c r="BR26" s="1251" t="b">
        <x:f t="shared" si="23"/>
        <x:v>1</x:v>
      </x:c>
      <x:c r="BS26" s="1252">
        <x:f t="shared" si="24"/>
        <x:v>7.75</x:v>
      </x:c>
      <x:c r="BT26" s="1252" t="str">
        <x:f t="shared" si="25"/>
        <x:v>Yes</x:v>
      </x:c>
      <x:c r="BU26" s="1252">
        <x:f t="shared" si="26"/>
        <x:v>7.75</x:v>
      </x:c>
      <x:c r="BV26" s="1252" t="str">
        <x:f t="shared" si="27"/>
        <x:v>Yes</x:v>
      </x:c>
      <x:c r="BW26" s="1253">
        <x:f t="shared" si="28"/>
        <x:v>9</x:v>
      </x:c>
      <x:c r="BX26" s="1254" t="str">
        <x:f t="shared" si="29"/>
        <x:v>G51</x:v>
      </x:c>
      <x:c r="BY26" s="1254" t="b">
        <x:f t="shared" si="30"/>
        <x:v>0</x:v>
      </x:c>
      <x:c r="BZ26" s="1253" t="b">
        <x:f t="shared" si="50"/>
        <x:v>0</x:v>
      </x:c>
      <x:c r="CB26" s="842"/>
      <x:c r="CC26" s="894"/>
      <x:c r="CD26" s="883"/>
      <x:c r="CE26" s="884"/>
      <x:c r="CF26" s="885"/>
      <x:c r="CG26" s="901"/>
      <x:c r="CH26" s="902"/>
      <x:c r="CI26" s="903"/>
      <x:c r="CJ26" s="902"/>
      <x:c r="CK26" s="903"/>
      <x:c r="CL26" s="904"/>
      <x:c r="CM26" s="944"/>
      <x:c r="CN26" s="901"/>
      <x:c r="CO26" s="902"/>
      <x:c r="CP26" s="903"/>
      <x:c r="CQ26" s="902"/>
      <x:c r="CR26" s="903"/>
      <x:c r="CS26" s="904"/>
      <x:c r="CT26" s="944"/>
      <x:c r="CU26" s="906"/>
      <x:c r="CV26" s="886"/>
      <x:c r="CW26" s="887"/>
      <x:c r="CX26" s="915"/>
      <x:c r="CY26" s="916"/>
      <x:c r="CZ26" s="932"/>
      <x:c r="DA26" s="933"/>
      <x:c r="DB26" s="932"/>
      <x:c r="DC26" s="933"/>
      <x:c r="DD26" s="1149"/>
      <x:c r="DE26" s="1150"/>
      <x:c r="DF26" s="173"/>
      <x:c r="DG26" s="173"/>
      <x:c r="DH26" s="842"/>
      <x:c r="DI26" s="843"/>
      <x:c r="DJ26" s="872"/>
      <x:c r="DK26" s="873"/>
      <x:c r="DL26" s="844"/>
      <x:c r="DM26" s="874"/>
      <x:c r="DN26" s="875"/>
      <x:c r="DO26" s="845"/>
      <x:c r="DP26" s="846"/>
      <x:c r="DQ26" s="847"/>
      <x:c r="DR26" s="847"/>
      <x:c r="DS26" s="848"/>
      <x:c r="DT26" s="836"/>
      <x:c r="DU26" s="837"/>
      <x:c r="DV26" s="849"/>
      <x:c r="DW26" s="850"/>
      <x:c r="DX26" s="851"/>
      <x:c r="DY26" s="852"/>
      <x:c r="DZ26" s="849"/>
      <x:c r="EA26" s="850"/>
      <x:c r="EB26" s="851"/>
      <x:c r="EC26" s="852"/>
      <x:c r="ED26" s="849"/>
      <x:c r="EE26" s="850"/>
      <x:c r="EF26" s="851"/>
      <x:c r="EG26" s="852"/>
      <x:c r="EH26" s="849"/>
      <x:c r="EI26" s="850"/>
      <x:c r="EJ26" s="851"/>
      <x:c r="EK26" s="853"/>
      <x:c r="EL26" s="798" t="str">
        <x:f t="shared" si="31"/>
        <x:v/>
      </x:c>
      <x:c r="EM26" s="799" t="str">
        <x:f t="shared" si="32"/>
        <x:v/>
      </x:c>
      <x:c r="EN26" s="800" t="str">
        <x:f t="shared" si="33"/>
        <x:v/>
      </x:c>
      <x:c r="EO26" s="1030" t="str">
        <x:f t="shared" si="34"/>
        <x:v/>
      </x:c>
      <x:c r="EP26" s="726" t="str">
        <x:f t="shared" si="35"/>
        <x:v/>
      </x:c>
      <x:c r="EQ26" s="727" t="str">
        <x:f t="shared" si="36"/>
        <x:v/>
      </x:c>
      <x:c r="ER26" s="961" t="str">
        <x:f t="shared" si="37"/>
        <x:v/>
      </x:c>
      <x:c r="ES26" s="962" t="str">
        <x:f t="shared" si="51"/>
        <x:v/>
      </x:c>
      <x:c r="ET26" s="963" t="str">
        <x:f t="shared" si="38"/>
        <x:v/>
      </x:c>
      <x:c r="EU26" s="964" t="str">
        <x:f t="shared" si="39"/>
        <x:v/>
      </x:c>
      <x:c r="EX26" s="1194" t="str">
        <x:f t="shared" si="52"/>
        <x:v>G51B</x:v>
      </x:c>
      <x:c r="EY26" s="1196" t="b">
        <x:f t="shared" ca="1" si="40"/>
        <x:v>1</x:v>
      </x:c>
      <x:c r="EZ26" s="1196">
        <x:f t="shared" si="53"/>
        <x:v>5</x:v>
      </x:c>
      <x:c r="FA26" s="1217" t="e">
        <x:f t="shared" si="61"/>
        <x:v>#N/A</x:v>
      </x:c>
      <x:c r="FB26" s="1218" t="e">
        <x:f t="shared" si="54"/>
        <x:v>#N/A</x:v>
      </x:c>
      <x:c r="FC26" s="1218">
        <x:f t="shared" si="41"/>
        <x:v>46</x:v>
      </x:c>
      <x:c r="FD26" s="1218">
        <x:f t="shared" si="42"/>
        <x:v>288</x:v>
      </x:c>
      <x:c r="FE26" s="1218">
        <x:f t="shared" si="43"/>
        <x:v>63.375</x:v>
      </x:c>
      <x:c r="FF26" s="1218">
        <x:f t="shared" si="55"/>
        <x:v>397.375</x:v>
      </x:c>
      <x:c r="FN26" s="969" t="b">
        <x:v>0</x:v>
      </x:c>
      <x:c r="FO26" s="969" t="b">
        <x:f t="shared" si="44"/>
        <x:v>1</x:v>
      </x:c>
      <x:c r="FP26" s="969" t="b">
        <x:v>0</x:v>
      </x:c>
      <x:c r="FQ26" s="969" t="b">
        <x:f t="shared" si="56"/>
        <x:v>1</x:v>
      </x:c>
      <x:c r="FW26" s="2"/>
      <x:c r="FX26" s="2"/>
      <x:c r="FZ26" s="2"/>
      <x:c r="GA26" s="1935">
        <x:v>52</x:v>
      </x:c>
      <x:c r="GB26" s="1936">
        <x:v>0</x:v>
      </x:c>
      <x:c r="GC26" s="1937">
        <x:v>-0.25</x:v>
      </x:c>
      <x:c r="GD26" s="1938">
        <x:v>-0.25</x:v>
      </x:c>
      <x:c r="GE26" s="1939">
        <x:f t="shared" si="45"/>
        <x:v>0</x:v>
      </x:c>
      <x:c r="GF26" s="1940" t="str">
        <x:f t="shared" si="46"/>
        <x:v>G53</x:v>
      </x:c>
      <x:c r="GG26" s="1457"/>
      <x:c r="GH26" s="1459"/>
      <x:c r="GI26" s="1457"/>
      <x:c r="GJ26" s="1459"/>
      <x:c r="GK26" s="326">
        <x:f t="shared" si="47"/>
        <x:v>623.5</x:v>
      </x:c>
      <x:c r="GL26" s="326">
        <x:f t="shared" si="48"/>
        <x:v>623.5</x:v>
      </x:c>
      <x:c r="GM26" s="327">
        <x:f>IF(ABS(GK26-GL26)&gt;='Job Info.'!$L$22,ABS(GK26-GL26),0)</x:f>
        <x:v>0</x:v>
      </x:c>
      <x:c r="GZ26" s="183"/>
      <x:c r="HA26" s="1612" t="s">
        <x:v>1316</x:v>
      </x:c>
      <x:c r="HB26" s="1613">
        <x:v>1</x:v>
      </x:c>
      <x:c r="HC26" s="1613" t="s">
        <x:v>1954</x:v>
      </x:c>
      <x:c r="HD26" s="1614">
        <x:v>51</x:v>
      </x:c>
      <x:c r="HE26" s="1615">
        <x:v>11.5</x:v>
      </x:c>
      <x:c r="HF26" s="1613">
        <x:v>11.125</x:v>
      </x:c>
      <x:c r="HG26" s="1613">
        <x:v>0</x:v>
      </x:c>
      <x:c r="HH26" s="1613">
        <x:v>1.75</x:v>
      </x:c>
      <x:c r="HI26" s="1613" t="s">
        <x:v>114</x:v>
      </x:c>
      <x:c r="HJ26" s="1613">
        <x:v>0</x:v>
      </x:c>
      <x:c r="HK26" s="1613">
        <x:v>1.75</x:v>
      </x:c>
      <x:c r="HL26" s="1613" t="s">
        <x:v>114</x:v>
      </x:c>
      <x:c r="HM26" s="1613">
        <x:v>7.5</x:v>
      </x:c>
      <x:c r="HN26" s="1613">
        <x:v>7.5</x:v>
      </x:c>
      <x:c r="HO26" s="1613">
        <x:v>0</x:v>
      </x:c>
      <x:c r="HP26" s="1613">
        <x:v>6.75</x:v>
      </x:c>
      <x:c r="HQ26" s="1613">
        <x:v>0</x:v>
      </x:c>
      <x:c r="HR26" s="1613">
        <x:v>6.75</x:v>
      </x:c>
      <x:c r="HS26" s="1613">
        <x:v>0</x:v>
      </x:c>
      <x:c r="HT26" s="1613">
        <x:v>6.25</x:v>
      </x:c>
      <x:c r="HU26" s="1613">
        <x:v>0</x:v>
      </x:c>
      <x:c r="HV26" s="1613">
        <x:v>6.25</x:v>
      </x:c>
      <x:c r="HW26" s="1613">
        <x:v>5</x:v>
      </x:c>
      <x:c r="HX26" s="1613" t="s">
        <x:v>117</x:v>
      </x:c>
      <x:c r="HY26" s="1617" t="s">
        <x:v>117</x:v>
      </x:c>
      <x:c r="HZ26" s="1617" t="s">
        <x:v>2028</x:v>
      </x:c>
      <x:c r="IA26" s="1617" t="s">
        <x:v>117</x:v>
      </x:c>
      <x:c r="IB26" s="1617"/>
      <x:c r="IC26" s="1617"/>
      <x:c r="ID26" s="1632"/>
      <x:c r="IE26" s="1612" t="s">
        <x:v>1314</x:v>
      </x:c>
      <x:c r="IF26" s="1613" t="s">
        <x:v>35</x:v>
      </x:c>
      <x:c r="IG26" s="1614">
        <x:v>3</x:v>
      </x:c>
      <x:c r="IH26" s="1615">
        <x:v>10</x:v>
      </x:c>
      <x:c r="II26" s="1613">
        <x:v>3</x:v>
      </x:c>
      <x:c r="IJ26" s="1614">
        <x:v>8</x:v>
      </x:c>
      <x:c r="IK26" s="1615">
        <x:v>0</x:v>
      </x:c>
      <x:c r="IL26" s="1613">
        <x:v>5</x:v>
      </x:c>
      <x:c r="IM26" s="1613">
        <x:v>3.375</x:v>
      </x:c>
      <x:c r="IN26" s="1613" t="s">
        <x:v>117</x:v>
      </x:c>
      <x:c r="IO26" s="1613" t="s">
        <x:v>117</x:v>
      </x:c>
      <x:c r="IP26" s="1613" t="s">
        <x:v>117</x:v>
      </x:c>
      <x:c r="IQ26" s="1613" t="s">
        <x:v>117</x:v>
      </x:c>
      <x:c r="IR26" s="1613" t="s">
        <x:v>117</x:v>
      </x:c>
      <x:c r="IS26" s="1614" t="s">
        <x:v>117</x:v>
      </x:c>
      <x:c r="IT26" s="1615" t="s">
        <x:v>117</x:v>
      </x:c>
      <x:c r="IU26" s="1613" t="s">
        <x:v>117</x:v>
      </x:c>
      <x:c r="IV26" s="1613" t="s">
        <x:v>117</x:v>
      </x:c>
      <x:c r="IW26" s="1614" t="s">
        <x:v>117</x:v>
      </x:c>
      <x:c r="IX26" s="1615" t="s">
        <x:v>117</x:v>
      </x:c>
      <x:c r="IY26" s="1613" t="s">
        <x:v>117</x:v>
      </x:c>
      <x:c r="IZ26" s="1613" t="s">
        <x:v>117</x:v>
      </x:c>
      <x:c r="JA26" s="1614" t="s">
        <x:v>117</x:v>
      </x:c>
      <x:c r="JB26" s="1615" t="s">
        <x:v>117</x:v>
      </x:c>
      <x:c r="JC26" s="1613" t="s">
        <x:v>117</x:v>
      </x:c>
      <x:c r="JD26" s="1613" t="s">
        <x:v>117</x:v>
      </x:c>
      <x:c r="JE26" s="1614" t="s">
        <x:v>117</x:v>
      </x:c>
      <x:c r="JF26" s="1615" t="s">
        <x:v>117</x:v>
      </x:c>
      <x:c r="JG26" s="1613" t="s">
        <x:v>117</x:v>
      </x:c>
      <x:c r="JH26" s="1613" t="s">
        <x:v>117</x:v>
      </x:c>
      <x:c r="JI26" s="1613" t="s">
        <x:v>117</x:v>
      </x:c>
      <x:c r="JJ26" s="1616" t="s">
        <x:v>117</x:v>
      </x:c>
      <x:c r="JK26" s="1613">
        <x:v>1</x:v>
      </x:c>
      <x:c r="JL26" s="1521">
        <x:f t="shared" ca="1" si="62"/>
        <x:v>1</x:v>
      </x:c>
    </x:row>
    <x:row r="27" spans="1:272" ht="12.6" customHeight="1" x14ac:dyDescent="0.25">
      <x:c r="A27" s="1583" t="s">
        <x:v>1317</x:v>
      </x:c>
      <x:c r="B27" s="1584">
        <x:v>1</x:v>
      </x:c>
      <x:c r="C27" s="1585" t="s">
        <x:v>1957</x:v>
      </x:c>
      <x:c r="D27" s="1586">
        <x:v>59</x:v>
      </x:c>
      <x:c r="E27" s="1587">
        <x:v>1.5</x:v>
      </x:c>
      <x:c r="F27" s="1588">
        <x:v>11.125</x:v>
      </x:c>
      <x:c r="G27" s="1589" t="str">
        <x:f t="shared" si="0"/>
        <x:v/>
      </x:c>
      <x:c r="H27" s="1590" t="str">
        <x:f t="shared" si="1"/>
        <x:v/>
      </x:c>
      <x:c r="I27" s="1591" t="str">
        <x:f t="shared" si="2"/>
        <x:v/>
      </x:c>
      <x:c r="J27" s="1586">
        <x:v>0</x:v>
      </x:c>
      <x:c r="K27" s="1590">
        <x:v>1.75</x:v>
      </x:c>
      <x:c r="L27" s="1592" t="s">
        <x:v>114</x:v>
      </x:c>
      <x:c r="M27" s="1593">
        <x:v>7.5</x:v>
      </x:c>
      <x:c r="N27" s="1594">
        <x:v>7.5</x:v>
      </x:c>
      <x:c r="O27" s="1589">
        <x:v>0</x:v>
      </x:c>
      <x:c r="P27" s="1590">
        <x:v>1</x:v>
      </x:c>
      <x:c r="Q27" s="1586">
        <x:v>0</x:v>
      </x:c>
      <x:c r="R27" s="1587">
        <x:v>6.75</x:v>
      </x:c>
      <x:c r="S27" s="1595">
        <x:v>0</x:v>
      </x:c>
      <x:c r="T27" s="1590">
        <x:v>3</x:v>
      </x:c>
      <x:c r="U27" s="1586">
        <x:v>0</x:v>
      </x:c>
      <x:c r="V27" s="1590">
        <x:v>6.25</x:v>
      </x:c>
      <x:c r="W27" s="1594">
        <x:v>5</x:v>
      </x:c>
      <x:c r="X27" s="1596" t="str">
        <x:f t="shared" si="3"/>
        <x:v/>
      </x:c>
      <x:c r="Y27" s="1597" t="str">
        <x:f t="shared" si="4"/>
        <x:v/>
      </x:c>
      <x:c r="Z27" s="2210" t="s">
        <x:v>2327</x:v>
      </x:c>
      <x:c r="AA27" s="1605" t="str">
        <x:f t="shared" si="5"/>
        <x:v/>
      </x:c>
      <x:c r="AB27" s="1264" t="s">
        <x:v>1315</x:v>
      </x:c>
      <x:c r="AC27" s="1260" t="s">
        <x:v>35</x:v>
      </x:c>
      <x:c r="AD27" s="1261">
        <x:v>7</x:v>
      </x:c>
      <x:c r="AE27" s="1262">
        <x:v>10</x:v>
      </x:c>
      <x:c r="AF27" s="1260">
        <x:v>1</x:v>
      </x:c>
      <x:c r="AG27" s="1261">
        <x:v>8</x:v>
      </x:c>
      <x:c r="AH27" s="1262">
        <x:v>0</x:v>
      </x:c>
      <x:c r="AI27" s="1261">
        <x:v>8</x:v>
      </x:c>
      <x:c r="AJ27" s="2122">
        <x:v>3.25</x:v>
      </x:c>
      <x:c r="AK27" s="1599" t="str">
        <x:f t="shared" si="6"/>
        <x:v/>
      </x:c>
      <x:c r="AL27" s="1600" t="str">
        <x:f t="shared" si="6"/>
        <x:v/>
      </x:c>
      <x:c r="AM27" s="1601">
        <x:v>5</x:v>
      </x:c>
      <x:c r="AN27" s="1260">
        <x:v>13</x:v>
      </x:c>
      <x:c r="AO27" s="1329">
        <x:v>4</x:v>
      </x:c>
      <x:c r="AP27" s="1327">
        <x:v>1.75</x:v>
      </x:c>
      <x:c r="AQ27" s="1602" t="str">
        <x:f t="shared" si="49"/>
        <x:v/>
      </x:c>
      <x:c r="AR27" s="2157">
        <x:v>1</x:v>
      </x:c>
      <x:c r="AS27" s="2122">
        <x:v>0</x:v>
      </x:c>
      <x:c r="AT27" s="1603" t="str">
        <x:f t="shared" si="7"/>
        <x:v/>
      </x:c>
      <x:c r="AU27" s="2123" t="s">
        <x:v>35</x:v>
      </x:c>
      <x:c r="AV27" s="1328" t="str">
        <x:f t="shared" si="8"/>
        <x:v/>
      </x:c>
      <x:c r="AW27" s="1262" t="str">
        <x:f t="shared" si="9"/>
        <x:v/>
      </x:c>
      <x:c r="AX27" s="1603" t="str">
        <x:f t="shared" si="10"/>
        <x:v/>
      </x:c>
      <x:c r="AY27" s="1410" t="str">
        <x:f t="shared" si="10"/>
        <x:v/>
      </x:c>
      <x:c r="AZ27" s="1328" t="str">
        <x:f t="shared" si="11"/>
        <x:v/>
      </x:c>
      <x:c r="BA27" s="1262" t="str">
        <x:f t="shared" si="12"/>
        <x:v/>
      </x:c>
      <x:c r="BB27" s="1603" t="str">
        <x:f t="shared" si="13"/>
        <x:v/>
      </x:c>
      <x:c r="BC27" s="1410" t="str">
        <x:f t="shared" si="13"/>
        <x:v/>
      </x:c>
      <x:c r="BD27" s="1328" t="str">
        <x:f t="shared" si="14"/>
        <x:v/>
      </x:c>
      <x:c r="BE27" s="1262" t="str">
        <x:f t="shared" si="15"/>
        <x:v/>
      </x:c>
      <x:c r="BF27" s="1603" t="str">
        <x:f t="shared" si="16"/>
        <x:v/>
      </x:c>
      <x:c r="BG27" s="1410" t="str">
        <x:f t="shared" si="16"/>
        <x:v/>
      </x:c>
      <x:c r="BH27" s="322"/>
      <x:c r="BJ27" s="1258" t="str">
        <x:f t="shared" si="60"/>
        <x:v>G54</x:v>
      </x:c>
      <x:c r="BK27" s="1256" t="b">
        <x:f t="shared" si="17"/>
        <x:v>0</x:v>
      </x:c>
      <x:c r="BL27" s="2002" t="b">
        <x:v>0</x:v>
      </x:c>
      <x:c r="BM27" s="1251">
        <x:f t="shared" si="18"/>
        <x:v>54</x:v>
      </x:c>
      <x:c r="BN27" s="1251" t="str">
        <x:f t="shared" si="19"/>
        <x:v>G</x:v>
      </x:c>
      <x:c r="BO27" s="1251">
        <x:f t="shared" si="20"/>
        <x:v>8</x:v>
      </x:c>
      <x:c r="BP27" s="1251">
        <x:f t="shared" si="21"/>
        <x:v>13.4</x:v>
      </x:c>
      <x:c r="BQ27" s="1251">
        <x:f t="shared" si="22"/>
        <x:v>3.9</x:v>
      </x:c>
      <x:c r="BR27" s="1251" t="b">
        <x:f t="shared" si="23"/>
        <x:v>1</x:v>
      </x:c>
      <x:c r="BS27" s="1252">
        <x:f t="shared" si="24"/>
        <x:v>6</x:v>
      </x:c>
      <x:c r="BT27" s="1252" t="str">
        <x:f t="shared" si="25"/>
        <x:v>Yes</x:v>
      </x:c>
      <x:c r="BU27" s="1252">
        <x:f t="shared" si="26"/>
        <x:v>7.75</x:v>
      </x:c>
      <x:c r="BV27" s="1252" t="str">
        <x:f t="shared" si="27"/>
        <x:v>Yes</x:v>
      </x:c>
      <x:c r="BW27" s="1253">
        <x:f t="shared" si="28"/>
        <x:v>16</x:v>
      </x:c>
      <x:c r="BX27" s="1254" t="str">
        <x:f t="shared" si="29"/>
        <x:v>G52</x:v>
      </x:c>
      <x:c r="BY27" s="1254" t="b">
        <x:f t="shared" si="30"/>
        <x:v>0</x:v>
      </x:c>
      <x:c r="BZ27" s="1253" t="b">
        <x:f t="shared" si="50"/>
        <x:v>0</x:v>
      </x:c>
      <x:c r="CB27" s="842"/>
      <x:c r="CC27" s="894"/>
      <x:c r="CD27" s="883"/>
      <x:c r="CE27" s="884"/>
      <x:c r="CF27" s="885"/>
      <x:c r="CG27" s="901"/>
      <x:c r="CH27" s="902"/>
      <x:c r="CI27" s="903"/>
      <x:c r="CJ27" s="902"/>
      <x:c r="CK27" s="903"/>
      <x:c r="CL27" s="904"/>
      <x:c r="CM27" s="944"/>
      <x:c r="CN27" s="901"/>
      <x:c r="CO27" s="902"/>
      <x:c r="CP27" s="903"/>
      <x:c r="CQ27" s="902"/>
      <x:c r="CR27" s="903"/>
      <x:c r="CS27" s="904"/>
      <x:c r="CT27" s="944"/>
      <x:c r="CU27" s="906"/>
      <x:c r="CV27" s="886"/>
      <x:c r="CW27" s="887"/>
      <x:c r="CX27" s="915"/>
      <x:c r="CY27" s="916"/>
      <x:c r="CZ27" s="932"/>
      <x:c r="DA27" s="933"/>
      <x:c r="DB27" s="932"/>
      <x:c r="DC27" s="933"/>
      <x:c r="DD27" s="1149"/>
      <x:c r="DE27" s="1150"/>
      <x:c r="DF27" s="173"/>
      <x:c r="DG27" s="173"/>
      <x:c r="DH27" s="842"/>
      <x:c r="DI27" s="843"/>
      <x:c r="DJ27" s="872"/>
      <x:c r="DK27" s="873"/>
      <x:c r="DL27" s="844"/>
      <x:c r="DM27" s="874"/>
      <x:c r="DN27" s="875"/>
      <x:c r="DO27" s="845"/>
      <x:c r="DP27" s="846"/>
      <x:c r="DQ27" s="847"/>
      <x:c r="DR27" s="847"/>
      <x:c r="DS27" s="848"/>
      <x:c r="DT27" s="836"/>
      <x:c r="DU27" s="837"/>
      <x:c r="DV27" s="849"/>
      <x:c r="DW27" s="850"/>
      <x:c r="DX27" s="851"/>
      <x:c r="DY27" s="852"/>
      <x:c r="DZ27" s="849"/>
      <x:c r="EA27" s="850"/>
      <x:c r="EB27" s="851"/>
      <x:c r="EC27" s="852"/>
      <x:c r="ED27" s="849"/>
      <x:c r="EE27" s="850"/>
      <x:c r="EF27" s="851"/>
      <x:c r="EG27" s="852"/>
      <x:c r="EH27" s="849"/>
      <x:c r="EI27" s="850"/>
      <x:c r="EJ27" s="851"/>
      <x:c r="EK27" s="853"/>
      <x:c r="EL27" s="798" t="str">
        <x:f t="shared" si="31"/>
        <x:v/>
      </x:c>
      <x:c r="EM27" s="799" t="str">
        <x:f t="shared" si="32"/>
        <x:v/>
      </x:c>
      <x:c r="EN27" s="800" t="str">
        <x:f t="shared" si="33"/>
        <x:v/>
      </x:c>
      <x:c r="EO27" s="1030" t="str">
        <x:f t="shared" si="34"/>
        <x:v/>
      </x:c>
      <x:c r="EP27" s="726" t="str">
        <x:f t="shared" si="35"/>
        <x:v/>
      </x:c>
      <x:c r="EQ27" s="727" t="str">
        <x:f t="shared" si="36"/>
        <x:v/>
      </x:c>
      <x:c r="ER27" s="961" t="str">
        <x:f t="shared" si="37"/>
        <x:v/>
      </x:c>
      <x:c r="ES27" s="962" t="str">
        <x:f t="shared" si="51"/>
        <x:v/>
      </x:c>
      <x:c r="ET27" s="963" t="str">
        <x:f t="shared" si="38"/>
        <x:v/>
      </x:c>
      <x:c r="EU27" s="964" t="str">
        <x:f t="shared" si="39"/>
        <x:v/>
      </x:c>
      <x:c r="EX27" s="1194" t="str">
        <x:f t="shared" si="52"/>
        <x:v>G52B</x:v>
      </x:c>
      <x:c r="EY27" s="1196" t="b">
        <x:f t="shared" ca="1" si="40"/>
        <x:v>0</x:v>
      </x:c>
      <x:c r="EZ27" s="1196">
        <x:f t="shared" si="53"/>
        <x:v>5</x:v>
      </x:c>
      <x:c r="FA27" s="1217" t="e">
        <x:f t="shared" si="61"/>
        <x:v>#N/A</x:v>
      </x:c>
      <x:c r="FB27" s="1218" t="e">
        <x:f t="shared" si="54"/>
        <x:v>#N/A</x:v>
      </x:c>
      <x:c r="FC27" s="1218">
        <x:f t="shared" si="41"/>
        <x:v>94</x:v>
      </x:c>
      <x:c r="FD27" s="1218">
        <x:f t="shared" si="42"/>
        <x:v>96</x:v>
      </x:c>
      <x:c r="FE27" s="1218">
        <x:f t="shared" si="43"/>
        <x:v>99.25</x:v>
      </x:c>
      <x:c r="FF27" s="1218">
        <x:f t="shared" si="55"/>
        <x:v>289.25</x:v>
      </x:c>
      <x:c r="FN27" s="969" t="b">
        <x:v>0</x:v>
      </x:c>
      <x:c r="FO27" s="969" t="b">
        <x:f t="shared" si="44"/>
        <x:v>1</x:v>
      </x:c>
      <x:c r="FP27" s="969" t="b">
        <x:v>0</x:v>
      </x:c>
      <x:c r="FQ27" s="969" t="b">
        <x:f t="shared" si="56"/>
        <x:v>1</x:v>
      </x:c>
      <x:c r="FW27" s="2"/>
      <x:c r="FX27" s="2"/>
      <x:c r="FZ27" s="2"/>
      <x:c r="GA27" s="1935">
        <x:v>59</x:v>
      </x:c>
      <x:c r="GB27" s="1936">
        <x:v>2.75</x:v>
      </x:c>
      <x:c r="GC27" s="1937">
        <x:v>-1</x:v>
      </x:c>
      <x:c r="GD27" s="1938">
        <x:v>-0.25</x:v>
      </x:c>
      <x:c r="GE27" s="1939">
        <x:v>-1.68835736897643E-2</x:v>
      </x:c>
      <x:c r="GF27" s="1940" t="str">
        <x:f t="shared" si="46"/>
        <x:v>G54</x:v>
      </x:c>
      <x:c r="GG27" s="1457"/>
      <x:c r="GH27" s="1459"/>
      <x:c r="GI27" s="1457"/>
      <x:c r="GJ27" s="1459"/>
      <x:c r="GK27" s="326">
        <x:f t="shared" si="47"/>
        <x:v>709.5</x:v>
      </x:c>
      <x:c r="GL27" s="326">
        <x:f t="shared" si="48"/>
        <x:v>709.5007022446714</x:v>
      </x:c>
      <x:c r="GM27" s="327">
        <x:f>IF(ABS(GK27-GL27)&gt;='Job Info.'!$L$22,ABS(GK27-GL27),0)</x:f>
        <x:v>0</x:v>
      </x:c>
      <x:c r="GZ27" s="183"/>
      <x:c r="HA27" s="1612" t="s">
        <x:v>1317</x:v>
      </x:c>
      <x:c r="HB27" s="1613">
        <x:v>1</x:v>
      </x:c>
      <x:c r="HC27" s="1613" t="s">
        <x:v>1957</x:v>
      </x:c>
      <x:c r="HD27" s="1614">
        <x:v>59</x:v>
      </x:c>
      <x:c r="HE27" s="1615">
        <x:v>1.5</x:v>
      </x:c>
      <x:c r="HF27" s="1613">
        <x:v>11.125</x:v>
      </x:c>
      <x:c r="HG27" s="1613" t="s">
        <x:v>117</x:v>
      </x:c>
      <x:c r="HH27" s="1613" t="s">
        <x:v>117</x:v>
      </x:c>
      <x:c r="HI27" s="1613" t="s">
        <x:v>117</x:v>
      </x:c>
      <x:c r="HJ27" s="1613">
        <x:v>0</x:v>
      </x:c>
      <x:c r="HK27" s="1613">
        <x:v>1.75</x:v>
      </x:c>
      <x:c r="HL27" s="1613" t="s">
        <x:v>114</x:v>
      </x:c>
      <x:c r="HM27" s="1613">
        <x:v>7.5</x:v>
      </x:c>
      <x:c r="HN27" s="1613">
        <x:v>7.5</x:v>
      </x:c>
      <x:c r="HO27" s="1613">
        <x:v>0</x:v>
      </x:c>
      <x:c r="HP27" s="1613">
        <x:v>1</x:v>
      </x:c>
      <x:c r="HQ27" s="1613">
        <x:v>0</x:v>
      </x:c>
      <x:c r="HR27" s="1613">
        <x:v>6.75</x:v>
      </x:c>
      <x:c r="HS27" s="1613">
        <x:v>0</x:v>
      </x:c>
      <x:c r="HT27" s="1613">
        <x:v>3</x:v>
      </x:c>
      <x:c r="HU27" s="1613">
        <x:v>0</x:v>
      </x:c>
      <x:c r="HV27" s="1613">
        <x:v>6.25</x:v>
      </x:c>
      <x:c r="HW27" s="1613">
        <x:v>5</x:v>
      </x:c>
      <x:c r="HX27" s="1613" t="s">
        <x:v>117</x:v>
      </x:c>
      <x:c r="HY27" s="1617" t="s">
        <x:v>117</x:v>
      </x:c>
      <x:c r="HZ27" s="1617" t="s">
        <x:v>2058</x:v>
      </x:c>
      <x:c r="IA27" s="1617" t="s">
        <x:v>117</x:v>
      </x:c>
      <x:c r="IB27" s="1617"/>
      <x:c r="IC27" s="1617"/>
      <x:c r="ID27" s="1632"/>
      <x:c r="IE27" s="1612" t="s">
        <x:v>1315</x:v>
      </x:c>
      <x:c r="IF27" s="1613" t="s">
        <x:v>35</x:v>
      </x:c>
      <x:c r="IG27" s="1614">
        <x:v>7</x:v>
      </x:c>
      <x:c r="IH27" s="1615">
        <x:v>10</x:v>
      </x:c>
      <x:c r="II27" s="1613">
        <x:v>1</x:v>
      </x:c>
      <x:c r="IJ27" s="1614">
        <x:v>8</x:v>
      </x:c>
      <x:c r="IK27" s="1615">
        <x:v>0</x:v>
      </x:c>
      <x:c r="IL27" s="1613">
        <x:v>8</x:v>
      </x:c>
      <x:c r="IM27" s="1613">
        <x:v>5.25</x:v>
      </x:c>
      <x:c r="IN27" s="1613" t="s">
        <x:v>117</x:v>
      </x:c>
      <x:c r="IO27" s="1613" t="s">
        <x:v>117</x:v>
      </x:c>
      <x:c r="IP27" s="1613">
        <x:v>5</x:v>
      </x:c>
      <x:c r="IQ27" s="1613">
        <x:v>13</x:v>
      </x:c>
      <x:c r="IR27" s="1613">
        <x:v>4</x:v>
      </x:c>
      <x:c r="IS27" s="1614">
        <x:v>1.75</x:v>
      </x:c>
      <x:c r="IT27" s="1615" t="s">
        <x:v>117</x:v>
      </x:c>
      <x:c r="IU27" s="1613" t="s">
        <x:v>117</x:v>
      </x:c>
      <x:c r="IV27" s="1613" t="s">
        <x:v>117</x:v>
      </x:c>
      <x:c r="IW27" s="1614" t="s">
        <x:v>117</x:v>
      </x:c>
      <x:c r="IX27" s="1615" t="s">
        <x:v>117</x:v>
      </x:c>
      <x:c r="IY27" s="1613" t="s">
        <x:v>117</x:v>
      </x:c>
      <x:c r="IZ27" s="1613" t="s">
        <x:v>117</x:v>
      </x:c>
      <x:c r="JA27" s="1614" t="s">
        <x:v>117</x:v>
      </x:c>
      <x:c r="JB27" s="1615" t="s">
        <x:v>117</x:v>
      </x:c>
      <x:c r="JC27" s="1613" t="s">
        <x:v>117</x:v>
      </x:c>
      <x:c r="JD27" s="1613" t="s">
        <x:v>117</x:v>
      </x:c>
      <x:c r="JE27" s="1614" t="s">
        <x:v>117</x:v>
      </x:c>
      <x:c r="JF27" s="1615" t="s">
        <x:v>117</x:v>
      </x:c>
      <x:c r="JG27" s="1613" t="s">
        <x:v>117</x:v>
      </x:c>
      <x:c r="JH27" s="1613" t="s">
        <x:v>117</x:v>
      </x:c>
      <x:c r="JI27" s="1613" t="s">
        <x:v>117</x:v>
      </x:c>
      <x:c r="JJ27" s="1616" t="s">
        <x:v>117</x:v>
      </x:c>
      <x:c r="JK27" s="1613">
        <x:v>1</x:v>
      </x:c>
      <x:c r="JL27" s="1521">
        <x:f t="shared" ca="1" si="62"/>
        <x:v>1</x:v>
      </x:c>
    </x:row>
    <x:row r="28" spans="1:272" ht="12.6" customHeight="1" x14ac:dyDescent="0.3">
      <x:c r="A28" s="1583" t="s">
        <x:v>1318</x:v>
      </x:c>
      <x:c r="B28" s="1584">
        <x:v>1</x:v>
      </x:c>
      <x:c r="C28" s="1585" t="s">
        <x:v>1954</x:v>
      </x:c>
      <x:c r="D28" s="1586">
        <x:v>51</x:v>
      </x:c>
      <x:c r="E28" s="1587">
        <x:v>1.5</x:v>
      </x:c>
      <x:c r="F28" s="1588">
        <x:v>11.125</x:v>
      </x:c>
      <x:c r="G28" s="1589" t="str">
        <x:f t="shared" si="0"/>
        <x:v/>
      </x:c>
      <x:c r="H28" s="1590" t="str">
        <x:f t="shared" si="1"/>
        <x:v/>
      </x:c>
      <x:c r="I28" s="1591" t="str">
        <x:f t="shared" si="2"/>
        <x:v/>
      </x:c>
      <x:c r="J28" s="1586">
        <x:v>0</x:v>
      </x:c>
      <x:c r="K28" s="1590">
        <x:v>1.75</x:v>
      </x:c>
      <x:c r="L28" s="1592" t="s">
        <x:v>114</x:v>
      </x:c>
      <x:c r="M28" s="1593">
        <x:v>7.5</x:v>
      </x:c>
      <x:c r="N28" s="1594">
        <x:v>7.5</x:v>
      </x:c>
      <x:c r="O28" s="1589">
        <x:v>0</x:v>
      </x:c>
      <x:c r="P28" s="1590">
        <x:v>1</x:v>
      </x:c>
      <x:c r="Q28" s="1586">
        <x:v>0</x:v>
      </x:c>
      <x:c r="R28" s="1587">
        <x:v>6.75</x:v>
      </x:c>
      <x:c r="S28" s="1595">
        <x:v>0</x:v>
      </x:c>
      <x:c r="T28" s="1590">
        <x:v>3</x:v>
      </x:c>
      <x:c r="U28" s="1586">
        <x:v>0</x:v>
      </x:c>
      <x:c r="V28" s="1590">
        <x:v>6.25</x:v>
      </x:c>
      <x:c r="W28" s="1594">
        <x:v>5</x:v>
      </x:c>
      <x:c r="X28" s="1596" t="str">
        <x:f t="shared" si="3"/>
        <x:v/>
      </x:c>
      <x:c r="Y28" s="1597" t="str">
        <x:f t="shared" si="4"/>
        <x:v/>
      </x:c>
      <x:c r="Z28" s="2210" t="s">
        <x:v>2328</x:v>
      </x:c>
      <x:c r="AA28" s="1605" t="str">
        <x:f t="shared" si="5"/>
        <x:v/>
      </x:c>
      <x:c r="AB28" s="1264" t="s">
        <x:v>1316</x:v>
      </x:c>
      <x:c r="AC28" s="1260" t="s">
        <x:v>35</x:v>
      </x:c>
      <x:c r="AD28" s="1261">
        <x:v>3</x:v>
      </x:c>
      <x:c r="AE28" s="1262">
        <x:v>10</x:v>
      </x:c>
      <x:c r="AF28" s="1260">
        <x:v>5</x:v>
      </x:c>
      <x:c r="AG28" s="1261">
        <x:v>8</x:v>
      </x:c>
      <x:c r="AH28" s="1262">
        <x:v>0</x:v>
      </x:c>
      <x:c r="AI28" s="1261">
        <x:v>7</x:v>
      </x:c>
      <x:c r="AJ28" s="1262">
        <x:v>10</x:v>
      </x:c>
      <x:c r="AK28" s="1599" t="str">
        <x:f t="shared" si="6"/>
        <x:v/>
      </x:c>
      <x:c r="AL28" s="1600" t="str">
        <x:f t="shared" si="6"/>
        <x:v/>
      </x:c>
      <x:c r="AM28" s="1601">
        <x:v>5</x:v>
      </x:c>
      <x:c r="AN28" s="1260">
        <x:v>13</x:v>
      </x:c>
      <x:c r="AO28" s="1329">
        <x:v>4</x:v>
      </x:c>
      <x:c r="AP28" s="1327" t="str">
        <x:f t="shared" si="49"/>
        <x:v/>
      </x:c>
      <x:c r="AQ28" s="1602">
        <x:v>1.75</x:v>
      </x:c>
      <x:c r="AR28" s="2157">
        <x:v>51</x:v>
      </x:c>
      <x:c r="AS28" s="2122">
        <x:v>0</x:v>
      </x:c>
      <x:c r="AT28" s="1603" t="str">
        <x:f t="shared" si="7"/>
        <x:v/>
      </x:c>
      <x:c r="AU28" s="2123" t="s">
        <x:v>35</x:v>
      </x:c>
      <x:c r="AV28" s="1328" t="str">
        <x:f t="shared" si="8"/>
        <x:v/>
      </x:c>
      <x:c r="AW28" s="1262" t="str">
        <x:f t="shared" si="9"/>
        <x:v/>
      </x:c>
      <x:c r="AX28" s="1603" t="str">
        <x:f t="shared" si="10"/>
        <x:v/>
      </x:c>
      <x:c r="AY28" s="1410" t="str">
        <x:f t="shared" si="10"/>
        <x:v/>
      </x:c>
      <x:c r="AZ28" s="1328" t="str">
        <x:f t="shared" si="11"/>
        <x:v/>
      </x:c>
      <x:c r="BA28" s="1262" t="str">
        <x:f t="shared" si="12"/>
        <x:v/>
      </x:c>
      <x:c r="BB28" s="1603" t="str">
        <x:f t="shared" si="13"/>
        <x:v/>
      </x:c>
      <x:c r="BC28" s="1410" t="str">
        <x:f t="shared" si="13"/>
        <x:v/>
      </x:c>
      <x:c r="BD28" s="1328" t="str">
        <x:f t="shared" si="14"/>
        <x:v/>
      </x:c>
      <x:c r="BE28" s="1262" t="str">
        <x:f t="shared" si="15"/>
        <x:v/>
      </x:c>
      <x:c r="BF28" s="1603" t="str">
        <x:f t="shared" si="16"/>
        <x:v/>
      </x:c>
      <x:c r="BG28" s="1410" t="str">
        <x:f t="shared" si="16"/>
        <x:v/>
      </x:c>
      <x:c r="BH28" s="322"/>
      <x:c r="BJ28" s="1258" t="str">
        <x:f t="shared" si="60"/>
        <x:v>G55</x:v>
      </x:c>
      <x:c r="BK28" s="1256" t="b">
        <x:f t="shared" si="17"/>
        <x:v>0</x:v>
      </x:c>
      <x:c r="BL28" s="2002" t="b">
        <x:v>0</x:v>
      </x:c>
      <x:c r="BM28" s="1251">
        <x:f t="shared" si="18"/>
        <x:v>54</x:v>
      </x:c>
      <x:c r="BN28" s="1251" t="str">
        <x:f t="shared" si="19"/>
        <x:v>G</x:v>
      </x:c>
      <x:c r="BO28" s="1251">
        <x:f t="shared" si="20"/>
        <x:v>7</x:v>
      </x:c>
      <x:c r="BP28" s="1251">
        <x:f t="shared" si="21"/>
        <x:v>13.4</x:v>
      </x:c>
      <x:c r="BQ28" s="1251">
        <x:f t="shared" si="22"/>
        <x:v>3.9</x:v>
      </x:c>
      <x:c r="BR28" s="1251" t="b">
        <x:f t="shared" si="23"/>
        <x:v>1</x:v>
      </x:c>
      <x:c r="BS28" s="1252">
        <x:f t="shared" si="24"/>
        <x:v>6</x:v>
      </x:c>
      <x:c r="BT28" s="1252" t="str">
        <x:f t="shared" si="25"/>
        <x:v>Yes</x:v>
      </x:c>
      <x:c r="BU28" s="1252">
        <x:f t="shared" si="26"/>
        <x:v>7.75</x:v>
      </x:c>
      <x:c r="BV28" s="1252" t="str">
        <x:f t="shared" si="27"/>
        <x:v>Yes</x:v>
      </x:c>
      <x:c r="BW28" s="1253">
        <x:f t="shared" si="28"/>
        <x:v>16</x:v>
      </x:c>
      <x:c r="BX28" s="1254" t="str">
        <x:f t="shared" si="29"/>
        <x:v>G53</x:v>
      </x:c>
      <x:c r="BY28" s="1254" t="b">
        <x:f t="shared" si="30"/>
        <x:v>0</x:v>
      </x:c>
      <x:c r="BZ28" s="1253" t="b">
        <x:f t="shared" si="50"/>
        <x:v>0</x:v>
      </x:c>
      <x:c r="CB28" s="842"/>
      <x:c r="CC28" s="894"/>
      <x:c r="CD28" s="883"/>
      <x:c r="CE28" s="884"/>
      <x:c r="CF28" s="885"/>
      <x:c r="CG28" s="901"/>
      <x:c r="CH28" s="902"/>
      <x:c r="CI28" s="903"/>
      <x:c r="CJ28" s="902"/>
      <x:c r="CK28" s="903"/>
      <x:c r="CL28" s="904"/>
      <x:c r="CM28" s="944"/>
      <x:c r="CN28" s="901"/>
      <x:c r="CO28" s="902"/>
      <x:c r="CP28" s="903"/>
      <x:c r="CQ28" s="902"/>
      <x:c r="CR28" s="903"/>
      <x:c r="CS28" s="904"/>
      <x:c r="CT28" s="944"/>
      <x:c r="CU28" s="906"/>
      <x:c r="CV28" s="886"/>
      <x:c r="CW28" s="887"/>
      <x:c r="CX28" s="915"/>
      <x:c r="CY28" s="916"/>
      <x:c r="CZ28" s="932"/>
      <x:c r="DA28" s="933"/>
      <x:c r="DB28" s="932"/>
      <x:c r="DC28" s="933"/>
      <x:c r="DD28" s="1149"/>
      <x:c r="DE28" s="1150"/>
      <x:c r="DF28" s="173"/>
      <x:c r="DG28" s="173"/>
      <x:c r="DH28" s="842"/>
      <x:c r="DI28" s="843"/>
      <x:c r="DJ28" s="872"/>
      <x:c r="DK28" s="873"/>
      <x:c r="DL28" s="844"/>
      <x:c r="DM28" s="874"/>
      <x:c r="DN28" s="875"/>
      <x:c r="DO28" s="845"/>
      <x:c r="DP28" s="846"/>
      <x:c r="DQ28" s="847"/>
      <x:c r="DR28" s="847"/>
      <x:c r="DS28" s="848"/>
      <x:c r="DT28" s="836"/>
      <x:c r="DU28" s="837"/>
      <x:c r="DV28" s="849"/>
      <x:c r="DW28" s="850"/>
      <x:c r="DX28" s="851"/>
      <x:c r="DY28" s="852"/>
      <x:c r="DZ28" s="849"/>
      <x:c r="EA28" s="850"/>
      <x:c r="EB28" s="851"/>
      <x:c r="EC28" s="852"/>
      <x:c r="ED28" s="849"/>
      <x:c r="EE28" s="850"/>
      <x:c r="EF28" s="851"/>
      <x:c r="EG28" s="852"/>
      <x:c r="EH28" s="849"/>
      <x:c r="EI28" s="850"/>
      <x:c r="EJ28" s="851"/>
      <x:c r="EK28" s="853"/>
      <x:c r="EL28" s="798" t="str">
        <x:f t="shared" si="31"/>
        <x:v/>
      </x:c>
      <x:c r="EM28" s="799" t="str">
        <x:f t="shared" si="32"/>
        <x:v/>
      </x:c>
      <x:c r="EN28" s="800" t="str">
        <x:f t="shared" si="33"/>
        <x:v/>
      </x:c>
      <x:c r="EO28" s="1030" t="str">
        <x:f t="shared" si="34"/>
        <x:v/>
      </x:c>
      <x:c r="EP28" s="726" t="str">
        <x:f t="shared" si="35"/>
        <x:v/>
      </x:c>
      <x:c r="EQ28" s="727" t="str">
        <x:f t="shared" si="36"/>
        <x:v/>
      </x:c>
      <x:c r="ER28" s="961" t="str">
        <x:f t="shared" si="37"/>
        <x:v/>
      </x:c>
      <x:c r="ES28" s="962" t="str">
        <x:f t="shared" si="51"/>
        <x:v/>
      </x:c>
      <x:c r="ET28" s="963" t="str">
        <x:f t="shared" si="38"/>
        <x:v/>
      </x:c>
      <x:c r="EU28" s="964" t="str">
        <x:f t="shared" si="39"/>
        <x:v/>
      </x:c>
      <x:c r="EX28" s="1194" t="str">
        <x:f t="shared" si="52"/>
        <x:v>G53B</x:v>
      </x:c>
      <x:c r="EY28" s="1196" t="b">
        <x:f t="shared" ca="1" si="40"/>
        <x:v>1</x:v>
      </x:c>
      <x:c r="EZ28" s="1196">
        <x:f t="shared" si="53"/>
        <x:v>5</x:v>
      </x:c>
      <x:c r="FA28" s="1217" t="e">
        <x:f t="shared" si="61"/>
        <x:v>#N/A</x:v>
      </x:c>
      <x:c r="FB28" s="1218" t="e">
        <x:f t="shared" si="54"/>
        <x:v>#N/A</x:v>
      </x:c>
      <x:c r="FC28" s="1218">
        <x:f t="shared" si="41"/>
        <x:v>46</x:v>
      </x:c>
      <x:c r="FD28" s="1218">
        <x:f t="shared" si="42"/>
        <x:v>480</x:v>
      </x:c>
      <x:c r="FE28" s="1218">
        <x:f t="shared" si="43"/>
        <x:v>94</x:v>
      </x:c>
      <x:c r="FF28" s="1218">
        <x:f t="shared" si="55"/>
        <x:v>620</x:v>
      </x:c>
      <x:c r="FN28" s="969" t="b">
        <x:v>0</x:v>
      </x:c>
      <x:c r="FO28" s="969" t="b">
        <x:f t="shared" si="44"/>
        <x:v>1</x:v>
      </x:c>
      <x:c r="FP28" s="969" t="b">
        <x:v>0</x:v>
      </x:c>
      <x:c r="FQ28" s="969" t="b">
        <x:f t="shared" si="56"/>
        <x:v>1</x:v>
      </x:c>
      <x:c r="FW28" s="2"/>
      <x:c r="FX28" s="2"/>
      <x:c r="FZ28" s="2"/>
      <x:c r="GA28" s="1935">
        <x:v>51</x:v>
      </x:c>
      <x:c r="GB28" s="1936">
        <x:v>2.75</x:v>
      </x:c>
      <x:c r="GC28" s="1937">
        <x:v>-1</x:v>
      </x:c>
      <x:c r="GD28" s="1938">
        <x:v>-0.25</x:v>
      </x:c>
      <x:c r="GE28" s="1939">
        <x:v>1.9520130134200901E-2</x:v>
      </x:c>
      <x:c r="GF28" s="1940" t="str">
        <x:f t="shared" si="46"/>
        <x:v>G55</x:v>
      </x:c>
      <x:c r="GG28" s="1457"/>
      <x:c r="GH28" s="1459"/>
      <x:c r="GI28" s="1457"/>
      <x:c r="GJ28" s="1459"/>
      <x:c r="GK28" s="326">
        <x:f t="shared" si="47"/>
        <x:v>613.5</x:v>
      </x:c>
      <x:c r="GL28" s="326">
        <x:f t="shared" si="48"/>
        <x:v>613.50081168441886</x:v>
      </x:c>
      <x:c r="GM28" s="327">
        <x:f>IF(ABS(GK28-GL28)&gt;='Job Info.'!$L$22,ABS(GK28-GL28),0)</x:f>
        <x:v>0</x:v>
      </x:c>
      <x:c r="GZ28" s="179"/>
      <x:c r="HA28" s="1612" t="s">
        <x:v>1318</x:v>
      </x:c>
      <x:c r="HB28" s="1613">
        <x:v>1</x:v>
      </x:c>
      <x:c r="HC28" s="1613" t="s">
        <x:v>1954</x:v>
      </x:c>
      <x:c r="HD28" s="1614">
        <x:v>51</x:v>
      </x:c>
      <x:c r="HE28" s="1615">
        <x:v>1.5</x:v>
      </x:c>
      <x:c r="HF28" s="1613">
        <x:v>11.125</x:v>
      </x:c>
      <x:c r="HG28" s="1613" t="s">
        <x:v>117</x:v>
      </x:c>
      <x:c r="HH28" s="1613" t="s">
        <x:v>117</x:v>
      </x:c>
      <x:c r="HI28" s="1613" t="s">
        <x:v>117</x:v>
      </x:c>
      <x:c r="HJ28" s="1613">
        <x:v>0</x:v>
      </x:c>
      <x:c r="HK28" s="1613">
        <x:v>1.75</x:v>
      </x:c>
      <x:c r="HL28" s="1613" t="s">
        <x:v>114</x:v>
      </x:c>
      <x:c r="HM28" s="1613">
        <x:v>7.5</x:v>
      </x:c>
      <x:c r="HN28" s="1613">
        <x:v>7.5</x:v>
      </x:c>
      <x:c r="HO28" s="1613">
        <x:v>0</x:v>
      </x:c>
      <x:c r="HP28" s="1613">
        <x:v>1</x:v>
      </x:c>
      <x:c r="HQ28" s="1613">
        <x:v>0</x:v>
      </x:c>
      <x:c r="HR28" s="1613">
        <x:v>6.75</x:v>
      </x:c>
      <x:c r="HS28" s="1613">
        <x:v>0</x:v>
      </x:c>
      <x:c r="HT28" s="1613">
        <x:v>3</x:v>
      </x:c>
      <x:c r="HU28" s="1613">
        <x:v>0</x:v>
      </x:c>
      <x:c r="HV28" s="1613">
        <x:v>6.25</x:v>
      </x:c>
      <x:c r="HW28" s="1613">
        <x:v>5</x:v>
      </x:c>
      <x:c r="HX28" s="1613" t="s">
        <x:v>117</x:v>
      </x:c>
      <x:c r="HY28" s="1617" t="s">
        <x:v>117</x:v>
      </x:c>
      <x:c r="HZ28" s="1617" t="s">
        <x:v>2059</x:v>
      </x:c>
      <x:c r="IA28" s="1617" t="s">
        <x:v>117</x:v>
      </x:c>
      <x:c r="IB28" s="1617"/>
      <x:c r="IC28" s="1617"/>
      <x:c r="ID28" s="1632"/>
      <x:c r="IE28" s="1612" t="s">
        <x:v>1316</x:v>
      </x:c>
      <x:c r="IF28" s="1613" t="s">
        <x:v>35</x:v>
      </x:c>
      <x:c r="IG28" s="1614">
        <x:v>3</x:v>
      </x:c>
      <x:c r="IH28" s="1615">
        <x:v>10</x:v>
      </x:c>
      <x:c r="II28" s="1613">
        <x:v>5</x:v>
      </x:c>
      <x:c r="IJ28" s="1614">
        <x:v>8</x:v>
      </x:c>
      <x:c r="IK28" s="1615">
        <x:v>0</x:v>
      </x:c>
      <x:c r="IL28" s="1613">
        <x:v>7</x:v>
      </x:c>
      <x:c r="IM28" s="1613">
        <x:v>10</x:v>
      </x:c>
      <x:c r="IN28" s="1613" t="s">
        <x:v>117</x:v>
      </x:c>
      <x:c r="IO28" s="1613" t="s">
        <x:v>117</x:v>
      </x:c>
      <x:c r="IP28" s="1613">
        <x:v>5</x:v>
      </x:c>
      <x:c r="IQ28" s="1613">
        <x:v>13</x:v>
      </x:c>
      <x:c r="IR28" s="1613">
        <x:v>4</x:v>
      </x:c>
      <x:c r="IS28" s="1614" t="s">
        <x:v>117</x:v>
      </x:c>
      <x:c r="IT28" s="1615">
        <x:v>1.75</x:v>
      </x:c>
      <x:c r="IU28" s="1613" t="s">
        <x:v>117</x:v>
      </x:c>
      <x:c r="IV28" s="1613" t="s">
        <x:v>117</x:v>
      </x:c>
      <x:c r="IW28" s="1614" t="s">
        <x:v>117</x:v>
      </x:c>
      <x:c r="IX28" s="1615" t="s">
        <x:v>117</x:v>
      </x:c>
      <x:c r="IY28" s="1613" t="s">
        <x:v>117</x:v>
      </x:c>
      <x:c r="IZ28" s="1613" t="s">
        <x:v>117</x:v>
      </x:c>
      <x:c r="JA28" s="1614" t="s">
        <x:v>117</x:v>
      </x:c>
      <x:c r="JB28" s="1615" t="s">
        <x:v>117</x:v>
      </x:c>
      <x:c r="JC28" s="1613" t="s">
        <x:v>117</x:v>
      </x:c>
      <x:c r="JD28" s="1613" t="s">
        <x:v>117</x:v>
      </x:c>
      <x:c r="JE28" s="1614" t="s">
        <x:v>117</x:v>
      </x:c>
      <x:c r="JF28" s="1615" t="s">
        <x:v>117</x:v>
      </x:c>
      <x:c r="JG28" s="1613" t="s">
        <x:v>117</x:v>
      </x:c>
      <x:c r="JH28" s="1613" t="s">
        <x:v>117</x:v>
      </x:c>
      <x:c r="JI28" s="1613" t="s">
        <x:v>117</x:v>
      </x:c>
      <x:c r="JJ28" s="1616" t="s">
        <x:v>117</x:v>
      </x:c>
      <x:c r="JK28" s="1613">
        <x:v>1</x:v>
      </x:c>
      <x:c r="JL28" s="1521">
        <x:f t="shared" ca="1" si="62"/>
        <x:v>1</x:v>
      </x:c>
    </x:row>
    <x:row r="29" spans="1:272" ht="12.6" customHeight="1" x14ac:dyDescent="0.25">
      <x:c r="A29" s="1583" t="s">
        <x:v>1319</x:v>
      </x:c>
      <x:c r="B29" s="1584">
        <x:v>2</x:v>
      </x:c>
      <x:c r="C29" s="1585" t="s">
        <x:v>1953</x:v>
      </x:c>
      <x:c r="D29" s="1586">
        <x:v>59</x:v>
      </x:c>
      <x:c r="E29" s="1587">
        <x:v>1.5</x:v>
      </x:c>
      <x:c r="F29" s="1588">
        <x:v>11.125</x:v>
      </x:c>
      <x:c r="G29" s="1589" t="str">
        <x:f t="shared" si="0"/>
        <x:v/>
      </x:c>
      <x:c r="H29" s="1590" t="str">
        <x:f t="shared" si="1"/>
        <x:v/>
      </x:c>
      <x:c r="I29" s="1591" t="str">
        <x:f t="shared" si="2"/>
        <x:v/>
      </x:c>
      <x:c r="J29" s="1586">
        <x:v>0</x:v>
      </x:c>
      <x:c r="K29" s="1590">
        <x:v>1.75</x:v>
      </x:c>
      <x:c r="L29" s="1592" t="s">
        <x:v>114</x:v>
      </x:c>
      <x:c r="M29" s="1593">
        <x:v>7.5</x:v>
      </x:c>
      <x:c r="N29" s="1594">
        <x:v>7.5</x:v>
      </x:c>
      <x:c r="O29" s="1589">
        <x:v>0</x:v>
      </x:c>
      <x:c r="P29" s="1590">
        <x:v>0</x:v>
      </x:c>
      <x:c r="Q29" s="1586">
        <x:v>0</x:v>
      </x:c>
      <x:c r="R29" s="1587">
        <x:v>7.875</x:v>
      </x:c>
      <x:c r="S29" s="1595">
        <x:v>0</x:v>
      </x:c>
      <x:c r="T29" s="1590">
        <x:v>3</x:v>
      </x:c>
      <x:c r="U29" s="1586">
        <x:v>0</x:v>
      </x:c>
      <x:c r="V29" s="1590">
        <x:v>6.25</x:v>
      </x:c>
      <x:c r="W29" s="1594">
        <x:v>5</x:v>
      </x:c>
      <x:c r="X29" s="1596" t="str">
        <x:f t="shared" si="3"/>
        <x:v/>
      </x:c>
      <x:c r="Y29" s="1597" t="str">
        <x:f t="shared" si="4"/>
        <x:v/>
      </x:c>
      <x:c r="Z29" s="2210" t="s">
        <x:v>2322</x:v>
      </x:c>
      <x:c r="AA29" s="1605" t="str">
        <x:f t="shared" si="5"/>
        <x:v/>
      </x:c>
      <x:c r="AB29" s="1264" t="s">
        <x:v>1317</x:v>
      </x:c>
      <x:c r="AC29" s="1260" t="s">
        <x:v>35</x:v>
      </x:c>
      <x:c r="AD29" s="1261">
        <x:v>3</x:v>
      </x:c>
      <x:c r="AE29" s="1262">
        <x:v>1.75</x:v>
      </x:c>
      <x:c r="AF29" s="2194">
        <x:v>3</x:v>
      </x:c>
      <x:c r="AG29" s="1261">
        <x:v>8</x:v>
      </x:c>
      <x:c r="AH29" s="1262">
        <x:v>0</x:v>
      </x:c>
      <x:c r="AI29" s="2195"/>
      <x:c r="AJ29" s="2122"/>
      <x:c r="AK29" s="1599" t="str">
        <x:f t="shared" si="6"/>
        <x:v/>
      </x:c>
      <x:c r="AL29" s="1600" t="str">
        <x:f t="shared" si="6"/>
        <x:v/>
      </x:c>
      <x:c r="AM29" s="1601">
        <x:v>5</x:v>
      </x:c>
      <x:c r="AN29" s="1260">
        <x:v>13</x:v>
      </x:c>
      <x:c r="AO29" s="1329">
        <x:v>4</x:v>
      </x:c>
      <x:c r="AP29" s="1327" t="str">
        <x:f t="shared" si="49"/>
        <x:v/>
      </x:c>
      <x:c r="AQ29" s="1602">
        <x:v>1.75</x:v>
      </x:c>
      <x:c r="AR29" s="2157">
        <x:v>58</x:v>
      </x:c>
      <x:c r="AS29" s="2122">
        <x:v>2</x:v>
      </x:c>
      <x:c r="AT29" s="1603" t="str">
        <x:f t="shared" si="7"/>
        <x:v/>
      </x:c>
      <x:c r="AU29" s="2123" t="s">
        <x:v>35</x:v>
      </x:c>
      <x:c r="AV29" s="1328" t="str">
        <x:f t="shared" si="8"/>
        <x:v/>
      </x:c>
      <x:c r="AW29" s="1262" t="str">
        <x:f t="shared" si="9"/>
        <x:v/>
      </x:c>
      <x:c r="AX29" s="1603" t="str">
        <x:f t="shared" si="10"/>
        <x:v/>
      </x:c>
      <x:c r="AY29" s="1410" t="str">
        <x:f t="shared" si="10"/>
        <x:v/>
      </x:c>
      <x:c r="AZ29" s="1328" t="str">
        <x:f t="shared" si="11"/>
        <x:v/>
      </x:c>
      <x:c r="BA29" s="1262" t="str">
        <x:f t="shared" si="12"/>
        <x:v/>
      </x:c>
      <x:c r="BB29" s="1603" t="str">
        <x:f t="shared" si="13"/>
        <x:v/>
      </x:c>
      <x:c r="BC29" s="1410" t="str">
        <x:f t="shared" si="13"/>
        <x:v/>
      </x:c>
      <x:c r="BD29" s="1328" t="str">
        <x:f t="shared" si="14"/>
        <x:v/>
      </x:c>
      <x:c r="BE29" s="1262" t="str">
        <x:f t="shared" si="15"/>
        <x:v/>
      </x:c>
      <x:c r="BF29" s="1603" t="str">
        <x:f t="shared" si="16"/>
        <x:v/>
      </x:c>
      <x:c r="BG29" s="1410" t="str">
        <x:f t="shared" si="16"/>
        <x:v/>
      </x:c>
      <x:c r="BH29" s="322"/>
      <x:c r="BJ29" s="1258" t="str">
        <x:f t="shared" si="60"/>
        <x:v>G56</x:v>
      </x:c>
      <x:c r="BK29" s="1256" t="b">
        <x:f t="shared" si="17"/>
        <x:v>0</x:v>
      </x:c>
      <x:c r="BL29" s="2002" t="b">
        <x:v>0</x:v>
      </x:c>
      <x:c r="BM29" s="1251">
        <x:f t="shared" si="18"/>
        <x:v>54</x:v>
      </x:c>
      <x:c r="BN29" s="1251" t="str">
        <x:f t="shared" si="19"/>
        <x:v>G</x:v>
      </x:c>
      <x:c r="BO29" s="1251">
        <x:f t="shared" si="20"/>
        <x:v>8</x:v>
      </x:c>
      <x:c r="BP29" s="1251">
        <x:f t="shared" si="21"/>
        <x:v>6.5</x:v>
      </x:c>
      <x:c r="BQ29" s="1251">
        <x:f t="shared" si="22"/>
        <x:v>2.1</x:v>
      </x:c>
      <x:c r="BR29" s="1251" t="b">
        <x:f t="shared" si="23"/>
        <x:v>1</x:v>
      </x:c>
      <x:c r="BS29" s="1252">
        <x:f t="shared" si="24"/>
        <x:v>6</x:v>
      </x:c>
      <x:c r="BT29" s="1252" t="str">
        <x:f t="shared" si="25"/>
        <x:v>Yes</x:v>
      </x:c>
      <x:c r="BU29" s="1252">
        <x:f t="shared" si="26"/>
        <x:v>7.75</x:v>
      </x:c>
      <x:c r="BV29" s="1252" t="str">
        <x:f t="shared" si="27"/>
        <x:v>Yes</x:v>
      </x:c>
      <x:c r="BW29" s="1253">
        <x:f t="shared" si="28"/>
        <x:v>14</x:v>
      </x:c>
      <x:c r="BX29" s="1254" t="str">
        <x:f t="shared" si="29"/>
        <x:v>G54</x:v>
      </x:c>
      <x:c r="BY29" s="1254" t="b">
        <x:f t="shared" si="30"/>
        <x:v>0</x:v>
      </x:c>
      <x:c r="BZ29" s="1253" t="b">
        <x:f t="shared" si="50"/>
        <x:v>0</x:v>
      </x:c>
      <x:c r="CB29" s="842"/>
      <x:c r="CC29" s="894"/>
      <x:c r="CD29" s="883"/>
      <x:c r="CE29" s="884"/>
      <x:c r="CF29" s="885"/>
      <x:c r="CG29" s="901"/>
      <x:c r="CH29" s="902"/>
      <x:c r="CI29" s="903"/>
      <x:c r="CJ29" s="902"/>
      <x:c r="CK29" s="903"/>
      <x:c r="CL29" s="904"/>
      <x:c r="CM29" s="944"/>
      <x:c r="CN29" s="901"/>
      <x:c r="CO29" s="902"/>
      <x:c r="CP29" s="903"/>
      <x:c r="CQ29" s="902"/>
      <x:c r="CR29" s="903"/>
      <x:c r="CS29" s="904"/>
      <x:c r="CT29" s="944"/>
      <x:c r="CU29" s="906"/>
      <x:c r="CV29" s="886"/>
      <x:c r="CW29" s="887"/>
      <x:c r="CX29" s="915"/>
      <x:c r="CY29" s="916"/>
      <x:c r="CZ29" s="932"/>
      <x:c r="DA29" s="933"/>
      <x:c r="DB29" s="932"/>
      <x:c r="DC29" s="933"/>
      <x:c r="DD29" s="1149"/>
      <x:c r="DE29" s="1150"/>
      <x:c r="DF29" s="173"/>
      <x:c r="DG29" s="173"/>
      <x:c r="DH29" s="842"/>
      <x:c r="DI29" s="843"/>
      <x:c r="DJ29" s="872"/>
      <x:c r="DK29" s="873"/>
      <x:c r="DL29" s="844"/>
      <x:c r="DM29" s="874"/>
      <x:c r="DN29" s="875"/>
      <x:c r="DO29" s="845"/>
      <x:c r="DP29" s="846"/>
      <x:c r="DQ29" s="847"/>
      <x:c r="DR29" s="847"/>
      <x:c r="DS29" s="848"/>
      <x:c r="DT29" s="836"/>
      <x:c r="DU29" s="837"/>
      <x:c r="DV29" s="849"/>
      <x:c r="DW29" s="850"/>
      <x:c r="DX29" s="851"/>
      <x:c r="DY29" s="852"/>
      <x:c r="DZ29" s="849"/>
      <x:c r="EA29" s="850"/>
      <x:c r="EB29" s="851"/>
      <x:c r="EC29" s="852"/>
      <x:c r="ED29" s="849"/>
      <x:c r="EE29" s="850"/>
      <x:c r="EF29" s="851"/>
      <x:c r="EG29" s="852"/>
      <x:c r="EH29" s="849"/>
      <x:c r="EI29" s="850"/>
      <x:c r="EJ29" s="851"/>
      <x:c r="EK29" s="853"/>
      <x:c r="EL29" s="798" t="str">
        <x:f t="shared" si="31"/>
        <x:v/>
      </x:c>
      <x:c r="EM29" s="799" t="str">
        <x:f t="shared" si="32"/>
        <x:v/>
      </x:c>
      <x:c r="EN29" s="800" t="str">
        <x:f t="shared" si="33"/>
        <x:v/>
      </x:c>
      <x:c r="EO29" s="1030" t="str">
        <x:f t="shared" si="34"/>
        <x:v/>
      </x:c>
      <x:c r="EP29" s="726" t="str">
        <x:f t="shared" si="35"/>
        <x:v/>
      </x:c>
      <x:c r="EQ29" s="727" t="str">
        <x:f t="shared" si="36"/>
        <x:v/>
      </x:c>
      <x:c r="ER29" s="961" t="str">
        <x:f t="shared" si="37"/>
        <x:v/>
      </x:c>
      <x:c r="ES29" s="962" t="str">
        <x:f t="shared" si="51"/>
        <x:v/>
      </x:c>
      <x:c r="ET29" s="963" t="str">
        <x:f t="shared" si="38"/>
        <x:v/>
      </x:c>
      <x:c r="EU29" s="964" t="str">
        <x:f t="shared" si="39"/>
        <x:v/>
      </x:c>
      <x:c r="EX29" s="1194" t="str">
        <x:f t="shared" si="52"/>
        <x:v>G54B</x:v>
      </x:c>
      <x:c r="EY29" s="1196" t="b">
        <x:f t="shared" ca="1" si="40"/>
        <x:v>1</x:v>
      </x:c>
      <x:c r="EZ29" s="1196">
        <x:f t="shared" si="53"/>
        <x:v>5</x:v>
      </x:c>
      <x:c r="FA29" s="1217" t="e">
        <x:f t="shared" si="61"/>
        <x:v>#N/A</x:v>
      </x:c>
      <x:c r="FB29" s="1218" t="e">
        <x:f t="shared" si="54"/>
        <x:v>#N/A</x:v>
      </x:c>
      <x:c r="FC29" s="1218">
        <x:f t="shared" si="41"/>
        <x:v>37.75</x:v>
      </x:c>
      <x:c r="FD29" s="1218">
        <x:f t="shared" si="42"/>
        <x:v>288</x:v>
      </x:c>
      <x:c r="FE29" s="1218">
        <x:f t="shared" si="43"/>
        <x:v>0</x:v>
      </x:c>
      <x:c r="FF29" s="1218">
        <x:f t="shared" si="55"/>
        <x:v>707.75</x:v>
      </x:c>
      <x:c r="FN29" s="969" t="b">
        <x:v>0</x:v>
      </x:c>
      <x:c r="FO29" s="969" t="b">
        <x:f t="shared" si="44"/>
        <x:v>1</x:v>
      </x:c>
      <x:c r="FP29" s="969" t="b">
        <x:v>0</x:v>
      </x:c>
      <x:c r="FQ29" s="969" t="b">
        <x:f t="shared" si="56"/>
        <x:v>1</x:v>
      </x:c>
      <x:c r="FW29" s="2"/>
      <x:c r="FX29" s="2"/>
      <x:c r="FZ29" s="2"/>
      <x:c r="GA29" s="1935">
        <x:v>59</x:v>
      </x:c>
      <x:c r="GB29" s="1936">
        <x:v>2.75</x:v>
      </x:c>
      <x:c r="GC29" s="1937">
        <x:v>-1</x:v>
      </x:c>
      <x:c r="GD29" s="1938">
        <x:v>-0.25</x:v>
      </x:c>
      <x:c r="GE29" s="1939">
        <x:v>0.23637003165670051</x:v>
      </x:c>
      <x:c r="GF29" s="1940" t="str">
        <x:f t="shared" si="46"/>
        <x:v>G56</x:v>
      </x:c>
      <x:c r="GG29" s="1457"/>
      <x:c r="GH29" s="1459"/>
      <x:c r="GI29" s="1457"/>
      <x:c r="GJ29" s="1459"/>
      <x:c r="GK29" s="326">
        <x:f t="shared" si="47"/>
        <x:v>709.5</x:v>
      </x:c>
      <x:c r="GL29" s="326">
        <x:f t="shared" si="48"/>
        <x:v>709.63762667550589</x:v>
      </x:c>
      <x:c r="GM29" s="327">
        <x:f>IF(ABS(GK29-GL29)&gt;='Job Info.'!$L$22,ABS(GK29-GL29),0)</x:f>
        <x:v>0</x:v>
      </x:c>
      <x:c r="HA29" s="1612" t="s">
        <x:v>1319</x:v>
      </x:c>
      <x:c r="HB29" s="1613">
        <x:v>2</x:v>
      </x:c>
      <x:c r="HC29" s="1613" t="s">
        <x:v>1953</x:v>
      </x:c>
      <x:c r="HD29" s="1614">
        <x:v>59</x:v>
      </x:c>
      <x:c r="HE29" s="1615">
        <x:v>1.5</x:v>
      </x:c>
      <x:c r="HF29" s="1613">
        <x:v>11.125</x:v>
      </x:c>
      <x:c r="HG29" s="1613" t="s">
        <x:v>117</x:v>
      </x:c>
      <x:c r="HH29" s="1613" t="s">
        <x:v>117</x:v>
      </x:c>
      <x:c r="HI29" s="1613" t="s">
        <x:v>117</x:v>
      </x:c>
      <x:c r="HJ29" s="1613">
        <x:v>0</x:v>
      </x:c>
      <x:c r="HK29" s="1613">
        <x:v>1.75</x:v>
      </x:c>
      <x:c r="HL29" s="1613" t="s">
        <x:v>114</x:v>
      </x:c>
      <x:c r="HM29" s="1613">
        <x:v>7.5</x:v>
      </x:c>
      <x:c r="HN29" s="1613">
        <x:v>7.5</x:v>
      </x:c>
      <x:c r="HO29" s="1613">
        <x:v>0</x:v>
      </x:c>
      <x:c r="HP29" s="1613">
        <x:v>0</x:v>
      </x:c>
      <x:c r="HQ29" s="1613">
        <x:v>0</x:v>
      </x:c>
      <x:c r="HR29" s="1613">
        <x:v>7.875</x:v>
      </x:c>
      <x:c r="HS29" s="1613">
        <x:v>0</x:v>
      </x:c>
      <x:c r="HT29" s="1613">
        <x:v>3</x:v>
      </x:c>
      <x:c r="HU29" s="1613">
        <x:v>0</x:v>
      </x:c>
      <x:c r="HV29" s="1613">
        <x:v>6.25</x:v>
      </x:c>
      <x:c r="HW29" s="1613">
        <x:v>5</x:v>
      </x:c>
      <x:c r="HX29" s="1613" t="s">
        <x:v>117</x:v>
      </x:c>
      <x:c r="HY29" s="1617" t="s">
        <x:v>117</x:v>
      </x:c>
      <x:c r="HZ29" s="1617" t="s">
        <x:v>2060</x:v>
      </x:c>
      <x:c r="IA29" s="1617" t="s">
        <x:v>117</x:v>
      </x:c>
      <x:c r="IB29" s="1617"/>
      <x:c r="IC29" s="1617"/>
      <x:c r="ID29" s="1632"/>
      <x:c r="IE29" s="1612" t="s">
        <x:v>1317</x:v>
      </x:c>
      <x:c r="IF29" s="1613" t="s">
        <x:v>35</x:v>
      </x:c>
      <x:c r="IG29" s="1614">
        <x:v>3</x:v>
      </x:c>
      <x:c r="IH29" s="1615">
        <x:v>1.75</x:v>
      </x:c>
      <x:c r="II29" s="1613">
        <x:v>6</x:v>
      </x:c>
      <x:c r="IJ29" s="1614">
        <x:v>8</x:v>
      </x:c>
      <x:c r="IK29" s="1615">
        <x:v>0</x:v>
      </x:c>
      <x:c r="IL29" s="1613">
        <x:v>7</x:v>
      </x:c>
      <x:c r="IM29" s="1613">
        <x:v>10</x:v>
      </x:c>
      <x:c r="IN29" s="1613" t="s">
        <x:v>117</x:v>
      </x:c>
      <x:c r="IO29" s="1613" t="s">
        <x:v>117</x:v>
      </x:c>
      <x:c r="IP29" s="1613">
        <x:v>5</x:v>
      </x:c>
      <x:c r="IQ29" s="1613">
        <x:v>13</x:v>
      </x:c>
      <x:c r="IR29" s="1613">
        <x:v>4</x:v>
      </x:c>
      <x:c r="IS29" s="1614" t="s">
        <x:v>117</x:v>
      </x:c>
      <x:c r="IT29" s="1615">
        <x:v>1.75</x:v>
      </x:c>
      <x:c r="IU29" s="1613" t="s">
        <x:v>117</x:v>
      </x:c>
      <x:c r="IV29" s="1613" t="s">
        <x:v>117</x:v>
      </x:c>
      <x:c r="IW29" s="1614" t="s">
        <x:v>117</x:v>
      </x:c>
      <x:c r="IX29" s="1615" t="s">
        <x:v>117</x:v>
      </x:c>
      <x:c r="IY29" s="1613" t="s">
        <x:v>117</x:v>
      </x:c>
      <x:c r="IZ29" s="1613" t="s">
        <x:v>117</x:v>
      </x:c>
      <x:c r="JA29" s="1614" t="s">
        <x:v>117</x:v>
      </x:c>
      <x:c r="JB29" s="1615" t="s">
        <x:v>117</x:v>
      </x:c>
      <x:c r="JC29" s="1613" t="s">
        <x:v>117</x:v>
      </x:c>
      <x:c r="JD29" s="1613" t="s">
        <x:v>117</x:v>
      </x:c>
      <x:c r="JE29" s="1614" t="s">
        <x:v>117</x:v>
      </x:c>
      <x:c r="JF29" s="1615" t="s">
        <x:v>117</x:v>
      </x:c>
      <x:c r="JG29" s="1613" t="s">
        <x:v>117</x:v>
      </x:c>
      <x:c r="JH29" s="1613" t="s">
        <x:v>117</x:v>
      </x:c>
      <x:c r="JI29" s="1613" t="s">
        <x:v>117</x:v>
      </x:c>
      <x:c r="JJ29" s="1616" t="s">
        <x:v>117</x:v>
      </x:c>
      <x:c r="JK29" s="1613">
        <x:v>1</x:v>
      </x:c>
      <x:c r="JL29" s="1521">
        <x:f t="shared" ca="1" si="62"/>
        <x:v>1</x:v>
      </x:c>
    </x:row>
    <x:row r="30" spans="1:272" s="183" customFormat="1" ht="12.6" customHeight="1" x14ac:dyDescent="0.25">
      <x:c r="A30" s="1583" t="s">
        <x:v>1320</x:v>
      </x:c>
      <x:c r="B30" s="1584">
        <x:v>1</x:v>
      </x:c>
      <x:c r="C30" s="1585" t="s">
        <x:v>1953</x:v>
      </x:c>
      <x:c r="D30" s="1586">
        <x:v>59</x:v>
      </x:c>
      <x:c r="E30" s="1587">
        <x:v>11.5</x:v>
      </x:c>
      <x:c r="F30" s="1588">
        <x:v>11.125</x:v>
      </x:c>
      <x:c r="G30" s="1589">
        <x:v>0</x:v>
      </x:c>
      <x:c r="H30" s="1590">
        <x:v>1.75</x:v>
      </x:c>
      <x:c r="I30" s="1591" t="s">
        <x:v>114</x:v>
      </x:c>
      <x:c r="J30" s="1586">
        <x:v>0</x:v>
      </x:c>
      <x:c r="K30" s="1590">
        <x:v>1.75</x:v>
      </x:c>
      <x:c r="L30" s="1592" t="s">
        <x:v>114</x:v>
      </x:c>
      <x:c r="M30" s="1593">
        <x:v>7.5</x:v>
      </x:c>
      <x:c r="N30" s="1594">
        <x:v>7.5</x:v>
      </x:c>
      <x:c r="O30" s="1589">
        <x:v>0</x:v>
      </x:c>
      <x:c r="P30" s="1590">
        <x:v>7.875</x:v>
      </x:c>
      <x:c r="Q30" s="1586">
        <x:v>0</x:v>
      </x:c>
      <x:c r="R30" s="1587">
        <x:v>5.75</x:v>
      </x:c>
      <x:c r="S30" s="1595">
        <x:v>0</x:v>
      </x:c>
      <x:c r="T30" s="1590">
        <x:v>6.25</x:v>
      </x:c>
      <x:c r="U30" s="1586">
        <x:v>0</x:v>
      </x:c>
      <x:c r="V30" s="1590">
        <x:v>6.25</x:v>
      </x:c>
      <x:c r="W30" s="1594">
        <x:v>5</x:v>
      </x:c>
      <x:c r="X30" s="1596" t="str">
        <x:f t="shared" si="3"/>
        <x:v/>
      </x:c>
      <x:c r="Y30" s="1597" t="str">
        <x:f t="shared" si="4"/>
        <x:v/>
      </x:c>
      <x:c r="Z30" s="2210" t="s">
        <x:v>2318</x:v>
      </x:c>
      <x:c r="AA30" s="1605" t="str">
        <x:f t="shared" si="5"/>
        <x:v/>
      </x:c>
      <x:c r="AB30" s="2170"/>
      <x:c r="AC30" s="2194"/>
      <x:c r="AD30" s="2195"/>
      <x:c r="AE30" s="2122"/>
      <x:c r="AF30" s="2194">
        <x:v>1</x:v>
      </x:c>
      <x:c r="AG30" s="1261">
        <x:v>8</x:v>
      </x:c>
      <x:c r="AH30" s="2122">
        <x:v>2</x:v>
      </x:c>
      <x:c r="AI30" s="2195"/>
      <x:c r="AJ30" s="2122"/>
      <x:c r="AK30" s="1599" t="str">
        <x:f t="shared" si="6"/>
        <x:v/>
      </x:c>
      <x:c r="AL30" s="1600"/>
      <x:c r="AM30" s="2196"/>
      <x:c r="AN30" s="2194"/>
      <x:c r="AO30" s="2197"/>
      <x:c r="AP30" s="1327"/>
      <x:c r="AQ30" s="2198"/>
      <x:c r="AR30" s="1263"/>
      <x:c r="AS30" s="1262"/>
      <x:c r="AT30" s="1603"/>
      <x:c r="AU30" s="1410"/>
      <x:c r="AV30" s="1328"/>
      <x:c r="AW30" s="1262" t="str">
        <x:f t="shared" si="9"/>
        <x:v/>
      </x:c>
      <x:c r="AX30" s="1603" t="str">
        <x:f t="shared" si="10"/>
        <x:v/>
      </x:c>
      <x:c r="AY30" s="1410" t="str">
        <x:f t="shared" si="10"/>
        <x:v/>
      </x:c>
      <x:c r="AZ30" s="1328" t="str">
        <x:f t="shared" si="11"/>
        <x:v/>
      </x:c>
      <x:c r="BA30" s="1262" t="str">
        <x:f t="shared" si="12"/>
        <x:v/>
      </x:c>
      <x:c r="BB30" s="1603" t="str">
        <x:f t="shared" si="13"/>
        <x:v/>
      </x:c>
      <x:c r="BC30" s="1410" t="str">
        <x:f t="shared" si="13"/>
        <x:v/>
      </x:c>
      <x:c r="BD30" s="1328" t="str">
        <x:f t="shared" si="14"/>
        <x:v/>
      </x:c>
      <x:c r="BE30" s="1262" t="str">
        <x:f t="shared" si="15"/>
        <x:v/>
      </x:c>
      <x:c r="BF30" s="1603" t="str">
        <x:f t="shared" si="16"/>
        <x:v/>
      </x:c>
      <x:c r="BG30" s="1410" t="str">
        <x:f t="shared" si="16"/>
        <x:v/>
      </x:c>
      <x:c r="BH30" s="322"/>
      <x:c r="BJ30" s="1258" t="str">
        <x:f t="shared" si="60"/>
        <x:v>G57</x:v>
      </x:c>
      <x:c r="BK30" s="1256" t="b">
        <x:f t="shared" si="17"/>
        <x:v>0</x:v>
      </x:c>
      <x:c r="BL30" s="2002" t="b">
        <x:v>0</x:v>
      </x:c>
      <x:c r="BM30" s="1251">
        <x:f t="shared" si="18"/>
        <x:v>54</x:v>
      </x:c>
      <x:c r="BN30" s="1251" t="str">
        <x:f t="shared" si="19"/>
        <x:v>G</x:v>
      </x:c>
      <x:c r="BO30" s="1251">
        <x:f t="shared" si="20"/>
        <x:v>8</x:v>
      </x:c>
      <x:c r="BP30" s="1251">
        <x:f t="shared" si="21"/>
        <x:v>6.5</x:v>
      </x:c>
      <x:c r="BQ30" s="1251">
        <x:f t="shared" si="22"/>
        <x:v>2.1</x:v>
      </x:c>
      <x:c r="BR30" s="1251" t="b">
        <x:f t="shared" si="23"/>
        <x:v>1</x:v>
      </x:c>
      <x:c r="BS30" s="1252">
        <x:f t="shared" si="24"/>
        <x:v>7.75</x:v>
      </x:c>
      <x:c r="BT30" s="1252" t="str">
        <x:f t="shared" si="25"/>
        <x:v>Yes</x:v>
      </x:c>
      <x:c r="BU30" s="1252">
        <x:f t="shared" si="26"/>
        <x:v>7.75</x:v>
      </x:c>
      <x:c r="BV30" s="1252" t="str">
        <x:f t="shared" si="27"/>
        <x:v>Yes</x:v>
      </x:c>
      <x:c r="BW30" s="1253">
        <x:f t="shared" si="28"/>
        <x:v>3</x:v>
      </x:c>
      <x:c r="BX30" s="1254" t="str">
        <x:f t="shared" si="29"/>
        <x:v>G54</x:v>
      </x:c>
      <x:c r="BY30" s="1254" t="b">
        <x:f t="shared" si="30"/>
        <x:v>0</x:v>
      </x:c>
      <x:c r="BZ30" s="1253" t="b">
        <x:f t="shared" si="50"/>
        <x:v>0</x:v>
      </x:c>
      <x:c r="CB30" s="842"/>
      <x:c r="CC30" s="894"/>
      <x:c r="CD30" s="883"/>
      <x:c r="CE30" s="884"/>
      <x:c r="CF30" s="885"/>
      <x:c r="CG30" s="901"/>
      <x:c r="CH30" s="902"/>
      <x:c r="CI30" s="903"/>
      <x:c r="CJ30" s="902"/>
      <x:c r="CK30" s="903"/>
      <x:c r="CL30" s="904"/>
      <x:c r="CM30" s="944"/>
      <x:c r="CN30" s="901"/>
      <x:c r="CO30" s="902"/>
      <x:c r="CP30" s="903"/>
      <x:c r="CQ30" s="902"/>
      <x:c r="CR30" s="903"/>
      <x:c r="CS30" s="904"/>
      <x:c r="CT30" s="944"/>
      <x:c r="CU30" s="906"/>
      <x:c r="CV30" s="886"/>
      <x:c r="CW30" s="887"/>
      <x:c r="CX30" s="915"/>
      <x:c r="CY30" s="916"/>
      <x:c r="CZ30" s="932"/>
      <x:c r="DA30" s="933"/>
      <x:c r="DB30" s="932"/>
      <x:c r="DC30" s="933"/>
      <x:c r="DD30" s="1149"/>
      <x:c r="DE30" s="1150"/>
      <x:c r="DF30" s="173"/>
      <x:c r="DG30" s="173"/>
      <x:c r="DH30" s="842"/>
      <x:c r="DI30" s="843"/>
      <x:c r="DJ30" s="872"/>
      <x:c r="DK30" s="873"/>
      <x:c r="DL30" s="844"/>
      <x:c r="DM30" s="874"/>
      <x:c r="DN30" s="875"/>
      <x:c r="DO30" s="845"/>
      <x:c r="DP30" s="846"/>
      <x:c r="DQ30" s="847"/>
      <x:c r="DR30" s="847"/>
      <x:c r="DS30" s="848"/>
      <x:c r="DT30" s="836"/>
      <x:c r="DU30" s="837"/>
      <x:c r="DV30" s="849"/>
      <x:c r="DW30" s="850"/>
      <x:c r="DX30" s="851"/>
      <x:c r="DY30" s="852"/>
      <x:c r="DZ30" s="849"/>
      <x:c r="EA30" s="850"/>
      <x:c r="EB30" s="851"/>
      <x:c r="EC30" s="852"/>
      <x:c r="ED30" s="849"/>
      <x:c r="EE30" s="850"/>
      <x:c r="EF30" s="851"/>
      <x:c r="EG30" s="852"/>
      <x:c r="EH30" s="849"/>
      <x:c r="EI30" s="850"/>
      <x:c r="EJ30" s="851"/>
      <x:c r="EK30" s="853"/>
      <x:c r="EL30" s="798" t="str">
        <x:f t="shared" si="31"/>
        <x:v/>
      </x:c>
      <x:c r="EM30" s="799" t="str">
        <x:f t="shared" si="32"/>
        <x:v/>
      </x:c>
      <x:c r="EN30" s="800" t="str">
        <x:f t="shared" si="33"/>
        <x:v/>
      </x:c>
      <x:c r="EO30" s="1030" t="str">
        <x:f t="shared" si="34"/>
        <x:v/>
      </x:c>
      <x:c r="EP30" s="726" t="str">
        <x:f t="shared" si="35"/>
        <x:v/>
      </x:c>
      <x:c r="EQ30" s="727" t="str">
        <x:f t="shared" si="36"/>
        <x:v/>
      </x:c>
      <x:c r="ER30" s="961" t="str">
        <x:f t="shared" si="37"/>
        <x:v/>
      </x:c>
      <x:c r="ES30" s="962" t="str">
        <x:f t="shared" si="51"/>
        <x:v/>
      </x:c>
      <x:c r="ET30" s="963" t="str">
        <x:f t="shared" si="38"/>
        <x:v/>
      </x:c>
      <x:c r="EU30" s="964" t="str">
        <x:f t="shared" si="39"/>
        <x:v/>
      </x:c>
      <x:c r="EX30" s="1194" t="str">
        <x:f t="shared" si="52"/>
        <x:v>G54B</x:v>
      </x:c>
      <x:c r="EY30" s="1196" t="str">
        <x:f t="shared" si="40"/>
        <x:v/>
      </x:c>
      <x:c r="EZ30" s="1196" t="str">
        <x:f t="shared" si="53"/>
        <x:v/>
      </x:c>
      <x:c r="FA30" s="1217" t="e">
        <x:f t="shared" si="61"/>
        <x:v>#N/A</x:v>
      </x:c>
      <x:c r="FB30" s="1218" t="e">
        <x:f t="shared" si="54"/>
        <x:v>#N/A</x:v>
      </x:c>
      <x:c r="FC30" s="1218">
        <x:f t="shared" si="41"/>
        <x:v>0</x:v>
      </x:c>
      <x:c r="FD30" s="1218">
        <x:f t="shared" si="42"/>
        <x:v>98</x:v>
      </x:c>
      <x:c r="FE30" s="1218">
        <x:f t="shared" si="43"/>
        <x:v>0</x:v>
      </x:c>
      <x:c r="FF30" s="1218">
        <x:f t="shared" si="55"/>
        <x:v>382</x:v>
      </x:c>
      <x:c r="FN30" s="969" t="b">
        <x:v>0</x:v>
      </x:c>
      <x:c r="FO30" s="970" t="b">
        <x:f t="shared" si="44"/>
        <x:v>1</x:v>
      </x:c>
      <x:c r="FP30" s="970" t="b">
        <x:v>0</x:v>
      </x:c>
      <x:c r="FQ30" s="970" t="b">
        <x:f t="shared" si="56"/>
        <x:v>0</x:v>
      </x:c>
      <x:c r="FW30" s="2"/>
      <x:c r="FX30" s="2"/>
      <x:c r="FZ30" s="2"/>
      <x:c r="GA30" s="1935">
        <x:v>60</x:v>
      </x:c>
      <x:c r="GB30" s="1936">
        <x:v>0</x:v>
      </x:c>
      <x:c r="GC30" s="1937">
        <x:v>-0.25</x:v>
      </x:c>
      <x:c r="GD30" s="1938">
        <x:v>-0.25</x:v>
      </x:c>
      <x:c r="GE30" s="1939">
        <x:v>-0.25</x:v>
      </x:c>
      <x:c r="GF30" s="1940" t="str">
        <x:f t="shared" si="46"/>
        <x:v>G57</x:v>
      </x:c>
      <x:c r="GG30" s="1457"/>
      <x:c r="GH30" s="1459"/>
      <x:c r="GI30" s="1457"/>
      <x:c r="GJ30" s="1459"/>
      <x:c r="GK30" s="326">
        <x:f t="shared" si="47"/>
        <x:v>719.5</x:v>
      </x:c>
      <x:c r="GL30" s="326">
        <x:f t="shared" si="48"/>
        <x:v>719.65612455429505</x:v>
      </x:c>
      <x:c r="GM30" s="327">
        <x:f>IF(ABS(GK30-GL30)&gt;='Job Info.'!$L$22,ABS(GK30-GL30),0)</x:f>
        <x:v>0</x:v>
      </x:c>
      <x:c r="GZ30" s="161"/>
      <x:c r="HA30" s="1612" t="s">
        <x:v>1320</x:v>
      </x:c>
      <x:c r="HB30" s="1613">
        <x:v>1</x:v>
      </x:c>
      <x:c r="HC30" s="1613" t="s">
        <x:v>1953</x:v>
      </x:c>
      <x:c r="HD30" s="1614">
        <x:v>59</x:v>
      </x:c>
      <x:c r="HE30" s="1615">
        <x:v>11.5</x:v>
      </x:c>
      <x:c r="HF30" s="1613">
        <x:v>11.125</x:v>
      </x:c>
      <x:c r="HG30" s="1613">
        <x:v>0</x:v>
      </x:c>
      <x:c r="HH30" s="1613">
        <x:v>1.75</x:v>
      </x:c>
      <x:c r="HI30" s="1613" t="s">
        <x:v>114</x:v>
      </x:c>
      <x:c r="HJ30" s="1613">
        <x:v>0</x:v>
      </x:c>
      <x:c r="HK30" s="1613">
        <x:v>1.75</x:v>
      </x:c>
      <x:c r="HL30" s="1613" t="s">
        <x:v>114</x:v>
      </x:c>
      <x:c r="HM30" s="1613">
        <x:v>7.5</x:v>
      </x:c>
      <x:c r="HN30" s="1613">
        <x:v>7.5</x:v>
      </x:c>
      <x:c r="HO30" s="1613">
        <x:v>0</x:v>
      </x:c>
      <x:c r="HP30" s="1613">
        <x:v>7.875</x:v>
      </x:c>
      <x:c r="HQ30" s="1613">
        <x:v>0</x:v>
      </x:c>
      <x:c r="HR30" s="1613">
        <x:v>5.75</x:v>
      </x:c>
      <x:c r="HS30" s="1613">
        <x:v>0</x:v>
      </x:c>
      <x:c r="HT30" s="1613">
        <x:v>6.25</x:v>
      </x:c>
      <x:c r="HU30" s="1613">
        <x:v>0</x:v>
      </x:c>
      <x:c r="HV30" s="1613">
        <x:v>6.25</x:v>
      </x:c>
      <x:c r="HW30" s="1613">
        <x:v>5</x:v>
      </x:c>
      <x:c r="HX30" s="1613" t="s">
        <x:v>117</x:v>
      </x:c>
      <x:c r="HY30" s="1617" t="s">
        <x:v>117</x:v>
      </x:c>
      <x:c r="HZ30" s="1617" t="s">
        <x:v>2024</x:v>
      </x:c>
      <x:c r="IA30" s="1617" t="s">
        <x:v>117</x:v>
      </x:c>
      <x:c r="IB30" s="1617"/>
      <x:c r="IC30" s="1617"/>
      <x:c r="ID30" s="1632"/>
      <x:c r="IE30" s="1612" t="s">
        <x:v>1318</x:v>
      </x:c>
      <x:c r="IF30" s="1613" t="s">
        <x:v>35</x:v>
      </x:c>
      <x:c r="IG30" s="1614">
        <x:v>3</x:v>
      </x:c>
      <x:c r="IH30" s="1615">
        <x:v>1.75</x:v>
      </x:c>
      <x:c r="II30" s="1613">
        <x:v>5</x:v>
      </x:c>
      <x:c r="IJ30" s="1614">
        <x:v>8</x:v>
      </x:c>
      <x:c r="IK30" s="1615">
        <x:v>0</x:v>
      </x:c>
      <x:c r="IL30" s="1613">
        <x:v>7</x:v>
      </x:c>
      <x:c r="IM30" s="1613">
        <x:v>10</x:v>
      </x:c>
      <x:c r="IN30" s="1613" t="s">
        <x:v>117</x:v>
      </x:c>
      <x:c r="IO30" s="1613" t="s">
        <x:v>117</x:v>
      </x:c>
      <x:c r="IP30" s="1613">
        <x:v>5</x:v>
      </x:c>
      <x:c r="IQ30" s="1613">
        <x:v>13</x:v>
      </x:c>
      <x:c r="IR30" s="1613">
        <x:v>4</x:v>
      </x:c>
      <x:c r="IS30" s="1614" t="s">
        <x:v>117</x:v>
      </x:c>
      <x:c r="IT30" s="1615">
        <x:v>1.75</x:v>
      </x:c>
      <x:c r="IU30" s="1613" t="s">
        <x:v>117</x:v>
      </x:c>
      <x:c r="IV30" s="1613" t="s">
        <x:v>117</x:v>
      </x:c>
      <x:c r="IW30" s="1614" t="s">
        <x:v>117</x:v>
      </x:c>
      <x:c r="IX30" s="1615" t="s">
        <x:v>117</x:v>
      </x:c>
      <x:c r="IY30" s="1613" t="s">
        <x:v>117</x:v>
      </x:c>
      <x:c r="IZ30" s="1613" t="s">
        <x:v>117</x:v>
      </x:c>
      <x:c r="JA30" s="1614" t="s">
        <x:v>117</x:v>
      </x:c>
      <x:c r="JB30" s="1615" t="s">
        <x:v>117</x:v>
      </x:c>
      <x:c r="JC30" s="1613" t="s">
        <x:v>117</x:v>
      </x:c>
      <x:c r="JD30" s="1613" t="s">
        <x:v>117</x:v>
      </x:c>
      <x:c r="JE30" s="1614" t="s">
        <x:v>117</x:v>
      </x:c>
      <x:c r="JF30" s="1615" t="s">
        <x:v>117</x:v>
      </x:c>
      <x:c r="JG30" s="1613" t="s">
        <x:v>117</x:v>
      </x:c>
      <x:c r="JH30" s="1613" t="s">
        <x:v>117</x:v>
      </x:c>
      <x:c r="JI30" s="1613" t="s">
        <x:v>117</x:v>
      </x:c>
      <x:c r="JJ30" s="1619" t="s">
        <x:v>117</x:v>
      </x:c>
      <x:c r="JK30" s="1613">
        <x:v>1</x:v>
      </x:c>
      <x:c r="JL30" s="1521">
        <x:f t="shared" ca="1" si="62"/>
        <x:v>1</x:v>
      </x:c>
    </x:row>
    <x:row r="31" spans="1:272" s="183" customFormat="1" ht="12.6" customHeight="1" x14ac:dyDescent="0.25">
      <x:c r="A31" s="1583" t="s">
        <x:v>1321</x:v>
      </x:c>
      <x:c r="B31" s="1584">
        <x:v>1</x:v>
      </x:c>
      <x:c r="C31" s="1585" t="s">
        <x:v>1953</x:v>
      </x:c>
      <x:c r="D31" s="1586">
        <x:v>59</x:v>
      </x:c>
      <x:c r="E31" s="1587">
        <x:v>11.5</x:v>
      </x:c>
      <x:c r="F31" s="1588">
        <x:v>11.125</x:v>
      </x:c>
      <x:c r="G31" s="1589">
        <x:v>0</x:v>
      </x:c>
      <x:c r="H31" s="1590">
        <x:v>1.75</x:v>
      </x:c>
      <x:c r="I31" s="1591" t="s">
        <x:v>114</x:v>
      </x:c>
      <x:c r="J31" s="1586">
        <x:v>0</x:v>
      </x:c>
      <x:c r="K31" s="1590">
        <x:v>1.75</x:v>
      </x:c>
      <x:c r="L31" s="1592" t="s">
        <x:v>114</x:v>
      </x:c>
      <x:c r="M31" s="1593">
        <x:v>7.5</x:v>
      </x:c>
      <x:c r="N31" s="1594">
        <x:v>7.5</x:v>
      </x:c>
      <x:c r="O31" s="1589">
        <x:v>0</x:v>
      </x:c>
      <x:c r="P31" s="1590">
        <x:v>5.75</x:v>
      </x:c>
      <x:c r="Q31" s="1586">
        <x:v>0</x:v>
      </x:c>
      <x:c r="R31" s="1587">
        <x:v>7.875</x:v>
      </x:c>
      <x:c r="S31" s="1595">
        <x:v>0</x:v>
      </x:c>
      <x:c r="T31" s="1590">
        <x:v>6.25</x:v>
      </x:c>
      <x:c r="U31" s="1586">
        <x:v>0</x:v>
      </x:c>
      <x:c r="V31" s="1590">
        <x:v>6.25</x:v>
      </x:c>
      <x:c r="W31" s="1594">
        <x:v>5</x:v>
      </x:c>
      <x:c r="X31" s="1596" t="str">
        <x:f t="shared" si="3"/>
        <x:v/>
      </x:c>
      <x:c r="Y31" s="1597" t="str">
        <x:f t="shared" si="4"/>
        <x:v/>
      </x:c>
      <x:c r="Z31" s="2210" t="s">
        <x:v>2318</x:v>
      </x:c>
      <x:c r="AA31" s="1605" t="str">
        <x:f t="shared" si="5"/>
        <x:v/>
      </x:c>
      <x:c r="AB31" s="2170"/>
      <x:c r="AC31" s="2194"/>
      <x:c r="AD31" s="2195"/>
      <x:c r="AE31" s="2122"/>
      <x:c r="AF31" s="2194">
        <x:v>1</x:v>
      </x:c>
      <x:c r="AG31" s="2195">
        <x:v>7</x:v>
      </x:c>
      <x:c r="AH31" s="2122">
        <x:v>10</x:v>
      </x:c>
      <x:c r="AI31" s="2195"/>
      <x:c r="AJ31" s="2122"/>
      <x:c r="AK31" s="1599" t="str">
        <x:f t="shared" si="6"/>
        <x:v/>
      </x:c>
      <x:c r="AL31" s="1600"/>
      <x:c r="AM31" s="2196"/>
      <x:c r="AN31" s="2194"/>
      <x:c r="AO31" s="2197"/>
      <x:c r="AP31" s="1327"/>
      <x:c r="AQ31" s="2198"/>
      <x:c r="AR31" s="1263"/>
      <x:c r="AS31" s="1262"/>
      <x:c r="AT31" s="1603"/>
      <x:c r="AU31" s="1410"/>
      <x:c r="AV31" s="1328"/>
      <x:c r="AW31" s="1262" t="str">
        <x:f t="shared" si="9"/>
        <x:v/>
      </x:c>
      <x:c r="AX31" s="1603" t="str">
        <x:f t="shared" si="10"/>
        <x:v/>
      </x:c>
      <x:c r="AY31" s="1410" t="str">
        <x:f t="shared" si="10"/>
        <x:v/>
      </x:c>
      <x:c r="AZ31" s="1328" t="str">
        <x:f t="shared" si="11"/>
        <x:v/>
      </x:c>
      <x:c r="BA31" s="1262" t="str">
        <x:f t="shared" si="12"/>
        <x:v/>
      </x:c>
      <x:c r="BB31" s="1603" t="str">
        <x:f t="shared" si="13"/>
        <x:v/>
      </x:c>
      <x:c r="BC31" s="1410" t="str">
        <x:f t="shared" si="13"/>
        <x:v/>
      </x:c>
      <x:c r="BD31" s="1328" t="str">
        <x:f t="shared" si="14"/>
        <x:v/>
      </x:c>
      <x:c r="BE31" s="1262" t="str">
        <x:f t="shared" si="15"/>
        <x:v/>
      </x:c>
      <x:c r="BF31" s="1603" t="str">
        <x:f t="shared" si="16"/>
        <x:v/>
      </x:c>
      <x:c r="BG31" s="1410" t="str">
        <x:f t="shared" si="16"/>
        <x:v/>
      </x:c>
      <x:c r="BH31" s="322"/>
      <x:c r="BJ31" s="1258" t="str">
        <x:f t="shared" si="60"/>
        <x:v>G58</x:v>
      </x:c>
      <x:c r="BK31" s="1256" t="b">
        <x:f t="shared" si="17"/>
        <x:v>0</x:v>
      </x:c>
      <x:c r="BL31" s="2002" t="b">
        <x:v>0</x:v>
      </x:c>
      <x:c r="BM31" s="1251">
        <x:f t="shared" si="18"/>
        <x:v>54</x:v>
      </x:c>
      <x:c r="BN31" s="1251" t="str">
        <x:f t="shared" si="19"/>
        <x:v>G</x:v>
      </x:c>
      <x:c r="BO31" s="1251">
        <x:f t="shared" si="20"/>
        <x:v>8</x:v>
      </x:c>
      <x:c r="BP31" s="1251">
        <x:f t="shared" si="21"/>
        <x:v>6.5</x:v>
      </x:c>
      <x:c r="BQ31" s="1251">
        <x:f t="shared" si="22"/>
        <x:v>2.1</x:v>
      </x:c>
      <x:c r="BR31" s="1251" t="b">
        <x:f t="shared" si="23"/>
        <x:v>1</x:v>
      </x:c>
      <x:c r="BS31" s="1252">
        <x:f t="shared" si="24"/>
        <x:v>7.75</x:v>
      </x:c>
      <x:c r="BT31" s="1252" t="str">
        <x:f t="shared" si="25"/>
        <x:v>Yes</x:v>
      </x:c>
      <x:c r="BU31" s="1252">
        <x:f t="shared" si="26"/>
        <x:v>7.75</x:v>
      </x:c>
      <x:c r="BV31" s="1252" t="str">
        <x:f t="shared" si="27"/>
        <x:v>Yes</x:v>
      </x:c>
      <x:c r="BW31" s="1253">
        <x:f t="shared" si="28"/>
        <x:v>3</x:v>
      </x:c>
      <x:c r="BX31" s="1254" t="str">
        <x:f t="shared" si="29"/>
        <x:v>G54</x:v>
      </x:c>
      <x:c r="BY31" s="1254" t="b">
        <x:f t="shared" si="30"/>
        <x:v>0</x:v>
      </x:c>
      <x:c r="BZ31" s="1253" t="b">
        <x:f t="shared" si="50"/>
        <x:v>0</x:v>
      </x:c>
      <x:c r="CB31" s="842"/>
      <x:c r="CC31" s="894"/>
      <x:c r="CD31" s="883"/>
      <x:c r="CE31" s="884"/>
      <x:c r="CF31" s="885"/>
      <x:c r="CG31" s="901"/>
      <x:c r="CH31" s="902"/>
      <x:c r="CI31" s="903"/>
      <x:c r="CJ31" s="902"/>
      <x:c r="CK31" s="903"/>
      <x:c r="CL31" s="904"/>
      <x:c r="CM31" s="944"/>
      <x:c r="CN31" s="901"/>
      <x:c r="CO31" s="902"/>
      <x:c r="CP31" s="903"/>
      <x:c r="CQ31" s="902"/>
      <x:c r="CR31" s="903"/>
      <x:c r="CS31" s="904"/>
      <x:c r="CT31" s="944"/>
      <x:c r="CU31" s="906"/>
      <x:c r="CV31" s="886"/>
      <x:c r="CW31" s="887"/>
      <x:c r="CX31" s="915"/>
      <x:c r="CY31" s="916"/>
      <x:c r="CZ31" s="932"/>
      <x:c r="DA31" s="933"/>
      <x:c r="DB31" s="932"/>
      <x:c r="DC31" s="933"/>
      <x:c r="DD31" s="1149"/>
      <x:c r="DE31" s="1150"/>
      <x:c r="DF31" s="173"/>
      <x:c r="DG31" s="173"/>
      <x:c r="DH31" s="842"/>
      <x:c r="DI31" s="843"/>
      <x:c r="DJ31" s="872"/>
      <x:c r="DK31" s="873"/>
      <x:c r="DL31" s="844"/>
      <x:c r="DM31" s="874"/>
      <x:c r="DN31" s="875"/>
      <x:c r="DO31" s="845"/>
      <x:c r="DP31" s="846"/>
      <x:c r="DQ31" s="847"/>
      <x:c r="DR31" s="847"/>
      <x:c r="DS31" s="848"/>
      <x:c r="DT31" s="836"/>
      <x:c r="DU31" s="837"/>
      <x:c r="DV31" s="849"/>
      <x:c r="DW31" s="850"/>
      <x:c r="DX31" s="851"/>
      <x:c r="DY31" s="852"/>
      <x:c r="DZ31" s="849"/>
      <x:c r="EA31" s="850"/>
      <x:c r="EB31" s="851"/>
      <x:c r="EC31" s="852"/>
      <x:c r="ED31" s="849"/>
      <x:c r="EE31" s="850"/>
      <x:c r="EF31" s="851"/>
      <x:c r="EG31" s="852"/>
      <x:c r="EH31" s="849"/>
      <x:c r="EI31" s="850"/>
      <x:c r="EJ31" s="851"/>
      <x:c r="EK31" s="853"/>
      <x:c r="EL31" s="798" t="str">
        <x:f t="shared" si="31"/>
        <x:v/>
      </x:c>
      <x:c r="EM31" s="799" t="str">
        <x:f t="shared" si="32"/>
        <x:v/>
      </x:c>
      <x:c r="EN31" s="800" t="str">
        <x:f t="shared" si="33"/>
        <x:v/>
      </x:c>
      <x:c r="EO31" s="1030" t="str">
        <x:f t="shared" si="34"/>
        <x:v/>
      </x:c>
      <x:c r="EP31" s="726" t="str">
        <x:f t="shared" si="35"/>
        <x:v/>
      </x:c>
      <x:c r="EQ31" s="727" t="str">
        <x:f t="shared" si="36"/>
        <x:v/>
      </x:c>
      <x:c r="ER31" s="961" t="str">
        <x:f t="shared" si="37"/>
        <x:v/>
      </x:c>
      <x:c r="ES31" s="962" t="str">
        <x:f t="shared" si="51"/>
        <x:v/>
      </x:c>
      <x:c r="ET31" s="963" t="str">
        <x:f t="shared" si="38"/>
        <x:v/>
      </x:c>
      <x:c r="EU31" s="964" t="str">
        <x:f t="shared" si="39"/>
        <x:v/>
      </x:c>
      <x:c r="EX31" s="1194" t="str">
        <x:f t="shared" si="52"/>
        <x:v>G54B</x:v>
      </x:c>
      <x:c r="EY31" s="1196" t="str">
        <x:f t="shared" si="40"/>
        <x:v/>
      </x:c>
      <x:c r="EZ31" s="1196" t="str">
        <x:f t="shared" si="53"/>
        <x:v/>
      </x:c>
      <x:c r="FA31" s="1217" t="e">
        <x:f t="shared" si="61"/>
        <x:v>#N/A</x:v>
      </x:c>
      <x:c r="FB31" s="1218" t="e">
        <x:f t="shared" si="54"/>
        <x:v>#N/A</x:v>
      </x:c>
      <x:c r="FC31" s="1218">
        <x:f t="shared" si="41"/>
        <x:v>0</x:v>
      </x:c>
      <x:c r="FD31" s="1218">
        <x:f t="shared" si="42"/>
        <x:v>94</x:v>
      </x:c>
      <x:c r="FE31" s="1218">
        <x:f t="shared" si="43"/>
        <x:v>0</x:v>
      </x:c>
      <x:c r="FF31" s="1218">
        <x:f t="shared" si="55"/>
        <x:v>284</x:v>
      </x:c>
      <x:c r="FN31" s="969" t="b">
        <x:v>0</x:v>
      </x:c>
      <x:c r="FO31" s="970" t="b">
        <x:f t="shared" si="44"/>
        <x:v>1</x:v>
      </x:c>
      <x:c r="FP31" s="970" t="b">
        <x:v>0</x:v>
      </x:c>
      <x:c r="FQ31" s="970" t="b">
        <x:f t="shared" si="56"/>
        <x:v>0</x:v>
      </x:c>
      <x:c r="FW31" s="2"/>
      <x:c r="FX31" s="2"/>
      <x:c r="FZ31" s="2"/>
      <x:c r="GA31" s="1935">
        <x:v>60</x:v>
      </x:c>
      <x:c r="GB31" s="1936">
        <x:v>0</x:v>
      </x:c>
      <x:c r="GC31" s="1937">
        <x:v>-0.25</x:v>
      </x:c>
      <x:c r="GD31" s="1938">
        <x:v>-0.25</x:v>
      </x:c>
      <x:c r="GE31" s="1939">
        <x:v>0.25</x:v>
      </x:c>
      <x:c r="GF31" s="1940" t="str">
        <x:f t="shared" si="46"/>
        <x:v>G58</x:v>
      </x:c>
      <x:c r="GG31" s="1457"/>
      <x:c r="GH31" s="1459"/>
      <x:c r="GI31" s="1457"/>
      <x:c r="GJ31" s="1459"/>
      <x:c r="GK31" s="326">
        <x:f t="shared" si="47"/>
        <x:v>719.5</x:v>
      </x:c>
      <x:c r="GL31" s="326">
        <x:f t="shared" si="48"/>
        <x:v>719.65612455429505</x:v>
      </x:c>
      <x:c r="GM31" s="327">
        <x:f>IF(ABS(GK31-GL31)&gt;='Job Info.'!$L$22,ABS(GK31-GL31),0)</x:f>
        <x:v>0</x:v>
      </x:c>
      <x:c r="GZ31" s="161"/>
      <x:c r="HA31" s="1612" t="s">
        <x:v>1321</x:v>
      </x:c>
      <x:c r="HB31" s="1613">
        <x:v>1</x:v>
      </x:c>
      <x:c r="HC31" s="1613" t="s">
        <x:v>1953</x:v>
      </x:c>
      <x:c r="HD31" s="1614">
        <x:v>59</x:v>
      </x:c>
      <x:c r="HE31" s="1615">
        <x:v>11.5</x:v>
      </x:c>
      <x:c r="HF31" s="1613">
        <x:v>11.125</x:v>
      </x:c>
      <x:c r="HG31" s="1613">
        <x:v>0</x:v>
      </x:c>
      <x:c r="HH31" s="1613">
        <x:v>1.75</x:v>
      </x:c>
      <x:c r="HI31" s="1613" t="s">
        <x:v>114</x:v>
      </x:c>
      <x:c r="HJ31" s="1613">
        <x:v>0</x:v>
      </x:c>
      <x:c r="HK31" s="1613">
        <x:v>1.75</x:v>
      </x:c>
      <x:c r="HL31" s="1613" t="s">
        <x:v>114</x:v>
      </x:c>
      <x:c r="HM31" s="1613">
        <x:v>7.5</x:v>
      </x:c>
      <x:c r="HN31" s="1613">
        <x:v>7.5</x:v>
      </x:c>
      <x:c r="HO31" s="1613">
        <x:v>0</x:v>
      </x:c>
      <x:c r="HP31" s="1613">
        <x:v>5.75</x:v>
      </x:c>
      <x:c r="HQ31" s="1613">
        <x:v>0</x:v>
      </x:c>
      <x:c r="HR31" s="1613">
        <x:v>7.875</x:v>
      </x:c>
      <x:c r="HS31" s="1613">
        <x:v>0</x:v>
      </x:c>
      <x:c r="HT31" s="1613">
        <x:v>6.25</x:v>
      </x:c>
      <x:c r="HU31" s="1613">
        <x:v>0</x:v>
      </x:c>
      <x:c r="HV31" s="1613">
        <x:v>6.25</x:v>
      </x:c>
      <x:c r="HW31" s="1613">
        <x:v>5</x:v>
      </x:c>
      <x:c r="HX31" s="1613" t="s">
        <x:v>117</x:v>
      </x:c>
      <x:c r="HY31" s="1617" t="s">
        <x:v>117</x:v>
      </x:c>
      <x:c r="HZ31" s="1617" t="s">
        <x:v>2024</x:v>
      </x:c>
      <x:c r="IA31" s="1617" t="s">
        <x:v>117</x:v>
      </x:c>
      <x:c r="IB31" s="1617"/>
      <x:c r="IC31" s="1617"/>
      <x:c r="ID31" s="1632"/>
      <x:c r="IE31" s="1612" t="s">
        <x:v>1319</x:v>
      </x:c>
      <x:c r="IF31" s="1613" t="s">
        <x:v>34</x:v>
      </x:c>
      <x:c r="IG31" s="1614">
        <x:v>3</x:v>
      </x:c>
      <x:c r="IH31" s="1615">
        <x:v>1.75</x:v>
      </x:c>
      <x:c r="II31" s="1613">
        <x:v>6</x:v>
      </x:c>
      <x:c r="IJ31" s="1614">
        <x:v>8</x:v>
      </x:c>
      <x:c r="IK31" s="1615">
        <x:v>0</x:v>
      </x:c>
      <x:c r="IL31" s="1613">
        <x:v>7</x:v>
      </x:c>
      <x:c r="IM31" s="1613">
        <x:v>10</x:v>
      </x:c>
      <x:c r="IN31" s="1613" t="s">
        <x:v>117</x:v>
      </x:c>
      <x:c r="IO31" s="1613" t="s">
        <x:v>117</x:v>
      </x:c>
      <x:c r="IP31" s="1613">
        <x:v>5</x:v>
      </x:c>
      <x:c r="IQ31" s="1613">
        <x:v>13</x:v>
      </x:c>
      <x:c r="IR31" s="1613">
        <x:v>4</x:v>
      </x:c>
      <x:c r="IS31" s="1614" t="s">
        <x:v>117</x:v>
      </x:c>
      <x:c r="IT31" s="1615">
        <x:v>1.75</x:v>
      </x:c>
      <x:c r="IU31" s="1613" t="s">
        <x:v>117</x:v>
      </x:c>
      <x:c r="IV31" s="1613" t="s">
        <x:v>117</x:v>
      </x:c>
      <x:c r="IW31" s="1614" t="s">
        <x:v>117</x:v>
      </x:c>
      <x:c r="IX31" s="1615" t="s">
        <x:v>117</x:v>
      </x:c>
      <x:c r="IY31" s="1613" t="s">
        <x:v>117</x:v>
      </x:c>
      <x:c r="IZ31" s="1613" t="s">
        <x:v>117</x:v>
      </x:c>
      <x:c r="JA31" s="1614" t="s">
        <x:v>117</x:v>
      </x:c>
      <x:c r="JB31" s="1615" t="s">
        <x:v>117</x:v>
      </x:c>
      <x:c r="JC31" s="1613" t="s">
        <x:v>117</x:v>
      </x:c>
      <x:c r="JD31" s="1613" t="s">
        <x:v>117</x:v>
      </x:c>
      <x:c r="JE31" s="1614" t="s">
        <x:v>117</x:v>
      </x:c>
      <x:c r="JF31" s="1615" t="s">
        <x:v>117</x:v>
      </x:c>
      <x:c r="JG31" s="1613" t="s">
        <x:v>117</x:v>
      </x:c>
      <x:c r="JH31" s="1613" t="s">
        <x:v>117</x:v>
      </x:c>
      <x:c r="JI31" s="1613" t="s">
        <x:v>117</x:v>
      </x:c>
      <x:c r="JJ31" s="1619" t="s">
        <x:v>117</x:v>
      </x:c>
      <x:c r="JK31" s="1613">
        <x:v>1</x:v>
      </x:c>
      <x:c r="JL31" s="1521">
        <x:f t="shared" ca="1" si="62"/>
        <x:v>1</x:v>
      </x:c>
    </x:row>
    <x:row r="32" spans="1:272" ht="12.6" customHeight="1" x14ac:dyDescent="0.25">
      <x:c r="A32" s="1583" t="s">
        <x:v>1322</x:v>
      </x:c>
      <x:c r="B32" s="1584">
        <x:v>3</x:v>
      </x:c>
      <x:c r="C32" s="1585" t="s">
        <x:v>1954</x:v>
      </x:c>
      <x:c r="D32" s="1586">
        <x:v>51</x:v>
      </x:c>
      <x:c r="E32" s="1587">
        <x:v>11.5</x:v>
      </x:c>
      <x:c r="F32" s="1588">
        <x:v>11.125</x:v>
      </x:c>
      <x:c r="G32" s="1589">
        <x:v>0</x:v>
      </x:c>
      <x:c r="H32" s="1590">
        <x:v>1.75</x:v>
      </x:c>
      <x:c r="I32" s="1591" t="s">
        <x:v>114</x:v>
      </x:c>
      <x:c r="J32" s="1586">
        <x:v>0</x:v>
      </x:c>
      <x:c r="K32" s="1590">
        <x:v>1.75</x:v>
      </x:c>
      <x:c r="L32" s="1592" t="s">
        <x:v>114</x:v>
      </x:c>
      <x:c r="M32" s="1593">
        <x:v>7.5</x:v>
      </x:c>
      <x:c r="N32" s="1594">
        <x:v>7.5</x:v>
      </x:c>
      <x:c r="O32" s="1589">
        <x:v>0</x:v>
      </x:c>
      <x:c r="P32" s="1590">
        <x:v>6.75</x:v>
      </x:c>
      <x:c r="Q32" s="1586">
        <x:v>0</x:v>
      </x:c>
      <x:c r="R32" s="1587">
        <x:v>6.75</x:v>
      </x:c>
      <x:c r="S32" s="1595">
        <x:v>0</x:v>
      </x:c>
      <x:c r="T32" s="1590">
        <x:v>6.25</x:v>
      </x:c>
      <x:c r="U32" s="1586">
        <x:v>0</x:v>
      </x:c>
      <x:c r="V32" s="1590">
        <x:v>6.25</x:v>
      </x:c>
      <x:c r="W32" s="1594">
        <x:v>5</x:v>
      </x:c>
      <x:c r="X32" s="1596" t="str">
        <x:f t="shared" si="3"/>
        <x:v/>
      </x:c>
      <x:c r="Y32" s="1597" t="str">
        <x:f t="shared" si="4"/>
        <x:v/>
      </x:c>
      <x:c r="Z32" s="2210" t="s">
        <x:v>2311</x:v>
      </x:c>
      <x:c r="AA32" s="1605" t="str">
        <x:f t="shared" si="5"/>
        <x:v/>
      </x:c>
      <x:c r="AB32" s="2170"/>
      <x:c r="AC32" s="2194"/>
      <x:c r="AD32" s="2195"/>
      <x:c r="AE32" s="2122"/>
      <x:c r="AF32" s="2194">
        <x:v>1</x:v>
      </x:c>
      <x:c r="AG32" s="1261">
        <x:v>8</x:v>
      </x:c>
      <x:c r="AH32" s="1262">
        <x:v>0</x:v>
      </x:c>
      <x:c r="AI32" s="1261">
        <x:v>7</x:v>
      </x:c>
      <x:c r="AJ32" s="1262">
        <x:v>10</x:v>
      </x:c>
      <x:c r="AK32" s="1599" t="str">
        <x:f t="shared" ref="AK32" si="66">IF(ISBLANK(DO32),"",DO32)</x:f>
        <x:v/>
      </x:c>
      <x:c r="AL32" s="1600"/>
      <x:c r="AM32" s="2196"/>
      <x:c r="AN32" s="2194"/>
      <x:c r="AO32" s="2197"/>
      <x:c r="AP32" s="2200"/>
      <x:c r="AQ32" s="2198"/>
      <x:c r="AR32" s="1263"/>
      <x:c r="AS32" s="1262"/>
      <x:c r="AT32" s="1603"/>
      <x:c r="AU32" s="1410"/>
      <x:c r="AV32" s="1328"/>
      <x:c r="AW32" s="1262" t="str">
        <x:f t="shared" ref="AW32" si="67">IF(GG72="","",IF(AV32="P",GG72,GG72-(AV32*12)))</x:f>
        <x:v/>
      </x:c>
      <x:c r="AX32" s="1603" t="str">
        <x:f t="shared" ref="AX32" si="68">IF(ISBLANK(EB32),"",EB32)</x:f>
        <x:v/>
      </x:c>
      <x:c r="AY32" s="1410" t="str">
        <x:f t="shared" ref="AY32" si="69">IF(ISBLANK(EC32),"",EC32)</x:f>
        <x:v/>
      </x:c>
      <x:c r="AZ32" s="1328" t="str">
        <x:f t="shared" ref="AZ32:AZ38" si="70">IF(GH72="","",IF(ISTEXT(GH72),"P",TRUNC(GH72/12)))</x:f>
        <x:v/>
      </x:c>
      <x:c r="BA32" s="1262" t="str">
        <x:f t="shared" si="12"/>
        <x:v/>
      </x:c>
      <x:c r="BB32" s="1603" t="str">
        <x:f t="shared" si="13"/>
        <x:v/>
      </x:c>
      <x:c r="BC32" s="1410" t="str">
        <x:f t="shared" si="13"/>
        <x:v/>
      </x:c>
      <x:c r="BD32" s="1328" t="str">
        <x:f t="shared" si="14"/>
        <x:v/>
      </x:c>
      <x:c r="BE32" s="1262" t="str">
        <x:f t="shared" si="15"/>
        <x:v/>
      </x:c>
      <x:c r="BF32" s="1603" t="str">
        <x:f t="shared" si="16"/>
        <x:v/>
      </x:c>
      <x:c r="BG32" s="1410" t="str">
        <x:f t="shared" si="16"/>
        <x:v/>
      </x:c>
      <x:c r="BH32" s="322"/>
      <x:c r="BJ32" s="1258" t="str">
        <x:f t="shared" si="60"/>
        <x:v>G59</x:v>
      </x:c>
      <x:c r="BK32" s="1256" t="b">
        <x:f t="shared" si="17"/>
        <x:v>0</x:v>
      </x:c>
      <x:c r="BL32" s="2002" t="b">
        <x:v>0</x:v>
      </x:c>
      <x:c r="BM32" s="1251">
        <x:f t="shared" si="18"/>
        <x:v>54</x:v>
      </x:c>
      <x:c r="BN32" s="1251" t="str">
        <x:f t="shared" si="19"/>
        <x:v>G</x:v>
      </x:c>
      <x:c r="BO32" s="1251">
        <x:f t="shared" si="20"/>
        <x:v>7</x:v>
      </x:c>
      <x:c r="BP32" s="1251">
        <x:f t="shared" si="21"/>
        <x:v>13.4</x:v>
      </x:c>
      <x:c r="BQ32" s="1251">
        <x:f t="shared" si="22"/>
        <x:v>3.9</x:v>
      </x:c>
      <x:c r="BR32" s="1251" t="b">
        <x:f t="shared" si="23"/>
        <x:v>1</x:v>
      </x:c>
      <x:c r="BS32" s="1252">
        <x:f t="shared" si="24"/>
        <x:v>7.75</x:v>
      </x:c>
      <x:c r="BT32" s="1252" t="str">
        <x:f t="shared" si="25"/>
        <x:v>Yes</x:v>
      </x:c>
      <x:c r="BU32" s="1252">
        <x:f t="shared" si="26"/>
        <x:v>7.75</x:v>
      </x:c>
      <x:c r="BV32" s="1252" t="str">
        <x:f t="shared" si="27"/>
        <x:v>Yes</x:v>
      </x:c>
      <x:c r="BW32" s="1253">
        <x:f t="shared" si="28"/>
        <x:v>5</x:v>
      </x:c>
      <x:c r="BX32" s="1254" t="str">
        <x:f t="shared" si="29"/>
        <x:v>G54</x:v>
      </x:c>
      <x:c r="BY32" s="1254" t="b">
        <x:f t="shared" si="30"/>
        <x:v>0</x:v>
      </x:c>
      <x:c r="BZ32" s="1253" t="b">
        <x:f t="shared" si="50"/>
        <x:v>0</x:v>
      </x:c>
      <x:c r="CB32" s="842"/>
      <x:c r="CC32" s="894"/>
      <x:c r="CD32" s="883"/>
      <x:c r="CE32" s="884"/>
      <x:c r="CF32" s="885"/>
      <x:c r="CG32" s="901"/>
      <x:c r="CH32" s="902"/>
      <x:c r="CI32" s="903"/>
      <x:c r="CJ32" s="902"/>
      <x:c r="CK32" s="903"/>
      <x:c r="CL32" s="904"/>
      <x:c r="CM32" s="944"/>
      <x:c r="CN32" s="901"/>
      <x:c r="CO32" s="902"/>
      <x:c r="CP32" s="903"/>
      <x:c r="CQ32" s="902"/>
      <x:c r="CR32" s="903"/>
      <x:c r="CS32" s="904"/>
      <x:c r="CT32" s="944"/>
      <x:c r="CU32" s="906"/>
      <x:c r="CV32" s="886"/>
      <x:c r="CW32" s="887"/>
      <x:c r="CX32" s="915"/>
      <x:c r="CY32" s="916"/>
      <x:c r="CZ32" s="932"/>
      <x:c r="DA32" s="933"/>
      <x:c r="DB32" s="932"/>
      <x:c r="DC32" s="933"/>
      <x:c r="DD32" s="1149"/>
      <x:c r="DE32" s="1150"/>
      <x:c r="DF32" s="173"/>
      <x:c r="DG32" s="173"/>
      <x:c r="DH32" s="842"/>
      <x:c r="DI32" s="843"/>
      <x:c r="DJ32" s="872"/>
      <x:c r="DK32" s="873"/>
      <x:c r="DL32" s="844"/>
      <x:c r="DM32" s="874"/>
      <x:c r="DN32" s="875"/>
      <x:c r="DO32" s="845"/>
      <x:c r="DP32" s="846"/>
      <x:c r="DQ32" s="847"/>
      <x:c r="DR32" s="847"/>
      <x:c r="DS32" s="848"/>
      <x:c r="DT32" s="836"/>
      <x:c r="DU32" s="837"/>
      <x:c r="DV32" s="849"/>
      <x:c r="DW32" s="850"/>
      <x:c r="DX32" s="851"/>
      <x:c r="DY32" s="852"/>
      <x:c r="DZ32" s="849"/>
      <x:c r="EA32" s="850"/>
      <x:c r="EB32" s="851"/>
      <x:c r="EC32" s="852"/>
      <x:c r="ED32" s="849"/>
      <x:c r="EE32" s="850"/>
      <x:c r="EF32" s="851"/>
      <x:c r="EG32" s="852"/>
      <x:c r="EH32" s="849"/>
      <x:c r="EI32" s="850"/>
      <x:c r="EJ32" s="851"/>
      <x:c r="EK32" s="853"/>
      <x:c r="EL32" s="798" t="str">
        <x:f t="shared" si="31"/>
        <x:v/>
      </x:c>
      <x:c r="EM32" s="799" t="str">
        <x:f t="shared" si="32"/>
        <x:v/>
      </x:c>
      <x:c r="EN32" s="800" t="str">
        <x:f t="shared" si="33"/>
        <x:v/>
      </x:c>
      <x:c r="EO32" s="1030" t="str">
        <x:f t="shared" si="34"/>
        <x:v/>
      </x:c>
      <x:c r="EP32" s="726" t="str">
        <x:f t="shared" si="35"/>
        <x:v/>
      </x:c>
      <x:c r="EQ32" s="727" t="str">
        <x:f t="shared" si="36"/>
        <x:v/>
      </x:c>
      <x:c r="ER32" s="961" t="str">
        <x:f t="shared" si="37"/>
        <x:v/>
      </x:c>
      <x:c r="ES32" s="962" t="str">
        <x:f t="shared" si="51"/>
        <x:v/>
      </x:c>
      <x:c r="ET32" s="963" t="str">
        <x:f t="shared" si="38"/>
        <x:v/>
      </x:c>
      <x:c r="EU32" s="964" t="str">
        <x:f t="shared" si="39"/>
        <x:v/>
      </x:c>
      <x:c r="EX32" s="1194" t="str">
        <x:f t="shared" si="52"/>
        <x:v>G54B</x:v>
      </x:c>
      <x:c r="EY32" s="1196" t="str">
        <x:f t="shared" si="40"/>
        <x:v/>
      </x:c>
      <x:c r="EZ32" s="1196" t="str">
        <x:f t="shared" si="53"/>
        <x:v/>
      </x:c>
      <x:c r="FA32" s="1217" t="e">
        <x:f t="shared" si="61"/>
        <x:v>#N/A</x:v>
      </x:c>
      <x:c r="FB32" s="1218" t="e">
        <x:f t="shared" si="54"/>
        <x:v>#N/A</x:v>
      </x:c>
      <x:c r="FC32" s="1218">
        <x:f t="shared" si="41"/>
        <x:v>0</x:v>
      </x:c>
      <x:c r="FD32" s="1218">
        <x:f t="shared" si="42"/>
        <x:v>96</x:v>
      </x:c>
      <x:c r="FE32" s="1218">
        <x:f t="shared" si="43"/>
        <x:v>94</x:v>
      </x:c>
      <x:c r="FF32" s="1218">
        <x:f t="shared" si="55"/>
        <x:v>190</x:v>
      </x:c>
      <x:c r="FN32" s="969" t="b">
        <x:v>0</x:v>
      </x:c>
      <x:c r="FO32" s="969" t="b">
        <x:f t="shared" si="44"/>
        <x:v>1</x:v>
      </x:c>
      <x:c r="FP32" s="969" t="b">
        <x:v>0</x:v>
      </x:c>
      <x:c r="FQ32" s="969" t="b">
        <x:f t="shared" si="56"/>
        <x:v>0</x:v>
      </x:c>
      <x:c r="FW32" s="2"/>
      <x:c r="FX32" s="2"/>
      <x:c r="FZ32" s="2"/>
      <x:c r="GA32" s="1935">
        <x:v>52</x:v>
      </x:c>
      <x:c r="GB32" s="1936">
        <x:v>0</x:v>
      </x:c>
      <x:c r="GC32" s="1937">
        <x:v>-0.25</x:v>
      </x:c>
      <x:c r="GD32" s="1938">
        <x:v>-0.25</x:v>
      </x:c>
      <x:c r="GE32" s="1939">
        <x:f t="shared" si="45"/>
        <x:v>0</x:v>
      </x:c>
      <x:c r="GF32" s="1940" t="str">
        <x:f t="shared" si="46"/>
        <x:v>G59</x:v>
      </x:c>
      <x:c r="GG32" s="1457"/>
      <x:c r="GH32" s="1459"/>
      <x:c r="GI32" s="1457"/>
      <x:c r="GJ32" s="1459"/>
      <x:c r="GK32" s="326">
        <x:f t="shared" si="47"/>
        <x:v>623.5</x:v>
      </x:c>
      <x:c r="GL32" s="326">
        <x:f t="shared" si="48"/>
        <x:v>623.5</x:v>
      </x:c>
      <x:c r="GM32" s="327">
        <x:f>IF(ABS(GK32-GL32)&gt;='Job Info.'!$L$22,ABS(GK32-GL32),0)</x:f>
        <x:v>0</x:v>
      </x:c>
      <x:c r="HA32" s="1612" t="s">
        <x:v>1322</x:v>
      </x:c>
      <x:c r="HB32" s="1613">
        <x:v>3</x:v>
      </x:c>
      <x:c r="HC32" s="1613" t="s">
        <x:v>1954</x:v>
      </x:c>
      <x:c r="HD32" s="1614">
        <x:v>51</x:v>
      </x:c>
      <x:c r="HE32" s="1615">
        <x:v>11.5</x:v>
      </x:c>
      <x:c r="HF32" s="1613">
        <x:v>11.125</x:v>
      </x:c>
      <x:c r="HG32" s="1613">
        <x:v>0</x:v>
      </x:c>
      <x:c r="HH32" s="1613">
        <x:v>1.75</x:v>
      </x:c>
      <x:c r="HI32" s="1613" t="s">
        <x:v>114</x:v>
      </x:c>
      <x:c r="HJ32" s="1613">
        <x:v>0</x:v>
      </x:c>
      <x:c r="HK32" s="1613">
        <x:v>1.75</x:v>
      </x:c>
      <x:c r="HL32" s="1613" t="s">
        <x:v>114</x:v>
      </x:c>
      <x:c r="HM32" s="1613">
        <x:v>7.5</x:v>
      </x:c>
      <x:c r="HN32" s="1613">
        <x:v>7.5</x:v>
      </x:c>
      <x:c r="HO32" s="1613">
        <x:v>0</x:v>
      </x:c>
      <x:c r="HP32" s="1613">
        <x:v>6.75</x:v>
      </x:c>
      <x:c r="HQ32" s="1613">
        <x:v>0</x:v>
      </x:c>
      <x:c r="HR32" s="1613">
        <x:v>6.75</x:v>
      </x:c>
      <x:c r="HS32" s="1613">
        <x:v>0</x:v>
      </x:c>
      <x:c r="HT32" s="1613">
        <x:v>6.25</x:v>
      </x:c>
      <x:c r="HU32" s="1613">
        <x:v>0</x:v>
      </x:c>
      <x:c r="HV32" s="1613">
        <x:v>6.25</x:v>
      </x:c>
      <x:c r="HW32" s="1613">
        <x:v>5</x:v>
      </x:c>
      <x:c r="HX32" s="1613" t="s">
        <x:v>117</x:v>
      </x:c>
      <x:c r="HY32" s="1617" t="s">
        <x:v>117</x:v>
      </x:c>
      <x:c r="HZ32" s="1617" t="s">
        <x:v>2043</x:v>
      </x:c>
      <x:c r="IA32" s="1617" t="s">
        <x:v>117</x:v>
      </x:c>
      <x:c r="IB32" s="1617"/>
      <x:c r="IC32" s="1617"/>
      <x:c r="ID32" s="1632"/>
      <x:c r="IE32" s="1612" t="s">
        <x:v>1318</x:v>
      </x:c>
      <x:c r="IF32" s="1613" t="s">
        <x:v>35</x:v>
      </x:c>
      <x:c r="IG32" s="1614">
        <x:v>3</x:v>
      </x:c>
      <x:c r="IH32" s="1615">
        <x:v>1.75</x:v>
      </x:c>
      <x:c r="II32" s="1613">
        <x:v>5</x:v>
      </x:c>
      <x:c r="IJ32" s="1614">
        <x:v>8</x:v>
      </x:c>
      <x:c r="IK32" s="1615">
        <x:v>0</x:v>
      </x:c>
      <x:c r="IL32" s="1613">
        <x:v>7</x:v>
      </x:c>
      <x:c r="IM32" s="1613">
        <x:v>10</x:v>
      </x:c>
      <x:c r="IN32" s="1613" t="s">
        <x:v>117</x:v>
      </x:c>
      <x:c r="IO32" s="1613" t="s">
        <x:v>117</x:v>
      </x:c>
      <x:c r="IP32" s="1613">
        <x:v>5</x:v>
      </x:c>
      <x:c r="IQ32" s="1613">
        <x:v>13</x:v>
      </x:c>
      <x:c r="IR32" s="1613">
        <x:v>4</x:v>
      </x:c>
      <x:c r="IS32" s="1614">
        <x:v>1.75</x:v>
      </x:c>
      <x:c r="IT32" s="1615">
        <x:v>1.75</x:v>
      </x:c>
      <x:c r="IU32" s="1613" t="s">
        <x:v>117</x:v>
      </x:c>
      <x:c r="IV32" s="1613" t="s">
        <x:v>117</x:v>
      </x:c>
      <x:c r="IW32" s="1614" t="s">
        <x:v>117</x:v>
      </x:c>
      <x:c r="IX32" s="1615" t="s">
        <x:v>117</x:v>
      </x:c>
      <x:c r="IY32" s="1613" t="s">
        <x:v>117</x:v>
      </x:c>
      <x:c r="IZ32" s="1613" t="s">
        <x:v>117</x:v>
      </x:c>
      <x:c r="JA32" s="1614" t="s">
        <x:v>117</x:v>
      </x:c>
      <x:c r="JB32" s="1615" t="s">
        <x:v>117</x:v>
      </x:c>
      <x:c r="JC32" s="1613" t="s">
        <x:v>117</x:v>
      </x:c>
      <x:c r="JD32" s="1613" t="s">
        <x:v>117</x:v>
      </x:c>
      <x:c r="JE32" s="1614" t="s">
        <x:v>117</x:v>
      </x:c>
      <x:c r="JF32" s="1615" t="s">
        <x:v>117</x:v>
      </x:c>
      <x:c r="JG32" s="1613" t="s">
        <x:v>117</x:v>
      </x:c>
      <x:c r="JH32" s="1613" t="s">
        <x:v>117</x:v>
      </x:c>
      <x:c r="JI32" s="1613" t="s">
        <x:v>117</x:v>
      </x:c>
      <x:c r="JJ32" s="1616" t="s">
        <x:v>117</x:v>
      </x:c>
      <x:c r="JK32" s="1613">
        <x:v>1</x:v>
      </x:c>
      <x:c r="JL32" s="1521">
        <x:f t="shared" ca="1" si="62"/>
        <x:v>1</x:v>
      </x:c>
    </x:row>
    <x:row r="33" spans="1:272" ht="12.6" customHeight="1" x14ac:dyDescent="0.25">
      <x:c r="A33" s="1583" t="s">
        <x:v>1323</x:v>
      </x:c>
      <x:c r="B33" s="1584">
        <x:v>3</x:v>
      </x:c>
      <x:c r="C33" s="1585" t="s">
        <x:v>1954</x:v>
      </x:c>
      <x:c r="D33" s="1586">
        <x:v>51</x:v>
      </x:c>
      <x:c r="E33" s="1587">
        <x:v>5.75</x:v>
      </x:c>
      <x:c r="F33" s="1588">
        <x:v>11.125</x:v>
      </x:c>
      <x:c r="G33" s="1589" t="str">
        <x:f t="shared" si="0"/>
        <x:v/>
      </x:c>
      <x:c r="H33" s="1590" t="str">
        <x:f t="shared" si="1"/>
        <x:v/>
      </x:c>
      <x:c r="I33" s="1591" t="str">
        <x:f t="shared" si="2"/>
        <x:v/>
      </x:c>
      <x:c r="J33" s="1586">
        <x:v>0</x:v>
      </x:c>
      <x:c r="K33" s="1590">
        <x:v>1.75</x:v>
      </x:c>
      <x:c r="L33" s="1592" t="s">
        <x:v>114</x:v>
      </x:c>
      <x:c r="M33" s="1593">
        <x:v>7.5</x:v>
      </x:c>
      <x:c r="N33" s="1594">
        <x:v>7.5</x:v>
      </x:c>
      <x:c r="O33" s="1589">
        <x:v>0</x:v>
      </x:c>
      <x:c r="P33" s="1590">
        <x:v>1</x:v>
      </x:c>
      <x:c r="Q33" s="1586">
        <x:v>0</x:v>
      </x:c>
      <x:c r="R33" s="1587">
        <x:v>6.75</x:v>
      </x:c>
      <x:c r="S33" s="1595">
        <x:v>0</x:v>
      </x:c>
      <x:c r="T33" s="1590">
        <x:v>2</x:v>
      </x:c>
      <x:c r="U33" s="1586">
        <x:v>0</x:v>
      </x:c>
      <x:c r="V33" s="1590">
        <x:v>6.25</x:v>
      </x:c>
      <x:c r="W33" s="1594">
        <x:v>5</x:v>
      </x:c>
      <x:c r="X33" s="1596" t="str">
        <x:f t="shared" si="3"/>
        <x:v/>
      </x:c>
      <x:c r="Y33" s="1597" t="str">
        <x:f t="shared" si="4"/>
        <x:v/>
      </x:c>
      <x:c r="Z33" s="2210" t="s">
        <x:v>2310</x:v>
      </x:c>
      <x:c r="AA33" s="1605" t="str">
        <x:f t="shared" si="5"/>
        <x:v/>
      </x:c>
      <x:c r="AB33" s="1264" t="s">
        <x:v>1318</x:v>
      </x:c>
      <x:c r="AC33" s="1260" t="s">
        <x:v>35</x:v>
      </x:c>
      <x:c r="AD33" s="1261">
        <x:v>3</x:v>
      </x:c>
      <x:c r="AE33" s="1262">
        <x:v>1.75</x:v>
      </x:c>
      <x:c r="AF33" s="1260">
        <x:v>5</x:v>
      </x:c>
      <x:c r="AG33" s="1261">
        <x:v>8</x:v>
      </x:c>
      <x:c r="AH33" s="1262">
        <x:v>0</x:v>
      </x:c>
      <x:c r="AI33" s="1261">
        <x:v>7</x:v>
      </x:c>
      <x:c r="AJ33" s="1262">
        <x:v>10</x:v>
      </x:c>
      <x:c r="AK33" s="1599" t="str">
        <x:f t="shared" si="6"/>
        <x:v/>
      </x:c>
      <x:c r="AL33" s="1600" t="str">
        <x:f t="shared" si="6"/>
        <x:v/>
      </x:c>
      <x:c r="AM33" s="1601">
        <x:v>5</x:v>
      </x:c>
      <x:c r="AN33" s="1260">
        <x:v>13</x:v>
      </x:c>
      <x:c r="AO33" s="1329">
        <x:v>4</x:v>
      </x:c>
      <x:c r="AP33" s="2200" t="str">
        <x:f t="shared" ref="AP33:AP34" si="71">IF(OR(GD73="",GD73=0),"",GD73)</x:f>
        <x:v/>
      </x:c>
      <x:c r="AQ33" s="1602">
        <x:v>1.75</x:v>
      </x:c>
      <x:c r="AR33" s="2157">
        <x:v>50</x:v>
      </x:c>
      <x:c r="AS33" s="2122">
        <x:v>2</x:v>
      </x:c>
      <x:c r="AT33" s="1603" t="str">
        <x:f t="shared" si="7"/>
        <x:v/>
      </x:c>
      <x:c r="AU33" s="2123" t="s">
        <x:v>35</x:v>
      </x:c>
      <x:c r="AV33" s="1328" t="str">
        <x:f t="shared" ref="AV33:AV34" si="72">IF(GG73="","",IF(ISTEXT(GG73),"P",TRUNC(GG73/12)))</x:f>
        <x:v/>
      </x:c>
      <x:c r="AW33" s="1262" t="str">
        <x:f t="shared" ref="AW33:AW34" si="73">IF(GG73="","",IF(AV33="P",GG73,GG73-(AV33*12)))</x:f>
        <x:v/>
      </x:c>
      <x:c r="AX33" s="1603" t="str">
        <x:f t="shared" si="10"/>
        <x:v/>
      </x:c>
      <x:c r="AY33" s="1410" t="str">
        <x:f t="shared" ref="AY33:AY34" si="74">IF(ISBLANK(EC33),"",EC33)</x:f>
        <x:v/>
      </x:c>
      <x:c r="AZ33" s="1328" t="str">
        <x:f t="shared" si="70"/>
        <x:v/>
      </x:c>
      <x:c r="BA33" s="1262" t="str">
        <x:f t="shared" si="12"/>
        <x:v/>
      </x:c>
      <x:c r="BB33" s="1603" t="str">
        <x:f t="shared" si="13"/>
        <x:v/>
      </x:c>
      <x:c r="BC33" s="1410" t="str">
        <x:f t="shared" si="13"/>
        <x:v/>
      </x:c>
      <x:c r="BD33" s="1328" t="str">
        <x:f t="shared" si="14"/>
        <x:v/>
      </x:c>
      <x:c r="BE33" s="1262" t="str">
        <x:f t="shared" si="15"/>
        <x:v/>
      </x:c>
      <x:c r="BF33" s="1603" t="str">
        <x:f t="shared" si="16"/>
        <x:v/>
      </x:c>
      <x:c r="BG33" s="1410" t="str">
        <x:f t="shared" si="16"/>
        <x:v/>
      </x:c>
      <x:c r="BH33" s="322"/>
      <x:c r="BJ33" s="1258" t="str">
        <x:f t="shared" si="60"/>
        <x:v>G60</x:v>
      </x:c>
      <x:c r="BK33" s="1256" t="b">
        <x:f t="shared" si="17"/>
        <x:v>0</x:v>
      </x:c>
      <x:c r="BL33" s="2002" t="b">
        <x:v>0</x:v>
      </x:c>
      <x:c r="BM33" s="1251">
        <x:f t="shared" si="18"/>
        <x:v>54</x:v>
      </x:c>
      <x:c r="BN33" s="1251" t="str">
        <x:f t="shared" si="19"/>
        <x:v>G</x:v>
      </x:c>
      <x:c r="BO33" s="1251">
        <x:f t="shared" si="20"/>
        <x:v>7</x:v>
      </x:c>
      <x:c r="BP33" s="1251">
        <x:f t="shared" si="21"/>
        <x:v>13.4</x:v>
      </x:c>
      <x:c r="BQ33" s="1251">
        <x:f t="shared" si="22"/>
        <x:v>3.9</x:v>
      </x:c>
      <x:c r="BR33" s="1251" t="b">
        <x:f t="shared" si="23"/>
        <x:v>1</x:v>
      </x:c>
      <x:c r="BS33" s="1252">
        <x:f t="shared" si="24"/>
        <x:v>6</x:v>
      </x:c>
      <x:c r="BT33" s="1252" t="str">
        <x:f t="shared" si="25"/>
        <x:v>Yes</x:v>
      </x:c>
      <x:c r="BU33" s="1252">
        <x:f t="shared" si="26"/>
        <x:v>7.75</x:v>
      </x:c>
      <x:c r="BV33" s="1252" t="str">
        <x:f t="shared" si="27"/>
        <x:v>Yes</x:v>
      </x:c>
      <x:c r="BW33" s="1253">
        <x:f t="shared" si="28"/>
        <x:v>16</x:v>
      </x:c>
      <x:c r="BX33" s="1254" t="str">
        <x:f t="shared" si="29"/>
        <x:v>G55</x:v>
      </x:c>
      <x:c r="BY33" s="1254" t="b">
        <x:f t="shared" si="30"/>
        <x:v>0</x:v>
      </x:c>
      <x:c r="BZ33" s="1253" t="b">
        <x:f t="shared" si="50"/>
        <x:v>0</x:v>
      </x:c>
      <x:c r="CB33" s="842"/>
      <x:c r="CC33" s="894"/>
      <x:c r="CD33" s="883"/>
      <x:c r="CE33" s="884"/>
      <x:c r="CF33" s="885"/>
      <x:c r="CG33" s="901"/>
      <x:c r="CH33" s="902"/>
      <x:c r="CI33" s="903"/>
      <x:c r="CJ33" s="902"/>
      <x:c r="CK33" s="903"/>
      <x:c r="CL33" s="904"/>
      <x:c r="CM33" s="944"/>
      <x:c r="CN33" s="901"/>
      <x:c r="CO33" s="902"/>
      <x:c r="CP33" s="903"/>
      <x:c r="CQ33" s="902"/>
      <x:c r="CR33" s="903"/>
      <x:c r="CS33" s="904"/>
      <x:c r="CT33" s="944"/>
      <x:c r="CU33" s="906"/>
      <x:c r="CV33" s="886"/>
      <x:c r="CW33" s="887"/>
      <x:c r="CX33" s="915"/>
      <x:c r="CY33" s="916"/>
      <x:c r="CZ33" s="932"/>
      <x:c r="DA33" s="933"/>
      <x:c r="DB33" s="932"/>
      <x:c r="DC33" s="933"/>
      <x:c r="DD33" s="1149"/>
      <x:c r="DE33" s="1150"/>
      <x:c r="DF33" s="173"/>
      <x:c r="DG33" s="173"/>
      <x:c r="DH33" s="842"/>
      <x:c r="DI33" s="843"/>
      <x:c r="DJ33" s="872"/>
      <x:c r="DK33" s="873"/>
      <x:c r="DL33" s="844"/>
      <x:c r="DM33" s="874"/>
      <x:c r="DN33" s="875"/>
      <x:c r="DO33" s="845"/>
      <x:c r="DP33" s="846"/>
      <x:c r="DQ33" s="847"/>
      <x:c r="DR33" s="847"/>
      <x:c r="DS33" s="848"/>
      <x:c r="DT33" s="836"/>
      <x:c r="DU33" s="837"/>
      <x:c r="DV33" s="849"/>
      <x:c r="DW33" s="850"/>
      <x:c r="DX33" s="851"/>
      <x:c r="DY33" s="852"/>
      <x:c r="DZ33" s="849"/>
      <x:c r="EA33" s="850"/>
      <x:c r="EB33" s="851"/>
      <x:c r="EC33" s="852"/>
      <x:c r="ED33" s="849"/>
      <x:c r="EE33" s="850"/>
      <x:c r="EF33" s="851"/>
      <x:c r="EG33" s="852"/>
      <x:c r="EH33" s="849"/>
      <x:c r="EI33" s="850"/>
      <x:c r="EJ33" s="851"/>
      <x:c r="EK33" s="853"/>
      <x:c r="EL33" s="798" t="str">
        <x:f t="shared" si="31"/>
        <x:v/>
      </x:c>
      <x:c r="EM33" s="799" t="str">
        <x:f t="shared" si="32"/>
        <x:v/>
      </x:c>
      <x:c r="EN33" s="800" t="str">
        <x:f t="shared" si="33"/>
        <x:v/>
      </x:c>
      <x:c r="EO33" s="1030" t="str">
        <x:f t="shared" si="34"/>
        <x:v/>
      </x:c>
      <x:c r="EP33" s="726" t="str">
        <x:f t="shared" si="35"/>
        <x:v/>
      </x:c>
      <x:c r="EQ33" s="727" t="str">
        <x:f t="shared" si="36"/>
        <x:v/>
      </x:c>
      <x:c r="ER33" s="961" t="str">
        <x:f t="shared" si="37"/>
        <x:v/>
      </x:c>
      <x:c r="ES33" s="962" t="str">
        <x:f t="shared" si="51"/>
        <x:v/>
      </x:c>
      <x:c r="ET33" s="963" t="str">
        <x:f t="shared" si="38"/>
        <x:v/>
      </x:c>
      <x:c r="EU33" s="964" t="str">
        <x:f t="shared" si="39"/>
        <x:v/>
      </x:c>
      <x:c r="EX33" s="1194" t="str">
        <x:f t="shared" si="52"/>
        <x:v>G55B</x:v>
      </x:c>
      <x:c r="EY33" s="1196" t="b">
        <x:f t="shared" ca="1" si="40"/>
        <x:v>1</x:v>
      </x:c>
      <x:c r="EZ33" s="1196">
        <x:f t="shared" si="53"/>
        <x:v>5</x:v>
      </x:c>
      <x:c r="FA33" s="1217" t="b">
        <x:f t="shared" si="61"/>
        <x:v>1</x:v>
      </x:c>
      <x:c r="FB33" s="1218">
        <x:f t="shared" si="54"/>
        <x:v>611.75</x:v>
      </x:c>
      <x:c r="FC33" s="1218">
        <x:f t="shared" si="41"/>
        <x:v>37.75</x:v>
      </x:c>
      <x:c r="FD33" s="1218">
        <x:f t="shared" si="42"/>
        <x:v>480</x:v>
      </x:c>
      <x:c r="FE33" s="1218">
        <x:f t="shared" si="43"/>
        <x:v>94</x:v>
      </x:c>
      <x:c r="FF33" s="1218">
        <x:f t="shared" si="55"/>
        <x:v>611.75</x:v>
      </x:c>
      <x:c r="FN33" s="969" t="b">
        <x:v>0</x:v>
      </x:c>
      <x:c r="FO33" s="969" t="b">
        <x:f t="shared" si="44"/>
        <x:v>1</x:v>
      </x:c>
      <x:c r="FP33" s="969" t="b">
        <x:v>0</x:v>
      </x:c>
      <x:c r="FQ33" s="969" t="b">
        <x:f t="shared" si="56"/>
        <x:v>1</x:v>
      </x:c>
      <x:c r="FW33" s="2"/>
      <x:c r="FX33" s="2"/>
      <x:c r="FZ33" s="2"/>
      <x:c r="GA33" s="1935">
        <x:v>52</x:v>
      </x:c>
      <x:c r="GB33" s="1936">
        <x:v>0</x:v>
      </x:c>
      <x:c r="GC33" s="1937">
        <x:v>-6</x:v>
      </x:c>
      <x:c r="GD33" s="1938">
        <x:v>-0.25</x:v>
      </x:c>
      <x:c r="GE33" s="1939">
        <x:f t="shared" si="45"/>
        <x:v>0</x:v>
      </x:c>
      <x:c r="GF33" s="1940" t="str">
        <x:f t="shared" si="46"/>
        <x:v>G60</x:v>
      </x:c>
      <x:c r="GG33" s="1457"/>
      <x:c r="GH33" s="1459"/>
      <x:c r="GI33" s="1457"/>
      <x:c r="GJ33" s="1459"/>
      <x:c r="GK33" s="326">
        <x:f t="shared" si="47"/>
        <x:v>617.75</x:v>
      </x:c>
      <x:c r="GL33" s="326">
        <x:f t="shared" si="48"/>
        <x:v>617.75</x:v>
      </x:c>
      <x:c r="GM33" s="327">
        <x:f>IF(ABS(GK33-GL33)&gt;='Job Info.'!$L$22,ABS(GK33-GL33),0)</x:f>
        <x:v>0</x:v>
      </x:c>
      <x:c r="HA33" s="1612" t="s">
        <x:v>1323</x:v>
      </x:c>
      <x:c r="HB33" s="1613">
        <x:v>3</x:v>
      </x:c>
      <x:c r="HC33" s="1613" t="s">
        <x:v>1954</x:v>
      </x:c>
      <x:c r="HD33" s="1614">
        <x:v>51</x:v>
      </x:c>
      <x:c r="HE33" s="1615">
        <x:v>5.75</x:v>
      </x:c>
      <x:c r="HF33" s="1613">
        <x:v>11.125</x:v>
      </x:c>
      <x:c r="HG33" s="1613" t="s">
        <x:v>117</x:v>
      </x:c>
      <x:c r="HH33" s="1613" t="s">
        <x:v>117</x:v>
      </x:c>
      <x:c r="HI33" s="1613" t="s">
        <x:v>117</x:v>
      </x:c>
      <x:c r="HJ33" s="1613">
        <x:v>0</x:v>
      </x:c>
      <x:c r="HK33" s="1613">
        <x:v>1.75</x:v>
      </x:c>
      <x:c r="HL33" s="1613" t="s">
        <x:v>114</x:v>
      </x:c>
      <x:c r="HM33" s="1613">
        <x:v>7.5</x:v>
      </x:c>
      <x:c r="HN33" s="1613">
        <x:v>7.5</x:v>
      </x:c>
      <x:c r="HO33" s="1613">
        <x:v>0</x:v>
      </x:c>
      <x:c r="HP33" s="1613">
        <x:v>1</x:v>
      </x:c>
      <x:c r="HQ33" s="1613">
        <x:v>0</x:v>
      </x:c>
      <x:c r="HR33" s="1613">
        <x:v>6.75</x:v>
      </x:c>
      <x:c r="HS33" s="1613">
        <x:v>0</x:v>
      </x:c>
      <x:c r="HT33" s="1613">
        <x:v>2</x:v>
      </x:c>
      <x:c r="HU33" s="1613">
        <x:v>0</x:v>
      </x:c>
      <x:c r="HV33" s="1613">
        <x:v>6.25</x:v>
      </x:c>
      <x:c r="HW33" s="1613">
        <x:v>5</x:v>
      </x:c>
      <x:c r="HX33" s="1613" t="s">
        <x:v>117</x:v>
      </x:c>
      <x:c r="HY33" s="1617" t="s">
        <x:v>117</x:v>
      </x:c>
      <x:c r="HZ33" s="1617" t="s">
        <x:v>2042</x:v>
      </x:c>
      <x:c r="IA33" s="1617" t="s">
        <x:v>117</x:v>
      </x:c>
      <x:c r="IB33" s="1617"/>
      <x:c r="IC33" s="1617"/>
      <x:c r="ID33" s="1632"/>
      <x:c r="IE33" s="1612" t="s">
        <x:v>1318</x:v>
      </x:c>
      <x:c r="IF33" s="1613" t="s">
        <x:v>35</x:v>
      </x:c>
      <x:c r="IG33" s="1614">
        <x:v>3</x:v>
      </x:c>
      <x:c r="IH33" s="1615">
        <x:v>1.75</x:v>
      </x:c>
      <x:c r="II33" s="1613">
        <x:v>5</x:v>
      </x:c>
      <x:c r="IJ33" s="1614">
        <x:v>8</x:v>
      </x:c>
      <x:c r="IK33" s="1615">
        <x:v>0</x:v>
      </x:c>
      <x:c r="IL33" s="1613">
        <x:v>7</x:v>
      </x:c>
      <x:c r="IM33" s="1613">
        <x:v>10</x:v>
      </x:c>
      <x:c r="IN33" s="1613" t="s">
        <x:v>117</x:v>
      </x:c>
      <x:c r="IO33" s="1613" t="s">
        <x:v>117</x:v>
      </x:c>
      <x:c r="IP33" s="1613">
        <x:v>5</x:v>
      </x:c>
      <x:c r="IQ33" s="1613">
        <x:v>13</x:v>
      </x:c>
      <x:c r="IR33" s="1613">
        <x:v>4</x:v>
      </x:c>
      <x:c r="IS33" s="1614">
        <x:v>1.75</x:v>
      </x:c>
      <x:c r="IT33" s="1615">
        <x:v>1.75</x:v>
      </x:c>
      <x:c r="IU33" s="1613" t="s">
        <x:v>117</x:v>
      </x:c>
      <x:c r="IV33" s="1613" t="s">
        <x:v>117</x:v>
      </x:c>
      <x:c r="IW33" s="1614" t="s">
        <x:v>117</x:v>
      </x:c>
      <x:c r="IX33" s="1615" t="s">
        <x:v>117</x:v>
      </x:c>
      <x:c r="IY33" s="1613" t="s">
        <x:v>117</x:v>
      </x:c>
      <x:c r="IZ33" s="1613" t="s">
        <x:v>117</x:v>
      </x:c>
      <x:c r="JA33" s="1614" t="s">
        <x:v>117</x:v>
      </x:c>
      <x:c r="JB33" s="1615" t="s">
        <x:v>117</x:v>
      </x:c>
      <x:c r="JC33" s="1613" t="s">
        <x:v>117</x:v>
      </x:c>
      <x:c r="JD33" s="1613" t="s">
        <x:v>117</x:v>
      </x:c>
      <x:c r="JE33" s="1614" t="s">
        <x:v>117</x:v>
      </x:c>
      <x:c r="JF33" s="1615" t="s">
        <x:v>117</x:v>
      </x:c>
      <x:c r="JG33" s="1613" t="s">
        <x:v>117</x:v>
      </x:c>
      <x:c r="JH33" s="1613" t="s">
        <x:v>117</x:v>
      </x:c>
      <x:c r="JI33" s="1613" t="s">
        <x:v>117</x:v>
      </x:c>
      <x:c r="JJ33" s="1616" t="s">
        <x:v>117</x:v>
      </x:c>
      <x:c r="JK33" s="1613">
        <x:v>1</x:v>
      </x:c>
      <x:c r="JL33" s="1521">
        <x:f t="shared" ca="1" si="62"/>
        <x:v>1</x:v>
      </x:c>
    </x:row>
    <x:row r="34" spans="1:272" ht="12.6" customHeight="1" x14ac:dyDescent="0.25">
      <x:c r="A34" s="1583" t="str">
        <x:f t="shared" ref="A34:C45" si="75">IF(ISBLANK(CB34),"",CB34)</x:f>
        <x:v/>
      </x:c>
      <x:c r="B34" s="1584"/>
      <x:c r="C34" s="1585" t="str">
        <x:f t="shared" si="75"/>
        <x:v/>
      </x:c>
      <x:c r="D34" s="1586" t="str">
        <x:f t="shared" ref="D34:D45" si="76">IF(CV74="","",TRUNC(CV74/12))</x:f>
        <x:v/>
      </x:c>
      <x:c r="E34" s="1587" t="str">
        <x:f t="shared" ref="E34:E45" si="77">IF(CV74="","",CV74-(D34*12))</x:f>
        <x:v/>
      </x:c>
      <x:c r="F34" s="1588" t="str">
        <x:f t="shared" ref="F34:F45" si="78">IF(ISBLANK(CY34),"",CY34)</x:f>
        <x:v/>
      </x:c>
      <x:c r="G34" s="1589" t="str">
        <x:f t="shared" si="0"/>
        <x:v/>
      </x:c>
      <x:c r="H34" s="1590" t="str">
        <x:f t="shared" si="1"/>
        <x:v/>
      </x:c>
      <x:c r="I34" s="1591" t="str">
        <x:f t="shared" si="2"/>
        <x:v/>
      </x:c>
      <x:c r="J34" s="1586" t="str">
        <x:f t="shared" si="57"/>
        <x:v/>
      </x:c>
      <x:c r="K34" s="1590" t="str">
        <x:f t="shared" si="58"/>
        <x:v/>
      </x:c>
      <x:c r="L34" s="1592" t="str">
        <x:f t="shared" si="59"/>
        <x:v/>
      </x:c>
      <x:c r="M34" s="1593" t="str">
        <x:f t="shared" ref="M34:N45" si="79">IF(CW74="","",CW74)</x:f>
        <x:v/>
      </x:c>
      <x:c r="N34" s="1594" t="str">
        <x:f t="shared" si="79"/>
        <x:v/>
      </x:c>
      <x:c r="O34" s="1589" t="str">
        <x:f t="shared" ref="O34:O45" si="80">IF(DZ74="","",IF(AND(DZ74&gt;-12,DZ74&lt;0),-0.000001,TRUNC(DZ74/12)))</x:f>
        <x:v/>
      </x:c>
      <x:c r="P34" s="1590" t="str">
        <x:f t="shared" ref="P34:P45" si="81">IF(DZ74="","",IF(AND(DZ74&lt;0,DZ74-(O34*12)=0),-0.00001,DZ74-(O34*12)))</x:f>
        <x:v/>
      </x:c>
      <x:c r="Q34" s="1586" t="str">
        <x:f t="shared" ref="Q34:Q45" si="82">IF(EA74="","",IF(AND(EA74&gt;-12,EA74&lt;0),-0.000001,TRUNC(EA74/12)))</x:f>
        <x:v/>
      </x:c>
      <x:c r="R34" s="1587" t="str">
        <x:f t="shared" ref="R34:R45" si="83">IF(EA74="","",IF(AND(EA74&lt;0,EA74-(Q34*12)=0),-0.00001,EA74-(Q34*12)))</x:f>
        <x:v/>
      </x:c>
      <x:c r="S34" s="1595" t="str">
        <x:f t="shared" ref="S34:S45" si="84">IF(DR74="","",IF(DR74="ERR",TRUNC(DQ74/12),TRUNC(DR74/12)))</x:f>
        <x:v/>
      </x:c>
      <x:c r="T34" s="1590" t="str">
        <x:f t="shared" ref="T34:T45" si="85">IF(DR74="","",IF(DR74="ERR",DQ74-(S34*12),DR74-(S34*12)))</x:f>
        <x:v/>
      </x:c>
      <x:c r="U34" s="1586" t="str">
        <x:f t="shared" ref="U34:U45" si="86">IF(DY74="","",IF(DY74="ERR",TRUNC(DX74/12),TRUNC(DY74/12)))</x:f>
        <x:v/>
      </x:c>
      <x:c r="V34" s="1590" t="str">
        <x:f t="shared" ref="V34:V45" si="87">IF(DY74="","",IF(DY74="ERR",DX74-(U34*12),DY74-(U34*12)))</x:f>
        <x:v/>
      </x:c>
      <x:c r="W34" s="1594">
        <x:f t="shared" ref="W34:W45" si="88">IF(EC74="",0,EC74)</x:f>
        <x:v>0</x:v>
      </x:c>
      <x:c r="X34" s="1596" t="str">
        <x:f t="shared" si="3"/>
        <x:v/>
      </x:c>
      <x:c r="Y34" s="1597" t="str">
        <x:f t="shared" si="4"/>
        <x:v/>
      </x:c>
      <x:c r="Z34" s="2088"/>
      <x:c r="AA34" s="1605" t="str">
        <x:f t="shared" si="5"/>
        <x:v/>
      </x:c>
      <x:c r="AB34" s="1264" t="s">
        <x:v>1319</x:v>
      </x:c>
      <x:c r="AC34" s="1260" t="s">
        <x:v>34</x:v>
      </x:c>
      <x:c r="AD34" s="1261">
        <x:v>3</x:v>
      </x:c>
      <x:c r="AE34" s="1262">
        <x:v>1.75</x:v>
      </x:c>
      <x:c r="AF34" s="1260">
        <x:v>6</x:v>
      </x:c>
      <x:c r="AG34" s="1261">
        <x:v>8</x:v>
      </x:c>
      <x:c r="AH34" s="1262">
        <x:v>0</x:v>
      </x:c>
      <x:c r="AI34" s="1261">
        <x:v>7</x:v>
      </x:c>
      <x:c r="AJ34" s="1262">
        <x:v>10</x:v>
      </x:c>
      <x:c r="AK34" s="1599" t="str">
        <x:f t="shared" si="6"/>
        <x:v/>
      </x:c>
      <x:c r="AL34" s="1600" t="str">
        <x:f t="shared" si="6"/>
        <x:v/>
      </x:c>
      <x:c r="AM34" s="1601">
        <x:v>5</x:v>
      </x:c>
      <x:c r="AN34" s="1260">
        <x:v>13</x:v>
      </x:c>
      <x:c r="AO34" s="1329">
        <x:v>4</x:v>
      </x:c>
      <x:c r="AP34" s="2200" t="str">
        <x:f t="shared" si="71"/>
        <x:v/>
      </x:c>
      <x:c r="AQ34" s="1602">
        <x:v>1.75</x:v>
      </x:c>
      <x:c r="AR34" s="2157">
        <x:v>58</x:v>
      </x:c>
      <x:c r="AS34" s="2122">
        <x:v>2</x:v>
      </x:c>
      <x:c r="AT34" s="1603" t="str">
        <x:f t="shared" si="7"/>
        <x:v/>
      </x:c>
      <x:c r="AU34" s="1410" t="s">
        <x:v>35</x:v>
      </x:c>
      <x:c r="AV34" s="1328" t="str">
        <x:f t="shared" si="72"/>
        <x:v/>
      </x:c>
      <x:c r="AW34" s="1262" t="str">
        <x:f t="shared" si="73"/>
        <x:v/>
      </x:c>
      <x:c r="AX34" s="1603" t="str">
        <x:f t="shared" si="10"/>
        <x:v/>
      </x:c>
      <x:c r="AY34" s="1410" t="str">
        <x:f t="shared" si="74"/>
        <x:v/>
      </x:c>
      <x:c r="AZ34" s="1328" t="str">
        <x:f t="shared" si="70"/>
        <x:v/>
      </x:c>
      <x:c r="BA34" s="1262" t="str">
        <x:f t="shared" si="12"/>
        <x:v/>
      </x:c>
      <x:c r="BB34" s="1603" t="str">
        <x:f t="shared" si="13"/>
        <x:v/>
      </x:c>
      <x:c r="BC34" s="1410" t="str">
        <x:f t="shared" si="13"/>
        <x:v/>
      </x:c>
      <x:c r="BD34" s="1328" t="str">
        <x:f t="shared" si="14"/>
        <x:v/>
      </x:c>
      <x:c r="BE34" s="1262" t="str">
        <x:f t="shared" si="15"/>
        <x:v/>
      </x:c>
      <x:c r="BF34" s="1603" t="str">
        <x:f t="shared" si="16"/>
        <x:v/>
      </x:c>
      <x:c r="BG34" s="1410" t="str">
        <x:f t="shared" si="16"/>
        <x:v/>
      </x:c>
      <x:c r="BH34" s="322"/>
      <x:c r="BJ34" s="1258" t="str">
        <x:f t="shared" si="60"/>
        <x:v/>
      </x:c>
      <x:c r="BK34" s="1256" t="b">
        <x:f t="shared" si="17"/>
        <x:v>0</x:v>
      </x:c>
      <x:c r="BL34" s="2002" t="b">
        <x:v>0</x:v>
      </x:c>
      <x:c r="BM34" s="1251">
        <x:f t="shared" si="18"/>
        <x:v>0</x:v>
      </x:c>
      <x:c r="BN34" s="1251">
        <x:f t="shared" si="19"/>
        <x:v>0</x:v>
      </x:c>
      <x:c r="BO34" s="1251">
        <x:f t="shared" si="20"/>
        <x:v>0</x:v>
      </x:c>
      <x:c r="BP34" s="1251">
        <x:f t="shared" si="21"/>
        <x:v>0</x:v>
      </x:c>
      <x:c r="BQ34" s="1251">
        <x:f t="shared" si="22"/>
        <x:v>0</x:v>
      </x:c>
      <x:c r="BR34" s="1251" t="b">
        <x:f t="shared" si="23"/>
        <x:v>1</x:v>
      </x:c>
      <x:c r="BS34" s="1252">
        <x:f t="shared" si="24"/>
        <x:v>6</x:v>
      </x:c>
      <x:c r="BT34" s="1252" t="str">
        <x:f t="shared" si="25"/>
        <x:v>No</x:v>
      </x:c>
      <x:c r="BU34" s="1252">
        <x:f t="shared" si="26"/>
        <x:v>6</x:v>
      </x:c>
      <x:c r="BV34" s="1252" t="str">
        <x:f t="shared" si="27"/>
        <x:v>No</x:v>
      </x:c>
      <x:c r="BW34" s="1253">
        <x:f t="shared" si="28"/>
        <x:v>16</x:v>
      </x:c>
      <x:c r="BX34" s="1254" t="str">
        <x:f t="shared" si="29"/>
        <x:v>G56</x:v>
      </x:c>
      <x:c r="BY34" s="1254" t="b">
        <x:f t="shared" si="30"/>
        <x:v>0</x:v>
      </x:c>
      <x:c r="BZ34" s="1253" t="b">
        <x:f t="shared" si="50"/>
        <x:v>0</x:v>
      </x:c>
      <x:c r="CB34" s="842"/>
      <x:c r="CC34" s="894"/>
      <x:c r="CD34" s="883"/>
      <x:c r="CE34" s="884"/>
      <x:c r="CF34" s="885"/>
      <x:c r="CG34" s="901"/>
      <x:c r="CH34" s="902"/>
      <x:c r="CI34" s="903"/>
      <x:c r="CJ34" s="902"/>
      <x:c r="CK34" s="903"/>
      <x:c r="CL34" s="904"/>
      <x:c r="CM34" s="944"/>
      <x:c r="CN34" s="901"/>
      <x:c r="CO34" s="902"/>
      <x:c r="CP34" s="903"/>
      <x:c r="CQ34" s="902"/>
      <x:c r="CR34" s="903"/>
      <x:c r="CS34" s="904"/>
      <x:c r="CT34" s="944"/>
      <x:c r="CU34" s="906"/>
      <x:c r="CV34" s="886"/>
      <x:c r="CW34" s="887"/>
      <x:c r="CX34" s="915"/>
      <x:c r="CY34" s="916"/>
      <x:c r="CZ34" s="932"/>
      <x:c r="DA34" s="933"/>
      <x:c r="DB34" s="932"/>
      <x:c r="DC34" s="933"/>
      <x:c r="DD34" s="1149"/>
      <x:c r="DE34" s="1150"/>
      <x:c r="DF34" s="173"/>
      <x:c r="DG34" s="173"/>
      <x:c r="DH34" s="842"/>
      <x:c r="DI34" s="843"/>
      <x:c r="DJ34" s="872"/>
      <x:c r="DK34" s="873"/>
      <x:c r="DL34" s="844"/>
      <x:c r="DM34" s="874"/>
      <x:c r="DN34" s="875"/>
      <x:c r="DO34" s="845"/>
      <x:c r="DP34" s="846"/>
      <x:c r="DQ34" s="847"/>
      <x:c r="DR34" s="847"/>
      <x:c r="DS34" s="848"/>
      <x:c r="DT34" s="836"/>
      <x:c r="DU34" s="837"/>
      <x:c r="DV34" s="849"/>
      <x:c r="DW34" s="850"/>
      <x:c r="DX34" s="851"/>
      <x:c r="DY34" s="852"/>
      <x:c r="DZ34" s="849"/>
      <x:c r="EA34" s="850"/>
      <x:c r="EB34" s="851"/>
      <x:c r="EC34" s="852"/>
      <x:c r="ED34" s="849"/>
      <x:c r="EE34" s="850"/>
      <x:c r="EF34" s="851"/>
      <x:c r="EG34" s="852"/>
      <x:c r="EH34" s="849"/>
      <x:c r="EI34" s="850"/>
      <x:c r="EJ34" s="851"/>
      <x:c r="EK34" s="853"/>
      <x:c r="EL34" s="798" t="str">
        <x:f t="shared" si="31"/>
        <x:v/>
      </x:c>
      <x:c r="EM34" s="799" t="str">
        <x:f t="shared" si="32"/>
        <x:v/>
      </x:c>
      <x:c r="EN34" s="800" t="str">
        <x:f t="shared" si="33"/>
        <x:v/>
      </x:c>
      <x:c r="EO34" s="1030" t="str">
        <x:f t="shared" si="34"/>
        <x:v/>
      </x:c>
      <x:c r="EP34" s="726" t="str">
        <x:f t="shared" si="35"/>
        <x:v/>
      </x:c>
      <x:c r="EQ34" s="727" t="str">
        <x:f t="shared" si="36"/>
        <x:v/>
      </x:c>
      <x:c r="ER34" s="961" t="str">
        <x:f t="shared" si="37"/>
        <x:v/>
      </x:c>
      <x:c r="ES34" s="962" t="str">
        <x:f t="shared" si="51"/>
        <x:v/>
      </x:c>
      <x:c r="ET34" s="963" t="str">
        <x:f t="shared" si="38"/>
        <x:v/>
      </x:c>
      <x:c r="EU34" s="964" t="str">
        <x:f t="shared" si="39"/>
        <x:v/>
      </x:c>
      <x:c r="EX34" s="1194" t="str">
        <x:f t="shared" si="52"/>
        <x:v>G56N</x:v>
      </x:c>
      <x:c r="EY34" s="1196" t="b">
        <x:f t="shared" ca="1" si="40"/>
        <x:v>1</x:v>
      </x:c>
      <x:c r="EZ34" s="1196">
        <x:f t="shared" si="53"/>
        <x:v>5</x:v>
      </x:c>
      <x:c r="FA34" s="1217" t="b">
        <x:f t="shared" si="61"/>
        <x:v>1</x:v>
      </x:c>
      <x:c r="FB34" s="1218">
        <x:f t="shared" si="54"/>
        <x:v>707.75</x:v>
      </x:c>
      <x:c r="FC34" s="1218">
        <x:f t="shared" si="41"/>
        <x:v>37.75</x:v>
      </x:c>
      <x:c r="FD34" s="1218">
        <x:f t="shared" si="42"/>
        <x:v>576</x:v>
      </x:c>
      <x:c r="FE34" s="1218">
        <x:f t="shared" si="43"/>
        <x:v>94</x:v>
      </x:c>
      <x:c r="FF34" s="1218">
        <x:f t="shared" si="55"/>
        <x:v>707.75</x:v>
      </x:c>
      <x:c r="FN34" s="969" t="b">
        <x:v>0</x:v>
      </x:c>
      <x:c r="FO34" s="969" t="b">
        <x:f t="shared" si="44"/>
        <x:v>1</x:v>
      </x:c>
      <x:c r="FP34" s="969" t="b">
        <x:v>0</x:v>
      </x:c>
      <x:c r="FQ34" s="969" t="b">
        <x:f t="shared" si="56"/>
        <x:v>1</x:v>
      </x:c>
      <x:c r="FW34" s="2"/>
      <x:c r="FX34" s="2"/>
      <x:c r="FZ34" s="2"/>
      <x:c r="GA34" s="1935" t="str">
        <x:f t="shared" ref="GA34:GA45" si="89">IF(GF34="","",CE34)</x:f>
        <x:v/>
      </x:c>
      <x:c r="GB34" s="1936" t="str">
        <x:f t="shared" ref="GB34:GB45" si="90">IF(GF34="","",CF34)</x:f>
        <x:v/>
      </x:c>
      <x:c r="GC34" s="1937" t="str">
        <x:f t="shared" ref="GC34:GC45" si="91">IF(GF34="","",IF(CD74="",0,CD74))</x:f>
        <x:v/>
      </x:c>
      <x:c r="GD34" s="1938" t="str">
        <x:f t="shared" ref="GD34:GD45" si="92">IF(GF34="","",IF(CM74="",0,CM74))</x:f>
        <x:v/>
      </x:c>
      <x:c r="GE34" s="1939" t="str">
        <x:f t="shared" si="45"/>
        <x:v/>
      </x:c>
      <x:c r="GF34" s="1940" t="str">
        <x:f t="shared" si="46"/>
        <x:v/>
      </x:c>
      <x:c r="GG34" s="1457"/>
      <x:c r="GH34" s="1459"/>
      <x:c r="GI34" s="1457"/>
      <x:c r="GJ34" s="1459"/>
      <x:c r="GK34" s="326">
        <x:f t="shared" si="47"/>
        <x:v>0</x:v>
      </x:c>
      <x:c r="GL34" s="326" t="e">
        <x:f t="shared" si="48"/>
        <x:v>#VALUE!</x:v>
      </x:c>
      <x:c r="GM34" s="327" t="e">
        <x:f>IF(ABS(GK34-GL34)&gt;='Job Info.'!$L$22,ABS(GK34-GL34),0)</x:f>
        <x:v>#VALUE!</x:v>
      </x:c>
      <x:c r="HA34" s="1612"/>
      <x:c r="HB34" s="1613"/>
      <x:c r="HC34" s="1613"/>
      <x:c r="HD34" s="1614"/>
      <x:c r="HE34" s="1615"/>
      <x:c r="HF34" s="1613"/>
      <x:c r="HG34" s="1613"/>
      <x:c r="HH34" s="1613"/>
      <x:c r="HI34" s="1613"/>
      <x:c r="HJ34" s="1613"/>
      <x:c r="HK34" s="1613"/>
      <x:c r="HL34" s="1613"/>
      <x:c r="HM34" s="1613"/>
      <x:c r="HN34" s="1613"/>
      <x:c r="HO34" s="1613"/>
      <x:c r="HP34" s="1613"/>
      <x:c r="HQ34" s="1613"/>
      <x:c r="HR34" s="1613"/>
      <x:c r="HS34" s="1613"/>
      <x:c r="HT34" s="1613"/>
      <x:c r="HU34" s="1613"/>
      <x:c r="HV34" s="1613"/>
      <x:c r="HW34" s="1613"/>
      <x:c r="HX34" s="1613"/>
      <x:c r="HY34" s="1617"/>
      <x:c r="HZ34" s="1617"/>
      <x:c r="IA34" s="1617"/>
      <x:c r="IB34" s="1617"/>
      <x:c r="IC34" s="1617"/>
      <x:c r="ID34" s="1632"/>
      <x:c r="IE34" s="1612" t="s">
        <x:v>1319</x:v>
      </x:c>
      <x:c r="IF34" s="1613" t="s">
        <x:v>34</x:v>
      </x:c>
      <x:c r="IG34" s="1614">
        <x:v>3</x:v>
      </x:c>
      <x:c r="IH34" s="1615">
        <x:v>1.75</x:v>
      </x:c>
      <x:c r="II34" s="1613">
        <x:v>6</x:v>
      </x:c>
      <x:c r="IJ34" s="1614">
        <x:v>8</x:v>
      </x:c>
      <x:c r="IK34" s="1615">
        <x:v>0</x:v>
      </x:c>
      <x:c r="IL34" s="1613">
        <x:v>7</x:v>
      </x:c>
      <x:c r="IM34" s="1613">
        <x:v>10</x:v>
      </x:c>
      <x:c r="IN34" s="1613" t="s">
        <x:v>117</x:v>
      </x:c>
      <x:c r="IO34" s="1613" t="s">
        <x:v>117</x:v>
      </x:c>
      <x:c r="IP34" s="1613">
        <x:v>5</x:v>
      </x:c>
      <x:c r="IQ34" s="1613">
        <x:v>13</x:v>
      </x:c>
      <x:c r="IR34" s="1613">
        <x:v>4</x:v>
      </x:c>
      <x:c r="IS34" s="1614">
        <x:v>1.75</x:v>
      </x:c>
      <x:c r="IT34" s="1615">
        <x:v>1.75</x:v>
      </x:c>
      <x:c r="IU34" s="1613" t="s">
        <x:v>1061</x:v>
      </x:c>
      <x:c r="IV34" s="1613" t="s">
        <x:v>1956</x:v>
      </x:c>
      <x:c r="IW34" s="1614" t="s">
        <x:v>117</x:v>
      </x:c>
      <x:c r="IX34" s="1615" t="s">
        <x:v>35</x:v>
      </x:c>
      <x:c r="IY34" s="1613" t="s">
        <x:v>117</x:v>
      </x:c>
      <x:c r="IZ34" s="1613" t="s">
        <x:v>117</x:v>
      </x:c>
      <x:c r="JA34" s="1614" t="s">
        <x:v>117</x:v>
      </x:c>
      <x:c r="JB34" s="1615" t="s">
        <x:v>117</x:v>
      </x:c>
      <x:c r="JC34" s="1613" t="s">
        <x:v>117</x:v>
      </x:c>
      <x:c r="JD34" s="1613" t="s">
        <x:v>117</x:v>
      </x:c>
      <x:c r="JE34" s="1614" t="s">
        <x:v>117</x:v>
      </x:c>
      <x:c r="JF34" s="1615" t="s">
        <x:v>117</x:v>
      </x:c>
      <x:c r="JG34" s="1613" t="s">
        <x:v>117</x:v>
      </x:c>
      <x:c r="JH34" s="1613" t="s">
        <x:v>117</x:v>
      </x:c>
      <x:c r="JI34" s="1613" t="s">
        <x:v>117</x:v>
      </x:c>
      <x:c r="JJ34" s="1616" t="s">
        <x:v>117</x:v>
      </x:c>
      <x:c r="JK34" s="1613">
        <x:v>1</x:v>
      </x:c>
      <x:c r="JL34" s="1521">
        <x:f t="shared" ca="1" si="62"/>
        <x:v>1</x:v>
      </x:c>
    </x:row>
    <x:row r="35" spans="1:272" ht="12.6" customHeight="1" x14ac:dyDescent="0.25">
      <x:c r="A35" s="1583" t="str">
        <x:f t="shared" si="75"/>
        <x:v/>
      </x:c>
      <x:c r="B35" s="1584"/>
      <x:c r="C35" s="1585" t="str">
        <x:f t="shared" si="75"/>
        <x:v/>
      </x:c>
      <x:c r="D35" s="1586" t="str">
        <x:f t="shared" si="76"/>
        <x:v/>
      </x:c>
      <x:c r="E35" s="1587" t="str">
        <x:f t="shared" si="77"/>
        <x:v/>
      </x:c>
      <x:c r="F35" s="1588" t="str">
        <x:f t="shared" si="78"/>
        <x:v/>
      </x:c>
      <x:c r="G35" s="1589" t="str">
        <x:f t="shared" si="0"/>
        <x:v/>
      </x:c>
      <x:c r="H35" s="1590" t="str">
        <x:f t="shared" si="1"/>
        <x:v/>
      </x:c>
      <x:c r="I35" s="1591" t="str">
        <x:f t="shared" si="2"/>
        <x:v/>
      </x:c>
      <x:c r="J35" s="1586" t="str">
        <x:f t="shared" si="57"/>
        <x:v/>
      </x:c>
      <x:c r="K35" s="1590" t="str">
        <x:f t="shared" si="58"/>
        <x:v/>
      </x:c>
      <x:c r="L35" s="1592" t="str">
        <x:f t="shared" si="59"/>
        <x:v/>
      </x:c>
      <x:c r="M35" s="1593" t="str">
        <x:f t="shared" si="79"/>
        <x:v/>
      </x:c>
      <x:c r="N35" s="1594" t="str">
        <x:f t="shared" si="79"/>
        <x:v/>
      </x:c>
      <x:c r="O35" s="1589" t="str">
        <x:f t="shared" si="80"/>
        <x:v/>
      </x:c>
      <x:c r="P35" s="1590" t="str">
        <x:f t="shared" si="81"/>
        <x:v/>
      </x:c>
      <x:c r="Q35" s="1586" t="str">
        <x:f t="shared" si="82"/>
        <x:v/>
      </x:c>
      <x:c r="R35" s="1587" t="str">
        <x:f t="shared" si="83"/>
        <x:v/>
      </x:c>
      <x:c r="S35" s="1595" t="str">
        <x:f t="shared" si="84"/>
        <x:v/>
      </x:c>
      <x:c r="T35" s="1590" t="str">
        <x:f t="shared" si="85"/>
        <x:v/>
      </x:c>
      <x:c r="U35" s="1586" t="str">
        <x:f t="shared" si="86"/>
        <x:v/>
      </x:c>
      <x:c r="V35" s="1590" t="str">
        <x:f t="shared" si="87"/>
        <x:v/>
      </x:c>
      <x:c r="W35" s="1594">
        <x:f t="shared" si="88"/>
        <x:v>0</x:v>
      </x:c>
      <x:c r="X35" s="1596" t="str">
        <x:f t="shared" si="3"/>
        <x:v/>
      </x:c>
      <x:c r="Y35" s="1597" t="str">
        <x:f t="shared" si="4"/>
        <x:v/>
      </x:c>
      <x:c r="Z35" s="2088"/>
      <x:c r="AA35" s="1605" t="str">
        <x:f t="shared" si="5"/>
        <x:v/>
      </x:c>
      <x:c r="AB35" s="1264" t="s">
        <x:v>1320</x:v>
      </x:c>
      <x:c r="AC35" s="1260" t="s">
        <x:v>1703</x:v>
      </x:c>
      <x:c r="AD35" s="1261">
        <x:v>3</x:v>
      </x:c>
      <x:c r="AE35" s="1262">
        <x:v>10</x:v>
      </x:c>
      <x:c r="AF35" s="1260">
        <x:v>6</x:v>
      </x:c>
      <x:c r="AG35" s="1261">
        <x:v>8</x:v>
      </x:c>
      <x:c r="AH35" s="1262">
        <x:v>0</x:v>
      </x:c>
      <x:c r="AI35" s="1261">
        <x:v>7</x:v>
      </x:c>
      <x:c r="AJ35" s="1262">
        <x:v>10</x:v>
      </x:c>
      <x:c r="AK35" s="1599" t="str">
        <x:f t="shared" si="6"/>
        <x:v/>
      </x:c>
      <x:c r="AL35" s="1600" t="str">
        <x:f t="shared" si="6"/>
        <x:v/>
      </x:c>
      <x:c r="AM35" s="1601">
        <x:v>5</x:v>
      </x:c>
      <x:c r="AN35" s="1260">
        <x:v>13</x:v>
      </x:c>
      <x:c r="AO35" s="1329">
        <x:v>4</x:v>
      </x:c>
      <x:c r="AP35" s="1327">
        <x:v>1.75</x:v>
      </x:c>
      <x:c r="AQ35" s="1602">
        <x:v>1.75</x:v>
      </x:c>
      <x:c r="AR35" s="2157">
        <x:v>59</x:v>
      </x:c>
      <x:c r="AS35" s="2122">
        <x:v>0</x:v>
      </x:c>
      <x:c r="AT35" s="1603" t="str">
        <x:f t="shared" si="7"/>
        <x:v/>
      </x:c>
      <x:c r="AU35" s="2123" t="s">
        <x:v>1703</x:v>
      </x:c>
      <x:c r="AV35" s="2121">
        <x:v>1</x:v>
      </x:c>
      <x:c r="AW35" s="2122">
        <x:v>0</x:v>
      </x:c>
      <x:c r="AX35" s="1603" t="str">
        <x:f t="shared" si="10"/>
        <x:v/>
      </x:c>
      <x:c r="AY35" s="2123" t="s">
        <x:v>1703</x:v>
      </x:c>
      <x:c r="AZ35" s="1328" t="str">
        <x:f t="shared" si="70"/>
        <x:v/>
      </x:c>
      <x:c r="BA35" s="1262" t="str">
        <x:f t="shared" si="12"/>
        <x:v/>
      </x:c>
      <x:c r="BB35" s="1603" t="str">
        <x:f t="shared" si="13"/>
        <x:v/>
      </x:c>
      <x:c r="BC35" s="1410" t="str">
        <x:f t="shared" si="13"/>
        <x:v/>
      </x:c>
      <x:c r="BD35" s="1328" t="str">
        <x:f t="shared" si="14"/>
        <x:v/>
      </x:c>
      <x:c r="BE35" s="1262" t="str">
        <x:f t="shared" si="15"/>
        <x:v/>
      </x:c>
      <x:c r="BF35" s="1603" t="str">
        <x:f t="shared" si="16"/>
        <x:v/>
      </x:c>
      <x:c r="BG35" s="1410" t="str">
        <x:f t="shared" si="16"/>
        <x:v/>
      </x:c>
      <x:c r="BH35" s="322"/>
      <x:c r="BJ35" s="1258" t="str">
        <x:f t="shared" si="60"/>
        <x:v/>
      </x:c>
      <x:c r="BK35" s="1256" t="b">
        <x:f t="shared" si="17"/>
        <x:v>0</x:v>
      </x:c>
      <x:c r="BL35" s="2002" t="b">
        <x:v>0</x:v>
      </x:c>
      <x:c r="BM35" s="1251">
        <x:f t="shared" si="18"/>
        <x:v>0</x:v>
      </x:c>
      <x:c r="BN35" s="1251">
        <x:f t="shared" si="19"/>
        <x:v>0</x:v>
      </x:c>
      <x:c r="BO35" s="1251">
        <x:f t="shared" si="20"/>
        <x:v>0</x:v>
      </x:c>
      <x:c r="BP35" s="1251">
        <x:f t="shared" si="21"/>
        <x:v>0</x:v>
      </x:c>
      <x:c r="BQ35" s="1251">
        <x:f t="shared" si="22"/>
        <x:v>0</x:v>
      </x:c>
      <x:c r="BR35" s="1251" t="b">
        <x:f t="shared" si="23"/>
        <x:v>1</x:v>
      </x:c>
      <x:c r="BS35" s="1252">
        <x:f t="shared" si="24"/>
        <x:v>6</x:v>
      </x:c>
      <x:c r="BT35" s="1252" t="str">
        <x:f t="shared" si="25"/>
        <x:v>No</x:v>
      </x:c>
      <x:c r="BU35" s="1252">
        <x:f t="shared" si="26"/>
        <x:v>6</x:v>
      </x:c>
      <x:c r="BV35" s="1252" t="str">
        <x:f t="shared" si="27"/>
        <x:v>No</x:v>
      </x:c>
      <x:c r="BW35" s="1253">
        <x:f t="shared" si="28"/>
        <x:v>20</x:v>
      </x:c>
      <x:c r="BX35" s="1254" t="str">
        <x:f t="shared" si="29"/>
        <x:v>G57</x:v>
      </x:c>
      <x:c r="BY35" s="1254" t="b">
        <x:f t="shared" si="30"/>
        <x:v>0</x:v>
      </x:c>
      <x:c r="BZ35" s="1253" t="b">
        <x:f t="shared" si="50"/>
        <x:v>0</x:v>
      </x:c>
      <x:c r="CB35" s="842"/>
      <x:c r="CC35" s="894"/>
      <x:c r="CD35" s="883"/>
      <x:c r="CE35" s="884"/>
      <x:c r="CF35" s="885"/>
      <x:c r="CG35" s="901"/>
      <x:c r="CH35" s="902"/>
      <x:c r="CI35" s="903"/>
      <x:c r="CJ35" s="902"/>
      <x:c r="CK35" s="903"/>
      <x:c r="CL35" s="904"/>
      <x:c r="CM35" s="944"/>
      <x:c r="CN35" s="901"/>
      <x:c r="CO35" s="902"/>
      <x:c r="CP35" s="903"/>
      <x:c r="CQ35" s="902"/>
      <x:c r="CR35" s="903"/>
      <x:c r="CS35" s="904"/>
      <x:c r="CT35" s="944"/>
      <x:c r="CU35" s="906"/>
      <x:c r="CV35" s="886"/>
      <x:c r="CW35" s="887"/>
      <x:c r="CX35" s="915"/>
      <x:c r="CY35" s="916"/>
      <x:c r="CZ35" s="932"/>
      <x:c r="DA35" s="933"/>
      <x:c r="DB35" s="932"/>
      <x:c r="DC35" s="933"/>
      <x:c r="DD35" s="1149"/>
      <x:c r="DE35" s="1150"/>
      <x:c r="DF35" s="173"/>
      <x:c r="DG35" s="173"/>
      <x:c r="DH35" s="842"/>
      <x:c r="DI35" s="843"/>
      <x:c r="DJ35" s="872"/>
      <x:c r="DK35" s="873"/>
      <x:c r="DL35" s="844"/>
      <x:c r="DM35" s="874"/>
      <x:c r="DN35" s="875"/>
      <x:c r="DO35" s="845"/>
      <x:c r="DP35" s="846"/>
      <x:c r="DQ35" s="847"/>
      <x:c r="DR35" s="847"/>
      <x:c r="DS35" s="848"/>
      <x:c r="DT35" s="836"/>
      <x:c r="DU35" s="837"/>
      <x:c r="DV35" s="849"/>
      <x:c r="DW35" s="850"/>
      <x:c r="DX35" s="851"/>
      <x:c r="DY35" s="852"/>
      <x:c r="DZ35" s="849"/>
      <x:c r="EA35" s="850"/>
      <x:c r="EB35" s="851"/>
      <x:c r="EC35" s="852"/>
      <x:c r="ED35" s="849"/>
      <x:c r="EE35" s="850"/>
      <x:c r="EF35" s="851"/>
      <x:c r="EG35" s="852"/>
      <x:c r="EH35" s="849"/>
      <x:c r="EI35" s="850"/>
      <x:c r="EJ35" s="851"/>
      <x:c r="EK35" s="853"/>
      <x:c r="EL35" s="798" t="str">
        <x:f t="shared" si="31"/>
        <x:v/>
      </x:c>
      <x:c r="EM35" s="799" t="str">
        <x:f t="shared" si="32"/>
        <x:v/>
      </x:c>
      <x:c r="EN35" s="800" t="str">
        <x:f t="shared" si="33"/>
        <x:v/>
      </x:c>
      <x:c r="EO35" s="1030" t="str">
        <x:f t="shared" si="34"/>
        <x:v/>
      </x:c>
      <x:c r="EP35" s="726" t="str">
        <x:f t="shared" si="35"/>
        <x:v/>
      </x:c>
      <x:c r="EQ35" s="727" t="str">
        <x:f t="shared" si="36"/>
        <x:v/>
      </x:c>
      <x:c r="ER35" s="961" t="str">
        <x:f t="shared" si="37"/>
        <x:v/>
      </x:c>
      <x:c r="ES35" s="962" t="str">
        <x:f t="shared" si="51"/>
        <x:v/>
      </x:c>
      <x:c r="ET35" s="963" t="str">
        <x:f t="shared" si="38"/>
        <x:v/>
      </x:c>
      <x:c r="EU35" s="964" t="str">
        <x:f t="shared" si="39"/>
        <x:v/>
      </x:c>
      <x:c r="EX35" s="1194" t="str">
        <x:f t="shared" si="52"/>
        <x:v>G57F</x:v>
      </x:c>
      <x:c r="EY35" s="1196" t="b">
        <x:f t="shared" ca="1" si="40"/>
        <x:v>1</x:v>
      </x:c>
      <x:c r="EZ35" s="1196">
        <x:f t="shared" si="53"/>
        <x:v>5</x:v>
      </x:c>
      <x:c r="FA35" s="1217" t="b">
        <x:f t="shared" si="61"/>
        <x:v>1</x:v>
      </x:c>
      <x:c r="FB35" s="1218">
        <x:f t="shared" si="54"/>
        <x:v>716</x:v>
      </x:c>
      <x:c r="FC35" s="1218">
        <x:f t="shared" si="41"/>
        <x:v>46</x:v>
      </x:c>
      <x:c r="FD35" s="1218">
        <x:f t="shared" si="42"/>
        <x:v>576</x:v>
      </x:c>
      <x:c r="FE35" s="1218">
        <x:f t="shared" si="43"/>
        <x:v>94</x:v>
      </x:c>
      <x:c r="FF35" s="1218">
        <x:f t="shared" si="55"/>
        <x:v>716</x:v>
      </x:c>
      <x:c r="FN35" s="969" t="b">
        <x:v>0</x:v>
      </x:c>
      <x:c r="FO35" s="969" t="b">
        <x:f t="shared" si="44"/>
        <x:v>1</x:v>
      </x:c>
      <x:c r="FP35" s="969" t="b">
        <x:v>0</x:v>
      </x:c>
      <x:c r="FQ35" s="969" t="b">
        <x:f t="shared" si="56"/>
        <x:v>1</x:v>
      </x:c>
      <x:c r="FW35" s="2"/>
      <x:c r="FX35" s="2"/>
      <x:c r="FZ35" s="2"/>
      <x:c r="GA35" s="1935" t="str">
        <x:f t="shared" si="89"/>
        <x:v/>
      </x:c>
      <x:c r="GB35" s="1936" t="str">
        <x:f t="shared" si="90"/>
        <x:v/>
      </x:c>
      <x:c r="GC35" s="1937" t="str">
        <x:f t="shared" si="91"/>
        <x:v/>
      </x:c>
      <x:c r="GD35" s="1938" t="str">
        <x:f t="shared" si="92"/>
        <x:v/>
      </x:c>
      <x:c r="GE35" s="1939" t="str">
        <x:f t="shared" si="45"/>
        <x:v/>
      </x:c>
      <x:c r="GF35" s="1940" t="str">
        <x:f t="shared" si="46"/>
        <x:v/>
      </x:c>
      <x:c r="GG35" s="1457"/>
      <x:c r="GH35" s="1459"/>
      <x:c r="GI35" s="1457"/>
      <x:c r="GJ35" s="1459"/>
      <x:c r="GK35" s="326">
        <x:f t="shared" si="47"/>
        <x:v>0</x:v>
      </x:c>
      <x:c r="GL35" s="326" t="e">
        <x:f t="shared" si="48"/>
        <x:v>#VALUE!</x:v>
      </x:c>
      <x:c r="GM35" s="327" t="e">
        <x:f>IF(ABS(GK35-GL35)&gt;='Job Info.'!$L$22,ABS(GK35-GL35),0)</x:f>
        <x:v>#VALUE!</x:v>
      </x:c>
      <x:c r="HA35" s="1612"/>
      <x:c r="HB35" s="1613"/>
      <x:c r="HC35" s="1613"/>
      <x:c r="HD35" s="1614"/>
      <x:c r="HE35" s="1615"/>
      <x:c r="HF35" s="1613"/>
      <x:c r="HG35" s="1613"/>
      <x:c r="HH35" s="1613"/>
      <x:c r="HI35" s="1613"/>
      <x:c r="HJ35" s="1613"/>
      <x:c r="HK35" s="1613"/>
      <x:c r="HL35" s="1613"/>
      <x:c r="HM35" s="1613"/>
      <x:c r="HN35" s="1613"/>
      <x:c r="HO35" s="1613"/>
      <x:c r="HP35" s="1613"/>
      <x:c r="HQ35" s="1613"/>
      <x:c r="HR35" s="1613"/>
      <x:c r="HS35" s="1613"/>
      <x:c r="HT35" s="1613"/>
      <x:c r="HU35" s="1613"/>
      <x:c r="HV35" s="1613"/>
      <x:c r="HW35" s="1613"/>
      <x:c r="HX35" s="1613"/>
      <x:c r="HY35" s="1617"/>
      <x:c r="HZ35" s="1617"/>
      <x:c r="IA35" s="1617"/>
      <x:c r="IB35" s="1617"/>
      <x:c r="IC35" s="1617"/>
      <x:c r="ID35" s="1632"/>
      <x:c r="IE35" s="1612" t="s">
        <x:v>1320</x:v>
      </x:c>
      <x:c r="IF35" s="1613" t="s">
        <x:v>1703</x:v>
      </x:c>
      <x:c r="IG35" s="1614">
        <x:v>3</x:v>
      </x:c>
      <x:c r="IH35" s="1615">
        <x:v>10</x:v>
      </x:c>
      <x:c r="II35" s="1613">
        <x:v>6</x:v>
      </x:c>
      <x:c r="IJ35" s="1614">
        <x:v>8</x:v>
      </x:c>
      <x:c r="IK35" s="1615">
        <x:v>0</x:v>
      </x:c>
      <x:c r="IL35" s="1613">
        <x:v>7</x:v>
      </x:c>
      <x:c r="IM35" s="1613">
        <x:v>10</x:v>
      </x:c>
      <x:c r="IN35" s="1613" t="s">
        <x:v>117</x:v>
      </x:c>
      <x:c r="IO35" s="1613" t="s">
        <x:v>117</x:v>
      </x:c>
      <x:c r="IP35" s="1613">
        <x:v>5</x:v>
      </x:c>
      <x:c r="IQ35" s="1613">
        <x:v>13</x:v>
      </x:c>
      <x:c r="IR35" s="1613">
        <x:v>4</x:v>
      </x:c>
      <x:c r="IS35" s="1614">
        <x:v>1.75</x:v>
      </x:c>
      <x:c r="IT35" s="1615">
        <x:v>1.75</x:v>
      </x:c>
      <x:c r="IU35" s="1613" t="s">
        <x:v>1061</x:v>
      </x:c>
      <x:c r="IV35" s="1613" t="s">
        <x:v>1955</x:v>
      </x:c>
      <x:c r="IW35" s="1614" t="s">
        <x:v>117</x:v>
      </x:c>
      <x:c r="IX35" s="1615" t="s">
        <x:v>35</x:v>
      </x:c>
      <x:c r="IY35" s="1613" t="s">
        <x:v>117</x:v>
      </x:c>
      <x:c r="IZ35" s="1613" t="s">
        <x:v>117</x:v>
      </x:c>
      <x:c r="JA35" s="1614" t="s">
        <x:v>117</x:v>
      </x:c>
      <x:c r="JB35" s="1615" t="s">
        <x:v>117</x:v>
      </x:c>
      <x:c r="JC35" s="1613" t="s">
        <x:v>117</x:v>
      </x:c>
      <x:c r="JD35" s="1613" t="s">
        <x:v>117</x:v>
      </x:c>
      <x:c r="JE35" s="1614" t="s">
        <x:v>117</x:v>
      </x:c>
      <x:c r="JF35" s="1615" t="s">
        <x:v>117</x:v>
      </x:c>
      <x:c r="JG35" s="1613" t="s">
        <x:v>117</x:v>
      </x:c>
      <x:c r="JH35" s="1613" t="s">
        <x:v>117</x:v>
      </x:c>
      <x:c r="JI35" s="1613" t="s">
        <x:v>117</x:v>
      </x:c>
      <x:c r="JJ35" s="1616" t="s">
        <x:v>117</x:v>
      </x:c>
      <x:c r="JK35" s="1613">
        <x:v>1</x:v>
      </x:c>
      <x:c r="JL35" s="1521">
        <x:f t="shared" ca="1" si="62"/>
        <x:v>1</x:v>
      </x:c>
    </x:row>
    <x:row r="36" spans="1:272" ht="12.6" customHeight="1" x14ac:dyDescent="0.25">
      <x:c r="A36" s="1583" t="str">
        <x:f t="shared" si="75"/>
        <x:v/>
      </x:c>
      <x:c r="B36" s="1584"/>
      <x:c r="C36" s="1585" t="str">
        <x:f t="shared" si="75"/>
        <x:v/>
      </x:c>
      <x:c r="D36" s="1586" t="str">
        <x:f t="shared" si="76"/>
        <x:v/>
      </x:c>
      <x:c r="E36" s="1587" t="str">
        <x:f t="shared" si="77"/>
        <x:v/>
      </x:c>
      <x:c r="F36" s="1588" t="str">
        <x:f t="shared" si="78"/>
        <x:v/>
      </x:c>
      <x:c r="G36" s="1589" t="str">
        <x:f t="shared" si="0"/>
        <x:v/>
      </x:c>
      <x:c r="H36" s="1590" t="str">
        <x:f t="shared" si="1"/>
        <x:v/>
      </x:c>
      <x:c r="I36" s="1591" t="str">
        <x:f t="shared" si="2"/>
        <x:v/>
      </x:c>
      <x:c r="J36" s="1586" t="str">
        <x:f t="shared" si="57"/>
        <x:v/>
      </x:c>
      <x:c r="K36" s="1590" t="str">
        <x:f t="shared" si="58"/>
        <x:v/>
      </x:c>
      <x:c r="L36" s="1592" t="str">
        <x:f t="shared" si="59"/>
        <x:v/>
      </x:c>
      <x:c r="M36" s="1593" t="str">
        <x:f t="shared" si="79"/>
        <x:v/>
      </x:c>
      <x:c r="N36" s="1594" t="str">
        <x:f t="shared" si="79"/>
        <x:v/>
      </x:c>
      <x:c r="O36" s="1589" t="str">
        <x:f t="shared" si="80"/>
        <x:v/>
      </x:c>
      <x:c r="P36" s="1590" t="str">
        <x:f t="shared" si="81"/>
        <x:v/>
      </x:c>
      <x:c r="Q36" s="1586" t="str">
        <x:f t="shared" si="82"/>
        <x:v/>
      </x:c>
      <x:c r="R36" s="1587" t="str">
        <x:f t="shared" si="83"/>
        <x:v/>
      </x:c>
      <x:c r="S36" s="1595" t="str">
        <x:f t="shared" si="84"/>
        <x:v/>
      </x:c>
      <x:c r="T36" s="1590" t="str">
        <x:f t="shared" si="85"/>
        <x:v/>
      </x:c>
      <x:c r="U36" s="1586" t="str">
        <x:f t="shared" si="86"/>
        <x:v/>
      </x:c>
      <x:c r="V36" s="1590" t="str">
        <x:f t="shared" si="87"/>
        <x:v/>
      </x:c>
      <x:c r="W36" s="1594">
        <x:f t="shared" si="88"/>
        <x:v>0</x:v>
      </x:c>
      <x:c r="X36" s="1596" t="str">
        <x:f t="shared" si="3"/>
        <x:v/>
      </x:c>
      <x:c r="Y36" s="1597" t="str">
        <x:f t="shared" si="4"/>
        <x:v/>
      </x:c>
      <x:c r="Z36" s="2088"/>
      <x:c r="AA36" s="1605" t="str">
        <x:f t="shared" si="5"/>
        <x:v/>
      </x:c>
      <x:c r="AB36" s="1264" t="s">
        <x:v>1321</x:v>
      </x:c>
      <x:c r="AC36" s="1260" t="s">
        <x:v>1703</x:v>
      </x:c>
      <x:c r="AD36" s="1261">
        <x:v>7</x:v>
      </x:c>
      <x:c r="AE36" s="1262">
        <x:v>10</x:v>
      </x:c>
      <x:c r="AF36" s="1260">
        <x:v>6</x:v>
      </x:c>
      <x:c r="AG36" s="1261">
        <x:v>8</x:v>
      </x:c>
      <x:c r="AH36" s="1262">
        <x:v>0</x:v>
      </x:c>
      <x:c r="AI36" s="1261">
        <x:v>3</x:v>
      </x:c>
      <x:c r="AJ36" s="1262">
        <x:v>10</x:v>
      </x:c>
      <x:c r="AK36" s="1599" t="str">
        <x:f t="shared" si="6"/>
        <x:v/>
      </x:c>
      <x:c r="AL36" s="1600" t="str">
        <x:f t="shared" si="6"/>
        <x:v/>
      </x:c>
      <x:c r="AM36" s="1601">
        <x:v>5</x:v>
      </x:c>
      <x:c r="AN36" s="1260">
        <x:v>13</x:v>
      </x:c>
      <x:c r="AO36" s="1329">
        <x:v>4</x:v>
      </x:c>
      <x:c r="AP36" s="1327">
        <x:v>1.75</x:v>
      </x:c>
      <x:c r="AQ36" s="1602">
        <x:v>1.75</x:v>
      </x:c>
      <x:c r="AR36" s="2157">
        <x:v>59</x:v>
      </x:c>
      <x:c r="AS36" s="2122">
        <x:v>0</x:v>
      </x:c>
      <x:c r="AT36" s="1603" t="str">
        <x:f t="shared" si="7"/>
        <x:v/>
      </x:c>
      <x:c r="AU36" s="2123" t="s">
        <x:v>1703</x:v>
      </x:c>
      <x:c r="AV36" s="2121">
        <x:v>1</x:v>
      </x:c>
      <x:c r="AW36" s="1262">
        <x:v>0</x:v>
      </x:c>
      <x:c r="AX36" s="1603" t="str">
        <x:f t="shared" si="10"/>
        <x:v/>
      </x:c>
      <x:c r="AY36" s="2123" t="s">
        <x:v>1703</x:v>
      </x:c>
      <x:c r="AZ36" s="1328" t="str">
        <x:f t="shared" si="70"/>
        <x:v/>
      </x:c>
      <x:c r="BA36" s="1262" t="str">
        <x:f t="shared" si="12"/>
        <x:v/>
      </x:c>
      <x:c r="BB36" s="1603" t="str">
        <x:f t="shared" si="13"/>
        <x:v/>
      </x:c>
      <x:c r="BC36" s="1410" t="str">
        <x:f t="shared" si="13"/>
        <x:v/>
      </x:c>
      <x:c r="BD36" s="1328" t="str">
        <x:f t="shared" si="14"/>
        <x:v/>
      </x:c>
      <x:c r="BE36" s="1262" t="str">
        <x:f t="shared" si="15"/>
        <x:v/>
      </x:c>
      <x:c r="BF36" s="1603" t="str">
        <x:f t="shared" si="16"/>
        <x:v/>
      </x:c>
      <x:c r="BG36" s="1410" t="str">
        <x:f t="shared" si="16"/>
        <x:v/>
      </x:c>
      <x:c r="BH36" s="322"/>
      <x:c r="BJ36" s="1258" t="str">
        <x:f t="shared" si="60"/>
        <x:v/>
      </x:c>
      <x:c r="BK36" s="1256" t="b">
        <x:f t="shared" si="17"/>
        <x:v>0</x:v>
      </x:c>
      <x:c r="BL36" s="2002" t="b">
        <x:v>0</x:v>
      </x:c>
      <x:c r="BM36" s="1251">
        <x:f t="shared" si="18"/>
        <x:v>0</x:v>
      </x:c>
      <x:c r="BN36" s="1251">
        <x:f t="shared" si="19"/>
        <x:v>0</x:v>
      </x:c>
      <x:c r="BO36" s="1251">
        <x:f t="shared" si="20"/>
        <x:v>0</x:v>
      </x:c>
      <x:c r="BP36" s="1251">
        <x:f t="shared" si="21"/>
        <x:v>0</x:v>
      </x:c>
      <x:c r="BQ36" s="1251">
        <x:f t="shared" si="22"/>
        <x:v>0</x:v>
      </x:c>
      <x:c r="BR36" s="1251" t="b">
        <x:f t="shared" si="23"/>
        <x:v>1</x:v>
      </x:c>
      <x:c r="BS36" s="1252">
        <x:f t="shared" si="24"/>
        <x:v>6</x:v>
      </x:c>
      <x:c r="BT36" s="1252" t="str">
        <x:f t="shared" si="25"/>
        <x:v>No</x:v>
      </x:c>
      <x:c r="BU36" s="1252">
        <x:f t="shared" si="26"/>
        <x:v>6</x:v>
      </x:c>
      <x:c r="BV36" s="1252" t="str">
        <x:f t="shared" si="27"/>
        <x:v>No</x:v>
      </x:c>
      <x:c r="BW36" s="1253">
        <x:f t="shared" si="28"/>
        <x:v>20</x:v>
      </x:c>
      <x:c r="BX36" s="1254" t="str">
        <x:f t="shared" si="29"/>
        <x:v>G58</x:v>
      </x:c>
      <x:c r="BY36" s="1254" t="b">
        <x:f t="shared" si="30"/>
        <x:v>0</x:v>
      </x:c>
      <x:c r="BZ36" s="1253" t="b">
        <x:f t="shared" si="50"/>
        <x:v>0</x:v>
      </x:c>
      <x:c r="CB36" s="842"/>
      <x:c r="CC36" s="894"/>
      <x:c r="CD36" s="883"/>
      <x:c r="CE36" s="884"/>
      <x:c r="CF36" s="885"/>
      <x:c r="CG36" s="901"/>
      <x:c r="CH36" s="902"/>
      <x:c r="CI36" s="903"/>
      <x:c r="CJ36" s="902"/>
      <x:c r="CK36" s="903"/>
      <x:c r="CL36" s="904"/>
      <x:c r="CM36" s="944"/>
      <x:c r="CN36" s="901"/>
      <x:c r="CO36" s="902"/>
      <x:c r="CP36" s="903"/>
      <x:c r="CQ36" s="902"/>
      <x:c r="CR36" s="903"/>
      <x:c r="CS36" s="904"/>
      <x:c r="CT36" s="944"/>
      <x:c r="CU36" s="906"/>
      <x:c r="CV36" s="886"/>
      <x:c r="CW36" s="887"/>
      <x:c r="CX36" s="915"/>
      <x:c r="CY36" s="916"/>
      <x:c r="CZ36" s="932"/>
      <x:c r="DA36" s="933"/>
      <x:c r="DB36" s="932"/>
      <x:c r="DC36" s="933"/>
      <x:c r="DD36" s="1149"/>
      <x:c r="DE36" s="1150"/>
      <x:c r="DF36" s="173"/>
      <x:c r="DG36" s="173"/>
      <x:c r="DH36" s="842"/>
      <x:c r="DI36" s="843"/>
      <x:c r="DJ36" s="872"/>
      <x:c r="DK36" s="873"/>
      <x:c r="DL36" s="844"/>
      <x:c r="DM36" s="874"/>
      <x:c r="DN36" s="875"/>
      <x:c r="DO36" s="845"/>
      <x:c r="DP36" s="846"/>
      <x:c r="DQ36" s="847"/>
      <x:c r="DR36" s="847"/>
      <x:c r="DS36" s="848"/>
      <x:c r="DT36" s="836"/>
      <x:c r="DU36" s="837"/>
      <x:c r="DV36" s="849"/>
      <x:c r="DW36" s="850"/>
      <x:c r="DX36" s="851"/>
      <x:c r="DY36" s="852"/>
      <x:c r="DZ36" s="849"/>
      <x:c r="EA36" s="850"/>
      <x:c r="EB36" s="851"/>
      <x:c r="EC36" s="852"/>
      <x:c r="ED36" s="849"/>
      <x:c r="EE36" s="850"/>
      <x:c r="EF36" s="851"/>
      <x:c r="EG36" s="852"/>
      <x:c r="EH36" s="849"/>
      <x:c r="EI36" s="850"/>
      <x:c r="EJ36" s="851"/>
      <x:c r="EK36" s="853"/>
      <x:c r="EL36" s="798" t="str">
        <x:f t="shared" si="31"/>
        <x:v/>
      </x:c>
      <x:c r="EM36" s="799" t="str">
        <x:f t="shared" si="32"/>
        <x:v/>
      </x:c>
      <x:c r="EN36" s="800" t="str">
        <x:f t="shared" si="33"/>
        <x:v/>
      </x:c>
      <x:c r="EO36" s="1030" t="str">
        <x:f t="shared" si="34"/>
        <x:v/>
      </x:c>
      <x:c r="EP36" s="726" t="str">
        <x:f t="shared" si="35"/>
        <x:v/>
      </x:c>
      <x:c r="EQ36" s="727" t="str">
        <x:f t="shared" si="36"/>
        <x:v/>
      </x:c>
      <x:c r="ER36" s="961" t="str">
        <x:f t="shared" si="37"/>
        <x:v/>
      </x:c>
      <x:c r="ES36" s="962" t="str">
        <x:f t="shared" si="51"/>
        <x:v/>
      </x:c>
      <x:c r="ET36" s="963" t="str">
        <x:f t="shared" si="38"/>
        <x:v/>
      </x:c>
      <x:c r="EU36" s="964" t="str">
        <x:f t="shared" si="39"/>
        <x:v/>
      </x:c>
      <x:c r="EX36" s="1194" t="str">
        <x:f t="shared" si="52"/>
        <x:v>G58F</x:v>
      </x:c>
      <x:c r="EY36" s="1196" t="b">
        <x:f t="shared" ca="1" si="40"/>
        <x:v>1</x:v>
      </x:c>
      <x:c r="EZ36" s="1196">
        <x:f t="shared" si="53"/>
        <x:v>5</x:v>
      </x:c>
      <x:c r="FA36" s="1217" t="b">
        <x:f t="shared" si="61"/>
        <x:v>1</x:v>
      </x:c>
      <x:c r="FB36" s="1218">
        <x:f t="shared" si="54"/>
        <x:v>716</x:v>
      </x:c>
      <x:c r="FC36" s="1218">
        <x:f t="shared" si="41"/>
        <x:v>94</x:v>
      </x:c>
      <x:c r="FD36" s="1218">
        <x:f t="shared" si="42"/>
        <x:v>576</x:v>
      </x:c>
      <x:c r="FE36" s="1218">
        <x:f t="shared" si="43"/>
        <x:v>46</x:v>
      </x:c>
      <x:c r="FF36" s="1218">
        <x:f t="shared" si="55"/>
        <x:v>716</x:v>
      </x:c>
      <x:c r="FN36" s="969" t="b">
        <x:v>0</x:v>
      </x:c>
      <x:c r="FO36" s="969" t="b">
        <x:f t="shared" si="44"/>
        <x:v>1</x:v>
      </x:c>
      <x:c r="FP36" s="1815" t="b">
        <x:v>0</x:v>
      </x:c>
      <x:c r="FQ36" s="969" t="b">
        <x:f t="shared" si="56"/>
        <x:v>1</x:v>
      </x:c>
      <x:c r="FW36" s="2"/>
      <x:c r="FX36" s="2"/>
      <x:c r="FZ36" s="2"/>
      <x:c r="GA36" s="1935" t="str">
        <x:f t="shared" si="89"/>
        <x:v/>
      </x:c>
      <x:c r="GB36" s="1936" t="str">
        <x:f t="shared" si="90"/>
        <x:v/>
      </x:c>
      <x:c r="GC36" s="1937" t="str">
        <x:f t="shared" si="91"/>
        <x:v/>
      </x:c>
      <x:c r="GD36" s="1938" t="str">
        <x:f t="shared" si="92"/>
        <x:v/>
      </x:c>
      <x:c r="GE36" s="1939" t="str">
        <x:f t="shared" si="45"/>
        <x:v/>
      </x:c>
      <x:c r="GF36" s="1940" t="str">
        <x:f t="shared" si="46"/>
        <x:v/>
      </x:c>
      <x:c r="GG36" s="1457"/>
      <x:c r="GH36" s="1459"/>
      <x:c r="GI36" s="1457"/>
      <x:c r="GJ36" s="1459"/>
      <x:c r="GK36" s="326">
        <x:f t="shared" si="47"/>
        <x:v>0</x:v>
      </x:c>
      <x:c r="GL36" s="326" t="e">
        <x:f t="shared" si="48"/>
        <x:v>#VALUE!</x:v>
      </x:c>
      <x:c r="GM36" s="327" t="e">
        <x:f>IF(ABS(GK36-GL36)&gt;='Job Info.'!$L$22,ABS(GK36-GL36),0)</x:f>
        <x:v>#VALUE!</x:v>
      </x:c>
      <x:c r="HA36" s="1612"/>
      <x:c r="HB36" s="1613"/>
      <x:c r="HC36" s="1613"/>
      <x:c r="HD36" s="1614"/>
      <x:c r="HE36" s="1615"/>
      <x:c r="HF36" s="1613"/>
      <x:c r="HG36" s="1613"/>
      <x:c r="HH36" s="1613"/>
      <x:c r="HI36" s="1613"/>
      <x:c r="HJ36" s="1613"/>
      <x:c r="HK36" s="1613"/>
      <x:c r="HL36" s="1613"/>
      <x:c r="HM36" s="1613"/>
      <x:c r="HN36" s="1613"/>
      <x:c r="HO36" s="1613"/>
      <x:c r="HP36" s="1613"/>
      <x:c r="HQ36" s="1613"/>
      <x:c r="HR36" s="1613"/>
      <x:c r="HS36" s="1613"/>
      <x:c r="HT36" s="1613"/>
      <x:c r="HU36" s="1613"/>
      <x:c r="HV36" s="1613"/>
      <x:c r="HW36" s="1613"/>
      <x:c r="HX36" s="1613"/>
      <x:c r="HY36" s="1617"/>
      <x:c r="HZ36" s="1617"/>
      <x:c r="IA36" s="1617"/>
      <x:c r="IB36" s="1617"/>
      <x:c r="IC36" s="1617"/>
      <x:c r="ID36" s="1632"/>
      <x:c r="IE36" s="1612" t="s">
        <x:v>1321</x:v>
      </x:c>
      <x:c r="IF36" s="1613" t="s">
        <x:v>1703</x:v>
      </x:c>
      <x:c r="IG36" s="1614">
        <x:v>7</x:v>
      </x:c>
      <x:c r="IH36" s="1615">
        <x:v>10</x:v>
      </x:c>
      <x:c r="II36" s="1613">
        <x:v>6</x:v>
      </x:c>
      <x:c r="IJ36" s="1614">
        <x:v>8</x:v>
      </x:c>
      <x:c r="IK36" s="1615">
        <x:v>0</x:v>
      </x:c>
      <x:c r="IL36" s="1613">
        <x:v>3</x:v>
      </x:c>
      <x:c r="IM36" s="1613">
        <x:v>10</x:v>
      </x:c>
      <x:c r="IN36" s="1613"/>
      <x:c r="IO36" s="1613"/>
      <x:c r="IP36" s="1613">
        <x:v>5</x:v>
      </x:c>
      <x:c r="IQ36" s="1613">
        <x:v>13</x:v>
      </x:c>
      <x:c r="IR36" s="1613">
        <x:v>4</x:v>
      </x:c>
      <x:c r="IS36" s="1614">
        <x:v>1.75</x:v>
      </x:c>
      <x:c r="IT36" s="1615">
        <x:v>1.75</x:v>
      </x:c>
      <x:c r="IU36" s="1613" t="s">
        <x:v>1061</x:v>
      </x:c>
      <x:c r="IV36" s="1613" t="s">
        <x:v>1956</x:v>
      </x:c>
      <x:c r="IW36" s="1614"/>
      <x:c r="IX36" s="1615" t="s">
        <x:v>35</x:v>
      </x:c>
      <x:c r="IY36" s="1613"/>
      <x:c r="IZ36" s="1613"/>
      <x:c r="JA36" s="1614"/>
      <x:c r="JB36" s="1615"/>
      <x:c r="JC36" s="1613"/>
      <x:c r="JD36" s="1613"/>
      <x:c r="JE36" s="1614"/>
      <x:c r="JF36" s="1615"/>
      <x:c r="JG36" s="1613"/>
      <x:c r="JH36" s="1613"/>
      <x:c r="JI36" s="1613"/>
      <x:c r="JJ36" s="1616"/>
      <x:c r="JK36" s="1613">
        <x:v>1</x:v>
      </x:c>
      <x:c r="JL36" s="1521">
        <x:f t="shared" ca="1" si="62"/>
        <x:v>1</x:v>
      </x:c>
    </x:row>
    <x:row r="37" spans="1:272" ht="12.6" customHeight="1" x14ac:dyDescent="0.25">
      <x:c r="A37" s="1583" t="str">
        <x:f t="shared" si="75"/>
        <x:v/>
      </x:c>
      <x:c r="B37" s="1584"/>
      <x:c r="C37" s="1585" t="str">
        <x:f t="shared" si="75"/>
        <x:v/>
      </x:c>
      <x:c r="D37" s="1586" t="str">
        <x:f t="shared" si="76"/>
        <x:v/>
      </x:c>
      <x:c r="E37" s="1587" t="str">
        <x:f t="shared" si="77"/>
        <x:v/>
      </x:c>
      <x:c r="F37" s="1588" t="str">
        <x:f t="shared" si="78"/>
        <x:v/>
      </x:c>
      <x:c r="G37" s="1589" t="str">
        <x:f t="shared" si="0"/>
        <x:v/>
      </x:c>
      <x:c r="H37" s="1590" t="str">
        <x:f t="shared" si="1"/>
        <x:v/>
      </x:c>
      <x:c r="I37" s="1591" t="str">
        <x:f t="shared" si="2"/>
        <x:v/>
      </x:c>
      <x:c r="J37" s="1586" t="str">
        <x:f t="shared" si="57"/>
        <x:v/>
      </x:c>
      <x:c r="K37" s="1590" t="str">
        <x:f t="shared" si="58"/>
        <x:v/>
      </x:c>
      <x:c r="L37" s="1592" t="str">
        <x:f t="shared" si="59"/>
        <x:v/>
      </x:c>
      <x:c r="M37" s="1593" t="str">
        <x:f t="shared" si="79"/>
        <x:v/>
      </x:c>
      <x:c r="N37" s="1594" t="str">
        <x:f t="shared" si="79"/>
        <x:v/>
      </x:c>
      <x:c r="O37" s="1589" t="str">
        <x:f t="shared" si="80"/>
        <x:v/>
      </x:c>
      <x:c r="P37" s="1590" t="str">
        <x:f t="shared" si="81"/>
        <x:v/>
      </x:c>
      <x:c r="Q37" s="1586" t="str">
        <x:f t="shared" si="82"/>
        <x:v/>
      </x:c>
      <x:c r="R37" s="1587" t="str">
        <x:f t="shared" si="83"/>
        <x:v/>
      </x:c>
      <x:c r="S37" s="1595" t="str">
        <x:f t="shared" si="84"/>
        <x:v/>
      </x:c>
      <x:c r="T37" s="1590" t="str">
        <x:f t="shared" si="85"/>
        <x:v/>
      </x:c>
      <x:c r="U37" s="1586" t="str">
        <x:f t="shared" si="86"/>
        <x:v/>
      </x:c>
      <x:c r="V37" s="1590" t="str">
        <x:f t="shared" si="87"/>
        <x:v/>
      </x:c>
      <x:c r="W37" s="1594">
        <x:f t="shared" si="88"/>
        <x:v>0</x:v>
      </x:c>
      <x:c r="X37" s="1596" t="str">
        <x:f t="shared" si="3"/>
        <x:v/>
      </x:c>
      <x:c r="Y37" s="1597" t="str">
        <x:f t="shared" si="4"/>
        <x:v/>
      </x:c>
      <x:c r="Z37" s="2088"/>
      <x:c r="AA37" s="1605" t="str">
        <x:f t="shared" si="5"/>
        <x:v/>
      </x:c>
      <x:c r="AB37" s="1264" t="s">
        <x:v>1322</x:v>
      </x:c>
      <x:c r="AC37" s="1260" t="s">
        <x:v>35</x:v>
      </x:c>
      <x:c r="AD37" s="1261">
        <x:v>3</x:v>
      </x:c>
      <x:c r="AE37" s="1262">
        <x:v>10</x:v>
      </x:c>
      <x:c r="AF37" s="1260">
        <x:v>5</x:v>
      </x:c>
      <x:c r="AG37" s="1261">
        <x:v>8</x:v>
      </x:c>
      <x:c r="AH37" s="1262">
        <x:v>0</x:v>
      </x:c>
      <x:c r="AI37" s="1261">
        <x:v>7</x:v>
      </x:c>
      <x:c r="AJ37" s="1262">
        <x:v>10</x:v>
      </x:c>
      <x:c r="AK37" s="1599" t="str">
        <x:f t="shared" si="6"/>
        <x:v/>
      </x:c>
      <x:c r="AL37" s="1600" t="str">
        <x:f t="shared" si="6"/>
        <x:v/>
      </x:c>
      <x:c r="AM37" s="1601">
        <x:v>5</x:v>
      </x:c>
      <x:c r="AN37" s="1260">
        <x:v>13</x:v>
      </x:c>
      <x:c r="AO37" s="1329">
        <x:v>4</x:v>
      </x:c>
      <x:c r="AP37" s="1327" t="str">
        <x:f t="shared" si="49"/>
        <x:v/>
      </x:c>
      <x:c r="AQ37" s="1602">
        <x:v>1.75</x:v>
      </x:c>
      <x:c r="AR37" s="1263" t="s">
        <x:v>1061</x:v>
      </x:c>
      <x:c r="AS37" s="1262" t="s">
        <x:v>1956</x:v>
      </x:c>
      <x:c r="AT37" s="1603" t="str">
        <x:f t="shared" si="7"/>
        <x:v/>
      </x:c>
      <x:c r="AU37" s="1410" t="s">
        <x:v>35</x:v>
      </x:c>
      <x:c r="AV37" s="2121">
        <x:v>51</x:v>
      </x:c>
      <x:c r="AW37" s="1262">
        <x:v>0</x:v>
      </x:c>
      <x:c r="AX37" s="1603" t="str">
        <x:f t="shared" si="10"/>
        <x:v/>
      </x:c>
      <x:c r="AY37" s="2123" t="s">
        <x:v>35</x:v>
      </x:c>
      <x:c r="AZ37" s="1328" t="str">
        <x:f t="shared" si="70"/>
        <x:v/>
      </x:c>
      <x:c r="BA37" s="1262" t="str">
        <x:f t="shared" si="12"/>
        <x:v/>
      </x:c>
      <x:c r="BB37" s="1603" t="str">
        <x:f t="shared" si="13"/>
        <x:v/>
      </x:c>
      <x:c r="BC37" s="1410" t="str">
        <x:f t="shared" si="13"/>
        <x:v/>
      </x:c>
      <x:c r="BD37" s="1328" t="str">
        <x:f t="shared" si="14"/>
        <x:v/>
      </x:c>
      <x:c r="BE37" s="1262" t="str">
        <x:f t="shared" si="15"/>
        <x:v/>
      </x:c>
      <x:c r="BF37" s="1603" t="str">
        <x:f t="shared" si="16"/>
        <x:v/>
      </x:c>
      <x:c r="BG37" s="1410" t="str">
        <x:f t="shared" si="16"/>
        <x:v/>
      </x:c>
      <x:c r="BH37" s="322"/>
      <x:c r="BJ37" s="1258" t="str">
        <x:f t="shared" si="60"/>
        <x:v/>
      </x:c>
      <x:c r="BK37" s="1256" t="b">
        <x:f t="shared" si="17"/>
        <x:v>0</x:v>
      </x:c>
      <x:c r="BL37" s="2002" t="b">
        <x:v>0</x:v>
      </x:c>
      <x:c r="BM37" s="1251">
        <x:f t="shared" si="18"/>
        <x:v>0</x:v>
      </x:c>
      <x:c r="BN37" s="1251">
        <x:f t="shared" si="19"/>
        <x:v>0</x:v>
      </x:c>
      <x:c r="BO37" s="1251">
        <x:f t="shared" si="20"/>
        <x:v>0</x:v>
      </x:c>
      <x:c r="BP37" s="1251">
        <x:f t="shared" si="21"/>
        <x:v>0</x:v>
      </x:c>
      <x:c r="BQ37" s="1251">
        <x:f t="shared" si="22"/>
        <x:v>0</x:v>
      </x:c>
      <x:c r="BR37" s="1251" t="b">
        <x:f t="shared" si="23"/>
        <x:v>1</x:v>
      </x:c>
      <x:c r="BS37" s="1252">
        <x:f t="shared" si="24"/>
        <x:v>6</x:v>
      </x:c>
      <x:c r="BT37" s="1252" t="str">
        <x:f t="shared" si="25"/>
        <x:v>No</x:v>
      </x:c>
      <x:c r="BU37" s="1252">
        <x:f t="shared" si="26"/>
        <x:v>6</x:v>
      </x:c>
      <x:c r="BV37" s="1252" t="str">
        <x:f t="shared" si="27"/>
        <x:v>No</x:v>
      </x:c>
      <x:c r="BW37" s="1253">
        <x:f t="shared" si="28"/>
        <x:v>19</x:v>
      </x:c>
      <x:c r="BX37" s="1254" t="str">
        <x:f t="shared" si="29"/>
        <x:v>G59</x:v>
      </x:c>
      <x:c r="BY37" s="1254" t="b">
        <x:f t="shared" si="30"/>
        <x:v>0</x:v>
      </x:c>
      <x:c r="BZ37" s="1253" t="b">
        <x:f t="shared" si="50"/>
        <x:v>0</x:v>
      </x:c>
      <x:c r="CB37" s="842"/>
      <x:c r="CC37" s="894"/>
      <x:c r="CD37" s="883"/>
      <x:c r="CE37" s="884"/>
      <x:c r="CF37" s="885"/>
      <x:c r="CG37" s="901"/>
      <x:c r="CH37" s="902"/>
      <x:c r="CI37" s="903"/>
      <x:c r="CJ37" s="902"/>
      <x:c r="CK37" s="903"/>
      <x:c r="CL37" s="904"/>
      <x:c r="CM37" s="944"/>
      <x:c r="CN37" s="901"/>
      <x:c r="CO37" s="902"/>
      <x:c r="CP37" s="903"/>
      <x:c r="CQ37" s="902"/>
      <x:c r="CR37" s="903"/>
      <x:c r="CS37" s="904"/>
      <x:c r="CT37" s="944"/>
      <x:c r="CU37" s="906"/>
      <x:c r="CV37" s="886"/>
      <x:c r="CW37" s="887"/>
      <x:c r="CX37" s="915"/>
      <x:c r="CY37" s="916"/>
      <x:c r="CZ37" s="932"/>
      <x:c r="DA37" s="933"/>
      <x:c r="DB37" s="932"/>
      <x:c r="DC37" s="933"/>
      <x:c r="DD37" s="1149"/>
      <x:c r="DE37" s="1150"/>
      <x:c r="DF37" s="173"/>
      <x:c r="DG37" s="173"/>
      <x:c r="DH37" s="842"/>
      <x:c r="DI37" s="843"/>
      <x:c r="DJ37" s="872"/>
      <x:c r="DK37" s="873"/>
      <x:c r="DL37" s="844"/>
      <x:c r="DM37" s="874"/>
      <x:c r="DN37" s="875"/>
      <x:c r="DO37" s="845"/>
      <x:c r="DP37" s="846"/>
      <x:c r="DQ37" s="847"/>
      <x:c r="DR37" s="847"/>
      <x:c r="DS37" s="848"/>
      <x:c r="DT37" s="836"/>
      <x:c r="DU37" s="837"/>
      <x:c r="DV37" s="849"/>
      <x:c r="DW37" s="850"/>
      <x:c r="DX37" s="851"/>
      <x:c r="DY37" s="852"/>
      <x:c r="DZ37" s="849"/>
      <x:c r="EA37" s="850"/>
      <x:c r="EB37" s="851"/>
      <x:c r="EC37" s="852"/>
      <x:c r="ED37" s="849"/>
      <x:c r="EE37" s="850"/>
      <x:c r="EF37" s="851"/>
      <x:c r="EG37" s="852"/>
      <x:c r="EH37" s="849"/>
      <x:c r="EI37" s="850"/>
      <x:c r="EJ37" s="851"/>
      <x:c r="EK37" s="853"/>
      <x:c r="EL37" s="798" t="str">
        <x:f t="shared" si="31"/>
        <x:v/>
      </x:c>
      <x:c r="EM37" s="799" t="str">
        <x:f t="shared" si="32"/>
        <x:v/>
      </x:c>
      <x:c r="EN37" s="800" t="str">
        <x:f t="shared" si="33"/>
        <x:v/>
      </x:c>
      <x:c r="EO37" s="1030" t="str">
        <x:f t="shared" si="34"/>
        <x:v/>
      </x:c>
      <x:c r="EP37" s="726" t="str">
        <x:f t="shared" si="35"/>
        <x:v/>
      </x:c>
      <x:c r="EQ37" s="727" t="str">
        <x:f t="shared" si="36"/>
        <x:v/>
      </x:c>
      <x:c r="ER37" s="961" t="str">
        <x:f t="shared" si="37"/>
        <x:v/>
      </x:c>
      <x:c r="ES37" s="962" t="str">
        <x:f t="shared" si="51"/>
        <x:v/>
      </x:c>
      <x:c r="ET37" s="963" t="str">
        <x:f t="shared" si="38"/>
        <x:v/>
      </x:c>
      <x:c r="EU37" s="964" t="str">
        <x:f t="shared" si="39"/>
        <x:v/>
      </x:c>
      <x:c r="EX37" s="1194" t="str">
        <x:f t="shared" si="52"/>
        <x:v>G59B</x:v>
      </x:c>
      <x:c r="EY37" s="1196" t="b">
        <x:f t="shared" ca="1" si="40"/>
        <x:v>1</x:v>
      </x:c>
      <x:c r="EZ37" s="1196">
        <x:f t="shared" si="53"/>
        <x:v>5</x:v>
      </x:c>
      <x:c r="FA37" s="1217" t="b">
        <x:f t="shared" si="61"/>
        <x:v>1</x:v>
      </x:c>
      <x:c r="FB37" s="1218">
        <x:f t="shared" si="54"/>
        <x:v>620</x:v>
      </x:c>
      <x:c r="FC37" s="1218">
        <x:f t="shared" si="41"/>
        <x:v>46</x:v>
      </x:c>
      <x:c r="FD37" s="1218">
        <x:f t="shared" si="42"/>
        <x:v>480</x:v>
      </x:c>
      <x:c r="FE37" s="1218">
        <x:f t="shared" si="43"/>
        <x:v>94</x:v>
      </x:c>
      <x:c r="FF37" s="1218">
        <x:f t="shared" si="55"/>
        <x:v>620</x:v>
      </x:c>
      <x:c r="FN37" s="969" t="b">
        <x:v>0</x:v>
      </x:c>
      <x:c r="FO37" s="969" t="b">
        <x:f t="shared" si="44"/>
        <x:v>1</x:v>
      </x:c>
      <x:c r="FP37" s="1815" t="b">
        <x:v>0</x:v>
      </x:c>
      <x:c r="FQ37" s="969" t="b">
        <x:f t="shared" si="56"/>
        <x:v>1</x:v>
      </x:c>
      <x:c r="FW37" s="2"/>
      <x:c r="FX37" s="2"/>
      <x:c r="FZ37" s="2"/>
      <x:c r="GA37" s="1935" t="str">
        <x:f t="shared" si="89"/>
        <x:v/>
      </x:c>
      <x:c r="GB37" s="1936" t="str">
        <x:f t="shared" si="90"/>
        <x:v/>
      </x:c>
      <x:c r="GC37" s="1937" t="str">
        <x:f t="shared" si="91"/>
        <x:v/>
      </x:c>
      <x:c r="GD37" s="1938" t="str">
        <x:f t="shared" si="92"/>
        <x:v/>
      </x:c>
      <x:c r="GE37" s="1939" t="str">
        <x:f t="shared" si="45"/>
        <x:v/>
      </x:c>
      <x:c r="GF37" s="1940" t="str">
        <x:f t="shared" si="46"/>
        <x:v/>
      </x:c>
      <x:c r="GG37" s="1457"/>
      <x:c r="GH37" s="1459"/>
      <x:c r="GI37" s="1457"/>
      <x:c r="GJ37" s="1459"/>
      <x:c r="GK37" s="326">
        <x:f t="shared" si="47"/>
        <x:v>0</x:v>
      </x:c>
      <x:c r="GL37" s="326" t="e">
        <x:f t="shared" si="48"/>
        <x:v>#VALUE!</x:v>
      </x:c>
      <x:c r="GM37" s="327" t="e">
        <x:f>IF(ABS(GK37-GL37)&gt;='Job Info.'!$L$22,ABS(GK37-GL37),0)</x:f>
        <x:v>#VALUE!</x:v>
      </x:c>
      <x:c r="HA37" s="1612"/>
      <x:c r="HB37" s="1613"/>
      <x:c r="HC37" s="1613"/>
      <x:c r="HD37" s="1614"/>
      <x:c r="HE37" s="1615"/>
      <x:c r="HF37" s="1613"/>
      <x:c r="HG37" s="1613"/>
      <x:c r="HH37" s="1613"/>
      <x:c r="HI37" s="1613"/>
      <x:c r="HJ37" s="1613"/>
      <x:c r="HK37" s="1613"/>
      <x:c r="HL37" s="1613"/>
      <x:c r="HM37" s="1613"/>
      <x:c r="HN37" s="1613"/>
      <x:c r="HO37" s="1613"/>
      <x:c r="HP37" s="1613"/>
      <x:c r="HQ37" s="1613"/>
      <x:c r="HR37" s="1613"/>
      <x:c r="HS37" s="1613"/>
      <x:c r="HT37" s="1613"/>
      <x:c r="HU37" s="1613"/>
      <x:c r="HV37" s="1613"/>
      <x:c r="HW37" s="1613"/>
      <x:c r="HX37" s="1613"/>
      <x:c r="HY37" s="1617"/>
      <x:c r="HZ37" s="1617"/>
      <x:c r="IA37" s="1617"/>
      <x:c r="IB37" s="1617"/>
      <x:c r="IC37" s="1617"/>
      <x:c r="ID37" s="1632"/>
      <x:c r="IE37" s="1612" t="s">
        <x:v>1322</x:v>
      </x:c>
      <x:c r="IF37" s="1613" t="s">
        <x:v>35</x:v>
      </x:c>
      <x:c r="IG37" s="1614">
        <x:v>3</x:v>
      </x:c>
      <x:c r="IH37" s="1615">
        <x:v>10</x:v>
      </x:c>
      <x:c r="II37" s="1613">
        <x:v>5</x:v>
      </x:c>
      <x:c r="IJ37" s="1614">
        <x:v>8</x:v>
      </x:c>
      <x:c r="IK37" s="1615">
        <x:v>0</x:v>
      </x:c>
      <x:c r="IL37" s="1613">
        <x:v>7</x:v>
      </x:c>
      <x:c r="IM37" s="1613">
        <x:v>10</x:v>
      </x:c>
      <x:c r="IN37" s="1613"/>
      <x:c r="IO37" s="1613"/>
      <x:c r="IP37" s="1613">
        <x:v>5</x:v>
      </x:c>
      <x:c r="IQ37" s="1613">
        <x:v>13</x:v>
      </x:c>
      <x:c r="IR37" s="1613">
        <x:v>4</x:v>
      </x:c>
      <x:c r="IS37" s="1614"/>
      <x:c r="IT37" s="1615">
        <x:v>1.75</x:v>
      </x:c>
      <x:c r="IU37" s="1613" t="s">
        <x:v>1061</x:v>
      </x:c>
      <x:c r="IV37" s="1613" t="s">
        <x:v>1956</x:v>
      </x:c>
      <x:c r="IW37" s="1614"/>
      <x:c r="IX37" s="1615" t="s">
        <x:v>35</x:v>
      </x:c>
      <x:c r="IY37" s="1613"/>
      <x:c r="IZ37" s="1613"/>
      <x:c r="JA37" s="1614"/>
      <x:c r="JB37" s="1615"/>
      <x:c r="JC37" s="1613"/>
      <x:c r="JD37" s="1613"/>
      <x:c r="JE37" s="1614"/>
      <x:c r="JF37" s="1615"/>
      <x:c r="JG37" s="1613"/>
      <x:c r="JH37" s="1613"/>
      <x:c r="JI37" s="1613"/>
      <x:c r="JJ37" s="1616"/>
      <x:c r="JK37" s="1613">
        <x:v>1</x:v>
      </x:c>
      <x:c r="JL37" s="1521">
        <x:f t="shared" ca="1" si="62"/>
        <x:v>1</x:v>
      </x:c>
    </x:row>
    <x:row r="38" spans="1:272" ht="12.6" customHeight="1" x14ac:dyDescent="0.25">
      <x:c r="A38" s="1583" t="str">
        <x:f t="shared" si="75"/>
        <x:v/>
      </x:c>
      <x:c r="B38" s="1584"/>
      <x:c r="C38" s="1585" t="str">
        <x:f t="shared" si="75"/>
        <x:v/>
      </x:c>
      <x:c r="D38" s="1586" t="str">
        <x:f t="shared" si="76"/>
        <x:v/>
      </x:c>
      <x:c r="E38" s="1587" t="str">
        <x:f t="shared" si="77"/>
        <x:v/>
      </x:c>
      <x:c r="F38" s="1588" t="str">
        <x:f t="shared" si="78"/>
        <x:v/>
      </x:c>
      <x:c r="G38" s="1589" t="str">
        <x:f t="shared" si="0"/>
        <x:v/>
      </x:c>
      <x:c r="H38" s="1590" t="str">
        <x:f t="shared" si="1"/>
        <x:v/>
      </x:c>
      <x:c r="I38" s="1591" t="str">
        <x:f t="shared" si="2"/>
        <x:v/>
      </x:c>
      <x:c r="J38" s="1586" t="str">
        <x:f t="shared" si="57"/>
        <x:v/>
      </x:c>
      <x:c r="K38" s="1590" t="str">
        <x:f t="shared" si="58"/>
        <x:v/>
      </x:c>
      <x:c r="L38" s="1592" t="str">
        <x:f t="shared" si="59"/>
        <x:v/>
      </x:c>
      <x:c r="M38" s="1593" t="str">
        <x:f t="shared" si="79"/>
        <x:v/>
      </x:c>
      <x:c r="N38" s="1594" t="str">
        <x:f t="shared" si="79"/>
        <x:v/>
      </x:c>
      <x:c r="O38" s="1589" t="str">
        <x:f t="shared" si="80"/>
        <x:v/>
      </x:c>
      <x:c r="P38" s="1590" t="str">
        <x:f t="shared" si="81"/>
        <x:v/>
      </x:c>
      <x:c r="Q38" s="1586" t="str">
        <x:f t="shared" si="82"/>
        <x:v/>
      </x:c>
      <x:c r="R38" s="1587" t="str">
        <x:f t="shared" si="83"/>
        <x:v/>
      </x:c>
      <x:c r="S38" s="1595" t="str">
        <x:f t="shared" si="84"/>
        <x:v/>
      </x:c>
      <x:c r="T38" s="1590" t="str">
        <x:f t="shared" si="85"/>
        <x:v/>
      </x:c>
      <x:c r="U38" s="1586" t="str">
        <x:f t="shared" si="86"/>
        <x:v/>
      </x:c>
      <x:c r="V38" s="1590" t="str">
        <x:f t="shared" si="87"/>
        <x:v/>
      </x:c>
      <x:c r="W38" s="1594">
        <x:f t="shared" si="88"/>
        <x:v>0</x:v>
      </x:c>
      <x:c r="X38" s="1596" t="str">
        <x:f t="shared" si="3"/>
        <x:v/>
      </x:c>
      <x:c r="Y38" s="1597" t="str">
        <x:f t="shared" si="4"/>
        <x:v/>
      </x:c>
      <x:c r="Z38" s="2088"/>
      <x:c r="AA38" s="1605" t="str">
        <x:f t="shared" si="5"/>
        <x:v/>
      </x:c>
      <x:c r="AB38" s="1264" t="s">
        <x:v>1323</x:v>
      </x:c>
      <x:c r="AC38" s="1260" t="s">
        <x:v>35</x:v>
      </x:c>
      <x:c r="AD38" s="1261">
        <x:v>7</x:v>
      </x:c>
      <x:c r="AE38" s="1262">
        <x:v>6</x:v>
      </x:c>
      <x:c r="AF38" s="1260">
        <x:v>5</x:v>
      </x:c>
      <x:c r="AG38" s="1261">
        <x:v>8</x:v>
      </x:c>
      <x:c r="AH38" s="1262">
        <x:v>0</x:v>
      </x:c>
      <x:c r="AI38" s="1261">
        <x:v>3</x:v>
      </x:c>
      <x:c r="AJ38" s="1262">
        <x:v>10</x:v>
      </x:c>
      <x:c r="AK38" s="1599" t="str">
        <x:f t="shared" si="6"/>
        <x:v/>
      </x:c>
      <x:c r="AL38" s="1600" t="str">
        <x:f t="shared" si="6"/>
        <x:v/>
      </x:c>
      <x:c r="AM38" s="1601">
        <x:v>5</x:v>
      </x:c>
      <x:c r="AN38" s="1260">
        <x:v>13</x:v>
      </x:c>
      <x:c r="AO38" s="1329">
        <x:v>4</x:v>
      </x:c>
      <x:c r="AP38" s="1327" t="str">
        <x:f t="shared" si="49"/>
        <x:v/>
      </x:c>
      <x:c r="AQ38" s="1602" t="str">
        <x:f t="shared" si="49"/>
        <x:v/>
      </x:c>
      <x:c r="AR38" s="1263" t="s">
        <x:v>1061</x:v>
      </x:c>
      <x:c r="AS38" s="1262" t="s">
        <x:v>1955</x:v>
      </x:c>
      <x:c r="AT38" s="1603" t="str">
        <x:f t="shared" si="7"/>
        <x:v/>
      </x:c>
      <x:c r="AU38" s="1410" t="s">
        <x:v>35</x:v>
      </x:c>
      <x:c r="AV38" s="1328" t="str">
        <x:f t="shared" si="8"/>
        <x:v/>
      </x:c>
      <x:c r="AW38" s="1262" t="str">
        <x:f t="shared" si="9"/>
        <x:v/>
      </x:c>
      <x:c r="AX38" s="1603" t="str">
        <x:f t="shared" si="10"/>
        <x:v/>
      </x:c>
      <x:c r="AY38" s="1410" t="str">
        <x:f t="shared" si="10"/>
        <x:v/>
      </x:c>
      <x:c r="AZ38" s="1328" t="str">
        <x:f t="shared" si="70"/>
        <x:v/>
      </x:c>
      <x:c r="BA38" s="1262" t="str">
        <x:f t="shared" si="12"/>
        <x:v/>
      </x:c>
      <x:c r="BB38" s="1603" t="str">
        <x:f t="shared" si="13"/>
        <x:v/>
      </x:c>
      <x:c r="BC38" s="1410" t="str">
        <x:f t="shared" si="13"/>
        <x:v/>
      </x:c>
      <x:c r="BD38" s="1328" t="str">
        <x:f t="shared" si="14"/>
        <x:v/>
      </x:c>
      <x:c r="BE38" s="1262" t="str">
        <x:f t="shared" si="15"/>
        <x:v/>
      </x:c>
      <x:c r="BF38" s="1603" t="str">
        <x:f t="shared" si="16"/>
        <x:v/>
      </x:c>
      <x:c r="BG38" s="1410" t="str">
        <x:f t="shared" si="16"/>
        <x:v/>
      </x:c>
      <x:c r="BH38" s="322"/>
      <x:c r="BJ38" s="1258" t="str">
        <x:f t="shared" si="60"/>
        <x:v/>
      </x:c>
      <x:c r="BK38" s="1256" t="b">
        <x:f t="shared" si="17"/>
        <x:v>0</x:v>
      </x:c>
      <x:c r="BL38" s="2002" t="b">
        <x:v>0</x:v>
      </x:c>
      <x:c r="BM38" s="1251">
        <x:f t="shared" si="18"/>
        <x:v>0</x:v>
      </x:c>
      <x:c r="BN38" s="1251">
        <x:f t="shared" si="19"/>
        <x:v>0</x:v>
      </x:c>
      <x:c r="BO38" s="1251">
        <x:f t="shared" si="20"/>
        <x:v>0</x:v>
      </x:c>
      <x:c r="BP38" s="1251">
        <x:f t="shared" si="21"/>
        <x:v>0</x:v>
      </x:c>
      <x:c r="BQ38" s="1251">
        <x:f t="shared" si="22"/>
        <x:v>0</x:v>
      </x:c>
      <x:c r="BR38" s="1251" t="b">
        <x:f t="shared" si="23"/>
        <x:v>1</x:v>
      </x:c>
      <x:c r="BS38" s="1252">
        <x:f t="shared" si="24"/>
        <x:v>6</x:v>
      </x:c>
      <x:c r="BT38" s="1252" t="str">
        <x:f t="shared" si="25"/>
        <x:v>No</x:v>
      </x:c>
      <x:c r="BU38" s="1252">
        <x:f t="shared" si="26"/>
        <x:v>6</x:v>
      </x:c>
      <x:c r="BV38" s="1252" t="str">
        <x:f t="shared" si="27"/>
        <x:v>No</x:v>
      </x:c>
      <x:c r="BW38" s="1253">
        <x:f t="shared" si="28"/>
        <x:v>15</x:v>
      </x:c>
      <x:c r="BX38" s="1254" t="str">
        <x:f t="shared" si="29"/>
        <x:v>G60</x:v>
      </x:c>
      <x:c r="BY38" s="1254" t="b">
        <x:f t="shared" si="30"/>
        <x:v>0</x:v>
      </x:c>
      <x:c r="BZ38" s="1253" t="b">
        <x:f t="shared" si="50"/>
        <x:v>0</x:v>
      </x:c>
      <x:c r="CB38" s="842"/>
      <x:c r="CC38" s="894"/>
      <x:c r="CD38" s="883"/>
      <x:c r="CE38" s="884"/>
      <x:c r="CF38" s="885"/>
      <x:c r="CG38" s="901"/>
      <x:c r="CH38" s="902"/>
      <x:c r="CI38" s="903"/>
      <x:c r="CJ38" s="902"/>
      <x:c r="CK38" s="903"/>
      <x:c r="CL38" s="904"/>
      <x:c r="CM38" s="944"/>
      <x:c r="CN38" s="901"/>
      <x:c r="CO38" s="902"/>
      <x:c r="CP38" s="903"/>
      <x:c r="CQ38" s="902"/>
      <x:c r="CR38" s="903"/>
      <x:c r="CS38" s="904"/>
      <x:c r="CT38" s="944"/>
      <x:c r="CU38" s="906"/>
      <x:c r="CV38" s="886"/>
      <x:c r="CW38" s="887"/>
      <x:c r="CX38" s="915"/>
      <x:c r="CY38" s="916"/>
      <x:c r="CZ38" s="932"/>
      <x:c r="DA38" s="933"/>
      <x:c r="DB38" s="932"/>
      <x:c r="DC38" s="933"/>
      <x:c r="DD38" s="1149"/>
      <x:c r="DE38" s="1150"/>
      <x:c r="DF38" s="173"/>
      <x:c r="DG38" s="173"/>
      <x:c r="DH38" s="842"/>
      <x:c r="DI38" s="843"/>
      <x:c r="DJ38" s="872"/>
      <x:c r="DK38" s="873"/>
      <x:c r="DL38" s="844"/>
      <x:c r="DM38" s="874"/>
      <x:c r="DN38" s="875"/>
      <x:c r="DO38" s="845"/>
      <x:c r="DP38" s="846"/>
      <x:c r="DQ38" s="847"/>
      <x:c r="DR38" s="847"/>
      <x:c r="DS38" s="848"/>
      <x:c r="DT38" s="836"/>
      <x:c r="DU38" s="837"/>
      <x:c r="DV38" s="849"/>
      <x:c r="DW38" s="850"/>
      <x:c r="DX38" s="851"/>
      <x:c r="DY38" s="852"/>
      <x:c r="DZ38" s="849"/>
      <x:c r="EA38" s="850"/>
      <x:c r="EB38" s="851"/>
      <x:c r="EC38" s="852"/>
      <x:c r="ED38" s="849"/>
      <x:c r="EE38" s="850"/>
      <x:c r="EF38" s="851"/>
      <x:c r="EG38" s="852"/>
      <x:c r="EH38" s="849"/>
      <x:c r="EI38" s="850"/>
      <x:c r="EJ38" s="851"/>
      <x:c r="EK38" s="853"/>
      <x:c r="EL38" s="798" t="str">
        <x:f t="shared" si="31"/>
        <x:v/>
      </x:c>
      <x:c r="EM38" s="799" t="str">
        <x:f t="shared" si="32"/>
        <x:v/>
      </x:c>
      <x:c r="EN38" s="800" t="str">
        <x:f t="shared" si="33"/>
        <x:v/>
      </x:c>
      <x:c r="EO38" s="1030" t="str">
        <x:f t="shared" si="34"/>
        <x:v/>
      </x:c>
      <x:c r="EP38" s="726" t="str">
        <x:f t="shared" si="35"/>
        <x:v/>
      </x:c>
      <x:c r="EQ38" s="727" t="str">
        <x:f t="shared" si="36"/>
        <x:v/>
      </x:c>
      <x:c r="ER38" s="961" t="str">
        <x:f t="shared" si="37"/>
        <x:v/>
      </x:c>
      <x:c r="ES38" s="962" t="str">
        <x:f t="shared" si="51"/>
        <x:v/>
      </x:c>
      <x:c r="ET38" s="963" t="str">
        <x:f t="shared" si="38"/>
        <x:v/>
      </x:c>
      <x:c r="EU38" s="964" t="str">
        <x:f t="shared" si="39"/>
        <x:v/>
      </x:c>
      <x:c r="EX38" s="1194" t="str">
        <x:f t="shared" si="52"/>
        <x:v>G60B</x:v>
      </x:c>
      <x:c r="EY38" s="1196" t="b">
        <x:f t="shared" ca="1" si="40"/>
        <x:v>1</x:v>
      </x:c>
      <x:c r="EZ38" s="1196">
        <x:f t="shared" si="53"/>
        <x:v>5</x:v>
      </x:c>
      <x:c r="FA38" s="1217" t="b">
        <x:f t="shared" si="61"/>
        <x:v>1</x:v>
      </x:c>
      <x:c r="FB38" s="1218">
        <x:f t="shared" si="54"/>
        <x:v>616</x:v>
      </x:c>
      <x:c r="FC38" s="1218">
        <x:f t="shared" si="41"/>
        <x:v>90</x:v>
      </x:c>
      <x:c r="FD38" s="1218">
        <x:f t="shared" si="42"/>
        <x:v>480</x:v>
      </x:c>
      <x:c r="FE38" s="1218">
        <x:f t="shared" si="43"/>
        <x:v>46</x:v>
      </x:c>
      <x:c r="FF38" s="1218">
        <x:f t="shared" si="55"/>
        <x:v>616</x:v>
      </x:c>
      <x:c r="FN38" s="969" t="b">
        <x:v>0</x:v>
      </x:c>
      <x:c r="FO38" s="969" t="b">
        <x:f t="shared" si="44"/>
        <x:v>1</x:v>
      </x:c>
      <x:c r="FP38" s="1815" t="b">
        <x:v>0</x:v>
      </x:c>
      <x:c r="FQ38" s="969" t="b">
        <x:f t="shared" si="56"/>
        <x:v>1</x:v>
      </x:c>
      <x:c r="FW38" s="2"/>
      <x:c r="FX38" s="2"/>
      <x:c r="FZ38" s="2"/>
      <x:c r="GA38" s="1935" t="str">
        <x:f t="shared" si="89"/>
        <x:v/>
      </x:c>
      <x:c r="GB38" s="1936" t="str">
        <x:f t="shared" si="90"/>
        <x:v/>
      </x:c>
      <x:c r="GC38" s="1937" t="str">
        <x:f t="shared" si="91"/>
        <x:v/>
      </x:c>
      <x:c r="GD38" s="1938" t="str">
        <x:f t="shared" si="92"/>
        <x:v/>
      </x:c>
      <x:c r="GE38" s="1939" t="str">
        <x:f t="shared" si="45"/>
        <x:v/>
      </x:c>
      <x:c r="GF38" s="1940" t="str">
        <x:f t="shared" si="46"/>
        <x:v/>
      </x:c>
      <x:c r="GG38" s="1457"/>
      <x:c r="GH38" s="1459"/>
      <x:c r="GI38" s="1457"/>
      <x:c r="GJ38" s="1459"/>
      <x:c r="GK38" s="326">
        <x:f t="shared" si="47"/>
        <x:v>0</x:v>
      </x:c>
      <x:c r="GL38" s="326" t="e">
        <x:f t="shared" si="48"/>
        <x:v>#VALUE!</x:v>
      </x:c>
      <x:c r="GM38" s="327" t="e">
        <x:f>IF(ABS(GK38-GL38)&gt;='Job Info.'!$L$22,ABS(GK38-GL38),0)</x:f>
        <x:v>#VALUE!</x:v>
      </x:c>
      <x:c r="HA38" s="1612"/>
      <x:c r="HB38" s="1613"/>
      <x:c r="HC38" s="1613"/>
      <x:c r="HD38" s="1614"/>
      <x:c r="HE38" s="1615"/>
      <x:c r="HF38" s="1613"/>
      <x:c r="HG38" s="1613"/>
      <x:c r="HH38" s="1613"/>
      <x:c r="HI38" s="1613"/>
      <x:c r="HJ38" s="1613"/>
      <x:c r="HK38" s="1613"/>
      <x:c r="HL38" s="1613"/>
      <x:c r="HM38" s="1613"/>
      <x:c r="HN38" s="1613"/>
      <x:c r="HO38" s="1613"/>
      <x:c r="HP38" s="1613"/>
      <x:c r="HQ38" s="1613"/>
      <x:c r="HR38" s="1613"/>
      <x:c r="HS38" s="1613"/>
      <x:c r="HT38" s="1613"/>
      <x:c r="HU38" s="1613"/>
      <x:c r="HV38" s="1613"/>
      <x:c r="HW38" s="1613"/>
      <x:c r="HX38" s="1613"/>
      <x:c r="HY38" s="1617"/>
      <x:c r="HZ38" s="1617"/>
      <x:c r="IA38" s="1617"/>
      <x:c r="IB38" s="1617"/>
      <x:c r="IC38" s="1617"/>
      <x:c r="ID38" s="1632"/>
      <x:c r="IE38" s="1612" t="s">
        <x:v>1323</x:v>
      </x:c>
      <x:c r="IF38" s="1613" t="s">
        <x:v>35</x:v>
      </x:c>
      <x:c r="IG38" s="1614">
        <x:v>7</x:v>
      </x:c>
      <x:c r="IH38" s="1615">
        <x:v>6</x:v>
      </x:c>
      <x:c r="II38" s="1613">
        <x:v>5</x:v>
      </x:c>
      <x:c r="IJ38" s="1614">
        <x:v>8</x:v>
      </x:c>
      <x:c r="IK38" s="1615">
        <x:v>0</x:v>
      </x:c>
      <x:c r="IL38" s="1613">
        <x:v>3</x:v>
      </x:c>
      <x:c r="IM38" s="1613">
        <x:v>10</x:v>
      </x:c>
      <x:c r="IN38" s="1613"/>
      <x:c r="IO38" s="1613"/>
      <x:c r="IP38" s="1613">
        <x:v>5</x:v>
      </x:c>
      <x:c r="IQ38" s="1613">
        <x:v>13</x:v>
      </x:c>
      <x:c r="IR38" s="1613">
        <x:v>4</x:v>
      </x:c>
      <x:c r="IS38" s="1614"/>
      <x:c r="IT38" s="1615"/>
      <x:c r="IU38" s="1613" t="s">
        <x:v>1061</x:v>
      </x:c>
      <x:c r="IV38" s="1613" t="s">
        <x:v>1955</x:v>
      </x:c>
      <x:c r="IW38" s="1614"/>
      <x:c r="IX38" s="1615" t="s">
        <x:v>35</x:v>
      </x:c>
      <x:c r="IY38" s="1613"/>
      <x:c r="IZ38" s="1613"/>
      <x:c r="JA38" s="1614"/>
      <x:c r="JB38" s="1615"/>
      <x:c r="JC38" s="1613"/>
      <x:c r="JD38" s="1613"/>
      <x:c r="JE38" s="1614"/>
      <x:c r="JF38" s="1615"/>
      <x:c r="JG38" s="1613"/>
      <x:c r="JH38" s="1613"/>
      <x:c r="JI38" s="1613"/>
      <x:c r="JJ38" s="1616"/>
      <x:c r="JK38" s="1613">
        <x:v>1</x:v>
      </x:c>
      <x:c r="JL38" s="1521">
        <x:f t="shared" ca="1" si="62"/>
        <x:v>1</x:v>
      </x:c>
    </x:row>
    <x:row r="39" spans="1:272" ht="12.6" customHeight="1" x14ac:dyDescent="0.25">
      <x:c r="A39" s="1583" t="str">
        <x:f t="shared" si="75"/>
        <x:v/>
      </x:c>
      <x:c r="B39" s="1584"/>
      <x:c r="C39" s="1585" t="str">
        <x:f t="shared" si="75"/>
        <x:v/>
      </x:c>
      <x:c r="D39" s="1586" t="str">
        <x:f t="shared" si="76"/>
        <x:v/>
      </x:c>
      <x:c r="E39" s="1587" t="str">
        <x:f t="shared" si="77"/>
        <x:v/>
      </x:c>
      <x:c r="F39" s="1588" t="str">
        <x:f t="shared" si="78"/>
        <x:v/>
      </x:c>
      <x:c r="G39" s="1589" t="str">
        <x:f t="shared" si="0"/>
        <x:v/>
      </x:c>
      <x:c r="H39" s="1590" t="str">
        <x:f t="shared" si="1"/>
        <x:v/>
      </x:c>
      <x:c r="I39" s="1591" t="str">
        <x:f t="shared" si="2"/>
        <x:v/>
      </x:c>
      <x:c r="J39" s="1586" t="str">
        <x:f t="shared" si="57"/>
        <x:v/>
      </x:c>
      <x:c r="K39" s="1590" t="str">
        <x:f t="shared" si="58"/>
        <x:v/>
      </x:c>
      <x:c r="L39" s="1592" t="str">
        <x:f t="shared" si="59"/>
        <x:v/>
      </x:c>
      <x:c r="M39" s="1593" t="str">
        <x:f t="shared" si="79"/>
        <x:v/>
      </x:c>
      <x:c r="N39" s="1594" t="str">
        <x:f t="shared" si="79"/>
        <x:v/>
      </x:c>
      <x:c r="O39" s="1589" t="str">
        <x:f t="shared" si="80"/>
        <x:v/>
      </x:c>
      <x:c r="P39" s="1590" t="str">
        <x:f t="shared" si="81"/>
        <x:v/>
      </x:c>
      <x:c r="Q39" s="1586" t="str">
        <x:f t="shared" si="82"/>
        <x:v/>
      </x:c>
      <x:c r="R39" s="1587" t="str">
        <x:f t="shared" si="83"/>
        <x:v/>
      </x:c>
      <x:c r="S39" s="1595" t="str">
        <x:f t="shared" si="84"/>
        <x:v/>
      </x:c>
      <x:c r="T39" s="1590" t="str">
        <x:f t="shared" si="85"/>
        <x:v/>
      </x:c>
      <x:c r="U39" s="1586" t="str">
        <x:f t="shared" si="86"/>
        <x:v/>
      </x:c>
      <x:c r="V39" s="1590" t="str">
        <x:f t="shared" si="87"/>
        <x:v/>
      </x:c>
      <x:c r="W39" s="1594">
        <x:f t="shared" si="88"/>
        <x:v>0</x:v>
      </x:c>
      <x:c r="X39" s="1596" t="str">
        <x:f t="shared" si="3"/>
        <x:v/>
      </x:c>
      <x:c r="Y39" s="1597" t="str">
        <x:f t="shared" si="4"/>
        <x:v/>
      </x:c>
      <x:c r="Z39" s="2088"/>
      <x:c r="AA39" s="1605" t="str">
        <x:f t="shared" si="5"/>
        <x:v/>
      </x:c>
      <x:c r="AB39" s="1264" t="str">
        <x:f t="shared" si="63"/>
        <x:v/>
      </x:c>
      <x:c r="AC39" s="1260" t="str">
        <x:f t="shared" si="63"/>
        <x:v/>
      </x:c>
      <x:c r="AD39" s="1261" t="str">
        <x:f t="shared" ref="AD39:AD45" ca="1" si="93">IF(ISERROR(FV79),"",IF(FV79="","",TRUNC(FV79/12)))</x:f>
        <x:v/>
      </x:c>
      <x:c r="AE39" s="1262" t="str">
        <x:f t="shared" ref="AE39:AE45" ca="1" si="94">IF(ISERROR(FV79),"",IF(FV79="","",FV79-(AD39*12)))</x:f>
        <x:v/>
      </x:c>
      <x:c r="AF39" s="1260" t="str">
        <x:f t="shared" ref="AF39:AF45" ca="1" si="95">IF(ISERROR(FO79),"",IF(FO79="","",FO79))</x:f>
        <x:v/>
      </x:c>
      <x:c r="AG39" s="1261" t="str">
        <x:f t="shared" ref="AG39:AG45" ca="1" si="96">IF(ISERROR(FX79),"",IF(FX79="","",TRUNC(FX79/12)))</x:f>
        <x:v/>
      </x:c>
      <x:c r="AH39" s="1262" t="str">
        <x:f t="shared" ref="AH39:AH45" ca="1" si="97">IF(ISERROR(FX79),"",IF(FX79="","",FX79-(AG39*12)))</x:f>
        <x:v/>
      </x:c>
      <x:c r="AI39" s="1261" t="str">
        <x:f t="shared" ref="AI39:AI45" ca="1" si="98">IF(ISERROR(FZ79),"",IF(FZ79="","",TRUNC(FZ79/12)))</x:f>
        <x:v/>
      </x:c>
      <x:c r="AJ39" s="1262" t="str">
        <x:f t="shared" ref="AJ39:AJ45" ca="1" si="99">IF(ISERROR(FZ79),"",IF(FZ79="","",FZ79-(AI39*12)))</x:f>
        <x:v/>
      </x:c>
      <x:c r="AK39" s="1599" t="str">
        <x:f t="shared" si="6"/>
        <x:v/>
      </x:c>
      <x:c r="AL39" s="1600" t="str">
        <x:f t="shared" si="6"/>
        <x:v/>
      </x:c>
      <x:c r="AM39" s="1601" t="str">
        <x:f t="shared" si="6"/>
        <x:v/>
      </x:c>
      <x:c r="AN39" s="1260" t="str">
        <x:f t="shared" si="6"/>
        <x:v/>
      </x:c>
      <x:c r="AO39" s="1329" t="str">
        <x:f t="shared" si="6"/>
        <x:v/>
      </x:c>
      <x:c r="AP39" s="1327" t="str">
        <x:f t="shared" si="49"/>
        <x:v/>
      </x:c>
      <x:c r="AQ39" s="1602" t="str">
        <x:f t="shared" si="49"/>
        <x:v/>
      </x:c>
      <x:c r="AR39" s="1263" t="str">
        <x:f t="shared" si="64"/>
        <x:v/>
      </x:c>
      <x:c r="AS39" s="1262" t="str">
        <x:f t="shared" si="65"/>
        <x:v/>
      </x:c>
      <x:c r="AT39" s="1603" t="str">
        <x:f t="shared" si="7"/>
        <x:v/>
      </x:c>
      <x:c r="AU39" s="1410" t="str">
        <x:f t="shared" si="7"/>
        <x:v/>
      </x:c>
      <x:c r="AV39" s="1328" t="str">
        <x:f t="shared" si="8"/>
        <x:v/>
      </x:c>
      <x:c r="AW39" s="1262" t="str">
        <x:f t="shared" si="9"/>
        <x:v/>
      </x:c>
      <x:c r="AX39" s="1603" t="str">
        <x:f t="shared" si="10"/>
        <x:v/>
      </x:c>
      <x:c r="AY39" s="1410" t="str">
        <x:f t="shared" si="10"/>
        <x:v/>
      </x:c>
      <x:c r="AZ39" s="1328" t="str">
        <x:f t="shared" si="11"/>
        <x:v/>
      </x:c>
      <x:c r="BA39" s="1262" t="str">
        <x:f t="shared" si="12"/>
        <x:v/>
      </x:c>
      <x:c r="BB39" s="1603" t="str">
        <x:f t="shared" si="13"/>
        <x:v/>
      </x:c>
      <x:c r="BC39" s="1410" t="str">
        <x:f t="shared" si="13"/>
        <x:v/>
      </x:c>
      <x:c r="BD39" s="1328" t="str">
        <x:f t="shared" si="14"/>
        <x:v/>
      </x:c>
      <x:c r="BE39" s="1262" t="str">
        <x:f t="shared" si="15"/>
        <x:v/>
      </x:c>
      <x:c r="BF39" s="1603" t="str">
        <x:f t="shared" si="16"/>
        <x:v/>
      </x:c>
      <x:c r="BG39" s="1410" t="str">
        <x:f t="shared" si="16"/>
        <x:v/>
      </x:c>
      <x:c r="BH39" s="322"/>
      <x:c r="BJ39" s="1258" t="str">
        <x:f t="shared" si="60"/>
        <x:v/>
      </x:c>
      <x:c r="BK39" s="1256" t="b">
        <x:f t="shared" si="17"/>
        <x:v>0</x:v>
      </x:c>
      <x:c r="BL39" s="2002" t="b">
        <x:v>0</x:v>
      </x:c>
      <x:c r="BM39" s="1251">
        <x:f t="shared" si="18"/>
        <x:v>0</x:v>
      </x:c>
      <x:c r="BN39" s="1251">
        <x:f t="shared" si="19"/>
        <x:v>0</x:v>
      </x:c>
      <x:c r="BO39" s="1251">
        <x:f t="shared" si="20"/>
        <x:v>0</x:v>
      </x:c>
      <x:c r="BP39" s="1251">
        <x:f t="shared" si="21"/>
        <x:v>0</x:v>
      </x:c>
      <x:c r="BQ39" s="1251">
        <x:f t="shared" si="22"/>
        <x:v>0</x:v>
      </x:c>
      <x:c r="BR39" s="1251" t="b">
        <x:f t="shared" si="23"/>
        <x:v>1</x:v>
      </x:c>
      <x:c r="BS39" s="1252">
        <x:f t="shared" si="24"/>
        <x:v>6</x:v>
      </x:c>
      <x:c r="BT39" s="1252" t="str">
        <x:f t="shared" si="25"/>
        <x:v>No</x:v>
      </x:c>
      <x:c r="BU39" s="1252">
        <x:f t="shared" si="26"/>
        <x:v>6</x:v>
      </x:c>
      <x:c r="BV39" s="1252" t="str">
        <x:f t="shared" si="27"/>
        <x:v>No</x:v>
      </x:c>
      <x:c r="BW39" s="1253">
        <x:f t="shared" ca="1" si="28"/>
        <x:v>0</x:v>
      </x:c>
      <x:c r="BX39" s="1254" t="str">
        <x:f t="shared" ca="1" si="29"/>
        <x:v/>
      </x:c>
      <x:c r="BY39" s="1254" t="b">
        <x:f t="shared" ca="1" si="30"/>
        <x:v>0</x:v>
      </x:c>
      <x:c r="BZ39" s="1253" t="b">
        <x:f t="shared" si="50"/>
        <x:v>0</x:v>
      </x:c>
      <x:c r="CB39" s="842"/>
      <x:c r="CC39" s="894"/>
      <x:c r="CD39" s="883"/>
      <x:c r="CE39" s="884"/>
      <x:c r="CF39" s="885"/>
      <x:c r="CG39" s="901"/>
      <x:c r="CH39" s="902"/>
      <x:c r="CI39" s="903"/>
      <x:c r="CJ39" s="902"/>
      <x:c r="CK39" s="903"/>
      <x:c r="CL39" s="904"/>
      <x:c r="CM39" s="944"/>
      <x:c r="CN39" s="901"/>
      <x:c r="CO39" s="902"/>
      <x:c r="CP39" s="903"/>
      <x:c r="CQ39" s="902"/>
      <x:c r="CR39" s="903"/>
      <x:c r="CS39" s="904"/>
      <x:c r="CT39" s="944"/>
      <x:c r="CU39" s="906"/>
      <x:c r="CV39" s="886"/>
      <x:c r="CW39" s="887"/>
      <x:c r="CX39" s="915"/>
      <x:c r="CY39" s="916"/>
      <x:c r="CZ39" s="932"/>
      <x:c r="DA39" s="933"/>
      <x:c r="DB39" s="932"/>
      <x:c r="DC39" s="933"/>
      <x:c r="DD39" s="1149"/>
      <x:c r="DE39" s="1150"/>
      <x:c r="DF39" s="173"/>
      <x:c r="DG39" s="173"/>
      <x:c r="DH39" s="842"/>
      <x:c r="DI39" s="843"/>
      <x:c r="DJ39" s="872"/>
      <x:c r="DK39" s="873"/>
      <x:c r="DL39" s="844"/>
      <x:c r="DM39" s="874"/>
      <x:c r="DN39" s="875"/>
      <x:c r="DO39" s="845"/>
      <x:c r="DP39" s="846"/>
      <x:c r="DQ39" s="847"/>
      <x:c r="DR39" s="847"/>
      <x:c r="DS39" s="848"/>
      <x:c r="DT39" s="836"/>
      <x:c r="DU39" s="837"/>
      <x:c r="DV39" s="849"/>
      <x:c r="DW39" s="850"/>
      <x:c r="DX39" s="851"/>
      <x:c r="DY39" s="852"/>
      <x:c r="DZ39" s="849"/>
      <x:c r="EA39" s="850"/>
      <x:c r="EB39" s="851"/>
      <x:c r="EC39" s="852"/>
      <x:c r="ED39" s="849"/>
      <x:c r="EE39" s="850"/>
      <x:c r="EF39" s="851"/>
      <x:c r="EG39" s="852"/>
      <x:c r="EH39" s="849"/>
      <x:c r="EI39" s="850"/>
      <x:c r="EJ39" s="851"/>
      <x:c r="EK39" s="853"/>
      <x:c r="EL39" s="798" t="str">
        <x:f t="shared" si="31"/>
        <x:v/>
      </x:c>
      <x:c r="EM39" s="799" t="str">
        <x:f t="shared" si="32"/>
        <x:v/>
      </x:c>
      <x:c r="EN39" s="800" t="str">
        <x:f t="shared" si="33"/>
        <x:v/>
      </x:c>
      <x:c r="EO39" s="1030" t="str">
        <x:f t="shared" si="34"/>
        <x:v/>
      </x:c>
      <x:c r="EP39" s="726" t="str">
        <x:f t="shared" si="35"/>
        <x:v/>
      </x:c>
      <x:c r="EQ39" s="727" t="str">
        <x:f t="shared" si="36"/>
        <x:v/>
      </x:c>
      <x:c r="ER39" s="961" t="str">
        <x:f t="shared" si="37"/>
        <x:v/>
      </x:c>
      <x:c r="ES39" s="962" t="str">
        <x:f t="shared" si="51"/>
        <x:v/>
      </x:c>
      <x:c r="ET39" s="963" t="str">
        <x:f t="shared" si="38"/>
        <x:v/>
      </x:c>
      <x:c r="EU39" s="964" t="str">
        <x:f t="shared" si="39"/>
        <x:v/>
      </x:c>
      <x:c r="EX39" s="1194" t="str">
        <x:f t="shared" ca="1" si="52"/>
        <x:v/>
      </x:c>
      <x:c r="EY39" s="1196" t="str">
        <x:f t="shared" si="40"/>
        <x:v/>
      </x:c>
      <x:c r="EZ39" s="1196" t="str">
        <x:f t="shared" si="53"/>
        <x:v/>
      </x:c>
      <x:c r="FA39" s="1217" t="str">
        <x:f t="shared" ca="1" si="61"/>
        <x:v/>
      </x:c>
      <x:c r="FB39" s="1218" t="str">
        <x:f t="shared" ca="1" si="54"/>
        <x:v/>
      </x:c>
      <x:c r="FC39" s="1218">
        <x:f t="shared" ca="1" si="41"/>
        <x:v>0</x:v>
      </x:c>
      <x:c r="FD39" s="1218">
        <x:f t="shared" ca="1" si="42"/>
        <x:v>0</x:v>
      </x:c>
      <x:c r="FE39" s="1218">
        <x:f t="shared" ca="1" si="43"/>
        <x:v>0</x:v>
      </x:c>
      <x:c r="FF39" s="1218">
        <x:f t="shared" ca="1" si="55"/>
        <x:v>0</x:v>
      </x:c>
      <x:c r="FN39" s="969" t="b">
        <x:v>0</x:v>
      </x:c>
      <x:c r="FO39" s="969" t="b">
        <x:f t="shared" si="44"/>
        <x:v>1</x:v>
      </x:c>
      <x:c r="FP39" s="1815" t="b">
        <x:v>0</x:v>
      </x:c>
      <x:c r="FQ39" s="969" t="b">
        <x:f t="shared" si="56"/>
        <x:v>1</x:v>
      </x:c>
      <x:c r="FW39" s="2"/>
      <x:c r="FX39" s="2"/>
      <x:c r="FZ39" s="2"/>
      <x:c r="GA39" s="1935" t="str">
        <x:f t="shared" si="89"/>
        <x:v/>
      </x:c>
      <x:c r="GB39" s="1936" t="str">
        <x:f t="shared" si="90"/>
        <x:v/>
      </x:c>
      <x:c r="GC39" s="1937" t="str">
        <x:f t="shared" si="91"/>
        <x:v/>
      </x:c>
      <x:c r="GD39" s="1938" t="str">
        <x:f t="shared" si="92"/>
        <x:v/>
      </x:c>
      <x:c r="GE39" s="1939" t="str">
        <x:f t="shared" si="45"/>
        <x:v/>
      </x:c>
      <x:c r="GF39" s="1940" t="str">
        <x:f t="shared" si="46"/>
        <x:v/>
      </x:c>
      <x:c r="GG39" s="1457"/>
      <x:c r="GH39" s="1459"/>
      <x:c r="GI39" s="1457"/>
      <x:c r="GJ39" s="1459"/>
      <x:c r="GK39" s="326">
        <x:f t="shared" si="47"/>
        <x:v>0</x:v>
      </x:c>
      <x:c r="GL39" s="326" t="e">
        <x:f t="shared" si="48"/>
        <x:v>#VALUE!</x:v>
      </x:c>
      <x:c r="GM39" s="327" t="e">
        <x:f>IF(ABS(GK39-GL39)&gt;='Job Info.'!$L$22,ABS(GK39-GL39),0)</x:f>
        <x:v>#VALUE!</x:v>
      </x:c>
      <x:c r="HA39" s="1612"/>
      <x:c r="HB39" s="1613"/>
      <x:c r="HC39" s="1613"/>
      <x:c r="HD39" s="1614"/>
      <x:c r="HE39" s="1615"/>
      <x:c r="HF39" s="1613"/>
      <x:c r="HG39" s="1613"/>
      <x:c r="HH39" s="1613"/>
      <x:c r="HI39" s="1613"/>
      <x:c r="HJ39" s="1613"/>
      <x:c r="HK39" s="1613"/>
      <x:c r="HL39" s="1613"/>
      <x:c r="HM39" s="1613"/>
      <x:c r="HN39" s="1613"/>
      <x:c r="HO39" s="1613"/>
      <x:c r="HP39" s="1613"/>
      <x:c r="HQ39" s="1613"/>
      <x:c r="HR39" s="1613"/>
      <x:c r="HS39" s="1613"/>
      <x:c r="HT39" s="1613"/>
      <x:c r="HU39" s="1613"/>
      <x:c r="HV39" s="1613"/>
      <x:c r="HW39" s="1613"/>
      <x:c r="HX39" s="1613"/>
      <x:c r="HY39" s="1617"/>
      <x:c r="HZ39" s="1617"/>
      <x:c r="IA39" s="1617"/>
      <x:c r="IB39" s="1617"/>
      <x:c r="IC39" s="1617"/>
      <x:c r="ID39" s="1632"/>
      <x:c r="IE39" s="1612"/>
      <x:c r="IF39" s="1613"/>
      <x:c r="IG39" s="1614"/>
      <x:c r="IH39" s="1615"/>
      <x:c r="II39" s="1613"/>
      <x:c r="IJ39" s="1614"/>
      <x:c r="IK39" s="1615"/>
      <x:c r="IL39" s="1613"/>
      <x:c r="IM39" s="1613"/>
      <x:c r="IN39" s="1613"/>
      <x:c r="IO39" s="1613"/>
      <x:c r="IP39" s="1613"/>
      <x:c r="IQ39" s="1613"/>
      <x:c r="IR39" s="1613"/>
      <x:c r="IS39" s="1614"/>
      <x:c r="IT39" s="1615"/>
      <x:c r="IU39" s="1613"/>
      <x:c r="IV39" s="1613"/>
      <x:c r="IW39" s="1614"/>
      <x:c r="IX39" s="1615"/>
      <x:c r="IY39" s="1613"/>
      <x:c r="IZ39" s="1613"/>
      <x:c r="JA39" s="1614"/>
      <x:c r="JB39" s="1615"/>
      <x:c r="JC39" s="1613"/>
      <x:c r="JD39" s="1613"/>
      <x:c r="JE39" s="1614"/>
      <x:c r="JF39" s="1615"/>
      <x:c r="JG39" s="1613"/>
      <x:c r="JH39" s="1613"/>
      <x:c r="JI39" s="1613"/>
      <x:c r="JJ39" s="1616"/>
      <x:c r="JK39" s="1613"/>
      <x:c r="JL39" s="1521">
        <x:f t="shared" ca="1" si="62"/>
        <x:v>0</x:v>
      </x:c>
    </x:row>
    <x:row r="40" spans="1:272" ht="12.6" customHeight="1" x14ac:dyDescent="0.25">
      <x:c r="A40" s="1583" t="str">
        <x:f t="shared" si="75"/>
        <x:v/>
      </x:c>
      <x:c r="B40" s="1584"/>
      <x:c r="C40" s="1585" t="str">
        <x:f t="shared" si="75"/>
        <x:v/>
      </x:c>
      <x:c r="D40" s="1586" t="str">
        <x:f t="shared" si="76"/>
        <x:v/>
      </x:c>
      <x:c r="E40" s="1587" t="str">
        <x:f t="shared" si="77"/>
        <x:v/>
      </x:c>
      <x:c r="F40" s="1588" t="str">
        <x:f t="shared" si="78"/>
        <x:v/>
      </x:c>
      <x:c r="G40" s="1589" t="str">
        <x:f t="shared" si="0"/>
        <x:v/>
      </x:c>
      <x:c r="H40" s="1590" t="str">
        <x:f t="shared" si="1"/>
        <x:v/>
      </x:c>
      <x:c r="I40" s="1591" t="str">
        <x:f t="shared" si="2"/>
        <x:v/>
      </x:c>
      <x:c r="J40" s="1586" t="str">
        <x:f t="shared" si="57"/>
        <x:v/>
      </x:c>
      <x:c r="K40" s="1590" t="str">
        <x:f t="shared" si="58"/>
        <x:v/>
      </x:c>
      <x:c r="L40" s="1592" t="str">
        <x:f t="shared" si="59"/>
        <x:v/>
      </x:c>
      <x:c r="M40" s="1593" t="str">
        <x:f t="shared" si="79"/>
        <x:v/>
      </x:c>
      <x:c r="N40" s="1594" t="str">
        <x:f t="shared" si="79"/>
        <x:v/>
      </x:c>
      <x:c r="O40" s="1589" t="str">
        <x:f t="shared" si="80"/>
        <x:v/>
      </x:c>
      <x:c r="P40" s="1590" t="str">
        <x:f t="shared" si="81"/>
        <x:v/>
      </x:c>
      <x:c r="Q40" s="1586" t="str">
        <x:f t="shared" si="82"/>
        <x:v/>
      </x:c>
      <x:c r="R40" s="1587" t="str">
        <x:f t="shared" si="83"/>
        <x:v/>
      </x:c>
      <x:c r="S40" s="1595" t="str">
        <x:f t="shared" si="84"/>
        <x:v/>
      </x:c>
      <x:c r="T40" s="1590" t="str">
        <x:f t="shared" si="85"/>
        <x:v/>
      </x:c>
      <x:c r="U40" s="1586" t="str">
        <x:f t="shared" si="86"/>
        <x:v/>
      </x:c>
      <x:c r="V40" s="1590" t="str">
        <x:f t="shared" si="87"/>
        <x:v/>
      </x:c>
      <x:c r="W40" s="1594">
        <x:f t="shared" si="88"/>
        <x:v>0</x:v>
      </x:c>
      <x:c r="X40" s="1596" t="str">
        <x:f t="shared" si="3"/>
        <x:v/>
      </x:c>
      <x:c r="Y40" s="1597" t="str">
        <x:f t="shared" si="4"/>
        <x:v/>
      </x:c>
      <x:c r="Z40" s="2088"/>
      <x:c r="AA40" s="1605" t="str">
        <x:f t="shared" si="5"/>
        <x:v/>
      </x:c>
      <x:c r="AB40" s="1264" t="str">
        <x:f t="shared" si="63"/>
        <x:v/>
      </x:c>
      <x:c r="AC40" s="1260" t="str">
        <x:f t="shared" si="63"/>
        <x:v/>
      </x:c>
      <x:c r="AD40" s="1261" t="str">
        <x:f t="shared" ca="1" si="93"/>
        <x:v/>
      </x:c>
      <x:c r="AE40" s="1262" t="str">
        <x:f t="shared" ca="1" si="94"/>
        <x:v/>
      </x:c>
      <x:c r="AF40" s="1260" t="str">
        <x:f t="shared" ca="1" si="95"/>
        <x:v/>
      </x:c>
      <x:c r="AG40" s="1261" t="str">
        <x:f t="shared" ca="1" si="96"/>
        <x:v/>
      </x:c>
      <x:c r="AH40" s="1262" t="str">
        <x:f t="shared" ca="1" si="97"/>
        <x:v/>
      </x:c>
      <x:c r="AI40" s="1261" t="str">
        <x:f t="shared" ca="1" si="98"/>
        <x:v/>
      </x:c>
      <x:c r="AJ40" s="1262" t="str">
        <x:f t="shared" ca="1" si="99"/>
        <x:v/>
      </x:c>
      <x:c r="AK40" s="1599" t="str">
        <x:f t="shared" si="6"/>
        <x:v/>
      </x:c>
      <x:c r="AL40" s="1600" t="str">
        <x:f t="shared" si="6"/>
        <x:v/>
      </x:c>
      <x:c r="AM40" s="1601" t="str">
        <x:f t="shared" si="6"/>
        <x:v/>
      </x:c>
      <x:c r="AN40" s="1260" t="str">
        <x:f t="shared" si="6"/>
        <x:v/>
      </x:c>
      <x:c r="AO40" s="1329" t="str">
        <x:f t="shared" si="6"/>
        <x:v/>
      </x:c>
      <x:c r="AP40" s="1327" t="str">
        <x:f t="shared" si="49"/>
        <x:v/>
      </x:c>
      <x:c r="AQ40" s="1602" t="str">
        <x:f t="shared" si="49"/>
        <x:v/>
      </x:c>
      <x:c r="AR40" s="1263" t="str">
        <x:f t="shared" si="64"/>
        <x:v/>
      </x:c>
      <x:c r="AS40" s="1262" t="str">
        <x:f t="shared" si="65"/>
        <x:v/>
      </x:c>
      <x:c r="AT40" s="1603" t="str">
        <x:f t="shared" si="7"/>
        <x:v/>
      </x:c>
      <x:c r="AU40" s="1410" t="str">
        <x:f t="shared" si="7"/>
        <x:v/>
      </x:c>
      <x:c r="AV40" s="1328" t="str">
        <x:f t="shared" si="8"/>
        <x:v/>
      </x:c>
      <x:c r="AW40" s="1262" t="str">
        <x:f t="shared" si="9"/>
        <x:v/>
      </x:c>
      <x:c r="AX40" s="1603" t="str">
        <x:f t="shared" si="10"/>
        <x:v/>
      </x:c>
      <x:c r="AY40" s="1410" t="str">
        <x:f t="shared" si="10"/>
        <x:v/>
      </x:c>
      <x:c r="AZ40" s="1328" t="str">
        <x:f t="shared" si="11"/>
        <x:v/>
      </x:c>
      <x:c r="BA40" s="1262" t="str">
        <x:f t="shared" si="12"/>
        <x:v/>
      </x:c>
      <x:c r="BB40" s="1603" t="str">
        <x:f t="shared" si="13"/>
        <x:v/>
      </x:c>
      <x:c r="BC40" s="1410" t="str">
        <x:f t="shared" si="13"/>
        <x:v/>
      </x:c>
      <x:c r="BD40" s="1328" t="str">
        <x:f t="shared" si="14"/>
        <x:v/>
      </x:c>
      <x:c r="BE40" s="1262" t="str">
        <x:f t="shared" si="15"/>
        <x:v/>
      </x:c>
      <x:c r="BF40" s="1603" t="str">
        <x:f t="shared" si="16"/>
        <x:v/>
      </x:c>
      <x:c r="BG40" s="1410" t="str">
        <x:f t="shared" si="16"/>
        <x:v/>
      </x:c>
      <x:c r="BH40" s="322"/>
      <x:c r="BJ40" s="1258" t="str">
        <x:f t="shared" si="60"/>
        <x:v/>
      </x:c>
      <x:c r="BK40" s="1256" t="b">
        <x:f t="shared" si="17"/>
        <x:v>0</x:v>
      </x:c>
      <x:c r="BL40" s="2002" t="b">
        <x:v>0</x:v>
      </x:c>
      <x:c r="BM40" s="1251">
        <x:f t="shared" si="18"/>
        <x:v>0</x:v>
      </x:c>
      <x:c r="BN40" s="1251">
        <x:f t="shared" si="19"/>
        <x:v>0</x:v>
      </x:c>
      <x:c r="BO40" s="1251">
        <x:f t="shared" si="20"/>
        <x:v>0</x:v>
      </x:c>
      <x:c r="BP40" s="1251">
        <x:f t="shared" si="21"/>
        <x:v>0</x:v>
      </x:c>
      <x:c r="BQ40" s="1251">
        <x:f t="shared" si="22"/>
        <x:v>0</x:v>
      </x:c>
      <x:c r="BR40" s="1251" t="b">
        <x:f t="shared" si="23"/>
        <x:v>1</x:v>
      </x:c>
      <x:c r="BS40" s="1252">
        <x:f t="shared" si="24"/>
        <x:v>6</x:v>
      </x:c>
      <x:c r="BT40" s="1252" t="str">
        <x:f t="shared" si="25"/>
        <x:v>No</x:v>
      </x:c>
      <x:c r="BU40" s="1252">
        <x:f t="shared" si="26"/>
        <x:v>6</x:v>
      </x:c>
      <x:c r="BV40" s="1252" t="str">
        <x:f t="shared" si="27"/>
        <x:v>No</x:v>
      </x:c>
      <x:c r="BW40" s="1253">
        <x:f t="shared" ca="1" si="28"/>
        <x:v>0</x:v>
      </x:c>
      <x:c r="BX40" s="1254" t="str">
        <x:f t="shared" ca="1" si="29"/>
        <x:v/>
      </x:c>
      <x:c r="BY40" s="1254" t="b">
        <x:f t="shared" ca="1" si="30"/>
        <x:v>0</x:v>
      </x:c>
      <x:c r="BZ40" s="1253" t="b">
        <x:f t="shared" si="50"/>
        <x:v>0</x:v>
      </x:c>
      <x:c r="CB40" s="842"/>
      <x:c r="CC40" s="894"/>
      <x:c r="CD40" s="883"/>
      <x:c r="CE40" s="884"/>
      <x:c r="CF40" s="885"/>
      <x:c r="CG40" s="901"/>
      <x:c r="CH40" s="902"/>
      <x:c r="CI40" s="903"/>
      <x:c r="CJ40" s="902"/>
      <x:c r="CK40" s="903"/>
      <x:c r="CL40" s="904"/>
      <x:c r="CM40" s="944"/>
      <x:c r="CN40" s="901"/>
      <x:c r="CO40" s="902"/>
      <x:c r="CP40" s="903"/>
      <x:c r="CQ40" s="902"/>
      <x:c r="CR40" s="903"/>
      <x:c r="CS40" s="904"/>
      <x:c r="CT40" s="944"/>
      <x:c r="CU40" s="906"/>
      <x:c r="CV40" s="886"/>
      <x:c r="CW40" s="887"/>
      <x:c r="CX40" s="915"/>
      <x:c r="CY40" s="916"/>
      <x:c r="CZ40" s="932"/>
      <x:c r="DA40" s="933"/>
      <x:c r="DB40" s="932"/>
      <x:c r="DC40" s="933"/>
      <x:c r="DD40" s="1149"/>
      <x:c r="DE40" s="1150"/>
      <x:c r="DF40" s="173"/>
      <x:c r="DG40" s="173"/>
      <x:c r="DH40" s="842"/>
      <x:c r="DI40" s="843"/>
      <x:c r="DJ40" s="872"/>
      <x:c r="DK40" s="873"/>
      <x:c r="DL40" s="844"/>
      <x:c r="DM40" s="874"/>
      <x:c r="DN40" s="875"/>
      <x:c r="DO40" s="845"/>
      <x:c r="DP40" s="846"/>
      <x:c r="DQ40" s="847"/>
      <x:c r="DR40" s="847"/>
      <x:c r="DS40" s="848"/>
      <x:c r="DT40" s="836"/>
      <x:c r="DU40" s="837"/>
      <x:c r="DV40" s="849"/>
      <x:c r="DW40" s="850"/>
      <x:c r="DX40" s="851"/>
      <x:c r="DY40" s="852"/>
      <x:c r="DZ40" s="849"/>
      <x:c r="EA40" s="850"/>
      <x:c r="EB40" s="851"/>
      <x:c r="EC40" s="852"/>
      <x:c r="ED40" s="849"/>
      <x:c r="EE40" s="850"/>
      <x:c r="EF40" s="851"/>
      <x:c r="EG40" s="852"/>
      <x:c r="EH40" s="849"/>
      <x:c r="EI40" s="850"/>
      <x:c r="EJ40" s="851"/>
      <x:c r="EK40" s="853"/>
      <x:c r="EL40" s="798" t="str">
        <x:f t="shared" si="31"/>
        <x:v/>
      </x:c>
      <x:c r="EM40" s="799" t="str">
        <x:f t="shared" si="32"/>
        <x:v/>
      </x:c>
      <x:c r="EN40" s="800" t="str">
        <x:f t="shared" si="33"/>
        <x:v/>
      </x:c>
      <x:c r="EO40" s="1030" t="str">
        <x:f t="shared" si="34"/>
        <x:v/>
      </x:c>
      <x:c r="EP40" s="726" t="str">
        <x:f t="shared" si="35"/>
        <x:v/>
      </x:c>
      <x:c r="EQ40" s="727" t="str">
        <x:f t="shared" si="36"/>
        <x:v/>
      </x:c>
      <x:c r="ER40" s="961" t="str">
        <x:f t="shared" si="37"/>
        <x:v/>
      </x:c>
      <x:c r="ES40" s="962" t="str">
        <x:f t="shared" si="51"/>
        <x:v/>
      </x:c>
      <x:c r="ET40" s="963" t="str">
        <x:f t="shared" si="38"/>
        <x:v/>
      </x:c>
      <x:c r="EU40" s="964" t="str">
        <x:f t="shared" si="39"/>
        <x:v/>
      </x:c>
      <x:c r="EX40" s="1194" t="str">
        <x:f t="shared" ca="1" si="52"/>
        <x:v/>
      </x:c>
      <x:c r="EY40" s="1196" t="str">
        <x:f t="shared" si="40"/>
        <x:v/>
      </x:c>
      <x:c r="EZ40" s="1196" t="str">
        <x:f t="shared" si="53"/>
        <x:v/>
      </x:c>
      <x:c r="FA40" s="1217" t="str">
        <x:f t="shared" ca="1" si="61"/>
        <x:v/>
      </x:c>
      <x:c r="FB40" s="1218" t="str">
        <x:f t="shared" ca="1" si="54"/>
        <x:v/>
      </x:c>
      <x:c r="FC40" s="1218">
        <x:f t="shared" ca="1" si="41"/>
        <x:v>0</x:v>
      </x:c>
      <x:c r="FD40" s="1218">
        <x:f t="shared" ca="1" si="42"/>
        <x:v>0</x:v>
      </x:c>
      <x:c r="FE40" s="1218">
        <x:f t="shared" ca="1" si="43"/>
        <x:v>0</x:v>
      </x:c>
      <x:c r="FF40" s="1218">
        <x:f t="shared" ca="1" si="55"/>
        <x:v>0</x:v>
      </x:c>
      <x:c r="FN40" s="969" t="b">
        <x:v>0</x:v>
      </x:c>
      <x:c r="FO40" s="969" t="b">
        <x:f t="shared" si="44"/>
        <x:v>1</x:v>
      </x:c>
      <x:c r="FP40" s="1815" t="b">
        <x:v>0</x:v>
      </x:c>
      <x:c r="FQ40" s="969" t="b">
        <x:f t="shared" si="56"/>
        <x:v>1</x:v>
      </x:c>
      <x:c r="FW40" s="2"/>
      <x:c r="FX40" s="2"/>
      <x:c r="FZ40" s="2"/>
      <x:c r="GA40" s="1935" t="str">
        <x:f t="shared" si="89"/>
        <x:v/>
      </x:c>
      <x:c r="GB40" s="1936" t="str">
        <x:f t="shared" si="90"/>
        <x:v/>
      </x:c>
      <x:c r="GC40" s="1937" t="str">
        <x:f t="shared" si="91"/>
        <x:v/>
      </x:c>
      <x:c r="GD40" s="1938" t="str">
        <x:f t="shared" si="92"/>
        <x:v/>
      </x:c>
      <x:c r="GE40" s="1939" t="str">
        <x:f t="shared" si="45"/>
        <x:v/>
      </x:c>
      <x:c r="GF40" s="1940" t="str">
        <x:f t="shared" si="46"/>
        <x:v/>
      </x:c>
      <x:c r="GG40" s="1457"/>
      <x:c r="GH40" s="1459"/>
      <x:c r="GI40" s="1457"/>
      <x:c r="GJ40" s="1459"/>
      <x:c r="GK40" s="326">
        <x:f t="shared" si="47"/>
        <x:v>0</x:v>
      </x:c>
      <x:c r="GL40" s="326" t="e">
        <x:f t="shared" si="48"/>
        <x:v>#VALUE!</x:v>
      </x:c>
      <x:c r="GM40" s="327" t="e">
        <x:f>IF(ABS(GK40-GL40)&gt;='Job Info.'!$L$22,ABS(GK40-GL40),0)</x:f>
        <x:v>#VALUE!</x:v>
      </x:c>
      <x:c r="HA40" s="1612"/>
      <x:c r="HB40" s="1613"/>
      <x:c r="HC40" s="1613"/>
      <x:c r="HD40" s="1614"/>
      <x:c r="HE40" s="1615"/>
      <x:c r="HF40" s="1613"/>
      <x:c r="HG40" s="1613"/>
      <x:c r="HH40" s="1613"/>
      <x:c r="HI40" s="1613"/>
      <x:c r="HJ40" s="1613"/>
      <x:c r="HK40" s="1613"/>
      <x:c r="HL40" s="1613"/>
      <x:c r="HM40" s="1613"/>
      <x:c r="HN40" s="1613"/>
      <x:c r="HO40" s="1613"/>
      <x:c r="HP40" s="1613"/>
      <x:c r="HQ40" s="1613"/>
      <x:c r="HR40" s="1613"/>
      <x:c r="HS40" s="1613"/>
      <x:c r="HT40" s="1613"/>
      <x:c r="HU40" s="1613"/>
      <x:c r="HV40" s="1613"/>
      <x:c r="HW40" s="1613"/>
      <x:c r="HX40" s="1613"/>
      <x:c r="HY40" s="1617"/>
      <x:c r="HZ40" s="1617"/>
      <x:c r="IA40" s="1617"/>
      <x:c r="IB40" s="1617"/>
      <x:c r="IC40" s="1617"/>
      <x:c r="ID40" s="1632"/>
      <x:c r="IE40" s="1612"/>
      <x:c r="IF40" s="1613"/>
      <x:c r="IG40" s="1614"/>
      <x:c r="IH40" s="1615"/>
      <x:c r="II40" s="1613"/>
      <x:c r="IJ40" s="1614"/>
      <x:c r="IK40" s="1615"/>
      <x:c r="IL40" s="1613"/>
      <x:c r="IM40" s="1613"/>
      <x:c r="IN40" s="1613"/>
      <x:c r="IO40" s="1613"/>
      <x:c r="IP40" s="1613"/>
      <x:c r="IQ40" s="1613"/>
      <x:c r="IR40" s="1613"/>
      <x:c r="IS40" s="1614"/>
      <x:c r="IT40" s="1615"/>
      <x:c r="IU40" s="1613"/>
      <x:c r="IV40" s="1613"/>
      <x:c r="IW40" s="1614"/>
      <x:c r="IX40" s="1615"/>
      <x:c r="IY40" s="1613"/>
      <x:c r="IZ40" s="1613"/>
      <x:c r="JA40" s="1614"/>
      <x:c r="JB40" s="1615"/>
      <x:c r="JC40" s="1613"/>
      <x:c r="JD40" s="1613"/>
      <x:c r="JE40" s="1614"/>
      <x:c r="JF40" s="1615"/>
      <x:c r="JG40" s="1613"/>
      <x:c r="JH40" s="1613"/>
      <x:c r="JI40" s="1613"/>
      <x:c r="JJ40" s="1616"/>
      <x:c r="JK40" s="1613"/>
      <x:c r="JL40" s="1521">
        <x:f t="shared" ca="1" si="62"/>
        <x:v>0</x:v>
      </x:c>
    </x:row>
    <x:row r="41" spans="1:272" ht="12.6" customHeight="1" x14ac:dyDescent="0.25">
      <x:c r="A41" s="1583" t="str">
        <x:f t="shared" si="75"/>
        <x:v/>
      </x:c>
      <x:c r="B41" s="1584"/>
      <x:c r="C41" s="1585" t="str">
        <x:f t="shared" si="75"/>
        <x:v/>
      </x:c>
      <x:c r="D41" s="1586" t="str">
        <x:f t="shared" si="76"/>
        <x:v/>
      </x:c>
      <x:c r="E41" s="1587" t="str">
        <x:f t="shared" si="77"/>
        <x:v/>
      </x:c>
      <x:c r="F41" s="1588" t="str">
        <x:f t="shared" si="78"/>
        <x:v/>
      </x:c>
      <x:c r="G41" s="1589" t="str">
        <x:f t="shared" si="0"/>
        <x:v/>
      </x:c>
      <x:c r="H41" s="1590" t="str">
        <x:f t="shared" si="1"/>
        <x:v/>
      </x:c>
      <x:c r="I41" s="1591" t="str">
        <x:f t="shared" si="2"/>
        <x:v/>
      </x:c>
      <x:c r="J41" s="1586" t="str">
        <x:f t="shared" si="57"/>
        <x:v/>
      </x:c>
      <x:c r="K41" s="1590" t="str">
        <x:f t="shared" si="58"/>
        <x:v/>
      </x:c>
      <x:c r="L41" s="1592" t="str">
        <x:f t="shared" si="59"/>
        <x:v/>
      </x:c>
      <x:c r="M41" s="1593" t="str">
        <x:f t="shared" si="79"/>
        <x:v/>
      </x:c>
      <x:c r="N41" s="1594" t="str">
        <x:f t="shared" si="79"/>
        <x:v/>
      </x:c>
      <x:c r="O41" s="1589" t="str">
        <x:f t="shared" si="80"/>
        <x:v/>
      </x:c>
      <x:c r="P41" s="1590" t="str">
        <x:f t="shared" si="81"/>
        <x:v/>
      </x:c>
      <x:c r="Q41" s="1586" t="str">
        <x:f t="shared" si="82"/>
        <x:v/>
      </x:c>
      <x:c r="R41" s="1587" t="str">
        <x:f t="shared" si="83"/>
        <x:v/>
      </x:c>
      <x:c r="S41" s="1595" t="str">
        <x:f t="shared" si="84"/>
        <x:v/>
      </x:c>
      <x:c r="T41" s="1590" t="str">
        <x:f t="shared" si="85"/>
        <x:v/>
      </x:c>
      <x:c r="U41" s="1586" t="str">
        <x:f t="shared" si="86"/>
        <x:v/>
      </x:c>
      <x:c r="V41" s="1590" t="str">
        <x:f t="shared" si="87"/>
        <x:v/>
      </x:c>
      <x:c r="W41" s="1594">
        <x:f t="shared" si="88"/>
        <x:v>0</x:v>
      </x:c>
      <x:c r="X41" s="1596" t="str">
        <x:f t="shared" si="3"/>
        <x:v/>
      </x:c>
      <x:c r="Y41" s="1597" t="str">
        <x:f t="shared" si="4"/>
        <x:v/>
      </x:c>
      <x:c r="Z41" s="2088"/>
      <x:c r="AA41" s="1605" t="str">
        <x:f t="shared" si="5"/>
        <x:v/>
      </x:c>
      <x:c r="AB41" s="1264" t="str">
        <x:f t="shared" si="63"/>
        <x:v/>
      </x:c>
      <x:c r="AC41" s="1260" t="str">
        <x:f t="shared" si="63"/>
        <x:v/>
      </x:c>
      <x:c r="AD41" s="1261" t="str">
        <x:f t="shared" ca="1" si="93"/>
        <x:v/>
      </x:c>
      <x:c r="AE41" s="1262" t="str">
        <x:f t="shared" ca="1" si="94"/>
        <x:v/>
      </x:c>
      <x:c r="AF41" s="1260" t="str">
        <x:f t="shared" ca="1" si="95"/>
        <x:v/>
      </x:c>
      <x:c r="AG41" s="1261" t="str">
        <x:f t="shared" ca="1" si="96"/>
        <x:v/>
      </x:c>
      <x:c r="AH41" s="1262" t="str">
        <x:f t="shared" ca="1" si="97"/>
        <x:v/>
      </x:c>
      <x:c r="AI41" s="1261" t="str">
        <x:f t="shared" ca="1" si="98"/>
        <x:v/>
      </x:c>
      <x:c r="AJ41" s="1262" t="str">
        <x:f t="shared" ca="1" si="99"/>
        <x:v/>
      </x:c>
      <x:c r="AK41" s="1599" t="str">
        <x:f t="shared" si="6"/>
        <x:v/>
      </x:c>
      <x:c r="AL41" s="1600" t="str">
        <x:f t="shared" si="6"/>
        <x:v/>
      </x:c>
      <x:c r="AM41" s="1601" t="str">
        <x:f t="shared" si="6"/>
        <x:v/>
      </x:c>
      <x:c r="AN41" s="1260" t="str">
        <x:f t="shared" si="6"/>
        <x:v/>
      </x:c>
      <x:c r="AO41" s="1329" t="str">
        <x:f t="shared" si="6"/>
        <x:v/>
      </x:c>
      <x:c r="AP41" s="1327" t="str">
        <x:f t="shared" si="49"/>
        <x:v/>
      </x:c>
      <x:c r="AQ41" s="1602" t="str">
        <x:f t="shared" si="49"/>
        <x:v/>
      </x:c>
      <x:c r="AR41" s="1263" t="str">
        <x:f t="shared" si="64"/>
        <x:v/>
      </x:c>
      <x:c r="AS41" s="1262" t="str">
        <x:f t="shared" si="65"/>
        <x:v/>
      </x:c>
      <x:c r="AT41" s="1603" t="str">
        <x:f t="shared" si="7"/>
        <x:v/>
      </x:c>
      <x:c r="AU41" s="1410" t="str">
        <x:f t="shared" si="7"/>
        <x:v/>
      </x:c>
      <x:c r="AV41" s="1328" t="str">
        <x:f t="shared" si="8"/>
        <x:v/>
      </x:c>
      <x:c r="AW41" s="1262" t="str">
        <x:f t="shared" si="9"/>
        <x:v/>
      </x:c>
      <x:c r="AX41" s="1603" t="str">
        <x:f t="shared" si="10"/>
        <x:v/>
      </x:c>
      <x:c r="AY41" s="1410" t="str">
        <x:f t="shared" si="10"/>
        <x:v/>
      </x:c>
      <x:c r="AZ41" s="1328" t="str">
        <x:f t="shared" si="11"/>
        <x:v/>
      </x:c>
      <x:c r="BA41" s="1262" t="str">
        <x:f t="shared" si="12"/>
        <x:v/>
      </x:c>
      <x:c r="BB41" s="1603" t="str">
        <x:f t="shared" si="13"/>
        <x:v/>
      </x:c>
      <x:c r="BC41" s="1410" t="str">
        <x:f t="shared" si="13"/>
        <x:v/>
      </x:c>
      <x:c r="BD41" s="1328" t="str">
        <x:f t="shared" si="14"/>
        <x:v/>
      </x:c>
      <x:c r="BE41" s="1262" t="str">
        <x:f t="shared" si="15"/>
        <x:v/>
      </x:c>
      <x:c r="BF41" s="1603" t="str">
        <x:f t="shared" si="16"/>
        <x:v/>
      </x:c>
      <x:c r="BG41" s="1410" t="str">
        <x:f t="shared" si="16"/>
        <x:v/>
      </x:c>
      <x:c r="BH41" s="322"/>
      <x:c r="BJ41" s="1258" t="str">
        <x:f t="shared" si="60"/>
        <x:v/>
      </x:c>
      <x:c r="BK41" s="1256" t="b">
        <x:f t="shared" si="17"/>
        <x:v>0</x:v>
      </x:c>
      <x:c r="BL41" s="2002" t="b">
        <x:v>0</x:v>
      </x:c>
      <x:c r="BM41" s="1251">
        <x:f t="shared" si="18"/>
        <x:v>0</x:v>
      </x:c>
      <x:c r="BN41" s="1251">
        <x:f t="shared" si="19"/>
        <x:v>0</x:v>
      </x:c>
      <x:c r="BO41" s="1251">
        <x:f t="shared" si="20"/>
        <x:v>0</x:v>
      </x:c>
      <x:c r="BP41" s="1251">
        <x:f t="shared" si="21"/>
        <x:v>0</x:v>
      </x:c>
      <x:c r="BQ41" s="1251">
        <x:f t="shared" si="22"/>
        <x:v>0</x:v>
      </x:c>
      <x:c r="BR41" s="1251" t="b">
        <x:f t="shared" si="23"/>
        <x:v>1</x:v>
      </x:c>
      <x:c r="BS41" s="1252">
        <x:f t="shared" si="24"/>
        <x:v>6</x:v>
      </x:c>
      <x:c r="BT41" s="1252" t="str">
        <x:f t="shared" si="25"/>
        <x:v>No</x:v>
      </x:c>
      <x:c r="BU41" s="1252">
        <x:f t="shared" si="26"/>
        <x:v>6</x:v>
      </x:c>
      <x:c r="BV41" s="1252" t="str">
        <x:f t="shared" si="27"/>
        <x:v>No</x:v>
      </x:c>
      <x:c r="BW41" s="1253">
        <x:f t="shared" ca="1" si="28"/>
        <x:v>0</x:v>
      </x:c>
      <x:c r="BX41" s="1254" t="str">
        <x:f t="shared" ca="1" si="29"/>
        <x:v/>
      </x:c>
      <x:c r="BY41" s="1254" t="b">
        <x:f t="shared" ca="1" si="30"/>
        <x:v>0</x:v>
      </x:c>
      <x:c r="BZ41" s="1253" t="b">
        <x:f t="shared" si="50"/>
        <x:v>0</x:v>
      </x:c>
      <x:c r="CB41" s="842"/>
      <x:c r="CC41" s="894"/>
      <x:c r="CD41" s="883"/>
      <x:c r="CE41" s="884"/>
      <x:c r="CF41" s="885"/>
      <x:c r="CG41" s="901"/>
      <x:c r="CH41" s="902"/>
      <x:c r="CI41" s="903"/>
      <x:c r="CJ41" s="902"/>
      <x:c r="CK41" s="903"/>
      <x:c r="CL41" s="904"/>
      <x:c r="CM41" s="944"/>
      <x:c r="CN41" s="901"/>
      <x:c r="CO41" s="902"/>
      <x:c r="CP41" s="903"/>
      <x:c r="CQ41" s="902"/>
      <x:c r="CR41" s="903"/>
      <x:c r="CS41" s="904"/>
      <x:c r="CT41" s="944"/>
      <x:c r="CU41" s="906"/>
      <x:c r="CV41" s="886"/>
      <x:c r="CW41" s="887"/>
      <x:c r="CX41" s="915"/>
      <x:c r="CY41" s="916"/>
      <x:c r="CZ41" s="932"/>
      <x:c r="DA41" s="933"/>
      <x:c r="DB41" s="932"/>
      <x:c r="DC41" s="933"/>
      <x:c r="DD41" s="1149"/>
      <x:c r="DE41" s="1150"/>
      <x:c r="DF41" s="173"/>
      <x:c r="DG41" s="173"/>
      <x:c r="DH41" s="842"/>
      <x:c r="DI41" s="843"/>
      <x:c r="DJ41" s="872"/>
      <x:c r="DK41" s="873"/>
      <x:c r="DL41" s="844"/>
      <x:c r="DM41" s="874"/>
      <x:c r="DN41" s="875"/>
      <x:c r="DO41" s="845"/>
      <x:c r="DP41" s="846"/>
      <x:c r="DQ41" s="847"/>
      <x:c r="DR41" s="847"/>
      <x:c r="DS41" s="848"/>
      <x:c r="DT41" s="836"/>
      <x:c r="DU41" s="837"/>
      <x:c r="DV41" s="849"/>
      <x:c r="DW41" s="850"/>
      <x:c r="DX41" s="851"/>
      <x:c r="DY41" s="852"/>
      <x:c r="DZ41" s="849"/>
      <x:c r="EA41" s="850"/>
      <x:c r="EB41" s="851"/>
      <x:c r="EC41" s="852"/>
      <x:c r="ED41" s="849"/>
      <x:c r="EE41" s="850"/>
      <x:c r="EF41" s="851"/>
      <x:c r="EG41" s="852"/>
      <x:c r="EH41" s="849"/>
      <x:c r="EI41" s="850"/>
      <x:c r="EJ41" s="851"/>
      <x:c r="EK41" s="853"/>
      <x:c r="EL41" s="798" t="str">
        <x:f t="shared" si="31"/>
        <x:v/>
      </x:c>
      <x:c r="EM41" s="799" t="str">
        <x:f t="shared" si="32"/>
        <x:v/>
      </x:c>
      <x:c r="EN41" s="800" t="str">
        <x:f t="shared" si="33"/>
        <x:v/>
      </x:c>
      <x:c r="EO41" s="1030" t="str">
        <x:f t="shared" si="34"/>
        <x:v/>
      </x:c>
      <x:c r="EP41" s="726" t="str">
        <x:f t="shared" si="35"/>
        <x:v/>
      </x:c>
      <x:c r="EQ41" s="727" t="str">
        <x:f t="shared" si="36"/>
        <x:v/>
      </x:c>
      <x:c r="ER41" s="961" t="str">
        <x:f t="shared" si="37"/>
        <x:v/>
      </x:c>
      <x:c r="ES41" s="962" t="str">
        <x:f t="shared" si="51"/>
        <x:v/>
      </x:c>
      <x:c r="ET41" s="963" t="str">
        <x:f t="shared" si="38"/>
        <x:v/>
      </x:c>
      <x:c r="EU41" s="964" t="str">
        <x:f t="shared" si="39"/>
        <x:v/>
      </x:c>
      <x:c r="EX41" s="1194" t="str">
        <x:f t="shared" ca="1" si="52"/>
        <x:v/>
      </x:c>
      <x:c r="EY41" s="1196" t="str">
        <x:f t="shared" si="40"/>
        <x:v/>
      </x:c>
      <x:c r="EZ41" s="1196" t="str">
        <x:f t="shared" si="53"/>
        <x:v/>
      </x:c>
      <x:c r="FA41" s="1217" t="str">
        <x:f t="shared" ca="1" si="61"/>
        <x:v/>
      </x:c>
      <x:c r="FB41" s="1218" t="str">
        <x:f t="shared" ca="1" si="54"/>
        <x:v/>
      </x:c>
      <x:c r="FC41" s="1218">
        <x:f t="shared" ca="1" si="41"/>
        <x:v>0</x:v>
      </x:c>
      <x:c r="FD41" s="1218">
        <x:f t="shared" ca="1" si="42"/>
        <x:v>0</x:v>
      </x:c>
      <x:c r="FE41" s="1218">
        <x:f t="shared" ca="1" si="43"/>
        <x:v>0</x:v>
      </x:c>
      <x:c r="FF41" s="1218">
        <x:f t="shared" ca="1" si="55"/>
        <x:v>0</x:v>
      </x:c>
      <x:c r="FN41" s="969" t="b">
        <x:v>0</x:v>
      </x:c>
      <x:c r="FO41" s="969" t="b">
        <x:f t="shared" si="44"/>
        <x:v>1</x:v>
      </x:c>
      <x:c r="FP41" s="1815" t="b">
        <x:v>0</x:v>
      </x:c>
      <x:c r="FQ41" s="969" t="b">
        <x:f t="shared" si="56"/>
        <x:v>1</x:v>
      </x:c>
      <x:c r="FW41" s="2"/>
      <x:c r="FX41" s="2"/>
      <x:c r="FZ41" s="2"/>
      <x:c r="GA41" s="1935" t="str">
        <x:f t="shared" si="89"/>
        <x:v/>
      </x:c>
      <x:c r="GB41" s="1936" t="str">
        <x:f t="shared" si="90"/>
        <x:v/>
      </x:c>
      <x:c r="GC41" s="1937" t="str">
        <x:f t="shared" si="91"/>
        <x:v/>
      </x:c>
      <x:c r="GD41" s="1938" t="str">
        <x:f t="shared" si="92"/>
        <x:v/>
      </x:c>
      <x:c r="GE41" s="1939" t="str">
        <x:f t="shared" si="45"/>
        <x:v/>
      </x:c>
      <x:c r="GF41" s="1940" t="str">
        <x:f t="shared" si="46"/>
        <x:v/>
      </x:c>
      <x:c r="GG41" s="1457"/>
      <x:c r="GH41" s="1459"/>
      <x:c r="GI41" s="1457"/>
      <x:c r="GJ41" s="1459"/>
      <x:c r="GK41" s="326">
        <x:f t="shared" si="47"/>
        <x:v>0</x:v>
      </x:c>
      <x:c r="GL41" s="326" t="e">
        <x:f t="shared" si="48"/>
        <x:v>#VALUE!</x:v>
      </x:c>
      <x:c r="GM41" s="327" t="e">
        <x:f>IF(ABS(GK41-GL41)&gt;='Job Info.'!$L$22,ABS(GK41-GL41),0)</x:f>
        <x:v>#VALUE!</x:v>
      </x:c>
      <x:c r="HA41" s="1612"/>
      <x:c r="HB41" s="1613"/>
      <x:c r="HC41" s="1613"/>
      <x:c r="HD41" s="1614"/>
      <x:c r="HE41" s="1615"/>
      <x:c r="HF41" s="1613"/>
      <x:c r="HG41" s="1613"/>
      <x:c r="HH41" s="1613"/>
      <x:c r="HI41" s="1613"/>
      <x:c r="HJ41" s="1613"/>
      <x:c r="HK41" s="1613"/>
      <x:c r="HL41" s="1613"/>
      <x:c r="HM41" s="1613"/>
      <x:c r="HN41" s="1613"/>
      <x:c r="HO41" s="1613"/>
      <x:c r="HP41" s="1613"/>
      <x:c r="HQ41" s="1613"/>
      <x:c r="HR41" s="1613"/>
      <x:c r="HS41" s="1613"/>
      <x:c r="HT41" s="1613"/>
      <x:c r="HU41" s="1613"/>
      <x:c r="HV41" s="1613"/>
      <x:c r="HW41" s="1613"/>
      <x:c r="HX41" s="1613"/>
      <x:c r="HY41" s="1617"/>
      <x:c r="HZ41" s="1617"/>
      <x:c r="IA41" s="1617"/>
      <x:c r="IB41" s="1617"/>
      <x:c r="IC41" s="1617"/>
      <x:c r="ID41" s="1632"/>
      <x:c r="IE41" s="1612"/>
      <x:c r="IF41" s="1613"/>
      <x:c r="IG41" s="1614"/>
      <x:c r="IH41" s="1615"/>
      <x:c r="II41" s="1613"/>
      <x:c r="IJ41" s="1614"/>
      <x:c r="IK41" s="1615"/>
      <x:c r="IL41" s="1613"/>
      <x:c r="IM41" s="1613"/>
      <x:c r="IN41" s="1613"/>
      <x:c r="IO41" s="1613"/>
      <x:c r="IP41" s="1613"/>
      <x:c r="IQ41" s="1613"/>
      <x:c r="IR41" s="1613"/>
      <x:c r="IS41" s="1614"/>
      <x:c r="IT41" s="1615"/>
      <x:c r="IU41" s="1613"/>
      <x:c r="IV41" s="1613"/>
      <x:c r="IW41" s="1614"/>
      <x:c r="IX41" s="1615"/>
      <x:c r="IY41" s="1613"/>
      <x:c r="IZ41" s="1613"/>
      <x:c r="JA41" s="1614"/>
      <x:c r="JB41" s="1615"/>
      <x:c r="JC41" s="1613"/>
      <x:c r="JD41" s="1613"/>
      <x:c r="JE41" s="1614"/>
      <x:c r="JF41" s="1615"/>
      <x:c r="JG41" s="1613"/>
      <x:c r="JH41" s="1613"/>
      <x:c r="JI41" s="1613"/>
      <x:c r="JJ41" s="1616"/>
      <x:c r="JK41" s="1613"/>
      <x:c r="JL41" s="1521">
        <x:f t="shared" ca="1" si="62"/>
        <x:v>0</x:v>
      </x:c>
    </x:row>
    <x:row r="42" spans="1:272" ht="12.6" customHeight="1" x14ac:dyDescent="0.25">
      <x:c r="A42" s="1583" t="str">
        <x:f t="shared" si="75"/>
        <x:v/>
      </x:c>
      <x:c r="B42" s="1584"/>
      <x:c r="C42" s="1585" t="str">
        <x:f t="shared" si="75"/>
        <x:v/>
      </x:c>
      <x:c r="D42" s="1586" t="str">
        <x:f t="shared" si="76"/>
        <x:v/>
      </x:c>
      <x:c r="E42" s="1587" t="str">
        <x:f t="shared" si="77"/>
        <x:v/>
      </x:c>
      <x:c r="F42" s="1588" t="str">
        <x:f t="shared" si="78"/>
        <x:v/>
      </x:c>
      <x:c r="G42" s="1589" t="str">
        <x:f t="shared" si="0"/>
        <x:v/>
      </x:c>
      <x:c r="H42" s="1590" t="str">
        <x:f t="shared" si="1"/>
        <x:v/>
      </x:c>
      <x:c r="I42" s="1591" t="str">
        <x:f t="shared" si="2"/>
        <x:v/>
      </x:c>
      <x:c r="J42" s="1586" t="str">
        <x:f t="shared" si="57"/>
        <x:v/>
      </x:c>
      <x:c r="K42" s="1590" t="str">
        <x:f t="shared" si="58"/>
        <x:v/>
      </x:c>
      <x:c r="L42" s="1592" t="str">
        <x:f t="shared" si="59"/>
        <x:v/>
      </x:c>
      <x:c r="M42" s="1593" t="str">
        <x:f t="shared" si="79"/>
        <x:v/>
      </x:c>
      <x:c r="N42" s="1594" t="str">
        <x:f t="shared" si="79"/>
        <x:v/>
      </x:c>
      <x:c r="O42" s="1589" t="str">
        <x:f t="shared" si="80"/>
        <x:v/>
      </x:c>
      <x:c r="P42" s="1590" t="str">
        <x:f t="shared" si="81"/>
        <x:v/>
      </x:c>
      <x:c r="Q42" s="1586" t="str">
        <x:f t="shared" si="82"/>
        <x:v/>
      </x:c>
      <x:c r="R42" s="1587" t="str">
        <x:f t="shared" si="83"/>
        <x:v/>
      </x:c>
      <x:c r="S42" s="1595" t="str">
        <x:f t="shared" si="84"/>
        <x:v/>
      </x:c>
      <x:c r="T42" s="1590" t="str">
        <x:f t="shared" si="85"/>
        <x:v/>
      </x:c>
      <x:c r="U42" s="1586" t="str">
        <x:f t="shared" si="86"/>
        <x:v/>
      </x:c>
      <x:c r="V42" s="1590" t="str">
        <x:f t="shared" si="87"/>
        <x:v/>
      </x:c>
      <x:c r="W42" s="1594">
        <x:f t="shared" si="88"/>
        <x:v>0</x:v>
      </x:c>
      <x:c r="X42" s="1596" t="str">
        <x:f t="shared" si="3"/>
        <x:v/>
      </x:c>
      <x:c r="Y42" s="1597" t="str">
        <x:f t="shared" si="4"/>
        <x:v/>
      </x:c>
      <x:c r="Z42" s="2088"/>
      <x:c r="AA42" s="1605" t="str">
        <x:f t="shared" si="5"/>
        <x:v/>
      </x:c>
      <x:c r="AB42" s="1264" t="str">
        <x:f t="shared" si="63"/>
        <x:v/>
      </x:c>
      <x:c r="AC42" s="1260" t="str">
        <x:f t="shared" si="63"/>
        <x:v/>
      </x:c>
      <x:c r="AD42" s="1261" t="str">
        <x:f t="shared" ca="1" si="93"/>
        <x:v/>
      </x:c>
      <x:c r="AE42" s="1262" t="str">
        <x:f t="shared" ca="1" si="94"/>
        <x:v/>
      </x:c>
      <x:c r="AF42" s="1260" t="str">
        <x:f t="shared" ca="1" si="95"/>
        <x:v/>
      </x:c>
      <x:c r="AG42" s="1261" t="str">
        <x:f t="shared" ca="1" si="96"/>
        <x:v/>
      </x:c>
      <x:c r="AH42" s="1262" t="str">
        <x:f t="shared" ca="1" si="97"/>
        <x:v/>
      </x:c>
      <x:c r="AI42" s="1261" t="str">
        <x:f t="shared" ca="1" si="98"/>
        <x:v/>
      </x:c>
      <x:c r="AJ42" s="1262" t="str">
        <x:f t="shared" ca="1" si="99"/>
        <x:v/>
      </x:c>
      <x:c r="AK42" s="1599" t="str">
        <x:f t="shared" si="6"/>
        <x:v/>
      </x:c>
      <x:c r="AL42" s="1600" t="str">
        <x:f t="shared" si="6"/>
        <x:v/>
      </x:c>
      <x:c r="AM42" s="1601" t="str">
        <x:f t="shared" si="6"/>
        <x:v/>
      </x:c>
      <x:c r="AN42" s="1260" t="str">
        <x:f t="shared" si="6"/>
        <x:v/>
      </x:c>
      <x:c r="AO42" s="1329" t="str">
        <x:f t="shared" si="6"/>
        <x:v/>
      </x:c>
      <x:c r="AP42" s="1327" t="str">
        <x:f t="shared" si="49"/>
        <x:v/>
      </x:c>
      <x:c r="AQ42" s="1602" t="str">
        <x:f t="shared" si="49"/>
        <x:v/>
      </x:c>
      <x:c r="AR42" s="1263" t="str">
        <x:f t="shared" si="64"/>
        <x:v/>
      </x:c>
      <x:c r="AS42" s="1262" t="str">
        <x:f t="shared" si="65"/>
        <x:v/>
      </x:c>
      <x:c r="AT42" s="1603" t="str">
        <x:f t="shared" si="7"/>
        <x:v/>
      </x:c>
      <x:c r="AU42" s="1410" t="str">
        <x:f t="shared" si="7"/>
        <x:v/>
      </x:c>
      <x:c r="AV42" s="1328" t="str">
        <x:f t="shared" si="8"/>
        <x:v/>
      </x:c>
      <x:c r="AW42" s="1262" t="str">
        <x:f t="shared" si="9"/>
        <x:v/>
      </x:c>
      <x:c r="AX42" s="1603" t="str">
        <x:f t="shared" si="10"/>
        <x:v/>
      </x:c>
      <x:c r="AY42" s="1410" t="str">
        <x:f t="shared" si="10"/>
        <x:v/>
      </x:c>
      <x:c r="AZ42" s="1328" t="str">
        <x:f t="shared" si="11"/>
        <x:v/>
      </x:c>
      <x:c r="BA42" s="1262" t="str">
        <x:f t="shared" si="12"/>
        <x:v/>
      </x:c>
      <x:c r="BB42" s="1603" t="str">
        <x:f t="shared" si="13"/>
        <x:v/>
      </x:c>
      <x:c r="BC42" s="1410" t="str">
        <x:f t="shared" si="13"/>
        <x:v/>
      </x:c>
      <x:c r="BD42" s="1328" t="str">
        <x:f t="shared" si="14"/>
        <x:v/>
      </x:c>
      <x:c r="BE42" s="1262" t="str">
        <x:f t="shared" si="15"/>
        <x:v/>
      </x:c>
      <x:c r="BF42" s="1603" t="str">
        <x:f t="shared" si="16"/>
        <x:v/>
      </x:c>
      <x:c r="BG42" s="1410" t="str">
        <x:f t="shared" si="16"/>
        <x:v/>
      </x:c>
      <x:c r="BH42" s="322"/>
      <x:c r="BJ42" s="1258" t="str">
        <x:f t="shared" si="60"/>
        <x:v/>
      </x:c>
      <x:c r="BK42" s="1256" t="b">
        <x:f t="shared" si="17"/>
        <x:v>0</x:v>
      </x:c>
      <x:c r="BL42" s="2002" t="b">
        <x:v>0</x:v>
      </x:c>
      <x:c r="BM42" s="1251">
        <x:f t="shared" si="18"/>
        <x:v>0</x:v>
      </x:c>
      <x:c r="BN42" s="1251">
        <x:f t="shared" si="19"/>
        <x:v>0</x:v>
      </x:c>
      <x:c r="BO42" s="1251">
        <x:f t="shared" si="20"/>
        <x:v>0</x:v>
      </x:c>
      <x:c r="BP42" s="1251">
        <x:f t="shared" si="21"/>
        <x:v>0</x:v>
      </x:c>
      <x:c r="BQ42" s="1251">
        <x:f t="shared" si="22"/>
        <x:v>0</x:v>
      </x:c>
      <x:c r="BR42" s="1251" t="b">
        <x:f t="shared" si="23"/>
        <x:v>1</x:v>
      </x:c>
      <x:c r="BS42" s="1252">
        <x:f t="shared" si="24"/>
        <x:v>6</x:v>
      </x:c>
      <x:c r="BT42" s="1252" t="str">
        <x:f t="shared" si="25"/>
        <x:v>No</x:v>
      </x:c>
      <x:c r="BU42" s="1252">
        <x:f t="shared" si="26"/>
        <x:v>6</x:v>
      </x:c>
      <x:c r="BV42" s="1252" t="str">
        <x:f t="shared" si="27"/>
        <x:v>No</x:v>
      </x:c>
      <x:c r="BW42" s="1253">
        <x:f t="shared" ca="1" si="28"/>
        <x:v>0</x:v>
      </x:c>
      <x:c r="BX42" s="1254" t="str">
        <x:f t="shared" ca="1" si="29"/>
        <x:v/>
      </x:c>
      <x:c r="BY42" s="1254" t="b">
        <x:f t="shared" ca="1" si="30"/>
        <x:v>0</x:v>
      </x:c>
      <x:c r="BZ42" s="1253" t="b">
        <x:f t="shared" si="50"/>
        <x:v>0</x:v>
      </x:c>
      <x:c r="CB42" s="842"/>
      <x:c r="CC42" s="894"/>
      <x:c r="CD42" s="883"/>
      <x:c r="CE42" s="884"/>
      <x:c r="CF42" s="885"/>
      <x:c r="CG42" s="901"/>
      <x:c r="CH42" s="902"/>
      <x:c r="CI42" s="903"/>
      <x:c r="CJ42" s="902"/>
      <x:c r="CK42" s="903"/>
      <x:c r="CL42" s="904"/>
      <x:c r="CM42" s="944"/>
      <x:c r="CN42" s="901"/>
      <x:c r="CO42" s="902"/>
      <x:c r="CP42" s="903"/>
      <x:c r="CQ42" s="902"/>
      <x:c r="CR42" s="903"/>
      <x:c r="CS42" s="904"/>
      <x:c r="CT42" s="944"/>
      <x:c r="CU42" s="906"/>
      <x:c r="CV42" s="886"/>
      <x:c r="CW42" s="887"/>
      <x:c r="CX42" s="915"/>
      <x:c r="CY42" s="916"/>
      <x:c r="CZ42" s="932"/>
      <x:c r="DA42" s="933"/>
      <x:c r="DB42" s="932"/>
      <x:c r="DC42" s="933"/>
      <x:c r="DD42" s="1149"/>
      <x:c r="DE42" s="1150"/>
      <x:c r="DF42" s="173"/>
      <x:c r="DG42" s="173"/>
      <x:c r="DH42" s="842"/>
      <x:c r="DI42" s="843"/>
      <x:c r="DJ42" s="872"/>
      <x:c r="DK42" s="873"/>
      <x:c r="DL42" s="844"/>
      <x:c r="DM42" s="874"/>
      <x:c r="DN42" s="875"/>
      <x:c r="DO42" s="845"/>
      <x:c r="DP42" s="846"/>
      <x:c r="DQ42" s="847"/>
      <x:c r="DR42" s="847"/>
      <x:c r="DS42" s="848"/>
      <x:c r="DT42" s="836"/>
      <x:c r="DU42" s="837"/>
      <x:c r="DV42" s="849"/>
      <x:c r="DW42" s="850"/>
      <x:c r="DX42" s="851"/>
      <x:c r="DY42" s="852"/>
      <x:c r="DZ42" s="849"/>
      <x:c r="EA42" s="850"/>
      <x:c r="EB42" s="851"/>
      <x:c r="EC42" s="852"/>
      <x:c r="ED42" s="849"/>
      <x:c r="EE42" s="850"/>
      <x:c r="EF42" s="851"/>
      <x:c r="EG42" s="852"/>
      <x:c r="EH42" s="849"/>
      <x:c r="EI42" s="850"/>
      <x:c r="EJ42" s="851"/>
      <x:c r="EK42" s="853"/>
      <x:c r="EL42" s="798" t="str">
        <x:f t="shared" si="31"/>
        <x:v/>
      </x:c>
      <x:c r="EM42" s="799" t="str">
        <x:f t="shared" si="32"/>
        <x:v/>
      </x:c>
      <x:c r="EN42" s="800" t="str">
        <x:f t="shared" si="33"/>
        <x:v/>
      </x:c>
      <x:c r="EO42" s="1030" t="str">
        <x:f t="shared" si="34"/>
        <x:v/>
      </x:c>
      <x:c r="EP42" s="726" t="str">
        <x:f t="shared" si="35"/>
        <x:v/>
      </x:c>
      <x:c r="EQ42" s="727" t="str">
        <x:f t="shared" si="36"/>
        <x:v/>
      </x:c>
      <x:c r="ER42" s="961" t="str">
        <x:f t="shared" si="37"/>
        <x:v/>
      </x:c>
      <x:c r="ES42" s="962" t="str">
        <x:f t="shared" si="51"/>
        <x:v/>
      </x:c>
      <x:c r="ET42" s="963" t="str">
        <x:f t="shared" si="38"/>
        <x:v/>
      </x:c>
      <x:c r="EU42" s="964" t="str">
        <x:f t="shared" si="39"/>
        <x:v/>
      </x:c>
      <x:c r="EX42" s="1194" t="str">
        <x:f t="shared" ca="1" si="52"/>
        <x:v/>
      </x:c>
      <x:c r="EY42" s="1196" t="str">
        <x:f t="shared" si="40"/>
        <x:v/>
      </x:c>
      <x:c r="EZ42" s="1196" t="str">
        <x:f t="shared" si="53"/>
        <x:v/>
      </x:c>
      <x:c r="FA42" s="1217" t="str">
        <x:f t="shared" ca="1" si="61"/>
        <x:v/>
      </x:c>
      <x:c r="FB42" s="1218" t="str">
        <x:f t="shared" ca="1" si="54"/>
        <x:v/>
      </x:c>
      <x:c r="FC42" s="1218">
        <x:f t="shared" ca="1" si="41"/>
        <x:v>0</x:v>
      </x:c>
      <x:c r="FD42" s="1218">
        <x:f t="shared" ca="1" si="42"/>
        <x:v>0</x:v>
      </x:c>
      <x:c r="FE42" s="1218">
        <x:f t="shared" ca="1" si="43"/>
        <x:v>0</x:v>
      </x:c>
      <x:c r="FF42" s="1218">
        <x:f t="shared" ca="1" si="55"/>
        <x:v>0</x:v>
      </x:c>
      <x:c r="FN42" s="969" t="b">
        <x:v>0</x:v>
      </x:c>
      <x:c r="FO42" s="969" t="b">
        <x:f t="shared" si="44"/>
        <x:v>1</x:v>
      </x:c>
      <x:c r="FP42" s="1815" t="b">
        <x:v>0</x:v>
      </x:c>
      <x:c r="FQ42" s="969" t="b">
        <x:f t="shared" si="56"/>
        <x:v>1</x:v>
      </x:c>
      <x:c r="GA42" s="1935" t="str">
        <x:f t="shared" si="89"/>
        <x:v/>
      </x:c>
      <x:c r="GB42" s="1936" t="str">
        <x:f t="shared" si="90"/>
        <x:v/>
      </x:c>
      <x:c r="GC42" s="1937" t="str">
        <x:f t="shared" si="91"/>
        <x:v/>
      </x:c>
      <x:c r="GD42" s="1938" t="str">
        <x:f t="shared" si="92"/>
        <x:v/>
      </x:c>
      <x:c r="GE42" s="1939" t="str">
        <x:f t="shared" si="45"/>
        <x:v/>
      </x:c>
      <x:c r="GF42" s="1940" t="str">
        <x:f t="shared" si="46"/>
        <x:v/>
      </x:c>
      <x:c r="GG42" s="1457"/>
      <x:c r="GH42" s="1459"/>
      <x:c r="GI42" s="1457"/>
      <x:c r="GJ42" s="1459"/>
      <x:c r="GK42" s="326">
        <x:f t="shared" si="47"/>
        <x:v>0</x:v>
      </x:c>
      <x:c r="GL42" s="326" t="e">
        <x:f t="shared" si="48"/>
        <x:v>#VALUE!</x:v>
      </x:c>
      <x:c r="GM42" s="327" t="e">
        <x:f>IF(ABS(GK42-GL42)&gt;='Job Info.'!$L$22,ABS(GK42-GL42),0)</x:f>
        <x:v>#VALUE!</x:v>
      </x:c>
      <x:c r="HA42" s="1612"/>
      <x:c r="HB42" s="1613"/>
      <x:c r="HC42" s="1613"/>
      <x:c r="HD42" s="1614"/>
      <x:c r="HE42" s="1615"/>
      <x:c r="HF42" s="1613"/>
      <x:c r="HG42" s="1613"/>
      <x:c r="HH42" s="1613"/>
      <x:c r="HI42" s="1613"/>
      <x:c r="HJ42" s="1613"/>
      <x:c r="HK42" s="1613"/>
      <x:c r="HL42" s="1613"/>
      <x:c r="HM42" s="1613"/>
      <x:c r="HN42" s="1613"/>
      <x:c r="HO42" s="1613"/>
      <x:c r="HP42" s="1613"/>
      <x:c r="HQ42" s="1613"/>
      <x:c r="HR42" s="1613"/>
      <x:c r="HS42" s="1613"/>
      <x:c r="HT42" s="1613"/>
      <x:c r="HU42" s="1613"/>
      <x:c r="HV42" s="1613"/>
      <x:c r="HW42" s="1613"/>
      <x:c r="HX42" s="1613"/>
      <x:c r="HY42" s="1617"/>
      <x:c r="HZ42" s="1617"/>
      <x:c r="IA42" s="1617"/>
      <x:c r="IB42" s="1617"/>
      <x:c r="IC42" s="1617"/>
      <x:c r="ID42" s="1632"/>
      <x:c r="IE42" s="1612"/>
      <x:c r="IF42" s="1613"/>
      <x:c r="IG42" s="1614"/>
      <x:c r="IH42" s="1615"/>
      <x:c r="II42" s="1613"/>
      <x:c r="IJ42" s="1614"/>
      <x:c r="IK42" s="1615"/>
      <x:c r="IL42" s="1613"/>
      <x:c r="IM42" s="1613"/>
      <x:c r="IN42" s="1613"/>
      <x:c r="IO42" s="1613"/>
      <x:c r="IP42" s="1613"/>
      <x:c r="IQ42" s="1613"/>
      <x:c r="IR42" s="1613"/>
      <x:c r="IS42" s="1614"/>
      <x:c r="IT42" s="1615"/>
      <x:c r="IU42" s="1613"/>
      <x:c r="IV42" s="1613"/>
      <x:c r="IW42" s="1614"/>
      <x:c r="IX42" s="1615"/>
      <x:c r="IY42" s="1613"/>
      <x:c r="IZ42" s="1613"/>
      <x:c r="JA42" s="1614"/>
      <x:c r="JB42" s="1615"/>
      <x:c r="JC42" s="1613"/>
      <x:c r="JD42" s="1613"/>
      <x:c r="JE42" s="1614"/>
      <x:c r="JF42" s="1615"/>
      <x:c r="JG42" s="1613"/>
      <x:c r="JH42" s="1613"/>
      <x:c r="JI42" s="1613"/>
      <x:c r="JJ42" s="1616"/>
      <x:c r="JK42" s="1613"/>
      <x:c r="JL42" s="1521">
        <x:f t="shared" ca="1" si="62"/>
        <x:v>0</x:v>
      </x:c>
    </x:row>
    <x:row r="43" spans="1:272" ht="12.6" customHeight="1" x14ac:dyDescent="0.25">
      <x:c r="A43" s="1583" t="str">
        <x:f t="shared" si="75"/>
        <x:v/>
      </x:c>
      <x:c r="B43" s="1584"/>
      <x:c r="C43" s="1585" t="str">
        <x:f t="shared" si="75"/>
        <x:v/>
      </x:c>
      <x:c r="D43" s="1586" t="str">
        <x:f t="shared" si="76"/>
        <x:v/>
      </x:c>
      <x:c r="E43" s="1587" t="str">
        <x:f t="shared" si="77"/>
        <x:v/>
      </x:c>
      <x:c r="F43" s="1588" t="str">
        <x:f t="shared" si="78"/>
        <x:v/>
      </x:c>
      <x:c r="G43" s="1589" t="str">
        <x:f t="shared" si="0"/>
        <x:v/>
      </x:c>
      <x:c r="H43" s="1590" t="str">
        <x:f t="shared" si="1"/>
        <x:v/>
      </x:c>
      <x:c r="I43" s="1591" t="str">
        <x:f t="shared" si="2"/>
        <x:v/>
      </x:c>
      <x:c r="J43" s="1586" t="str">
        <x:f t="shared" si="57"/>
        <x:v/>
      </x:c>
      <x:c r="K43" s="1590" t="str">
        <x:f t="shared" si="58"/>
        <x:v/>
      </x:c>
      <x:c r="L43" s="1592" t="str">
        <x:f t="shared" si="59"/>
        <x:v/>
      </x:c>
      <x:c r="M43" s="1593" t="str">
        <x:f t="shared" si="79"/>
        <x:v/>
      </x:c>
      <x:c r="N43" s="1594" t="str">
        <x:f t="shared" si="79"/>
        <x:v/>
      </x:c>
      <x:c r="O43" s="1589" t="str">
        <x:f t="shared" si="80"/>
        <x:v/>
      </x:c>
      <x:c r="P43" s="1590" t="str">
        <x:f t="shared" si="81"/>
        <x:v/>
      </x:c>
      <x:c r="Q43" s="1586" t="str">
        <x:f t="shared" si="82"/>
        <x:v/>
      </x:c>
      <x:c r="R43" s="1587" t="str">
        <x:f t="shared" si="83"/>
        <x:v/>
      </x:c>
      <x:c r="S43" s="1595" t="str">
        <x:f t="shared" si="84"/>
        <x:v/>
      </x:c>
      <x:c r="T43" s="1590" t="str">
        <x:f t="shared" si="85"/>
        <x:v/>
      </x:c>
      <x:c r="U43" s="1586" t="str">
        <x:f t="shared" si="86"/>
        <x:v/>
      </x:c>
      <x:c r="V43" s="1590" t="str">
        <x:f t="shared" si="87"/>
        <x:v/>
      </x:c>
      <x:c r="W43" s="1594">
        <x:f t="shared" si="88"/>
        <x:v>0</x:v>
      </x:c>
      <x:c r="X43" s="1596" t="str">
        <x:f t="shared" si="3"/>
        <x:v/>
      </x:c>
      <x:c r="Y43" s="1597" t="str">
        <x:f t="shared" si="4"/>
        <x:v/>
      </x:c>
      <x:c r="Z43" s="2088"/>
      <x:c r="AA43" s="1605" t="str">
        <x:f t="shared" si="5"/>
        <x:v/>
      </x:c>
      <x:c r="AB43" s="1264" t="str">
        <x:f t="shared" si="63"/>
        <x:v/>
      </x:c>
      <x:c r="AC43" s="1260" t="str">
        <x:f t="shared" si="63"/>
        <x:v/>
      </x:c>
      <x:c r="AD43" s="1261" t="str">
        <x:f t="shared" ca="1" si="93"/>
        <x:v/>
      </x:c>
      <x:c r="AE43" s="1262" t="str">
        <x:f t="shared" ca="1" si="94"/>
        <x:v/>
      </x:c>
      <x:c r="AF43" s="1260" t="str">
        <x:f t="shared" ca="1" si="95"/>
        <x:v/>
      </x:c>
      <x:c r="AG43" s="1261" t="str">
        <x:f t="shared" ca="1" si="96"/>
        <x:v/>
      </x:c>
      <x:c r="AH43" s="1262" t="str">
        <x:f t="shared" ca="1" si="97"/>
        <x:v/>
      </x:c>
      <x:c r="AI43" s="1261" t="str">
        <x:f t="shared" ca="1" si="98"/>
        <x:v/>
      </x:c>
      <x:c r="AJ43" s="1262" t="str">
        <x:f t="shared" ca="1" si="99"/>
        <x:v/>
      </x:c>
      <x:c r="AK43" s="1599" t="str">
        <x:f t="shared" si="6"/>
        <x:v/>
      </x:c>
      <x:c r="AL43" s="1600" t="str">
        <x:f t="shared" si="6"/>
        <x:v/>
      </x:c>
      <x:c r="AM43" s="1601" t="str">
        <x:f t="shared" si="6"/>
        <x:v/>
      </x:c>
      <x:c r="AN43" s="1260" t="str">
        <x:f t="shared" si="6"/>
        <x:v/>
      </x:c>
      <x:c r="AO43" s="1329" t="str">
        <x:f t="shared" si="6"/>
        <x:v/>
      </x:c>
      <x:c r="AP43" s="1327" t="str">
        <x:f t="shared" si="49"/>
        <x:v/>
      </x:c>
      <x:c r="AQ43" s="1602" t="str">
        <x:f t="shared" si="49"/>
        <x:v/>
      </x:c>
      <x:c r="AR43" s="1263" t="str">
        <x:f t="shared" si="64"/>
        <x:v/>
      </x:c>
      <x:c r="AS43" s="1262" t="str">
        <x:f t="shared" si="65"/>
        <x:v/>
      </x:c>
      <x:c r="AT43" s="1603" t="str">
        <x:f t="shared" si="7"/>
        <x:v/>
      </x:c>
      <x:c r="AU43" s="1410" t="str">
        <x:f t="shared" si="7"/>
        <x:v/>
      </x:c>
      <x:c r="AV43" s="1328" t="str">
        <x:f t="shared" si="8"/>
        <x:v/>
      </x:c>
      <x:c r="AW43" s="1262" t="str">
        <x:f t="shared" si="9"/>
        <x:v/>
      </x:c>
      <x:c r="AX43" s="1603" t="str">
        <x:f t="shared" si="10"/>
        <x:v/>
      </x:c>
      <x:c r="AY43" s="1410" t="str">
        <x:f t="shared" si="10"/>
        <x:v/>
      </x:c>
      <x:c r="AZ43" s="1328" t="str">
        <x:f t="shared" si="11"/>
        <x:v/>
      </x:c>
      <x:c r="BA43" s="1262" t="str">
        <x:f t="shared" si="12"/>
        <x:v/>
      </x:c>
      <x:c r="BB43" s="1603" t="str">
        <x:f t="shared" si="13"/>
        <x:v/>
      </x:c>
      <x:c r="BC43" s="1410" t="str">
        <x:f t="shared" si="13"/>
        <x:v/>
      </x:c>
      <x:c r="BD43" s="1328" t="str">
        <x:f t="shared" si="14"/>
        <x:v/>
      </x:c>
      <x:c r="BE43" s="1262" t="str">
        <x:f t="shared" si="15"/>
        <x:v/>
      </x:c>
      <x:c r="BF43" s="1603" t="str">
        <x:f t="shared" si="16"/>
        <x:v/>
      </x:c>
      <x:c r="BG43" s="1410" t="str">
        <x:f t="shared" si="16"/>
        <x:v/>
      </x:c>
      <x:c r="BH43" s="322"/>
      <x:c r="BJ43" s="1258" t="str">
        <x:f t="shared" si="60"/>
        <x:v/>
      </x:c>
      <x:c r="BK43" s="1256" t="b">
        <x:f t="shared" si="17"/>
        <x:v>0</x:v>
      </x:c>
      <x:c r="BL43" s="2002" t="b">
        <x:v>0</x:v>
      </x:c>
      <x:c r="BM43" s="1251">
        <x:f t="shared" si="18"/>
        <x:v>0</x:v>
      </x:c>
      <x:c r="BN43" s="1251">
        <x:f t="shared" si="19"/>
        <x:v>0</x:v>
      </x:c>
      <x:c r="BO43" s="1251">
        <x:f t="shared" si="20"/>
        <x:v>0</x:v>
      </x:c>
      <x:c r="BP43" s="1251">
        <x:f t="shared" si="21"/>
        <x:v>0</x:v>
      </x:c>
      <x:c r="BQ43" s="1251">
        <x:f t="shared" si="22"/>
        <x:v>0</x:v>
      </x:c>
      <x:c r="BR43" s="1251" t="b">
        <x:f t="shared" si="23"/>
        <x:v>1</x:v>
      </x:c>
      <x:c r="BS43" s="1252">
        <x:f t="shared" si="24"/>
        <x:v>6</x:v>
      </x:c>
      <x:c r="BT43" s="1252" t="str">
        <x:f t="shared" si="25"/>
        <x:v>No</x:v>
      </x:c>
      <x:c r="BU43" s="1252">
        <x:f t="shared" si="26"/>
        <x:v>6</x:v>
      </x:c>
      <x:c r="BV43" s="1252" t="str">
        <x:f t="shared" si="27"/>
        <x:v>No</x:v>
      </x:c>
      <x:c r="BW43" s="1253">
        <x:f t="shared" ca="1" si="28"/>
        <x:v>0</x:v>
      </x:c>
      <x:c r="BX43" s="1254" t="str">
        <x:f t="shared" ca="1" si="29"/>
        <x:v/>
      </x:c>
      <x:c r="BY43" s="1254" t="b">
        <x:f t="shared" ca="1" si="30"/>
        <x:v>0</x:v>
      </x:c>
      <x:c r="BZ43" s="1253" t="b">
        <x:f t="shared" si="50"/>
        <x:v>0</x:v>
      </x:c>
      <x:c r="CB43" s="842"/>
      <x:c r="CC43" s="894"/>
      <x:c r="CD43" s="883"/>
      <x:c r="CE43" s="884"/>
      <x:c r="CF43" s="885"/>
      <x:c r="CG43" s="901"/>
      <x:c r="CH43" s="902"/>
      <x:c r="CI43" s="903"/>
      <x:c r="CJ43" s="902"/>
      <x:c r="CK43" s="903"/>
      <x:c r="CL43" s="904"/>
      <x:c r="CM43" s="944"/>
      <x:c r="CN43" s="901"/>
      <x:c r="CO43" s="902"/>
      <x:c r="CP43" s="903"/>
      <x:c r="CQ43" s="902"/>
      <x:c r="CR43" s="903"/>
      <x:c r="CS43" s="904"/>
      <x:c r="CT43" s="944"/>
      <x:c r="CU43" s="906"/>
      <x:c r="CV43" s="886"/>
      <x:c r="CW43" s="887"/>
      <x:c r="CX43" s="915"/>
      <x:c r="CY43" s="916"/>
      <x:c r="CZ43" s="932"/>
      <x:c r="DA43" s="933"/>
      <x:c r="DB43" s="932"/>
      <x:c r="DC43" s="933"/>
      <x:c r="DD43" s="1149"/>
      <x:c r="DE43" s="1150"/>
      <x:c r="DF43" s="173"/>
      <x:c r="DG43" s="173"/>
      <x:c r="DH43" s="842"/>
      <x:c r="DI43" s="843"/>
      <x:c r="DJ43" s="872"/>
      <x:c r="DK43" s="873"/>
      <x:c r="DL43" s="844"/>
      <x:c r="DM43" s="874"/>
      <x:c r="DN43" s="875"/>
      <x:c r="DO43" s="845"/>
      <x:c r="DP43" s="846"/>
      <x:c r="DQ43" s="847"/>
      <x:c r="DR43" s="847"/>
      <x:c r="DS43" s="848"/>
      <x:c r="DT43" s="836"/>
      <x:c r="DU43" s="837"/>
      <x:c r="DV43" s="849"/>
      <x:c r="DW43" s="850"/>
      <x:c r="DX43" s="851"/>
      <x:c r="DY43" s="852"/>
      <x:c r="DZ43" s="849"/>
      <x:c r="EA43" s="850"/>
      <x:c r="EB43" s="851"/>
      <x:c r="EC43" s="852"/>
      <x:c r="ED43" s="849"/>
      <x:c r="EE43" s="850"/>
      <x:c r="EF43" s="851"/>
      <x:c r="EG43" s="852"/>
      <x:c r="EH43" s="849"/>
      <x:c r="EI43" s="850"/>
      <x:c r="EJ43" s="851"/>
      <x:c r="EK43" s="853"/>
      <x:c r="EL43" s="798" t="str">
        <x:f t="shared" si="31"/>
        <x:v/>
      </x:c>
      <x:c r="EM43" s="799" t="str">
        <x:f t="shared" si="32"/>
        <x:v/>
      </x:c>
      <x:c r="EN43" s="800" t="str">
        <x:f t="shared" si="33"/>
        <x:v/>
      </x:c>
      <x:c r="EO43" s="1030" t="str">
        <x:f t="shared" si="34"/>
        <x:v/>
      </x:c>
      <x:c r="EP43" s="726" t="str">
        <x:f t="shared" si="35"/>
        <x:v/>
      </x:c>
      <x:c r="EQ43" s="727" t="str">
        <x:f t="shared" si="36"/>
        <x:v/>
      </x:c>
      <x:c r="ER43" s="961" t="str">
        <x:f t="shared" si="37"/>
        <x:v/>
      </x:c>
      <x:c r="ES43" s="962" t="str">
        <x:f t="shared" si="51"/>
        <x:v/>
      </x:c>
      <x:c r="ET43" s="963" t="str">
        <x:f t="shared" si="38"/>
        <x:v/>
      </x:c>
      <x:c r="EU43" s="964" t="str">
        <x:f t="shared" si="39"/>
        <x:v/>
      </x:c>
      <x:c r="EX43" s="1194" t="str">
        <x:f t="shared" ca="1" si="52"/>
        <x:v/>
      </x:c>
      <x:c r="EY43" s="1196" t="str">
        <x:f t="shared" si="40"/>
        <x:v/>
      </x:c>
      <x:c r="EZ43" s="1196" t="str">
        <x:f t="shared" si="53"/>
        <x:v/>
      </x:c>
      <x:c r="FA43" s="1217" t="str">
        <x:f t="shared" ca="1" si="61"/>
        <x:v/>
      </x:c>
      <x:c r="FB43" s="1218" t="str">
        <x:f t="shared" ca="1" si="54"/>
        <x:v/>
      </x:c>
      <x:c r="FC43" s="1218">
        <x:f t="shared" ca="1" si="41"/>
        <x:v>0</x:v>
      </x:c>
      <x:c r="FD43" s="1218">
        <x:f t="shared" ca="1" si="42"/>
        <x:v>0</x:v>
      </x:c>
      <x:c r="FE43" s="1218">
        <x:f t="shared" ca="1" si="43"/>
        <x:v>0</x:v>
      </x:c>
      <x:c r="FF43" s="1218">
        <x:f t="shared" ca="1" si="55"/>
        <x:v>0</x:v>
      </x:c>
      <x:c r="FN43" s="969" t="b">
        <x:v>0</x:v>
      </x:c>
      <x:c r="FO43" s="969" t="b">
        <x:f t="shared" si="44"/>
        <x:v>1</x:v>
      </x:c>
      <x:c r="FP43" s="1815" t="b">
        <x:v>0</x:v>
      </x:c>
      <x:c r="FQ43" s="969" t="b">
        <x:f t="shared" si="56"/>
        <x:v>1</x:v>
      </x:c>
      <x:c r="GA43" s="1935" t="str">
        <x:f t="shared" si="89"/>
        <x:v/>
      </x:c>
      <x:c r="GB43" s="1936" t="str">
        <x:f t="shared" si="90"/>
        <x:v/>
      </x:c>
      <x:c r="GC43" s="1937" t="str">
        <x:f t="shared" si="91"/>
        <x:v/>
      </x:c>
      <x:c r="GD43" s="1938" t="str">
        <x:f t="shared" si="92"/>
        <x:v/>
      </x:c>
      <x:c r="GE43" s="1939" t="str">
        <x:f t="shared" si="45"/>
        <x:v/>
      </x:c>
      <x:c r="GF43" s="1940" t="str">
        <x:f t="shared" si="46"/>
        <x:v/>
      </x:c>
      <x:c r="GG43" s="1457"/>
      <x:c r="GH43" s="1459"/>
      <x:c r="GI43" s="1457"/>
      <x:c r="GJ43" s="1459"/>
      <x:c r="GK43" s="326">
        <x:f t="shared" si="47"/>
        <x:v>0</x:v>
      </x:c>
      <x:c r="GL43" s="326" t="e">
        <x:f t="shared" si="48"/>
        <x:v>#VALUE!</x:v>
      </x:c>
      <x:c r="GM43" s="327" t="e">
        <x:f>IF(ABS(GK43-GL43)&gt;='Job Info.'!$L$22,ABS(GK43-GL43),0)</x:f>
        <x:v>#VALUE!</x:v>
      </x:c>
      <x:c r="HA43" s="1612"/>
      <x:c r="HB43" s="1613"/>
      <x:c r="HC43" s="1613"/>
      <x:c r="HD43" s="1614"/>
      <x:c r="HE43" s="1615"/>
      <x:c r="HF43" s="1613"/>
      <x:c r="HG43" s="1613"/>
      <x:c r="HH43" s="1613"/>
      <x:c r="HI43" s="1613"/>
      <x:c r="HJ43" s="1613"/>
      <x:c r="HK43" s="1613"/>
      <x:c r="HL43" s="1613"/>
      <x:c r="HM43" s="1613"/>
      <x:c r="HN43" s="1613"/>
      <x:c r="HO43" s="1613"/>
      <x:c r="HP43" s="1613"/>
      <x:c r="HQ43" s="1613"/>
      <x:c r="HR43" s="1613"/>
      <x:c r="HS43" s="1613"/>
      <x:c r="HT43" s="1613"/>
      <x:c r="HU43" s="1613"/>
      <x:c r="HV43" s="1613"/>
      <x:c r="HW43" s="1613"/>
      <x:c r="HX43" s="1613"/>
      <x:c r="HY43" s="1617"/>
      <x:c r="HZ43" s="1617"/>
      <x:c r="IA43" s="1617"/>
      <x:c r="IB43" s="1617"/>
      <x:c r="IC43" s="1617"/>
      <x:c r="ID43" s="1632"/>
      <x:c r="IE43" s="1612"/>
      <x:c r="IF43" s="1613"/>
      <x:c r="IG43" s="1614"/>
      <x:c r="IH43" s="1615"/>
      <x:c r="II43" s="1613"/>
      <x:c r="IJ43" s="1614"/>
      <x:c r="IK43" s="1615"/>
      <x:c r="IL43" s="1613"/>
      <x:c r="IM43" s="1613"/>
      <x:c r="IN43" s="1613"/>
      <x:c r="IO43" s="1613"/>
      <x:c r="IP43" s="1613"/>
      <x:c r="IQ43" s="1613"/>
      <x:c r="IR43" s="1613"/>
      <x:c r="IS43" s="1614"/>
      <x:c r="IT43" s="1615"/>
      <x:c r="IU43" s="1613"/>
      <x:c r="IV43" s="1613"/>
      <x:c r="IW43" s="1614"/>
      <x:c r="IX43" s="1615"/>
      <x:c r="IY43" s="1613"/>
      <x:c r="IZ43" s="1613"/>
      <x:c r="JA43" s="1614"/>
      <x:c r="JB43" s="1615"/>
      <x:c r="JC43" s="1613"/>
      <x:c r="JD43" s="1613"/>
      <x:c r="JE43" s="1614"/>
      <x:c r="JF43" s="1615"/>
      <x:c r="JG43" s="1613"/>
      <x:c r="JH43" s="1613"/>
      <x:c r="JI43" s="1613"/>
      <x:c r="JJ43" s="1616"/>
      <x:c r="JK43" s="1613"/>
      <x:c r="JL43" s="1521">
        <x:f t="shared" ca="1" si="62"/>
        <x:v>0</x:v>
      </x:c>
    </x:row>
    <x:row r="44" spans="1:272" ht="12.6" customHeight="1" x14ac:dyDescent="0.25">
      <x:c r="A44" s="1583" t="str">
        <x:f t="shared" si="75"/>
        <x:v/>
      </x:c>
      <x:c r="B44" s="1584"/>
      <x:c r="C44" s="1585" t="str">
        <x:f t="shared" si="75"/>
        <x:v/>
      </x:c>
      <x:c r="D44" s="1586" t="str">
        <x:f t="shared" si="76"/>
        <x:v/>
      </x:c>
      <x:c r="E44" s="1587" t="str">
        <x:f t="shared" si="77"/>
        <x:v/>
      </x:c>
      <x:c r="F44" s="1588" t="str">
        <x:f t="shared" si="78"/>
        <x:v/>
      </x:c>
      <x:c r="G44" s="1589" t="str">
        <x:f t="shared" si="0"/>
        <x:v/>
      </x:c>
      <x:c r="H44" s="1590" t="str">
        <x:f t="shared" si="1"/>
        <x:v/>
      </x:c>
      <x:c r="I44" s="1591" t="str">
        <x:f t="shared" si="2"/>
        <x:v/>
      </x:c>
      <x:c r="J44" s="1586" t="str">
        <x:f t="shared" si="57"/>
        <x:v/>
      </x:c>
      <x:c r="K44" s="1590" t="str">
        <x:f t="shared" si="58"/>
        <x:v/>
      </x:c>
      <x:c r="L44" s="1592" t="str">
        <x:f t="shared" si="59"/>
        <x:v/>
      </x:c>
      <x:c r="M44" s="1593" t="str">
        <x:f t="shared" si="79"/>
        <x:v/>
      </x:c>
      <x:c r="N44" s="1594" t="str">
        <x:f t="shared" si="79"/>
        <x:v/>
      </x:c>
      <x:c r="O44" s="1589" t="str">
        <x:f t="shared" si="80"/>
        <x:v/>
      </x:c>
      <x:c r="P44" s="1590" t="str">
        <x:f t="shared" si="81"/>
        <x:v/>
      </x:c>
      <x:c r="Q44" s="1586" t="str">
        <x:f t="shared" si="82"/>
        <x:v/>
      </x:c>
      <x:c r="R44" s="1587" t="str">
        <x:f t="shared" si="83"/>
        <x:v/>
      </x:c>
      <x:c r="S44" s="1595" t="str">
        <x:f t="shared" si="84"/>
        <x:v/>
      </x:c>
      <x:c r="T44" s="1590" t="str">
        <x:f t="shared" si="85"/>
        <x:v/>
      </x:c>
      <x:c r="U44" s="1586" t="str">
        <x:f t="shared" si="86"/>
        <x:v/>
      </x:c>
      <x:c r="V44" s="1590" t="str">
        <x:f t="shared" si="87"/>
        <x:v/>
      </x:c>
      <x:c r="W44" s="1594">
        <x:f t="shared" si="88"/>
        <x:v>0</x:v>
      </x:c>
      <x:c r="X44" s="1596" t="str">
        <x:f t="shared" si="3"/>
        <x:v/>
      </x:c>
      <x:c r="Y44" s="1597" t="str">
        <x:f t="shared" si="4"/>
        <x:v/>
      </x:c>
      <x:c r="Z44" s="2088"/>
      <x:c r="AA44" s="1605" t="str">
        <x:f t="shared" si="5"/>
        <x:v/>
      </x:c>
      <x:c r="AB44" s="1264" t="str">
        <x:f t="shared" si="63"/>
        <x:v/>
      </x:c>
      <x:c r="AC44" s="1260" t="str">
        <x:f t="shared" si="63"/>
        <x:v/>
      </x:c>
      <x:c r="AD44" s="1261" t="str">
        <x:f t="shared" ca="1" si="93"/>
        <x:v/>
      </x:c>
      <x:c r="AE44" s="1262" t="str">
        <x:f t="shared" ca="1" si="94"/>
        <x:v/>
      </x:c>
      <x:c r="AF44" s="1260" t="str">
        <x:f t="shared" ca="1" si="95"/>
        <x:v/>
      </x:c>
      <x:c r="AG44" s="1261" t="str">
        <x:f t="shared" ca="1" si="96"/>
        <x:v/>
      </x:c>
      <x:c r="AH44" s="1262" t="str">
        <x:f t="shared" ca="1" si="97"/>
        <x:v/>
      </x:c>
      <x:c r="AI44" s="1261" t="str">
        <x:f t="shared" ca="1" si="98"/>
        <x:v/>
      </x:c>
      <x:c r="AJ44" s="1262" t="str">
        <x:f t="shared" ca="1" si="99"/>
        <x:v/>
      </x:c>
      <x:c r="AK44" s="1599" t="str">
        <x:f t="shared" si="6"/>
        <x:v/>
      </x:c>
      <x:c r="AL44" s="1600" t="str">
        <x:f t="shared" si="6"/>
        <x:v/>
      </x:c>
      <x:c r="AM44" s="1601" t="str">
        <x:f t="shared" si="6"/>
        <x:v/>
      </x:c>
      <x:c r="AN44" s="1260" t="str">
        <x:f t="shared" si="6"/>
        <x:v/>
      </x:c>
      <x:c r="AO44" s="1329" t="str">
        <x:f t="shared" si="6"/>
        <x:v/>
      </x:c>
      <x:c r="AP44" s="1327" t="str">
        <x:f t="shared" si="49"/>
        <x:v/>
      </x:c>
      <x:c r="AQ44" s="1602" t="str">
        <x:f t="shared" si="49"/>
        <x:v/>
      </x:c>
      <x:c r="AR44" s="1263" t="str">
        <x:f t="shared" si="64"/>
        <x:v/>
      </x:c>
      <x:c r="AS44" s="1262" t="str">
        <x:f t="shared" si="65"/>
        <x:v/>
      </x:c>
      <x:c r="AT44" s="1603" t="str">
        <x:f t="shared" si="7"/>
        <x:v/>
      </x:c>
      <x:c r="AU44" s="1410" t="str">
        <x:f t="shared" si="7"/>
        <x:v/>
      </x:c>
      <x:c r="AV44" s="1328" t="str">
        <x:f t="shared" si="8"/>
        <x:v/>
      </x:c>
      <x:c r="AW44" s="1262" t="str">
        <x:f t="shared" si="9"/>
        <x:v/>
      </x:c>
      <x:c r="AX44" s="1603" t="str">
        <x:f t="shared" si="10"/>
        <x:v/>
      </x:c>
      <x:c r="AY44" s="1410" t="str">
        <x:f t="shared" si="10"/>
        <x:v/>
      </x:c>
      <x:c r="AZ44" s="1328" t="str">
        <x:f t="shared" si="11"/>
        <x:v/>
      </x:c>
      <x:c r="BA44" s="1262" t="str">
        <x:f t="shared" si="12"/>
        <x:v/>
      </x:c>
      <x:c r="BB44" s="1603" t="str">
        <x:f t="shared" si="13"/>
        <x:v/>
      </x:c>
      <x:c r="BC44" s="1410" t="str">
        <x:f t="shared" si="13"/>
        <x:v/>
      </x:c>
      <x:c r="BD44" s="1328" t="str">
        <x:f t="shared" si="14"/>
        <x:v/>
      </x:c>
      <x:c r="BE44" s="1262" t="str">
        <x:f t="shared" si="15"/>
        <x:v/>
      </x:c>
      <x:c r="BF44" s="1603" t="str">
        <x:f t="shared" si="16"/>
        <x:v/>
      </x:c>
      <x:c r="BG44" s="1410" t="str">
        <x:f t="shared" si="16"/>
        <x:v/>
      </x:c>
      <x:c r="BH44" s="322"/>
      <x:c r="BJ44" s="1258" t="str">
        <x:f t="shared" si="60"/>
        <x:v/>
      </x:c>
      <x:c r="BK44" s="1256" t="b">
        <x:f t="shared" si="17"/>
        <x:v>0</x:v>
      </x:c>
      <x:c r="BL44" s="2002" t="b">
        <x:v>0</x:v>
      </x:c>
      <x:c r="BM44" s="1251">
        <x:f t="shared" si="18"/>
        <x:v>0</x:v>
      </x:c>
      <x:c r="BN44" s="1251">
        <x:f t="shared" si="19"/>
        <x:v>0</x:v>
      </x:c>
      <x:c r="BO44" s="1251">
        <x:f t="shared" si="20"/>
        <x:v>0</x:v>
      </x:c>
      <x:c r="BP44" s="1251">
        <x:f t="shared" si="21"/>
        <x:v>0</x:v>
      </x:c>
      <x:c r="BQ44" s="1251">
        <x:f t="shared" si="22"/>
        <x:v>0</x:v>
      </x:c>
      <x:c r="BR44" s="1251" t="b">
        <x:f t="shared" si="23"/>
        <x:v>1</x:v>
      </x:c>
      <x:c r="BS44" s="1252">
        <x:f t="shared" si="24"/>
        <x:v>6</x:v>
      </x:c>
      <x:c r="BT44" s="1252" t="str">
        <x:f t="shared" si="25"/>
        <x:v>No</x:v>
      </x:c>
      <x:c r="BU44" s="1252">
        <x:f t="shared" si="26"/>
        <x:v>6</x:v>
      </x:c>
      <x:c r="BV44" s="1252" t="str">
        <x:f t="shared" si="27"/>
        <x:v>No</x:v>
      </x:c>
      <x:c r="BW44" s="1253">
        <x:f t="shared" ca="1" si="28"/>
        <x:v>0</x:v>
      </x:c>
      <x:c r="BX44" s="1254" t="str">
        <x:f t="shared" ca="1" si="29"/>
        <x:v/>
      </x:c>
      <x:c r="BY44" s="1254" t="b">
        <x:f t="shared" ca="1" si="30"/>
        <x:v>0</x:v>
      </x:c>
      <x:c r="BZ44" s="1253" t="b">
        <x:f t="shared" si="50"/>
        <x:v>0</x:v>
      </x:c>
      <x:c r="CB44" s="842"/>
      <x:c r="CC44" s="894"/>
      <x:c r="CD44" s="883"/>
      <x:c r="CE44" s="884"/>
      <x:c r="CF44" s="885"/>
      <x:c r="CG44" s="901"/>
      <x:c r="CH44" s="902"/>
      <x:c r="CI44" s="903"/>
      <x:c r="CJ44" s="902"/>
      <x:c r="CK44" s="903"/>
      <x:c r="CL44" s="904"/>
      <x:c r="CM44" s="944"/>
      <x:c r="CN44" s="901"/>
      <x:c r="CO44" s="902"/>
      <x:c r="CP44" s="903"/>
      <x:c r="CQ44" s="902"/>
      <x:c r="CR44" s="903"/>
      <x:c r="CS44" s="904"/>
      <x:c r="CT44" s="944"/>
      <x:c r="CU44" s="906"/>
      <x:c r="CV44" s="886"/>
      <x:c r="CW44" s="887"/>
      <x:c r="CX44" s="915"/>
      <x:c r="CY44" s="916"/>
      <x:c r="CZ44" s="932"/>
      <x:c r="DA44" s="933"/>
      <x:c r="DB44" s="932"/>
      <x:c r="DC44" s="933"/>
      <x:c r="DD44" s="1149"/>
      <x:c r="DE44" s="1150"/>
      <x:c r="DF44" s="173"/>
      <x:c r="DG44" s="173"/>
      <x:c r="DH44" s="842"/>
      <x:c r="DI44" s="843"/>
      <x:c r="DJ44" s="872"/>
      <x:c r="DK44" s="873"/>
      <x:c r="DL44" s="844"/>
      <x:c r="DM44" s="874"/>
      <x:c r="DN44" s="875"/>
      <x:c r="DO44" s="845"/>
      <x:c r="DP44" s="846"/>
      <x:c r="DQ44" s="847"/>
      <x:c r="DR44" s="847"/>
      <x:c r="DS44" s="848"/>
      <x:c r="DT44" s="836"/>
      <x:c r="DU44" s="837"/>
      <x:c r="DV44" s="849"/>
      <x:c r="DW44" s="850"/>
      <x:c r="DX44" s="851"/>
      <x:c r="DY44" s="852"/>
      <x:c r="DZ44" s="849"/>
      <x:c r="EA44" s="850"/>
      <x:c r="EB44" s="851"/>
      <x:c r="EC44" s="852"/>
      <x:c r="ED44" s="849"/>
      <x:c r="EE44" s="850"/>
      <x:c r="EF44" s="851"/>
      <x:c r="EG44" s="852"/>
      <x:c r="EH44" s="849"/>
      <x:c r="EI44" s="850"/>
      <x:c r="EJ44" s="851"/>
      <x:c r="EK44" s="853"/>
      <x:c r="EL44" s="798" t="str">
        <x:f t="shared" si="31"/>
        <x:v/>
      </x:c>
      <x:c r="EM44" s="799" t="str">
        <x:f t="shared" si="32"/>
        <x:v/>
      </x:c>
      <x:c r="EN44" s="800" t="str">
        <x:f t="shared" si="33"/>
        <x:v/>
      </x:c>
      <x:c r="EO44" s="1030" t="str">
        <x:f t="shared" si="34"/>
        <x:v/>
      </x:c>
      <x:c r="EP44" s="726" t="str">
        <x:f t="shared" si="35"/>
        <x:v/>
      </x:c>
      <x:c r="EQ44" s="727" t="str">
        <x:f t="shared" si="36"/>
        <x:v/>
      </x:c>
      <x:c r="ER44" s="961" t="str">
        <x:f t="shared" si="37"/>
        <x:v/>
      </x:c>
      <x:c r="ES44" s="962" t="str">
        <x:f t="shared" si="51"/>
        <x:v/>
      </x:c>
      <x:c r="ET44" s="963" t="str">
        <x:f t="shared" si="38"/>
        <x:v/>
      </x:c>
      <x:c r="EU44" s="964" t="str">
        <x:f t="shared" si="39"/>
        <x:v/>
      </x:c>
      <x:c r="EX44" s="1194" t="str">
        <x:f t="shared" ca="1" si="52"/>
        <x:v/>
      </x:c>
      <x:c r="EY44" s="1196" t="str">
        <x:f t="shared" si="40"/>
        <x:v/>
      </x:c>
      <x:c r="EZ44" s="1196" t="str">
        <x:f t="shared" si="53"/>
        <x:v/>
      </x:c>
      <x:c r="FA44" s="1217" t="str">
        <x:f t="shared" ca="1" si="61"/>
        <x:v/>
      </x:c>
      <x:c r="FB44" s="1218" t="str">
        <x:f t="shared" ca="1" si="54"/>
        <x:v/>
      </x:c>
      <x:c r="FC44" s="1218">
        <x:f t="shared" ca="1" si="41"/>
        <x:v>0</x:v>
      </x:c>
      <x:c r="FD44" s="1218">
        <x:f t="shared" ca="1" si="42"/>
        <x:v>0</x:v>
      </x:c>
      <x:c r="FE44" s="1218">
        <x:f t="shared" ca="1" si="43"/>
        <x:v>0</x:v>
      </x:c>
      <x:c r="FF44" s="1218">
        <x:f t="shared" ca="1" si="55"/>
        <x:v>0</x:v>
      </x:c>
      <x:c r="FN44" s="969" t="b">
        <x:v>0</x:v>
      </x:c>
      <x:c r="FO44" s="969" t="b">
        <x:f t="shared" si="44"/>
        <x:v>1</x:v>
      </x:c>
      <x:c r="FP44" s="1815" t="b">
        <x:v>0</x:v>
      </x:c>
      <x:c r="FQ44" s="969" t="b">
        <x:f t="shared" si="56"/>
        <x:v>1</x:v>
      </x:c>
      <x:c r="GA44" s="1935" t="str">
        <x:f t="shared" si="89"/>
        <x:v/>
      </x:c>
      <x:c r="GB44" s="1936" t="str">
        <x:f t="shared" si="90"/>
        <x:v/>
      </x:c>
      <x:c r="GC44" s="1937" t="str">
        <x:f t="shared" si="91"/>
        <x:v/>
      </x:c>
      <x:c r="GD44" s="1938" t="str">
        <x:f t="shared" si="92"/>
        <x:v/>
      </x:c>
      <x:c r="GE44" s="1939" t="str">
        <x:f t="shared" si="45"/>
        <x:v/>
      </x:c>
      <x:c r="GF44" s="1940" t="str">
        <x:f t="shared" si="46"/>
        <x:v/>
      </x:c>
      <x:c r="GG44" s="1457"/>
      <x:c r="GH44" s="1459"/>
      <x:c r="GI44" s="1457"/>
      <x:c r="GJ44" s="1459"/>
      <x:c r="GK44" s="326">
        <x:f t="shared" si="47"/>
        <x:v>0</x:v>
      </x:c>
      <x:c r="GL44" s="326" t="e">
        <x:f t="shared" si="48"/>
        <x:v>#VALUE!</x:v>
      </x:c>
      <x:c r="GM44" s="327" t="e">
        <x:f>IF(ABS(GK44-GL44)&gt;='Job Info.'!$L$22,ABS(GK44-GL44),0)</x:f>
        <x:v>#VALUE!</x:v>
      </x:c>
      <x:c r="GN44" s="171"/>
      <x:c r="GO44" s="172"/>
      <x:c r="GP44" s="174"/>
      <x:c r="HA44" s="1612"/>
      <x:c r="HB44" s="1613"/>
      <x:c r="HC44" s="1613"/>
      <x:c r="HD44" s="1614"/>
      <x:c r="HE44" s="1615"/>
      <x:c r="HF44" s="1613"/>
      <x:c r="HG44" s="1613"/>
      <x:c r="HH44" s="1613"/>
      <x:c r="HI44" s="1613"/>
      <x:c r="HJ44" s="1613"/>
      <x:c r="HK44" s="1613"/>
      <x:c r="HL44" s="1613"/>
      <x:c r="HM44" s="1613"/>
      <x:c r="HN44" s="1613"/>
      <x:c r="HO44" s="1613"/>
      <x:c r="HP44" s="1613"/>
      <x:c r="HQ44" s="1613"/>
      <x:c r="HR44" s="1613"/>
      <x:c r="HS44" s="1613"/>
      <x:c r="HT44" s="1613"/>
      <x:c r="HU44" s="1613"/>
      <x:c r="HV44" s="1613"/>
      <x:c r="HW44" s="1613"/>
      <x:c r="HX44" s="1613"/>
      <x:c r="HY44" s="1617"/>
      <x:c r="HZ44" s="1617"/>
      <x:c r="IA44" s="1617"/>
      <x:c r="IB44" s="1617"/>
      <x:c r="IC44" s="1617"/>
      <x:c r="ID44" s="1632"/>
      <x:c r="IE44" s="1612"/>
      <x:c r="IF44" s="1613"/>
      <x:c r="IG44" s="1614"/>
      <x:c r="IH44" s="1615"/>
      <x:c r="II44" s="1613"/>
      <x:c r="IJ44" s="1614"/>
      <x:c r="IK44" s="1615"/>
      <x:c r="IL44" s="1613"/>
      <x:c r="IM44" s="1613"/>
      <x:c r="IN44" s="1613"/>
      <x:c r="IO44" s="1613"/>
      <x:c r="IP44" s="1613"/>
      <x:c r="IQ44" s="1613"/>
      <x:c r="IR44" s="1613"/>
      <x:c r="IS44" s="1614"/>
      <x:c r="IT44" s="1615"/>
      <x:c r="IU44" s="1613"/>
      <x:c r="IV44" s="1613"/>
      <x:c r="IW44" s="1614"/>
      <x:c r="IX44" s="1615"/>
      <x:c r="IY44" s="1613"/>
      <x:c r="IZ44" s="1613"/>
      <x:c r="JA44" s="1614"/>
      <x:c r="JB44" s="1615"/>
      <x:c r="JC44" s="1613"/>
      <x:c r="JD44" s="1613"/>
      <x:c r="JE44" s="1614"/>
      <x:c r="JF44" s="1615"/>
      <x:c r="JG44" s="1613"/>
      <x:c r="JH44" s="1613"/>
      <x:c r="JI44" s="1613"/>
      <x:c r="JJ44" s="1616"/>
      <x:c r="JK44" s="1613"/>
      <x:c r="JL44" s="1521">
        <x:f t="shared" ca="1" si="62"/>
        <x:v>0</x:v>
      </x:c>
    </x:row>
    <x:row r="45" spans="1:272" ht="12.6" customHeight="1" thickBot="1" x14ac:dyDescent="0.35">
      <x:c r="A45" s="2090" t="str">
        <x:f t="shared" si="75"/>
        <x:v/>
      </x:c>
      <x:c r="B45" s="2091"/>
      <x:c r="C45" s="2092" t="str">
        <x:f t="shared" si="75"/>
        <x:v/>
      </x:c>
      <x:c r="D45" s="2093" t="str">
        <x:f t="shared" si="76"/>
        <x:v/>
      </x:c>
      <x:c r="E45" s="2094" t="str">
        <x:f t="shared" si="77"/>
        <x:v/>
      </x:c>
      <x:c r="F45" s="2095" t="str">
        <x:f t="shared" si="78"/>
        <x:v/>
      </x:c>
      <x:c r="G45" s="2096" t="str">
        <x:f t="shared" si="0"/>
        <x:v/>
      </x:c>
      <x:c r="H45" s="2097" t="str">
        <x:f t="shared" si="1"/>
        <x:v/>
      </x:c>
      <x:c r="I45" s="2098" t="str">
        <x:f t="shared" si="2"/>
        <x:v/>
      </x:c>
      <x:c r="J45" s="2093" t="str">
        <x:f t="shared" si="57"/>
        <x:v/>
      </x:c>
      <x:c r="K45" s="2097" t="str">
        <x:f t="shared" si="58"/>
        <x:v/>
      </x:c>
      <x:c r="L45" s="2099" t="str">
        <x:f t="shared" si="59"/>
        <x:v/>
      </x:c>
      <x:c r="M45" s="2100" t="str">
        <x:f t="shared" si="79"/>
        <x:v/>
      </x:c>
      <x:c r="N45" s="2101" t="str">
        <x:f t="shared" si="79"/>
        <x:v/>
      </x:c>
      <x:c r="O45" s="2096" t="str">
        <x:f t="shared" si="80"/>
        <x:v/>
      </x:c>
      <x:c r="P45" s="2097" t="str">
        <x:f t="shared" si="81"/>
        <x:v/>
      </x:c>
      <x:c r="Q45" s="2093" t="str">
        <x:f t="shared" si="82"/>
        <x:v/>
      </x:c>
      <x:c r="R45" s="2094" t="str">
        <x:f t="shared" si="83"/>
        <x:v/>
      </x:c>
      <x:c r="S45" s="2102" t="str">
        <x:f t="shared" si="84"/>
        <x:v/>
      </x:c>
      <x:c r="T45" s="2097" t="str">
        <x:f t="shared" si="85"/>
        <x:v/>
      </x:c>
      <x:c r="U45" s="2093" t="str">
        <x:f t="shared" si="86"/>
        <x:v/>
      </x:c>
      <x:c r="V45" s="2097" t="str">
        <x:f t="shared" si="87"/>
        <x:v/>
      </x:c>
      <x:c r="W45" s="2101">
        <x:f t="shared" si="88"/>
        <x:v>0</x:v>
      </x:c>
      <x:c r="X45" s="2103" t="str">
        <x:f t="shared" si="3"/>
        <x:v/>
      </x:c>
      <x:c r="Y45" s="2104" t="str">
        <x:f t="shared" si="4"/>
        <x:v/>
      </x:c>
      <x:c r="Z45" s="2088"/>
      <x:c r="AA45" s="2154" t="str">
        <x:f t="shared" si="5"/>
        <x:v/>
      </x:c>
      <x:c r="AB45" s="2124" t="str">
        <x:f t="shared" si="63"/>
        <x:v/>
      </x:c>
      <x:c r="AC45" s="2125" t="str">
        <x:f t="shared" si="63"/>
        <x:v/>
      </x:c>
      <x:c r="AD45" s="2126" t="str">
        <x:f t="shared" ca="1" si="93"/>
        <x:v/>
      </x:c>
      <x:c r="AE45" s="2127" t="str">
        <x:f t="shared" ca="1" si="94"/>
        <x:v/>
      </x:c>
      <x:c r="AF45" s="2125" t="str">
        <x:f t="shared" ca="1" si="95"/>
        <x:v/>
      </x:c>
      <x:c r="AG45" s="2126" t="str">
        <x:f t="shared" ca="1" si="96"/>
        <x:v/>
      </x:c>
      <x:c r="AH45" s="2127" t="str">
        <x:f t="shared" ca="1" si="97"/>
        <x:v/>
      </x:c>
      <x:c r="AI45" s="2126" t="str">
        <x:f t="shared" ca="1" si="98"/>
        <x:v/>
      </x:c>
      <x:c r="AJ45" s="2127" t="str">
        <x:f t="shared" ca="1" si="99"/>
        <x:v/>
      </x:c>
      <x:c r="AK45" s="2128" t="str">
        <x:f t="shared" si="6"/>
        <x:v/>
      </x:c>
      <x:c r="AL45" s="2129" t="str">
        <x:f t="shared" si="6"/>
        <x:v/>
      </x:c>
      <x:c r="AM45" s="2130" t="str">
        <x:f t="shared" si="6"/>
        <x:v/>
      </x:c>
      <x:c r="AN45" s="2125" t="str">
        <x:f t="shared" si="6"/>
        <x:v/>
      </x:c>
      <x:c r="AO45" s="2158" t="str">
        <x:f t="shared" si="6"/>
        <x:v/>
      </x:c>
      <x:c r="AP45" s="2132" t="str">
        <x:f t="shared" si="49"/>
        <x:v/>
      </x:c>
      <x:c r="AQ45" s="2133" t="str">
        <x:f t="shared" si="49"/>
        <x:v/>
      </x:c>
      <x:c r="AR45" s="2134" t="str">
        <x:f t="shared" si="64"/>
        <x:v/>
      </x:c>
      <x:c r="AS45" s="2127" t="str">
        <x:f t="shared" si="65"/>
        <x:v/>
      </x:c>
      <x:c r="AT45" s="2135" t="str">
        <x:f t="shared" si="7"/>
        <x:v/>
      </x:c>
      <x:c r="AU45" s="2136" t="str">
        <x:f t="shared" si="7"/>
        <x:v/>
      </x:c>
      <x:c r="AV45" s="2137" t="str">
        <x:f t="shared" si="8"/>
        <x:v/>
      </x:c>
      <x:c r="AW45" s="2127" t="str">
        <x:f t="shared" si="9"/>
        <x:v/>
      </x:c>
      <x:c r="AX45" s="2135" t="str">
        <x:f t="shared" si="10"/>
        <x:v/>
      </x:c>
      <x:c r="AY45" s="2136" t="str">
        <x:f t="shared" si="10"/>
        <x:v/>
      </x:c>
      <x:c r="AZ45" s="2137" t="str">
        <x:f t="shared" si="11"/>
        <x:v/>
      </x:c>
      <x:c r="BA45" s="2127" t="str">
        <x:f t="shared" si="12"/>
        <x:v/>
      </x:c>
      <x:c r="BB45" s="2135" t="str">
        <x:f t="shared" si="13"/>
        <x:v/>
      </x:c>
      <x:c r="BC45" s="2136" t="str">
        <x:f t="shared" si="13"/>
        <x:v/>
      </x:c>
      <x:c r="BD45" s="2137" t="str">
        <x:f t="shared" si="14"/>
        <x:v/>
      </x:c>
      <x:c r="BE45" s="2127" t="str">
        <x:f t="shared" si="15"/>
        <x:v/>
      </x:c>
      <x:c r="BF45" s="2135" t="str">
        <x:f t="shared" si="16"/>
        <x:v/>
      </x:c>
      <x:c r="BG45" s="2136" t="str">
        <x:f t="shared" si="16"/>
        <x:v/>
      </x:c>
      <x:c r="BH45" s="322"/>
      <x:c r="BJ45" s="1258" t="str">
        <x:f t="shared" si="60"/>
        <x:v/>
      </x:c>
      <x:c r="BK45" s="1256" t="b">
        <x:f t="shared" si="17"/>
        <x:v>0</x:v>
      </x:c>
      <x:c r="BL45" s="2002" t="b">
        <x:v>0</x:v>
      </x:c>
      <x:c r="BM45" s="1251">
        <x:f t="shared" si="18"/>
        <x:v>0</x:v>
      </x:c>
      <x:c r="BN45" s="1251">
        <x:f t="shared" si="19"/>
        <x:v>0</x:v>
      </x:c>
      <x:c r="BO45" s="1251">
        <x:f t="shared" si="20"/>
        <x:v>0</x:v>
      </x:c>
      <x:c r="BP45" s="1251">
        <x:f t="shared" si="21"/>
        <x:v>0</x:v>
      </x:c>
      <x:c r="BQ45" s="1251">
        <x:f t="shared" si="22"/>
        <x:v>0</x:v>
      </x:c>
      <x:c r="BR45" s="1251" t="b">
        <x:f t="shared" si="23"/>
        <x:v>1</x:v>
      </x:c>
      <x:c r="BS45" s="1252">
        <x:f t="shared" si="24"/>
        <x:v>6</x:v>
      </x:c>
      <x:c r="BT45" s="1252" t="str">
        <x:f t="shared" si="25"/>
        <x:v>No</x:v>
      </x:c>
      <x:c r="BU45" s="1252">
        <x:f t="shared" si="26"/>
        <x:v>6</x:v>
      </x:c>
      <x:c r="BV45" s="1252" t="str">
        <x:f t="shared" si="27"/>
        <x:v>No</x:v>
      </x:c>
      <x:c r="BW45" s="1253">
        <x:f t="shared" ca="1" si="28"/>
        <x:v>0</x:v>
      </x:c>
      <x:c r="BX45" s="1254" t="str">
        <x:f t="shared" ca="1" si="29"/>
        <x:v/>
      </x:c>
      <x:c r="BY45" s="1254" t="b">
        <x:f t="shared" ca="1" si="30"/>
        <x:v>0</x:v>
      </x:c>
      <x:c r="BZ45" s="1253" t="b">
        <x:f t="shared" si="50"/>
        <x:v>0</x:v>
      </x:c>
      <x:c r="CB45" s="854"/>
      <x:c r="CC45" s="895"/>
      <x:c r="CD45" s="888"/>
      <x:c r="CE45" s="889"/>
      <x:c r="CF45" s="890"/>
      <x:c r="CG45" s="907"/>
      <x:c r="CH45" s="908"/>
      <x:c r="CI45" s="909"/>
      <x:c r="CJ45" s="908"/>
      <x:c r="CK45" s="909"/>
      <x:c r="CL45" s="910"/>
      <x:c r="CM45" s="945"/>
      <x:c r="CN45" s="907"/>
      <x:c r="CO45" s="908"/>
      <x:c r="CP45" s="909"/>
      <x:c r="CQ45" s="908"/>
      <x:c r="CR45" s="909"/>
      <x:c r="CS45" s="910"/>
      <x:c r="CT45" s="945"/>
      <x:c r="CU45" s="912"/>
      <x:c r="CV45" s="891"/>
      <x:c r="CW45" s="892"/>
      <x:c r="CX45" s="917"/>
      <x:c r="CY45" s="918"/>
      <x:c r="CZ45" s="939"/>
      <x:c r="DA45" s="940"/>
      <x:c r="DB45" s="939"/>
      <x:c r="DC45" s="940"/>
      <x:c r="DD45" s="1151"/>
      <x:c r="DE45" s="1152"/>
      <x:c r="DF45" s="173"/>
      <x:c r="DG45" s="173"/>
      <x:c r="DH45" s="1004"/>
      <x:c r="DI45" s="855"/>
      <x:c r="DJ45" s="876"/>
      <x:c r="DK45" s="877"/>
      <x:c r="DL45" s="856"/>
      <x:c r="DM45" s="878"/>
      <x:c r="DN45" s="879"/>
      <x:c r="DO45" s="857"/>
      <x:c r="DP45" s="858"/>
      <x:c r="DQ45" s="859"/>
      <x:c r="DR45" s="859"/>
      <x:c r="DS45" s="860"/>
      <x:c r="DT45" s="861"/>
      <x:c r="DU45" s="862"/>
      <x:c r="DV45" s="863"/>
      <x:c r="DW45" s="864"/>
      <x:c r="DX45" s="865"/>
      <x:c r="DY45" s="866"/>
      <x:c r="DZ45" s="863"/>
      <x:c r="EA45" s="864"/>
      <x:c r="EB45" s="865"/>
      <x:c r="EC45" s="866"/>
      <x:c r="ED45" s="863"/>
      <x:c r="EE45" s="864"/>
      <x:c r="EF45" s="865"/>
      <x:c r="EG45" s="866"/>
      <x:c r="EH45" s="863"/>
      <x:c r="EI45" s="864"/>
      <x:c r="EJ45" s="865"/>
      <x:c r="EK45" s="867"/>
      <x:c r="EL45" s="801" t="str">
        <x:f t="shared" si="31"/>
        <x:v/>
      </x:c>
      <x:c r="EM45" s="802" t="str">
        <x:f t="shared" si="32"/>
        <x:v/>
      </x:c>
      <x:c r="EN45" s="803" t="str">
        <x:f t="shared" si="33"/>
        <x:v/>
      </x:c>
      <x:c r="EO45" s="1031" t="str">
        <x:f t="shared" si="34"/>
        <x:v/>
      </x:c>
      <x:c r="EP45" s="728" t="str">
        <x:f t="shared" si="35"/>
        <x:v/>
      </x:c>
      <x:c r="EQ45" s="729" t="str">
        <x:f t="shared" si="36"/>
        <x:v/>
      </x:c>
      <x:c r="ER45" s="965" t="str">
        <x:f t="shared" si="37"/>
        <x:v/>
      </x:c>
      <x:c r="ES45" s="966" t="str">
        <x:f t="shared" si="51"/>
        <x:v/>
      </x:c>
      <x:c r="ET45" s="967" t="str">
        <x:f t="shared" si="38"/>
        <x:v/>
      </x:c>
      <x:c r="EU45" s="968" t="str">
        <x:f t="shared" si="39"/>
        <x:v/>
      </x:c>
      <x:c r="EX45" s="1194" t="str">
        <x:f t="shared" ca="1" si="52"/>
        <x:v/>
      </x:c>
      <x:c r="EY45" s="1196" t="str">
        <x:f t="shared" si="40"/>
        <x:v/>
      </x:c>
      <x:c r="EZ45" s="1196" t="str">
        <x:f t="shared" si="53"/>
        <x:v/>
      </x:c>
      <x:c r="FA45" s="1217" t="str">
        <x:f t="shared" ca="1" si="61"/>
        <x:v/>
      </x:c>
      <x:c r="FB45" s="1218" t="str">
        <x:f t="shared" ca="1" si="54"/>
        <x:v/>
      </x:c>
      <x:c r="FC45" s="1218">
        <x:f t="shared" ca="1" si="41"/>
        <x:v>0</x:v>
      </x:c>
      <x:c r="FD45" s="1218">
        <x:f t="shared" ca="1" si="42"/>
        <x:v>0</x:v>
      </x:c>
      <x:c r="FE45" s="1218">
        <x:f t="shared" ca="1" si="43"/>
        <x:v>0</x:v>
      </x:c>
      <x:c r="FF45" s="1218">
        <x:f t="shared" ca="1" si="55"/>
        <x:v>0</x:v>
      </x:c>
      <x:c r="FN45" s="969" t="b">
        <x:v>0</x:v>
      </x:c>
      <x:c r="FO45" s="969" t="b">
        <x:f t="shared" si="44"/>
        <x:v>1</x:v>
      </x:c>
      <x:c r="FP45" s="1815" t="b">
        <x:v>0</x:v>
      </x:c>
      <x:c r="FQ45" s="969" t="b">
        <x:f t="shared" si="56"/>
        <x:v>1</x:v>
      </x:c>
      <x:c r="FW45" s="122"/>
      <x:c r="FX45" s="122"/>
      <x:c r="FZ45" s="124"/>
      <x:c r="GA45" s="1935" t="str">
        <x:f t="shared" si="89"/>
        <x:v/>
      </x:c>
      <x:c r="GB45" s="1936" t="str">
        <x:f t="shared" si="90"/>
        <x:v/>
      </x:c>
      <x:c r="GC45" s="1937" t="str">
        <x:f t="shared" si="91"/>
        <x:v/>
      </x:c>
      <x:c r="GD45" s="1938" t="str">
        <x:f t="shared" si="92"/>
        <x:v/>
      </x:c>
      <x:c r="GE45" s="1939" t="str">
        <x:f t="shared" si="45"/>
        <x:v/>
      </x:c>
      <x:c r="GF45" s="1940" t="str">
        <x:f t="shared" si="46"/>
        <x:v/>
      </x:c>
      <x:c r="GG45" s="1460"/>
      <x:c r="GH45" s="1461"/>
      <x:c r="GI45" s="1460"/>
      <x:c r="GJ45" s="1461"/>
      <x:c r="GK45" s="326">
        <x:f t="shared" si="47"/>
        <x:v>0</x:v>
      </x:c>
      <x:c r="GL45" s="326" t="e">
        <x:f t="shared" si="48"/>
        <x:v>#VALUE!</x:v>
      </x:c>
      <x:c r="GM45" s="327" t="e">
        <x:f>IF(ABS(GK45-GL45)&gt;='Job Info.'!$L$22,ABS(GK45-GL45),0)</x:f>
        <x:v>#VALUE!</x:v>
      </x:c>
      <x:c r="GN45" s="171"/>
      <x:c r="GO45" s="171"/>
      <x:c r="GP45" s="171"/>
      <x:c r="GZ45" s="179"/>
      <x:c r="HA45" s="1620"/>
      <x:c r="HB45" s="1621"/>
      <x:c r="HC45" s="1621"/>
      <x:c r="HD45" s="1622"/>
      <x:c r="HE45" s="1623"/>
      <x:c r="HF45" s="1621"/>
      <x:c r="HG45" s="1621"/>
      <x:c r="HH45" s="1621"/>
      <x:c r="HI45" s="1621"/>
      <x:c r="HJ45" s="1621"/>
      <x:c r="HK45" s="1621"/>
      <x:c r="HL45" s="1621"/>
      <x:c r="HM45" s="1621"/>
      <x:c r="HN45" s="1621"/>
      <x:c r="HO45" s="1621"/>
      <x:c r="HP45" s="1621"/>
      <x:c r="HQ45" s="1621"/>
      <x:c r="HR45" s="1621"/>
      <x:c r="HS45" s="1621"/>
      <x:c r="HT45" s="1621"/>
      <x:c r="HU45" s="1621"/>
      <x:c r="HV45" s="1621"/>
      <x:c r="HW45" s="1621"/>
      <x:c r="HX45" s="1621"/>
      <x:c r="HY45" s="1624"/>
      <x:c r="HZ45" s="1624"/>
      <x:c r="IA45" s="1624"/>
      <x:c r="IB45" s="1624"/>
      <x:c r="IC45" s="1624"/>
      <x:c r="ID45" s="1633"/>
      <x:c r="IE45" s="1620"/>
      <x:c r="IF45" s="1621"/>
      <x:c r="IG45" s="1622"/>
      <x:c r="IH45" s="1623"/>
      <x:c r="II45" s="1621"/>
      <x:c r="IJ45" s="1622"/>
      <x:c r="IK45" s="1623"/>
      <x:c r="IL45" s="1621"/>
      <x:c r="IM45" s="1621"/>
      <x:c r="IN45" s="1621"/>
      <x:c r="IO45" s="1621"/>
      <x:c r="IP45" s="1621"/>
      <x:c r="IQ45" s="1621"/>
      <x:c r="IR45" s="1621"/>
      <x:c r="IS45" s="1622"/>
      <x:c r="IT45" s="1623"/>
      <x:c r="IU45" s="1621"/>
      <x:c r="IV45" s="1621"/>
      <x:c r="IW45" s="1622"/>
      <x:c r="IX45" s="1623"/>
      <x:c r="IY45" s="1621"/>
      <x:c r="IZ45" s="1621"/>
      <x:c r="JA45" s="1622"/>
      <x:c r="JB45" s="1623"/>
      <x:c r="JC45" s="1621"/>
      <x:c r="JD45" s="1621"/>
      <x:c r="JE45" s="1622"/>
      <x:c r="JF45" s="1623"/>
      <x:c r="JG45" s="1621"/>
      <x:c r="JH45" s="1621"/>
      <x:c r="JI45" s="1621"/>
      <x:c r="JJ45" s="1626"/>
      <x:c r="JK45" s="1621"/>
      <x:c r="JL45" s="1522">
        <x:f t="shared" ca="1" si="62"/>
        <x:v>0</x:v>
      </x:c>
    </x:row>
    <x:row r="46" spans="1:272" ht="20.100000000000001" customHeight="1" thickTop="1" x14ac:dyDescent="0.2">
      <x:c r="A46" s="319"/>
      <x:c r="B46" s="319"/>
      <x:c r="C46" s="319"/>
      <x:c r="D46" s="319"/>
      <x:c r="E46" s="319"/>
      <x:c r="F46" s="319"/>
      <x:c r="G46" s="319"/>
      <x:c r="H46" s="319"/>
      <x:c r="I46" s="319"/>
      <x:c r="J46" s="319"/>
      <x:c r="K46" s="319"/>
      <x:c r="L46" s="319"/>
      <x:c r="M46" s="319"/>
      <x:c r="N46" s="319"/>
      <x:c r="O46" s="319"/>
      <x:c r="P46" s="319"/>
      <x:c r="Q46" s="319"/>
      <x:c r="R46" s="319"/>
      <x:c r="S46" s="319"/>
      <x:c r="T46" s="319"/>
      <x:c r="U46" s="319"/>
      <x:c r="V46" s="319"/>
      <x:c r="W46" s="319"/>
      <x:c r="X46" s="319"/>
      <x:c r="Y46" s="319"/>
      <x:c r="Z46" s="1466"/>
      <x:c r="AA46" s="319"/>
      <x:c r="AB46" s="319"/>
      <x:c r="AC46" s="319"/>
      <x:c r="AD46" s="319"/>
      <x:c r="AE46" s="319"/>
      <x:c r="AF46" s="319"/>
      <x:c r="AG46" s="319"/>
      <x:c r="AH46" s="319"/>
      <x:c r="AI46" s="319"/>
      <x:c r="AJ46" s="319"/>
      <x:c r="AK46" s="319"/>
      <x:c r="AL46" s="319"/>
      <x:c r="AM46" s="319"/>
      <x:c r="AN46" s="319"/>
      <x:c r="AO46" s="319"/>
      <x:c r="AP46" s="319"/>
      <x:c r="AQ46" s="319"/>
      <x:c r="AR46" s="319"/>
      <x:c r="AS46" s="319"/>
      <x:c r="AT46" s="319"/>
      <x:c r="AU46" s="319"/>
      <x:c r="AV46" s="319"/>
      <x:c r="AW46" s="319"/>
      <x:c r="AX46" s="319"/>
      <x:c r="AY46" s="319"/>
      <x:c r="AZ46" s="319"/>
      <x:c r="BA46" s="319"/>
      <x:c r="BB46" s="319"/>
      <x:c r="BC46" s="319"/>
      <x:c r="BD46" s="319"/>
      <x:c r="BE46" s="319"/>
      <x:c r="BF46" s="319"/>
      <x:c r="BG46" s="319"/>
      <x:c r="BH46" s="320"/>
      <x:c r="CA46" s="138"/>
      <x:c r="CB46" s="125"/>
      <x:c r="CC46" s="125"/>
      <x:c r="CD46" s="125"/>
      <x:c r="CE46" s="125"/>
      <x:c r="CF46" s="125"/>
      <x:c r="CG46" s="125"/>
      <x:c r="CH46" s="125"/>
      <x:c r="CI46" s="125"/>
      <x:c r="CJ46" s="125"/>
      <x:c r="CK46" s="125"/>
      <x:c r="CL46" s="125"/>
      <x:c r="CM46" s="125"/>
      <x:c r="CN46" s="125"/>
      <x:c r="CO46" s="125"/>
      <x:c r="CP46" s="125"/>
      <x:c r="CQ46" s="125"/>
      <x:c r="CR46" s="125"/>
      <x:c r="CS46" s="125"/>
      <x:c r="CT46" s="125"/>
      <x:c r="CU46" s="125"/>
      <x:c r="CV46" s="125"/>
      <x:c r="CW46" s="125"/>
      <x:c r="CX46" s="125"/>
      <x:c r="CY46" s="125"/>
      <x:c r="CZ46" s="125"/>
      <x:c r="DA46" s="125"/>
      <x:c r="DB46" s="122"/>
      <x:c r="DC46" s="122"/>
      <x:c r="DD46" s="122"/>
      <x:c r="DE46" s="122"/>
      <x:c r="DF46" s="122"/>
      <x:c r="DG46" s="122"/>
      <x:c r="DH46" s="170"/>
      <x:c r="DI46" s="170"/>
      <x:c r="DJ46" s="170"/>
      <x:c r="DK46" s="170"/>
      <x:c r="DL46" s="170"/>
      <x:c r="DM46" s="170"/>
      <x:c r="DN46" s="170"/>
      <x:c r="DO46" s="170"/>
      <x:c r="DP46" s="170"/>
      <x:c r="DQ46" s="170"/>
      <x:c r="DR46" s="170"/>
      <x:c r="DS46" s="170"/>
      <x:c r="DT46" s="776"/>
      <x:c r="DU46" s="776"/>
      <x:c r="DV46" s="170"/>
      <x:c r="DW46" s="170"/>
      <x:c r="DX46" s="170"/>
      <x:c r="DY46" s="170"/>
      <x:c r="DZ46" s="170"/>
      <x:c r="EA46" s="170"/>
      <x:c r="EB46" s="170"/>
      <x:c r="EC46" s="170"/>
      <x:c r="ED46" s="170"/>
      <x:c r="EE46" s="170"/>
      <x:c r="EF46" s="170"/>
      <x:c r="EG46" s="170"/>
      <x:c r="EH46" s="170"/>
      <x:c r="EI46" s="170"/>
      <x:c r="EJ46" s="170"/>
      <x:c r="EK46" s="170"/>
      <x:c r="EL46" s="122"/>
      <x:c r="EM46" s="121"/>
      <x:c r="EN46" s="127"/>
      <x:c r="EO46" s="355"/>
      <x:c r="EP46" s="356"/>
      <x:c r="EQ46" s="356"/>
      <x:c r="ER46" s="356"/>
      <x:c r="ES46" s="357"/>
      <x:c r="ET46" s="358"/>
      <x:c r="EU46" s="358"/>
      <x:c r="EV46" s="358"/>
      <x:c r="EW46" s="358"/>
      <x:c r="EX46" s="358"/>
      <x:c r="EY46" s="358"/>
      <x:c r="EZ46" s="358"/>
      <x:c r="FA46" s="358"/>
      <x:c r="FB46" s="358"/>
      <x:c r="FC46" s="358"/>
      <x:c r="FD46" s="355"/>
      <x:c r="FE46" s="355"/>
      <x:c r="FF46" s="355"/>
      <x:c r="FG46" s="355"/>
      <x:c r="FH46" s="355"/>
      <x:c r="FI46" s="355"/>
      <x:c r="FJ46" s="355"/>
      <x:c r="FK46" s="355"/>
      <x:c r="FL46" s="355"/>
      <x:c r="FM46" s="355"/>
      <x:c r="FN46" s="122"/>
      <x:c r="FO46" s="122"/>
      <x:c r="FP46" s="122"/>
      <x:c r="FQ46" s="122"/>
      <x:c r="FR46" s="122"/>
      <x:c r="FS46" s="122"/>
      <x:c r="FT46" s="122"/>
      <x:c r="FU46" s="122"/>
      <x:c r="FV46" s="122"/>
      <x:c r="FW46" s="122"/>
      <x:c r="FX46" s="122"/>
      <x:c r="FY46" s="122"/>
      <x:c r="FZ46" s="124"/>
      <x:c r="GA46" s="164"/>
      <x:c r="GB46" s="1462"/>
      <x:c r="GC46" s="1462"/>
      <x:c r="GD46" s="1462"/>
      <x:c r="GE46" s="1462"/>
      <x:c r="GF46" s="1462"/>
      <x:c r="GG46" s="1462"/>
      <x:c r="GH46" s="1462"/>
      <x:c r="GI46" s="171"/>
      <x:c r="GJ46" s="171"/>
      <x:c r="GK46" s="171"/>
      <x:c r="GL46" s="171"/>
      <x:c r="GM46" s="171"/>
      <x:c r="GN46" s="171"/>
      <x:c r="GO46" s="171"/>
      <x:c r="GP46" s="171"/>
      <x:c r="GQ46" s="171"/>
      <x:c r="GR46" s="171"/>
      <x:c r="GS46" s="171"/>
      <x:c r="GT46" s="171"/>
      <x:c r="GU46" s="171"/>
      <x:c r="GV46" s="171"/>
      <x:c r="GW46" s="171"/>
      <x:c r="GX46" s="171"/>
      <x:c r="GY46" s="171"/>
    </x:row>
    <x:row r="47" spans="1:272" ht="12.75" customHeight="1" x14ac:dyDescent="0.2">
      <x:c r="B47" s="649" t="s">
        <x:v>761</x:v>
      </x:c>
      <x:c r="AL47" s="319"/>
      <x:c r="AM47" s="319"/>
      <x:c r="AN47" s="319"/>
      <x:c r="AO47" s="319"/>
      <x:c r="AP47" s="319"/>
      <x:c r="AQ47" s="319"/>
      <x:c r="CA47" s="138"/>
      <x:c r="CB47" s="125"/>
      <x:c r="CC47" s="125"/>
      <x:c r="CD47" s="125"/>
      <x:c r="CE47" s="125"/>
      <x:c r="CF47" s="125"/>
      <x:c r="CG47" s="125"/>
      <x:c r="CH47" s="125"/>
      <x:c r="CI47" s="125"/>
      <x:c r="CJ47" s="125"/>
      <x:c r="CK47" s="125"/>
      <x:c r="CL47" s="125"/>
      <x:c r="CM47" s="125"/>
      <x:c r="CN47" s="125"/>
      <x:c r="CO47" s="125"/>
      <x:c r="CP47" s="125"/>
      <x:c r="CQ47" s="125"/>
      <x:c r="CR47" s="125"/>
      <x:c r="CS47" s="125"/>
      <x:c r="CT47" s="125"/>
      <x:c r="CU47" s="125"/>
      <x:c r="CV47" s="125"/>
      <x:c r="CW47" s="125"/>
      <x:c r="CX47" s="125"/>
      <x:c r="CY47" s="125"/>
      <x:c r="DD47" s="125"/>
      <x:c r="DE47" s="125"/>
      <x:c r="DF47" s="125"/>
      <x:c r="DG47" s="125"/>
      <x:c r="DH47" s="170"/>
      <x:c r="DI47" s="170"/>
      <x:c r="DJ47" s="170"/>
      <x:c r="DK47" s="170"/>
      <x:c r="DL47" s="170"/>
      <x:c r="DM47" s="170"/>
      <x:c r="DN47" s="170"/>
      <x:c r="DO47" s="170"/>
      <x:c r="DP47" s="170"/>
      <x:c r="DQ47" s="170"/>
      <x:c r="DR47" s="170"/>
      <x:c r="DS47" s="170"/>
      <x:c r="DT47" s="170"/>
      <x:c r="DU47" s="170"/>
      <x:c r="DV47" s="170"/>
      <x:c r="DW47" s="170"/>
      <x:c r="DX47" s="170"/>
      <x:c r="DY47" s="170"/>
      <x:c r="DZ47" s="170"/>
      <x:c r="EA47" s="170"/>
      <x:c r="EB47" s="170"/>
      <x:c r="EC47" s="170"/>
      <x:c r="ED47" s="170"/>
      <x:c r="EE47" s="170"/>
      <x:c r="EF47" s="170"/>
      <x:c r="EG47" s="170"/>
      <x:c r="EH47" s="170"/>
      <x:c r="EI47" s="170"/>
      <x:c r="EJ47" s="170"/>
      <x:c r="EK47" s="170"/>
      <x:c r="EL47" s="122"/>
      <x:c r="EM47" s="122"/>
      <x:c r="EN47" s="124"/>
      <x:c r="EO47" s="122"/>
      <x:c r="EP47" s="123"/>
      <x:c r="EQ47" s="123"/>
      <x:c r="ER47" s="123"/>
      <x:c r="ES47" s="126"/>
      <x:c r="ET47" s="122"/>
      <x:c r="EU47" s="122"/>
      <x:c r="EV47" s="122"/>
      <x:c r="EW47" s="122"/>
      <x:c r="EX47" s="122"/>
      <x:c r="EY47" s="122"/>
      <x:c r="EZ47" s="122"/>
      <x:c r="FA47" s="122"/>
      <x:c r="FB47" s="122"/>
      <x:c r="FC47" s="122"/>
      <x:c r="FD47" s="122"/>
      <x:c r="FE47" s="122"/>
      <x:c r="FF47" s="122"/>
      <x:c r="FG47" s="122"/>
      <x:c r="FH47" s="122"/>
      <x:c r="FI47" s="122"/>
      <x:c r="FJ47" s="122"/>
      <x:c r="FK47" s="122"/>
      <x:c r="FL47" s="122"/>
      <x:c r="FM47" s="122"/>
      <x:c r="FN47" s="122"/>
      <x:c r="FO47" s="122"/>
      <x:c r="FP47" s="122"/>
      <x:c r="FQ47" s="122"/>
      <x:c r="FR47" s="122"/>
      <x:c r="FS47" s="122"/>
      <x:c r="FT47" s="122"/>
      <x:c r="FU47" s="122"/>
      <x:c r="FV47" s="122"/>
      <x:c r="FW47" s="122"/>
      <x:c r="FX47" s="122"/>
      <x:c r="FY47" s="122"/>
      <x:c r="FZ47" s="124"/>
      <x:c r="GA47" s="122"/>
      <x:c r="GB47" s="171"/>
      <x:c r="GC47" s="171"/>
      <x:c r="GD47" s="171"/>
      <x:c r="GE47" s="171"/>
      <x:c r="GF47" s="171"/>
      <x:c r="GG47" s="171"/>
      <x:c r="GH47" s="171"/>
      <x:c r="GI47" s="171"/>
      <x:c r="GJ47" s="171"/>
      <x:c r="GK47" s="171"/>
      <x:c r="GL47" s="171"/>
      <x:c r="GM47" s="171"/>
      <x:c r="GN47" s="171"/>
      <x:c r="GO47" s="171"/>
      <x:c r="GP47" s="171"/>
      <x:c r="GQ47" s="171"/>
      <x:c r="GR47" s="125"/>
      <x:c r="GS47" s="125"/>
      <x:c r="GT47" s="125"/>
      <x:c r="GU47" s="125"/>
      <x:c r="GV47" s="125"/>
      <x:c r="GW47" s="125"/>
      <x:c r="GX47" s="125"/>
      <x:c r="GY47" s="125"/>
      <x:c r="GZ47" s="125"/>
      <x:c r="HA47" s="125"/>
      <x:c r="HB47" s="125"/>
      <x:c r="HC47" s="125"/>
      <x:c r="HD47" s="125"/>
      <x:c r="HE47" s="125"/>
      <x:c r="HF47" s="125"/>
      <x:c r="HG47" s="125"/>
      <x:c r="HH47" s="125"/>
      <x:c r="HI47" s="125"/>
      <x:c r="HJ47" s="125"/>
      <x:c r="HK47" s="125"/>
      <x:c r="HL47" s="125"/>
      <x:c r="HM47" s="125"/>
      <x:c r="HN47" s="125"/>
      <x:c r="HO47" s="125"/>
      <x:c r="HP47" s="170"/>
      <x:c r="HQ47" s="125"/>
      <x:c r="HR47" s="125"/>
      <x:c r="HS47" s="125"/>
      <x:c r="HT47" s="125"/>
      <x:c r="HU47" s="125"/>
      <x:c r="HV47" s="125"/>
      <x:c r="HW47" s="125"/>
      <x:c r="HX47" s="125"/>
      <x:c r="HY47" s="125"/>
      <x:c r="HZ47" s="125"/>
      <x:c r="IA47" s="125"/>
      <x:c r="IB47" s="125"/>
      <x:c r="IC47" s="125"/>
      <x:c r="ID47" s="125"/>
      <x:c r="IE47" s="125"/>
      <x:c r="IF47" s="125"/>
      <x:c r="IG47" s="125"/>
      <x:c r="IH47" s="125"/>
      <x:c r="II47" s="125"/>
      <x:c r="IJ47" s="125"/>
      <x:c r="IK47" s="125"/>
      <x:c r="IL47" s="125"/>
      <x:c r="IM47" s="125"/>
      <x:c r="IN47" s="125"/>
      <x:c r="IO47" s="125"/>
      <x:c r="IP47" s="125"/>
      <x:c r="IQ47" s="125"/>
      <x:c r="IR47" s="125"/>
      <x:c r="IS47" s="125"/>
      <x:c r="IT47" s="125"/>
      <x:c r="IU47" s="125"/>
    </x:row>
    <x:row r="48" spans="1:272" ht="12" hidden="1" customHeight="1" thickTop="1" thickBot="1" x14ac:dyDescent="0.25">
      <x:c r="B48" s="184">
        <x:f>SUM(B14:B45)</x:f>
        <x:v>49</x:v>
      </x:c>
      <x:c r="CA48" s="138"/>
      <x:c r="CB48" s="125"/>
      <x:c r="CC48" s="125"/>
      <x:c r="CD48" s="125"/>
      <x:c r="CE48" s="125"/>
      <x:c r="CF48" s="125"/>
      <x:c r="CG48" s="125"/>
      <x:c r="CH48" s="125"/>
      <x:c r="CI48" s="125"/>
      <x:c r="CJ48" s="125"/>
      <x:c r="CK48" s="125"/>
      <x:c r="CL48" s="125"/>
      <x:c r="CM48" s="125"/>
      <x:c r="CN48" s="125"/>
      <x:c r="CO48" s="125"/>
      <x:c r="CP48" s="125"/>
      <x:c r="CQ48" s="125"/>
      <x:c r="CR48" s="125"/>
      <x:c r="CS48" s="125"/>
      <x:c r="CT48" s="125"/>
      <x:c r="CU48" s="125"/>
      <x:c r="CV48" s="125"/>
      <x:c r="CW48" s="125"/>
      <x:c r="CX48" s="125"/>
      <x:c r="CY48" s="125"/>
      <x:c r="DD48" s="122"/>
      <x:c r="DE48" s="122"/>
      <x:c r="DF48" s="122"/>
      <x:c r="DG48" s="122"/>
      <x:c r="DH48" s="170"/>
      <x:c r="DI48" s="170"/>
      <x:c r="DJ48" s="170"/>
      <x:c r="DK48" s="170"/>
      <x:c r="DL48" s="170"/>
      <x:c r="DM48" s="170"/>
      <x:c r="DN48" s="170"/>
      <x:c r="DO48" s="170"/>
      <x:c r="DP48" s="170"/>
      <x:c r="DQ48" s="170"/>
      <x:c r="DR48" s="170"/>
      <x:c r="DS48" s="170"/>
      <x:c r="DT48" s="170"/>
      <x:c r="DU48" s="170"/>
      <x:c r="DV48" s="170"/>
      <x:c r="DW48" s="170"/>
      <x:c r="DX48" s="170"/>
      <x:c r="DY48" s="170"/>
      <x:c r="DZ48" s="170"/>
      <x:c r="EA48" s="170"/>
      <x:c r="EB48" s="170"/>
      <x:c r="EC48" s="170"/>
      <x:c r="ED48" s="170"/>
      <x:c r="EE48" s="170"/>
      <x:c r="EF48" s="170"/>
      <x:c r="EG48" s="170"/>
      <x:c r="EH48" s="170"/>
      <x:c r="EI48" s="170"/>
      <x:c r="EJ48" s="170"/>
      <x:c r="EK48" s="170"/>
      <x:c r="EL48" s="122"/>
      <x:c r="EM48" s="122"/>
      <x:c r="EN48" s="124"/>
      <x:c r="EO48" s="122"/>
      <x:c r="EP48" s="123"/>
      <x:c r="EQ48" s="123"/>
      <x:c r="ER48" s="123"/>
      <x:c r="ES48" s="126"/>
      <x:c r="ET48" s="122"/>
      <x:c r="EU48" s="122"/>
      <x:c r="EV48" s="122"/>
      <x:c r="EW48" s="122"/>
      <x:c r="EX48" s="122"/>
      <x:c r="EY48" s="122"/>
      <x:c r="EZ48" s="122"/>
      <x:c r="FA48" s="122"/>
      <x:c r="FB48" s="122"/>
      <x:c r="FC48" s="122"/>
      <x:c r="FD48" s="122"/>
      <x:c r="FE48" s="122"/>
      <x:c r="FF48" s="122"/>
      <x:c r="FG48" s="122"/>
      <x:c r="FH48" s="122"/>
      <x:c r="FI48" s="122"/>
      <x:c r="FJ48" s="122"/>
      <x:c r="FK48" s="122"/>
      <x:c r="FL48" s="122"/>
      <x:c r="FM48" s="122"/>
      <x:c r="FZ48" s="1162" t="s">
        <x:v>1102</x:v>
      </x:c>
      <x:c r="GA48" s="722" t="str">
        <x:f>IF(GF48="","",CE48)</x:f>
        <x:v/>
      </x:c>
      <x:c r="GB48" s="770" t="str">
        <x:f>IF(GF48="","",CF48)</x:f>
        <x:v/>
      </x:c>
      <x:c r="GC48" s="772" t="str">
        <x:f>IF(GF48="","",IF(CD88="",0,CD88))</x:f>
        <x:v/>
      </x:c>
      <x:c r="GD48" s="773" t="str">
        <x:f>IF(GF48="","",IF(CM88="",0,CM88))</x:f>
        <x:v/>
      </x:c>
      <x:c r="GE48" s="771" t="str">
        <x:f>IF(GF48="","",IF(ISBLANK(CU48),IF(X48=Y48,0,MAX(ABS(X48),ABS(Y48))*IF(X48&lt;0,-1,1)),CU48))</x:f>
        <x:v/>
      </x:c>
      <x:c r="GF48" s="723" t="str">
        <x:f>IF(A48=0,"",A48)</x:f>
        <x:v/>
      </x:c>
      <x:c r="GG48" s="1457"/>
      <x:c r="GH48" s="1459"/>
      <x:c r="GI48" s="1457"/>
      <x:c r="GJ48" s="1459"/>
      <x:c r="GK48" s="171"/>
      <x:c r="GL48" s="171"/>
      <x:c r="GM48" s="171"/>
      <x:c r="GN48" s="171"/>
      <x:c r="GO48" s="171"/>
      <x:c r="GP48" s="171"/>
      <x:c r="GQ48" s="171"/>
      <x:c r="GR48" s="194" t="str">
        <x:f>IF(ISERROR(VLOOKUP($CB48,#REF!,HA$7,FALSE)),"",VLOOKUP($CB48,#REF!,HA$7,FALSE))</x:f>
        <x:v/>
      </x:c>
      <x:c r="GS48" s="195" t="str">
        <x:f>IF(ISERROR(VLOOKUP($CB48,#REF!,HB$7,FALSE)),"",IF(VLOOKUP($CB48,#REF!,HB$7,FALSE)="","",VLOOKUP($CB48,#REF!,HB$7,FALSE)))</x:f>
        <x:v/>
      </x:c>
      <x:c r="GT48" s="196" t="str">
        <x:f>IF(ISERROR(VLOOKUP($CB48,#REF!,HC$7,FALSE)),"",IF(VLOOKUP($CB48,#REF!,HC$7,FALSE)="","",VLOOKUP($CB48,#REF!,HC$7,FALSE)))</x:f>
        <x:v/>
      </x:c>
      <x:c r="GU48" s="197" t="str">
        <x:f>IF(ISERROR(VLOOKUP($CB48,#REF!,HD$7,FALSE)),"",IF(VLOOKUP($CB48,#REF!,HD$7,FALSE)="","",VLOOKUP($CB48,#REF!,HD$7,FALSE)))</x:f>
        <x:v/>
      </x:c>
      <x:c r="GV48" s="198" t="str">
        <x:f>IF(ISERROR(VLOOKUP($CB48,#REF!,HE$7,FALSE)),"",IF(VLOOKUP($CB48,#REF!,HE$7,FALSE)="","",VLOOKUP($CB48,#REF!,HE$7,FALSE)))</x:f>
        <x:v/>
      </x:c>
      <x:c r="GW48" s="199" t="str">
        <x:f>IF(ISERROR(VLOOKUP($CB48,#REF!,HF$7,FALSE)),"",IF(VLOOKUP($CB48,#REF!,HF$7,FALSE)="","",VLOOKUP($CB48,#REF!,HF$7,FALSE)))</x:f>
        <x:v/>
      </x:c>
      <x:c r="GX48" s="200" t="str">
        <x:f>IF(ISERROR(VLOOKUP($CB48,#REF!,HG$7,FALSE)),"",IF(VLOOKUP($CB48,#REF!,HG$7,FALSE)="","",VLOOKUP($CB48,#REF!,HG$7,FALSE)))</x:f>
        <x:v/>
      </x:c>
      <x:c r="GY48" s="201" t="str">
        <x:f>IF(ISERROR(VLOOKUP($CB48,#REF!,HH$7,FALSE)),"",IF(VLOOKUP($CB48,#REF!,HH$7,FALSE)="","",VLOOKUP($CB48,#REF!,HH$7,FALSE)))</x:f>
        <x:v/>
      </x:c>
      <x:c r="GZ48" s="200" t="str">
        <x:f>IF(ISERROR(VLOOKUP($CB48,#REF!,HI$7,FALSE)),"",IF(VLOOKUP($CB48,#REF!,HI$7,FALSE)="","",VLOOKUP($CB48,#REF!,HI$7,FALSE)))</x:f>
        <x:v/>
      </x:c>
      <x:c r="HA48" s="201" t="str">
        <x:f>IF(ISERROR(VLOOKUP($CB48,#REF!,HJ$7,FALSE)),"",IF(VLOOKUP($CB48,#REF!,HJ$7,FALSE)="","",VLOOKUP($CB48,#REF!,HJ$7,FALSE)))</x:f>
        <x:v/>
      </x:c>
      <x:c r="HB48" s="202" t="str">
        <x:f>IF(ISERROR(VLOOKUP($CB48,#REF!,HK$7,FALSE)),"",IF(VLOOKUP($CB48,#REF!,HK$7,FALSE)="","",VLOOKUP($CB48,#REF!,HK$7,FALSE)))</x:f>
        <x:v/>
      </x:c>
      <x:c r="HC48" s="203" t="str">
        <x:f>IF(ISERROR(VLOOKUP($CB48,#REF!,HL$7,FALSE)),"",IF(VLOOKUP($CB48,#REF!,HL$7,FALSE)="","",VLOOKUP($CB48,#REF!,HL$7,FALSE)))</x:f>
        <x:v/>
      </x:c>
      <x:c r="HD48" s="199" t="str">
        <x:f>IF(ISERROR(VLOOKUP($CB48,#REF!,HM$7,FALSE)),"",IF(VLOOKUP($CB48,#REF!,HM$7,FALSE)="","",VLOOKUP($CB48,#REF!,HM$7,FALSE)))</x:f>
        <x:v/>
      </x:c>
      <x:c r="HE48" s="200" t="str">
        <x:f>IF(ISERROR(VLOOKUP($CB48,#REF!,HN$7,FALSE)),"",IF(VLOOKUP($CB48,#REF!,HN$7,FALSE)="","",VLOOKUP($CB48,#REF!,HN$7,FALSE)))</x:f>
        <x:v/>
      </x:c>
      <x:c r="HF48" s="201" t="str">
        <x:f>IF(ISERROR(VLOOKUP($CB48,#REF!,HO$7,FALSE)),"",IF(VLOOKUP($CB48,#REF!,HO$7,FALSE)="","",VLOOKUP($CB48,#REF!,HO$7,FALSE)))</x:f>
        <x:v/>
      </x:c>
      <x:c r="HG48" s="200" t="str">
        <x:f>IF(ISERROR(VLOOKUP($CB48,#REF!,HP$7,FALSE)),"",IF(VLOOKUP($CB48,#REF!,HP$7,FALSE)="","",VLOOKUP($CB48,#REF!,HP$7,FALSE)))</x:f>
        <x:v/>
      </x:c>
      <x:c r="HH48" s="201" t="str">
        <x:f>IF(ISERROR(VLOOKUP($CB48,#REF!,HQ$7,FALSE)),"",IF(VLOOKUP($CB48,#REF!,HQ$7,FALSE)="","",VLOOKUP($CB48,#REF!,HQ$7,FALSE)))</x:f>
        <x:v/>
      </x:c>
      <x:c r="HI48" s="202" t="str">
        <x:f>IF(ISERROR(VLOOKUP($CB48,#REF!,HR$7,FALSE)),"",IF(VLOOKUP($CB48,#REF!,HR$7,FALSE)="","",VLOOKUP($CB48,#REF!,HR$7,FALSE)))</x:f>
        <x:v/>
      </x:c>
      <x:c r="HJ48" s="203" t="str">
        <x:f>IF(ISERROR(VLOOKUP($CB48,#REF!,HS$7,FALSE)),"",IF(VLOOKUP($CB48,#REF!,HS$7,FALSE)="","",VLOOKUP($CB48,#REF!,HS$7,FALSE)))</x:f>
        <x:v/>
      </x:c>
      <x:c r="HK48" s="204" t="str">
        <x:f>IF(ISERROR(VLOOKUP($CB48,#REF!,HT$7,FALSE)),"",IF(VLOOKUP($CB48,#REF!,HT$7,FALSE)="","",VLOOKUP($CB48,#REF!,HT$7,FALSE)))</x:f>
        <x:v/>
      </x:c>
      <x:c r="HL48" s="194" t="str">
        <x:f>IF(ISERROR(VLOOKUP($CB48,#REF!,HU$7,FALSE)),"",IF(VLOOKUP($CB48,#REF!,HU$7,FALSE)="","",VLOOKUP($CB48,#REF!,HU$7,FALSE)))</x:f>
        <x:v/>
      </x:c>
      <x:c r="HM48" s="205" t="str">
        <x:f>IF(ISERROR(VLOOKUP($CB48,#REF!,HV$7,FALSE)),"",IF(VLOOKUP($CB48,#REF!,HV$7,FALSE)="","",VLOOKUP($CB48,#REF!,HV$7,FALSE)))</x:f>
        <x:v/>
      </x:c>
      <x:c r="HN48" s="206" t="str">
        <x:f>IF(ISERROR(VLOOKUP($CB48,#REF!,HW$7,FALSE)),"",IF(VLOOKUP($CB48,#REF!,HW$7,FALSE)="","",VLOOKUP($CB48,#REF!,HW$7,FALSE)))</x:f>
        <x:v/>
      </x:c>
      <x:c r="HO48" s="207" t="str">
        <x:f>IF(ISERROR(VLOOKUP($CB48,#REF!,HX$7,FALSE)),"",IF(VLOOKUP($CB48,#REF!,HX$7,FALSE)="","",VLOOKUP($CB48,#REF!,HX$7,FALSE)))</x:f>
        <x:v/>
      </x:c>
      <x:c r="HP48" s="186">
        <x:f>IF(IU48="",0,1)</x:f>
        <x:v>0</x:v>
      </x:c>
      <x:c r="HQ48" s="194" t="str">
        <x:f ca="1">IF($HP48=0,"",IF(ISBLANK(OFFSET(#REF!,MATCH(OFFSET($DH48,($HP48-1)*-1,0),#REF!,0)+($HP48-2),HZ$9-1)),"",OFFSET(#REF!,MATCH(OFFSET($DH48,($HP48-1)*-1,0),#REF!,0)+($HP48-2),HZ$9-1)))</x:f>
        <x:v/>
      </x:c>
      <x:c r="HR48" s="208" t="str">
        <x:f ca="1">IF($HP48=0,"",IF(ISBLANK(OFFSET(#REF!,MATCH(OFFSET($DH48,($HP48-1)*-1,0),#REF!,0)+($HP48-2),IA$9-1)),"",OFFSET(#REF!,MATCH(OFFSET($DH48,($HP48-1)*-1,0),#REF!,0)+($HP48-2),IA$9-1)))</x:f>
        <x:v/>
      </x:c>
      <x:c r="HS48" s="209" t="str">
        <x:f ca="1">IF($HP48=0,"",IF(ISBLANK(OFFSET(#REF!,MATCH(OFFSET($DH48,($HP48-1)*-1,0),#REF!,0)+($HP48-2),IB$9-1)),"",OFFSET(#REF!,MATCH(OFFSET($DH48,($HP48-1)*-1,0),#REF!,0)+($HP48-2),IB$9-1)))</x:f>
        <x:v/>
      </x:c>
      <x:c r="HT48" s="210" t="str">
        <x:f ca="1">IF($HP48=0,"",IF(ISBLANK(OFFSET(#REF!,MATCH(OFFSET($DH48,($HP48-1)*-1,0),#REF!,0)+($HP48-2),IC$9-1)),"",OFFSET(#REF!,MATCH(OFFSET($DH48,($HP48-1)*-1,0),#REF!,0)+($HP48-2),IC$9-1)))</x:f>
        <x:v/>
      </x:c>
      <x:c r="HU48" s="211" t="str">
        <x:f ca="1">IF($HP48=0,"",IF(ISBLANK(OFFSET(#REF!,MATCH(OFFSET($DH48,($HP48-1)*-1,0),#REF!,0)+($HP48-2),ID$9-1)),"",OFFSET(#REF!,MATCH(OFFSET($DH48,($HP48-1)*-1,0),#REF!,0)+($HP48-2),ID$9-1)))</x:f>
        <x:v/>
      </x:c>
      <x:c r="HV48" s="212" t="str">
        <x:f ca="1">IF($HP48=0,"",IF(ISBLANK(OFFSET(#REF!,MATCH(OFFSET($DH48,($HP48-1)*-1,0),#REF!,0)+($HP48-2),IE$9-1)),"",OFFSET(#REF!,MATCH(OFFSET($DH48,($HP48-1)*-1,0),#REF!,0)+($HP48-2),IE$9-1)))</x:f>
        <x:v/>
      </x:c>
      <x:c r="HW48" s="213" t="str">
        <x:f ca="1">IF($HP48=0,"",IF(ISBLANK(OFFSET(#REF!,MATCH(OFFSET($DH48,($HP48-1)*-1,0),#REF!,0)+($HP48-2),IF$9-1)),"",OFFSET(#REF!,MATCH(OFFSET($DH48,($HP48-1)*-1,0),#REF!,0)+($HP48-2),IF$9-1)))</x:f>
        <x:v/>
      </x:c>
      <x:c r="HX48" s="214" t="str">
        <x:f ca="1">IF($HP48=0,"",IF(ISBLANK(OFFSET(#REF!,MATCH(OFFSET($DH48,($HP48-1)*-1,0),#REF!,0)+($HP48-2),IG$9-1)),"",OFFSET(#REF!,MATCH(OFFSET($DH48,($HP48-1)*-1,0),#REF!,0)+($HP48-2),IG$9-1)))</x:f>
        <x:v/>
      </x:c>
      <x:c r="HY48" s="215" t="str">
        <x:f ca="1">IF($HP48=0,"",IF(ISBLANK(OFFSET(#REF!,MATCH(OFFSET($DH48,($HP48-1)*-1,0),#REF!,0)+($HP48-2),IH$9-1)),"",OFFSET(#REF!,MATCH(OFFSET($DH48,($HP48-1)*-1,0),#REF!,0)+($HP48-2),IH$9-1)))</x:f>
        <x:v/>
      </x:c>
      <x:c r="HZ48" s="216" t="str">
        <x:f ca="1">IF($HP48=0,"",IF(ISBLANK(OFFSET(#REF!,MATCH(OFFSET($DH48,($HP48-1)*-1,0),#REF!,0)+($HP48-2),II$9-1)),"",OFFSET(#REF!,MATCH(OFFSET($DH48,($HP48-1)*-1,0),#REF!,0)+($HP48-2),II$9-1)))</x:f>
        <x:v/>
      </x:c>
      <x:c r="IA48" s="216" t="str">
        <x:f ca="1">IF($HP48=0,"",IF(ISBLANK(OFFSET(#REF!,MATCH(OFFSET($DH48,($HP48-1)*-1,0),#REF!,0)+($HP48-2),IJ$9-1)),"",OFFSET(#REF!,MATCH(OFFSET($DH48,($HP48-1)*-1,0),#REF!,0)+($HP48-2),IJ$9-1)))</x:f>
        <x:v/>
      </x:c>
      <x:c r="IB48" s="216" t="str">
        <x:f ca="1">IF($HP48=0,"",IF(ISBLANK(OFFSET(#REF!,MATCH(OFFSET($DH48,($HP48-1)*-1,0),#REF!,0)+($HP48-2),IK$9-1)),"",OFFSET(#REF!,MATCH(OFFSET($DH48,($HP48-1)*-1,0),#REF!,0)+($HP48-2),IK$9-1)))</x:f>
        <x:v/>
      </x:c>
      <x:c r="IC48" s="217" t="str">
        <x:f ca="1">IF($HP48=0,"",IF(ISBLANK(OFFSET(#REF!,MATCH(OFFSET($DH48,($HP48-1)*-1,0),#REF!,0)+($HP48-2),IL$9-1)),"",OFFSET(#REF!,MATCH(OFFSET($DH48,($HP48-1)*-1,0),#REF!,0)+($HP48-2),IL$9-1)))</x:f>
        <x:v/>
      </x:c>
      <x:c r="ID48" s="218" t="str">
        <x:f ca="1">IF($HP48=0,"",IF(ISBLANK(OFFSET(#REF!,MATCH(OFFSET($DH48,($HP48-1)*-1,0),#REF!,0)+($HP48-2),IM$9-1)),"",OFFSET(#REF!,MATCH(OFFSET($DH48,($HP48-1)*-1,0),#REF!,0)+($HP48-2),IM$9-1)))</x:f>
        <x:v/>
      </x:c>
      <x:c r="IE48" s="219" t="str">
        <x:f ca="1">IF($HP48=0,"",IF(ISBLANK(OFFSET(#REF!,MATCH(OFFSET($DH48,($HP48-1)*-1,0),#REF!,0)+($HP48-2),IN$9-1)),"",OFFSET(#REF!,MATCH(OFFSET($DH48,($HP48-1)*-1,0),#REF!,0)+($HP48-2),IN$9-1)))</x:f>
        <x:v/>
      </x:c>
      <x:c r="IF48" s="220" t="str">
        <x:f ca="1">IF($HP48=0,"",IF(ISBLANK(OFFSET(#REF!,MATCH(OFFSET($DH48,($HP48-1)*-1,0),#REF!,0)+($HP48-2),IO$9-1)),"",OFFSET(#REF!,MATCH(OFFSET($DH48,($HP48-1)*-1,0),#REF!,0)+($HP48-2),IO$9-1)))</x:f>
        <x:v/>
      </x:c>
      <x:c r="IG48" s="221" t="str">
        <x:f ca="1">IF($HP48=0,"",IF(ISBLANK(OFFSET(#REF!,MATCH(OFFSET($DH48,($HP48-1)*-1,0),#REF!,0)+($HP48-2),IP$9-1)),"",OFFSET(#REF!,MATCH(OFFSET($DH48,($HP48-1)*-1,0),#REF!,0)+($HP48-2),IP$9-1)))</x:f>
        <x:v/>
      </x:c>
      <x:c r="IH48" s="222" t="str">
        <x:f ca="1">IF($HP48=0,"",IF(ISBLANK(OFFSET(#REF!,MATCH(OFFSET($DH48,($HP48-1)*-1,0),#REF!,0)+($HP48-2),IQ$9-1)),"",OFFSET(#REF!,MATCH(OFFSET($DH48,($HP48-1)*-1,0),#REF!,0)+($HP48-2),IQ$9-1)))</x:f>
        <x:v/>
      </x:c>
      <x:c r="II48" s="219" t="str">
        <x:f ca="1">IF($HP48=0,"",IF(ISBLANK(OFFSET(#REF!,MATCH(OFFSET($DH48,($HP48-1)*-1,0),#REF!,0)+($HP48-2),IR$9-1)),"",OFFSET(#REF!,MATCH(OFFSET($DH48,($HP48-1)*-1,0),#REF!,0)+($HP48-2),IR$9-1)))</x:f>
        <x:v/>
      </x:c>
      <x:c r="IJ48" s="220" t="str">
        <x:f ca="1">IF($HP48=0,"",IF(ISBLANK(OFFSET(#REF!,MATCH(OFFSET($DH48,($HP48-1)*-1,0),#REF!,0)+($HP48-2),IS$9-1)),"",OFFSET(#REF!,MATCH(OFFSET($DH48,($HP48-1)*-1,0),#REF!,0)+($HP48-2),IS$9-1)))</x:f>
        <x:v/>
      </x:c>
      <x:c r="IK48" s="221" t="str">
        <x:f ca="1">IF($HP48=0,"",IF(ISBLANK(OFFSET(#REF!,MATCH(OFFSET($DH48,($HP48-1)*-1,0),#REF!,0)+($HP48-2),IT$9-1)),"",OFFSET(#REF!,MATCH(OFFSET($DH48,($HP48-1)*-1,0),#REF!,0)+($HP48-2),IT$9-1)))</x:f>
        <x:v/>
      </x:c>
      <x:c r="IL48" s="222" t="str">
        <x:f ca="1">IF($HP48=0,"",IF(ISBLANK(OFFSET(#REF!,MATCH(OFFSET($DH48,($HP48-1)*-1,0),#REF!,0)+($HP48-2),IU$9-1)),"",OFFSET(#REF!,MATCH(OFFSET($DH48,($HP48-1)*-1,0),#REF!,0)+($HP48-2),IU$9-1)))</x:f>
        <x:v/>
      </x:c>
      <x:c r="IM48" s="219" t="str">
        <x:f ca="1">IF($HP48=0,"",IF(ISBLANK(OFFSET(#REF!,MATCH(OFFSET($DH48,($HP48-1)*-1,0),#REF!,0)+($HP48-2),IV$9-1)),"",OFFSET(#REF!,MATCH(OFFSET($DH48,($HP48-1)*-1,0),#REF!,0)+($HP48-2),IV$9-1)))</x:f>
        <x:v/>
      </x:c>
      <x:c r="IN48" s="223" t="str">
        <x:f ca="1">IF($HP48=0,"",IF(ISBLANK(OFFSET(#REF!,MATCH(OFFSET($DH48,($HP48-1)*-1,0),#REF!,0)+($HP48-2),IW$9-1)),"",OFFSET(#REF!,MATCH(OFFSET($DH48,($HP48-1)*-1,0),#REF!,0)+($HP48-2),IW$9-1)))</x:f>
        <x:v/>
      </x:c>
      <x:c r="IO48" s="221" t="str">
        <x:f ca="1">IF($HP48=0,"",IF(ISBLANK(OFFSET(#REF!,MATCH(OFFSET($DH48,($HP48-1)*-1,0),#REF!,0)+($HP48-2),IX$9-1)),"",OFFSET(#REF!,MATCH(OFFSET($DH48,($HP48-1)*-1,0),#REF!,0)+($HP48-2),IX$9-1)))</x:f>
        <x:v/>
      </x:c>
      <x:c r="IP48" s="222" t="str">
        <x:f ca="1">IF($HP48=0,"",IF(ISBLANK(OFFSET(#REF!,MATCH(OFFSET($DH48,($HP48-1)*-1,0),#REF!,0)+($HP48-2),IY$9-1)),"",OFFSET(#REF!,MATCH(OFFSET($DH48,($HP48-1)*-1,0),#REF!,0)+($HP48-2),IY$9-1)))</x:f>
        <x:v/>
      </x:c>
      <x:c r="IQ48" s="224" t="str">
        <x:f ca="1">IF($HP48=0,"",IF(ISBLANK(OFFSET(#REF!,MATCH(OFFSET($DH48,($HP48-1)*-1,0),#REF!,0)+($HP48-2),IZ$9-1)),"",OFFSET(#REF!,MATCH(OFFSET($DH48,($HP48-1)*-1,0),#REF!,0)+($HP48-2),IZ$9-1)))</x:f>
        <x:v/>
      </x:c>
      <x:c r="IR48" s="223" t="str">
        <x:f ca="1">IF($HP48=0,"",IF(ISBLANK(OFFSET(#REF!,MATCH(OFFSET($DH48,($HP48-1)*-1,0),#REF!,0)+($HP48-2),JA$9-1)),"",OFFSET(#REF!,MATCH(OFFSET($DH48,($HP48-1)*-1,0),#REF!,0)+($HP48-2),JA$9-1)))</x:f>
        <x:v/>
      </x:c>
      <x:c r="IS48" s="221" t="str">
        <x:f ca="1">IF($HP48=0,"",IF(ISBLANK(OFFSET(#REF!,MATCH(OFFSET($DH48,($HP48-1)*-1,0),#REF!,0)+($HP48-2),JB$9-1)),"",OFFSET(#REF!,MATCH(OFFSET($DH48,($HP48-1)*-1,0),#REF!,0)+($HP48-2),JB$9-1)))</x:f>
        <x:v/>
      </x:c>
      <x:c r="IT48" s="225" t="str">
        <x:f ca="1">IF($HP48=0,"",IF(ISBLANK(OFFSET(#REF!,MATCH(OFFSET($DH48,($HP48-1)*-1,0),#REF!,0)+($HP48-2),JC$9-1)),"",OFFSET(#REF!,MATCH(OFFSET($DH48,($HP48-1)*-1,0),#REF!,0)+($HP48-2),JC$9-1)))</x:f>
        <x:v/>
      </x:c>
      <x:c r="IU48" s="226" t="str">
        <x:f>IF(ISERROR(VLOOKUP($DH48,#REF!,JD$9,FALSE)),"",IF(VLOOKUP($DH48,#REF!,JD$9,FALSE)="","",VLOOKUP($DH48,#REF!,JD$9,FALSE)))</x:f>
        <x:v/>
      </x:c>
    </x:row>
    <x:row r="49" spans="1:222" ht="12.6" hidden="1" customHeight="1" thickBot="1" x14ac:dyDescent="0.25">
      <x:c r="B49" s="283">
        <x:v>0</x:v>
      </x:c>
      <x:c r="C49" s="185"/>
      <x:c r="CI49" s="125"/>
      <x:c r="CJ49" s="125"/>
      <x:c r="CK49" s="125"/>
      <x:c r="CL49" s="125"/>
      <x:c r="CM49" s="125"/>
      <x:c r="CN49" s="125"/>
      <x:c r="CO49" s="125"/>
      <x:c r="GD49" s="171"/>
      <x:c r="GE49" s="171"/>
      <x:c r="GF49" s="171"/>
      <x:c r="GG49" s="171"/>
      <x:c r="GH49" s="171"/>
      <x:c r="GI49" s="171"/>
      <x:c r="GJ49" s="171"/>
      <x:c r="GK49" s="171"/>
      <x:c r="GL49" s="171"/>
      <x:c r="GM49" s="171"/>
      <x:c r="GN49" s="171"/>
      <x:c r="GO49" s="171"/>
      <x:c r="GP49" s="171"/>
      <x:c r="GQ49" s="171"/>
      <x:c r="GR49" s="171"/>
      <x:c r="GS49" s="171"/>
      <x:c r="GT49" s="171"/>
      <x:c r="GU49" s="171"/>
      <x:c r="GV49" s="171"/>
      <x:c r="GW49" s="171"/>
      <x:c r="GX49" s="171"/>
      <x:c r="GY49" s="171"/>
      <x:c r="GZ49" s="171"/>
      <x:c r="HB49" s="174"/>
      <x:c r="HC49" s="174"/>
      <x:c r="HD49" s="175"/>
      <x:c r="HE49" s="176"/>
      <x:c r="HF49" s="174"/>
      <x:c r="HG49" s="174"/>
      <x:c r="HH49" s="174"/>
      <x:c r="HI49" s="174"/>
      <x:c r="HJ49" s="174"/>
      <x:c r="HK49" s="174"/>
      <x:c r="HL49" s="174"/>
      <x:c r="HM49" s="174"/>
      <x:c r="HN49" s="174"/>
    </x:row>
    <x:row r="50" spans="1:222" ht="12.6" hidden="1" customHeight="1" thickBot="1" x14ac:dyDescent="0.25">
      <x:c r="BZ50" s="360"/>
      <x:c r="CA50" s="360"/>
      <x:c r="CB50" s="360"/>
      <x:c r="CC50" s="360"/>
      <x:c r="CD50" s="360"/>
      <x:c r="CE50" s="360"/>
      <x:c r="CF50" s="360"/>
      <x:c r="CG50" s="360"/>
      <x:c r="CH50" s="360"/>
      <x:c r="CI50" s="360"/>
      <x:c r="CJ50" s="360"/>
      <x:c r="CK50" s="360"/>
      <x:c r="CL50" s="360"/>
      <x:c r="CM50" s="360"/>
      <x:c r="CN50" s="360"/>
      <x:c r="CO50" s="360"/>
      <x:c r="CP50" s="360"/>
      <x:c r="CQ50" s="360"/>
      <x:c r="CR50" s="360"/>
      <x:c r="CS50" s="360"/>
      <x:c r="CT50" s="360"/>
      <x:c r="CU50" s="404"/>
      <x:c r="CV50" s="405"/>
      <x:c r="CW50" s="405"/>
      <x:c r="CX50" s="359"/>
      <x:c r="CY50" s="360"/>
      <x:c r="CZ50" s="360"/>
      <x:c r="DA50" s="360"/>
      <x:c r="DB50" s="360"/>
      <x:c r="DC50" s="360"/>
      <x:c r="DD50" s="360"/>
      <x:c r="DE50" s="360"/>
      <x:c r="DF50" s="360"/>
      <x:c r="DG50" s="360"/>
      <x:c r="DH50" s="360"/>
      <x:c r="DI50" s="377"/>
      <x:c r="DJ50" s="377"/>
      <x:c r="DK50" s="377"/>
      <x:c r="DL50" s="360"/>
      <x:c r="DM50" s="360"/>
      <x:c r="DN50" s="359"/>
      <x:c r="DO50" s="360"/>
      <x:c r="DP50" s="360"/>
      <x:c r="DQ50" s="360"/>
      <x:c r="DR50" s="360"/>
      <x:c r="DS50" s="360"/>
      <x:c r="DT50" s="360"/>
      <x:c r="DU50" s="360"/>
      <x:c r="DV50" s="360"/>
      <x:c r="DW50" s="360"/>
      <x:c r="DX50" s="360"/>
      <x:c r="DY50" s="360"/>
      <x:c r="DZ50" s="360"/>
      <x:c r="EA50" s="360"/>
      <x:c r="EB50" s="359"/>
      <x:c r="EC50" s="406"/>
      <x:c r="ED50" s="2385" t="s">
        <x:v>509</x:v>
      </x:c>
      <x:c r="EE50" s="2385" t="s">
        <x:v>562</x:v>
      </x:c>
      <x:c r="EF50" s="2385" t="s">
        <x:v>563</x:v>
      </x:c>
      <x:c r="EG50" s="2385" t="s">
        <x:v>564</x:v>
      </x:c>
      <x:c r="EH50" s="2385" t="s">
        <x:v>565</x:v>
      </x:c>
      <x:c r="EI50" s="2385" t="s">
        <x:v>566</x:v>
      </x:c>
      <x:c r="EJ50" s="2385" t="s">
        <x:v>567</x:v>
      </x:c>
      <x:c r="EK50" s="2385" t="s">
        <x:v>568</x:v>
      </x:c>
      <x:c r="EL50" s="2385" t="s">
        <x:v>510</x:v>
      </x:c>
      <x:c r="EM50" s="2385" t="s">
        <x:v>569</x:v>
      </x:c>
      <x:c r="EN50" s="2385" t="s">
        <x:v>623</x:v>
      </x:c>
      <x:c r="EO50" s="2385" t="s">
        <x:v>511</x:v>
      </x:c>
      <x:c r="EP50" s="2385" t="s">
        <x:v>570</x:v>
      </x:c>
      <x:c r="EQ50" s="2385" t="s">
        <x:v>512</x:v>
      </x:c>
      <x:c r="ER50" s="2385" t="s">
        <x:v>571</x:v>
      </x:c>
      <x:c r="ES50" s="2385" t="s">
        <x:v>624</x:v>
      </x:c>
      <x:c r="ET50" s="2385" t="s">
        <x:v>513</x:v>
      </x:c>
      <x:c r="EU50" s="2385" t="s">
        <x:v>514</x:v>
      </x:c>
      <x:c r="EV50" s="360"/>
      <x:c r="EW50" s="360"/>
      <x:c r="EX50" s="360"/>
      <x:c r="EY50" s="363"/>
      <x:c r="EZ50" s="363"/>
      <x:c r="FA50" s="363"/>
      <x:c r="FB50" s="360"/>
      <x:c r="FC50" s="360"/>
      <x:c r="FD50" s="360"/>
      <x:c r="FG50" s="139"/>
      <x:c r="FH50" s="139"/>
      <x:c r="FI50" s="139"/>
      <x:c r="FJ50" s="139"/>
      <x:c r="FK50" s="139"/>
      <x:c r="FL50" s="296"/>
      <x:c r="FM50" s="296"/>
      <x:c r="FN50" s="2553" t="s">
        <x:v>656</x:v>
      </x:c>
      <x:c r="FO50" s="2554"/>
      <x:c r="FP50" s="2554"/>
      <x:c r="FQ50" s="2554"/>
      <x:c r="FR50" s="2554"/>
      <x:c r="FS50" s="2555"/>
      <x:c r="FT50" s="2519" t="s">
        <x:v>657</x:v>
      </x:c>
      <x:c r="FU50" s="2520"/>
      <x:c r="FV50" s="2520"/>
      <x:c r="FW50" s="2520"/>
      <x:c r="FX50" s="2520"/>
      <x:c r="FY50" s="2520"/>
      <x:c r="FZ50" s="2521"/>
      <x:c r="GA50" s="295"/>
      <x:c r="GB50" s="295"/>
      <x:c r="GC50" s="295"/>
      <x:c r="GD50" s="295"/>
      <x:c r="GE50" s="295"/>
      <x:c r="GF50" s="295"/>
      <x:c r="GG50" s="295"/>
      <x:c r="GH50" s="295"/>
      <x:c r="GI50" s="295"/>
      <x:c r="GJ50" s="295"/>
      <x:c r="GK50" s="295"/>
      <x:c r="GL50" s="171"/>
      <x:c r="GM50" s="171"/>
      <x:c r="GN50" s="171"/>
      <x:c r="GO50" s="171"/>
      <x:c r="GP50" s="171"/>
      <x:c r="GQ50" s="171"/>
      <x:c r="GR50" s="171"/>
      <x:c r="GS50" s="171"/>
      <x:c r="GT50" s="171"/>
      <x:c r="GU50" s="171"/>
      <x:c r="GV50" s="171"/>
      <x:c r="GW50" s="171"/>
      <x:c r="GX50" s="171"/>
      <x:c r="GY50" s="171"/>
      <x:c r="GZ50" s="171"/>
      <x:c r="HB50" s="174"/>
      <x:c r="HC50" s="174"/>
      <x:c r="HD50" s="175"/>
      <x:c r="HE50" s="176"/>
      <x:c r="HF50" s="174"/>
      <x:c r="HG50" s="174"/>
      <x:c r="HH50" s="174"/>
      <x:c r="HI50" s="174"/>
      <x:c r="HJ50" s="174"/>
      <x:c r="HK50" s="174"/>
      <x:c r="HL50" s="174"/>
      <x:c r="HM50" s="174"/>
      <x:c r="HN50" s="174"/>
    </x:row>
    <x:row r="51" spans="1:222" ht="12.6" hidden="1" customHeight="1" thickTop="1" thickBot="1" x14ac:dyDescent="0.25">
      <x:c r="BZ51" s="360"/>
      <x:c r="CA51" s="360"/>
      <x:c r="CB51" s="360"/>
      <x:c r="CC51" s="2408" t="s">
        <x:v>654</x:v>
      </x:c>
      <x:c r="CD51" s="2409"/>
      <x:c r="CE51" s="2409"/>
      <x:c r="CF51" s="2409"/>
      <x:c r="CG51" s="2409"/>
      <x:c r="CH51" s="2409"/>
      <x:c r="CI51" s="2409"/>
      <x:c r="CJ51" s="2409"/>
      <x:c r="CK51" s="2410"/>
      <x:c r="CL51" s="2408" t="s">
        <x:v>507</x:v>
      </x:c>
      <x:c r="CM51" s="2409"/>
      <x:c r="CN51" s="2409"/>
      <x:c r="CO51" s="2409"/>
      <x:c r="CP51" s="2409"/>
      <x:c r="CQ51" s="2409"/>
      <x:c r="CR51" s="2409"/>
      <x:c r="CS51" s="2409"/>
      <x:c r="CT51" s="2410"/>
      <x:c r="CU51" s="407"/>
      <x:c r="CV51" s="408"/>
      <x:c r="CW51" s="408"/>
      <x:c r="CX51" s="408"/>
      <x:c r="CY51" s="408"/>
      <x:c r="CZ51" s="408"/>
      <x:c r="DA51" s="408"/>
      <x:c r="DB51" s="408"/>
      <x:c r="DC51" s="408"/>
      <x:c r="DD51" s="408"/>
      <x:c r="DE51" s="408"/>
      <x:c r="DF51" s="408"/>
      <x:c r="DG51" s="408"/>
      <x:c r="DH51" s="408"/>
      <x:c r="DI51" s="408"/>
      <x:c r="DJ51" s="408"/>
      <x:c r="DK51" s="408"/>
      <x:c r="DL51" s="408"/>
      <x:c r="DM51" s="408"/>
      <x:c r="DN51" s="409"/>
      <x:c r="DO51" s="408"/>
      <x:c r="DP51" s="408"/>
      <x:c r="DQ51" s="408"/>
      <x:c r="DR51" s="408"/>
      <x:c r="DS51" s="408"/>
      <x:c r="DT51" s="408"/>
      <x:c r="DU51" s="408"/>
      <x:c r="DV51" s="408"/>
      <x:c r="DW51" s="408"/>
      <x:c r="DX51" s="408"/>
      <x:c r="DY51" s="408"/>
      <x:c r="DZ51" s="408"/>
      <x:c r="EA51" s="408"/>
      <x:c r="EB51" s="410"/>
      <x:c r="EC51" s="411"/>
      <x:c r="ED51" s="2387"/>
      <x:c r="EE51" s="2386"/>
      <x:c r="EF51" s="2386"/>
      <x:c r="EG51" s="2395"/>
      <x:c r="EH51" s="2386"/>
      <x:c r="EI51" s="2386"/>
      <x:c r="EJ51" s="2386"/>
      <x:c r="EK51" s="2387"/>
      <x:c r="EL51" s="2387"/>
      <x:c r="EM51" s="2387"/>
      <x:c r="EN51" s="2386"/>
      <x:c r="EO51" s="2387"/>
      <x:c r="EP51" s="2387"/>
      <x:c r="EQ51" s="2387"/>
      <x:c r="ER51" s="2387"/>
      <x:c r="ES51" s="2387"/>
      <x:c r="ET51" s="2387"/>
      <x:c r="EU51" s="2387"/>
      <x:c r="EV51" s="360"/>
      <x:c r="EW51" s="360"/>
      <x:c r="EX51" s="2515" t="s">
        <x:v>658</x:v>
      </x:c>
      <x:c r="EY51" s="2606" t="s">
        <x:v>659</x:v>
      </x:c>
      <x:c r="EZ51" s="360"/>
      <x:c r="FA51" s="360"/>
      <x:c r="FB51" s="360"/>
      <x:c r="FC51" s="360"/>
      <x:c r="FD51" s="360"/>
      <x:c r="FF51" s="2603" t="s">
        <x:v>990</x:v>
      </x:c>
      <x:c r="FG51" s="2604"/>
      <x:c r="FH51" s="2604"/>
      <x:c r="FI51" s="2604"/>
      <x:c r="FL51" s="296"/>
      <x:c r="FM51" s="296"/>
      <x:c r="FN51" s="2556"/>
      <x:c r="FO51" s="2557"/>
      <x:c r="FP51" s="2557"/>
      <x:c r="FQ51" s="2557"/>
      <x:c r="FR51" s="2557"/>
      <x:c r="FS51" s="2558"/>
      <x:c r="FT51" s="2522"/>
      <x:c r="FU51" s="2523"/>
      <x:c r="FV51" s="2523"/>
      <x:c r="FW51" s="2523"/>
      <x:c r="FX51" s="2523"/>
      <x:c r="FY51" s="2523"/>
      <x:c r="FZ51" s="2524"/>
      <x:c r="GA51" s="295"/>
      <x:c r="GB51" s="295"/>
      <x:c r="GC51" s="295"/>
      <x:c r="GD51" s="295"/>
      <x:c r="GE51" s="295"/>
      <x:c r="GF51" s="295"/>
      <x:c r="GG51" s="295"/>
      <x:c r="GH51" s="295"/>
      <x:c r="GI51" s="295"/>
      <x:c r="GJ51" s="295"/>
      <x:c r="GK51" s="2"/>
      <x:c r="GL51" s="171"/>
      <x:c r="GM51" s="171"/>
      <x:c r="GN51" s="171"/>
      <x:c r="GO51" s="171"/>
      <x:c r="GP51" s="171"/>
      <x:c r="GQ51" s="171"/>
      <x:c r="GR51" s="171"/>
      <x:c r="GS51" s="171"/>
      <x:c r="GT51" s="171"/>
      <x:c r="GU51" s="171"/>
      <x:c r="GV51" s="171"/>
      <x:c r="GW51" s="171"/>
      <x:c r="GX51" s="171"/>
      <x:c r="GY51" s="171"/>
      <x:c r="GZ51" s="171"/>
      <x:c r="HB51" s="174"/>
      <x:c r="HC51" s="174"/>
      <x:c r="HD51" s="175"/>
      <x:c r="HE51" s="176"/>
      <x:c r="HF51" s="174"/>
      <x:c r="HG51" s="174"/>
      <x:c r="HH51" s="174"/>
      <x:c r="HI51" s="174"/>
      <x:c r="HJ51" s="174"/>
      <x:c r="HK51" s="174"/>
      <x:c r="HL51" s="174"/>
      <x:c r="HM51" s="174"/>
      <x:c r="HN51" s="174"/>
    </x:row>
    <x:row r="52" spans="1:222" ht="12.6" hidden="1" customHeight="1" thickTop="1" thickBot="1" x14ac:dyDescent="0.25">
      <x:c r="BZ52" s="360"/>
      <x:c r="CA52" s="360"/>
      <x:c r="CB52" s="2503" t="s">
        <x:v>653</x:v>
      </x:c>
      <x:c r="CC52" s="2401" t="s">
        <x:v>535</x:v>
      </x:c>
      <x:c r="CD52" s="2403" t="s">
        <x:v>536</x:v>
      </x:c>
      <x:c r="CE52" s="2403" t="s">
        <x:v>537</x:v>
      </x:c>
      <x:c r="CF52" s="2403" t="s">
        <x:v>538</x:v>
      </x:c>
      <x:c r="CG52" s="2403" t="s">
        <x:v>599</x:v>
      </x:c>
      <x:c r="CH52" s="2403" t="s">
        <x:v>539</x:v>
      </x:c>
      <x:c r="CI52" s="2403" t="s">
        <x:v>619</x:v>
      </x:c>
      <x:c r="CJ52" s="2403" t="s">
        <x:v>540</x:v>
      </x:c>
      <x:c r="CK52" s="2405" t="s">
        <x:v>541</x:v>
      </x:c>
      <x:c r="CL52" s="2401" t="s">
        <x:v>535</x:v>
      </x:c>
      <x:c r="CM52" s="2403" t="s">
        <x:v>536</x:v>
      </x:c>
      <x:c r="CN52" s="2403" t="s">
        <x:v>542</x:v>
      </x:c>
      <x:c r="CO52" s="2403" t="s">
        <x:v>538</x:v>
      </x:c>
      <x:c r="CP52" s="2403" t="s">
        <x:v>599</x:v>
      </x:c>
      <x:c r="CQ52" s="2403" t="s">
        <x:v>539</x:v>
      </x:c>
      <x:c r="CR52" s="2403" t="s">
        <x:v>619</x:v>
      </x:c>
      <x:c r="CS52" s="2403" t="s">
        <x:v>540</x:v>
      </x:c>
      <x:c r="CT52" s="2405" t="s">
        <x:v>541</x:v>
      </x:c>
      <x:c r="CU52" s="2510" t="s">
        <x:v>528</x:v>
      </x:c>
      <x:c r="CV52" s="2393" t="s">
        <x:v>543</x:v>
      </x:c>
      <x:c r="CW52" s="2393" t="s">
        <x:v>544</x:v>
      </x:c>
      <x:c r="CX52" s="2391" t="s">
        <x:v>545</x:v>
      </x:c>
      <x:c r="CY52" s="2397" t="s">
        <x:v>582</x:v>
      </x:c>
      <x:c r="CZ52" s="2513" t="s">
        <x:v>546</x:v>
      </x:c>
      <x:c r="DA52" s="2514"/>
      <x:c r="DB52" s="2397" t="s">
        <x:v>547</x:v>
      </x:c>
      <x:c r="DC52" s="2393" t="s">
        <x:v>550</x:v>
      </x:c>
      <x:c r="DD52" s="2393" t="s">
        <x:v>551</x:v>
      </x:c>
      <x:c r="DE52" s="2397" t="s">
        <x:v>583</x:v>
      </x:c>
      <x:c r="DF52" s="2513" t="s">
        <x:v>548</x:v>
      </x:c>
      <x:c r="DG52" s="2514"/>
      <x:c r="DH52" s="2393" t="s">
        <x:v>549</x:v>
      </x:c>
      <x:c r="DI52" s="2393" t="s">
        <x:v>552</x:v>
      </x:c>
      <x:c r="DJ52" s="2393" t="s">
        <x:v>553</x:v>
      </x:c>
      <x:c r="DK52" s="2393" t="s">
        <x:v>554</x:v>
      </x:c>
      <x:c r="DL52" s="2393" t="s">
        <x:v>584</x:v>
      </x:c>
      <x:c r="DM52" s="2388" t="s">
        <x:v>585</x:v>
      </x:c>
      <x:c r="DN52" s="2389"/>
      <x:c r="DO52" s="2388" t="s">
        <x:v>586</x:v>
      </x:c>
      <x:c r="DP52" s="2390"/>
      <x:c r="DQ52" s="2391" t="s">
        <x:v>587</x:v>
      </x:c>
      <x:c r="DR52" s="2392"/>
      <x:c r="DS52" s="2393" t="s">
        <x:v>608</x:v>
      </x:c>
      <x:c r="DT52" s="2388" t="s">
        <x:v>588</x:v>
      </x:c>
      <x:c r="DU52" s="2389"/>
      <x:c r="DV52" s="2388" t="s">
        <x:v>589</x:v>
      </x:c>
      <x:c r="DW52" s="2390"/>
      <x:c r="DX52" s="2391" t="s">
        <x:v>590</x:v>
      </x:c>
      <x:c r="DY52" s="2392"/>
      <x:c r="DZ52" s="2393" t="s">
        <x:v>12</x:v>
      </x:c>
      <x:c r="EA52" s="2393" t="s">
        <x:v>13</x:v>
      </x:c>
      <x:c r="EB52" s="2393" t="s">
        <x:v>622</x:v>
      </x:c>
      <x:c r="EC52" s="2393" t="s">
        <x:v>621</x:v>
      </x:c>
      <x:c r="ED52" s="2387"/>
      <x:c r="EE52" s="2386"/>
      <x:c r="EF52" s="2386"/>
      <x:c r="EG52" s="2395"/>
      <x:c r="EH52" s="2386"/>
      <x:c r="EI52" s="2386"/>
      <x:c r="EJ52" s="2386"/>
      <x:c r="EK52" s="2387"/>
      <x:c r="EL52" s="2387"/>
      <x:c r="EM52" s="2387"/>
      <x:c r="EN52" s="2386"/>
      <x:c r="EO52" s="2387"/>
      <x:c r="EP52" s="2387"/>
      <x:c r="EQ52" s="2387"/>
      <x:c r="ER52" s="2387"/>
      <x:c r="ES52" s="2387"/>
      <x:c r="ET52" s="2387"/>
      <x:c r="EU52" s="2387"/>
      <x:c r="EV52" s="2393" t="s">
        <x:v>630</x:v>
      </x:c>
      <x:c r="EW52" s="2393" t="s">
        <x:v>631</x:v>
      </x:c>
      <x:c r="EX52" s="2516"/>
      <x:c r="EY52" s="2606"/>
      <x:c r="EZ52" s="2488" t="s">
        <x:v>555</x:v>
      </x:c>
      <x:c r="FA52" s="2490" t="s">
        <x:v>556</x:v>
      </x:c>
      <x:c r="FB52" s="2517" t="s">
        <x:v>723</x:v>
      </x:c>
      <x:c r="FC52" s="2517" t="s">
        <x:v>724</x:v>
      </x:c>
      <x:c r="FD52" s="2543" t="s">
        <x:v>828</x:v>
      </x:c>
      <x:c r="FE52" s="2544"/>
      <x:c r="FF52" s="296" t="s">
        <x:v>991</x:v>
      </x:c>
      <x:c r="FK52" s="2529" t="s">
        <x:v>831</x:v>
      </x:c>
      <x:c r="FL52" s="2531" t="s">
        <x:v>660</x:v>
      </x:c>
      <x:c r="FM52" s="2533" t="s">
        <x:v>527</x:v>
      </x:c>
      <x:c r="FN52" s="2541" t="s">
        <x:v>529</x:v>
      </x:c>
      <x:c r="FO52" s="2646" t="s">
        <x:v>530</x:v>
      </x:c>
      <x:c r="FP52" s="2649" t="s">
        <x:v>531</x:v>
      </x:c>
      <x:c r="FQ52" s="2649" t="s">
        <x:v>532</x:v>
      </x:c>
      <x:c r="FR52" s="2653" t="s">
        <x:v>533</x:v>
      </x:c>
      <x:c r="FS52" s="2650" t="s">
        <x:v>534</x:v>
      </x:c>
      <x:c r="FT52" s="2527" t="s">
        <x:v>683</x:v>
      </x:c>
      <x:c r="FU52" s="2525" t="s">
        <x:v>521</x:v>
      </x:c>
      <x:c r="FV52" s="2525" t="s">
        <x:v>686</x:v>
      </x:c>
      <x:c r="FW52" s="2525" t="s">
        <x:v>685</x:v>
      </x:c>
      <x:c r="FX52" s="2525" t="s">
        <x:v>522</x:v>
      </x:c>
      <x:c r="FY52" s="2525" t="s">
        <x:v>684</x:v>
      </x:c>
      <x:c r="FZ52" s="2525" t="s">
        <x:v>687</x:v>
      </x:c>
      <x:c r="GA52" s="2525" t="s">
        <x:v>523</x:v>
      </x:c>
      <x:c r="GB52" s="2549" t="s">
        <x:v>524</x:v>
      </x:c>
      <x:c r="GC52" s="2547" t="s">
        <x:v>665</x:v>
      </x:c>
      <x:c r="GD52" s="249"/>
      <x:c r="GE52" s="164"/>
      <x:c r="GF52" s="164"/>
      <x:c r="GG52" s="168"/>
      <x:c r="GH52" s="168"/>
      <x:c r="GI52" s="169"/>
      <x:c r="GJ52" s="2545" t="s">
        <x:v>688</x:v>
      </x:c>
      <x:c r="GK52" s="2"/>
      <x:c r="GL52" s="171"/>
      <x:c r="GM52" s="171"/>
    </x:row>
    <x:row r="53" spans="1:222" ht="12.6" hidden="1" customHeight="1" thickTop="1" thickBot="1" x14ac:dyDescent="0.25">
      <x:c r="BZ53" s="360"/>
      <x:c r="CA53" s="360"/>
      <x:c r="CB53" s="2504"/>
      <x:c r="CC53" s="2402"/>
      <x:c r="CD53" s="2407"/>
      <x:c r="CE53" s="2407"/>
      <x:c r="CF53" s="2404"/>
      <x:c r="CG53" s="2404"/>
      <x:c r="CH53" s="2404"/>
      <x:c r="CI53" s="2404"/>
      <x:c r="CJ53" s="2404"/>
      <x:c r="CK53" s="2406"/>
      <x:c r="CL53" s="2402"/>
      <x:c r="CM53" s="2407"/>
      <x:c r="CN53" s="2407"/>
      <x:c r="CO53" s="2404"/>
      <x:c r="CP53" s="2404"/>
      <x:c r="CQ53" s="2404"/>
      <x:c r="CR53" s="2404"/>
      <x:c r="CS53" s="2404"/>
      <x:c r="CT53" s="2406"/>
      <x:c r="CU53" s="2511"/>
      <x:c r="CV53" s="2394"/>
      <x:c r="CW53" s="2509"/>
      <x:c r="CX53" s="2512"/>
      <x:c r="CY53" s="2387"/>
      <x:c r="CZ53" s="412" t="s">
        <x:v>593</x:v>
      </x:c>
      <x:c r="DA53" s="412" t="s">
        <x:v>594</x:v>
      </x:c>
      <x:c r="DB53" s="2387"/>
      <x:c r="DC53" s="2394"/>
      <x:c r="DD53" s="2394"/>
      <x:c r="DE53" s="2387"/>
      <x:c r="DF53" s="412" t="s">
        <x:v>593</x:v>
      </x:c>
      <x:c r="DG53" s="412" t="s">
        <x:v>594</x:v>
      </x:c>
      <x:c r="DH53" s="2394"/>
      <x:c r="DI53" s="2394"/>
      <x:c r="DJ53" s="2394"/>
      <x:c r="DK53" s="2394"/>
      <x:c r="DL53" s="2394"/>
      <x:c r="DM53" s="413" t="s">
        <x:v>558</x:v>
      </x:c>
      <x:c r="DN53" s="413" t="s">
        <x:v>559</x:v>
      </x:c>
      <x:c r="DO53" s="413" t="s">
        <x:v>558</x:v>
      </x:c>
      <x:c r="DP53" s="413" t="s">
        <x:v>559</x:v>
      </x:c>
      <x:c r="DQ53" s="413" t="s">
        <x:v>558</x:v>
      </x:c>
      <x:c r="DR53" s="413" t="s">
        <x:v>559</x:v>
      </x:c>
      <x:c r="DS53" s="2394"/>
      <x:c r="DT53" s="413" t="s">
        <x:v>558</x:v>
      </x:c>
      <x:c r="DU53" s="413" t="s">
        <x:v>559</x:v>
      </x:c>
      <x:c r="DV53" s="413" t="s">
        <x:v>558</x:v>
      </x:c>
      <x:c r="DW53" s="413" t="s">
        <x:v>559</x:v>
      </x:c>
      <x:c r="DX53" s="413" t="s">
        <x:v>558</x:v>
      </x:c>
      <x:c r="DY53" s="413" t="s">
        <x:v>559</x:v>
      </x:c>
      <x:c r="DZ53" s="2394"/>
      <x:c r="EA53" s="2394"/>
      <x:c r="EB53" s="2396"/>
      <x:c r="EC53" s="2396"/>
      <x:c r="ED53" s="2387"/>
      <x:c r="EE53" s="2386"/>
      <x:c r="EF53" s="2386"/>
      <x:c r="EG53" s="2395"/>
      <x:c r="EH53" s="2386"/>
      <x:c r="EI53" s="2386"/>
      <x:c r="EJ53" s="2386"/>
      <x:c r="EK53" s="2387"/>
      <x:c r="EL53" s="2387"/>
      <x:c r="EM53" s="2387"/>
      <x:c r="EN53" s="2386"/>
      <x:c r="EO53" s="2387"/>
      <x:c r="EP53" s="2387"/>
      <x:c r="EQ53" s="2387"/>
      <x:c r="ER53" s="2387"/>
      <x:c r="ES53" s="2387"/>
      <x:c r="ET53" s="2387"/>
      <x:c r="EU53" s="2387"/>
      <x:c r="EV53" s="2394"/>
      <x:c r="EW53" s="2394"/>
      <x:c r="EX53" s="2516"/>
      <x:c r="EY53" s="2607"/>
      <x:c r="EZ53" s="2489"/>
      <x:c r="FA53" s="2406"/>
      <x:c r="FB53" s="2518"/>
      <x:c r="FC53" s="2518"/>
      <x:c r="FD53" s="610" t="s">
        <x:v>646</x:v>
      </x:c>
      <x:c r="FE53" s="611" t="s">
        <x:v>647</x:v>
      </x:c>
      <x:c r="FF53" s="303" t="s">
        <x:v>992</x:v>
      </x:c>
      <x:c r="FG53" s="303" t="s">
        <x:v>993</x:v>
      </x:c>
      <x:c r="FH53" s="303" t="s">
        <x:v>994</x:v>
      </x:c>
      <x:c r="FI53" s="303" t="s">
        <x:v>995</x:v>
      </x:c>
      <x:c r="FK53" s="2530"/>
      <x:c r="FL53" s="2532"/>
      <x:c r="FM53" s="2534"/>
      <x:c r="FN53" s="2542"/>
      <x:c r="FO53" s="2647"/>
      <x:c r="FP53" s="2647"/>
      <x:c r="FQ53" s="2647"/>
      <x:c r="FR53" s="2647"/>
      <x:c r="FS53" s="2651"/>
      <x:c r="FT53" s="2652"/>
      <x:c r="FU53" s="2654"/>
      <x:c r="FV53" s="2654"/>
      <x:c r="FW53" s="2654"/>
      <x:c r="FX53" s="2654"/>
      <x:c r="FY53" s="2654"/>
      <x:c r="FZ53" s="2654"/>
      <x:c r="GA53" s="2661"/>
      <x:c r="GB53" s="2648"/>
      <x:c r="GC53" s="2660"/>
      <x:c r="GD53" s="250" t="s">
        <x:v>663</x:v>
      </x:c>
      <x:c r="GE53" s="177" t="s">
        <x:v>664</x:v>
      </x:c>
      <x:c r="GF53" s="166" t="s">
        <x:v>667</x:v>
      </x:c>
      <x:c r="GG53" s="166" t="s">
        <x:v>668</x:v>
      </x:c>
      <x:c r="GH53" s="166" t="s">
        <x:v>669</x:v>
      </x:c>
      <x:c r="GI53" s="167" t="s">
        <x:v>670</x:v>
      </x:c>
      <x:c r="GJ53" s="2546"/>
      <x:c r="GK53" s="972" t="s">
        <x:v>996</x:v>
      </x:c>
      <x:c r="GL53" s="171"/>
      <x:c r="GM53" s="171"/>
    </x:row>
    <x:row r="54" spans="1:222" ht="12.6" hidden="1" customHeight="1" thickTop="1" x14ac:dyDescent="0.2">
      <x:c r="BZ54" s="360"/>
      <x:c r="CA54" s="360"/>
      <x:c r="CB54" s="435" t="str">
        <x:f t="shared" ref="CB54:CB85" si="100">IF(CB14="","",CB14)</x:f>
        <x:v/>
      </x:c>
      <x:c r="CC54" s="436" t="str">
        <x:f>IF(CG14="","",VLOOKUP(CG14,SectInfo!$B:$N,12,FALSE))</x:f>
        <x:v/>
      </x:c>
      <x:c r="CD54" s="1172" t="str">
        <x:f>IF(ISBLANK(CZ14),IF(CG14="","",VLOOKUP(CG14,SectInfo!$B:$N,13,FALSE)),CZ14)</x:f>
        <x:v/>
      </x:c>
      <x:c r="CE54" s="437" t="str">
        <x:f>IF(CG14="","",IF(VLOOKUP(CG14,SectInfo!$B:$N,5,FALSE)="","R",UPPER(VLOOKUP(CG14,SectInfo!$B:$N,5,FALSE))))</x:f>
        <x:v/>
      </x:c>
      <x:c r="CF54" s="1172" t="str">
        <x:f>IF(ISBLANK(DD14),IF(CG14="","",VLOOKUP(CG14,SectInfo!$B:$N,6,FALSE)),DD14)</x:f>
        <x:v/>
      </x:c>
      <x:c r="CG54" s="437" t="str">
        <x:f>IF(CG14="","",IF(VLOOKUP(CG14,SectInfo!$B:$N,10,FALSE)="","",(VLOOKUP(CG14,SectInfo!$B:$N,10,FALSE)*-1)))</x:f>
        <x:v/>
      </x:c>
      <x:c r="CH54" s="437" t="str">
        <x:f>IF(CG14="","",IF(VLOOKUP(CG14,SectInfo!$B:$N,7,FALSE)="","",(VLOOKUP(CG14,SectInfo!$B:$N,7,FALSE)*-1)))</x:f>
        <x:v/>
      </x:c>
      <x:c r="CI54" s="437" t="str">
        <x:f>IF(CG14="","",IF(VLOOKUP(CG14,SectInfo!$B:$N,8,FALSE)="",$FC$4,(VLOOKUP(CG14,SectInfo!$B:$N,8,FALSE))))</x:f>
        <x:v/>
      </x:c>
      <x:c r="CJ54" s="437" t="str">
        <x:f>IF(CG14="","",VLOOKUP(CG14,SectInfo!$B:$N,9,FALSE))</x:f>
        <x:v/>
      </x:c>
      <x:c r="CK54" s="438">
        <x:f>CM14*-1</x:f>
        <x:v>0</x:v>
      </x:c>
      <x:c r="CL54" s="436" t="str">
        <x:f>IF(CN14="","",VLOOKUP(CN14,SectInfo!$B:$N,12,FALSE))</x:f>
        <x:v/>
      </x:c>
      <x:c r="CM54" s="1172" t="str">
        <x:f>IF(ISBLANK(DA14),IF(CN14="","",VLOOKUP(CN14,SectInfo!$B:$N,13,FALSE)),DA14)</x:f>
        <x:v/>
      </x:c>
      <x:c r="CN54" s="437" t="str">
        <x:f>IF(CN14="","",IF(VLOOKUP(CN14,SectInfo!$B:$N,5,FALSE)="","R",UPPER(VLOOKUP(CN14,SectInfo!$B:$N,5,FALSE))))</x:f>
        <x:v/>
      </x:c>
      <x:c r="CO54" s="1172" t="str">
        <x:f>IF(ISBLANK(DE14),IF(CN14="","",VLOOKUP(CN14,SectInfo!$B:$N,6,FALSE)),DE14)</x:f>
        <x:v/>
      </x:c>
      <x:c r="CP54" s="437" t="str">
        <x:f>IF(CN14="","",IF(VLOOKUP(CN14,SectInfo!$B:$N,10,FALSE)="","",(VLOOKUP(CN14,SectInfo!$B:$N,10,FALSE)*-1)))</x:f>
        <x:v/>
      </x:c>
      <x:c r="CQ54" s="437" t="str">
        <x:f>IF(CN14="","",IF(VLOOKUP(CN14,SectInfo!$B:$N,7,FALSE)="","",(VLOOKUP(CN14,SectInfo!$B:$N,7,FALSE)*-1)))</x:f>
        <x:v/>
      </x:c>
      <x:c r="CR54" s="437" t="str">
        <x:f>IF(CN14="","",IF(VLOOKUP(CN14,SectInfo!$B:$N,8,FALSE)="",$FC$4,(VLOOKUP(CN14,SectInfo!$B:$N,8,FALSE))))</x:f>
        <x:v/>
      </x:c>
      <x:c r="CS54" s="437" t="str">
        <x:f>IF(CN14="","",VLOOKUP(CN14,SectInfo!$B:$N,9,FALSE))</x:f>
        <x:v/>
      </x:c>
      <x:c r="CT54" s="438">
        <x:f>CT14*-1</x:f>
        <x:v>0</x:v>
      </x:c>
      <x:c r="CU54" s="439">
        <x:f t="shared" ref="CU54:CU85" si="101">IF(CU14="",0,ATAN(CU14/12))</x:f>
        <x:v>0</x:v>
      </x:c>
      <x:c r="CV54" s="339" t="str">
        <x:f t="shared" ref="CV54:CV85" si="102">IF(OR(CD54="",CE14="",CM54=""),"",CEILING(IF(AND(CE14="",CF14=""),"",((CE14*12+CF14)+CD54+CM54)/COS(EU54))-0.0625,0.125))</x:f>
        <x:v/>
      </x:c>
      <x:c r="CW54" s="339" t="str">
        <x:f t="shared" ref="CW54:CW85" si="103">IF(CF54="","",IF(ABS(EM54)&lt;ABS($FA$2),CF54,IF(EM54=0,CF54,CEILING((CF54+((DC54-CD54)/12)*EM54)-0.0625,0.125))))</x:f>
        <x:v/>
      </x:c>
      <x:c r="CX54" s="339" t="str">
        <x:f t="shared" ref="CX54:CX85" si="104">IF(CO54="","",IF(ABS(ER54)&lt;ABS($FA$2),CO54,IF(ER54=0,CO54,CEILING((CO54+((DI54-CM54)/12)*ER54)-0.0625,0.125))))</x:f>
        <x:v/>
      </x:c>
      <x:c r="CY54" s="1109">
        <x:f t="shared" ref="CY54:CY85" si="105">RADIANS(ABS(CL14))</x:f>
        <x:v>0</x:v>
      </x:c>
      <x:c r="CZ54" s="1109">
        <x:f t="shared" ref="CZ54:CZ85" si="106">MIN(IF(CH14&gt;0,CH14/2,MAX(CI14/2,CJ54)),IF(CI14&gt;0,CI14/2,MAX(CH14/2,CJ54)),IF(CJ54&gt;0,CJ54,MAX(CI14/2,CH14/2)))/IF(OR(CC54="C",AND(CC54="M",$FG$1="N")),1,COS(CY54))</x:f>
        <x:v>0</x:v>
      </x:c>
      <x:c r="DA54" s="1109" t="str">
        <x:f t="shared" ref="DA54:DA85" si="107">IF(CD54="","",IF(CJ54&gt;=0,MAX(CH14/2,CI14/2,CJ54),CJ54)/IF(OR(CC54="C",AND(CC54="M",$FG$1="N")),1,COS(CY54)))</x:f>
        <x:v/>
      </x:c>
      <x:c r="DB54" s="1125" t="str">
        <x:f>IF(CD54="","",CD54+DA54+($EY$4*TAN(CY54)))</x:f>
        <x:v/>
      </x:c>
      <x:c r="DC54" s="1125" t="str">
        <x:f t="shared" ref="DC54:DC85" si="108">IF(CD54="","",IF(NOT(ISBLANK(DB14)),CD54-DB14,MAX(IF(AND(CZ54&gt;=$FB$4,DA54&lt;=$FA$4,OR($FA$1=1,$FA$1=4)),CD54,IF(OR($FA$1=3,$FA$1=4),DB54-$FA$4,DB54+MAX(($FA$4-$FB$4)-(DA54-CZ54)-$EY$4/2*TAN(CY54),0)-$FA$4))-EO54,0)))</x:f>
        <x:v/>
      </x:c>
      <x:c r="DD54" s="1110">
        <x:f>IF(CD54="",0,IF(DC54/COS(EU54)&lt;0.0625,0,CEILING(DC54/COS(EU54)-0.03125,0.125)))</x:f>
        <x:v>0</x:v>
      </x:c>
      <x:c r="DE54" s="1108">
        <x:f>RADIANS(ABS(CS14))</x:f>
        <x:v>0</x:v>
      </x:c>
      <x:c r="DF54" s="1109">
        <x:f t="shared" ref="DF54:DF85" si="109">MIN(IF(CO14&gt;0,CO14/2,MAX(CP14/2,CS54)),IF(CP14&gt;0,CP14/2,MAX(CO14/2,CS54)),IF(CS54&gt;0,CS54,MAX(CP14/2,CO14/2)))/IF(OR(CL54="C",AND(CL54="M",$FG$1="N")),1,COS(DE54))</x:f>
        <x:v>0</x:v>
      </x:c>
      <x:c r="DG54" s="1109" t="str">
        <x:f t="shared" ref="DG54:DG85" si="110">IF(CM54="","",IF(CS54&gt;=0,MAX(CO14/2,CP14/2,CS54),CS54)/IF(OR(CL54="C",AND(CL54="M",$FG$1="N")),1,COS(DE54)))</x:f>
        <x:v/>
      </x:c>
      <x:c r="DH54" s="1125" t="str">
        <x:f>IF(CM54="","",CM54+DG54+($EY$4*TAN(DE54)))</x:f>
        <x:v/>
      </x:c>
      <x:c r="DI54" s="1125" t="str">
        <x:f>IF(CM54="","",IF(NOT(ISBLANK(DC14)),CM54-DC14,MAX(IF(AND(DF54&gt;=$FB$4,DG54&lt;=$FA$4,OR($FA$1=1,$FA$1=4)),CM54,IF(OR($FA$1=3,$FA$1=4),DH54-$FA$4,DH54+MAX(($FA$4-$FB$4)-(DG54-DF54)-$EY$4/2*TAN(DE54),0)-$FA$4))-ET54,0)-DC14))</x:f>
        <x:v/>
      </x:c>
      <x:c r="DJ54" s="1110">
        <x:f>IF(CM54="",0,IF(DI54/COS(EU54)&lt;0.0625,0,CEILING(DI54/COS(EU54)-0.03125,0.125)))</x:f>
        <x:v>0</x:v>
      </x:c>
      <x:c r="DK54" s="1108" t="str">
        <x:f t="shared" ref="DK54:DK85" si="111">IF(CV54="","",CEILING(CV54-DD54-DJ54-0.0625,0.125))</x:f>
        <x:v/>
      </x:c>
      <x:c r="DL54" s="1108" t="str">
        <x:f t="shared" ref="DL54:DL85" si="112">IF(AND(EG54="",CH54=""),"",IF(EG54="ERR","ERR",IF(ISNUMBER(EG54),(EG54/2)*-1,CH54)))</x:f>
        <x:v/>
      </x:c>
      <x:c r="DM54" s="1108" t="str">
        <x:f t="shared" ref="DM54:DM85" si="113">IF(DL54="ERR","ERR",IF(DL54="","",IF(CR54*TAN(CY54)&lt;=($FE$4-($FD$4-0.0625)),CD54-(DL54-EO54)/IF(OR(CC54="C",AND(CC54="M",$FG$1="N")),1,COS(CY54))-IF(MID(CE54,1,1)="R",0,DC54),(ABS(DL54-EO54)/IF(OR(CC54="C",AND(CC54="M",$FG$1="N")),1,COS(CY54))+CD54)-((CR54/2)*TAN(CY54))-IF(MID(CE54,1,1)="R",0,DC54))))</x:f>
        <x:v/>
      </x:c>
      <x:c r="DN54" s="1108" t="str">
        <x:f t="shared" ref="DN54:DN85" si="114">IF(DL54="ERR","ERR",IF(DL54="","",IF(CI54*TAN(CY54)&lt;=($FE$4-($FD$4-0.0625)),CD54-(DL54-EO54)/IF(OR(CC54="C",AND(CC54="M",$FG$1="N")),1,COS(CY54))-IF(MID(CE54,1,1)="R",0,DC54),(ABS(DL54-EO54)/IF(OR(CC54="C",AND(CC54="M",$FG$1="N")),1,COS(CY54))+CD54)+((CI54/2)*TAN(CY54))-IF(MID(CE54,1,1)="R",0,DC54))))</x:f>
        <x:v/>
      </x:c>
      <x:c r="DO54" s="1125" t="str">
        <x:f t="shared" ref="DO54:DO85" si="115">IF(ISBLANK(DB14),IF(DM54&lt;0.5+($FD$4-0.0625)/2,"ERR",IF(DM54&lt;0.5+$FE$4/2,($FE$4/2+0.5),IF(DM54&lt;$FA$4+IF(MID(CE54,1,1)="R",DC54+DB14,0)-$FE$4/2-0.5,DM54,IF(DM54&lt;=$FA$4+IF(MID(CE54,1,1)="R",DC54,0)-($FD$4-0.0625)/2-0.5,$FA$4+IF(MID(CE54,1,1)="R",DC54,0)-($FE$4/2+0.5),"ERR")))),DM54)</x:f>
        <x:v>ERR</x:v>
      </x:c>
      <x:c r="DP54" s="1125" t="str">
        <x:f t="shared" ref="DP54:DP85" si="116">IF(ISBLANK(DB14),IF(DN54&lt;0.5+($FD$4-0.0625)/2,"ERR",IF(DN54&lt;0.5+$FE$4/2,($FE$4/2+0.5),IF(DN54&lt;$FA$4+IF(MID(CE54,1,1)="R",DC54+DB14,0)-$FE$4/2-0.5,DN54,IF(DN54&lt;=$FA$4+IF(MID(CE54,1,1)="R",DC54,0)-($FD$4-0.0625)/2-0.5,$FA$4+IF(MID(CE54,1,1)="R",DC54,0)-($FE$4/2+0.5),"ERR")))),DN54)</x:f>
        <x:v>ERR</x:v>
      </x:c>
      <x:c r="DQ54" s="1108" t="str">
        <x:f t="shared" ref="DQ54:DR85" si="117">IF(ISERROR(DM54),"ERR",IF(DM54="","",IF(DO54="ERR","ERR",CEILING(DO54-0.0625,0.125))))</x:f>
        <x:v/>
      </x:c>
      <x:c r="DR54" s="1108" t="str">
        <x:f t="shared" si="117"/>
        <x:v/>
      </x:c>
      <x:c r="DS54" s="1108" t="str">
        <x:f t="shared" ref="DS54:DS85" si="118">IF(AND(EJ54="",CQ54=""),"",IF(EJ54="ERR","ERR",IF(ISNUMBER(EJ54),(EJ54/2)*-1,CQ54)))</x:f>
        <x:v/>
      </x:c>
      <x:c r="DT54" s="1108" t="str">
        <x:f t="shared" ref="DT54:DT85" si="119">IF(DS54="ERR","ERR",IF(DS54="","",IF(CR54*TAN(DE54)&lt;=($FE$4-($FD$4-0.0625)),CM54-(DS54-ET54)/IF(OR(CL54="C",AND(CL54="M",$FG$1="N")),1,COS(DE54))-IF(MID(CN54,1,1)="R",0,DI54),(ABS(DS54-ET54)/IF(OR(CL54="C",AND(CL54="M",$FG$1="N")),1,COS(DE54))+CM54)-((CR54/2)*TAN(DE54))-IF(MID(CN54,1,1)="R",0,DI54))))</x:f>
        <x:v/>
      </x:c>
      <x:c r="DU54" s="1108" t="str">
        <x:f t="shared" ref="DU54:DU85" si="120">IF(DS54="ERR","ERR",IF(DS54="","",IF(CR54*TAN(DE54)&lt;=($FE$4-($FD$4-0.0625)),CM54-(DS54-ET54)/IF(OR(CL54="C",AND(CL54="M",$FG$1="N")),1,COS(DE54))-IF(MID(CN54,1,1)="R",0,DI54),(ABS(DS54-ET54)/IF(OR(CL54="C",AND(CL54="M",$FG$1="N")),1,COS(DE54))+CM54)+((CR54/2)*TAN(DE54))-IF(MID(CN54,1,1)="R",0,DI54))))</x:f>
        <x:v/>
      </x:c>
      <x:c r="DV54" s="1125" t="str">
        <x:f t="shared" ref="DV54:DV85" si="121">IF(ISBLANK(DC14),IF(DT54&lt;0.5+($FD$4-0.0625)/2,"ERR",IF(DT54&lt;0.5+$FE$4/2,($FE$4/2+0.5),IF(DT54&lt;$FA$4+IF(MID(CN54,1,1)="R",DI54+DC14,0)-$FE$4/2-0.5,DT54,IF(DT54&lt;=$FA$4+IF(MID(CN54,1,1)="R",DI54,0)-($FD$4-0.0625)/2-0.5,$FA$4+IF(MID(CN54,1,1)="R",DI54,0)-($FE$4/2+0.5),"ERR")))),DT54)</x:f>
        <x:v>ERR</x:v>
      </x:c>
      <x:c r="DW54" s="1125" t="str">
        <x:f t="shared" ref="DW54:DW85" si="122">IF(ISBLANK(DC14),IF(DU54&lt;0.5+($FD$4-0.0625)/2,"ERR",IF(DU54&lt;0.5+$FE$4/2,($FE$4/2+0.5),IF(DU54&lt;$FA$4+IF(MID(CN54,1,1)="R",DI54+DC14,0)-$FE$4/2-0.5,DU54,IF(DU54&lt;=$FA$4+IF(MID(CN54,1,1)="R",DI54,0)-($FD$4-0.0625)/2-0.5,$FA$4+IF(MID(CN54,1,1)="R",DI54,0)-($FE$4/2+0.5),"ERR")))),DU54)</x:f>
        <x:v>ERR</x:v>
      </x:c>
      <x:c r="DX54" s="1108" t="str">
        <x:f t="shared" ref="DX54:DY74" si="123">IF(ISERROR(DT54),"ERR",IF(DT54="","",IF(DV54="ERR","ERR",CEILING(DV54-0.0625,0.125))))</x:f>
        <x:v/>
      </x:c>
      <x:c r="DY54" s="1108" t="str">
        <x:f t="shared" si="123"/>
        <x:v/>
      </x:c>
      <x:c r="DZ54" s="1108" t="str">
        <x:f t="shared" ref="DZ54:DZ84" si="124">IF(CG54="","",IF((CD54-CG54)/COS(CU54)-FB54&lt;=-0.0625,CEILING((CD54-CG54)/COS(CU54)-FB54+0.0625,-0.125),IF((CD54-CG54)/COS(CU54)-FB54&gt;=0.0625,CEILING((CD54-CG54)/COS(CU54)-FB54-0.0625,0.125),0)))</x:f>
        <x:v/>
      </x:c>
      <x:c r="EA54" s="1108" t="str">
        <x:f t="shared" ref="EA54:EA84" si="125">IF(CP54="","",IF((CM54-CP54)/COS(CU54)-FC54&lt;=-0.0625,CEILING((CM54-CP54)/COS(CU54)-FC54+0.0625,-0.125),IF((CM54-CP54)/COS(CU54)-FC54&gt;=0.0625,CEILING((CM54-CP54)/COS(CU54)-FC54-0.0625,0.125),0)))</x:f>
        <x:v/>
      </x:c>
      <x:c r="EB54" s="1111" t="str">
        <x:f t="shared" ref="EB54:EB85" si="126">IF(CD14="","",$FC$4)</x:f>
        <x:v/>
      </x:c>
      <x:c r="EC54" s="1112" t="str">
        <x:f t="shared" ref="EC54:EC85" si="127">IF(AND(DR54="",DY54=""),"",IF(OR(CI54=EB54,CR54=EB54),EB54,CI54))</x:f>
        <x:v/>
      </x:c>
      <x:c r="ED54" s="1111" t="str">
        <x:f t="shared" ref="ED54:ED85" si="128">IF(CU14="","",CEILING(($EZ$4/COS(CU54)+$FA$4/12*ABS(CU14)+0.5),0.125))</x:f>
        <x:v/>
      </x:c>
      <x:c r="EE54" s="1111" t="str">
        <x:f t="shared" ref="EE54:EE85" si="129">(IF(CC54="B",MIN(CJ14:CK14),""))</x:f>
        <x:v/>
      </x:c>
      <x:c r="EF54" s="1111" t="str">
        <x:f t="shared" ref="EF54:EF85" si="130">(IF(CC54="B",MAX(CJ14:CK14),""))</x:f>
        <x:v/>
      </x:c>
      <x:c r="EG54" s="1111" t="str">
        <x:f t="shared" ref="EG54:EG85" si="131">IF(EE54="","",IF((EF54-EE54)/2&lt;=($FE$4-($FD$4-0.0625)),(EE54+EF54)/2,"ERR"))</x:f>
        <x:v/>
      </x:c>
      <x:c r="EH54" s="1111" t="str">
        <x:f t="shared" ref="EH54:EH85" si="132">IF(CL54="B",MIN(CQ14:CR14),"")</x:f>
        <x:v/>
      </x:c>
      <x:c r="EI54" s="1111" t="str">
        <x:f t="shared" ref="EI54:EI85" si="133">IF(CL54="B",MAX(CQ14:CR14),"")</x:f>
        <x:v/>
      </x:c>
      <x:c r="EJ54" s="1111" t="str">
        <x:f t="shared" ref="EJ54:EJ85" si="134">IF(EH54="","",IF((EI54-EH54)/2&lt;=($FE$4-($FD$4-0.0625)),(EH54+EI54)/2,"ERR"))</x:f>
        <x:v/>
      </x:c>
      <x:c r="EK54" s="1109">
        <x:f t="shared" ref="EK54:EK85" si="135">IF(CK54="",0,ATAN(CK54/12))</x:f>
        <x:v>0</x:v>
      </x:c>
      <x:c r="EL54" s="1109">
        <x:f t="shared" ref="EL54:EL85" si="136">CU54-EK54</x:f>
        <x:v>0</x:v>
      </x:c>
      <x:c r="EM54" s="1109">
        <x:f t="shared" ref="EM54:EM85" si="137">TAN(EL54)*12</x:f>
        <x:v>0</x:v>
      </x:c>
      <x:c r="EN54" s="1109" t="str">
        <x:f t="shared" ref="EN54:EN85" si="138">IF(ABS(EM54)&lt;$FA$2,"",IF(EM54&gt;0,CEILING(EM54-0.0625,0.125),CEILING(EM54+0.0625,-0.125)))</x:f>
        <x:v/>
      </x:c>
      <x:c r="EO54" s="1108" t="str">
        <x:f t="shared" ref="EO54:EO85" si="139">IF(CF54="","",CF54*TAN(EK54))</x:f>
        <x:v/>
      </x:c>
      <x:c r="EP54" s="1109">
        <x:f t="shared" ref="EP54:EP85" si="140">IF(CT54="",0,ATAN(CT54/12))</x:f>
        <x:v>0</x:v>
      </x:c>
      <x:c r="EQ54" s="1109">
        <x:f t="shared" ref="EQ54:EQ85" si="141">CU54+EP54</x:f>
        <x:v>0</x:v>
      </x:c>
      <x:c r="ER54" s="1109">
        <x:f t="shared" ref="ER54:ER85" si="142">TAN(EQ54)*-12</x:f>
        <x:v>0</x:v>
      </x:c>
      <x:c r="ES54" s="1109" t="str">
        <x:f t="shared" ref="ES54:ES85" si="143">IF(ABS(ER54)&lt;$FA$2,"",IF(ER54&gt;0,CEILING(ER54-0.0625,0.125),CEILING(ER54+0.0625,-0.125)))</x:f>
        <x:v/>
      </x:c>
      <x:c r="ET54" s="1108" t="str">
        <x:f t="shared" ref="ET54:ET85" si="144">IF(CO54="","",CO54*TAN(EP54))</x:f>
        <x:v/>
      </x:c>
      <x:c r="EU54" s="1108">
        <x:f t="shared" ref="EU54:EU85" si="145">IF((CE14*12+CF14)/COS(CU54)-(CE14*12+CF14)&lt;$FE$2,0,CU54)</x:f>
        <x:v>0</x:v>
      </x:c>
      <x:c r="EV54" s="1111" t="e">
        <x:f t="shared" ref="EV54:EV84" si="146">MIN(IF(CH14&gt;0,CH14/2,MAX(CI14/2,CJ54)),IF(CI14&gt;0,CI14/2,MAX(CH14/2,CJ54)),IF(CJ54&gt;0,CJ54,MAX(CI14/2,CH14/2)))/COS(CY54)+CD54-DC54</x:f>
        <x:v>#VALUE!</x:v>
      </x:c>
      <x:c r="EW54" s="1111" t="e">
        <x:f t="shared" ref="EW54:EW84" si="147">MIN(IF(CO14&gt;0,CO14/2,MAX(CP14/2,CS54)),IF(CP14&gt;0,CP14/2,MAX(CO14/2,CS54)),IF(CS54&gt;0,CS54,MAX(CP14/2,CO14/2)))/COS(DE54)+CM54-DI54</x:f>
        <x:v>#VALUE!</x:v>
      </x:c>
      <x:c r="EX54" s="1113" t="str">
        <x:f>IF(CD14="","",IF(EZ54&lt;1.2,5+$EX$4,IF(EZ54&lt;1.79,6+$EX$4,IF(EZ54&lt;2.3,7+$EX$4,IF(EZ54&lt;3.76,8+$EX$4,IF(EZ54&lt;4.76,10+$EX$4,IF(EZ54&lt;8.45,12+$EX$4,"ERR")))))))</x:f>
        <x:v/>
      </x:c>
      <x:c r="EY54" s="1114">
        <x:f t="shared" ref="EY54:EY85" si="148">TRUNC(IF(FA54&lt;1.03,25.667,IF(FA54&lt;1.2,29.667,IF(FA54&lt;1.79,33.583,IF(FA54&lt;2.3,37.75,IF(FA54&lt;3.76,42,IF(FA54&lt;4.76,50.167,IF(FA54&lt;8.45,58.167,"ERR"))))))))</x:f>
        <x:v>25</x:v>
      </x:c>
      <x:c r="EZ54" s="1219">
        <x:f t="shared" ref="EZ54:EZ85" si="149">(0.03*BP14*((CE14+CF14/12)/BO14)*(BO14^2-IF(ISEVEN(BO14),0,1)))/BM14</x:f>
        <x:v>0</x:v>
      </x:c>
      <x:c r="FA54" s="1220">
        <x:f t="shared" ref="FA54:FA85" si="150">(0.026*BP14*((CE14+CF14/12)/BO14)*(BO14^2-IF(ISEVEN(BO14),0,1)))/BM14</x:f>
        <x:v>0</x:v>
      </x:c>
      <x:c r="FB54" s="1115" t="str">
        <x:f t="shared" ref="FB54:FB85" si="151">IF(CG54="","",IF(ABS(CU14*((BM14-IF(CU14&gt;0,$FF$4,0))/12))&gt;$CX$2,CU14*((BM14-IF(CU14&gt;0,$FF$4,0))/12),0))</x:f>
        <x:v/>
      </x:c>
      <x:c r="FC54" s="1116" t="str">
        <x:f t="shared" ref="FC54:FC85" si="152">IF(CP54="","",IF(ABS(CU14*((BM14-IF(CU14&lt;0,$FF$4,0))/12))&gt;$CX$2,CU14*((BM14-IF(CU14&lt;0,$FF$4,0))/12)*-1,0))</x:f>
        <x:v/>
      </x:c>
      <x:c r="FD54" s="1126">
        <x:f t="shared" ref="FD54:FD85" si="153">IF(CF54="",0,MAX(0,DB54-$FA$4))</x:f>
        <x:v>0</x:v>
      </x:c>
      <x:c r="FE54" s="1066">
        <x:f t="shared" ref="FE54:FE85" si="154">IF(CO54="",0,MAX(0,DH54-$FA$4))</x:f>
        <x:v>0</x:v>
      </x:c>
      <x:c r="FF54" s="969" t="b">
        <x:f t="shared" ref="FF54:FF85" si="155">IF(ISERROR(AR14),TRUE,IF(OR(AR14="",ISBLANK(AR14)),FALSE,IF(ISTEXT(AR14),IF(AND(AR14="P",LEFT(AS14,1)="#"),FALSE,TRUE),IF(ISTEXT(AS14),TRUE,FALSE))))</x:f>
        <x:v>0</x:v>
      </x:c>
      <x:c r="FG54" s="969" t="b">
        <x:f t="shared" ref="FG54:FG85" si="156">IF(ISERROR(AV14),TRUE,IF(OR(AV14="",ISBLANK(AV14)),FALSE,IF(ISTEXT(AV14),IF(AND(AV14="P",LEFT(AW14,1)="#"),FALSE,TRUE),IF(ISTEXT(AW14),TRUE,FALSE))))</x:f>
        <x:v>0</x:v>
      </x:c>
      <x:c r="FH54" s="969" t="b">
        <x:f t="shared" ref="FH54:FH85" si="157">IF(ISERROR(AZ14),TRUE,IF(OR(AZ14="",ISBLANK(AZ14)),FALSE,IF(ISTEXT(AZ14),IF(AND(AZ14="P",LEFT(BA14,1)="#"),FALSE,TRUE),IF(ISTEXT(BA14),TRUE,FALSE))))</x:f>
        <x:v>0</x:v>
      </x:c>
      <x:c r="FI54" s="969" t="b">
        <x:f t="shared" ref="FI54:FI85" si="158">IF(ISERROR(BD14),TRUE,IF(OR(BD14="",ISBLANK(BD14)),FALSE,IF(ISTEXT(BD14),IF(AND(BD14="P",LEFT(BE14,1)="#"),FALSE,TRUE),IF(ISTEXT(BE14),TRUE,FALSE))))</x:f>
        <x:v>0</x:v>
      </x:c>
      <x:c r="FJ54" s="1003"/>
      <x:c r="FK54" s="648" t="str">
        <x:f>IF(ISBLANK(DH14),"",DH14)</x:f>
        <x:v/>
      </x:c>
      <x:c r="FL54" s="379" t="e">
        <x:f>VLOOKUP(DH14,$CB$54:$DK$85,36,FALSE)</x:f>
        <x:v>#N/A</x:v>
      </x:c>
      <x:c r="FM54" s="380" t="str">
        <x:f t="shared" ref="FM54:FM85" si="159">IF(ISBLANK(DH15),IF(SUM(DJ15:DN15)=0,"",IF(ISBLANK(DI15),"X","")),"")</x:f>
        <x:v/>
      </x:c>
      <x:c r="FN54" s="328" t="str">
        <x:f>IF(SUM(DJ14:DN14)=0,"",IF(OR(FS54=0,DL14=""),"",CEILING(IF(AND(DJ14="",DK14=""),IF(AND(DM14="",DN14=""),(FS54-FO54*FP54)/2,(DJ14*12+DK14+(DL14*(DM14*12+DN14)))-FO54*FP54),(DJ14*12+DK14))-0.0625,0.125)))</x:f>
        <x:v/>
      </x:c>
      <x:c r="FO54" s="329" t="str">
        <x:f>IF(SUM(DJ14:DN14)=0,"",IF(OR(FS54=0,DL14=""),"",DL14-IF(AND(DJ14="",DK14=""),1,0)-IF(AND(DM14="",DN14="",FM54=""),1,0)))</x:f>
        <x:v/>
      </x:c>
      <x:c r="FP54" s="330" t="str">
        <x:f>IF(SUM(DJ14:DN14)=0,"",IF(OR(FS54=0,DL14=""),"",CEILING(IF(AND(DM14="",DN14=""),IF(DL14=FO54,(FS54-FN54-FQ54)/FO54,(FS54-IF(AND(DJ14="",DK14=""),0,FN54)-IF(FM54="",0,FQ54))/DL14),DM14*12+DN14)-0.0625,0.125)))</x:f>
        <x:v/>
      </x:c>
      <x:c r="FQ54" s="330" t="str">
        <x:f>IF(SUM(DJ14:DN14)=0,"",IF(OR(FS54=0,DL14=""),"",IF(UPPER(FM54)="X",0,FS54-FN54-FO54*FP54)))</x:f>
        <x:v/>
      </x:c>
      <x:c r="FR54" s="381">
        <x:f>IF(FS54="",0,IF(OR(FS54=0,DL14=""),0,FS54-(FN54+FO54*FP54+FQ54)))</x:f>
        <x:v>0</x:v>
      </x:c>
      <x:c r="FS54" s="382" t="str">
        <x:f>IF(SUM(DJ14:DN14)=0,"",VLOOKUP(DH14,CB14:CF45,4,FALSE)*12+VLOOKUP(DH14,CB14:CF45,5,FALSE))</x:f>
        <x:v/>
      </x:c>
      <x:c r="FT54" s="328" t="str">
        <x:f>IF(SUM(DJ14:DN14)=0,"",IF(FU54="","",FL54))</x:f>
        <x:v/>
      </x:c>
      <x:c r="FU54" s="331" t="str">
        <x:f>IF(SUM(DJ14:DN14)=0,"",1)</x:f>
        <x:v/>
      </x:c>
      <x:c r="FV54" s="383" t="str">
        <x:f t="shared" ref="FV54:FV85" si="160">IF(FW54="","",CEILING(FW54+GJ54-0.0625,0.125))</x:f>
        <x:v/>
      </x:c>
      <x:c r="FW54" s="332" t="str">
        <x:f>IF(SUM(DJ14:DN14)=0,"",IF(OR(FN54=0,FN54=""),"",(FN54+VLOOKUP(DH14,CB54:CD85,3,FALSE)-VLOOKUP(DH14,CB54:DD85,29,FALSE))/COS(VLOOKUP(DH14,$CB$54:$EU$85,72,FALSE))))</x:f>
        <x:v/>
      </x:c>
      <x:c r="FX54" s="332" t="str">
        <x:f>IF(SUM(DJ14:DN14)=0,"",IF(FO54=0,0,IF(FP54="","",CEILING(FP54/COS(VLOOKUP(FK54,$CB$54:$EU$85,72,FALSE))-0.0625,0.125))))</x:f>
        <x:v/>
      </x:c>
      <x:c r="FY54" s="332" t="str">
        <x:f>IF(SUM(DJ14:DN14)=0,"",IF(OR(FQ54=0,FQ54=""),"",FT54-IF(FW54="",0,FW54)-FO54*FX54))</x:f>
        <x:v/>
      </x:c>
      <x:c r="FZ54" s="341" t="str">
        <x:f>IF(FY54="","",CEILING(FT54-IF(FV54="",0,FV54)-(FO54*FX54)-0.0625,0.125))</x:f>
        <x:v/>
      </x:c>
      <x:c r="GA54" s="332" t="str">
        <x:f>IF(SUM(DJ14:DN14)=0,"",IF(FW54="",0,FW54)+FO54*FX54+IF(FY54="",0,FY54))</x:f>
        <x:v/>
      </x:c>
      <x:c r="GB54" s="333" t="str">
        <x:f ca="1">IF(SUM(DJ14:DN14)=0,"",IF(FY54="","",2+SUM(FO54:OFFSET(FO54,(FU54-1)*-1,0))))</x:f>
        <x:v/>
      </x:c>
      <x:c r="GC54" s="384" t="e">
        <x:f>VLOOKUP(DH14,$CB$54:$CD$85,3,FALSE)</x:f>
        <x:v>#N/A</x:v>
      </x:c>
      <x:c r="GD54" s="385" t="str">
        <x:f t="shared" ref="GD54:GD85" si="161">IF(ISBLANK(DT14),"",MAX(0,DT14+VLOOKUP(FK54,$CB$54:$CD$85,3,FALSE)))</x:f>
        <x:v/>
      </x:c>
      <x:c r="GE54" s="386" t="str">
        <x:f t="shared" ref="GE54:GE85" si="162">IF(ISBLANK(DU14),"",MAX(0,DU14+VLOOKUP(FK54,$CB$54:$CM$85,12,FALSE)))</x:f>
        <x:v/>
      </x:c>
      <x:c r="GF54" s="334" t="str">
        <x:f t="shared" ref="GF54:GF85" si="163">IF(AND(ISBLANK(DV14),ISBLANK(DW14)),"",IF(DV14="P",IF(ISNUMBER(DW14),CONCATENATE("#", DW14),DW14),CEILING((DV14*12+DW14+GC54)/COS(VLOOKUP(FK54,$CB$54:$EU$85,72,FALSE))-0.0625,0.125)))</x:f>
        <x:v/>
      </x:c>
      <x:c r="GG54" s="335" t="str">
        <x:f t="shared" ref="GG54:GG85" si="164">IF(AND(ISBLANK(DZ14),ISBLANK(EA14)),"",IF(DZ14="P",IF(ISNUMBER(EA14),CONCATENATE("#", EA14),EA14),CEILING((DZ14*12+EA14+GC54)/COS(VLOOKUP(FK54,$CB$54:$EU$85,72,FALSE))-0.0625,0.125)))</x:f>
        <x:v/>
      </x:c>
      <x:c r="GH54" s="335" t="str">
        <x:f t="shared" ref="GH54:GH85" si="165">IF(AND(ISBLANK(ED14),ISBLANK(EE14)),"",IF(ED14="P",IF(ISNUMBER(EE14),CONCATENATE("#", EE14),EE14),CEILING((ED14*12+EE14+GC54)/COS(VLOOKUP(FK54,$CB$54:$EU$85,72,FALSE))-0.0625,0.125)))</x:f>
        <x:v/>
      </x:c>
      <x:c r="GI54" s="336" t="str">
        <x:f t="shared" ref="GI54:GI85" si="166">IF(AND(ISBLANK(EH14),ISBLANK(EI14)),"",IF(EH14="P",IF(ISNUMBER(EI14),CONCATENATE("#", EI14),EI14),CEILING((EH14*12+EI14+GC54)/COS(VLOOKUP(FK54,$CB$54:$EU$85,72,FALSE))-0.0625,0.125)))</x:f>
        <x:v/>
      </x:c>
      <x:c r="GJ54" s="645">
        <x:f t="shared" ref="GJ54:GJ84" ca="1" si="167">IF(FY54="",GJ55,(FY54-(FQ54+VLOOKUP(FK54,$CB$54:$EU$85,12,FALSE)-VLOOKUP(FK54,$CB$54:$EU$85,34,FALSE))/COS(VLOOKUP(FK54,$CB$54:$EU$85,72,FALSE)))/2)</x:f>
        <x:v>0</x:v>
      </x:c>
      <x:c r="GK54" s="1131" t="str">
        <x:f ca="1">CONCATENATE(IF(AND(AD14&lt;&gt;"",AE14&lt;&gt;""),IF(AD14*12+AE14&lt;VLOOKUP(BX14,$BJ$14:$BM$45,4,FALSE)/$EX$5,"A",""),""),IF(AND(AI14&lt;&gt;"",AJ14&lt;&gt;""),IF(AI14*12+AJ14&lt;VLOOKUP(BX14,$BJ$14:$BM$45,4,FALSE)/$EX$5,"B",""),""))</x:f>
        <x:v>B</x:v>
      </x:c>
      <x:c r="GL54" s="171"/>
      <x:c r="GM54" s="171"/>
    </x:row>
    <x:row r="55" spans="1:222" ht="12.6" hidden="1" customHeight="1" x14ac:dyDescent="0.2">
      <x:c r="BZ55" s="360"/>
      <x:c r="CA55" s="360"/>
      <x:c r="CB55" s="435" t="str">
        <x:f t="shared" si="100"/>
        <x:v/>
      </x:c>
      <x:c r="CC55" s="436" t="str">
        <x:f>IF(CG15="","",VLOOKUP(CG15,SectInfo!$B:$N,12,FALSE))</x:f>
        <x:v/>
      </x:c>
      <x:c r="CD55" s="1172" t="str">
        <x:f>IF(ISBLANK(CZ15),IF(CG15="","",VLOOKUP(CG15,SectInfo!$B:$N,13,FALSE)),CZ15)</x:f>
        <x:v/>
      </x:c>
      <x:c r="CE55" s="437" t="str">
        <x:f>IF(CG15="","",IF(VLOOKUP(CG15,SectInfo!$B:$N,5,FALSE)="","R",UPPER(VLOOKUP(CG15,SectInfo!$B:$N,5,FALSE))))</x:f>
        <x:v/>
      </x:c>
      <x:c r="CF55" s="1172" t="str">
        <x:f>IF(ISBLANK(DD15),IF(CG15="","",VLOOKUP(CG15,SectInfo!$B:$N,6,FALSE)),DD15)</x:f>
        <x:v/>
      </x:c>
      <x:c r="CG55" s="437" t="str">
        <x:f>IF(CG15="","",IF(VLOOKUP(CG15,SectInfo!$B:$N,10,FALSE)="","",(VLOOKUP(CG15,SectInfo!$B:$N,10,FALSE)*-1)))</x:f>
        <x:v/>
      </x:c>
      <x:c r="CH55" s="437" t="str">
        <x:f>IF(CG15="","",IF(VLOOKUP(CG15,SectInfo!$B:$N,7,FALSE)="","",(VLOOKUP(CG15,SectInfo!$B:$N,7,FALSE)*-1)))</x:f>
        <x:v/>
      </x:c>
      <x:c r="CI55" s="437" t="str">
        <x:f>IF(CG15="","",IF(VLOOKUP(CG15,SectInfo!$B:$N,8,FALSE)="",$FC$4,(VLOOKUP(CG15,SectInfo!$B:$N,8,FALSE))))</x:f>
        <x:v/>
      </x:c>
      <x:c r="CJ55" s="437" t="str">
        <x:f>IF(CG15="","",VLOOKUP(CG15,SectInfo!$B:$N,9,FALSE))</x:f>
        <x:v/>
      </x:c>
      <x:c r="CK55" s="438">
        <x:f t="shared" ref="CK55:CK85" si="168">CM15*-1</x:f>
        <x:v>0</x:v>
      </x:c>
      <x:c r="CL55" s="436" t="str">
        <x:f>IF(CN15="","",VLOOKUP(CN15,SectInfo!$B:$N,12,FALSE))</x:f>
        <x:v/>
      </x:c>
      <x:c r="CM55" s="1172" t="str">
        <x:f>IF(ISBLANK(DA15),IF(CN15="","",VLOOKUP(CN15,SectInfo!$B:$N,13,FALSE)),DA15)</x:f>
        <x:v/>
      </x:c>
      <x:c r="CN55" s="437" t="str">
        <x:f>IF(CN15="","",IF(VLOOKUP(CN15,SectInfo!$B:$N,5,FALSE)="","R",UPPER(VLOOKUP(CN15,SectInfo!$B:$N,5,FALSE))))</x:f>
        <x:v/>
      </x:c>
      <x:c r="CO55" s="1172" t="str">
        <x:f>IF(ISBLANK(DE15),IF(CN15="","",VLOOKUP(CN15,SectInfo!$B:$N,6,FALSE)),DE15)</x:f>
        <x:v/>
      </x:c>
      <x:c r="CP55" s="437" t="str">
        <x:f>IF(CN15="","",IF(VLOOKUP(CN15,SectInfo!$B:$N,10,FALSE)="","",(VLOOKUP(CN15,SectInfo!$B:$N,10,FALSE)*-1)))</x:f>
        <x:v/>
      </x:c>
      <x:c r="CQ55" s="437" t="str">
        <x:f>IF(CN15="","",IF(VLOOKUP(CN15,SectInfo!$B:$N,7,FALSE)="","",(VLOOKUP(CN15,SectInfo!$B:$N,7,FALSE)*-1)))</x:f>
        <x:v/>
      </x:c>
      <x:c r="CR55" s="437" t="str">
        <x:f>IF(CN15="","",IF(VLOOKUP(CN15,SectInfo!$B:$N,8,FALSE)="",$FC$4,(VLOOKUP(CN15,SectInfo!$B:$N,8,FALSE))))</x:f>
        <x:v/>
      </x:c>
      <x:c r="CS55" s="437" t="str">
        <x:f>IF(CN15="","",VLOOKUP(CN15,SectInfo!$B:$N,9,FALSE))</x:f>
        <x:v/>
      </x:c>
      <x:c r="CT55" s="438">
        <x:f t="shared" ref="CT55:CT85" si="169">CT15*-1</x:f>
        <x:v>0</x:v>
      </x:c>
      <x:c r="CU55" s="439">
        <x:f t="shared" si="101"/>
        <x:v>0</x:v>
      </x:c>
      <x:c r="CV55" s="339" t="str">
        <x:f t="shared" si="102"/>
        <x:v/>
      </x:c>
      <x:c r="CW55" s="339" t="str">
        <x:f t="shared" si="103"/>
        <x:v/>
      </x:c>
      <x:c r="CX55" s="339" t="str">
        <x:f t="shared" si="104"/>
        <x:v/>
      </x:c>
      <x:c r="CY55" s="1109">
        <x:f t="shared" si="105"/>
        <x:v>0</x:v>
      </x:c>
      <x:c r="CZ55" s="1109">
        <x:f t="shared" si="106"/>
        <x:v>0</x:v>
      </x:c>
      <x:c r="DA55" s="1109" t="str">
        <x:f t="shared" si="107"/>
        <x:v/>
      </x:c>
      <x:c r="DB55" s="1125" t="str">
        <x:f t="shared" ref="DB55:DB85" si="170">IF(CD55="","",CD55+DA55+($EY$4*TAN(CY55)))</x:f>
        <x:v/>
      </x:c>
      <x:c r="DC55" s="1125" t="str">
        <x:f t="shared" si="108"/>
        <x:v/>
      </x:c>
      <x:c r="DD55" s="1110">
        <x:f t="shared" ref="DD55:DD85" si="171">IF(CD55="",0,IF(DC55/COS(EU55)&lt;0.0625,0,CEILING(DC55/COS(EU55)-0.03125,0.125)))</x:f>
        <x:v>0</x:v>
      </x:c>
      <x:c r="DE55" s="1108">
        <x:f t="shared" ref="DE55:DE85" si="172">RADIANS(ABS(CS15))</x:f>
        <x:v>0</x:v>
      </x:c>
      <x:c r="DF55" s="1109">
        <x:f t="shared" si="109"/>
        <x:v>0</x:v>
      </x:c>
      <x:c r="DG55" s="1109" t="str">
        <x:f t="shared" si="110"/>
        <x:v/>
      </x:c>
      <x:c r="DH55" s="1125" t="str">
        <x:f t="shared" ref="DH55:DH85" si="173">IF(CM55="","",CM55+DG55+($EY$4*TAN(DE55)))</x:f>
        <x:v/>
      </x:c>
      <x:c r="DI55" s="1125" t="str">
        <x:f t="shared" ref="DI55:DI85" si="174">IF(CM55="","",IF(NOT(ISBLANK(DC15)),CM55-DC15,MAX(IF(AND(DF55&gt;=$FB$4,DG55&lt;=$FA$4,OR($FA$1=1,$FA$1=4)),CM55,IF(OR($FA$1=3,$FA$1=4),DH55-$FA$4,DH55+MAX(($FA$4-$FB$4)-(DG55-DF55)-$EY$4/2*TAN(DE55),0)-$FA$4))-ET55,0)-DC15))</x:f>
        <x:v/>
      </x:c>
      <x:c r="DJ55" s="1110">
        <x:f t="shared" ref="DJ55:DJ85" si="175">IF(CM55="",0,IF(DI55/COS(EU55)&lt;0.0625,0,CEILING(DI55/COS(EU55)-0.03125,0.125)))</x:f>
        <x:v>0</x:v>
      </x:c>
      <x:c r="DK55" s="1108" t="str">
        <x:f t="shared" si="111"/>
        <x:v/>
      </x:c>
      <x:c r="DL55" s="1108" t="str">
        <x:f t="shared" si="112"/>
        <x:v/>
      </x:c>
      <x:c r="DM55" s="1108" t="str">
        <x:f t="shared" si="113"/>
        <x:v/>
      </x:c>
      <x:c r="DN55" s="1108" t="str">
        <x:f t="shared" si="114"/>
        <x:v/>
      </x:c>
      <x:c r="DO55" s="1125" t="str">
        <x:f t="shared" si="115"/>
        <x:v>ERR</x:v>
      </x:c>
      <x:c r="DP55" s="1125" t="str">
        <x:f t="shared" si="116"/>
        <x:v>ERR</x:v>
      </x:c>
      <x:c r="DQ55" s="1108" t="str">
        <x:f t="shared" si="117"/>
        <x:v/>
      </x:c>
      <x:c r="DR55" s="1108" t="str">
        <x:f t="shared" si="117"/>
        <x:v/>
      </x:c>
      <x:c r="DS55" s="1108" t="str">
        <x:f t="shared" si="118"/>
        <x:v/>
      </x:c>
      <x:c r="DT55" s="1108" t="str">
        <x:f t="shared" si="119"/>
        <x:v/>
      </x:c>
      <x:c r="DU55" s="1108" t="str">
        <x:f t="shared" si="120"/>
        <x:v/>
      </x:c>
      <x:c r="DV55" s="1125" t="str">
        <x:f t="shared" si="121"/>
        <x:v>ERR</x:v>
      </x:c>
      <x:c r="DW55" s="1125" t="str">
        <x:f t="shared" si="122"/>
        <x:v>ERR</x:v>
      </x:c>
      <x:c r="DX55" s="1108" t="str">
        <x:f t="shared" si="123"/>
        <x:v/>
      </x:c>
      <x:c r="DY55" s="1108" t="str">
        <x:f t="shared" si="123"/>
        <x:v/>
      </x:c>
      <x:c r="DZ55" s="1108" t="str">
        <x:f t="shared" si="124"/>
        <x:v/>
      </x:c>
      <x:c r="EA55" s="1108" t="str">
        <x:f t="shared" si="125"/>
        <x:v/>
      </x:c>
      <x:c r="EB55" s="1111" t="str">
        <x:f t="shared" si="126"/>
        <x:v/>
      </x:c>
      <x:c r="EC55" s="1112" t="str">
        <x:f t="shared" si="127"/>
        <x:v/>
      </x:c>
      <x:c r="ED55" s="1111" t="str">
        <x:f t="shared" si="128"/>
        <x:v/>
      </x:c>
      <x:c r="EE55" s="1111" t="str">
        <x:f t="shared" si="129"/>
        <x:v/>
      </x:c>
      <x:c r="EF55" s="1111" t="str">
        <x:f t="shared" si="130"/>
        <x:v/>
      </x:c>
      <x:c r="EG55" s="1111" t="str">
        <x:f t="shared" si="131"/>
        <x:v/>
      </x:c>
      <x:c r="EH55" s="1111" t="str">
        <x:f t="shared" si="132"/>
        <x:v/>
      </x:c>
      <x:c r="EI55" s="1111" t="str">
        <x:f t="shared" si="133"/>
        <x:v/>
      </x:c>
      <x:c r="EJ55" s="1111" t="str">
        <x:f t="shared" si="134"/>
        <x:v/>
      </x:c>
      <x:c r="EK55" s="1109">
        <x:f t="shared" si="135"/>
        <x:v>0</x:v>
      </x:c>
      <x:c r="EL55" s="1109">
        <x:f t="shared" si="136"/>
        <x:v>0</x:v>
      </x:c>
      <x:c r="EM55" s="1109">
        <x:f t="shared" si="137"/>
        <x:v>0</x:v>
      </x:c>
      <x:c r="EN55" s="1109" t="str">
        <x:f t="shared" si="138"/>
        <x:v/>
      </x:c>
      <x:c r="EO55" s="1108" t="str">
        <x:f t="shared" si="139"/>
        <x:v/>
      </x:c>
      <x:c r="EP55" s="1109">
        <x:f t="shared" si="140"/>
        <x:v>0</x:v>
      </x:c>
      <x:c r="EQ55" s="1109">
        <x:f t="shared" si="141"/>
        <x:v>0</x:v>
      </x:c>
      <x:c r="ER55" s="1109">
        <x:f t="shared" si="142"/>
        <x:v>0</x:v>
      </x:c>
      <x:c r="ES55" s="1109" t="str">
        <x:f t="shared" si="143"/>
        <x:v/>
      </x:c>
      <x:c r="ET55" s="1108" t="str">
        <x:f t="shared" si="144"/>
        <x:v/>
      </x:c>
      <x:c r="EU55" s="1108">
        <x:f t="shared" si="145"/>
        <x:v>0</x:v>
      </x:c>
      <x:c r="EV55" s="1111" t="e">
        <x:f t="shared" si="146"/>
        <x:v>#VALUE!</x:v>
      </x:c>
      <x:c r="EW55" s="1111" t="e">
        <x:f t="shared" si="147"/>
        <x:v>#VALUE!</x:v>
      </x:c>
      <x:c r="EX55" s="1113" t="str">
        <x:f t="shared" ref="EX55:EX85" si="176">IF(CD15="","",IF(EZ55&lt;1.2,5+$EX$4,IF(EZ55&lt;1.79,6+$EX$4,IF(EZ55&lt;2.3,7+$EX$4,IF(EZ55&lt;3.76,8+$EX$4,IF(EZ55&lt;4.76,10+$EX$4,IF(EZ55&lt;8.45,12+$EX$4,"ERR")))))))</x:f>
        <x:v/>
      </x:c>
      <x:c r="EY55" s="1114">
        <x:f t="shared" si="148"/>
        <x:v>25</x:v>
      </x:c>
      <x:c r="EZ55" s="1219">
        <x:f t="shared" si="149"/>
        <x:v>0</x:v>
      </x:c>
      <x:c r="FA55" s="1220">
        <x:f t="shared" si="150"/>
        <x:v>0</x:v>
      </x:c>
      <x:c r="FB55" s="1115" t="str">
        <x:f t="shared" si="151"/>
        <x:v/>
      </x:c>
      <x:c r="FC55" s="1116" t="str">
        <x:f t="shared" si="152"/>
        <x:v/>
      </x:c>
      <x:c r="FD55" s="1126">
        <x:f t="shared" si="153"/>
        <x:v>0</x:v>
      </x:c>
      <x:c r="FE55" s="1066">
        <x:f t="shared" si="154"/>
        <x:v>0</x:v>
      </x:c>
      <x:c r="FF55" s="969" t="b">
        <x:f t="shared" si="155"/>
        <x:v>0</x:v>
      </x:c>
      <x:c r="FG55" s="969" t="b">
        <x:f t="shared" si="156"/>
        <x:v>0</x:v>
      </x:c>
      <x:c r="FH55" s="969" t="b">
        <x:f t="shared" si="157"/>
        <x:v>0</x:v>
      </x:c>
      <x:c r="FI55" s="969" t="b">
        <x:f t="shared" si="158"/>
        <x:v>0</x:v>
      </x:c>
      <x:c r="FJ55" s="1161" t="str">
        <x:f t="shared" ref="FJ55:FJ85" si="177">IF(AND(COUNTA(DH15:EK15)&gt;0,FK55=FK54,FK55&lt;&gt;""),"G","")</x:f>
        <x:v/>
      </x:c>
      <x:c r="FK55" s="1160" t="str">
        <x:f t="shared" ref="FK55:FK85" si="178">IF(ISBLANK(DH15),FK54,DH15)</x:f>
        <x:v/>
      </x:c>
      <x:c r="FL55" s="388" t="e">
        <x:f t="shared" ref="FL55:FL85" si="179">IF(ISERROR(VLOOKUP(DH15,$CB$54:$DK$85,36,FALSE)),FL54,VLOOKUP(DH15,$CB$54:$DK$85,36,FALSE))</x:f>
        <x:v>#N/A</x:v>
      </x:c>
      <x:c r="FM55" s="380" t="str">
        <x:f t="shared" si="159"/>
        <x:v/>
      </x:c>
      <x:c r="FN55" s="337" t="str">
        <x:f t="shared" ref="FN55:FN85" ca="1" si="180">IF(OR(FS55=0,DL15=""),"",IF(UPPER(FM54)="X",0,CEILING(IF(AND(DJ15="",DK15=""),IF(UPPER(FM55)="X",FP55,IF(AND(DM15="",DN15=""),(FS55-FO55*FP55)/2,(DJ15*12+DK15+(DL15*(DM15*12+DN15)))-FO55*FP55)),(DJ15*12+DK15))-0.0625,0.125)))</x:f>
        <x:v/>
      </x:c>
      <x:c r="FO55" s="338" t="str">
        <x:f t="shared" ref="FO55:FO85" ca="1" si="181">IF(OR(FS55=0,DL15=""),"",DL15-IF(AND(DJ15="",DK15="",FM54&lt;&gt;"X"),1,0)-IF(AND(DM15="",DN15="",FM55=""),1,0))</x:f>
        <x:v/>
      </x:c>
      <x:c r="FP55" s="339" t="str">
        <x:f t="shared" ref="FP55:FP85" ca="1" si="182">IF(OR(FS55=0,DL15=""),"",CEILING(IF(AND(DM15="",DN15=""),IF(DL15=FO55,(FS55-FN55-FQ55)/FO55,(FS55-IF(AND(DJ15="",DK15=""),0,FN55)-IF(FM55="",0,FQ55))/DL15),DM15*12+DN15)-0.0625,0.125))</x:f>
        <x:v/>
      </x:c>
      <x:c r="FQ55" s="339" t="str">
        <x:f t="shared" ref="FQ55:FQ85" ca="1" si="183">IF(OR(FS55=0,DL15=""),"",IF(UPPER(FM55)="X",0,FS55-FN55-FO55*FP55))</x:f>
        <x:v/>
      </x:c>
      <x:c r="FR55" s="389">
        <x:f t="shared" ref="FR55:FR85" ca="1" si="184">IF(OR(FS55=0,DL15=""),0,FS55-(FN55+FO55*FP55+FQ55))</x:f>
        <x:v>0</x:v>
      </x:c>
      <x:c r="FS55" s="390">
        <x:f t="shared" ref="FS55:FS85" ca="1" si="185">IF(ISBLANK(DH15),IF(FR54=0,IF(OR(DI15="F",DI15="N"),OFFSET(FS54,(-1*(FU54-1)),0),0),FR54),VLOOKUP(DH15,$CB$14:$CF$45,4,FALSE)*12+VLOOKUP(DH15,$CB$14:$CF$45,5,FALSE))</x:f>
        <x:v>0</x:v>
      </x:c>
      <x:c r="FT55" s="337" t="str">
        <x:f t="shared" ref="FT55:FT85" ca="1" si="186">IF(FU55="","",IF(FU55=1,IF(FL55="",OFFSET(FL55,(-1*FU54),0),FL55),FT54-GA54))</x:f>
        <x:v/>
      </x:c>
      <x:c r="FU55" s="340" t="str">
        <x:f t="shared" ref="FU55:FU85" ca="1" si="187">IF(FS55=0,"",IF(FR54=0,1,FU54+1))</x:f>
        <x:v/>
      </x:c>
      <x:c r="FV55" s="391" t="str">
        <x:f t="shared" ca="1" si="160"/>
        <x:v/>
      </x:c>
      <x:c r="FW55" s="341" t="str">
        <x:f t="shared" ref="FW55:FW85" ca="1" si="188">IF(OR(FN55=0,FN55=""),"",(FN55+VLOOKUP(FK55,$CB$54:$CD$85,3,FALSE)-VLOOKUP(FK55,$CB$54:$DD$85,29,FALSE))/COS(VLOOKUP(FK55,$CB$54:$EU$85,72,FALSE)))</x:f>
        <x:v/>
      </x:c>
      <x:c r="FX55" s="341" t="str">
        <x:f t="shared" ref="FX55:FX85" ca="1" si="189">IF(FO55=0,0,IF(FP55="","",CEILING(FP55/COS(VLOOKUP(FK55,$CB$54:$EU$85,72,FALSE))-0.0625,0.125)))</x:f>
        <x:v/>
      </x:c>
      <x:c r="FY55" s="341" t="str">
        <x:f t="shared" ref="FY55:FY85" ca="1" si="190">IF(OR(FQ55=0,FQ55=""),"",FT55-IF(FW55="",0,FW55)-FO55*FX55)</x:f>
        <x:v/>
      </x:c>
      <x:c r="FZ55" s="341" t="str">
        <x:f t="shared" ref="FZ55:FZ85" ca="1" si="191">IF(FY55="","",CEILING(FT55-IF(FV55="",0,FV55)-(FO55*FX55)-0.0625,0.125))</x:f>
        <x:v/>
      </x:c>
      <x:c r="GA55" s="341" t="str">
        <x:f t="shared" ref="GA55:GA85" ca="1" si="192">IF(FP55="","",IF(FW55="",0,FW55)+FO55*FX55+IF(FY55="",0,FY55))</x:f>
        <x:v/>
      </x:c>
      <x:c r="GB55" s="342" t="str">
        <x:f ca="1">IF(FY55="","",2+SUM(FO55:OFFSET(FO55,(FU55-1)*-1,0)))</x:f>
        <x:v/>
      </x:c>
      <x:c r="GC55" s="384" t="e">
        <x:f t="shared" ref="GC55:GC85" si="193">IF(ISERROR(VLOOKUP(DH15,$CB$54:$CD$85,3,FALSE)),GC54,VLOOKUP(DH15,$CB$54:$CD$85,3,FALSE))</x:f>
        <x:v>#N/A</x:v>
      </x:c>
      <x:c r="GD55" s="392" t="str">
        <x:f t="shared" si="161"/>
        <x:v/>
      </x:c>
      <x:c r="GE55" s="393" t="str">
        <x:f t="shared" si="162"/>
        <x:v/>
      </x:c>
      <x:c r="GF55" s="343" t="str">
        <x:f t="shared" si="163"/>
        <x:v/>
      </x:c>
      <x:c r="GG55" s="344" t="str">
        <x:f t="shared" si="164"/>
        <x:v/>
      </x:c>
      <x:c r="GH55" s="344" t="str">
        <x:f t="shared" si="165"/>
        <x:v/>
      </x:c>
      <x:c r="GI55" s="345" t="str">
        <x:f t="shared" si="166"/>
        <x:v/>
      </x:c>
      <x:c r="GJ55" s="646">
        <x:f t="shared" ca="1" si="167"/>
        <x:v>0</x:v>
      </x:c>
      <x:c r="GK55" s="1131" t="str">
        <x:f t="shared" ref="GK55:GK85" ca="1" si="194">CONCATENATE(IF(AND(AD15&lt;&gt;"",AE15&lt;&gt;""),IF(AD15*12+AE15&lt;VLOOKUP(BX15,$BJ$14:$BM$45,4,FALSE)/$EX$5,"A",""),""),IF(AND(AI15&lt;&gt;"",AJ15&lt;&gt;""),IF(AI15*12+AJ15&lt;VLOOKUP(BX15,$BJ$14:$BM$45,4,FALSE)/$EX$5,"B",""),""))</x:f>
        <x:v/>
      </x:c>
      <x:c r="GL55" s="171"/>
      <x:c r="GM55" s="171"/>
    </x:row>
    <x:row r="56" spans="1:222" ht="12.6" hidden="1" customHeight="1" x14ac:dyDescent="0.2">
      <x:c r="BZ56" s="360"/>
      <x:c r="CA56" s="360"/>
      <x:c r="CB56" s="435" t="str">
        <x:f t="shared" si="100"/>
        <x:v/>
      </x:c>
      <x:c r="CC56" s="436" t="str">
        <x:f>IF(CG16="","",VLOOKUP(CG16,SectInfo!$B:$N,12,FALSE))</x:f>
        <x:v/>
      </x:c>
      <x:c r="CD56" s="1172" t="str">
        <x:f>IF(ISBLANK(CZ16),IF(CG16="","",VLOOKUP(CG16,SectInfo!$B:$N,13,FALSE)),CZ16)</x:f>
        <x:v/>
      </x:c>
      <x:c r="CE56" s="437" t="str">
        <x:f>IF(CG16="","",IF(VLOOKUP(CG16,SectInfo!$B:$N,5,FALSE)="","R",UPPER(VLOOKUP(CG16,SectInfo!$B:$N,5,FALSE))))</x:f>
        <x:v/>
      </x:c>
      <x:c r="CF56" s="1172" t="str">
        <x:f>IF(ISBLANK(DD16),IF(CG16="","",VLOOKUP(CG16,SectInfo!$B:$N,6,FALSE)),DD16)</x:f>
        <x:v/>
      </x:c>
      <x:c r="CG56" s="437" t="str">
        <x:f>IF(CG16="","",IF(VLOOKUP(CG16,SectInfo!$B:$N,10,FALSE)="","",(VLOOKUP(CG16,SectInfo!$B:$N,10,FALSE)*-1)))</x:f>
        <x:v/>
      </x:c>
      <x:c r="CH56" s="437" t="str">
        <x:f>IF(CG16="","",IF(VLOOKUP(CG16,SectInfo!$B:$N,7,FALSE)="","",(VLOOKUP(CG16,SectInfo!$B:$N,7,FALSE)*-1)))</x:f>
        <x:v/>
      </x:c>
      <x:c r="CI56" s="437" t="str">
        <x:f>IF(CG16="","",IF(VLOOKUP(CG16,SectInfo!$B:$N,8,FALSE)="",$FC$4,(VLOOKUP(CG16,SectInfo!$B:$N,8,FALSE))))</x:f>
        <x:v/>
      </x:c>
      <x:c r="CJ56" s="437" t="str">
        <x:f>IF(CG16="","",VLOOKUP(CG16,SectInfo!$B:$N,9,FALSE))</x:f>
        <x:v/>
      </x:c>
      <x:c r="CK56" s="438">
        <x:f t="shared" si="168"/>
        <x:v>0</x:v>
      </x:c>
      <x:c r="CL56" s="436" t="str">
        <x:f>IF(CN16="","",VLOOKUP(CN16,SectInfo!$B:$N,12,FALSE))</x:f>
        <x:v/>
      </x:c>
      <x:c r="CM56" s="1172" t="str">
        <x:f>IF(ISBLANK(DA16),IF(CN16="","",VLOOKUP(CN16,SectInfo!$B:$N,13,FALSE)),DA16)</x:f>
        <x:v/>
      </x:c>
      <x:c r="CN56" s="437" t="str">
        <x:f>IF(CN16="","",IF(VLOOKUP(CN16,SectInfo!$B:$N,5,FALSE)="","R",UPPER(VLOOKUP(CN16,SectInfo!$B:$N,5,FALSE))))</x:f>
        <x:v/>
      </x:c>
      <x:c r="CO56" s="1172" t="str">
        <x:f>IF(ISBLANK(DE16),IF(CN16="","",VLOOKUP(CN16,SectInfo!$B:$N,6,FALSE)),DE16)</x:f>
        <x:v/>
      </x:c>
      <x:c r="CP56" s="437" t="str">
        <x:f>IF(CN16="","",IF(VLOOKUP(CN16,SectInfo!$B:$N,10,FALSE)="","",(VLOOKUP(CN16,SectInfo!$B:$N,10,FALSE)*-1)))</x:f>
        <x:v/>
      </x:c>
      <x:c r="CQ56" s="437" t="str">
        <x:f>IF(CN16="","",IF(VLOOKUP(CN16,SectInfo!$B:$N,7,FALSE)="","",(VLOOKUP(CN16,SectInfo!$B:$N,7,FALSE)*-1)))</x:f>
        <x:v/>
      </x:c>
      <x:c r="CR56" s="437" t="str">
        <x:f>IF(CN16="","",IF(VLOOKUP(CN16,SectInfo!$B:$N,8,FALSE)="",$FC$4,(VLOOKUP(CN16,SectInfo!$B:$N,8,FALSE))))</x:f>
        <x:v/>
      </x:c>
      <x:c r="CS56" s="437" t="str">
        <x:f>IF(CN16="","",VLOOKUP(CN16,SectInfo!$B:$N,9,FALSE))</x:f>
        <x:v/>
      </x:c>
      <x:c r="CT56" s="438">
        <x:f t="shared" si="169"/>
        <x:v>0</x:v>
      </x:c>
      <x:c r="CU56" s="439">
        <x:f t="shared" si="101"/>
        <x:v>0</x:v>
      </x:c>
      <x:c r="CV56" s="339" t="str">
        <x:f t="shared" si="102"/>
        <x:v/>
      </x:c>
      <x:c r="CW56" s="339" t="str">
        <x:f t="shared" si="103"/>
        <x:v/>
      </x:c>
      <x:c r="CX56" s="339" t="str">
        <x:f t="shared" si="104"/>
        <x:v/>
      </x:c>
      <x:c r="CY56" s="1109">
        <x:f t="shared" si="105"/>
        <x:v>0</x:v>
      </x:c>
      <x:c r="CZ56" s="1109">
        <x:f t="shared" si="106"/>
        <x:v>0</x:v>
      </x:c>
      <x:c r="DA56" s="1109" t="str">
        <x:f t="shared" si="107"/>
        <x:v/>
      </x:c>
      <x:c r="DB56" s="1125" t="str">
        <x:f t="shared" si="170"/>
        <x:v/>
      </x:c>
      <x:c r="DC56" s="1125" t="str">
        <x:f t="shared" si="108"/>
        <x:v/>
      </x:c>
      <x:c r="DD56" s="1110">
        <x:f t="shared" si="171"/>
        <x:v>0</x:v>
      </x:c>
      <x:c r="DE56" s="1108">
        <x:f t="shared" si="172"/>
        <x:v>0</x:v>
      </x:c>
      <x:c r="DF56" s="1109">
        <x:f t="shared" si="109"/>
        <x:v>0</x:v>
      </x:c>
      <x:c r="DG56" s="1109" t="str">
        <x:f t="shared" si="110"/>
        <x:v/>
      </x:c>
      <x:c r="DH56" s="1125" t="str">
        <x:f t="shared" si="173"/>
        <x:v/>
      </x:c>
      <x:c r="DI56" s="1125" t="str">
        <x:f t="shared" si="174"/>
        <x:v/>
      </x:c>
      <x:c r="DJ56" s="1110">
        <x:f t="shared" si="175"/>
        <x:v>0</x:v>
      </x:c>
      <x:c r="DK56" s="1108" t="str">
        <x:f t="shared" si="111"/>
        <x:v/>
      </x:c>
      <x:c r="DL56" s="1108" t="str">
        <x:f t="shared" si="112"/>
        <x:v/>
      </x:c>
      <x:c r="DM56" s="1108" t="str">
        <x:f t="shared" si="113"/>
        <x:v/>
      </x:c>
      <x:c r="DN56" s="1108" t="str">
        <x:f t="shared" si="114"/>
        <x:v/>
      </x:c>
      <x:c r="DO56" s="1125" t="str">
        <x:f t="shared" si="115"/>
        <x:v>ERR</x:v>
      </x:c>
      <x:c r="DP56" s="1125" t="str">
        <x:f t="shared" si="116"/>
        <x:v>ERR</x:v>
      </x:c>
      <x:c r="DQ56" s="1108" t="str">
        <x:f t="shared" si="117"/>
        <x:v/>
      </x:c>
      <x:c r="DR56" s="1108" t="str">
        <x:f t="shared" si="117"/>
        <x:v/>
      </x:c>
      <x:c r="DS56" s="1108" t="str">
        <x:f t="shared" si="118"/>
        <x:v/>
      </x:c>
      <x:c r="DT56" s="1108" t="str">
        <x:f t="shared" si="119"/>
        <x:v/>
      </x:c>
      <x:c r="DU56" s="1108" t="str">
        <x:f t="shared" si="120"/>
        <x:v/>
      </x:c>
      <x:c r="DV56" s="1125" t="str">
        <x:f t="shared" si="121"/>
        <x:v>ERR</x:v>
      </x:c>
      <x:c r="DW56" s="1125" t="str">
        <x:f t="shared" si="122"/>
        <x:v>ERR</x:v>
      </x:c>
      <x:c r="DX56" s="1108" t="str">
        <x:f t="shared" si="123"/>
        <x:v/>
      </x:c>
      <x:c r="DY56" s="1108" t="str">
        <x:f t="shared" si="123"/>
        <x:v/>
      </x:c>
      <x:c r="DZ56" s="1108" t="str">
        <x:f t="shared" si="124"/>
        <x:v/>
      </x:c>
      <x:c r="EA56" s="1108" t="str">
        <x:f t="shared" si="125"/>
        <x:v/>
      </x:c>
      <x:c r="EB56" s="1111" t="str">
        <x:f t="shared" si="126"/>
        <x:v/>
      </x:c>
      <x:c r="EC56" s="1112" t="str">
        <x:f t="shared" si="127"/>
        <x:v/>
      </x:c>
      <x:c r="ED56" s="1111" t="str">
        <x:f t="shared" si="128"/>
        <x:v/>
      </x:c>
      <x:c r="EE56" s="1111" t="str">
        <x:f t="shared" si="129"/>
        <x:v/>
      </x:c>
      <x:c r="EF56" s="1111" t="str">
        <x:f t="shared" si="130"/>
        <x:v/>
      </x:c>
      <x:c r="EG56" s="1111" t="str">
        <x:f t="shared" si="131"/>
        <x:v/>
      </x:c>
      <x:c r="EH56" s="1111" t="str">
        <x:f t="shared" si="132"/>
        <x:v/>
      </x:c>
      <x:c r="EI56" s="1111" t="str">
        <x:f t="shared" si="133"/>
        <x:v/>
      </x:c>
      <x:c r="EJ56" s="1111" t="str">
        <x:f t="shared" si="134"/>
        <x:v/>
      </x:c>
      <x:c r="EK56" s="1109">
        <x:f t="shared" si="135"/>
        <x:v>0</x:v>
      </x:c>
      <x:c r="EL56" s="1109">
        <x:f t="shared" si="136"/>
        <x:v>0</x:v>
      </x:c>
      <x:c r="EM56" s="1109">
        <x:f t="shared" si="137"/>
        <x:v>0</x:v>
      </x:c>
      <x:c r="EN56" s="1109" t="str">
        <x:f t="shared" si="138"/>
        <x:v/>
      </x:c>
      <x:c r="EO56" s="1108" t="str">
        <x:f t="shared" si="139"/>
        <x:v/>
      </x:c>
      <x:c r="EP56" s="1109">
        <x:f t="shared" si="140"/>
        <x:v>0</x:v>
      </x:c>
      <x:c r="EQ56" s="1109">
        <x:f t="shared" si="141"/>
        <x:v>0</x:v>
      </x:c>
      <x:c r="ER56" s="1109">
        <x:f t="shared" si="142"/>
        <x:v>0</x:v>
      </x:c>
      <x:c r="ES56" s="1109" t="str">
        <x:f t="shared" si="143"/>
        <x:v/>
      </x:c>
      <x:c r="ET56" s="1108" t="str">
        <x:f t="shared" si="144"/>
        <x:v/>
      </x:c>
      <x:c r="EU56" s="1108">
        <x:f t="shared" si="145"/>
        <x:v>0</x:v>
      </x:c>
      <x:c r="EV56" s="1111" t="e">
        <x:f t="shared" si="146"/>
        <x:v>#VALUE!</x:v>
      </x:c>
      <x:c r="EW56" s="1111" t="e">
        <x:f t="shared" si="147"/>
        <x:v>#VALUE!</x:v>
      </x:c>
      <x:c r="EX56" s="1113" t="str">
        <x:f t="shared" si="176"/>
        <x:v/>
      </x:c>
      <x:c r="EY56" s="1114">
        <x:f t="shared" si="148"/>
        <x:v>25</x:v>
      </x:c>
      <x:c r="EZ56" s="1219">
        <x:f t="shared" si="149"/>
        <x:v>0</x:v>
      </x:c>
      <x:c r="FA56" s="1220">
        <x:f t="shared" si="150"/>
        <x:v>0</x:v>
      </x:c>
      <x:c r="FB56" s="1115" t="str">
        <x:f t="shared" si="151"/>
        <x:v/>
      </x:c>
      <x:c r="FC56" s="1116" t="str">
        <x:f t="shared" si="152"/>
        <x:v/>
      </x:c>
      <x:c r="FD56" s="1126">
        <x:f t="shared" si="153"/>
        <x:v>0</x:v>
      </x:c>
      <x:c r="FE56" s="1066">
        <x:f t="shared" si="154"/>
        <x:v>0</x:v>
      </x:c>
      <x:c r="FF56" s="969" t="b">
        <x:f t="shared" si="155"/>
        <x:v>0</x:v>
      </x:c>
      <x:c r="FG56" s="969" t="b">
        <x:f t="shared" si="156"/>
        <x:v>0</x:v>
      </x:c>
      <x:c r="FH56" s="969" t="b">
        <x:f t="shared" si="157"/>
        <x:v>0</x:v>
      </x:c>
      <x:c r="FI56" s="969" t="b">
        <x:f t="shared" si="158"/>
        <x:v>0</x:v>
      </x:c>
      <x:c r="FJ56" s="1161" t="str">
        <x:f t="shared" si="177"/>
        <x:v/>
      </x:c>
      <x:c r="FK56" s="1160" t="str">
        <x:f t="shared" si="178"/>
        <x:v/>
      </x:c>
      <x:c r="FL56" s="388" t="e">
        <x:f t="shared" si="179"/>
        <x:v>#N/A</x:v>
      </x:c>
      <x:c r="FM56" s="380" t="str">
        <x:f t="shared" si="159"/>
        <x:v/>
      </x:c>
      <x:c r="FN56" s="337" t="str">
        <x:f t="shared" ca="1" si="180"/>
        <x:v/>
      </x:c>
      <x:c r="FO56" s="338" t="str">
        <x:f t="shared" ca="1" si="181"/>
        <x:v/>
      </x:c>
      <x:c r="FP56" s="339" t="str">
        <x:f t="shared" ca="1" si="182"/>
        <x:v/>
      </x:c>
      <x:c r="FQ56" s="339" t="str">
        <x:f t="shared" ca="1" si="183"/>
        <x:v/>
      </x:c>
      <x:c r="FR56" s="389">
        <x:f t="shared" ca="1" si="184"/>
        <x:v>0</x:v>
      </x:c>
      <x:c r="FS56" s="390">
        <x:f t="shared" ca="1" si="185"/>
        <x:v>0</x:v>
      </x:c>
      <x:c r="FT56" s="337" t="str">
        <x:f t="shared" ca="1" si="186"/>
        <x:v/>
      </x:c>
      <x:c r="FU56" s="340" t="str">
        <x:f t="shared" ca="1" si="187"/>
        <x:v/>
      </x:c>
      <x:c r="FV56" s="391" t="str">
        <x:f t="shared" ca="1" si="160"/>
        <x:v/>
      </x:c>
      <x:c r="FW56" s="341" t="str">
        <x:f t="shared" ca="1" si="188"/>
        <x:v/>
      </x:c>
      <x:c r="FX56" s="341" t="str">
        <x:f t="shared" ca="1" si="189"/>
        <x:v/>
      </x:c>
      <x:c r="FY56" s="341" t="str">
        <x:f t="shared" ca="1" si="190"/>
        <x:v/>
      </x:c>
      <x:c r="FZ56" s="341" t="str">
        <x:f t="shared" ca="1" si="191"/>
        <x:v/>
      </x:c>
      <x:c r="GA56" s="341" t="str">
        <x:f t="shared" ca="1" si="192"/>
        <x:v/>
      </x:c>
      <x:c r="GB56" s="342" t="str">
        <x:f ca="1">IF(FY56="","",2+SUM(FO56:OFFSET(FO56,(FU56-1)*-1,0)))</x:f>
        <x:v/>
      </x:c>
      <x:c r="GC56" s="384" t="e">
        <x:f t="shared" si="193"/>
        <x:v>#N/A</x:v>
      </x:c>
      <x:c r="GD56" s="392" t="str">
        <x:f t="shared" si="161"/>
        <x:v/>
      </x:c>
      <x:c r="GE56" s="393" t="str">
        <x:f t="shared" si="162"/>
        <x:v/>
      </x:c>
      <x:c r="GF56" s="343" t="str">
        <x:f t="shared" si="163"/>
        <x:v/>
      </x:c>
      <x:c r="GG56" s="344" t="str">
        <x:f t="shared" si="164"/>
        <x:v/>
      </x:c>
      <x:c r="GH56" s="344" t="str">
        <x:f t="shared" si="165"/>
        <x:v/>
      </x:c>
      <x:c r="GI56" s="345" t="str">
        <x:f t="shared" si="166"/>
        <x:v/>
      </x:c>
      <x:c r="GJ56" s="646">
        <x:f t="shared" ca="1" si="167"/>
        <x:v>0</x:v>
      </x:c>
      <x:c r="GK56" s="1131" t="str">
        <x:f t="shared" ca="1" si="194"/>
        <x:v>A</x:v>
      </x:c>
      <x:c r="GL56" s="171"/>
      <x:c r="GM56" s="171"/>
    </x:row>
    <x:row r="57" spans="1:222" ht="12.6" hidden="1" customHeight="1" x14ac:dyDescent="0.2">
      <x:c r="BZ57" s="360"/>
      <x:c r="CA57" s="360"/>
      <x:c r="CB57" s="435" t="str">
        <x:f t="shared" si="100"/>
        <x:v/>
      </x:c>
      <x:c r="CC57" s="436" t="str">
        <x:f>IF(CG17="","",VLOOKUP(CG17,SectInfo!$B:$N,12,FALSE))</x:f>
        <x:v/>
      </x:c>
      <x:c r="CD57" s="1172" t="str">
        <x:f>IF(ISBLANK(CZ17),IF(CG17="","",VLOOKUP(CG17,SectInfo!$B:$N,13,FALSE)),CZ17)</x:f>
        <x:v/>
      </x:c>
      <x:c r="CE57" s="437" t="str">
        <x:f>IF(CG17="","",IF(VLOOKUP(CG17,SectInfo!$B:$N,5,FALSE)="","R",UPPER(VLOOKUP(CG17,SectInfo!$B:$N,5,FALSE))))</x:f>
        <x:v/>
      </x:c>
      <x:c r="CF57" s="1172" t="str">
        <x:f>IF(ISBLANK(DD17),IF(CG17="","",VLOOKUP(CG17,SectInfo!$B:$N,6,FALSE)),DD17)</x:f>
        <x:v/>
      </x:c>
      <x:c r="CG57" s="437" t="str">
        <x:f>IF(CG17="","",IF(VLOOKUP(CG17,SectInfo!$B:$N,10,FALSE)="","",(VLOOKUP(CG17,SectInfo!$B:$N,10,FALSE)*-1)))</x:f>
        <x:v/>
      </x:c>
      <x:c r="CH57" s="437" t="str">
        <x:f>IF(CG17="","",IF(VLOOKUP(CG17,SectInfo!$B:$N,7,FALSE)="","",(VLOOKUP(CG17,SectInfo!$B:$N,7,FALSE)*-1)))</x:f>
        <x:v/>
      </x:c>
      <x:c r="CI57" s="437" t="str">
        <x:f>IF(CG17="","",IF(VLOOKUP(CG17,SectInfo!$B:$N,8,FALSE)="",$FC$4,(VLOOKUP(CG17,SectInfo!$B:$N,8,FALSE))))</x:f>
        <x:v/>
      </x:c>
      <x:c r="CJ57" s="437" t="str">
        <x:f>IF(CG17="","",VLOOKUP(CG17,SectInfo!$B:$N,9,FALSE))</x:f>
        <x:v/>
      </x:c>
      <x:c r="CK57" s="438">
        <x:f t="shared" si="168"/>
        <x:v>0</x:v>
      </x:c>
      <x:c r="CL57" s="436" t="str">
        <x:f>IF(CN17="","",VLOOKUP(CN17,SectInfo!$B:$N,12,FALSE))</x:f>
        <x:v/>
      </x:c>
      <x:c r="CM57" s="1172" t="str">
        <x:f>IF(ISBLANK(DA17),IF(CN17="","",VLOOKUP(CN17,SectInfo!$B:$N,13,FALSE)),DA17)</x:f>
        <x:v/>
      </x:c>
      <x:c r="CN57" s="437" t="str">
        <x:f>IF(CN17="","",IF(VLOOKUP(CN17,SectInfo!$B:$N,5,FALSE)="","R",UPPER(VLOOKUP(CN17,SectInfo!$B:$N,5,FALSE))))</x:f>
        <x:v/>
      </x:c>
      <x:c r="CO57" s="1172" t="str">
        <x:f>IF(ISBLANK(DE17),IF(CN17="","",VLOOKUP(CN17,SectInfo!$B:$N,6,FALSE)),DE17)</x:f>
        <x:v/>
      </x:c>
      <x:c r="CP57" s="437" t="str">
        <x:f>IF(CN17="","",IF(VLOOKUP(CN17,SectInfo!$B:$N,10,FALSE)="","",(VLOOKUP(CN17,SectInfo!$B:$N,10,FALSE)*-1)))</x:f>
        <x:v/>
      </x:c>
      <x:c r="CQ57" s="437" t="str">
        <x:f>IF(CN17="","",IF(VLOOKUP(CN17,SectInfo!$B:$N,7,FALSE)="","",(VLOOKUP(CN17,SectInfo!$B:$N,7,FALSE)*-1)))</x:f>
        <x:v/>
      </x:c>
      <x:c r="CR57" s="437" t="str">
        <x:f>IF(CN17="","",IF(VLOOKUP(CN17,SectInfo!$B:$N,8,FALSE)="",$FC$4,(VLOOKUP(CN17,SectInfo!$B:$N,8,FALSE))))</x:f>
        <x:v/>
      </x:c>
      <x:c r="CS57" s="437" t="str">
        <x:f>IF(CN17="","",VLOOKUP(CN17,SectInfo!$B:$N,9,FALSE))</x:f>
        <x:v/>
      </x:c>
      <x:c r="CT57" s="438">
        <x:f t="shared" si="169"/>
        <x:v>0</x:v>
      </x:c>
      <x:c r="CU57" s="439">
        <x:f t="shared" si="101"/>
        <x:v>0</x:v>
      </x:c>
      <x:c r="CV57" s="339" t="str">
        <x:f t="shared" si="102"/>
        <x:v/>
      </x:c>
      <x:c r="CW57" s="339" t="str">
        <x:f t="shared" si="103"/>
        <x:v/>
      </x:c>
      <x:c r="CX57" s="339" t="str">
        <x:f t="shared" si="104"/>
        <x:v/>
      </x:c>
      <x:c r="CY57" s="1109">
        <x:f t="shared" si="105"/>
        <x:v>0</x:v>
      </x:c>
      <x:c r="CZ57" s="1109">
        <x:f t="shared" si="106"/>
        <x:v>0</x:v>
      </x:c>
      <x:c r="DA57" s="1109" t="str">
        <x:f t="shared" si="107"/>
        <x:v/>
      </x:c>
      <x:c r="DB57" s="1125" t="str">
        <x:f t="shared" si="170"/>
        <x:v/>
      </x:c>
      <x:c r="DC57" s="1125" t="str">
        <x:f t="shared" si="108"/>
        <x:v/>
      </x:c>
      <x:c r="DD57" s="1110">
        <x:f t="shared" si="171"/>
        <x:v>0</x:v>
      </x:c>
      <x:c r="DE57" s="1108">
        <x:f t="shared" si="172"/>
        <x:v>0</x:v>
      </x:c>
      <x:c r="DF57" s="1109">
        <x:f t="shared" si="109"/>
        <x:v>0</x:v>
      </x:c>
      <x:c r="DG57" s="1109" t="str">
        <x:f t="shared" si="110"/>
        <x:v/>
      </x:c>
      <x:c r="DH57" s="1125" t="str">
        <x:f t="shared" si="173"/>
        <x:v/>
      </x:c>
      <x:c r="DI57" s="1125" t="str">
        <x:f t="shared" si="174"/>
        <x:v/>
      </x:c>
      <x:c r="DJ57" s="1110">
        <x:f t="shared" si="175"/>
        <x:v>0</x:v>
      </x:c>
      <x:c r="DK57" s="1108" t="str">
        <x:f t="shared" si="111"/>
        <x:v/>
      </x:c>
      <x:c r="DL57" s="1108" t="str">
        <x:f t="shared" si="112"/>
        <x:v/>
      </x:c>
      <x:c r="DM57" s="1108" t="str">
        <x:f t="shared" si="113"/>
        <x:v/>
      </x:c>
      <x:c r="DN57" s="1108" t="str">
        <x:f t="shared" si="114"/>
        <x:v/>
      </x:c>
      <x:c r="DO57" s="1125" t="str">
        <x:f t="shared" si="115"/>
        <x:v>ERR</x:v>
      </x:c>
      <x:c r="DP57" s="1125" t="str">
        <x:f t="shared" si="116"/>
        <x:v>ERR</x:v>
      </x:c>
      <x:c r="DQ57" s="1108" t="str">
        <x:f t="shared" si="117"/>
        <x:v/>
      </x:c>
      <x:c r="DR57" s="1108" t="str">
        <x:f t="shared" si="117"/>
        <x:v/>
      </x:c>
      <x:c r="DS57" s="1108" t="str">
        <x:f t="shared" si="118"/>
        <x:v/>
      </x:c>
      <x:c r="DT57" s="1108" t="str">
        <x:f t="shared" si="119"/>
        <x:v/>
      </x:c>
      <x:c r="DU57" s="1108" t="str">
        <x:f t="shared" si="120"/>
        <x:v/>
      </x:c>
      <x:c r="DV57" s="1125" t="str">
        <x:f t="shared" si="121"/>
        <x:v>ERR</x:v>
      </x:c>
      <x:c r="DW57" s="1125" t="str">
        <x:f t="shared" si="122"/>
        <x:v>ERR</x:v>
      </x:c>
      <x:c r="DX57" s="1108" t="str">
        <x:f t="shared" si="123"/>
        <x:v/>
      </x:c>
      <x:c r="DY57" s="1108" t="str">
        <x:f t="shared" si="123"/>
        <x:v/>
      </x:c>
      <x:c r="DZ57" s="1108" t="str">
        <x:f t="shared" si="124"/>
        <x:v/>
      </x:c>
      <x:c r="EA57" s="1108" t="str">
        <x:f t="shared" si="125"/>
        <x:v/>
      </x:c>
      <x:c r="EB57" s="1111" t="str">
        <x:f t="shared" si="126"/>
        <x:v/>
      </x:c>
      <x:c r="EC57" s="1112" t="str">
        <x:f t="shared" si="127"/>
        <x:v/>
      </x:c>
      <x:c r="ED57" s="1111" t="str">
        <x:f t="shared" si="128"/>
        <x:v/>
      </x:c>
      <x:c r="EE57" s="1111" t="str">
        <x:f t="shared" si="129"/>
        <x:v/>
      </x:c>
      <x:c r="EF57" s="1111" t="str">
        <x:f t="shared" si="130"/>
        <x:v/>
      </x:c>
      <x:c r="EG57" s="1111" t="str">
        <x:f t="shared" si="131"/>
        <x:v/>
      </x:c>
      <x:c r="EH57" s="1111" t="str">
        <x:f t="shared" si="132"/>
        <x:v/>
      </x:c>
      <x:c r="EI57" s="1111" t="str">
        <x:f t="shared" si="133"/>
        <x:v/>
      </x:c>
      <x:c r="EJ57" s="1111" t="str">
        <x:f t="shared" si="134"/>
        <x:v/>
      </x:c>
      <x:c r="EK57" s="1109">
        <x:f t="shared" si="135"/>
        <x:v>0</x:v>
      </x:c>
      <x:c r="EL57" s="1109">
        <x:f t="shared" si="136"/>
        <x:v>0</x:v>
      </x:c>
      <x:c r="EM57" s="1109">
        <x:f t="shared" si="137"/>
        <x:v>0</x:v>
      </x:c>
      <x:c r="EN57" s="1109" t="str">
        <x:f t="shared" si="138"/>
        <x:v/>
      </x:c>
      <x:c r="EO57" s="1108" t="str">
        <x:f t="shared" si="139"/>
        <x:v/>
      </x:c>
      <x:c r="EP57" s="1109">
        <x:f t="shared" si="140"/>
        <x:v>0</x:v>
      </x:c>
      <x:c r="EQ57" s="1109">
        <x:f t="shared" si="141"/>
        <x:v>0</x:v>
      </x:c>
      <x:c r="ER57" s="1109">
        <x:f t="shared" si="142"/>
        <x:v>0</x:v>
      </x:c>
      <x:c r="ES57" s="1109" t="str">
        <x:f t="shared" si="143"/>
        <x:v/>
      </x:c>
      <x:c r="ET57" s="1108" t="str">
        <x:f t="shared" si="144"/>
        <x:v/>
      </x:c>
      <x:c r="EU57" s="1108">
        <x:f t="shared" si="145"/>
        <x:v>0</x:v>
      </x:c>
      <x:c r="EV57" s="1111" t="e">
        <x:f t="shared" si="146"/>
        <x:v>#VALUE!</x:v>
      </x:c>
      <x:c r="EW57" s="1111" t="e">
        <x:f t="shared" si="147"/>
        <x:v>#VALUE!</x:v>
      </x:c>
      <x:c r="EX57" s="1113" t="str">
        <x:f t="shared" si="176"/>
        <x:v/>
      </x:c>
      <x:c r="EY57" s="1114">
        <x:f t="shared" si="148"/>
        <x:v>25</x:v>
      </x:c>
      <x:c r="EZ57" s="1219">
        <x:f t="shared" si="149"/>
        <x:v>0</x:v>
      </x:c>
      <x:c r="FA57" s="1220">
        <x:f t="shared" si="150"/>
        <x:v>0</x:v>
      </x:c>
      <x:c r="FB57" s="1115" t="str">
        <x:f t="shared" si="151"/>
        <x:v/>
      </x:c>
      <x:c r="FC57" s="1116" t="str">
        <x:f t="shared" si="152"/>
        <x:v/>
      </x:c>
      <x:c r="FD57" s="1126">
        <x:f t="shared" si="153"/>
        <x:v>0</x:v>
      </x:c>
      <x:c r="FE57" s="1066">
        <x:f t="shared" si="154"/>
        <x:v>0</x:v>
      </x:c>
      <x:c r="FF57" s="969" t="b">
        <x:f t="shared" si="155"/>
        <x:v>0</x:v>
      </x:c>
      <x:c r="FG57" s="969" t="b">
        <x:f t="shared" si="156"/>
        <x:v>0</x:v>
      </x:c>
      <x:c r="FH57" s="969" t="b">
        <x:f t="shared" si="157"/>
        <x:v>0</x:v>
      </x:c>
      <x:c r="FI57" s="969" t="b">
        <x:f t="shared" si="158"/>
        <x:v>0</x:v>
      </x:c>
      <x:c r="FJ57" s="1161" t="str">
        <x:f t="shared" si="177"/>
        <x:v/>
      </x:c>
      <x:c r="FK57" s="1160" t="str">
        <x:f t="shared" si="178"/>
        <x:v/>
      </x:c>
      <x:c r="FL57" s="388" t="e">
        <x:f t="shared" si="179"/>
        <x:v>#N/A</x:v>
      </x:c>
      <x:c r="FM57" s="380" t="str">
        <x:f t="shared" si="159"/>
        <x:v/>
      </x:c>
      <x:c r="FN57" s="337" t="str">
        <x:f t="shared" ca="1" si="180"/>
        <x:v/>
      </x:c>
      <x:c r="FO57" s="338" t="str">
        <x:f t="shared" ca="1" si="181"/>
        <x:v/>
      </x:c>
      <x:c r="FP57" s="339" t="str">
        <x:f t="shared" ca="1" si="182"/>
        <x:v/>
      </x:c>
      <x:c r="FQ57" s="339" t="str">
        <x:f t="shared" ca="1" si="183"/>
        <x:v/>
      </x:c>
      <x:c r="FR57" s="389">
        <x:f t="shared" ca="1" si="184"/>
        <x:v>0</x:v>
      </x:c>
      <x:c r="FS57" s="390">
        <x:f t="shared" ca="1" si="185"/>
        <x:v>0</x:v>
      </x:c>
      <x:c r="FT57" s="337" t="str">
        <x:f t="shared" ca="1" si="186"/>
        <x:v/>
      </x:c>
      <x:c r="FU57" s="340" t="str">
        <x:f t="shared" ca="1" si="187"/>
        <x:v/>
      </x:c>
      <x:c r="FV57" s="391" t="str">
        <x:f t="shared" ca="1" si="160"/>
        <x:v/>
      </x:c>
      <x:c r="FW57" s="341" t="str">
        <x:f t="shared" ca="1" si="188"/>
        <x:v/>
      </x:c>
      <x:c r="FX57" s="341" t="str">
        <x:f t="shared" ca="1" si="189"/>
        <x:v/>
      </x:c>
      <x:c r="FY57" s="341" t="str">
        <x:f t="shared" ca="1" si="190"/>
        <x:v/>
      </x:c>
      <x:c r="FZ57" s="341" t="str">
        <x:f t="shared" ca="1" si="191"/>
        <x:v/>
      </x:c>
      <x:c r="GA57" s="341" t="str">
        <x:f t="shared" ca="1" si="192"/>
        <x:v/>
      </x:c>
      <x:c r="GB57" s="342" t="str">
        <x:f ca="1">IF(FY57="","",2+SUM(FO57:OFFSET(FO57,(FU57-1)*-1,0)))</x:f>
        <x:v/>
      </x:c>
      <x:c r="GC57" s="384" t="e">
        <x:f t="shared" si="193"/>
        <x:v>#N/A</x:v>
      </x:c>
      <x:c r="GD57" s="392" t="str">
        <x:f t="shared" si="161"/>
        <x:v/>
      </x:c>
      <x:c r="GE57" s="393" t="str">
        <x:f t="shared" si="162"/>
        <x:v/>
      </x:c>
      <x:c r="GF57" s="343" t="str">
        <x:f t="shared" si="163"/>
        <x:v/>
      </x:c>
      <x:c r="GG57" s="344" t="str">
        <x:f t="shared" si="164"/>
        <x:v/>
      </x:c>
      <x:c r="GH57" s="344" t="str">
        <x:f t="shared" si="165"/>
        <x:v/>
      </x:c>
      <x:c r="GI57" s="345" t="str">
        <x:f t="shared" si="166"/>
        <x:v/>
      </x:c>
      <x:c r="GJ57" s="646">
        <x:f t="shared" ca="1" si="167"/>
        <x:v>0</x:v>
      </x:c>
      <x:c r="GK57" s="1131" t="str">
        <x:f t="shared" si="194"/>
        <x:v/>
      </x:c>
      <x:c r="GL57" s="171"/>
      <x:c r="GM57" s="171"/>
    </x:row>
    <x:row r="58" spans="1:222" ht="12.6" hidden="1" customHeight="1" x14ac:dyDescent="0.2">
      <x:c r="BZ58" s="360"/>
      <x:c r="CA58" s="360"/>
      <x:c r="CB58" s="435" t="str">
        <x:f t="shared" si="100"/>
        <x:v/>
      </x:c>
      <x:c r="CC58" s="436" t="str">
        <x:f>IF(CG18="","",VLOOKUP(CG18,SectInfo!$B:$N,12,FALSE))</x:f>
        <x:v/>
      </x:c>
      <x:c r="CD58" s="1172" t="str">
        <x:f>IF(ISBLANK(CZ18),IF(CG18="","",VLOOKUP(CG18,SectInfo!$B:$N,13,FALSE)),CZ18)</x:f>
        <x:v/>
      </x:c>
      <x:c r="CE58" s="437" t="str">
        <x:f>IF(CG18="","",IF(VLOOKUP(CG18,SectInfo!$B:$N,5,FALSE)="","R",UPPER(VLOOKUP(CG18,SectInfo!$B:$N,5,FALSE))))</x:f>
        <x:v/>
      </x:c>
      <x:c r="CF58" s="1172" t="str">
        <x:f>IF(ISBLANK(DD18),IF(CG18="","",VLOOKUP(CG18,SectInfo!$B:$N,6,FALSE)),DD18)</x:f>
        <x:v/>
      </x:c>
      <x:c r="CG58" s="437" t="str">
        <x:f>IF(CG18="","",IF(VLOOKUP(CG18,SectInfo!$B:$N,10,FALSE)="","",(VLOOKUP(CG18,SectInfo!$B:$N,10,FALSE)*-1)))</x:f>
        <x:v/>
      </x:c>
      <x:c r="CH58" s="437" t="str">
        <x:f>IF(CG18="","",IF(VLOOKUP(CG18,SectInfo!$B:$N,7,FALSE)="","",(VLOOKUP(CG18,SectInfo!$B:$N,7,FALSE)*-1)))</x:f>
        <x:v/>
      </x:c>
      <x:c r="CI58" s="437" t="str">
        <x:f>IF(CG18="","",IF(VLOOKUP(CG18,SectInfo!$B:$N,8,FALSE)="",$FC$4,(VLOOKUP(CG18,SectInfo!$B:$N,8,FALSE))))</x:f>
        <x:v/>
      </x:c>
      <x:c r="CJ58" s="437" t="str">
        <x:f>IF(CG18="","",VLOOKUP(CG18,SectInfo!$B:$N,9,FALSE))</x:f>
        <x:v/>
      </x:c>
      <x:c r="CK58" s="438">
        <x:f t="shared" si="168"/>
        <x:v>0</x:v>
      </x:c>
      <x:c r="CL58" s="436" t="str">
        <x:f>IF(CN18="","",VLOOKUP(CN18,SectInfo!$B:$N,12,FALSE))</x:f>
        <x:v/>
      </x:c>
      <x:c r="CM58" s="1172" t="str">
        <x:f>IF(ISBLANK(DA18),IF(CN18="","",VLOOKUP(CN18,SectInfo!$B:$N,13,FALSE)),DA18)</x:f>
        <x:v/>
      </x:c>
      <x:c r="CN58" s="437" t="str">
        <x:f>IF(CN18="","",IF(VLOOKUP(CN18,SectInfo!$B:$N,5,FALSE)="","R",UPPER(VLOOKUP(CN18,SectInfo!$B:$N,5,FALSE))))</x:f>
        <x:v/>
      </x:c>
      <x:c r="CO58" s="1172" t="str">
        <x:f>IF(ISBLANK(DE18),IF(CN18="","",VLOOKUP(CN18,SectInfo!$B:$N,6,FALSE)),DE18)</x:f>
        <x:v/>
      </x:c>
      <x:c r="CP58" s="437" t="str">
        <x:f>IF(CN18="","",IF(VLOOKUP(CN18,SectInfo!$B:$N,10,FALSE)="","",(VLOOKUP(CN18,SectInfo!$B:$N,10,FALSE)*-1)))</x:f>
        <x:v/>
      </x:c>
      <x:c r="CQ58" s="437" t="str">
        <x:f>IF(CN18="","",IF(VLOOKUP(CN18,SectInfo!$B:$N,7,FALSE)="","",(VLOOKUP(CN18,SectInfo!$B:$N,7,FALSE)*-1)))</x:f>
        <x:v/>
      </x:c>
      <x:c r="CR58" s="437" t="str">
        <x:f>IF(CN18="","",IF(VLOOKUP(CN18,SectInfo!$B:$N,8,FALSE)="",$FC$4,(VLOOKUP(CN18,SectInfo!$B:$N,8,FALSE))))</x:f>
        <x:v/>
      </x:c>
      <x:c r="CS58" s="437" t="str">
        <x:f>IF(CN18="","",VLOOKUP(CN18,SectInfo!$B:$N,9,FALSE))</x:f>
        <x:v/>
      </x:c>
      <x:c r="CT58" s="438">
        <x:f t="shared" si="169"/>
        <x:v>0</x:v>
      </x:c>
      <x:c r="CU58" s="439">
        <x:f t="shared" si="101"/>
        <x:v>0</x:v>
      </x:c>
      <x:c r="CV58" s="339" t="str">
        <x:f t="shared" si="102"/>
        <x:v/>
      </x:c>
      <x:c r="CW58" s="339" t="str">
        <x:f t="shared" si="103"/>
        <x:v/>
      </x:c>
      <x:c r="CX58" s="339" t="str">
        <x:f t="shared" si="104"/>
        <x:v/>
      </x:c>
      <x:c r="CY58" s="1109">
        <x:f t="shared" si="105"/>
        <x:v>0</x:v>
      </x:c>
      <x:c r="CZ58" s="1109">
        <x:f t="shared" si="106"/>
        <x:v>0</x:v>
      </x:c>
      <x:c r="DA58" s="1109" t="str">
        <x:f t="shared" si="107"/>
        <x:v/>
      </x:c>
      <x:c r="DB58" s="1125" t="str">
        <x:f t="shared" si="170"/>
        <x:v/>
      </x:c>
      <x:c r="DC58" s="1125" t="str">
        <x:f t="shared" si="108"/>
        <x:v/>
      </x:c>
      <x:c r="DD58" s="1110">
        <x:f t="shared" si="171"/>
        <x:v>0</x:v>
      </x:c>
      <x:c r="DE58" s="1108">
        <x:f t="shared" si="172"/>
        <x:v>0</x:v>
      </x:c>
      <x:c r="DF58" s="1109">
        <x:f t="shared" si="109"/>
        <x:v>0</x:v>
      </x:c>
      <x:c r="DG58" s="1109" t="str">
        <x:f t="shared" si="110"/>
        <x:v/>
      </x:c>
      <x:c r="DH58" s="1125" t="str">
        <x:f t="shared" si="173"/>
        <x:v/>
      </x:c>
      <x:c r="DI58" s="1125" t="str">
        <x:f t="shared" si="174"/>
        <x:v/>
      </x:c>
      <x:c r="DJ58" s="1110">
        <x:f t="shared" si="175"/>
        <x:v>0</x:v>
      </x:c>
      <x:c r="DK58" s="1108" t="str">
        <x:f t="shared" si="111"/>
        <x:v/>
      </x:c>
      <x:c r="DL58" s="1108" t="str">
        <x:f t="shared" si="112"/>
        <x:v/>
      </x:c>
      <x:c r="DM58" s="1108" t="str">
        <x:f t="shared" si="113"/>
        <x:v/>
      </x:c>
      <x:c r="DN58" s="1108" t="str">
        <x:f t="shared" si="114"/>
        <x:v/>
      </x:c>
      <x:c r="DO58" s="1125" t="str">
        <x:f t="shared" si="115"/>
        <x:v>ERR</x:v>
      </x:c>
      <x:c r="DP58" s="1125" t="str">
        <x:f t="shared" si="116"/>
        <x:v>ERR</x:v>
      </x:c>
      <x:c r="DQ58" s="1108" t="str">
        <x:f t="shared" si="117"/>
        <x:v/>
      </x:c>
      <x:c r="DR58" s="1108" t="str">
        <x:f t="shared" si="117"/>
        <x:v/>
      </x:c>
      <x:c r="DS58" s="1108" t="str">
        <x:f t="shared" si="118"/>
        <x:v/>
      </x:c>
      <x:c r="DT58" s="1108" t="str">
        <x:f t="shared" si="119"/>
        <x:v/>
      </x:c>
      <x:c r="DU58" s="1108" t="str">
        <x:f t="shared" si="120"/>
        <x:v/>
      </x:c>
      <x:c r="DV58" s="1125" t="str">
        <x:f t="shared" si="121"/>
        <x:v>ERR</x:v>
      </x:c>
      <x:c r="DW58" s="1125" t="str">
        <x:f t="shared" si="122"/>
        <x:v>ERR</x:v>
      </x:c>
      <x:c r="DX58" s="1108" t="str">
        <x:f t="shared" si="123"/>
        <x:v/>
      </x:c>
      <x:c r="DY58" s="1108" t="str">
        <x:f t="shared" si="123"/>
        <x:v/>
      </x:c>
      <x:c r="DZ58" s="1108" t="str">
        <x:f t="shared" si="124"/>
        <x:v/>
      </x:c>
      <x:c r="EA58" s="1108" t="str">
        <x:f t="shared" si="125"/>
        <x:v/>
      </x:c>
      <x:c r="EB58" s="1111" t="str">
        <x:f t="shared" si="126"/>
        <x:v/>
      </x:c>
      <x:c r="EC58" s="1112" t="str">
        <x:f t="shared" si="127"/>
        <x:v/>
      </x:c>
      <x:c r="ED58" s="1111" t="str">
        <x:f t="shared" si="128"/>
        <x:v/>
      </x:c>
      <x:c r="EE58" s="1111" t="str">
        <x:f t="shared" si="129"/>
        <x:v/>
      </x:c>
      <x:c r="EF58" s="1111" t="str">
        <x:f t="shared" si="130"/>
        <x:v/>
      </x:c>
      <x:c r="EG58" s="1111" t="str">
        <x:f t="shared" si="131"/>
        <x:v/>
      </x:c>
      <x:c r="EH58" s="1111" t="str">
        <x:f t="shared" si="132"/>
        <x:v/>
      </x:c>
      <x:c r="EI58" s="1111" t="str">
        <x:f t="shared" si="133"/>
        <x:v/>
      </x:c>
      <x:c r="EJ58" s="1111" t="str">
        <x:f t="shared" si="134"/>
        <x:v/>
      </x:c>
      <x:c r="EK58" s="1109">
        <x:f t="shared" si="135"/>
        <x:v>0</x:v>
      </x:c>
      <x:c r="EL58" s="1109">
        <x:f t="shared" si="136"/>
        <x:v>0</x:v>
      </x:c>
      <x:c r="EM58" s="1109">
        <x:f t="shared" si="137"/>
        <x:v>0</x:v>
      </x:c>
      <x:c r="EN58" s="1109" t="str">
        <x:f t="shared" si="138"/>
        <x:v/>
      </x:c>
      <x:c r="EO58" s="1108" t="str">
        <x:f t="shared" si="139"/>
        <x:v/>
      </x:c>
      <x:c r="EP58" s="1109">
        <x:f t="shared" si="140"/>
        <x:v>0</x:v>
      </x:c>
      <x:c r="EQ58" s="1109">
        <x:f t="shared" si="141"/>
        <x:v>0</x:v>
      </x:c>
      <x:c r="ER58" s="1109">
        <x:f t="shared" si="142"/>
        <x:v>0</x:v>
      </x:c>
      <x:c r="ES58" s="1109" t="str">
        <x:f t="shared" si="143"/>
        <x:v/>
      </x:c>
      <x:c r="ET58" s="1108" t="str">
        <x:f t="shared" si="144"/>
        <x:v/>
      </x:c>
      <x:c r="EU58" s="1108">
        <x:f t="shared" si="145"/>
        <x:v>0</x:v>
      </x:c>
      <x:c r="EV58" s="1111" t="e">
        <x:f t="shared" si="146"/>
        <x:v>#VALUE!</x:v>
      </x:c>
      <x:c r="EW58" s="1111" t="e">
        <x:f t="shared" si="147"/>
        <x:v>#VALUE!</x:v>
      </x:c>
      <x:c r="EX58" s="1113" t="str">
        <x:f t="shared" si="176"/>
        <x:v/>
      </x:c>
      <x:c r="EY58" s="1114">
        <x:f t="shared" si="148"/>
        <x:v>25</x:v>
      </x:c>
      <x:c r="EZ58" s="1219">
        <x:f t="shared" si="149"/>
        <x:v>0</x:v>
      </x:c>
      <x:c r="FA58" s="1220">
        <x:f t="shared" si="150"/>
        <x:v>0</x:v>
      </x:c>
      <x:c r="FB58" s="1115" t="str">
        <x:f t="shared" si="151"/>
        <x:v/>
      </x:c>
      <x:c r="FC58" s="1116" t="str">
        <x:f t="shared" si="152"/>
        <x:v/>
      </x:c>
      <x:c r="FD58" s="1126">
        <x:f t="shared" si="153"/>
        <x:v>0</x:v>
      </x:c>
      <x:c r="FE58" s="1066">
        <x:f t="shared" si="154"/>
        <x:v>0</x:v>
      </x:c>
      <x:c r="FF58" s="969" t="b">
        <x:f t="shared" si="155"/>
        <x:v>0</x:v>
      </x:c>
      <x:c r="FG58" s="969" t="b">
        <x:f t="shared" si="156"/>
        <x:v>0</x:v>
      </x:c>
      <x:c r="FH58" s="969" t="b">
        <x:f t="shared" si="157"/>
        <x:v>0</x:v>
      </x:c>
      <x:c r="FI58" s="969" t="b">
        <x:f t="shared" si="158"/>
        <x:v>0</x:v>
      </x:c>
      <x:c r="FJ58" s="1161" t="str">
        <x:f t="shared" si="177"/>
        <x:v/>
      </x:c>
      <x:c r="FK58" s="1160" t="str">
        <x:f t="shared" si="178"/>
        <x:v/>
      </x:c>
      <x:c r="FL58" s="388" t="e">
        <x:f t="shared" si="179"/>
        <x:v>#N/A</x:v>
      </x:c>
      <x:c r="FM58" s="380" t="str">
        <x:f t="shared" si="159"/>
        <x:v/>
      </x:c>
      <x:c r="FN58" s="337" t="str">
        <x:f t="shared" ca="1" si="180"/>
        <x:v/>
      </x:c>
      <x:c r="FO58" s="338" t="str">
        <x:f t="shared" ca="1" si="181"/>
        <x:v/>
      </x:c>
      <x:c r="FP58" s="339" t="str">
        <x:f t="shared" ca="1" si="182"/>
        <x:v/>
      </x:c>
      <x:c r="FQ58" s="339" t="str">
        <x:f t="shared" ca="1" si="183"/>
        <x:v/>
      </x:c>
      <x:c r="FR58" s="389">
        <x:f t="shared" ca="1" si="184"/>
        <x:v>0</x:v>
      </x:c>
      <x:c r="FS58" s="390">
        <x:f t="shared" ca="1" si="185"/>
        <x:v>0</x:v>
      </x:c>
      <x:c r="FT58" s="337" t="str">
        <x:f t="shared" ca="1" si="186"/>
        <x:v/>
      </x:c>
      <x:c r="FU58" s="340" t="str">
        <x:f t="shared" ca="1" si="187"/>
        <x:v/>
      </x:c>
      <x:c r="FV58" s="391" t="str">
        <x:f t="shared" ca="1" si="160"/>
        <x:v/>
      </x:c>
      <x:c r="FW58" s="341" t="str">
        <x:f t="shared" ca="1" si="188"/>
        <x:v/>
      </x:c>
      <x:c r="FX58" s="341" t="str">
        <x:f t="shared" ca="1" si="189"/>
        <x:v/>
      </x:c>
      <x:c r="FY58" s="341" t="str">
        <x:f t="shared" ca="1" si="190"/>
        <x:v/>
      </x:c>
      <x:c r="FZ58" s="341" t="str">
        <x:f t="shared" ca="1" si="191"/>
        <x:v/>
      </x:c>
      <x:c r="GA58" s="341" t="str">
        <x:f t="shared" ca="1" si="192"/>
        <x:v/>
      </x:c>
      <x:c r="GB58" s="342" t="str">
        <x:f ca="1">IF(FY58="","",2+SUM(FO58:OFFSET(FO58,(FU58-1)*-1,0)))</x:f>
        <x:v/>
      </x:c>
      <x:c r="GC58" s="384" t="e">
        <x:f t="shared" si="193"/>
        <x:v>#N/A</x:v>
      </x:c>
      <x:c r="GD58" s="392" t="str">
        <x:f t="shared" si="161"/>
        <x:v/>
      </x:c>
      <x:c r="GE58" s="393" t="str">
        <x:f t="shared" si="162"/>
        <x:v/>
      </x:c>
      <x:c r="GF58" s="343" t="str">
        <x:f t="shared" si="163"/>
        <x:v/>
      </x:c>
      <x:c r="GG58" s="344" t="str">
        <x:f t="shared" si="164"/>
        <x:v/>
      </x:c>
      <x:c r="GH58" s="344" t="str">
        <x:f t="shared" si="165"/>
        <x:v/>
      </x:c>
      <x:c r="GI58" s="345" t="str">
        <x:f t="shared" si="166"/>
        <x:v/>
      </x:c>
      <x:c r="GJ58" s="646">
        <x:f t="shared" ca="1" si="167"/>
        <x:v>0</x:v>
      </x:c>
      <x:c r="GK58" s="1131" t="str">
        <x:f t="shared" ca="1" si="194"/>
        <x:v>A</x:v>
      </x:c>
    </x:row>
    <x:row r="59" spans="1:222" ht="12.6" hidden="1" customHeight="1" x14ac:dyDescent="0.2">
      <x:c r="BZ59" s="360"/>
      <x:c r="CA59" s="360"/>
      <x:c r="CB59" s="435" t="str">
        <x:f t="shared" si="100"/>
        <x:v/>
      </x:c>
      <x:c r="CC59" s="436" t="str">
        <x:f>IF(CG19="","",VLOOKUP(CG19,SectInfo!$B:$N,12,FALSE))</x:f>
        <x:v/>
      </x:c>
      <x:c r="CD59" s="1172" t="str">
        <x:f>IF(ISBLANK(CZ19),IF(CG19="","",VLOOKUP(CG19,SectInfo!$B:$N,13,FALSE)),CZ19)</x:f>
        <x:v/>
      </x:c>
      <x:c r="CE59" s="437" t="str">
        <x:f>IF(CG19="","",IF(VLOOKUP(CG19,SectInfo!$B:$N,5,FALSE)="","R",UPPER(VLOOKUP(CG19,SectInfo!$B:$N,5,FALSE))))</x:f>
        <x:v/>
      </x:c>
      <x:c r="CF59" s="1172" t="str">
        <x:f>IF(ISBLANK(DD19),IF(CG19="","",VLOOKUP(CG19,SectInfo!$B:$N,6,FALSE)),DD19)</x:f>
        <x:v/>
      </x:c>
      <x:c r="CG59" s="437" t="str">
        <x:f>IF(CG19="","",IF(VLOOKUP(CG19,SectInfo!$B:$N,10,FALSE)="","",(VLOOKUP(CG19,SectInfo!$B:$N,10,FALSE)*-1)))</x:f>
        <x:v/>
      </x:c>
      <x:c r="CH59" s="437" t="str">
        <x:f>IF(CG19="","",IF(VLOOKUP(CG19,SectInfo!$B:$N,7,FALSE)="","",(VLOOKUP(CG19,SectInfo!$B:$N,7,FALSE)*-1)))</x:f>
        <x:v/>
      </x:c>
      <x:c r="CI59" s="437" t="str">
        <x:f>IF(CG19="","",IF(VLOOKUP(CG19,SectInfo!$B:$N,8,FALSE)="",$FC$4,(VLOOKUP(CG19,SectInfo!$B:$N,8,FALSE))))</x:f>
        <x:v/>
      </x:c>
      <x:c r="CJ59" s="437" t="str">
        <x:f>IF(CG19="","",VLOOKUP(CG19,SectInfo!$B:$N,9,FALSE))</x:f>
        <x:v/>
      </x:c>
      <x:c r="CK59" s="438">
        <x:f t="shared" si="168"/>
        <x:v>0</x:v>
      </x:c>
      <x:c r="CL59" s="436" t="str">
        <x:f>IF(CN19="","",VLOOKUP(CN19,SectInfo!$B:$N,12,FALSE))</x:f>
        <x:v/>
      </x:c>
      <x:c r="CM59" s="1172" t="str">
        <x:f>IF(ISBLANK(DA19),IF(CN19="","",VLOOKUP(CN19,SectInfo!$B:$N,13,FALSE)),DA19)</x:f>
        <x:v/>
      </x:c>
      <x:c r="CN59" s="437" t="str">
        <x:f>IF(CN19="","",IF(VLOOKUP(CN19,SectInfo!$B:$N,5,FALSE)="","R",UPPER(VLOOKUP(CN19,SectInfo!$B:$N,5,FALSE))))</x:f>
        <x:v/>
      </x:c>
      <x:c r="CO59" s="1172" t="str">
        <x:f>IF(ISBLANK(DE19),IF(CN19="","",VLOOKUP(CN19,SectInfo!$B:$N,6,FALSE)),DE19)</x:f>
        <x:v/>
      </x:c>
      <x:c r="CP59" s="437" t="str">
        <x:f>IF(CN19="","",IF(VLOOKUP(CN19,SectInfo!$B:$N,10,FALSE)="","",(VLOOKUP(CN19,SectInfo!$B:$N,10,FALSE)*-1)))</x:f>
        <x:v/>
      </x:c>
      <x:c r="CQ59" s="437" t="str">
        <x:f>IF(CN19="","",IF(VLOOKUP(CN19,SectInfo!$B:$N,7,FALSE)="","",(VLOOKUP(CN19,SectInfo!$B:$N,7,FALSE)*-1)))</x:f>
        <x:v/>
      </x:c>
      <x:c r="CR59" s="437" t="str">
        <x:f>IF(CN19="","",IF(VLOOKUP(CN19,SectInfo!$B:$N,8,FALSE)="",$FC$4,(VLOOKUP(CN19,SectInfo!$B:$N,8,FALSE))))</x:f>
        <x:v/>
      </x:c>
      <x:c r="CS59" s="437" t="str">
        <x:f>IF(CN19="","",VLOOKUP(CN19,SectInfo!$B:$N,9,FALSE))</x:f>
        <x:v/>
      </x:c>
      <x:c r="CT59" s="438">
        <x:f t="shared" si="169"/>
        <x:v>0</x:v>
      </x:c>
      <x:c r="CU59" s="439">
        <x:f t="shared" si="101"/>
        <x:v>0</x:v>
      </x:c>
      <x:c r="CV59" s="339" t="str">
        <x:f t="shared" si="102"/>
        <x:v/>
      </x:c>
      <x:c r="CW59" s="339" t="str">
        <x:f t="shared" si="103"/>
        <x:v/>
      </x:c>
      <x:c r="CX59" s="339" t="str">
        <x:f t="shared" si="104"/>
        <x:v/>
      </x:c>
      <x:c r="CY59" s="1109">
        <x:f t="shared" si="105"/>
        <x:v>0</x:v>
      </x:c>
      <x:c r="CZ59" s="1109">
        <x:f t="shared" si="106"/>
        <x:v>0</x:v>
      </x:c>
      <x:c r="DA59" s="1109" t="str">
        <x:f t="shared" si="107"/>
        <x:v/>
      </x:c>
      <x:c r="DB59" s="1125" t="str">
        <x:f t="shared" si="170"/>
        <x:v/>
      </x:c>
      <x:c r="DC59" s="1125" t="str">
        <x:f t="shared" si="108"/>
        <x:v/>
      </x:c>
      <x:c r="DD59" s="1110">
        <x:f t="shared" si="171"/>
        <x:v>0</x:v>
      </x:c>
      <x:c r="DE59" s="1108">
        <x:f t="shared" si="172"/>
        <x:v>0</x:v>
      </x:c>
      <x:c r="DF59" s="1109">
        <x:f t="shared" si="109"/>
        <x:v>0</x:v>
      </x:c>
      <x:c r="DG59" s="1109" t="str">
        <x:f t="shared" si="110"/>
        <x:v/>
      </x:c>
      <x:c r="DH59" s="1125" t="str">
        <x:f t="shared" si="173"/>
        <x:v/>
      </x:c>
      <x:c r="DI59" s="1125" t="str">
        <x:f t="shared" si="174"/>
        <x:v/>
      </x:c>
      <x:c r="DJ59" s="1110">
        <x:f t="shared" si="175"/>
        <x:v>0</x:v>
      </x:c>
      <x:c r="DK59" s="1108" t="str">
        <x:f t="shared" si="111"/>
        <x:v/>
      </x:c>
      <x:c r="DL59" s="1108" t="str">
        <x:f t="shared" si="112"/>
        <x:v/>
      </x:c>
      <x:c r="DM59" s="1108" t="str">
        <x:f t="shared" si="113"/>
        <x:v/>
      </x:c>
      <x:c r="DN59" s="1108" t="str">
        <x:f t="shared" si="114"/>
        <x:v/>
      </x:c>
      <x:c r="DO59" s="1125" t="str">
        <x:f t="shared" si="115"/>
        <x:v>ERR</x:v>
      </x:c>
      <x:c r="DP59" s="1125" t="str">
        <x:f t="shared" si="116"/>
        <x:v>ERR</x:v>
      </x:c>
      <x:c r="DQ59" s="1108" t="str">
        <x:f t="shared" si="117"/>
        <x:v/>
      </x:c>
      <x:c r="DR59" s="1108" t="str">
        <x:f t="shared" si="117"/>
        <x:v/>
      </x:c>
      <x:c r="DS59" s="1108" t="str">
        <x:f t="shared" si="118"/>
        <x:v/>
      </x:c>
      <x:c r="DT59" s="1108" t="str">
        <x:f t="shared" si="119"/>
        <x:v/>
      </x:c>
      <x:c r="DU59" s="1108" t="str">
        <x:f t="shared" si="120"/>
        <x:v/>
      </x:c>
      <x:c r="DV59" s="1125" t="str">
        <x:f t="shared" si="121"/>
        <x:v>ERR</x:v>
      </x:c>
      <x:c r="DW59" s="1125" t="str">
        <x:f t="shared" si="122"/>
        <x:v>ERR</x:v>
      </x:c>
      <x:c r="DX59" s="1108" t="str">
        <x:f t="shared" si="123"/>
        <x:v/>
      </x:c>
      <x:c r="DY59" s="1108" t="str">
        <x:f t="shared" si="123"/>
        <x:v/>
      </x:c>
      <x:c r="DZ59" s="1108" t="str">
        <x:f t="shared" si="124"/>
        <x:v/>
      </x:c>
      <x:c r="EA59" s="1108" t="str">
        <x:f t="shared" si="125"/>
        <x:v/>
      </x:c>
      <x:c r="EB59" s="1111" t="str">
        <x:f t="shared" si="126"/>
        <x:v/>
      </x:c>
      <x:c r="EC59" s="1112" t="str">
        <x:f t="shared" si="127"/>
        <x:v/>
      </x:c>
      <x:c r="ED59" s="1111" t="str">
        <x:f t="shared" si="128"/>
        <x:v/>
      </x:c>
      <x:c r="EE59" s="1111" t="str">
        <x:f t="shared" si="129"/>
        <x:v/>
      </x:c>
      <x:c r="EF59" s="1111" t="str">
        <x:f t="shared" si="130"/>
        <x:v/>
      </x:c>
      <x:c r="EG59" s="1111" t="str">
        <x:f t="shared" si="131"/>
        <x:v/>
      </x:c>
      <x:c r="EH59" s="1111" t="str">
        <x:f t="shared" si="132"/>
        <x:v/>
      </x:c>
      <x:c r="EI59" s="1111" t="str">
        <x:f t="shared" si="133"/>
        <x:v/>
      </x:c>
      <x:c r="EJ59" s="1111" t="str">
        <x:f t="shared" si="134"/>
        <x:v/>
      </x:c>
      <x:c r="EK59" s="1109">
        <x:f t="shared" si="135"/>
        <x:v>0</x:v>
      </x:c>
      <x:c r="EL59" s="1109">
        <x:f t="shared" si="136"/>
        <x:v>0</x:v>
      </x:c>
      <x:c r="EM59" s="1109">
        <x:f t="shared" si="137"/>
        <x:v>0</x:v>
      </x:c>
      <x:c r="EN59" s="1109" t="str">
        <x:f t="shared" si="138"/>
        <x:v/>
      </x:c>
      <x:c r="EO59" s="1108" t="str">
        <x:f t="shared" si="139"/>
        <x:v/>
      </x:c>
      <x:c r="EP59" s="1109">
        <x:f t="shared" si="140"/>
        <x:v>0</x:v>
      </x:c>
      <x:c r="EQ59" s="1109">
        <x:f t="shared" si="141"/>
        <x:v>0</x:v>
      </x:c>
      <x:c r="ER59" s="1109">
        <x:f t="shared" si="142"/>
        <x:v>0</x:v>
      </x:c>
      <x:c r="ES59" s="1109" t="str">
        <x:f t="shared" si="143"/>
        <x:v/>
      </x:c>
      <x:c r="ET59" s="1108" t="str">
        <x:f t="shared" si="144"/>
        <x:v/>
      </x:c>
      <x:c r="EU59" s="1108">
        <x:f t="shared" si="145"/>
        <x:v>0</x:v>
      </x:c>
      <x:c r="EV59" s="1111" t="e">
        <x:f t="shared" si="146"/>
        <x:v>#VALUE!</x:v>
      </x:c>
      <x:c r="EW59" s="1111" t="e">
        <x:f t="shared" si="147"/>
        <x:v>#VALUE!</x:v>
      </x:c>
      <x:c r="EX59" s="1113" t="str">
        <x:f t="shared" si="176"/>
        <x:v/>
      </x:c>
      <x:c r="EY59" s="1114">
        <x:f t="shared" si="148"/>
        <x:v>25</x:v>
      </x:c>
      <x:c r="EZ59" s="1219">
        <x:f t="shared" si="149"/>
        <x:v>0</x:v>
      </x:c>
      <x:c r="FA59" s="1220">
        <x:f t="shared" si="150"/>
        <x:v>0</x:v>
      </x:c>
      <x:c r="FB59" s="1115" t="str">
        <x:f t="shared" si="151"/>
        <x:v/>
      </x:c>
      <x:c r="FC59" s="1116" t="str">
        <x:f t="shared" si="152"/>
        <x:v/>
      </x:c>
      <x:c r="FD59" s="1126">
        <x:f t="shared" si="153"/>
        <x:v>0</x:v>
      </x:c>
      <x:c r="FE59" s="1066">
        <x:f t="shared" si="154"/>
        <x:v>0</x:v>
      </x:c>
      <x:c r="FF59" s="969" t="b">
        <x:f t="shared" si="155"/>
        <x:v>0</x:v>
      </x:c>
      <x:c r="FG59" s="969" t="b">
        <x:f t="shared" si="156"/>
        <x:v>0</x:v>
      </x:c>
      <x:c r="FH59" s="969" t="b">
        <x:f t="shared" si="157"/>
        <x:v>0</x:v>
      </x:c>
      <x:c r="FI59" s="969" t="b">
        <x:f t="shared" si="158"/>
        <x:v>0</x:v>
      </x:c>
      <x:c r="FJ59" s="1161" t="str">
        <x:f t="shared" si="177"/>
        <x:v/>
      </x:c>
      <x:c r="FK59" s="1160" t="str">
        <x:f t="shared" si="178"/>
        <x:v/>
      </x:c>
      <x:c r="FL59" s="388" t="e">
        <x:f t="shared" si="179"/>
        <x:v>#N/A</x:v>
      </x:c>
      <x:c r="FM59" s="380" t="str">
        <x:f t="shared" si="159"/>
        <x:v/>
      </x:c>
      <x:c r="FN59" s="337" t="str">
        <x:f t="shared" ca="1" si="180"/>
        <x:v/>
      </x:c>
      <x:c r="FO59" s="338" t="str">
        <x:f t="shared" ca="1" si="181"/>
        <x:v/>
      </x:c>
      <x:c r="FP59" s="339" t="str">
        <x:f t="shared" ca="1" si="182"/>
        <x:v/>
      </x:c>
      <x:c r="FQ59" s="339" t="str">
        <x:f t="shared" ca="1" si="183"/>
        <x:v/>
      </x:c>
      <x:c r="FR59" s="389">
        <x:f t="shared" ca="1" si="184"/>
        <x:v>0</x:v>
      </x:c>
      <x:c r="FS59" s="390">
        <x:f t="shared" ca="1" si="185"/>
        <x:v>0</x:v>
      </x:c>
      <x:c r="FT59" s="337" t="str">
        <x:f t="shared" ca="1" si="186"/>
        <x:v/>
      </x:c>
      <x:c r="FU59" s="340" t="str">
        <x:f t="shared" ca="1" si="187"/>
        <x:v/>
      </x:c>
      <x:c r="FV59" s="391" t="str">
        <x:f t="shared" ca="1" si="160"/>
        <x:v/>
      </x:c>
      <x:c r="FW59" s="341" t="str">
        <x:f t="shared" ca="1" si="188"/>
        <x:v/>
      </x:c>
      <x:c r="FX59" s="341" t="str">
        <x:f t="shared" ca="1" si="189"/>
        <x:v/>
      </x:c>
      <x:c r="FY59" s="341" t="str">
        <x:f t="shared" ca="1" si="190"/>
        <x:v/>
      </x:c>
      <x:c r="FZ59" s="341" t="str">
        <x:f t="shared" ca="1" si="191"/>
        <x:v/>
      </x:c>
      <x:c r="GA59" s="341" t="str">
        <x:f t="shared" ca="1" si="192"/>
        <x:v/>
      </x:c>
      <x:c r="GB59" s="342" t="str">
        <x:f ca="1">IF(FY59="","",2+SUM(FO59:OFFSET(FO59,(FU59-1)*-1,0)))</x:f>
        <x:v/>
      </x:c>
      <x:c r="GC59" s="384" t="e">
        <x:f t="shared" si="193"/>
        <x:v>#N/A</x:v>
      </x:c>
      <x:c r="GD59" s="392" t="str">
        <x:f t="shared" si="161"/>
        <x:v/>
      </x:c>
      <x:c r="GE59" s="393" t="str">
        <x:f t="shared" si="162"/>
        <x:v/>
      </x:c>
      <x:c r="GF59" s="343" t="str">
        <x:f t="shared" si="163"/>
        <x:v/>
      </x:c>
      <x:c r="GG59" s="344" t="str">
        <x:f t="shared" si="164"/>
        <x:v/>
      </x:c>
      <x:c r="GH59" s="344" t="str">
        <x:f t="shared" si="165"/>
        <x:v/>
      </x:c>
      <x:c r="GI59" s="345" t="str">
        <x:f t="shared" si="166"/>
        <x:v/>
      </x:c>
      <x:c r="GJ59" s="646">
        <x:f t="shared" ca="1" si="167"/>
        <x:v>0</x:v>
      </x:c>
      <x:c r="GK59" s="1131" t="str">
        <x:f t="shared" si="194"/>
        <x:v/>
      </x:c>
    </x:row>
    <x:row r="60" spans="1:222" ht="12.6" hidden="1" customHeight="1" x14ac:dyDescent="0.2">
      <x:c r="A60" s="1128" t="s">
        <x:v>1225</x:v>
      </x:c>
      <x:c r="BZ60" s="360"/>
      <x:c r="CA60" s="360"/>
      <x:c r="CB60" s="435" t="str">
        <x:f t="shared" si="100"/>
        <x:v/>
      </x:c>
      <x:c r="CC60" s="436" t="str">
        <x:f>IF(CG20="","",VLOOKUP(CG20,SectInfo!$B:$N,12,FALSE))</x:f>
        <x:v/>
      </x:c>
      <x:c r="CD60" s="1172" t="str">
        <x:f>IF(ISBLANK(CZ20),IF(CG20="","",VLOOKUP(CG20,SectInfo!$B:$N,13,FALSE)),CZ20)</x:f>
        <x:v/>
      </x:c>
      <x:c r="CE60" s="437" t="str">
        <x:f>IF(CG20="","",IF(VLOOKUP(CG20,SectInfo!$B:$N,5,FALSE)="","R",UPPER(VLOOKUP(CG20,SectInfo!$B:$N,5,FALSE))))</x:f>
        <x:v/>
      </x:c>
      <x:c r="CF60" s="1172" t="str">
        <x:f>IF(ISBLANK(DD20),IF(CG20="","",VLOOKUP(CG20,SectInfo!$B:$N,6,FALSE)),DD20)</x:f>
        <x:v/>
      </x:c>
      <x:c r="CG60" s="437" t="str">
        <x:f>IF(CG20="","",IF(VLOOKUP(CG20,SectInfo!$B:$N,10,FALSE)="","",(VLOOKUP(CG20,SectInfo!$B:$N,10,FALSE)*-1)))</x:f>
        <x:v/>
      </x:c>
      <x:c r="CH60" s="437" t="str">
        <x:f>IF(CG20="","",IF(VLOOKUP(CG20,SectInfo!$B:$N,7,FALSE)="","",(VLOOKUP(CG20,SectInfo!$B:$N,7,FALSE)*-1)))</x:f>
        <x:v/>
      </x:c>
      <x:c r="CI60" s="437" t="str">
        <x:f>IF(CG20="","",IF(VLOOKUP(CG20,SectInfo!$B:$N,8,FALSE)="",$FC$4,(VLOOKUP(CG20,SectInfo!$B:$N,8,FALSE))))</x:f>
        <x:v/>
      </x:c>
      <x:c r="CJ60" s="437" t="str">
        <x:f>IF(CG20="","",VLOOKUP(CG20,SectInfo!$B:$N,9,FALSE))</x:f>
        <x:v/>
      </x:c>
      <x:c r="CK60" s="438">
        <x:f t="shared" si="168"/>
        <x:v>0</x:v>
      </x:c>
      <x:c r="CL60" s="436" t="str">
        <x:f>IF(CN20="","",VLOOKUP(CN20,SectInfo!$B:$N,12,FALSE))</x:f>
        <x:v/>
      </x:c>
      <x:c r="CM60" s="1172" t="str">
        <x:f>IF(ISBLANK(DA20),IF(CN20="","",VLOOKUP(CN20,SectInfo!$B:$N,13,FALSE)),DA20)</x:f>
        <x:v/>
      </x:c>
      <x:c r="CN60" s="437" t="str">
        <x:f>IF(CN20="","",IF(VLOOKUP(CN20,SectInfo!$B:$N,5,FALSE)="","R",UPPER(VLOOKUP(CN20,SectInfo!$B:$N,5,FALSE))))</x:f>
        <x:v/>
      </x:c>
      <x:c r="CO60" s="1172" t="str">
        <x:f>IF(ISBLANK(DE20),IF(CN20="","",VLOOKUP(CN20,SectInfo!$B:$N,6,FALSE)),DE20)</x:f>
        <x:v/>
      </x:c>
      <x:c r="CP60" s="437" t="str">
        <x:f>IF(CN20="","",IF(VLOOKUP(CN20,SectInfo!$B:$N,10,FALSE)="","",(VLOOKUP(CN20,SectInfo!$B:$N,10,FALSE)*-1)))</x:f>
        <x:v/>
      </x:c>
      <x:c r="CQ60" s="437" t="str">
        <x:f>IF(CN20="","",IF(VLOOKUP(CN20,SectInfo!$B:$N,7,FALSE)="","",(VLOOKUP(CN20,SectInfo!$B:$N,7,FALSE)*-1)))</x:f>
        <x:v/>
      </x:c>
      <x:c r="CR60" s="437" t="str">
        <x:f>IF(CN20="","",IF(VLOOKUP(CN20,SectInfo!$B:$N,8,FALSE)="",$FC$4,(VLOOKUP(CN20,SectInfo!$B:$N,8,FALSE))))</x:f>
        <x:v/>
      </x:c>
      <x:c r="CS60" s="437" t="str">
        <x:f>IF(CN20="","",VLOOKUP(CN20,SectInfo!$B:$N,9,FALSE))</x:f>
        <x:v/>
      </x:c>
      <x:c r="CT60" s="438">
        <x:f t="shared" si="169"/>
        <x:v>0</x:v>
      </x:c>
      <x:c r="CU60" s="439">
        <x:f t="shared" si="101"/>
        <x:v>0</x:v>
      </x:c>
      <x:c r="CV60" s="339" t="str">
        <x:f t="shared" si="102"/>
        <x:v/>
      </x:c>
      <x:c r="CW60" s="339" t="str">
        <x:f t="shared" si="103"/>
        <x:v/>
      </x:c>
      <x:c r="CX60" s="339" t="str">
        <x:f t="shared" si="104"/>
        <x:v/>
      </x:c>
      <x:c r="CY60" s="1109">
        <x:f t="shared" si="105"/>
        <x:v>0</x:v>
      </x:c>
      <x:c r="CZ60" s="1109">
        <x:f t="shared" si="106"/>
        <x:v>0</x:v>
      </x:c>
      <x:c r="DA60" s="1109" t="str">
        <x:f t="shared" si="107"/>
        <x:v/>
      </x:c>
      <x:c r="DB60" s="1125" t="str">
        <x:f t="shared" si="170"/>
        <x:v/>
      </x:c>
      <x:c r="DC60" s="1125" t="str">
        <x:f t="shared" si="108"/>
        <x:v/>
      </x:c>
      <x:c r="DD60" s="1110">
        <x:f t="shared" si="171"/>
        <x:v>0</x:v>
      </x:c>
      <x:c r="DE60" s="1108">
        <x:f t="shared" si="172"/>
        <x:v>0</x:v>
      </x:c>
      <x:c r="DF60" s="1109">
        <x:f t="shared" si="109"/>
        <x:v>0</x:v>
      </x:c>
      <x:c r="DG60" s="1109" t="str">
        <x:f t="shared" si="110"/>
        <x:v/>
      </x:c>
      <x:c r="DH60" s="1125" t="str">
        <x:f t="shared" si="173"/>
        <x:v/>
      </x:c>
      <x:c r="DI60" s="1125" t="str">
        <x:f t="shared" si="174"/>
        <x:v/>
      </x:c>
      <x:c r="DJ60" s="1110">
        <x:f t="shared" si="175"/>
        <x:v>0</x:v>
      </x:c>
      <x:c r="DK60" s="1108" t="str">
        <x:f t="shared" si="111"/>
        <x:v/>
      </x:c>
      <x:c r="DL60" s="1108" t="str">
        <x:f t="shared" si="112"/>
        <x:v/>
      </x:c>
      <x:c r="DM60" s="1108" t="str">
        <x:f t="shared" si="113"/>
        <x:v/>
      </x:c>
      <x:c r="DN60" s="1108" t="str">
        <x:f t="shared" si="114"/>
        <x:v/>
      </x:c>
      <x:c r="DO60" s="1125" t="str">
        <x:f t="shared" si="115"/>
        <x:v>ERR</x:v>
      </x:c>
      <x:c r="DP60" s="1125" t="str">
        <x:f t="shared" si="116"/>
        <x:v>ERR</x:v>
      </x:c>
      <x:c r="DQ60" s="1108" t="str">
        <x:f t="shared" si="117"/>
        <x:v/>
      </x:c>
      <x:c r="DR60" s="1108" t="str">
        <x:f t="shared" si="117"/>
        <x:v/>
      </x:c>
      <x:c r="DS60" s="1108" t="str">
        <x:f t="shared" si="118"/>
        <x:v/>
      </x:c>
      <x:c r="DT60" s="1108" t="str">
        <x:f t="shared" si="119"/>
        <x:v/>
      </x:c>
      <x:c r="DU60" s="1108" t="str">
        <x:f t="shared" si="120"/>
        <x:v/>
      </x:c>
      <x:c r="DV60" s="1125" t="str">
        <x:f t="shared" si="121"/>
        <x:v>ERR</x:v>
      </x:c>
      <x:c r="DW60" s="1125" t="str">
        <x:f t="shared" si="122"/>
        <x:v>ERR</x:v>
      </x:c>
      <x:c r="DX60" s="1108" t="str">
        <x:f t="shared" si="123"/>
        <x:v/>
      </x:c>
      <x:c r="DY60" s="1108" t="str">
        <x:f t="shared" si="123"/>
        <x:v/>
      </x:c>
      <x:c r="DZ60" s="1108" t="str">
        <x:f t="shared" si="124"/>
        <x:v/>
      </x:c>
      <x:c r="EA60" s="1108" t="str">
        <x:f t="shared" si="125"/>
        <x:v/>
      </x:c>
      <x:c r="EB60" s="1111" t="str">
        <x:f t="shared" si="126"/>
        <x:v/>
      </x:c>
      <x:c r="EC60" s="1112" t="str">
        <x:f t="shared" si="127"/>
        <x:v/>
      </x:c>
      <x:c r="ED60" s="1111" t="str">
        <x:f t="shared" si="128"/>
        <x:v/>
      </x:c>
      <x:c r="EE60" s="1111" t="str">
        <x:f t="shared" si="129"/>
        <x:v/>
      </x:c>
      <x:c r="EF60" s="1111" t="str">
        <x:f t="shared" si="130"/>
        <x:v/>
      </x:c>
      <x:c r="EG60" s="1111" t="str">
        <x:f t="shared" si="131"/>
        <x:v/>
      </x:c>
      <x:c r="EH60" s="1111" t="str">
        <x:f t="shared" si="132"/>
        <x:v/>
      </x:c>
      <x:c r="EI60" s="1111" t="str">
        <x:f t="shared" si="133"/>
        <x:v/>
      </x:c>
      <x:c r="EJ60" s="1111" t="str">
        <x:f t="shared" si="134"/>
        <x:v/>
      </x:c>
      <x:c r="EK60" s="1109">
        <x:f t="shared" si="135"/>
        <x:v>0</x:v>
      </x:c>
      <x:c r="EL60" s="1109">
        <x:f t="shared" si="136"/>
        <x:v>0</x:v>
      </x:c>
      <x:c r="EM60" s="1109">
        <x:f t="shared" si="137"/>
        <x:v>0</x:v>
      </x:c>
      <x:c r="EN60" s="1109" t="str">
        <x:f t="shared" si="138"/>
        <x:v/>
      </x:c>
      <x:c r="EO60" s="1108" t="str">
        <x:f t="shared" si="139"/>
        <x:v/>
      </x:c>
      <x:c r="EP60" s="1109">
        <x:f t="shared" si="140"/>
        <x:v>0</x:v>
      </x:c>
      <x:c r="EQ60" s="1109">
        <x:f t="shared" si="141"/>
        <x:v>0</x:v>
      </x:c>
      <x:c r="ER60" s="1109">
        <x:f t="shared" si="142"/>
        <x:v>0</x:v>
      </x:c>
      <x:c r="ES60" s="1109" t="str">
        <x:f t="shared" si="143"/>
        <x:v/>
      </x:c>
      <x:c r="ET60" s="1108" t="str">
        <x:f t="shared" si="144"/>
        <x:v/>
      </x:c>
      <x:c r="EU60" s="1108">
        <x:f t="shared" si="145"/>
        <x:v>0</x:v>
      </x:c>
      <x:c r="EV60" s="1111" t="e">
        <x:f t="shared" si="146"/>
        <x:v>#VALUE!</x:v>
      </x:c>
      <x:c r="EW60" s="1111" t="e">
        <x:f t="shared" si="147"/>
        <x:v>#VALUE!</x:v>
      </x:c>
      <x:c r="EX60" s="1113" t="str">
        <x:f t="shared" si="176"/>
        <x:v/>
      </x:c>
      <x:c r="EY60" s="1114">
        <x:f t="shared" si="148"/>
        <x:v>25</x:v>
      </x:c>
      <x:c r="EZ60" s="1219">
        <x:f t="shared" si="149"/>
        <x:v>0</x:v>
      </x:c>
      <x:c r="FA60" s="1220">
        <x:f t="shared" si="150"/>
        <x:v>0</x:v>
      </x:c>
      <x:c r="FB60" s="1115" t="str">
        <x:f t="shared" si="151"/>
        <x:v/>
      </x:c>
      <x:c r="FC60" s="1116" t="str">
        <x:f t="shared" si="152"/>
        <x:v/>
      </x:c>
      <x:c r="FD60" s="1126">
        <x:f t="shared" si="153"/>
        <x:v>0</x:v>
      </x:c>
      <x:c r="FE60" s="1066">
        <x:f t="shared" si="154"/>
        <x:v>0</x:v>
      </x:c>
      <x:c r="FF60" s="969" t="b">
        <x:f t="shared" si="155"/>
        <x:v>0</x:v>
      </x:c>
      <x:c r="FG60" s="969" t="b">
        <x:f t="shared" si="156"/>
        <x:v>0</x:v>
      </x:c>
      <x:c r="FH60" s="969" t="b">
        <x:f t="shared" si="157"/>
        <x:v>0</x:v>
      </x:c>
      <x:c r="FI60" s="969" t="b">
        <x:f t="shared" si="158"/>
        <x:v>0</x:v>
      </x:c>
      <x:c r="FJ60" s="1161" t="str">
        <x:f t="shared" si="177"/>
        <x:v/>
      </x:c>
      <x:c r="FK60" s="1160" t="str">
        <x:f t="shared" si="178"/>
        <x:v/>
      </x:c>
      <x:c r="FL60" s="388" t="e">
        <x:f t="shared" si="179"/>
        <x:v>#N/A</x:v>
      </x:c>
      <x:c r="FM60" s="380" t="str">
        <x:f t="shared" si="159"/>
        <x:v/>
      </x:c>
      <x:c r="FN60" s="337" t="str">
        <x:f t="shared" ca="1" si="180"/>
        <x:v/>
      </x:c>
      <x:c r="FO60" s="338" t="str">
        <x:f t="shared" ca="1" si="181"/>
        <x:v/>
      </x:c>
      <x:c r="FP60" s="339" t="str">
        <x:f t="shared" ca="1" si="182"/>
        <x:v/>
      </x:c>
      <x:c r="FQ60" s="339" t="str">
        <x:f t="shared" ca="1" si="183"/>
        <x:v/>
      </x:c>
      <x:c r="FR60" s="389">
        <x:f t="shared" ca="1" si="184"/>
        <x:v>0</x:v>
      </x:c>
      <x:c r="FS60" s="390">
        <x:f t="shared" ca="1" si="185"/>
        <x:v>0</x:v>
      </x:c>
      <x:c r="FT60" s="337" t="str">
        <x:f t="shared" ca="1" si="186"/>
        <x:v/>
      </x:c>
      <x:c r="FU60" s="340" t="str">
        <x:f t="shared" ca="1" si="187"/>
        <x:v/>
      </x:c>
      <x:c r="FV60" s="391" t="str">
        <x:f t="shared" ca="1" si="160"/>
        <x:v/>
      </x:c>
      <x:c r="FW60" s="341" t="str">
        <x:f t="shared" ca="1" si="188"/>
        <x:v/>
      </x:c>
      <x:c r="FX60" s="341" t="str">
        <x:f t="shared" ca="1" si="189"/>
        <x:v/>
      </x:c>
      <x:c r="FY60" s="341" t="str">
        <x:f t="shared" ca="1" si="190"/>
        <x:v/>
      </x:c>
      <x:c r="FZ60" s="341" t="str">
        <x:f t="shared" ca="1" si="191"/>
        <x:v/>
      </x:c>
      <x:c r="GA60" s="341" t="str">
        <x:f t="shared" ca="1" si="192"/>
        <x:v/>
      </x:c>
      <x:c r="GB60" s="342" t="str">
        <x:f ca="1">IF(FY60="","",2+SUM(FO60:OFFSET(FO60,(FU60-1)*-1,0)))</x:f>
        <x:v/>
      </x:c>
      <x:c r="GC60" s="384" t="e">
        <x:f t="shared" si="193"/>
        <x:v>#N/A</x:v>
      </x:c>
      <x:c r="GD60" s="392" t="str">
        <x:f t="shared" si="161"/>
        <x:v/>
      </x:c>
      <x:c r="GE60" s="393" t="str">
        <x:f t="shared" si="162"/>
        <x:v/>
      </x:c>
      <x:c r="GF60" s="343" t="str">
        <x:f t="shared" si="163"/>
        <x:v/>
      </x:c>
      <x:c r="GG60" s="344" t="str">
        <x:f t="shared" si="164"/>
        <x:v/>
      </x:c>
      <x:c r="GH60" s="344" t="str">
        <x:f t="shared" si="165"/>
        <x:v/>
      </x:c>
      <x:c r="GI60" s="345" t="str">
        <x:f t="shared" si="166"/>
        <x:v/>
      </x:c>
      <x:c r="GJ60" s="646">
        <x:f t="shared" ca="1" si="167"/>
        <x:v>0</x:v>
      </x:c>
      <x:c r="GK60" s="1131" t="str">
        <x:f t="shared" ca="1" si="194"/>
        <x:v>A</x:v>
      </x:c>
    </x:row>
    <x:row r="61" spans="1:222" ht="12.6" hidden="1" customHeight="1" x14ac:dyDescent="0.2">
      <x:c r="A61" s="1130" t="s">
        <x:v>2051</x:v>
      </x:c>
      <x:c r="BZ61" s="360"/>
      <x:c r="CA61" s="434"/>
      <x:c r="CB61" s="435" t="str">
        <x:f t="shared" si="100"/>
        <x:v/>
      </x:c>
      <x:c r="CC61" s="436" t="str">
        <x:f>IF(CG21="","",VLOOKUP(CG21,SectInfo!$B:$N,12,FALSE))</x:f>
        <x:v/>
      </x:c>
      <x:c r="CD61" s="1172" t="str">
        <x:f>IF(ISBLANK(CZ21),IF(CG21="","",VLOOKUP(CG21,SectInfo!$B:$N,13,FALSE)),CZ21)</x:f>
        <x:v/>
      </x:c>
      <x:c r="CE61" s="437" t="str">
        <x:f>IF(CG21="","",IF(VLOOKUP(CG21,SectInfo!$B:$N,5,FALSE)="","R",UPPER(VLOOKUP(CG21,SectInfo!$B:$N,5,FALSE))))</x:f>
        <x:v/>
      </x:c>
      <x:c r="CF61" s="1172" t="str">
        <x:f>IF(ISBLANK(DD21),IF(CG21="","",VLOOKUP(CG21,SectInfo!$B:$N,6,FALSE)),DD21)</x:f>
        <x:v/>
      </x:c>
      <x:c r="CG61" s="437" t="str">
        <x:f>IF(CG21="","",IF(VLOOKUP(CG21,SectInfo!$B:$N,10,FALSE)="","",(VLOOKUP(CG21,SectInfo!$B:$N,10,FALSE)*-1)))</x:f>
        <x:v/>
      </x:c>
      <x:c r="CH61" s="437" t="str">
        <x:f>IF(CG21="","",IF(VLOOKUP(CG21,SectInfo!$B:$N,7,FALSE)="","",(VLOOKUP(CG21,SectInfo!$B:$N,7,FALSE)*-1)))</x:f>
        <x:v/>
      </x:c>
      <x:c r="CI61" s="437" t="str">
        <x:f>IF(CG21="","",IF(VLOOKUP(CG21,SectInfo!$B:$N,8,FALSE)="",$FC$4,(VLOOKUP(CG21,SectInfo!$B:$N,8,FALSE))))</x:f>
        <x:v/>
      </x:c>
      <x:c r="CJ61" s="437" t="str">
        <x:f>IF(CG21="","",VLOOKUP(CG21,SectInfo!$B:$N,9,FALSE))</x:f>
        <x:v/>
      </x:c>
      <x:c r="CK61" s="438">
        <x:f t="shared" si="168"/>
        <x:v>0</x:v>
      </x:c>
      <x:c r="CL61" s="436" t="str">
        <x:f>IF(CN21="","",VLOOKUP(CN21,SectInfo!$B:$N,12,FALSE))</x:f>
        <x:v/>
      </x:c>
      <x:c r="CM61" s="1172" t="str">
        <x:f>IF(ISBLANK(DA21),IF(CN21="","",VLOOKUP(CN21,SectInfo!$B:$N,13,FALSE)),DA21)</x:f>
        <x:v/>
      </x:c>
      <x:c r="CN61" s="437" t="str">
        <x:f>IF(CN21="","",IF(VLOOKUP(CN21,SectInfo!$B:$N,5,FALSE)="","R",UPPER(VLOOKUP(CN21,SectInfo!$B:$N,5,FALSE))))</x:f>
        <x:v/>
      </x:c>
      <x:c r="CO61" s="1172" t="str">
        <x:f>IF(ISBLANK(DE21),IF(CN21="","",VLOOKUP(CN21,SectInfo!$B:$N,6,FALSE)),DE21)</x:f>
        <x:v/>
      </x:c>
      <x:c r="CP61" s="437" t="str">
        <x:f>IF(CN21="","",IF(VLOOKUP(CN21,SectInfo!$B:$N,10,FALSE)="","",(VLOOKUP(CN21,SectInfo!$B:$N,10,FALSE)*-1)))</x:f>
        <x:v/>
      </x:c>
      <x:c r="CQ61" s="437" t="str">
        <x:f>IF(CN21="","",IF(VLOOKUP(CN21,SectInfo!$B:$N,7,FALSE)="","",(VLOOKUP(CN21,SectInfo!$B:$N,7,FALSE)*-1)))</x:f>
        <x:v/>
      </x:c>
      <x:c r="CR61" s="437" t="str">
        <x:f>IF(CN21="","",IF(VLOOKUP(CN21,SectInfo!$B:$N,8,FALSE)="",$FC$4,(VLOOKUP(CN21,SectInfo!$B:$N,8,FALSE))))</x:f>
        <x:v/>
      </x:c>
      <x:c r="CS61" s="437" t="str">
        <x:f>IF(CN21="","",VLOOKUP(CN21,SectInfo!$B:$N,9,FALSE))</x:f>
        <x:v/>
      </x:c>
      <x:c r="CT61" s="438">
        <x:f t="shared" si="169"/>
        <x:v>0</x:v>
      </x:c>
      <x:c r="CU61" s="439">
        <x:f t="shared" si="101"/>
        <x:v>0</x:v>
      </x:c>
      <x:c r="CV61" s="339" t="str">
        <x:f t="shared" si="102"/>
        <x:v/>
      </x:c>
      <x:c r="CW61" s="339" t="str">
        <x:f t="shared" si="103"/>
        <x:v/>
      </x:c>
      <x:c r="CX61" s="339" t="str">
        <x:f t="shared" si="104"/>
        <x:v/>
      </x:c>
      <x:c r="CY61" s="1109">
        <x:f t="shared" si="105"/>
        <x:v>0</x:v>
      </x:c>
      <x:c r="CZ61" s="1109">
        <x:f t="shared" si="106"/>
        <x:v>0</x:v>
      </x:c>
      <x:c r="DA61" s="1109" t="str">
        <x:f t="shared" si="107"/>
        <x:v/>
      </x:c>
      <x:c r="DB61" s="1125" t="str">
        <x:f t="shared" si="170"/>
        <x:v/>
      </x:c>
      <x:c r="DC61" s="1125" t="str">
        <x:f t="shared" si="108"/>
        <x:v/>
      </x:c>
      <x:c r="DD61" s="1110">
        <x:f t="shared" si="171"/>
        <x:v>0</x:v>
      </x:c>
      <x:c r="DE61" s="1108">
        <x:f t="shared" si="172"/>
        <x:v>0</x:v>
      </x:c>
      <x:c r="DF61" s="1109">
        <x:f t="shared" si="109"/>
        <x:v>0</x:v>
      </x:c>
      <x:c r="DG61" s="1109" t="str">
        <x:f t="shared" si="110"/>
        <x:v/>
      </x:c>
      <x:c r="DH61" s="1125" t="str">
        <x:f t="shared" si="173"/>
        <x:v/>
      </x:c>
      <x:c r="DI61" s="1125" t="str">
        <x:f t="shared" si="174"/>
        <x:v/>
      </x:c>
      <x:c r="DJ61" s="1110">
        <x:f t="shared" si="175"/>
        <x:v>0</x:v>
      </x:c>
      <x:c r="DK61" s="1108" t="str">
        <x:f t="shared" si="111"/>
        <x:v/>
      </x:c>
      <x:c r="DL61" s="1108" t="str">
        <x:f t="shared" si="112"/>
        <x:v/>
      </x:c>
      <x:c r="DM61" s="1108" t="str">
        <x:f t="shared" si="113"/>
        <x:v/>
      </x:c>
      <x:c r="DN61" s="1108" t="str">
        <x:f t="shared" si="114"/>
        <x:v/>
      </x:c>
      <x:c r="DO61" s="1125" t="str">
        <x:f t="shared" si="115"/>
        <x:v>ERR</x:v>
      </x:c>
      <x:c r="DP61" s="1125" t="str">
        <x:f t="shared" si="116"/>
        <x:v>ERR</x:v>
      </x:c>
      <x:c r="DQ61" s="1108" t="str">
        <x:f t="shared" si="117"/>
        <x:v/>
      </x:c>
      <x:c r="DR61" s="1108" t="str">
        <x:f t="shared" si="117"/>
        <x:v/>
      </x:c>
      <x:c r="DS61" s="1108" t="str">
        <x:f t="shared" si="118"/>
        <x:v/>
      </x:c>
      <x:c r="DT61" s="1108" t="str">
        <x:f t="shared" si="119"/>
        <x:v/>
      </x:c>
      <x:c r="DU61" s="1108" t="str">
        <x:f t="shared" si="120"/>
        <x:v/>
      </x:c>
      <x:c r="DV61" s="1125" t="str">
        <x:f t="shared" si="121"/>
        <x:v>ERR</x:v>
      </x:c>
      <x:c r="DW61" s="1125" t="str">
        <x:f t="shared" si="122"/>
        <x:v>ERR</x:v>
      </x:c>
      <x:c r="DX61" s="1108" t="str">
        <x:f t="shared" si="123"/>
        <x:v/>
      </x:c>
      <x:c r="DY61" s="1108" t="str">
        <x:f t="shared" si="123"/>
        <x:v/>
      </x:c>
      <x:c r="DZ61" s="1108" t="str">
        <x:f t="shared" si="124"/>
        <x:v/>
      </x:c>
      <x:c r="EA61" s="1108" t="str">
        <x:f t="shared" si="125"/>
        <x:v/>
      </x:c>
      <x:c r="EB61" s="1111" t="str">
        <x:f t="shared" si="126"/>
        <x:v/>
      </x:c>
      <x:c r="EC61" s="1112" t="str">
        <x:f t="shared" si="127"/>
        <x:v/>
      </x:c>
      <x:c r="ED61" s="1111" t="str">
        <x:f t="shared" si="128"/>
        <x:v/>
      </x:c>
      <x:c r="EE61" s="1111" t="str">
        <x:f t="shared" si="129"/>
        <x:v/>
      </x:c>
      <x:c r="EF61" s="1111" t="str">
        <x:f t="shared" si="130"/>
        <x:v/>
      </x:c>
      <x:c r="EG61" s="1111" t="str">
        <x:f t="shared" si="131"/>
        <x:v/>
      </x:c>
      <x:c r="EH61" s="1111" t="str">
        <x:f t="shared" si="132"/>
        <x:v/>
      </x:c>
      <x:c r="EI61" s="1111" t="str">
        <x:f t="shared" si="133"/>
        <x:v/>
      </x:c>
      <x:c r="EJ61" s="1111" t="str">
        <x:f t="shared" si="134"/>
        <x:v/>
      </x:c>
      <x:c r="EK61" s="1109">
        <x:f t="shared" si="135"/>
        <x:v>0</x:v>
      </x:c>
      <x:c r="EL61" s="1109">
        <x:f t="shared" si="136"/>
        <x:v>0</x:v>
      </x:c>
      <x:c r="EM61" s="1109">
        <x:f t="shared" si="137"/>
        <x:v>0</x:v>
      </x:c>
      <x:c r="EN61" s="1109" t="str">
        <x:f t="shared" si="138"/>
        <x:v/>
      </x:c>
      <x:c r="EO61" s="1108" t="str">
        <x:f t="shared" si="139"/>
        <x:v/>
      </x:c>
      <x:c r="EP61" s="1109">
        <x:f t="shared" si="140"/>
        <x:v>0</x:v>
      </x:c>
      <x:c r="EQ61" s="1109">
        <x:f t="shared" si="141"/>
        <x:v>0</x:v>
      </x:c>
      <x:c r="ER61" s="1109">
        <x:f t="shared" si="142"/>
        <x:v>0</x:v>
      </x:c>
      <x:c r="ES61" s="1109" t="str">
        <x:f t="shared" si="143"/>
        <x:v/>
      </x:c>
      <x:c r="ET61" s="1108" t="str">
        <x:f t="shared" si="144"/>
        <x:v/>
      </x:c>
      <x:c r="EU61" s="1108">
        <x:f t="shared" si="145"/>
        <x:v>0</x:v>
      </x:c>
      <x:c r="EV61" s="1111" t="e">
        <x:f t="shared" si="146"/>
        <x:v>#VALUE!</x:v>
      </x:c>
      <x:c r="EW61" s="1111" t="e">
        <x:f t="shared" si="147"/>
        <x:v>#VALUE!</x:v>
      </x:c>
      <x:c r="EX61" s="1113" t="str">
        <x:f t="shared" si="176"/>
        <x:v/>
      </x:c>
      <x:c r="EY61" s="1114">
        <x:f t="shared" si="148"/>
        <x:v>25</x:v>
      </x:c>
      <x:c r="EZ61" s="1219">
        <x:f t="shared" si="149"/>
        <x:v>0</x:v>
      </x:c>
      <x:c r="FA61" s="1220">
        <x:f t="shared" si="150"/>
        <x:v>0</x:v>
      </x:c>
      <x:c r="FB61" s="1115" t="str">
        <x:f t="shared" si="151"/>
        <x:v/>
      </x:c>
      <x:c r="FC61" s="1116" t="str">
        <x:f t="shared" si="152"/>
        <x:v/>
      </x:c>
      <x:c r="FD61" s="1126">
        <x:f t="shared" si="153"/>
        <x:v>0</x:v>
      </x:c>
      <x:c r="FE61" s="1066">
        <x:f t="shared" si="154"/>
        <x:v>0</x:v>
      </x:c>
      <x:c r="FF61" s="969" t="b">
        <x:f t="shared" si="155"/>
        <x:v>0</x:v>
      </x:c>
      <x:c r="FG61" s="969" t="b">
        <x:f t="shared" si="156"/>
        <x:v>0</x:v>
      </x:c>
      <x:c r="FH61" s="969" t="b">
        <x:f t="shared" si="157"/>
        <x:v>0</x:v>
      </x:c>
      <x:c r="FI61" s="969" t="b">
        <x:f t="shared" si="158"/>
        <x:v>0</x:v>
      </x:c>
      <x:c r="FJ61" s="1161" t="str">
        <x:f t="shared" si="177"/>
        <x:v/>
      </x:c>
      <x:c r="FK61" s="1160" t="str">
        <x:f t="shared" si="178"/>
        <x:v/>
      </x:c>
      <x:c r="FL61" s="388" t="e">
        <x:f t="shared" si="179"/>
        <x:v>#N/A</x:v>
      </x:c>
      <x:c r="FM61" s="380" t="str">
        <x:f t="shared" si="159"/>
        <x:v/>
      </x:c>
      <x:c r="FN61" s="337" t="str">
        <x:f t="shared" ca="1" si="180"/>
        <x:v/>
      </x:c>
      <x:c r="FO61" s="338" t="str">
        <x:f t="shared" ca="1" si="181"/>
        <x:v/>
      </x:c>
      <x:c r="FP61" s="339" t="str">
        <x:f t="shared" ca="1" si="182"/>
        <x:v/>
      </x:c>
      <x:c r="FQ61" s="339" t="str">
        <x:f t="shared" ca="1" si="183"/>
        <x:v/>
      </x:c>
      <x:c r="FR61" s="389">
        <x:f t="shared" ca="1" si="184"/>
        <x:v>0</x:v>
      </x:c>
      <x:c r="FS61" s="390">
        <x:f t="shared" ca="1" si="185"/>
        <x:v>0</x:v>
      </x:c>
      <x:c r="FT61" s="337" t="str">
        <x:f t="shared" ca="1" si="186"/>
        <x:v/>
      </x:c>
      <x:c r="FU61" s="340" t="str">
        <x:f t="shared" ca="1" si="187"/>
        <x:v/>
      </x:c>
      <x:c r="FV61" s="391" t="str">
        <x:f t="shared" ca="1" si="160"/>
        <x:v/>
      </x:c>
      <x:c r="FW61" s="341" t="str">
        <x:f t="shared" ca="1" si="188"/>
        <x:v/>
      </x:c>
      <x:c r="FX61" s="341" t="str">
        <x:f t="shared" ca="1" si="189"/>
        <x:v/>
      </x:c>
      <x:c r="FY61" s="341" t="str">
        <x:f t="shared" ca="1" si="190"/>
        <x:v/>
      </x:c>
      <x:c r="FZ61" s="341" t="str">
        <x:f t="shared" ca="1" si="191"/>
        <x:v/>
      </x:c>
      <x:c r="GA61" s="341" t="str">
        <x:f t="shared" ca="1" si="192"/>
        <x:v/>
      </x:c>
      <x:c r="GB61" s="342" t="str">
        <x:f ca="1">IF(FY61="","",2+SUM(FO61:OFFSET(FO61,(FU61-1)*-1,0)))</x:f>
        <x:v/>
      </x:c>
      <x:c r="GC61" s="384" t="e">
        <x:f t="shared" si="193"/>
        <x:v>#N/A</x:v>
      </x:c>
      <x:c r="GD61" s="392" t="str">
        <x:f t="shared" si="161"/>
        <x:v/>
      </x:c>
      <x:c r="GE61" s="393" t="str">
        <x:f t="shared" si="162"/>
        <x:v/>
      </x:c>
      <x:c r="GF61" s="343" t="str">
        <x:f t="shared" si="163"/>
        <x:v/>
      </x:c>
      <x:c r="GG61" s="344" t="str">
        <x:f t="shared" si="164"/>
        <x:v/>
      </x:c>
      <x:c r="GH61" s="344" t="str">
        <x:f t="shared" si="165"/>
        <x:v/>
      </x:c>
      <x:c r="GI61" s="345" t="str">
        <x:f t="shared" si="166"/>
        <x:v/>
      </x:c>
      <x:c r="GJ61" s="646">
        <x:f t="shared" ca="1" si="167"/>
        <x:v>0</x:v>
      </x:c>
      <x:c r="GK61" s="1131" t="str">
        <x:f t="shared" ca="1" si="194"/>
        <x:v>A</x:v>
      </x:c>
    </x:row>
    <x:row r="62" spans="1:222" ht="12.6" hidden="1" customHeight="1" x14ac:dyDescent="0.2">
      <x:c r="BZ62" s="360"/>
      <x:c r="CA62" s="434"/>
      <x:c r="CB62" s="435" t="str">
        <x:f t="shared" si="100"/>
        <x:v/>
      </x:c>
      <x:c r="CC62" s="436" t="str">
        <x:f>IF(CG22="","",VLOOKUP(CG22,SectInfo!$B:$N,12,FALSE))</x:f>
        <x:v/>
      </x:c>
      <x:c r="CD62" s="1172" t="str">
        <x:f>IF(ISBLANK(CZ22),IF(CG22="","",VLOOKUP(CG22,SectInfo!$B:$N,13,FALSE)),CZ22)</x:f>
        <x:v/>
      </x:c>
      <x:c r="CE62" s="437" t="str">
        <x:f>IF(CG22="","",IF(VLOOKUP(CG22,SectInfo!$B:$N,5,FALSE)="","R",UPPER(VLOOKUP(CG22,SectInfo!$B:$N,5,FALSE))))</x:f>
        <x:v/>
      </x:c>
      <x:c r="CF62" s="1172" t="str">
        <x:f>IF(ISBLANK(DD22),IF(CG22="","",VLOOKUP(CG22,SectInfo!$B:$N,6,FALSE)),DD22)</x:f>
        <x:v/>
      </x:c>
      <x:c r="CG62" s="437" t="str">
        <x:f>IF(CG22="","",IF(VLOOKUP(CG22,SectInfo!$B:$N,10,FALSE)="","",(VLOOKUP(CG22,SectInfo!$B:$N,10,FALSE)*-1)))</x:f>
        <x:v/>
      </x:c>
      <x:c r="CH62" s="437" t="str">
        <x:f>IF(CG22="","",IF(VLOOKUP(CG22,SectInfo!$B:$N,7,FALSE)="","",(VLOOKUP(CG22,SectInfo!$B:$N,7,FALSE)*-1)))</x:f>
        <x:v/>
      </x:c>
      <x:c r="CI62" s="437" t="str">
        <x:f>IF(CG22="","",IF(VLOOKUP(CG22,SectInfo!$B:$N,8,FALSE)="",$FC$4,(VLOOKUP(CG22,SectInfo!$B:$N,8,FALSE))))</x:f>
        <x:v/>
      </x:c>
      <x:c r="CJ62" s="437" t="str">
        <x:f>IF(CG22="","",VLOOKUP(CG22,SectInfo!$B:$N,9,FALSE))</x:f>
        <x:v/>
      </x:c>
      <x:c r="CK62" s="438">
        <x:f t="shared" si="168"/>
        <x:v>0</x:v>
      </x:c>
      <x:c r="CL62" s="436" t="str">
        <x:f>IF(CN22="","",VLOOKUP(CN22,SectInfo!$B:$N,12,FALSE))</x:f>
        <x:v/>
      </x:c>
      <x:c r="CM62" s="1172" t="str">
        <x:f>IF(ISBLANK(DA22),IF(CN22="","",VLOOKUP(CN22,SectInfo!$B:$N,13,FALSE)),DA22)</x:f>
        <x:v/>
      </x:c>
      <x:c r="CN62" s="437" t="str">
        <x:f>IF(CN22="","",IF(VLOOKUP(CN22,SectInfo!$B:$N,5,FALSE)="","R",UPPER(VLOOKUP(CN22,SectInfo!$B:$N,5,FALSE))))</x:f>
        <x:v/>
      </x:c>
      <x:c r="CO62" s="1172" t="str">
        <x:f>IF(ISBLANK(DE22),IF(CN22="","",VLOOKUP(CN22,SectInfo!$B:$N,6,FALSE)),DE22)</x:f>
        <x:v/>
      </x:c>
      <x:c r="CP62" s="437" t="str">
        <x:f>IF(CN22="","",IF(VLOOKUP(CN22,SectInfo!$B:$N,10,FALSE)="","",(VLOOKUP(CN22,SectInfo!$B:$N,10,FALSE)*-1)))</x:f>
        <x:v/>
      </x:c>
      <x:c r="CQ62" s="437" t="str">
        <x:f>IF(CN22="","",IF(VLOOKUP(CN22,SectInfo!$B:$N,7,FALSE)="","",(VLOOKUP(CN22,SectInfo!$B:$N,7,FALSE)*-1)))</x:f>
        <x:v/>
      </x:c>
      <x:c r="CR62" s="437" t="str">
        <x:f>IF(CN22="","",IF(VLOOKUP(CN22,SectInfo!$B:$N,8,FALSE)="",$FC$4,(VLOOKUP(CN22,SectInfo!$B:$N,8,FALSE))))</x:f>
        <x:v/>
      </x:c>
      <x:c r="CS62" s="437" t="str">
        <x:f>IF(CN22="","",VLOOKUP(CN22,SectInfo!$B:$N,9,FALSE))</x:f>
        <x:v/>
      </x:c>
      <x:c r="CT62" s="438">
        <x:f t="shared" si="169"/>
        <x:v>0</x:v>
      </x:c>
      <x:c r="CU62" s="439">
        <x:f t="shared" si="101"/>
        <x:v>0</x:v>
      </x:c>
      <x:c r="CV62" s="339" t="str">
        <x:f t="shared" si="102"/>
        <x:v/>
      </x:c>
      <x:c r="CW62" s="339" t="str">
        <x:f t="shared" si="103"/>
        <x:v/>
      </x:c>
      <x:c r="CX62" s="339" t="str">
        <x:f t="shared" si="104"/>
        <x:v/>
      </x:c>
      <x:c r="CY62" s="1109">
        <x:f t="shared" si="105"/>
        <x:v>0</x:v>
      </x:c>
      <x:c r="CZ62" s="1109">
        <x:f t="shared" si="106"/>
        <x:v>0</x:v>
      </x:c>
      <x:c r="DA62" s="1109" t="str">
        <x:f t="shared" si="107"/>
        <x:v/>
      </x:c>
      <x:c r="DB62" s="1125" t="str">
        <x:f t="shared" si="170"/>
        <x:v/>
      </x:c>
      <x:c r="DC62" s="1125" t="str">
        <x:f t="shared" si="108"/>
        <x:v/>
      </x:c>
      <x:c r="DD62" s="1110">
        <x:f t="shared" si="171"/>
        <x:v>0</x:v>
      </x:c>
      <x:c r="DE62" s="1108">
        <x:f t="shared" si="172"/>
        <x:v>0</x:v>
      </x:c>
      <x:c r="DF62" s="1109">
        <x:f t="shared" si="109"/>
        <x:v>0</x:v>
      </x:c>
      <x:c r="DG62" s="1109" t="str">
        <x:f t="shared" si="110"/>
        <x:v/>
      </x:c>
      <x:c r="DH62" s="1125" t="str">
        <x:f t="shared" si="173"/>
        <x:v/>
      </x:c>
      <x:c r="DI62" s="1125" t="str">
        <x:f t="shared" si="174"/>
        <x:v/>
      </x:c>
      <x:c r="DJ62" s="1110">
        <x:f t="shared" si="175"/>
        <x:v>0</x:v>
      </x:c>
      <x:c r="DK62" s="1108" t="str">
        <x:f t="shared" si="111"/>
        <x:v/>
      </x:c>
      <x:c r="DL62" s="1108" t="str">
        <x:f t="shared" si="112"/>
        <x:v/>
      </x:c>
      <x:c r="DM62" s="1108" t="str">
        <x:f t="shared" si="113"/>
        <x:v/>
      </x:c>
      <x:c r="DN62" s="1108" t="str">
        <x:f t="shared" si="114"/>
        <x:v/>
      </x:c>
      <x:c r="DO62" s="1125" t="str">
        <x:f t="shared" si="115"/>
        <x:v>ERR</x:v>
      </x:c>
      <x:c r="DP62" s="1125" t="str">
        <x:f t="shared" si="116"/>
        <x:v>ERR</x:v>
      </x:c>
      <x:c r="DQ62" s="1108" t="str">
        <x:f t="shared" si="117"/>
        <x:v/>
      </x:c>
      <x:c r="DR62" s="1108" t="str">
        <x:f t="shared" si="117"/>
        <x:v/>
      </x:c>
      <x:c r="DS62" s="1108" t="str">
        <x:f t="shared" si="118"/>
        <x:v/>
      </x:c>
      <x:c r="DT62" s="1108" t="str">
        <x:f t="shared" si="119"/>
        <x:v/>
      </x:c>
      <x:c r="DU62" s="1108" t="str">
        <x:f t="shared" si="120"/>
        <x:v/>
      </x:c>
      <x:c r="DV62" s="1125" t="str">
        <x:f t="shared" si="121"/>
        <x:v>ERR</x:v>
      </x:c>
      <x:c r="DW62" s="1125" t="str">
        <x:f t="shared" si="122"/>
        <x:v>ERR</x:v>
      </x:c>
      <x:c r="DX62" s="1108" t="str">
        <x:f t="shared" si="123"/>
        <x:v/>
      </x:c>
      <x:c r="DY62" s="1108" t="str">
        <x:f t="shared" si="123"/>
        <x:v/>
      </x:c>
      <x:c r="DZ62" s="1108" t="str">
        <x:f t="shared" si="124"/>
        <x:v/>
      </x:c>
      <x:c r="EA62" s="1108" t="str">
        <x:f t="shared" si="125"/>
        <x:v/>
      </x:c>
      <x:c r="EB62" s="1111" t="str">
        <x:f t="shared" si="126"/>
        <x:v/>
      </x:c>
      <x:c r="EC62" s="1112" t="str">
        <x:f t="shared" si="127"/>
        <x:v/>
      </x:c>
      <x:c r="ED62" s="1111" t="str">
        <x:f t="shared" si="128"/>
        <x:v/>
      </x:c>
      <x:c r="EE62" s="1111" t="str">
        <x:f t="shared" si="129"/>
        <x:v/>
      </x:c>
      <x:c r="EF62" s="1111" t="str">
        <x:f t="shared" si="130"/>
        <x:v/>
      </x:c>
      <x:c r="EG62" s="1111" t="str">
        <x:f t="shared" si="131"/>
        <x:v/>
      </x:c>
      <x:c r="EH62" s="1111" t="str">
        <x:f t="shared" si="132"/>
        <x:v/>
      </x:c>
      <x:c r="EI62" s="1111" t="str">
        <x:f t="shared" si="133"/>
        <x:v/>
      </x:c>
      <x:c r="EJ62" s="1111" t="str">
        <x:f t="shared" si="134"/>
        <x:v/>
      </x:c>
      <x:c r="EK62" s="1109">
        <x:f t="shared" si="135"/>
        <x:v>0</x:v>
      </x:c>
      <x:c r="EL62" s="1109">
        <x:f t="shared" si="136"/>
        <x:v>0</x:v>
      </x:c>
      <x:c r="EM62" s="1109">
        <x:f t="shared" si="137"/>
        <x:v>0</x:v>
      </x:c>
      <x:c r="EN62" s="1109" t="str">
        <x:f t="shared" si="138"/>
        <x:v/>
      </x:c>
      <x:c r="EO62" s="1108" t="str">
        <x:f t="shared" si="139"/>
        <x:v/>
      </x:c>
      <x:c r="EP62" s="1109">
        <x:f t="shared" si="140"/>
        <x:v>0</x:v>
      </x:c>
      <x:c r="EQ62" s="1109">
        <x:f t="shared" si="141"/>
        <x:v>0</x:v>
      </x:c>
      <x:c r="ER62" s="1109">
        <x:f t="shared" si="142"/>
        <x:v>0</x:v>
      </x:c>
      <x:c r="ES62" s="1109" t="str">
        <x:f t="shared" si="143"/>
        <x:v/>
      </x:c>
      <x:c r="ET62" s="1108" t="str">
        <x:f t="shared" si="144"/>
        <x:v/>
      </x:c>
      <x:c r="EU62" s="1108">
        <x:f t="shared" si="145"/>
        <x:v>0</x:v>
      </x:c>
      <x:c r="EV62" s="1111" t="e">
        <x:f t="shared" si="146"/>
        <x:v>#VALUE!</x:v>
      </x:c>
      <x:c r="EW62" s="1111" t="e">
        <x:f t="shared" si="147"/>
        <x:v>#VALUE!</x:v>
      </x:c>
      <x:c r="EX62" s="1113" t="str">
        <x:f t="shared" si="176"/>
        <x:v/>
      </x:c>
      <x:c r="EY62" s="1114">
        <x:f t="shared" si="148"/>
        <x:v>25</x:v>
      </x:c>
      <x:c r="EZ62" s="1219">
        <x:f t="shared" si="149"/>
        <x:v>0</x:v>
      </x:c>
      <x:c r="FA62" s="1220">
        <x:f t="shared" si="150"/>
        <x:v>0</x:v>
      </x:c>
      <x:c r="FB62" s="1115" t="str">
        <x:f t="shared" si="151"/>
        <x:v/>
      </x:c>
      <x:c r="FC62" s="1116" t="str">
        <x:f t="shared" si="152"/>
        <x:v/>
      </x:c>
      <x:c r="FD62" s="1126">
        <x:f t="shared" si="153"/>
        <x:v>0</x:v>
      </x:c>
      <x:c r="FE62" s="1066">
        <x:f t="shared" si="154"/>
        <x:v>0</x:v>
      </x:c>
      <x:c r="FF62" s="969" t="b">
        <x:f t="shared" si="155"/>
        <x:v>0</x:v>
      </x:c>
      <x:c r="FG62" s="969" t="b">
        <x:f t="shared" si="156"/>
        <x:v>0</x:v>
      </x:c>
      <x:c r="FH62" s="969" t="b">
        <x:f t="shared" si="157"/>
        <x:v>0</x:v>
      </x:c>
      <x:c r="FI62" s="969" t="b">
        <x:f t="shared" si="158"/>
        <x:v>0</x:v>
      </x:c>
      <x:c r="FJ62" s="1161" t="str">
        <x:f t="shared" si="177"/>
        <x:v/>
      </x:c>
      <x:c r="FK62" s="1160" t="str">
        <x:f t="shared" si="178"/>
        <x:v/>
      </x:c>
      <x:c r="FL62" s="388" t="e">
        <x:f t="shared" si="179"/>
        <x:v>#N/A</x:v>
      </x:c>
      <x:c r="FM62" s="380" t="str">
        <x:f t="shared" si="159"/>
        <x:v/>
      </x:c>
      <x:c r="FN62" s="337" t="str">
        <x:f t="shared" ca="1" si="180"/>
        <x:v/>
      </x:c>
      <x:c r="FO62" s="338" t="str">
        <x:f t="shared" ca="1" si="181"/>
        <x:v/>
      </x:c>
      <x:c r="FP62" s="339" t="str">
        <x:f t="shared" ca="1" si="182"/>
        <x:v/>
      </x:c>
      <x:c r="FQ62" s="339" t="str">
        <x:f t="shared" ca="1" si="183"/>
        <x:v/>
      </x:c>
      <x:c r="FR62" s="389">
        <x:f t="shared" ca="1" si="184"/>
        <x:v>0</x:v>
      </x:c>
      <x:c r="FS62" s="390">
        <x:f t="shared" ca="1" si="185"/>
        <x:v>0</x:v>
      </x:c>
      <x:c r="FT62" s="337" t="str">
        <x:f t="shared" ca="1" si="186"/>
        <x:v/>
      </x:c>
      <x:c r="FU62" s="340" t="str">
        <x:f t="shared" ca="1" si="187"/>
        <x:v/>
      </x:c>
      <x:c r="FV62" s="391" t="str">
        <x:f t="shared" ca="1" si="160"/>
        <x:v/>
      </x:c>
      <x:c r="FW62" s="341" t="str">
        <x:f t="shared" ca="1" si="188"/>
        <x:v/>
      </x:c>
      <x:c r="FX62" s="341" t="str">
        <x:f t="shared" ca="1" si="189"/>
        <x:v/>
      </x:c>
      <x:c r="FY62" s="341" t="str">
        <x:f t="shared" ca="1" si="190"/>
        <x:v/>
      </x:c>
      <x:c r="FZ62" s="341" t="str">
        <x:f t="shared" ca="1" si="191"/>
        <x:v/>
      </x:c>
      <x:c r="GA62" s="341" t="str">
        <x:f t="shared" ca="1" si="192"/>
        <x:v/>
      </x:c>
      <x:c r="GB62" s="342" t="str">
        <x:f ca="1">IF(FY62="","",2+SUM(FO62:OFFSET(FO62,(FU62-1)*-1,0)))</x:f>
        <x:v/>
      </x:c>
      <x:c r="GC62" s="384" t="e">
        <x:f t="shared" si="193"/>
        <x:v>#N/A</x:v>
      </x:c>
      <x:c r="GD62" s="392" t="str">
        <x:f t="shared" si="161"/>
        <x:v/>
      </x:c>
      <x:c r="GE62" s="393" t="str">
        <x:f t="shared" si="162"/>
        <x:v/>
      </x:c>
      <x:c r="GF62" s="343" t="str">
        <x:f t="shared" si="163"/>
        <x:v/>
      </x:c>
      <x:c r="GG62" s="344" t="str">
        <x:f t="shared" si="164"/>
        <x:v/>
      </x:c>
      <x:c r="GH62" s="344" t="str">
        <x:f t="shared" si="165"/>
        <x:v/>
      </x:c>
      <x:c r="GI62" s="345" t="str">
        <x:f t="shared" si="166"/>
        <x:v/>
      </x:c>
      <x:c r="GJ62" s="646">
        <x:f t="shared" ca="1" si="167"/>
        <x:v>0</x:v>
      </x:c>
      <x:c r="GK62" s="1131" t="str">
        <x:f t="shared" ca="1" si="194"/>
        <x:v>A</x:v>
      </x:c>
    </x:row>
    <x:row r="63" spans="1:222" ht="12.6" hidden="1" customHeight="1" x14ac:dyDescent="0.2">
      <x:c r="BZ63" s="360"/>
      <x:c r="CA63" s="434"/>
      <x:c r="CB63" s="435" t="str">
        <x:f t="shared" si="100"/>
        <x:v/>
      </x:c>
      <x:c r="CC63" s="436" t="str">
        <x:f>IF(CG23="","",VLOOKUP(CG23,SectInfo!$B:$N,12,FALSE))</x:f>
        <x:v/>
      </x:c>
      <x:c r="CD63" s="1172" t="str">
        <x:f>IF(ISBLANK(CZ23),IF(CG23="","",VLOOKUP(CG23,SectInfo!$B:$N,13,FALSE)),CZ23)</x:f>
        <x:v/>
      </x:c>
      <x:c r="CE63" s="437" t="str">
        <x:f>IF(CG23="","",IF(VLOOKUP(CG23,SectInfo!$B:$N,5,FALSE)="","R",UPPER(VLOOKUP(CG23,SectInfo!$B:$N,5,FALSE))))</x:f>
        <x:v/>
      </x:c>
      <x:c r="CF63" s="1172" t="str">
        <x:f>IF(ISBLANK(DD23),IF(CG23="","",VLOOKUP(CG23,SectInfo!$B:$N,6,FALSE)),DD23)</x:f>
        <x:v/>
      </x:c>
      <x:c r="CG63" s="437" t="str">
        <x:f>IF(CG23="","",IF(VLOOKUP(CG23,SectInfo!$B:$N,10,FALSE)="","",(VLOOKUP(CG23,SectInfo!$B:$N,10,FALSE)*-1)))</x:f>
        <x:v/>
      </x:c>
      <x:c r="CH63" s="437" t="str">
        <x:f>IF(CG23="","",IF(VLOOKUP(CG23,SectInfo!$B:$N,7,FALSE)="","",(VLOOKUP(CG23,SectInfo!$B:$N,7,FALSE)*-1)))</x:f>
        <x:v/>
      </x:c>
      <x:c r="CI63" s="437" t="str">
        <x:f>IF(CG23="","",IF(VLOOKUP(CG23,SectInfo!$B:$N,8,FALSE)="",$FC$4,(VLOOKUP(CG23,SectInfo!$B:$N,8,FALSE))))</x:f>
        <x:v/>
      </x:c>
      <x:c r="CJ63" s="437" t="str">
        <x:f>IF(CG23="","",VLOOKUP(CG23,SectInfo!$B:$N,9,FALSE))</x:f>
        <x:v/>
      </x:c>
      <x:c r="CK63" s="438">
        <x:f t="shared" si="168"/>
        <x:v>0</x:v>
      </x:c>
      <x:c r="CL63" s="436" t="str">
        <x:f>IF(CN23="","",VLOOKUP(CN23,SectInfo!$B:$N,12,FALSE))</x:f>
        <x:v/>
      </x:c>
      <x:c r="CM63" s="1172" t="str">
        <x:f>IF(ISBLANK(DA23),IF(CN23="","",VLOOKUP(CN23,SectInfo!$B:$N,13,FALSE)),DA23)</x:f>
        <x:v/>
      </x:c>
      <x:c r="CN63" s="437" t="str">
        <x:f>IF(CN23="","",IF(VLOOKUP(CN23,SectInfo!$B:$N,5,FALSE)="","R",UPPER(VLOOKUP(CN23,SectInfo!$B:$N,5,FALSE))))</x:f>
        <x:v/>
      </x:c>
      <x:c r="CO63" s="1172" t="str">
        <x:f>IF(ISBLANK(DE23),IF(CN23="","",VLOOKUP(CN23,SectInfo!$B:$N,6,FALSE)),DE23)</x:f>
        <x:v/>
      </x:c>
      <x:c r="CP63" s="437" t="str">
        <x:f>IF(CN23="","",IF(VLOOKUP(CN23,SectInfo!$B:$N,10,FALSE)="","",(VLOOKUP(CN23,SectInfo!$B:$N,10,FALSE)*-1)))</x:f>
        <x:v/>
      </x:c>
      <x:c r="CQ63" s="437" t="str">
        <x:f>IF(CN23="","",IF(VLOOKUP(CN23,SectInfo!$B:$N,7,FALSE)="","",(VLOOKUP(CN23,SectInfo!$B:$N,7,FALSE)*-1)))</x:f>
        <x:v/>
      </x:c>
      <x:c r="CR63" s="437" t="str">
        <x:f>IF(CN23="","",IF(VLOOKUP(CN23,SectInfo!$B:$N,8,FALSE)="",$FC$4,(VLOOKUP(CN23,SectInfo!$B:$N,8,FALSE))))</x:f>
        <x:v/>
      </x:c>
      <x:c r="CS63" s="437" t="str">
        <x:f>IF(CN23="","",VLOOKUP(CN23,SectInfo!$B:$N,9,FALSE))</x:f>
        <x:v/>
      </x:c>
      <x:c r="CT63" s="438">
        <x:f t="shared" si="169"/>
        <x:v>0</x:v>
      </x:c>
      <x:c r="CU63" s="439">
        <x:f t="shared" si="101"/>
        <x:v>0</x:v>
      </x:c>
      <x:c r="CV63" s="339" t="str">
        <x:f t="shared" si="102"/>
        <x:v/>
      </x:c>
      <x:c r="CW63" s="339" t="str">
        <x:f t="shared" si="103"/>
        <x:v/>
      </x:c>
      <x:c r="CX63" s="339" t="str">
        <x:f t="shared" si="104"/>
        <x:v/>
      </x:c>
      <x:c r="CY63" s="1109">
        <x:f t="shared" si="105"/>
        <x:v>0</x:v>
      </x:c>
      <x:c r="CZ63" s="1109">
        <x:f t="shared" si="106"/>
        <x:v>0</x:v>
      </x:c>
      <x:c r="DA63" s="1109" t="str">
        <x:f t="shared" si="107"/>
        <x:v/>
      </x:c>
      <x:c r="DB63" s="1125" t="str">
        <x:f t="shared" si="170"/>
        <x:v/>
      </x:c>
      <x:c r="DC63" s="1125" t="str">
        <x:f t="shared" si="108"/>
        <x:v/>
      </x:c>
      <x:c r="DD63" s="1110">
        <x:f t="shared" si="171"/>
        <x:v>0</x:v>
      </x:c>
      <x:c r="DE63" s="1108">
        <x:f t="shared" si="172"/>
        <x:v>0</x:v>
      </x:c>
      <x:c r="DF63" s="1109">
        <x:f t="shared" si="109"/>
        <x:v>0</x:v>
      </x:c>
      <x:c r="DG63" s="1109" t="str">
        <x:f t="shared" si="110"/>
        <x:v/>
      </x:c>
      <x:c r="DH63" s="1125" t="str">
        <x:f t="shared" si="173"/>
        <x:v/>
      </x:c>
      <x:c r="DI63" s="1125" t="str">
        <x:f t="shared" si="174"/>
        <x:v/>
      </x:c>
      <x:c r="DJ63" s="1110">
        <x:f t="shared" si="175"/>
        <x:v>0</x:v>
      </x:c>
      <x:c r="DK63" s="1108" t="str">
        <x:f t="shared" si="111"/>
        <x:v/>
      </x:c>
      <x:c r="DL63" s="1108" t="str">
        <x:f t="shared" si="112"/>
        <x:v/>
      </x:c>
      <x:c r="DM63" s="1108" t="str">
        <x:f t="shared" si="113"/>
        <x:v/>
      </x:c>
      <x:c r="DN63" s="1108" t="str">
        <x:f t="shared" si="114"/>
        <x:v/>
      </x:c>
      <x:c r="DO63" s="1125" t="str">
        <x:f t="shared" si="115"/>
        <x:v>ERR</x:v>
      </x:c>
      <x:c r="DP63" s="1125" t="str">
        <x:f t="shared" si="116"/>
        <x:v>ERR</x:v>
      </x:c>
      <x:c r="DQ63" s="1108" t="str">
        <x:f t="shared" si="117"/>
        <x:v/>
      </x:c>
      <x:c r="DR63" s="1108" t="str">
        <x:f t="shared" si="117"/>
        <x:v/>
      </x:c>
      <x:c r="DS63" s="1108" t="str">
        <x:f t="shared" si="118"/>
        <x:v/>
      </x:c>
      <x:c r="DT63" s="1108" t="str">
        <x:f t="shared" si="119"/>
        <x:v/>
      </x:c>
      <x:c r="DU63" s="1108" t="str">
        <x:f t="shared" si="120"/>
        <x:v/>
      </x:c>
      <x:c r="DV63" s="1125" t="str">
        <x:f t="shared" si="121"/>
        <x:v>ERR</x:v>
      </x:c>
      <x:c r="DW63" s="1125" t="str">
        <x:f t="shared" si="122"/>
        <x:v>ERR</x:v>
      </x:c>
      <x:c r="DX63" s="1108" t="str">
        <x:f t="shared" si="123"/>
        <x:v/>
      </x:c>
      <x:c r="DY63" s="1108" t="str">
        <x:f t="shared" si="123"/>
        <x:v/>
      </x:c>
      <x:c r="DZ63" s="1108" t="str">
        <x:f t="shared" si="124"/>
        <x:v/>
      </x:c>
      <x:c r="EA63" s="1108" t="str">
        <x:f t="shared" si="125"/>
        <x:v/>
      </x:c>
      <x:c r="EB63" s="1111" t="str">
        <x:f t="shared" si="126"/>
        <x:v/>
      </x:c>
      <x:c r="EC63" s="1112" t="str">
        <x:f t="shared" si="127"/>
        <x:v/>
      </x:c>
      <x:c r="ED63" s="1111" t="str">
        <x:f t="shared" si="128"/>
        <x:v/>
      </x:c>
      <x:c r="EE63" s="1111" t="str">
        <x:f t="shared" si="129"/>
        <x:v/>
      </x:c>
      <x:c r="EF63" s="1111" t="str">
        <x:f t="shared" si="130"/>
        <x:v/>
      </x:c>
      <x:c r="EG63" s="1111" t="str">
        <x:f t="shared" si="131"/>
        <x:v/>
      </x:c>
      <x:c r="EH63" s="1111" t="str">
        <x:f t="shared" si="132"/>
        <x:v/>
      </x:c>
      <x:c r="EI63" s="1111" t="str">
        <x:f t="shared" si="133"/>
        <x:v/>
      </x:c>
      <x:c r="EJ63" s="1111" t="str">
        <x:f t="shared" si="134"/>
        <x:v/>
      </x:c>
      <x:c r="EK63" s="1109">
        <x:f t="shared" si="135"/>
        <x:v>0</x:v>
      </x:c>
      <x:c r="EL63" s="1109">
        <x:f t="shared" si="136"/>
        <x:v>0</x:v>
      </x:c>
      <x:c r="EM63" s="1109">
        <x:f t="shared" si="137"/>
        <x:v>0</x:v>
      </x:c>
      <x:c r="EN63" s="1109" t="str">
        <x:f t="shared" si="138"/>
        <x:v/>
      </x:c>
      <x:c r="EO63" s="1108" t="str">
        <x:f t="shared" si="139"/>
        <x:v/>
      </x:c>
      <x:c r="EP63" s="1109">
        <x:f t="shared" si="140"/>
        <x:v>0</x:v>
      </x:c>
      <x:c r="EQ63" s="1109">
        <x:f t="shared" si="141"/>
        <x:v>0</x:v>
      </x:c>
      <x:c r="ER63" s="1109">
        <x:f t="shared" si="142"/>
        <x:v>0</x:v>
      </x:c>
      <x:c r="ES63" s="1109" t="str">
        <x:f t="shared" si="143"/>
        <x:v/>
      </x:c>
      <x:c r="ET63" s="1108" t="str">
        <x:f t="shared" si="144"/>
        <x:v/>
      </x:c>
      <x:c r="EU63" s="1108">
        <x:f t="shared" si="145"/>
        <x:v>0</x:v>
      </x:c>
      <x:c r="EV63" s="1111" t="e">
        <x:f t="shared" si="146"/>
        <x:v>#VALUE!</x:v>
      </x:c>
      <x:c r="EW63" s="1111" t="e">
        <x:f t="shared" si="147"/>
        <x:v>#VALUE!</x:v>
      </x:c>
      <x:c r="EX63" s="1113" t="str">
        <x:f t="shared" si="176"/>
        <x:v/>
      </x:c>
      <x:c r="EY63" s="1114">
        <x:f t="shared" si="148"/>
        <x:v>25</x:v>
      </x:c>
      <x:c r="EZ63" s="1219">
        <x:f t="shared" si="149"/>
        <x:v>0</x:v>
      </x:c>
      <x:c r="FA63" s="1220">
        <x:f t="shared" si="150"/>
        <x:v>0</x:v>
      </x:c>
      <x:c r="FB63" s="1115" t="str">
        <x:f t="shared" si="151"/>
        <x:v/>
      </x:c>
      <x:c r="FC63" s="1116" t="str">
        <x:f t="shared" si="152"/>
        <x:v/>
      </x:c>
      <x:c r="FD63" s="1126">
        <x:f t="shared" si="153"/>
        <x:v>0</x:v>
      </x:c>
      <x:c r="FE63" s="1066">
        <x:f t="shared" si="154"/>
        <x:v>0</x:v>
      </x:c>
      <x:c r="FF63" s="969" t="b">
        <x:f t="shared" si="155"/>
        <x:v>0</x:v>
      </x:c>
      <x:c r="FG63" s="969" t="b">
        <x:f t="shared" si="156"/>
        <x:v>0</x:v>
      </x:c>
      <x:c r="FH63" s="969" t="b">
        <x:f t="shared" si="157"/>
        <x:v>0</x:v>
      </x:c>
      <x:c r="FI63" s="969" t="b">
        <x:f t="shared" si="158"/>
        <x:v>0</x:v>
      </x:c>
      <x:c r="FJ63" s="1161" t="str">
        <x:f t="shared" si="177"/>
        <x:v/>
      </x:c>
      <x:c r="FK63" s="1160" t="str">
        <x:f t="shared" si="178"/>
        <x:v/>
      </x:c>
      <x:c r="FL63" s="388" t="e">
        <x:f t="shared" si="179"/>
        <x:v>#N/A</x:v>
      </x:c>
      <x:c r="FM63" s="380" t="str">
        <x:f t="shared" si="159"/>
        <x:v/>
      </x:c>
      <x:c r="FN63" s="337" t="str">
        <x:f t="shared" ca="1" si="180"/>
        <x:v/>
      </x:c>
      <x:c r="FO63" s="338" t="str">
        <x:f t="shared" ca="1" si="181"/>
        <x:v/>
      </x:c>
      <x:c r="FP63" s="339" t="str">
        <x:f t="shared" ca="1" si="182"/>
        <x:v/>
      </x:c>
      <x:c r="FQ63" s="339" t="str">
        <x:f t="shared" ca="1" si="183"/>
        <x:v/>
      </x:c>
      <x:c r="FR63" s="389">
        <x:f t="shared" ca="1" si="184"/>
        <x:v>0</x:v>
      </x:c>
      <x:c r="FS63" s="390">
        <x:f t="shared" ca="1" si="185"/>
        <x:v>0</x:v>
      </x:c>
      <x:c r="FT63" s="337" t="str">
        <x:f t="shared" ca="1" si="186"/>
        <x:v/>
      </x:c>
      <x:c r="FU63" s="340" t="str">
        <x:f t="shared" ca="1" si="187"/>
        <x:v/>
      </x:c>
      <x:c r="FV63" s="391" t="str">
        <x:f t="shared" ca="1" si="160"/>
        <x:v/>
      </x:c>
      <x:c r="FW63" s="341" t="str">
        <x:f t="shared" ca="1" si="188"/>
        <x:v/>
      </x:c>
      <x:c r="FX63" s="341" t="str">
        <x:f t="shared" ca="1" si="189"/>
        <x:v/>
      </x:c>
      <x:c r="FY63" s="341" t="str">
        <x:f t="shared" ca="1" si="190"/>
        <x:v/>
      </x:c>
      <x:c r="FZ63" s="341" t="str">
        <x:f t="shared" ca="1" si="191"/>
        <x:v/>
      </x:c>
      <x:c r="GA63" s="341" t="str">
        <x:f t="shared" ca="1" si="192"/>
        <x:v/>
      </x:c>
      <x:c r="GB63" s="342" t="str">
        <x:f ca="1">IF(FY63="","",2+SUM(FO63:OFFSET(FO63,(FU63-1)*-1,0)))</x:f>
        <x:v/>
      </x:c>
      <x:c r="GC63" s="384" t="e">
        <x:f t="shared" si="193"/>
        <x:v>#N/A</x:v>
      </x:c>
      <x:c r="GD63" s="392" t="str">
        <x:f t="shared" si="161"/>
        <x:v/>
      </x:c>
      <x:c r="GE63" s="393" t="str">
        <x:f t="shared" si="162"/>
        <x:v/>
      </x:c>
      <x:c r="GF63" s="343" t="str">
        <x:f t="shared" si="163"/>
        <x:v/>
      </x:c>
      <x:c r="GG63" s="344" t="str">
        <x:f t="shared" si="164"/>
        <x:v/>
      </x:c>
      <x:c r="GH63" s="344" t="str">
        <x:f t="shared" si="165"/>
        <x:v/>
      </x:c>
      <x:c r="GI63" s="345" t="str">
        <x:f t="shared" si="166"/>
        <x:v/>
      </x:c>
      <x:c r="GJ63" s="646">
        <x:f t="shared" ca="1" si="167"/>
        <x:v>0</x:v>
      </x:c>
      <x:c r="GK63" s="1131" t="str">
        <x:f t="shared" ca="1" si="194"/>
        <x:v>A</x:v>
      </x:c>
    </x:row>
    <x:row r="64" spans="1:222" ht="12.6" hidden="1" customHeight="1" x14ac:dyDescent="0.2">
      <x:c r="BZ64" s="360"/>
      <x:c r="CA64" s="434"/>
      <x:c r="CB64" s="435" t="str">
        <x:f t="shared" si="100"/>
        <x:v/>
      </x:c>
      <x:c r="CC64" s="436" t="str">
        <x:f>IF(CG24="","",VLOOKUP(CG24,SectInfo!$B:$N,12,FALSE))</x:f>
        <x:v/>
      </x:c>
      <x:c r="CD64" s="1172" t="str">
        <x:f>IF(ISBLANK(CZ24),IF(CG24="","",VLOOKUP(CG24,SectInfo!$B:$N,13,FALSE)),CZ24)</x:f>
        <x:v/>
      </x:c>
      <x:c r="CE64" s="437" t="str">
        <x:f>IF(CG24="","",IF(VLOOKUP(CG24,SectInfo!$B:$N,5,FALSE)="","R",UPPER(VLOOKUP(CG24,SectInfo!$B:$N,5,FALSE))))</x:f>
        <x:v/>
      </x:c>
      <x:c r="CF64" s="1172" t="str">
        <x:f>IF(ISBLANK(DD24),IF(CG24="","",VLOOKUP(CG24,SectInfo!$B:$N,6,FALSE)),DD24)</x:f>
        <x:v/>
      </x:c>
      <x:c r="CG64" s="437" t="str">
        <x:f>IF(CG24="","",IF(VLOOKUP(CG24,SectInfo!$B:$N,10,FALSE)="","",(VLOOKUP(CG24,SectInfo!$B:$N,10,FALSE)*-1)))</x:f>
        <x:v/>
      </x:c>
      <x:c r="CH64" s="437" t="str">
        <x:f>IF(CG24="","",IF(VLOOKUP(CG24,SectInfo!$B:$N,7,FALSE)="","",(VLOOKUP(CG24,SectInfo!$B:$N,7,FALSE)*-1)))</x:f>
        <x:v/>
      </x:c>
      <x:c r="CI64" s="437" t="str">
        <x:f>IF(CG24="","",IF(VLOOKUP(CG24,SectInfo!$B:$N,8,FALSE)="",$FC$4,(VLOOKUP(CG24,SectInfo!$B:$N,8,FALSE))))</x:f>
        <x:v/>
      </x:c>
      <x:c r="CJ64" s="437" t="str">
        <x:f>IF(CG24="","",VLOOKUP(CG24,SectInfo!$B:$N,9,FALSE))</x:f>
        <x:v/>
      </x:c>
      <x:c r="CK64" s="438">
        <x:f t="shared" si="168"/>
        <x:v>0</x:v>
      </x:c>
      <x:c r="CL64" s="436" t="str">
        <x:f>IF(CN24="","",VLOOKUP(CN24,SectInfo!$B:$N,12,FALSE))</x:f>
        <x:v/>
      </x:c>
      <x:c r="CM64" s="1172" t="str">
        <x:f>IF(ISBLANK(DA24),IF(CN24="","",VLOOKUP(CN24,SectInfo!$B:$N,13,FALSE)),DA24)</x:f>
        <x:v/>
      </x:c>
      <x:c r="CN64" s="437" t="str">
        <x:f>IF(CN24="","",IF(VLOOKUP(CN24,SectInfo!$B:$N,5,FALSE)="","R",UPPER(VLOOKUP(CN24,SectInfo!$B:$N,5,FALSE))))</x:f>
        <x:v/>
      </x:c>
      <x:c r="CO64" s="1172" t="str">
        <x:f>IF(ISBLANK(DE24),IF(CN24="","",VLOOKUP(CN24,SectInfo!$B:$N,6,FALSE)),DE24)</x:f>
        <x:v/>
      </x:c>
      <x:c r="CP64" s="437" t="str">
        <x:f>IF(CN24="","",IF(VLOOKUP(CN24,SectInfo!$B:$N,10,FALSE)="","",(VLOOKUP(CN24,SectInfo!$B:$N,10,FALSE)*-1)))</x:f>
        <x:v/>
      </x:c>
      <x:c r="CQ64" s="437" t="str">
        <x:f>IF(CN24="","",IF(VLOOKUP(CN24,SectInfo!$B:$N,7,FALSE)="","",(VLOOKUP(CN24,SectInfo!$B:$N,7,FALSE)*-1)))</x:f>
        <x:v/>
      </x:c>
      <x:c r="CR64" s="437" t="str">
        <x:f>IF(CN24="","",IF(VLOOKUP(CN24,SectInfo!$B:$N,8,FALSE)="",$FC$4,(VLOOKUP(CN24,SectInfo!$B:$N,8,FALSE))))</x:f>
        <x:v/>
      </x:c>
      <x:c r="CS64" s="437" t="str">
        <x:f>IF(CN24="","",VLOOKUP(CN24,SectInfo!$B:$N,9,FALSE))</x:f>
        <x:v/>
      </x:c>
      <x:c r="CT64" s="438">
        <x:f t="shared" si="169"/>
        <x:v>0</x:v>
      </x:c>
      <x:c r="CU64" s="439">
        <x:f t="shared" si="101"/>
        <x:v>0</x:v>
      </x:c>
      <x:c r="CV64" s="339" t="str">
        <x:f t="shared" si="102"/>
        <x:v/>
      </x:c>
      <x:c r="CW64" s="339" t="str">
        <x:f t="shared" si="103"/>
        <x:v/>
      </x:c>
      <x:c r="CX64" s="339" t="str">
        <x:f t="shared" si="104"/>
        <x:v/>
      </x:c>
      <x:c r="CY64" s="1109">
        <x:f t="shared" si="105"/>
        <x:v>0</x:v>
      </x:c>
      <x:c r="CZ64" s="1109">
        <x:f t="shared" si="106"/>
        <x:v>0</x:v>
      </x:c>
      <x:c r="DA64" s="1109" t="str">
        <x:f t="shared" si="107"/>
        <x:v/>
      </x:c>
      <x:c r="DB64" s="1125" t="str">
        <x:f t="shared" si="170"/>
        <x:v/>
      </x:c>
      <x:c r="DC64" s="1125" t="str">
        <x:f t="shared" si="108"/>
        <x:v/>
      </x:c>
      <x:c r="DD64" s="1110">
        <x:f t="shared" si="171"/>
        <x:v>0</x:v>
      </x:c>
      <x:c r="DE64" s="1108">
        <x:f t="shared" si="172"/>
        <x:v>0</x:v>
      </x:c>
      <x:c r="DF64" s="1109">
        <x:f t="shared" si="109"/>
        <x:v>0</x:v>
      </x:c>
      <x:c r="DG64" s="1109" t="str">
        <x:f t="shared" si="110"/>
        <x:v/>
      </x:c>
      <x:c r="DH64" s="1125" t="str">
        <x:f t="shared" si="173"/>
        <x:v/>
      </x:c>
      <x:c r="DI64" s="1125" t="str">
        <x:f t="shared" si="174"/>
        <x:v/>
      </x:c>
      <x:c r="DJ64" s="1110">
        <x:f t="shared" si="175"/>
        <x:v>0</x:v>
      </x:c>
      <x:c r="DK64" s="1108" t="str">
        <x:f t="shared" si="111"/>
        <x:v/>
      </x:c>
      <x:c r="DL64" s="1108" t="str">
        <x:f t="shared" si="112"/>
        <x:v/>
      </x:c>
      <x:c r="DM64" s="1108" t="str">
        <x:f t="shared" si="113"/>
        <x:v/>
      </x:c>
      <x:c r="DN64" s="1108" t="str">
        <x:f t="shared" si="114"/>
        <x:v/>
      </x:c>
      <x:c r="DO64" s="1125" t="str">
        <x:f t="shared" si="115"/>
        <x:v>ERR</x:v>
      </x:c>
      <x:c r="DP64" s="1125" t="str">
        <x:f t="shared" si="116"/>
        <x:v>ERR</x:v>
      </x:c>
      <x:c r="DQ64" s="1108" t="str">
        <x:f t="shared" si="117"/>
        <x:v/>
      </x:c>
      <x:c r="DR64" s="1108" t="str">
        <x:f t="shared" si="117"/>
        <x:v/>
      </x:c>
      <x:c r="DS64" s="1108" t="str">
        <x:f t="shared" si="118"/>
        <x:v/>
      </x:c>
      <x:c r="DT64" s="1108" t="str">
        <x:f t="shared" si="119"/>
        <x:v/>
      </x:c>
      <x:c r="DU64" s="1108" t="str">
        <x:f t="shared" si="120"/>
        <x:v/>
      </x:c>
      <x:c r="DV64" s="1125" t="str">
        <x:f t="shared" si="121"/>
        <x:v>ERR</x:v>
      </x:c>
      <x:c r="DW64" s="1125" t="str">
        <x:f t="shared" si="122"/>
        <x:v>ERR</x:v>
      </x:c>
      <x:c r="DX64" s="1108" t="str">
        <x:f t="shared" si="123"/>
        <x:v/>
      </x:c>
      <x:c r="DY64" s="1108" t="str">
        <x:f t="shared" si="123"/>
        <x:v/>
      </x:c>
      <x:c r="DZ64" s="1108" t="str">
        <x:f t="shared" si="124"/>
        <x:v/>
      </x:c>
      <x:c r="EA64" s="1108" t="str">
        <x:f t="shared" si="125"/>
        <x:v/>
      </x:c>
      <x:c r="EB64" s="1111" t="str">
        <x:f t="shared" si="126"/>
        <x:v/>
      </x:c>
      <x:c r="EC64" s="1112" t="str">
        <x:f t="shared" si="127"/>
        <x:v/>
      </x:c>
      <x:c r="ED64" s="1111" t="str">
        <x:f t="shared" si="128"/>
        <x:v/>
      </x:c>
      <x:c r="EE64" s="1111" t="str">
        <x:f t="shared" si="129"/>
        <x:v/>
      </x:c>
      <x:c r="EF64" s="1111" t="str">
        <x:f t="shared" si="130"/>
        <x:v/>
      </x:c>
      <x:c r="EG64" s="1111" t="str">
        <x:f t="shared" si="131"/>
        <x:v/>
      </x:c>
      <x:c r="EH64" s="1111" t="str">
        <x:f t="shared" si="132"/>
        <x:v/>
      </x:c>
      <x:c r="EI64" s="1111" t="str">
        <x:f t="shared" si="133"/>
        <x:v/>
      </x:c>
      <x:c r="EJ64" s="1111" t="str">
        <x:f t="shared" si="134"/>
        <x:v/>
      </x:c>
      <x:c r="EK64" s="1109">
        <x:f t="shared" si="135"/>
        <x:v>0</x:v>
      </x:c>
      <x:c r="EL64" s="1109">
        <x:f t="shared" si="136"/>
        <x:v>0</x:v>
      </x:c>
      <x:c r="EM64" s="1109">
        <x:f t="shared" si="137"/>
        <x:v>0</x:v>
      </x:c>
      <x:c r="EN64" s="1109" t="str">
        <x:f t="shared" si="138"/>
        <x:v/>
      </x:c>
      <x:c r="EO64" s="1108" t="str">
        <x:f t="shared" si="139"/>
        <x:v/>
      </x:c>
      <x:c r="EP64" s="1109">
        <x:f t="shared" si="140"/>
        <x:v>0</x:v>
      </x:c>
      <x:c r="EQ64" s="1109">
        <x:f t="shared" si="141"/>
        <x:v>0</x:v>
      </x:c>
      <x:c r="ER64" s="1109">
        <x:f t="shared" si="142"/>
        <x:v>0</x:v>
      </x:c>
      <x:c r="ES64" s="1109" t="str">
        <x:f t="shared" si="143"/>
        <x:v/>
      </x:c>
      <x:c r="ET64" s="1108" t="str">
        <x:f t="shared" si="144"/>
        <x:v/>
      </x:c>
      <x:c r="EU64" s="1108">
        <x:f t="shared" si="145"/>
        <x:v>0</x:v>
      </x:c>
      <x:c r="EV64" s="1111" t="e">
        <x:f t="shared" si="146"/>
        <x:v>#VALUE!</x:v>
      </x:c>
      <x:c r="EW64" s="1111" t="e">
        <x:f t="shared" si="147"/>
        <x:v>#VALUE!</x:v>
      </x:c>
      <x:c r="EX64" s="1113" t="str">
        <x:f t="shared" si="176"/>
        <x:v/>
      </x:c>
      <x:c r="EY64" s="1114">
        <x:f t="shared" si="148"/>
        <x:v>25</x:v>
      </x:c>
      <x:c r="EZ64" s="1219">
        <x:f t="shared" si="149"/>
        <x:v>0</x:v>
      </x:c>
      <x:c r="FA64" s="1220">
        <x:f t="shared" si="150"/>
        <x:v>0</x:v>
      </x:c>
      <x:c r="FB64" s="1115" t="str">
        <x:f t="shared" si="151"/>
        <x:v/>
      </x:c>
      <x:c r="FC64" s="1116" t="str">
        <x:f t="shared" si="152"/>
        <x:v/>
      </x:c>
      <x:c r="FD64" s="1126">
        <x:f t="shared" si="153"/>
        <x:v>0</x:v>
      </x:c>
      <x:c r="FE64" s="1066">
        <x:f t="shared" si="154"/>
        <x:v>0</x:v>
      </x:c>
      <x:c r="FF64" s="969" t="b">
        <x:f t="shared" si="155"/>
        <x:v>0</x:v>
      </x:c>
      <x:c r="FG64" s="969" t="b">
        <x:f t="shared" si="156"/>
        <x:v>0</x:v>
      </x:c>
      <x:c r="FH64" s="969" t="b">
        <x:f t="shared" si="157"/>
        <x:v>0</x:v>
      </x:c>
      <x:c r="FI64" s="969" t="b">
        <x:f t="shared" si="158"/>
        <x:v>0</x:v>
      </x:c>
      <x:c r="FJ64" s="1161" t="str">
        <x:f t="shared" si="177"/>
        <x:v/>
      </x:c>
      <x:c r="FK64" s="1160" t="str">
        <x:f t="shared" si="178"/>
        <x:v/>
      </x:c>
      <x:c r="FL64" s="388" t="e">
        <x:f t="shared" si="179"/>
        <x:v>#N/A</x:v>
      </x:c>
      <x:c r="FM64" s="380" t="str">
        <x:f t="shared" si="159"/>
        <x:v/>
      </x:c>
      <x:c r="FN64" s="337" t="str">
        <x:f t="shared" ca="1" si="180"/>
        <x:v/>
      </x:c>
      <x:c r="FO64" s="338" t="str">
        <x:f t="shared" ca="1" si="181"/>
        <x:v/>
      </x:c>
      <x:c r="FP64" s="339" t="str">
        <x:f t="shared" ca="1" si="182"/>
        <x:v/>
      </x:c>
      <x:c r="FQ64" s="339" t="str">
        <x:f t="shared" ca="1" si="183"/>
        <x:v/>
      </x:c>
      <x:c r="FR64" s="389">
        <x:f t="shared" ca="1" si="184"/>
        <x:v>0</x:v>
      </x:c>
      <x:c r="FS64" s="390">
        <x:f t="shared" ca="1" si="185"/>
        <x:v>0</x:v>
      </x:c>
      <x:c r="FT64" s="337" t="str">
        <x:f t="shared" ca="1" si="186"/>
        <x:v/>
      </x:c>
      <x:c r="FU64" s="340" t="str">
        <x:f t="shared" ca="1" si="187"/>
        <x:v/>
      </x:c>
      <x:c r="FV64" s="391" t="str">
        <x:f t="shared" ca="1" si="160"/>
        <x:v/>
      </x:c>
      <x:c r="FW64" s="341" t="str">
        <x:f t="shared" ca="1" si="188"/>
        <x:v/>
      </x:c>
      <x:c r="FX64" s="341" t="str">
        <x:f t="shared" ca="1" si="189"/>
        <x:v/>
      </x:c>
      <x:c r="FY64" s="341" t="str">
        <x:f t="shared" ca="1" si="190"/>
        <x:v/>
      </x:c>
      <x:c r="FZ64" s="341" t="str">
        <x:f t="shared" ca="1" si="191"/>
        <x:v/>
      </x:c>
      <x:c r="GA64" s="341" t="str">
        <x:f t="shared" ca="1" si="192"/>
        <x:v/>
      </x:c>
      <x:c r="GB64" s="342" t="str">
        <x:f ca="1">IF(FY64="","",2+SUM(FO64:OFFSET(FO64,(FU64-1)*-1,0)))</x:f>
        <x:v/>
      </x:c>
      <x:c r="GC64" s="384" t="e">
        <x:f t="shared" si="193"/>
        <x:v>#N/A</x:v>
      </x:c>
      <x:c r="GD64" s="392" t="str">
        <x:f t="shared" si="161"/>
        <x:v/>
      </x:c>
      <x:c r="GE64" s="393" t="str">
        <x:f t="shared" si="162"/>
        <x:v/>
      </x:c>
      <x:c r="GF64" s="343" t="str">
        <x:f t="shared" si="163"/>
        <x:v/>
      </x:c>
      <x:c r="GG64" s="344" t="str">
        <x:f t="shared" si="164"/>
        <x:v/>
      </x:c>
      <x:c r="GH64" s="344" t="str">
        <x:f t="shared" si="165"/>
        <x:v/>
      </x:c>
      <x:c r="GI64" s="345" t="str">
        <x:f t="shared" si="166"/>
        <x:v/>
      </x:c>
      <x:c r="GJ64" s="646">
        <x:f t="shared" ca="1" si="167"/>
        <x:v>0</x:v>
      </x:c>
      <x:c r="GK64" s="1131" t="str">
        <x:f t="shared" ca="1" si="194"/>
        <x:v>A</x:v>
      </x:c>
    </x:row>
    <x:row r="65" spans="78:193" ht="12.6" hidden="1" customHeight="1" x14ac:dyDescent="0.2">
      <x:c r="BZ65" s="360"/>
      <x:c r="CA65" s="434"/>
      <x:c r="CB65" s="435" t="str">
        <x:f t="shared" si="100"/>
        <x:v/>
      </x:c>
      <x:c r="CC65" s="436" t="str">
        <x:f>IF(CG25="","",VLOOKUP(CG25,SectInfo!$B:$N,12,FALSE))</x:f>
        <x:v/>
      </x:c>
      <x:c r="CD65" s="1172" t="str">
        <x:f>IF(ISBLANK(CZ25),IF(CG25="","",VLOOKUP(CG25,SectInfo!$B:$N,13,FALSE)),CZ25)</x:f>
        <x:v/>
      </x:c>
      <x:c r="CE65" s="437" t="str">
        <x:f>IF(CG25="","",IF(VLOOKUP(CG25,SectInfo!$B:$N,5,FALSE)="","R",UPPER(VLOOKUP(CG25,SectInfo!$B:$N,5,FALSE))))</x:f>
        <x:v/>
      </x:c>
      <x:c r="CF65" s="1172" t="str">
        <x:f>IF(ISBLANK(DD25),IF(CG25="","",VLOOKUP(CG25,SectInfo!$B:$N,6,FALSE)),DD25)</x:f>
        <x:v/>
      </x:c>
      <x:c r="CG65" s="437" t="str">
        <x:f>IF(CG25="","",IF(VLOOKUP(CG25,SectInfo!$B:$N,10,FALSE)="","",(VLOOKUP(CG25,SectInfo!$B:$N,10,FALSE)*-1)))</x:f>
        <x:v/>
      </x:c>
      <x:c r="CH65" s="437" t="str">
        <x:f>IF(CG25="","",IF(VLOOKUP(CG25,SectInfo!$B:$N,7,FALSE)="","",(VLOOKUP(CG25,SectInfo!$B:$N,7,FALSE)*-1)))</x:f>
        <x:v/>
      </x:c>
      <x:c r="CI65" s="437" t="str">
        <x:f>IF(CG25="","",IF(VLOOKUP(CG25,SectInfo!$B:$N,8,FALSE)="",$FC$4,(VLOOKUP(CG25,SectInfo!$B:$N,8,FALSE))))</x:f>
        <x:v/>
      </x:c>
      <x:c r="CJ65" s="437" t="str">
        <x:f>IF(CG25="","",VLOOKUP(CG25,SectInfo!$B:$N,9,FALSE))</x:f>
        <x:v/>
      </x:c>
      <x:c r="CK65" s="438">
        <x:f t="shared" si="168"/>
        <x:v>0</x:v>
      </x:c>
      <x:c r="CL65" s="436" t="str">
        <x:f>IF(CN25="","",VLOOKUP(CN25,SectInfo!$B:$N,12,FALSE))</x:f>
        <x:v/>
      </x:c>
      <x:c r="CM65" s="1172" t="str">
        <x:f>IF(ISBLANK(DA25),IF(CN25="","",VLOOKUP(CN25,SectInfo!$B:$N,13,FALSE)),DA25)</x:f>
        <x:v/>
      </x:c>
      <x:c r="CN65" s="437" t="str">
        <x:f>IF(CN25="","",IF(VLOOKUP(CN25,SectInfo!$B:$N,5,FALSE)="","R",UPPER(VLOOKUP(CN25,SectInfo!$B:$N,5,FALSE))))</x:f>
        <x:v/>
      </x:c>
      <x:c r="CO65" s="1172" t="str">
        <x:f>IF(ISBLANK(DE25),IF(CN25="","",VLOOKUP(CN25,SectInfo!$B:$N,6,FALSE)),DE25)</x:f>
        <x:v/>
      </x:c>
      <x:c r="CP65" s="437" t="str">
        <x:f>IF(CN25="","",IF(VLOOKUP(CN25,SectInfo!$B:$N,10,FALSE)="","",(VLOOKUP(CN25,SectInfo!$B:$N,10,FALSE)*-1)))</x:f>
        <x:v/>
      </x:c>
      <x:c r="CQ65" s="437" t="str">
        <x:f>IF(CN25="","",IF(VLOOKUP(CN25,SectInfo!$B:$N,7,FALSE)="","",(VLOOKUP(CN25,SectInfo!$B:$N,7,FALSE)*-1)))</x:f>
        <x:v/>
      </x:c>
      <x:c r="CR65" s="437" t="str">
        <x:f>IF(CN25="","",IF(VLOOKUP(CN25,SectInfo!$B:$N,8,FALSE)="",$FC$4,(VLOOKUP(CN25,SectInfo!$B:$N,8,FALSE))))</x:f>
        <x:v/>
      </x:c>
      <x:c r="CS65" s="437" t="str">
        <x:f>IF(CN25="","",VLOOKUP(CN25,SectInfo!$B:$N,9,FALSE))</x:f>
        <x:v/>
      </x:c>
      <x:c r="CT65" s="438">
        <x:f t="shared" si="169"/>
        <x:v>0</x:v>
      </x:c>
      <x:c r="CU65" s="439">
        <x:f t="shared" si="101"/>
        <x:v>0</x:v>
      </x:c>
      <x:c r="CV65" s="339" t="str">
        <x:f t="shared" si="102"/>
        <x:v/>
      </x:c>
      <x:c r="CW65" s="339" t="str">
        <x:f t="shared" si="103"/>
        <x:v/>
      </x:c>
      <x:c r="CX65" s="339" t="str">
        <x:f t="shared" si="104"/>
        <x:v/>
      </x:c>
      <x:c r="CY65" s="1109">
        <x:f t="shared" si="105"/>
        <x:v>0</x:v>
      </x:c>
      <x:c r="CZ65" s="1109">
        <x:f t="shared" si="106"/>
        <x:v>0</x:v>
      </x:c>
      <x:c r="DA65" s="1109" t="str">
        <x:f t="shared" si="107"/>
        <x:v/>
      </x:c>
      <x:c r="DB65" s="1125" t="str">
        <x:f t="shared" si="170"/>
        <x:v/>
      </x:c>
      <x:c r="DC65" s="1125" t="str">
        <x:f t="shared" si="108"/>
        <x:v/>
      </x:c>
      <x:c r="DD65" s="1110">
        <x:f t="shared" si="171"/>
        <x:v>0</x:v>
      </x:c>
      <x:c r="DE65" s="1108">
        <x:f t="shared" si="172"/>
        <x:v>0</x:v>
      </x:c>
      <x:c r="DF65" s="1109">
        <x:f t="shared" si="109"/>
        <x:v>0</x:v>
      </x:c>
      <x:c r="DG65" s="1109" t="str">
        <x:f t="shared" si="110"/>
        <x:v/>
      </x:c>
      <x:c r="DH65" s="1125" t="str">
        <x:f t="shared" si="173"/>
        <x:v/>
      </x:c>
      <x:c r="DI65" s="1125" t="str">
        <x:f t="shared" si="174"/>
        <x:v/>
      </x:c>
      <x:c r="DJ65" s="1110">
        <x:f t="shared" si="175"/>
        <x:v>0</x:v>
      </x:c>
      <x:c r="DK65" s="1108" t="str">
        <x:f t="shared" si="111"/>
        <x:v/>
      </x:c>
      <x:c r="DL65" s="1108" t="str">
        <x:f t="shared" si="112"/>
        <x:v/>
      </x:c>
      <x:c r="DM65" s="1108" t="str">
        <x:f t="shared" si="113"/>
        <x:v/>
      </x:c>
      <x:c r="DN65" s="1108" t="str">
        <x:f t="shared" si="114"/>
        <x:v/>
      </x:c>
      <x:c r="DO65" s="1125" t="str">
        <x:f t="shared" si="115"/>
        <x:v>ERR</x:v>
      </x:c>
      <x:c r="DP65" s="1125" t="str">
        <x:f t="shared" si="116"/>
        <x:v>ERR</x:v>
      </x:c>
      <x:c r="DQ65" s="1108" t="str">
        <x:f t="shared" si="117"/>
        <x:v/>
      </x:c>
      <x:c r="DR65" s="1108" t="str">
        <x:f t="shared" si="117"/>
        <x:v/>
      </x:c>
      <x:c r="DS65" s="1108" t="str">
        <x:f t="shared" si="118"/>
        <x:v/>
      </x:c>
      <x:c r="DT65" s="1108" t="str">
        <x:f t="shared" si="119"/>
        <x:v/>
      </x:c>
      <x:c r="DU65" s="1108" t="str">
        <x:f t="shared" si="120"/>
        <x:v/>
      </x:c>
      <x:c r="DV65" s="1125" t="str">
        <x:f t="shared" si="121"/>
        <x:v>ERR</x:v>
      </x:c>
      <x:c r="DW65" s="1125" t="str">
        <x:f t="shared" si="122"/>
        <x:v>ERR</x:v>
      </x:c>
      <x:c r="DX65" s="1108" t="str">
        <x:f t="shared" si="123"/>
        <x:v/>
      </x:c>
      <x:c r="DY65" s="1108" t="str">
        <x:f t="shared" si="123"/>
        <x:v/>
      </x:c>
      <x:c r="DZ65" s="1108" t="str">
        <x:f t="shared" si="124"/>
        <x:v/>
      </x:c>
      <x:c r="EA65" s="1108" t="str">
        <x:f t="shared" si="125"/>
        <x:v/>
      </x:c>
      <x:c r="EB65" s="1111" t="str">
        <x:f t="shared" si="126"/>
        <x:v/>
      </x:c>
      <x:c r="EC65" s="1112" t="str">
        <x:f t="shared" si="127"/>
        <x:v/>
      </x:c>
      <x:c r="ED65" s="1111" t="str">
        <x:f t="shared" si="128"/>
        <x:v/>
      </x:c>
      <x:c r="EE65" s="1111" t="str">
        <x:f t="shared" si="129"/>
        <x:v/>
      </x:c>
      <x:c r="EF65" s="1111" t="str">
        <x:f t="shared" si="130"/>
        <x:v/>
      </x:c>
      <x:c r="EG65" s="1111" t="str">
        <x:f t="shared" si="131"/>
        <x:v/>
      </x:c>
      <x:c r="EH65" s="1111" t="str">
        <x:f t="shared" si="132"/>
        <x:v/>
      </x:c>
      <x:c r="EI65" s="1111" t="str">
        <x:f t="shared" si="133"/>
        <x:v/>
      </x:c>
      <x:c r="EJ65" s="1111" t="str">
        <x:f t="shared" si="134"/>
        <x:v/>
      </x:c>
      <x:c r="EK65" s="1109">
        <x:f t="shared" si="135"/>
        <x:v>0</x:v>
      </x:c>
      <x:c r="EL65" s="1109">
        <x:f t="shared" si="136"/>
        <x:v>0</x:v>
      </x:c>
      <x:c r="EM65" s="1109">
        <x:f t="shared" si="137"/>
        <x:v>0</x:v>
      </x:c>
      <x:c r="EN65" s="1109" t="str">
        <x:f t="shared" si="138"/>
        <x:v/>
      </x:c>
      <x:c r="EO65" s="1108" t="str">
        <x:f t="shared" si="139"/>
        <x:v/>
      </x:c>
      <x:c r="EP65" s="1109">
        <x:f t="shared" si="140"/>
        <x:v>0</x:v>
      </x:c>
      <x:c r="EQ65" s="1109">
        <x:f t="shared" si="141"/>
        <x:v>0</x:v>
      </x:c>
      <x:c r="ER65" s="1109">
        <x:f t="shared" si="142"/>
        <x:v>0</x:v>
      </x:c>
      <x:c r="ES65" s="1109" t="str">
        <x:f t="shared" si="143"/>
        <x:v/>
      </x:c>
      <x:c r="ET65" s="1108" t="str">
        <x:f t="shared" si="144"/>
        <x:v/>
      </x:c>
      <x:c r="EU65" s="1108">
        <x:f t="shared" si="145"/>
        <x:v>0</x:v>
      </x:c>
      <x:c r="EV65" s="1111" t="e">
        <x:f t="shared" si="146"/>
        <x:v>#VALUE!</x:v>
      </x:c>
      <x:c r="EW65" s="1111" t="e">
        <x:f t="shared" si="147"/>
        <x:v>#VALUE!</x:v>
      </x:c>
      <x:c r="EX65" s="1113" t="str">
        <x:f t="shared" si="176"/>
        <x:v/>
      </x:c>
      <x:c r="EY65" s="1114">
        <x:f t="shared" si="148"/>
        <x:v>25</x:v>
      </x:c>
      <x:c r="EZ65" s="1219">
        <x:f t="shared" si="149"/>
        <x:v>0</x:v>
      </x:c>
      <x:c r="FA65" s="1220">
        <x:f t="shared" si="150"/>
        <x:v>0</x:v>
      </x:c>
      <x:c r="FB65" s="1115" t="str">
        <x:f t="shared" si="151"/>
        <x:v/>
      </x:c>
      <x:c r="FC65" s="1116" t="str">
        <x:f t="shared" si="152"/>
        <x:v/>
      </x:c>
      <x:c r="FD65" s="1126">
        <x:f t="shared" si="153"/>
        <x:v>0</x:v>
      </x:c>
      <x:c r="FE65" s="1066">
        <x:f t="shared" si="154"/>
        <x:v>0</x:v>
      </x:c>
      <x:c r="FF65" s="969" t="b">
        <x:f t="shared" si="155"/>
        <x:v>0</x:v>
      </x:c>
      <x:c r="FG65" s="969" t="b">
        <x:f t="shared" si="156"/>
        <x:v>0</x:v>
      </x:c>
      <x:c r="FH65" s="969" t="b">
        <x:f t="shared" si="157"/>
        <x:v>0</x:v>
      </x:c>
      <x:c r="FI65" s="969" t="b">
        <x:f t="shared" si="158"/>
        <x:v>0</x:v>
      </x:c>
      <x:c r="FJ65" s="1161" t="str">
        <x:f t="shared" si="177"/>
        <x:v/>
      </x:c>
      <x:c r="FK65" s="1160" t="str">
        <x:f t="shared" si="178"/>
        <x:v/>
      </x:c>
      <x:c r="FL65" s="388" t="e">
        <x:f t="shared" si="179"/>
        <x:v>#N/A</x:v>
      </x:c>
      <x:c r="FM65" s="380" t="str">
        <x:f t="shared" si="159"/>
        <x:v/>
      </x:c>
      <x:c r="FN65" s="337" t="str">
        <x:f t="shared" ca="1" si="180"/>
        <x:v/>
      </x:c>
      <x:c r="FO65" s="338" t="str">
        <x:f t="shared" ca="1" si="181"/>
        <x:v/>
      </x:c>
      <x:c r="FP65" s="339" t="str">
        <x:f t="shared" ca="1" si="182"/>
        <x:v/>
      </x:c>
      <x:c r="FQ65" s="339" t="str">
        <x:f t="shared" ca="1" si="183"/>
        <x:v/>
      </x:c>
      <x:c r="FR65" s="389">
        <x:f t="shared" ca="1" si="184"/>
        <x:v>0</x:v>
      </x:c>
      <x:c r="FS65" s="390">
        <x:f t="shared" ca="1" si="185"/>
        <x:v>0</x:v>
      </x:c>
      <x:c r="FT65" s="337" t="str">
        <x:f t="shared" ca="1" si="186"/>
        <x:v/>
      </x:c>
      <x:c r="FU65" s="340" t="str">
        <x:f t="shared" ca="1" si="187"/>
        <x:v/>
      </x:c>
      <x:c r="FV65" s="391" t="str">
        <x:f t="shared" ca="1" si="160"/>
        <x:v/>
      </x:c>
      <x:c r="FW65" s="341" t="str">
        <x:f t="shared" ca="1" si="188"/>
        <x:v/>
      </x:c>
      <x:c r="FX65" s="341" t="str">
        <x:f t="shared" ca="1" si="189"/>
        <x:v/>
      </x:c>
      <x:c r="FY65" s="341" t="str">
        <x:f t="shared" ca="1" si="190"/>
        <x:v/>
      </x:c>
      <x:c r="FZ65" s="341" t="str">
        <x:f t="shared" ca="1" si="191"/>
        <x:v/>
      </x:c>
      <x:c r="GA65" s="341" t="str">
        <x:f t="shared" ca="1" si="192"/>
        <x:v/>
      </x:c>
      <x:c r="GB65" s="342" t="str">
        <x:f ca="1">IF(FY65="","",2+SUM(FO65:OFFSET(FO65,(FU65-1)*-1,0)))</x:f>
        <x:v/>
      </x:c>
      <x:c r="GC65" s="384" t="e">
        <x:f t="shared" si="193"/>
        <x:v>#N/A</x:v>
      </x:c>
      <x:c r="GD65" s="392" t="str">
        <x:f t="shared" si="161"/>
        <x:v/>
      </x:c>
      <x:c r="GE65" s="393" t="str">
        <x:f t="shared" si="162"/>
        <x:v/>
      </x:c>
      <x:c r="GF65" s="343" t="str">
        <x:f t="shared" si="163"/>
        <x:v/>
      </x:c>
      <x:c r="GG65" s="344" t="str">
        <x:f t="shared" si="164"/>
        <x:v/>
      </x:c>
      <x:c r="GH65" s="344" t="str">
        <x:f t="shared" si="165"/>
        <x:v/>
      </x:c>
      <x:c r="GI65" s="345" t="str">
        <x:f t="shared" si="166"/>
        <x:v/>
      </x:c>
      <x:c r="GJ65" s="646">
        <x:f t="shared" ca="1" si="167"/>
        <x:v>0</x:v>
      </x:c>
      <x:c r="GK65" s="1131" t="str">
        <x:f t="shared" ca="1" si="194"/>
        <x:v>A</x:v>
      </x:c>
    </x:row>
    <x:row r="66" spans="78:193" ht="12.6" hidden="1" customHeight="1" x14ac:dyDescent="0.2">
      <x:c r="BZ66" s="360"/>
      <x:c r="CA66" s="434"/>
      <x:c r="CB66" s="435" t="str">
        <x:f t="shared" si="100"/>
        <x:v/>
      </x:c>
      <x:c r="CC66" s="436" t="str">
        <x:f>IF(CG26="","",VLOOKUP(CG26,SectInfo!$B:$N,12,FALSE))</x:f>
        <x:v/>
      </x:c>
      <x:c r="CD66" s="1172" t="str">
        <x:f>IF(ISBLANK(CZ26),IF(CG26="","",VLOOKUP(CG26,SectInfo!$B:$N,13,FALSE)),CZ26)</x:f>
        <x:v/>
      </x:c>
      <x:c r="CE66" s="437" t="str">
        <x:f>IF(CG26="","",IF(VLOOKUP(CG26,SectInfo!$B:$N,5,FALSE)="","R",UPPER(VLOOKUP(CG26,SectInfo!$B:$N,5,FALSE))))</x:f>
        <x:v/>
      </x:c>
      <x:c r="CF66" s="1172" t="str">
        <x:f>IF(ISBLANK(DD26),IF(CG26="","",VLOOKUP(CG26,SectInfo!$B:$N,6,FALSE)),DD26)</x:f>
        <x:v/>
      </x:c>
      <x:c r="CG66" s="437" t="str">
        <x:f>IF(CG26="","",IF(VLOOKUP(CG26,SectInfo!$B:$N,10,FALSE)="","",(VLOOKUP(CG26,SectInfo!$B:$N,10,FALSE)*-1)))</x:f>
        <x:v/>
      </x:c>
      <x:c r="CH66" s="437" t="str">
        <x:f>IF(CG26="","",IF(VLOOKUP(CG26,SectInfo!$B:$N,7,FALSE)="","",(VLOOKUP(CG26,SectInfo!$B:$N,7,FALSE)*-1)))</x:f>
        <x:v/>
      </x:c>
      <x:c r="CI66" s="437" t="str">
        <x:f>IF(CG26="","",IF(VLOOKUP(CG26,SectInfo!$B:$N,8,FALSE)="",$FC$4,(VLOOKUP(CG26,SectInfo!$B:$N,8,FALSE))))</x:f>
        <x:v/>
      </x:c>
      <x:c r="CJ66" s="437" t="str">
        <x:f>IF(CG26="","",VLOOKUP(CG26,SectInfo!$B:$N,9,FALSE))</x:f>
        <x:v/>
      </x:c>
      <x:c r="CK66" s="438">
        <x:f t="shared" si="168"/>
        <x:v>0</x:v>
      </x:c>
      <x:c r="CL66" s="436" t="str">
        <x:f>IF(CN26="","",VLOOKUP(CN26,SectInfo!$B:$N,12,FALSE))</x:f>
        <x:v/>
      </x:c>
      <x:c r="CM66" s="1172" t="str">
        <x:f>IF(ISBLANK(DA26),IF(CN26="","",VLOOKUP(CN26,SectInfo!$B:$N,13,FALSE)),DA26)</x:f>
        <x:v/>
      </x:c>
      <x:c r="CN66" s="437" t="str">
        <x:f>IF(CN26="","",IF(VLOOKUP(CN26,SectInfo!$B:$N,5,FALSE)="","R",UPPER(VLOOKUP(CN26,SectInfo!$B:$N,5,FALSE))))</x:f>
        <x:v/>
      </x:c>
      <x:c r="CO66" s="1172" t="str">
        <x:f>IF(ISBLANK(DE26),IF(CN26="","",VLOOKUP(CN26,SectInfo!$B:$N,6,FALSE)),DE26)</x:f>
        <x:v/>
      </x:c>
      <x:c r="CP66" s="437" t="str">
        <x:f>IF(CN26="","",IF(VLOOKUP(CN26,SectInfo!$B:$N,10,FALSE)="","",(VLOOKUP(CN26,SectInfo!$B:$N,10,FALSE)*-1)))</x:f>
        <x:v/>
      </x:c>
      <x:c r="CQ66" s="437" t="str">
        <x:f>IF(CN26="","",IF(VLOOKUP(CN26,SectInfo!$B:$N,7,FALSE)="","",(VLOOKUP(CN26,SectInfo!$B:$N,7,FALSE)*-1)))</x:f>
        <x:v/>
      </x:c>
      <x:c r="CR66" s="437" t="str">
        <x:f>IF(CN26="","",IF(VLOOKUP(CN26,SectInfo!$B:$N,8,FALSE)="",$FC$4,(VLOOKUP(CN26,SectInfo!$B:$N,8,FALSE))))</x:f>
        <x:v/>
      </x:c>
      <x:c r="CS66" s="437" t="str">
        <x:f>IF(CN26="","",VLOOKUP(CN26,SectInfo!$B:$N,9,FALSE))</x:f>
        <x:v/>
      </x:c>
      <x:c r="CT66" s="438">
        <x:f t="shared" si="169"/>
        <x:v>0</x:v>
      </x:c>
      <x:c r="CU66" s="439">
        <x:f t="shared" si="101"/>
        <x:v>0</x:v>
      </x:c>
      <x:c r="CV66" s="339" t="str">
        <x:f t="shared" si="102"/>
        <x:v/>
      </x:c>
      <x:c r="CW66" s="339" t="str">
        <x:f t="shared" si="103"/>
        <x:v/>
      </x:c>
      <x:c r="CX66" s="339" t="str">
        <x:f t="shared" si="104"/>
        <x:v/>
      </x:c>
      <x:c r="CY66" s="1109">
        <x:f t="shared" si="105"/>
        <x:v>0</x:v>
      </x:c>
      <x:c r="CZ66" s="1109">
        <x:f t="shared" si="106"/>
        <x:v>0</x:v>
      </x:c>
      <x:c r="DA66" s="1109" t="str">
        <x:f t="shared" si="107"/>
        <x:v/>
      </x:c>
      <x:c r="DB66" s="1125" t="str">
        <x:f t="shared" si="170"/>
        <x:v/>
      </x:c>
      <x:c r="DC66" s="1125" t="str">
        <x:f t="shared" si="108"/>
        <x:v/>
      </x:c>
      <x:c r="DD66" s="1110">
        <x:f t="shared" si="171"/>
        <x:v>0</x:v>
      </x:c>
      <x:c r="DE66" s="1108">
        <x:f t="shared" si="172"/>
        <x:v>0</x:v>
      </x:c>
      <x:c r="DF66" s="1109">
        <x:f t="shared" si="109"/>
        <x:v>0</x:v>
      </x:c>
      <x:c r="DG66" s="1109" t="str">
        <x:f t="shared" si="110"/>
        <x:v/>
      </x:c>
      <x:c r="DH66" s="1125" t="str">
        <x:f t="shared" si="173"/>
        <x:v/>
      </x:c>
      <x:c r="DI66" s="1125" t="str">
        <x:f t="shared" si="174"/>
        <x:v/>
      </x:c>
      <x:c r="DJ66" s="1110">
        <x:f t="shared" si="175"/>
        <x:v>0</x:v>
      </x:c>
      <x:c r="DK66" s="1108" t="str">
        <x:f t="shared" si="111"/>
        <x:v/>
      </x:c>
      <x:c r="DL66" s="1108" t="str">
        <x:f t="shared" si="112"/>
        <x:v/>
      </x:c>
      <x:c r="DM66" s="1108" t="str">
        <x:f t="shared" si="113"/>
        <x:v/>
      </x:c>
      <x:c r="DN66" s="1108" t="str">
        <x:f t="shared" si="114"/>
        <x:v/>
      </x:c>
      <x:c r="DO66" s="1125" t="str">
        <x:f t="shared" si="115"/>
        <x:v>ERR</x:v>
      </x:c>
      <x:c r="DP66" s="1125" t="str">
        <x:f t="shared" si="116"/>
        <x:v>ERR</x:v>
      </x:c>
      <x:c r="DQ66" s="1108" t="str">
        <x:f t="shared" si="117"/>
        <x:v/>
      </x:c>
      <x:c r="DR66" s="1108" t="str">
        <x:f t="shared" si="117"/>
        <x:v/>
      </x:c>
      <x:c r="DS66" s="1108" t="str">
        <x:f t="shared" si="118"/>
        <x:v/>
      </x:c>
      <x:c r="DT66" s="1108" t="str">
        <x:f t="shared" si="119"/>
        <x:v/>
      </x:c>
      <x:c r="DU66" s="1108" t="str">
        <x:f t="shared" si="120"/>
        <x:v/>
      </x:c>
      <x:c r="DV66" s="1125" t="str">
        <x:f t="shared" si="121"/>
        <x:v>ERR</x:v>
      </x:c>
      <x:c r="DW66" s="1125" t="str">
        <x:f t="shared" si="122"/>
        <x:v>ERR</x:v>
      </x:c>
      <x:c r="DX66" s="1108" t="str">
        <x:f t="shared" si="123"/>
        <x:v/>
      </x:c>
      <x:c r="DY66" s="1108" t="str">
        <x:f t="shared" si="123"/>
        <x:v/>
      </x:c>
      <x:c r="DZ66" s="1108" t="str">
        <x:f t="shared" si="124"/>
        <x:v/>
      </x:c>
      <x:c r="EA66" s="1108" t="str">
        <x:f t="shared" si="125"/>
        <x:v/>
      </x:c>
      <x:c r="EB66" s="1111" t="str">
        <x:f t="shared" si="126"/>
        <x:v/>
      </x:c>
      <x:c r="EC66" s="1112" t="str">
        <x:f t="shared" si="127"/>
        <x:v/>
      </x:c>
      <x:c r="ED66" s="1111" t="str">
        <x:f t="shared" si="128"/>
        <x:v/>
      </x:c>
      <x:c r="EE66" s="1111" t="str">
        <x:f t="shared" si="129"/>
        <x:v/>
      </x:c>
      <x:c r="EF66" s="1111" t="str">
        <x:f t="shared" si="130"/>
        <x:v/>
      </x:c>
      <x:c r="EG66" s="1111" t="str">
        <x:f t="shared" si="131"/>
        <x:v/>
      </x:c>
      <x:c r="EH66" s="1111" t="str">
        <x:f t="shared" si="132"/>
        <x:v/>
      </x:c>
      <x:c r="EI66" s="1111" t="str">
        <x:f t="shared" si="133"/>
        <x:v/>
      </x:c>
      <x:c r="EJ66" s="1111" t="str">
        <x:f t="shared" si="134"/>
        <x:v/>
      </x:c>
      <x:c r="EK66" s="1109">
        <x:f t="shared" si="135"/>
        <x:v>0</x:v>
      </x:c>
      <x:c r="EL66" s="1109">
        <x:f t="shared" si="136"/>
        <x:v>0</x:v>
      </x:c>
      <x:c r="EM66" s="1109">
        <x:f t="shared" si="137"/>
        <x:v>0</x:v>
      </x:c>
      <x:c r="EN66" s="1109" t="str">
        <x:f t="shared" si="138"/>
        <x:v/>
      </x:c>
      <x:c r="EO66" s="1108" t="str">
        <x:f t="shared" si="139"/>
        <x:v/>
      </x:c>
      <x:c r="EP66" s="1109">
        <x:f t="shared" si="140"/>
        <x:v>0</x:v>
      </x:c>
      <x:c r="EQ66" s="1109">
        <x:f t="shared" si="141"/>
        <x:v>0</x:v>
      </x:c>
      <x:c r="ER66" s="1109">
        <x:f t="shared" si="142"/>
        <x:v>0</x:v>
      </x:c>
      <x:c r="ES66" s="1109" t="str">
        <x:f t="shared" si="143"/>
        <x:v/>
      </x:c>
      <x:c r="ET66" s="1108" t="str">
        <x:f t="shared" si="144"/>
        <x:v/>
      </x:c>
      <x:c r="EU66" s="1108">
        <x:f t="shared" si="145"/>
        <x:v>0</x:v>
      </x:c>
      <x:c r="EV66" s="1111" t="e">
        <x:f t="shared" si="146"/>
        <x:v>#VALUE!</x:v>
      </x:c>
      <x:c r="EW66" s="1111" t="e">
        <x:f t="shared" si="147"/>
        <x:v>#VALUE!</x:v>
      </x:c>
      <x:c r="EX66" s="1113" t="str">
        <x:f t="shared" si="176"/>
        <x:v/>
      </x:c>
      <x:c r="EY66" s="1114">
        <x:f t="shared" si="148"/>
        <x:v>25</x:v>
      </x:c>
      <x:c r="EZ66" s="1219">
        <x:f t="shared" si="149"/>
        <x:v>0</x:v>
      </x:c>
      <x:c r="FA66" s="1220">
        <x:f t="shared" si="150"/>
        <x:v>0</x:v>
      </x:c>
      <x:c r="FB66" s="1115" t="str">
        <x:f t="shared" si="151"/>
        <x:v/>
      </x:c>
      <x:c r="FC66" s="1116" t="str">
        <x:f t="shared" si="152"/>
        <x:v/>
      </x:c>
      <x:c r="FD66" s="1126">
        <x:f t="shared" si="153"/>
        <x:v>0</x:v>
      </x:c>
      <x:c r="FE66" s="1066">
        <x:f t="shared" si="154"/>
        <x:v>0</x:v>
      </x:c>
      <x:c r="FF66" s="969" t="b">
        <x:f t="shared" si="155"/>
        <x:v>0</x:v>
      </x:c>
      <x:c r="FG66" s="969" t="b">
        <x:f t="shared" si="156"/>
        <x:v>0</x:v>
      </x:c>
      <x:c r="FH66" s="969" t="b">
        <x:f t="shared" si="157"/>
        <x:v>0</x:v>
      </x:c>
      <x:c r="FI66" s="969" t="b">
        <x:f t="shared" si="158"/>
        <x:v>0</x:v>
      </x:c>
      <x:c r="FJ66" s="1161" t="str">
        <x:f t="shared" si="177"/>
        <x:v/>
      </x:c>
      <x:c r="FK66" s="1160" t="str">
        <x:f t="shared" si="178"/>
        <x:v/>
      </x:c>
      <x:c r="FL66" s="388" t="e">
        <x:f t="shared" si="179"/>
        <x:v>#N/A</x:v>
      </x:c>
      <x:c r="FM66" s="380" t="str">
        <x:f t="shared" si="159"/>
        <x:v/>
      </x:c>
      <x:c r="FN66" s="337" t="str">
        <x:f t="shared" ca="1" si="180"/>
        <x:v/>
      </x:c>
      <x:c r="FO66" s="338" t="str">
        <x:f t="shared" ca="1" si="181"/>
        <x:v/>
      </x:c>
      <x:c r="FP66" s="339" t="str">
        <x:f t="shared" ca="1" si="182"/>
        <x:v/>
      </x:c>
      <x:c r="FQ66" s="339" t="str">
        <x:f t="shared" ca="1" si="183"/>
        <x:v/>
      </x:c>
      <x:c r="FR66" s="389">
        <x:f t="shared" ca="1" si="184"/>
        <x:v>0</x:v>
      </x:c>
      <x:c r="FS66" s="390">
        <x:f t="shared" ca="1" si="185"/>
        <x:v>0</x:v>
      </x:c>
      <x:c r="FT66" s="337" t="str">
        <x:f t="shared" ca="1" si="186"/>
        <x:v/>
      </x:c>
      <x:c r="FU66" s="340" t="str">
        <x:f t="shared" ca="1" si="187"/>
        <x:v/>
      </x:c>
      <x:c r="FV66" s="391" t="str">
        <x:f t="shared" ca="1" si="160"/>
        <x:v/>
      </x:c>
      <x:c r="FW66" s="341" t="str">
        <x:f t="shared" ca="1" si="188"/>
        <x:v/>
      </x:c>
      <x:c r="FX66" s="341" t="str">
        <x:f t="shared" ca="1" si="189"/>
        <x:v/>
      </x:c>
      <x:c r="FY66" s="341" t="str">
        <x:f t="shared" ca="1" si="190"/>
        <x:v/>
      </x:c>
      <x:c r="FZ66" s="341" t="str">
        <x:f t="shared" ca="1" si="191"/>
        <x:v/>
      </x:c>
      <x:c r="GA66" s="341" t="str">
        <x:f t="shared" ca="1" si="192"/>
        <x:v/>
      </x:c>
      <x:c r="GB66" s="342" t="str">
        <x:f ca="1">IF(FY66="","",2+SUM(FO66:OFFSET(FO66,(FU66-1)*-1,0)))</x:f>
        <x:v/>
      </x:c>
      <x:c r="GC66" s="384" t="e">
        <x:f t="shared" si="193"/>
        <x:v>#N/A</x:v>
      </x:c>
      <x:c r="GD66" s="392" t="str">
        <x:f t="shared" si="161"/>
        <x:v/>
      </x:c>
      <x:c r="GE66" s="393" t="str">
        <x:f t="shared" si="162"/>
        <x:v/>
      </x:c>
      <x:c r="GF66" s="343" t="str">
        <x:f t="shared" si="163"/>
        <x:v/>
      </x:c>
      <x:c r="GG66" s="344" t="str">
        <x:f t="shared" si="164"/>
        <x:v/>
      </x:c>
      <x:c r="GH66" s="344" t="str">
        <x:f t="shared" si="165"/>
        <x:v/>
      </x:c>
      <x:c r="GI66" s="345" t="str">
        <x:f t="shared" si="166"/>
        <x:v/>
      </x:c>
      <x:c r="GJ66" s="646">
        <x:f t="shared" ca="1" si="167"/>
        <x:v>0</x:v>
      </x:c>
      <x:c r="GK66" s="1131" t="str">
        <x:f t="shared" ca="1" si="194"/>
        <x:v>A</x:v>
      </x:c>
    </x:row>
    <x:row r="67" spans="78:193" ht="12.6" hidden="1" customHeight="1" x14ac:dyDescent="0.2">
      <x:c r="BZ67" s="360"/>
      <x:c r="CA67" s="360"/>
      <x:c r="CB67" s="435" t="str">
        <x:f t="shared" si="100"/>
        <x:v/>
      </x:c>
      <x:c r="CC67" s="436" t="str">
        <x:f>IF(CG27="","",VLOOKUP(CG27,SectInfo!$B:$N,12,FALSE))</x:f>
        <x:v/>
      </x:c>
      <x:c r="CD67" s="1172" t="str">
        <x:f>IF(ISBLANK(CZ27),IF(CG27="","",VLOOKUP(CG27,SectInfo!$B:$N,13,FALSE)),CZ27)</x:f>
        <x:v/>
      </x:c>
      <x:c r="CE67" s="437" t="str">
        <x:f>IF(CG27="","",IF(VLOOKUP(CG27,SectInfo!$B:$N,5,FALSE)="","R",UPPER(VLOOKUP(CG27,SectInfo!$B:$N,5,FALSE))))</x:f>
        <x:v/>
      </x:c>
      <x:c r="CF67" s="1172" t="str">
        <x:f>IF(ISBLANK(DD27),IF(CG27="","",VLOOKUP(CG27,SectInfo!$B:$N,6,FALSE)),DD27)</x:f>
        <x:v/>
      </x:c>
      <x:c r="CG67" s="437" t="str">
        <x:f>IF(CG27="","",IF(VLOOKUP(CG27,SectInfo!$B:$N,10,FALSE)="","",(VLOOKUP(CG27,SectInfo!$B:$N,10,FALSE)*-1)))</x:f>
        <x:v/>
      </x:c>
      <x:c r="CH67" s="437" t="str">
        <x:f>IF(CG27="","",IF(VLOOKUP(CG27,SectInfo!$B:$N,7,FALSE)="","",(VLOOKUP(CG27,SectInfo!$B:$N,7,FALSE)*-1)))</x:f>
        <x:v/>
      </x:c>
      <x:c r="CI67" s="437" t="str">
        <x:f>IF(CG27="","",IF(VLOOKUP(CG27,SectInfo!$B:$N,8,FALSE)="",$FC$4,(VLOOKUP(CG27,SectInfo!$B:$N,8,FALSE))))</x:f>
        <x:v/>
      </x:c>
      <x:c r="CJ67" s="437" t="str">
        <x:f>IF(CG27="","",VLOOKUP(CG27,SectInfo!$B:$N,9,FALSE))</x:f>
        <x:v/>
      </x:c>
      <x:c r="CK67" s="438">
        <x:f t="shared" si="168"/>
        <x:v>0</x:v>
      </x:c>
      <x:c r="CL67" s="436" t="str">
        <x:f>IF(CN27="","",VLOOKUP(CN27,SectInfo!$B:$N,12,FALSE))</x:f>
        <x:v/>
      </x:c>
      <x:c r="CM67" s="1172" t="str">
        <x:f>IF(ISBLANK(DA27),IF(CN27="","",VLOOKUP(CN27,SectInfo!$B:$N,13,FALSE)),DA27)</x:f>
        <x:v/>
      </x:c>
      <x:c r="CN67" s="437" t="str">
        <x:f>IF(CN27="","",IF(VLOOKUP(CN27,SectInfo!$B:$N,5,FALSE)="","R",UPPER(VLOOKUP(CN27,SectInfo!$B:$N,5,FALSE))))</x:f>
        <x:v/>
      </x:c>
      <x:c r="CO67" s="1172" t="str">
        <x:f>IF(ISBLANK(DE27),IF(CN27="","",VLOOKUP(CN27,SectInfo!$B:$N,6,FALSE)),DE27)</x:f>
        <x:v/>
      </x:c>
      <x:c r="CP67" s="437" t="str">
        <x:f>IF(CN27="","",IF(VLOOKUP(CN27,SectInfo!$B:$N,10,FALSE)="","",(VLOOKUP(CN27,SectInfo!$B:$N,10,FALSE)*-1)))</x:f>
        <x:v/>
      </x:c>
      <x:c r="CQ67" s="437" t="str">
        <x:f>IF(CN27="","",IF(VLOOKUP(CN27,SectInfo!$B:$N,7,FALSE)="","",(VLOOKUP(CN27,SectInfo!$B:$N,7,FALSE)*-1)))</x:f>
        <x:v/>
      </x:c>
      <x:c r="CR67" s="437" t="str">
        <x:f>IF(CN27="","",IF(VLOOKUP(CN27,SectInfo!$B:$N,8,FALSE)="",$FC$4,(VLOOKUP(CN27,SectInfo!$B:$N,8,FALSE))))</x:f>
        <x:v/>
      </x:c>
      <x:c r="CS67" s="437" t="str">
        <x:f>IF(CN27="","",VLOOKUP(CN27,SectInfo!$B:$N,9,FALSE))</x:f>
        <x:v/>
      </x:c>
      <x:c r="CT67" s="438">
        <x:f t="shared" si="169"/>
        <x:v>0</x:v>
      </x:c>
      <x:c r="CU67" s="439">
        <x:f t="shared" si="101"/>
        <x:v>0</x:v>
      </x:c>
      <x:c r="CV67" s="339" t="str">
        <x:f t="shared" si="102"/>
        <x:v/>
      </x:c>
      <x:c r="CW67" s="339" t="str">
        <x:f t="shared" si="103"/>
        <x:v/>
      </x:c>
      <x:c r="CX67" s="339" t="str">
        <x:f t="shared" si="104"/>
        <x:v/>
      </x:c>
      <x:c r="CY67" s="1109">
        <x:f t="shared" si="105"/>
        <x:v>0</x:v>
      </x:c>
      <x:c r="CZ67" s="1109">
        <x:f t="shared" si="106"/>
        <x:v>0</x:v>
      </x:c>
      <x:c r="DA67" s="1109" t="str">
        <x:f t="shared" si="107"/>
        <x:v/>
      </x:c>
      <x:c r="DB67" s="1125" t="str">
        <x:f t="shared" si="170"/>
        <x:v/>
      </x:c>
      <x:c r="DC67" s="1125" t="str">
        <x:f t="shared" si="108"/>
        <x:v/>
      </x:c>
      <x:c r="DD67" s="1110">
        <x:f t="shared" si="171"/>
        <x:v>0</x:v>
      </x:c>
      <x:c r="DE67" s="1108">
        <x:f t="shared" si="172"/>
        <x:v>0</x:v>
      </x:c>
      <x:c r="DF67" s="1109">
        <x:f t="shared" si="109"/>
        <x:v>0</x:v>
      </x:c>
      <x:c r="DG67" s="1109" t="str">
        <x:f t="shared" si="110"/>
        <x:v/>
      </x:c>
      <x:c r="DH67" s="1125" t="str">
        <x:f t="shared" si="173"/>
        <x:v/>
      </x:c>
      <x:c r="DI67" s="1125" t="str">
        <x:f t="shared" si="174"/>
        <x:v/>
      </x:c>
      <x:c r="DJ67" s="1110">
        <x:f t="shared" si="175"/>
        <x:v>0</x:v>
      </x:c>
      <x:c r="DK67" s="1108" t="str">
        <x:f t="shared" si="111"/>
        <x:v/>
      </x:c>
      <x:c r="DL67" s="1108" t="str">
        <x:f t="shared" si="112"/>
        <x:v/>
      </x:c>
      <x:c r="DM67" s="1108" t="str">
        <x:f t="shared" si="113"/>
        <x:v/>
      </x:c>
      <x:c r="DN67" s="1108" t="str">
        <x:f t="shared" si="114"/>
        <x:v/>
      </x:c>
      <x:c r="DO67" s="1125" t="str">
        <x:f t="shared" si="115"/>
        <x:v>ERR</x:v>
      </x:c>
      <x:c r="DP67" s="1125" t="str">
        <x:f t="shared" si="116"/>
        <x:v>ERR</x:v>
      </x:c>
      <x:c r="DQ67" s="1108" t="str">
        <x:f t="shared" si="117"/>
        <x:v/>
      </x:c>
      <x:c r="DR67" s="1108" t="str">
        <x:f t="shared" si="117"/>
        <x:v/>
      </x:c>
      <x:c r="DS67" s="1108" t="str">
        <x:f t="shared" si="118"/>
        <x:v/>
      </x:c>
      <x:c r="DT67" s="1108" t="str">
        <x:f t="shared" si="119"/>
        <x:v/>
      </x:c>
      <x:c r="DU67" s="1108" t="str">
        <x:f t="shared" si="120"/>
        <x:v/>
      </x:c>
      <x:c r="DV67" s="1125" t="str">
        <x:f t="shared" si="121"/>
        <x:v>ERR</x:v>
      </x:c>
      <x:c r="DW67" s="1125" t="str">
        <x:f t="shared" si="122"/>
        <x:v>ERR</x:v>
      </x:c>
      <x:c r="DX67" s="1108" t="str">
        <x:f t="shared" si="123"/>
        <x:v/>
      </x:c>
      <x:c r="DY67" s="1108" t="str">
        <x:f t="shared" si="123"/>
        <x:v/>
      </x:c>
      <x:c r="DZ67" s="1108" t="str">
        <x:f t="shared" si="124"/>
        <x:v/>
      </x:c>
      <x:c r="EA67" s="1108" t="str">
        <x:f t="shared" si="125"/>
        <x:v/>
      </x:c>
      <x:c r="EB67" s="1111" t="str">
        <x:f t="shared" si="126"/>
        <x:v/>
      </x:c>
      <x:c r="EC67" s="1112" t="str">
        <x:f t="shared" si="127"/>
        <x:v/>
      </x:c>
      <x:c r="ED67" s="1111" t="str">
        <x:f t="shared" si="128"/>
        <x:v/>
      </x:c>
      <x:c r="EE67" s="1111" t="str">
        <x:f t="shared" si="129"/>
        <x:v/>
      </x:c>
      <x:c r="EF67" s="1111" t="str">
        <x:f t="shared" si="130"/>
        <x:v/>
      </x:c>
      <x:c r="EG67" s="1111" t="str">
        <x:f t="shared" si="131"/>
        <x:v/>
      </x:c>
      <x:c r="EH67" s="1111" t="str">
        <x:f t="shared" si="132"/>
        <x:v/>
      </x:c>
      <x:c r="EI67" s="1111" t="str">
        <x:f t="shared" si="133"/>
        <x:v/>
      </x:c>
      <x:c r="EJ67" s="1111" t="str">
        <x:f t="shared" si="134"/>
        <x:v/>
      </x:c>
      <x:c r="EK67" s="1109">
        <x:f t="shared" si="135"/>
        <x:v>0</x:v>
      </x:c>
      <x:c r="EL67" s="1109">
        <x:f t="shared" si="136"/>
        <x:v>0</x:v>
      </x:c>
      <x:c r="EM67" s="1109">
        <x:f t="shared" si="137"/>
        <x:v>0</x:v>
      </x:c>
      <x:c r="EN67" s="1109" t="str">
        <x:f t="shared" si="138"/>
        <x:v/>
      </x:c>
      <x:c r="EO67" s="1108" t="str">
        <x:f t="shared" si="139"/>
        <x:v/>
      </x:c>
      <x:c r="EP67" s="1109">
        <x:f t="shared" si="140"/>
        <x:v>0</x:v>
      </x:c>
      <x:c r="EQ67" s="1109">
        <x:f t="shared" si="141"/>
        <x:v>0</x:v>
      </x:c>
      <x:c r="ER67" s="1109">
        <x:f t="shared" si="142"/>
        <x:v>0</x:v>
      </x:c>
      <x:c r="ES67" s="1109" t="str">
        <x:f t="shared" si="143"/>
        <x:v/>
      </x:c>
      <x:c r="ET67" s="1108" t="str">
        <x:f t="shared" si="144"/>
        <x:v/>
      </x:c>
      <x:c r="EU67" s="1108">
        <x:f t="shared" si="145"/>
        <x:v>0</x:v>
      </x:c>
      <x:c r="EV67" s="1111" t="e">
        <x:f t="shared" si="146"/>
        <x:v>#VALUE!</x:v>
      </x:c>
      <x:c r="EW67" s="1111" t="e">
        <x:f t="shared" si="147"/>
        <x:v>#VALUE!</x:v>
      </x:c>
      <x:c r="EX67" s="1113" t="str">
        <x:f t="shared" si="176"/>
        <x:v/>
      </x:c>
      <x:c r="EY67" s="1114">
        <x:f t="shared" si="148"/>
        <x:v>25</x:v>
      </x:c>
      <x:c r="EZ67" s="1219">
        <x:f t="shared" si="149"/>
        <x:v>0</x:v>
      </x:c>
      <x:c r="FA67" s="1220">
        <x:f t="shared" si="150"/>
        <x:v>0</x:v>
      </x:c>
      <x:c r="FB67" s="1115" t="str">
        <x:f t="shared" si="151"/>
        <x:v/>
      </x:c>
      <x:c r="FC67" s="1116" t="str">
        <x:f t="shared" si="152"/>
        <x:v/>
      </x:c>
      <x:c r="FD67" s="1126">
        <x:f t="shared" si="153"/>
        <x:v>0</x:v>
      </x:c>
      <x:c r="FE67" s="1066">
        <x:f t="shared" si="154"/>
        <x:v>0</x:v>
      </x:c>
      <x:c r="FF67" s="969" t="b">
        <x:f t="shared" si="155"/>
        <x:v>0</x:v>
      </x:c>
      <x:c r="FG67" s="969" t="b">
        <x:f t="shared" si="156"/>
        <x:v>0</x:v>
      </x:c>
      <x:c r="FH67" s="969" t="b">
        <x:f t="shared" si="157"/>
        <x:v>0</x:v>
      </x:c>
      <x:c r="FI67" s="969" t="b">
        <x:f t="shared" si="158"/>
        <x:v>0</x:v>
      </x:c>
      <x:c r="FJ67" s="1161" t="str">
        <x:f t="shared" si="177"/>
        <x:v/>
      </x:c>
      <x:c r="FK67" s="1160" t="str">
        <x:f t="shared" si="178"/>
        <x:v/>
      </x:c>
      <x:c r="FL67" s="388" t="e">
        <x:f t="shared" si="179"/>
        <x:v>#N/A</x:v>
      </x:c>
      <x:c r="FM67" s="380" t="str">
        <x:f t="shared" si="159"/>
        <x:v/>
      </x:c>
      <x:c r="FN67" s="337" t="str">
        <x:f t="shared" ca="1" si="180"/>
        <x:v/>
      </x:c>
      <x:c r="FO67" s="338" t="str">
        <x:f t="shared" ca="1" si="181"/>
        <x:v/>
      </x:c>
      <x:c r="FP67" s="339" t="str">
        <x:f t="shared" ca="1" si="182"/>
        <x:v/>
      </x:c>
      <x:c r="FQ67" s="339" t="str">
        <x:f t="shared" ca="1" si="183"/>
        <x:v/>
      </x:c>
      <x:c r="FR67" s="389">
        <x:f t="shared" ca="1" si="184"/>
        <x:v>0</x:v>
      </x:c>
      <x:c r="FS67" s="390">
        <x:f t="shared" ca="1" si="185"/>
        <x:v>0</x:v>
      </x:c>
      <x:c r="FT67" s="337" t="str">
        <x:f t="shared" ca="1" si="186"/>
        <x:v/>
      </x:c>
      <x:c r="FU67" s="340" t="str">
        <x:f t="shared" ca="1" si="187"/>
        <x:v/>
      </x:c>
      <x:c r="FV67" s="391" t="str">
        <x:f t="shared" ca="1" si="160"/>
        <x:v/>
      </x:c>
      <x:c r="FW67" s="341" t="str">
        <x:f t="shared" ca="1" si="188"/>
        <x:v/>
      </x:c>
      <x:c r="FX67" s="341" t="str">
        <x:f t="shared" ca="1" si="189"/>
        <x:v/>
      </x:c>
      <x:c r="FY67" s="341" t="str">
        <x:f t="shared" ca="1" si="190"/>
        <x:v/>
      </x:c>
      <x:c r="FZ67" s="341" t="str">
        <x:f t="shared" ca="1" si="191"/>
        <x:v/>
      </x:c>
      <x:c r="GA67" s="341" t="str">
        <x:f t="shared" ca="1" si="192"/>
        <x:v/>
      </x:c>
      <x:c r="GB67" s="342" t="str">
        <x:f ca="1">IF(FY67="","",2+SUM(FO67:OFFSET(FO67,(FU67-1)*-1,0)))</x:f>
        <x:v/>
      </x:c>
      <x:c r="GC67" s="384" t="e">
        <x:f t="shared" si="193"/>
        <x:v>#N/A</x:v>
      </x:c>
      <x:c r="GD67" s="392" t="str">
        <x:f t="shared" si="161"/>
        <x:v/>
      </x:c>
      <x:c r="GE67" s="393" t="str">
        <x:f t="shared" si="162"/>
        <x:v/>
      </x:c>
      <x:c r="GF67" s="343" t="str">
        <x:f t="shared" si="163"/>
        <x:v/>
      </x:c>
      <x:c r="GG67" s="344" t="str">
        <x:f t="shared" si="164"/>
        <x:v/>
      </x:c>
      <x:c r="GH67" s="344" t="str">
        <x:f t="shared" si="165"/>
        <x:v/>
      </x:c>
      <x:c r="GI67" s="345" t="str">
        <x:f t="shared" si="166"/>
        <x:v/>
      </x:c>
      <x:c r="GJ67" s="646">
        <x:f t="shared" ca="1" si="167"/>
        <x:v>0</x:v>
      </x:c>
      <x:c r="GK67" s="1131" t="str">
        <x:f t="shared" ca="1" si="194"/>
        <x:v/>
      </x:c>
    </x:row>
    <x:row r="68" spans="78:193" ht="12.6" hidden="1" customHeight="1" x14ac:dyDescent="0.2">
      <x:c r="BZ68" s="360"/>
      <x:c r="CA68" s="360"/>
      <x:c r="CB68" s="435" t="str">
        <x:f t="shared" si="100"/>
        <x:v/>
      </x:c>
      <x:c r="CC68" s="436" t="str">
        <x:f>IF(CG28="","",VLOOKUP(CG28,SectInfo!$B:$N,12,FALSE))</x:f>
        <x:v/>
      </x:c>
      <x:c r="CD68" s="1172" t="str">
        <x:f>IF(ISBLANK(CZ28),IF(CG28="","",VLOOKUP(CG28,SectInfo!$B:$N,13,FALSE)),CZ28)</x:f>
        <x:v/>
      </x:c>
      <x:c r="CE68" s="437" t="str">
        <x:f>IF(CG28="","",IF(VLOOKUP(CG28,SectInfo!$B:$N,5,FALSE)="","R",UPPER(VLOOKUP(CG28,SectInfo!$B:$N,5,FALSE))))</x:f>
        <x:v/>
      </x:c>
      <x:c r="CF68" s="1172" t="str">
        <x:f>IF(ISBLANK(DD28),IF(CG28="","",VLOOKUP(CG28,SectInfo!$B:$N,6,FALSE)),DD28)</x:f>
        <x:v/>
      </x:c>
      <x:c r="CG68" s="437" t="str">
        <x:f>IF(CG28="","",IF(VLOOKUP(CG28,SectInfo!$B:$N,10,FALSE)="","",(VLOOKUP(CG28,SectInfo!$B:$N,10,FALSE)*-1)))</x:f>
        <x:v/>
      </x:c>
      <x:c r="CH68" s="437" t="str">
        <x:f>IF(CG28="","",IF(VLOOKUP(CG28,SectInfo!$B:$N,7,FALSE)="","",(VLOOKUP(CG28,SectInfo!$B:$N,7,FALSE)*-1)))</x:f>
        <x:v/>
      </x:c>
      <x:c r="CI68" s="437" t="str">
        <x:f>IF(CG28="","",IF(VLOOKUP(CG28,SectInfo!$B:$N,8,FALSE)="",$FC$4,(VLOOKUP(CG28,SectInfo!$B:$N,8,FALSE))))</x:f>
        <x:v/>
      </x:c>
      <x:c r="CJ68" s="437" t="str">
        <x:f>IF(CG28="","",VLOOKUP(CG28,SectInfo!$B:$N,9,FALSE))</x:f>
        <x:v/>
      </x:c>
      <x:c r="CK68" s="438">
        <x:f t="shared" si="168"/>
        <x:v>0</x:v>
      </x:c>
      <x:c r="CL68" s="436" t="str">
        <x:f>IF(CN28="","",VLOOKUP(CN28,SectInfo!$B:$N,12,FALSE))</x:f>
        <x:v/>
      </x:c>
      <x:c r="CM68" s="1172" t="str">
        <x:f>IF(ISBLANK(DA28),IF(CN28="","",VLOOKUP(CN28,SectInfo!$B:$N,13,FALSE)),DA28)</x:f>
        <x:v/>
      </x:c>
      <x:c r="CN68" s="437" t="str">
        <x:f>IF(CN28="","",IF(VLOOKUP(CN28,SectInfo!$B:$N,5,FALSE)="","R",UPPER(VLOOKUP(CN28,SectInfo!$B:$N,5,FALSE))))</x:f>
        <x:v/>
      </x:c>
      <x:c r="CO68" s="1172" t="str">
        <x:f>IF(ISBLANK(DE28),IF(CN28="","",VLOOKUP(CN28,SectInfo!$B:$N,6,FALSE)),DE28)</x:f>
        <x:v/>
      </x:c>
      <x:c r="CP68" s="437" t="str">
        <x:f>IF(CN28="","",IF(VLOOKUP(CN28,SectInfo!$B:$N,10,FALSE)="","",(VLOOKUP(CN28,SectInfo!$B:$N,10,FALSE)*-1)))</x:f>
        <x:v/>
      </x:c>
      <x:c r="CQ68" s="437" t="str">
        <x:f>IF(CN28="","",IF(VLOOKUP(CN28,SectInfo!$B:$N,7,FALSE)="","",(VLOOKUP(CN28,SectInfo!$B:$N,7,FALSE)*-1)))</x:f>
        <x:v/>
      </x:c>
      <x:c r="CR68" s="437" t="str">
        <x:f>IF(CN28="","",IF(VLOOKUP(CN28,SectInfo!$B:$N,8,FALSE)="",$FC$4,(VLOOKUP(CN28,SectInfo!$B:$N,8,FALSE))))</x:f>
        <x:v/>
      </x:c>
      <x:c r="CS68" s="437" t="str">
        <x:f>IF(CN28="","",VLOOKUP(CN28,SectInfo!$B:$N,9,FALSE))</x:f>
        <x:v/>
      </x:c>
      <x:c r="CT68" s="438">
        <x:f t="shared" si="169"/>
        <x:v>0</x:v>
      </x:c>
      <x:c r="CU68" s="439">
        <x:f t="shared" si="101"/>
        <x:v>0</x:v>
      </x:c>
      <x:c r="CV68" s="339" t="str">
        <x:f t="shared" si="102"/>
        <x:v/>
      </x:c>
      <x:c r="CW68" s="339" t="str">
        <x:f t="shared" si="103"/>
        <x:v/>
      </x:c>
      <x:c r="CX68" s="339" t="str">
        <x:f t="shared" si="104"/>
        <x:v/>
      </x:c>
      <x:c r="CY68" s="1109">
        <x:f t="shared" si="105"/>
        <x:v>0</x:v>
      </x:c>
      <x:c r="CZ68" s="1109">
        <x:f t="shared" si="106"/>
        <x:v>0</x:v>
      </x:c>
      <x:c r="DA68" s="1109" t="str">
        <x:f t="shared" si="107"/>
        <x:v/>
      </x:c>
      <x:c r="DB68" s="1125" t="str">
        <x:f t="shared" si="170"/>
        <x:v/>
      </x:c>
      <x:c r="DC68" s="1125" t="str">
        <x:f t="shared" si="108"/>
        <x:v/>
      </x:c>
      <x:c r="DD68" s="1110">
        <x:f t="shared" si="171"/>
        <x:v>0</x:v>
      </x:c>
      <x:c r="DE68" s="1108">
        <x:f t="shared" si="172"/>
        <x:v>0</x:v>
      </x:c>
      <x:c r="DF68" s="1109">
        <x:f t="shared" si="109"/>
        <x:v>0</x:v>
      </x:c>
      <x:c r="DG68" s="1109" t="str">
        <x:f t="shared" si="110"/>
        <x:v/>
      </x:c>
      <x:c r="DH68" s="1125" t="str">
        <x:f t="shared" si="173"/>
        <x:v/>
      </x:c>
      <x:c r="DI68" s="1125" t="str">
        <x:f t="shared" si="174"/>
        <x:v/>
      </x:c>
      <x:c r="DJ68" s="1110">
        <x:f t="shared" si="175"/>
        <x:v>0</x:v>
      </x:c>
      <x:c r="DK68" s="1108" t="str">
        <x:f t="shared" si="111"/>
        <x:v/>
      </x:c>
      <x:c r="DL68" s="1108" t="str">
        <x:f t="shared" si="112"/>
        <x:v/>
      </x:c>
      <x:c r="DM68" s="1108" t="str">
        <x:f t="shared" si="113"/>
        <x:v/>
      </x:c>
      <x:c r="DN68" s="1108" t="str">
        <x:f t="shared" si="114"/>
        <x:v/>
      </x:c>
      <x:c r="DO68" s="1125" t="str">
        <x:f t="shared" si="115"/>
        <x:v>ERR</x:v>
      </x:c>
      <x:c r="DP68" s="1125" t="str">
        <x:f t="shared" si="116"/>
        <x:v>ERR</x:v>
      </x:c>
      <x:c r="DQ68" s="1108" t="str">
        <x:f t="shared" si="117"/>
        <x:v/>
      </x:c>
      <x:c r="DR68" s="1108" t="str">
        <x:f t="shared" si="117"/>
        <x:v/>
      </x:c>
      <x:c r="DS68" s="1108" t="str">
        <x:f t="shared" si="118"/>
        <x:v/>
      </x:c>
      <x:c r="DT68" s="1108" t="str">
        <x:f t="shared" si="119"/>
        <x:v/>
      </x:c>
      <x:c r="DU68" s="1108" t="str">
        <x:f t="shared" si="120"/>
        <x:v/>
      </x:c>
      <x:c r="DV68" s="1125" t="str">
        <x:f t="shared" si="121"/>
        <x:v>ERR</x:v>
      </x:c>
      <x:c r="DW68" s="1125" t="str">
        <x:f t="shared" si="122"/>
        <x:v>ERR</x:v>
      </x:c>
      <x:c r="DX68" s="1108" t="str">
        <x:f t="shared" si="123"/>
        <x:v/>
      </x:c>
      <x:c r="DY68" s="1108" t="str">
        <x:f t="shared" si="123"/>
        <x:v/>
      </x:c>
      <x:c r="DZ68" s="1108" t="str">
        <x:f t="shared" si="124"/>
        <x:v/>
      </x:c>
      <x:c r="EA68" s="1108" t="str">
        <x:f t="shared" si="125"/>
        <x:v/>
      </x:c>
      <x:c r="EB68" s="1111" t="str">
        <x:f t="shared" si="126"/>
        <x:v/>
      </x:c>
      <x:c r="EC68" s="1112" t="str">
        <x:f t="shared" si="127"/>
        <x:v/>
      </x:c>
      <x:c r="ED68" s="1111" t="str">
        <x:f t="shared" si="128"/>
        <x:v/>
      </x:c>
      <x:c r="EE68" s="1111" t="str">
        <x:f t="shared" si="129"/>
        <x:v/>
      </x:c>
      <x:c r="EF68" s="1111" t="str">
        <x:f t="shared" si="130"/>
        <x:v/>
      </x:c>
      <x:c r="EG68" s="1111" t="str">
        <x:f t="shared" si="131"/>
        <x:v/>
      </x:c>
      <x:c r="EH68" s="1111" t="str">
        <x:f t="shared" si="132"/>
        <x:v/>
      </x:c>
      <x:c r="EI68" s="1111" t="str">
        <x:f t="shared" si="133"/>
        <x:v/>
      </x:c>
      <x:c r="EJ68" s="1111" t="str">
        <x:f t="shared" si="134"/>
        <x:v/>
      </x:c>
      <x:c r="EK68" s="1109">
        <x:f t="shared" si="135"/>
        <x:v>0</x:v>
      </x:c>
      <x:c r="EL68" s="1109">
        <x:f t="shared" si="136"/>
        <x:v>0</x:v>
      </x:c>
      <x:c r="EM68" s="1109">
        <x:f t="shared" si="137"/>
        <x:v>0</x:v>
      </x:c>
      <x:c r="EN68" s="1109" t="str">
        <x:f t="shared" si="138"/>
        <x:v/>
      </x:c>
      <x:c r="EO68" s="1108" t="str">
        <x:f t="shared" si="139"/>
        <x:v/>
      </x:c>
      <x:c r="EP68" s="1109">
        <x:f t="shared" si="140"/>
        <x:v>0</x:v>
      </x:c>
      <x:c r="EQ68" s="1109">
        <x:f t="shared" si="141"/>
        <x:v>0</x:v>
      </x:c>
      <x:c r="ER68" s="1109">
        <x:f t="shared" si="142"/>
        <x:v>0</x:v>
      </x:c>
      <x:c r="ES68" s="1109" t="str">
        <x:f t="shared" si="143"/>
        <x:v/>
      </x:c>
      <x:c r="ET68" s="1108" t="str">
        <x:f t="shared" si="144"/>
        <x:v/>
      </x:c>
      <x:c r="EU68" s="1108">
        <x:f t="shared" si="145"/>
        <x:v>0</x:v>
      </x:c>
      <x:c r="EV68" s="1111" t="e">
        <x:f t="shared" si="146"/>
        <x:v>#VALUE!</x:v>
      </x:c>
      <x:c r="EW68" s="1111" t="e">
        <x:f t="shared" si="147"/>
        <x:v>#VALUE!</x:v>
      </x:c>
      <x:c r="EX68" s="1113" t="str">
        <x:f t="shared" si="176"/>
        <x:v/>
      </x:c>
      <x:c r="EY68" s="1114">
        <x:f t="shared" si="148"/>
        <x:v>25</x:v>
      </x:c>
      <x:c r="EZ68" s="1219">
        <x:f t="shared" si="149"/>
        <x:v>0</x:v>
      </x:c>
      <x:c r="FA68" s="1220">
        <x:f t="shared" si="150"/>
        <x:v>0</x:v>
      </x:c>
      <x:c r="FB68" s="1115" t="str">
        <x:f t="shared" si="151"/>
        <x:v/>
      </x:c>
      <x:c r="FC68" s="1116" t="str">
        <x:f t="shared" si="152"/>
        <x:v/>
      </x:c>
      <x:c r="FD68" s="1126">
        <x:f t="shared" si="153"/>
        <x:v>0</x:v>
      </x:c>
      <x:c r="FE68" s="1066">
        <x:f t="shared" si="154"/>
        <x:v>0</x:v>
      </x:c>
      <x:c r="FF68" s="969" t="b">
        <x:f t="shared" si="155"/>
        <x:v>0</x:v>
      </x:c>
      <x:c r="FG68" s="969" t="b">
        <x:f t="shared" si="156"/>
        <x:v>0</x:v>
      </x:c>
      <x:c r="FH68" s="969" t="b">
        <x:f t="shared" si="157"/>
        <x:v>0</x:v>
      </x:c>
      <x:c r="FI68" s="969" t="b">
        <x:f t="shared" si="158"/>
        <x:v>0</x:v>
      </x:c>
      <x:c r="FJ68" s="1161" t="str">
        <x:f t="shared" si="177"/>
        <x:v/>
      </x:c>
      <x:c r="FK68" s="1160" t="str">
        <x:f t="shared" si="178"/>
        <x:v/>
      </x:c>
      <x:c r="FL68" s="388" t="e">
        <x:f t="shared" si="179"/>
        <x:v>#N/A</x:v>
      </x:c>
      <x:c r="FM68" s="380" t="str">
        <x:f t="shared" si="159"/>
        <x:v/>
      </x:c>
      <x:c r="FN68" s="337" t="str">
        <x:f t="shared" ca="1" si="180"/>
        <x:v/>
      </x:c>
      <x:c r="FO68" s="338" t="str">
        <x:f t="shared" ca="1" si="181"/>
        <x:v/>
      </x:c>
      <x:c r="FP68" s="339" t="str">
        <x:f t="shared" ca="1" si="182"/>
        <x:v/>
      </x:c>
      <x:c r="FQ68" s="339" t="str">
        <x:f t="shared" ca="1" si="183"/>
        <x:v/>
      </x:c>
      <x:c r="FR68" s="389">
        <x:f t="shared" ca="1" si="184"/>
        <x:v>0</x:v>
      </x:c>
      <x:c r="FS68" s="390">
        <x:f t="shared" ca="1" si="185"/>
        <x:v>0</x:v>
      </x:c>
      <x:c r="FT68" s="337" t="str">
        <x:f t="shared" ca="1" si="186"/>
        <x:v/>
      </x:c>
      <x:c r="FU68" s="340" t="str">
        <x:f t="shared" ca="1" si="187"/>
        <x:v/>
      </x:c>
      <x:c r="FV68" s="391" t="str">
        <x:f t="shared" ca="1" si="160"/>
        <x:v/>
      </x:c>
      <x:c r="FW68" s="341" t="str">
        <x:f t="shared" ca="1" si="188"/>
        <x:v/>
      </x:c>
      <x:c r="FX68" s="341" t="str">
        <x:f t="shared" ca="1" si="189"/>
        <x:v/>
      </x:c>
      <x:c r="FY68" s="341" t="str">
        <x:f t="shared" ca="1" si="190"/>
        <x:v/>
      </x:c>
      <x:c r="FZ68" s="341" t="str">
        <x:f t="shared" ca="1" si="191"/>
        <x:v/>
      </x:c>
      <x:c r="GA68" s="341" t="str">
        <x:f t="shared" ca="1" si="192"/>
        <x:v/>
      </x:c>
      <x:c r="GB68" s="342" t="str">
        <x:f ca="1">IF(FY68="","",2+SUM(FO68:OFFSET(FO68,(FU68-1)*-1,0)))</x:f>
        <x:v/>
      </x:c>
      <x:c r="GC68" s="384" t="e">
        <x:f t="shared" si="193"/>
        <x:v>#N/A</x:v>
      </x:c>
      <x:c r="GD68" s="392" t="str">
        <x:f t="shared" si="161"/>
        <x:v/>
      </x:c>
      <x:c r="GE68" s="393" t="str">
        <x:f t="shared" si="162"/>
        <x:v/>
      </x:c>
      <x:c r="GF68" s="343" t="str">
        <x:f t="shared" si="163"/>
        <x:v/>
      </x:c>
      <x:c r="GG68" s="344" t="str">
        <x:f t="shared" si="164"/>
        <x:v/>
      </x:c>
      <x:c r="GH68" s="344" t="str">
        <x:f t="shared" si="165"/>
        <x:v/>
      </x:c>
      <x:c r="GI68" s="345" t="str">
        <x:f t="shared" si="166"/>
        <x:v/>
      </x:c>
      <x:c r="GJ68" s="646">
        <x:f t="shared" ca="1" si="167"/>
        <x:v>0</x:v>
      </x:c>
      <x:c r="GK68" s="1131" t="str">
        <x:f t="shared" ca="1" si="194"/>
        <x:v>A</x:v>
      </x:c>
    </x:row>
    <x:row r="69" spans="78:193" ht="12.6" hidden="1" customHeight="1" x14ac:dyDescent="0.2">
      <x:c r="BZ69" s="360"/>
      <x:c r="CA69" s="360"/>
      <x:c r="CB69" s="435" t="str">
        <x:f t="shared" si="100"/>
        <x:v/>
      </x:c>
      <x:c r="CC69" s="436" t="str">
        <x:f>IF(CG29="","",VLOOKUP(CG29,SectInfo!$B:$N,12,FALSE))</x:f>
        <x:v/>
      </x:c>
      <x:c r="CD69" s="1172" t="str">
        <x:f>IF(ISBLANK(CZ29),IF(CG29="","",VLOOKUP(CG29,SectInfo!$B:$N,13,FALSE)),CZ29)</x:f>
        <x:v/>
      </x:c>
      <x:c r="CE69" s="437" t="str">
        <x:f>IF(CG29="","",IF(VLOOKUP(CG29,SectInfo!$B:$N,5,FALSE)="","R",UPPER(VLOOKUP(CG29,SectInfo!$B:$N,5,FALSE))))</x:f>
        <x:v/>
      </x:c>
      <x:c r="CF69" s="1172" t="str">
        <x:f>IF(ISBLANK(DD29),IF(CG29="","",VLOOKUP(CG29,SectInfo!$B:$N,6,FALSE)),DD29)</x:f>
        <x:v/>
      </x:c>
      <x:c r="CG69" s="437" t="str">
        <x:f>IF(CG29="","",IF(VLOOKUP(CG29,SectInfo!$B:$N,10,FALSE)="","",(VLOOKUP(CG29,SectInfo!$B:$N,10,FALSE)*-1)))</x:f>
        <x:v/>
      </x:c>
      <x:c r="CH69" s="437" t="str">
        <x:f>IF(CG29="","",IF(VLOOKUP(CG29,SectInfo!$B:$N,7,FALSE)="","",(VLOOKUP(CG29,SectInfo!$B:$N,7,FALSE)*-1)))</x:f>
        <x:v/>
      </x:c>
      <x:c r="CI69" s="437" t="str">
        <x:f>IF(CG29="","",IF(VLOOKUP(CG29,SectInfo!$B:$N,8,FALSE)="",$FC$4,(VLOOKUP(CG29,SectInfo!$B:$N,8,FALSE))))</x:f>
        <x:v/>
      </x:c>
      <x:c r="CJ69" s="437" t="str">
        <x:f>IF(CG29="","",VLOOKUP(CG29,SectInfo!$B:$N,9,FALSE))</x:f>
        <x:v/>
      </x:c>
      <x:c r="CK69" s="438">
        <x:f t="shared" si="168"/>
        <x:v>0</x:v>
      </x:c>
      <x:c r="CL69" s="436" t="str">
        <x:f>IF(CN29="","",VLOOKUP(CN29,SectInfo!$B:$N,12,FALSE))</x:f>
        <x:v/>
      </x:c>
      <x:c r="CM69" s="1172" t="str">
        <x:f>IF(ISBLANK(DA29),IF(CN29="","",VLOOKUP(CN29,SectInfo!$B:$N,13,FALSE)),DA29)</x:f>
        <x:v/>
      </x:c>
      <x:c r="CN69" s="437" t="str">
        <x:f>IF(CN29="","",IF(VLOOKUP(CN29,SectInfo!$B:$N,5,FALSE)="","R",UPPER(VLOOKUP(CN29,SectInfo!$B:$N,5,FALSE))))</x:f>
        <x:v/>
      </x:c>
      <x:c r="CO69" s="1172" t="str">
        <x:f>IF(ISBLANK(DE29),IF(CN29="","",VLOOKUP(CN29,SectInfo!$B:$N,6,FALSE)),DE29)</x:f>
        <x:v/>
      </x:c>
      <x:c r="CP69" s="437" t="str">
        <x:f>IF(CN29="","",IF(VLOOKUP(CN29,SectInfo!$B:$N,10,FALSE)="","",(VLOOKUP(CN29,SectInfo!$B:$N,10,FALSE)*-1)))</x:f>
        <x:v/>
      </x:c>
      <x:c r="CQ69" s="437" t="str">
        <x:f>IF(CN29="","",IF(VLOOKUP(CN29,SectInfo!$B:$N,7,FALSE)="","",(VLOOKUP(CN29,SectInfo!$B:$N,7,FALSE)*-1)))</x:f>
        <x:v/>
      </x:c>
      <x:c r="CR69" s="437" t="str">
        <x:f>IF(CN29="","",IF(VLOOKUP(CN29,SectInfo!$B:$N,8,FALSE)="",$FC$4,(VLOOKUP(CN29,SectInfo!$B:$N,8,FALSE))))</x:f>
        <x:v/>
      </x:c>
      <x:c r="CS69" s="437" t="str">
        <x:f>IF(CN29="","",VLOOKUP(CN29,SectInfo!$B:$N,9,FALSE))</x:f>
        <x:v/>
      </x:c>
      <x:c r="CT69" s="438">
        <x:f t="shared" si="169"/>
        <x:v>0</x:v>
      </x:c>
      <x:c r="CU69" s="439">
        <x:f t="shared" si="101"/>
        <x:v>0</x:v>
      </x:c>
      <x:c r="CV69" s="339" t="str">
        <x:f t="shared" si="102"/>
        <x:v/>
      </x:c>
      <x:c r="CW69" s="339" t="str">
        <x:f t="shared" si="103"/>
        <x:v/>
      </x:c>
      <x:c r="CX69" s="339" t="str">
        <x:f t="shared" si="104"/>
        <x:v/>
      </x:c>
      <x:c r="CY69" s="1109">
        <x:f t="shared" si="105"/>
        <x:v>0</x:v>
      </x:c>
      <x:c r="CZ69" s="1109">
        <x:f t="shared" si="106"/>
        <x:v>0</x:v>
      </x:c>
      <x:c r="DA69" s="1109" t="str">
        <x:f t="shared" si="107"/>
        <x:v/>
      </x:c>
      <x:c r="DB69" s="1125" t="str">
        <x:f t="shared" si="170"/>
        <x:v/>
      </x:c>
      <x:c r="DC69" s="1125" t="str">
        <x:f t="shared" si="108"/>
        <x:v/>
      </x:c>
      <x:c r="DD69" s="1110">
        <x:f t="shared" si="171"/>
        <x:v>0</x:v>
      </x:c>
      <x:c r="DE69" s="1108">
        <x:f t="shared" si="172"/>
        <x:v>0</x:v>
      </x:c>
      <x:c r="DF69" s="1109">
        <x:f t="shared" si="109"/>
        <x:v>0</x:v>
      </x:c>
      <x:c r="DG69" s="1109" t="str">
        <x:f t="shared" si="110"/>
        <x:v/>
      </x:c>
      <x:c r="DH69" s="1125" t="str">
        <x:f t="shared" si="173"/>
        <x:v/>
      </x:c>
      <x:c r="DI69" s="1125" t="str">
        <x:f t="shared" si="174"/>
        <x:v/>
      </x:c>
      <x:c r="DJ69" s="1110">
        <x:f t="shared" si="175"/>
        <x:v>0</x:v>
      </x:c>
      <x:c r="DK69" s="1108" t="str">
        <x:f t="shared" si="111"/>
        <x:v/>
      </x:c>
      <x:c r="DL69" s="1108" t="str">
        <x:f t="shared" si="112"/>
        <x:v/>
      </x:c>
      <x:c r="DM69" s="1108" t="str">
        <x:f t="shared" si="113"/>
        <x:v/>
      </x:c>
      <x:c r="DN69" s="1108" t="str">
        <x:f t="shared" si="114"/>
        <x:v/>
      </x:c>
      <x:c r="DO69" s="1125" t="str">
        <x:f t="shared" si="115"/>
        <x:v>ERR</x:v>
      </x:c>
      <x:c r="DP69" s="1125" t="str">
        <x:f t="shared" si="116"/>
        <x:v>ERR</x:v>
      </x:c>
      <x:c r="DQ69" s="1108" t="str">
        <x:f t="shared" si="117"/>
        <x:v/>
      </x:c>
      <x:c r="DR69" s="1108" t="str">
        <x:f t="shared" si="117"/>
        <x:v/>
      </x:c>
      <x:c r="DS69" s="1108" t="str">
        <x:f t="shared" si="118"/>
        <x:v/>
      </x:c>
      <x:c r="DT69" s="1108" t="str">
        <x:f t="shared" si="119"/>
        <x:v/>
      </x:c>
      <x:c r="DU69" s="1108" t="str">
        <x:f t="shared" si="120"/>
        <x:v/>
      </x:c>
      <x:c r="DV69" s="1125" t="str">
        <x:f t="shared" si="121"/>
        <x:v>ERR</x:v>
      </x:c>
      <x:c r="DW69" s="1125" t="str">
        <x:f t="shared" si="122"/>
        <x:v>ERR</x:v>
      </x:c>
      <x:c r="DX69" s="1108" t="str">
        <x:f t="shared" si="123"/>
        <x:v/>
      </x:c>
      <x:c r="DY69" s="1108" t="str">
        <x:f t="shared" si="123"/>
        <x:v/>
      </x:c>
      <x:c r="DZ69" s="1108" t="str">
        <x:f t="shared" si="124"/>
        <x:v/>
      </x:c>
      <x:c r="EA69" s="1108" t="str">
        <x:f t="shared" si="125"/>
        <x:v/>
      </x:c>
      <x:c r="EB69" s="1111" t="str">
        <x:f t="shared" si="126"/>
        <x:v/>
      </x:c>
      <x:c r="EC69" s="1112" t="str">
        <x:f t="shared" si="127"/>
        <x:v/>
      </x:c>
      <x:c r="ED69" s="1111" t="str">
        <x:f t="shared" si="128"/>
        <x:v/>
      </x:c>
      <x:c r="EE69" s="1111" t="str">
        <x:f t="shared" si="129"/>
        <x:v/>
      </x:c>
      <x:c r="EF69" s="1111" t="str">
        <x:f t="shared" si="130"/>
        <x:v/>
      </x:c>
      <x:c r="EG69" s="1111" t="str">
        <x:f t="shared" si="131"/>
        <x:v/>
      </x:c>
      <x:c r="EH69" s="1111" t="str">
        <x:f t="shared" si="132"/>
        <x:v/>
      </x:c>
      <x:c r="EI69" s="1111" t="str">
        <x:f t="shared" si="133"/>
        <x:v/>
      </x:c>
      <x:c r="EJ69" s="1111" t="str">
        <x:f t="shared" si="134"/>
        <x:v/>
      </x:c>
      <x:c r="EK69" s="1109">
        <x:f t="shared" si="135"/>
        <x:v>0</x:v>
      </x:c>
      <x:c r="EL69" s="1109">
        <x:f t="shared" si="136"/>
        <x:v>0</x:v>
      </x:c>
      <x:c r="EM69" s="1109">
        <x:f t="shared" si="137"/>
        <x:v>0</x:v>
      </x:c>
      <x:c r="EN69" s="1109" t="str">
        <x:f t="shared" si="138"/>
        <x:v/>
      </x:c>
      <x:c r="EO69" s="1108" t="str">
        <x:f t="shared" si="139"/>
        <x:v/>
      </x:c>
      <x:c r="EP69" s="1109">
        <x:f t="shared" si="140"/>
        <x:v>0</x:v>
      </x:c>
      <x:c r="EQ69" s="1109">
        <x:f t="shared" si="141"/>
        <x:v>0</x:v>
      </x:c>
      <x:c r="ER69" s="1109">
        <x:f t="shared" si="142"/>
        <x:v>0</x:v>
      </x:c>
      <x:c r="ES69" s="1109" t="str">
        <x:f t="shared" si="143"/>
        <x:v/>
      </x:c>
      <x:c r="ET69" s="1108" t="str">
        <x:f t="shared" si="144"/>
        <x:v/>
      </x:c>
      <x:c r="EU69" s="1108">
        <x:f t="shared" si="145"/>
        <x:v>0</x:v>
      </x:c>
      <x:c r="EV69" s="1111" t="e">
        <x:f t="shared" si="146"/>
        <x:v>#VALUE!</x:v>
      </x:c>
      <x:c r="EW69" s="1111" t="e">
        <x:f t="shared" si="147"/>
        <x:v>#VALUE!</x:v>
      </x:c>
      <x:c r="EX69" s="1113" t="str">
        <x:f t="shared" si="176"/>
        <x:v/>
      </x:c>
      <x:c r="EY69" s="1114">
        <x:f t="shared" si="148"/>
        <x:v>25</x:v>
      </x:c>
      <x:c r="EZ69" s="1219">
        <x:f t="shared" si="149"/>
        <x:v>0</x:v>
      </x:c>
      <x:c r="FA69" s="1220">
        <x:f t="shared" si="150"/>
        <x:v>0</x:v>
      </x:c>
      <x:c r="FB69" s="1115" t="str">
        <x:f t="shared" si="151"/>
        <x:v/>
      </x:c>
      <x:c r="FC69" s="1116" t="str">
        <x:f t="shared" si="152"/>
        <x:v/>
      </x:c>
      <x:c r="FD69" s="1126">
        <x:f t="shared" si="153"/>
        <x:v>0</x:v>
      </x:c>
      <x:c r="FE69" s="1066">
        <x:f t="shared" si="154"/>
        <x:v>0</x:v>
      </x:c>
      <x:c r="FF69" s="969" t="b">
        <x:f t="shared" si="155"/>
        <x:v>0</x:v>
      </x:c>
      <x:c r="FG69" s="969" t="b">
        <x:f t="shared" si="156"/>
        <x:v>0</x:v>
      </x:c>
      <x:c r="FH69" s="969" t="b">
        <x:f t="shared" si="157"/>
        <x:v>0</x:v>
      </x:c>
      <x:c r="FI69" s="969" t="b">
        <x:f t="shared" si="158"/>
        <x:v>0</x:v>
      </x:c>
      <x:c r="FJ69" s="1161" t="str">
        <x:f t="shared" si="177"/>
        <x:v/>
      </x:c>
      <x:c r="FK69" s="1160" t="str">
        <x:f t="shared" si="178"/>
        <x:v/>
      </x:c>
      <x:c r="FL69" s="388" t="e">
        <x:f t="shared" si="179"/>
        <x:v>#N/A</x:v>
      </x:c>
      <x:c r="FM69" s="380" t="str">
        <x:f t="shared" si="159"/>
        <x:v/>
      </x:c>
      <x:c r="FN69" s="337" t="str">
        <x:f t="shared" ca="1" si="180"/>
        <x:v/>
      </x:c>
      <x:c r="FO69" s="338" t="str">
        <x:f t="shared" ca="1" si="181"/>
        <x:v/>
      </x:c>
      <x:c r="FP69" s="339" t="str">
        <x:f t="shared" ca="1" si="182"/>
        <x:v/>
      </x:c>
      <x:c r="FQ69" s="339" t="str">
        <x:f t="shared" ca="1" si="183"/>
        <x:v/>
      </x:c>
      <x:c r="FR69" s="389">
        <x:f t="shared" ca="1" si="184"/>
        <x:v>0</x:v>
      </x:c>
      <x:c r="FS69" s="390">
        <x:f t="shared" ca="1" si="185"/>
        <x:v>0</x:v>
      </x:c>
      <x:c r="FT69" s="337" t="str">
        <x:f t="shared" ca="1" si="186"/>
        <x:v/>
      </x:c>
      <x:c r="FU69" s="340" t="str">
        <x:f t="shared" ca="1" si="187"/>
        <x:v/>
      </x:c>
      <x:c r="FV69" s="391" t="str">
        <x:f t="shared" ca="1" si="160"/>
        <x:v/>
      </x:c>
      <x:c r="FW69" s="341" t="str">
        <x:f t="shared" ca="1" si="188"/>
        <x:v/>
      </x:c>
      <x:c r="FX69" s="341" t="str">
        <x:f t="shared" ca="1" si="189"/>
        <x:v/>
      </x:c>
      <x:c r="FY69" s="341" t="str">
        <x:f t="shared" ca="1" si="190"/>
        <x:v/>
      </x:c>
      <x:c r="FZ69" s="341" t="str">
        <x:f t="shared" ca="1" si="191"/>
        <x:v/>
      </x:c>
      <x:c r="GA69" s="341" t="str">
        <x:f t="shared" ca="1" si="192"/>
        <x:v/>
      </x:c>
      <x:c r="GB69" s="342" t="str">
        <x:f ca="1">IF(FY69="","",2+SUM(FO69:OFFSET(FO69,(FU69-1)*-1,0)))</x:f>
        <x:v/>
      </x:c>
      <x:c r="GC69" s="384" t="e">
        <x:f t="shared" si="193"/>
        <x:v>#N/A</x:v>
      </x:c>
      <x:c r="GD69" s="392" t="str">
        <x:f t="shared" si="161"/>
        <x:v/>
      </x:c>
      <x:c r="GE69" s="393" t="str">
        <x:f t="shared" si="162"/>
        <x:v/>
      </x:c>
      <x:c r="GF69" s="343" t="str">
        <x:f t="shared" si="163"/>
        <x:v/>
      </x:c>
      <x:c r="GG69" s="344" t="str">
        <x:f t="shared" si="164"/>
        <x:v/>
      </x:c>
      <x:c r="GH69" s="344" t="str">
        <x:f t="shared" si="165"/>
        <x:v/>
      </x:c>
      <x:c r="GI69" s="345" t="str">
        <x:f t="shared" si="166"/>
        <x:v/>
      </x:c>
      <x:c r="GJ69" s="646">
        <x:f t="shared" ca="1" si="167"/>
        <x:v>0</x:v>
      </x:c>
      <x:c r="GK69" s="1131" t="str">
        <x:f t="shared" ca="1" si="194"/>
        <x:v>A</x:v>
      </x:c>
    </x:row>
    <x:row r="70" spans="78:193" ht="12.6" hidden="1" customHeight="1" x14ac:dyDescent="0.2">
      <x:c r="BZ70" s="360"/>
      <x:c r="CA70" s="360"/>
      <x:c r="CB70" s="435" t="str">
        <x:f t="shared" si="100"/>
        <x:v/>
      </x:c>
      <x:c r="CC70" s="436" t="str">
        <x:f>IF(CG30="","",VLOOKUP(CG30,SectInfo!$B:$N,12,FALSE))</x:f>
        <x:v/>
      </x:c>
      <x:c r="CD70" s="1172" t="str">
        <x:f>IF(ISBLANK(CZ30),IF(CG30="","",VLOOKUP(CG30,SectInfo!$B:$N,13,FALSE)),CZ30)</x:f>
        <x:v/>
      </x:c>
      <x:c r="CE70" s="437" t="str">
        <x:f>IF(CG30="","",IF(VLOOKUP(CG30,SectInfo!$B:$N,5,FALSE)="","R",UPPER(VLOOKUP(CG30,SectInfo!$B:$N,5,FALSE))))</x:f>
        <x:v/>
      </x:c>
      <x:c r="CF70" s="1172" t="str">
        <x:f>IF(ISBLANK(DD30),IF(CG30="","",VLOOKUP(CG30,SectInfo!$B:$N,6,FALSE)),DD30)</x:f>
        <x:v/>
      </x:c>
      <x:c r="CG70" s="437" t="str">
        <x:f>IF(CG30="","",IF(VLOOKUP(CG30,SectInfo!$B:$N,10,FALSE)="","",(VLOOKUP(CG30,SectInfo!$B:$N,10,FALSE)*-1)))</x:f>
        <x:v/>
      </x:c>
      <x:c r="CH70" s="437" t="str">
        <x:f>IF(CG30="","",IF(VLOOKUP(CG30,SectInfo!$B:$N,7,FALSE)="","",(VLOOKUP(CG30,SectInfo!$B:$N,7,FALSE)*-1)))</x:f>
        <x:v/>
      </x:c>
      <x:c r="CI70" s="437" t="str">
        <x:f>IF(CG30="","",IF(VLOOKUP(CG30,SectInfo!$B:$N,8,FALSE)="",$FC$4,(VLOOKUP(CG30,SectInfo!$B:$N,8,FALSE))))</x:f>
        <x:v/>
      </x:c>
      <x:c r="CJ70" s="437" t="str">
        <x:f>IF(CG30="","",VLOOKUP(CG30,SectInfo!$B:$N,9,FALSE))</x:f>
        <x:v/>
      </x:c>
      <x:c r="CK70" s="438">
        <x:f t="shared" si="168"/>
        <x:v>0</x:v>
      </x:c>
      <x:c r="CL70" s="436" t="str">
        <x:f>IF(CN30="","",VLOOKUP(CN30,SectInfo!$B:$N,12,FALSE))</x:f>
        <x:v/>
      </x:c>
      <x:c r="CM70" s="1172" t="str">
        <x:f>IF(ISBLANK(DA30),IF(CN30="","",VLOOKUP(CN30,SectInfo!$B:$N,13,FALSE)),DA30)</x:f>
        <x:v/>
      </x:c>
      <x:c r="CN70" s="437" t="str">
        <x:f>IF(CN30="","",IF(VLOOKUP(CN30,SectInfo!$B:$N,5,FALSE)="","R",UPPER(VLOOKUP(CN30,SectInfo!$B:$N,5,FALSE))))</x:f>
        <x:v/>
      </x:c>
      <x:c r="CO70" s="1172" t="str">
        <x:f>IF(ISBLANK(DE30),IF(CN30="","",VLOOKUP(CN30,SectInfo!$B:$N,6,FALSE)),DE30)</x:f>
        <x:v/>
      </x:c>
      <x:c r="CP70" s="437" t="str">
        <x:f>IF(CN30="","",IF(VLOOKUP(CN30,SectInfo!$B:$N,10,FALSE)="","",(VLOOKUP(CN30,SectInfo!$B:$N,10,FALSE)*-1)))</x:f>
        <x:v/>
      </x:c>
      <x:c r="CQ70" s="437" t="str">
        <x:f>IF(CN30="","",IF(VLOOKUP(CN30,SectInfo!$B:$N,7,FALSE)="","",(VLOOKUP(CN30,SectInfo!$B:$N,7,FALSE)*-1)))</x:f>
        <x:v/>
      </x:c>
      <x:c r="CR70" s="437" t="str">
        <x:f>IF(CN30="","",IF(VLOOKUP(CN30,SectInfo!$B:$N,8,FALSE)="",$FC$4,(VLOOKUP(CN30,SectInfo!$B:$N,8,FALSE))))</x:f>
        <x:v/>
      </x:c>
      <x:c r="CS70" s="437" t="str">
        <x:f>IF(CN30="","",VLOOKUP(CN30,SectInfo!$B:$N,9,FALSE))</x:f>
        <x:v/>
      </x:c>
      <x:c r="CT70" s="438">
        <x:f t="shared" si="169"/>
        <x:v>0</x:v>
      </x:c>
      <x:c r="CU70" s="439">
        <x:f t="shared" si="101"/>
        <x:v>0</x:v>
      </x:c>
      <x:c r="CV70" s="339" t="str">
        <x:f t="shared" si="102"/>
        <x:v/>
      </x:c>
      <x:c r="CW70" s="339" t="str">
        <x:f t="shared" si="103"/>
        <x:v/>
      </x:c>
      <x:c r="CX70" s="339" t="str">
        <x:f t="shared" si="104"/>
        <x:v/>
      </x:c>
      <x:c r="CY70" s="1109">
        <x:f t="shared" si="105"/>
        <x:v>0</x:v>
      </x:c>
      <x:c r="CZ70" s="1109">
        <x:f t="shared" si="106"/>
        <x:v>0</x:v>
      </x:c>
      <x:c r="DA70" s="1109" t="str">
        <x:f t="shared" si="107"/>
        <x:v/>
      </x:c>
      <x:c r="DB70" s="1125" t="str">
        <x:f t="shared" si="170"/>
        <x:v/>
      </x:c>
      <x:c r="DC70" s="1125" t="str">
        <x:f t="shared" si="108"/>
        <x:v/>
      </x:c>
      <x:c r="DD70" s="1110">
        <x:f t="shared" si="171"/>
        <x:v>0</x:v>
      </x:c>
      <x:c r="DE70" s="1108">
        <x:f t="shared" si="172"/>
        <x:v>0</x:v>
      </x:c>
      <x:c r="DF70" s="1109">
        <x:f t="shared" si="109"/>
        <x:v>0</x:v>
      </x:c>
      <x:c r="DG70" s="1109" t="str">
        <x:f t="shared" si="110"/>
        <x:v/>
      </x:c>
      <x:c r="DH70" s="1125" t="str">
        <x:f t="shared" si="173"/>
        <x:v/>
      </x:c>
      <x:c r="DI70" s="1125" t="str">
        <x:f t="shared" si="174"/>
        <x:v/>
      </x:c>
      <x:c r="DJ70" s="1110">
        <x:f t="shared" si="175"/>
        <x:v>0</x:v>
      </x:c>
      <x:c r="DK70" s="1108" t="str">
        <x:f t="shared" si="111"/>
        <x:v/>
      </x:c>
      <x:c r="DL70" s="1108" t="str">
        <x:f t="shared" si="112"/>
        <x:v/>
      </x:c>
      <x:c r="DM70" s="1108" t="str">
        <x:f t="shared" si="113"/>
        <x:v/>
      </x:c>
      <x:c r="DN70" s="1108" t="str">
        <x:f t="shared" si="114"/>
        <x:v/>
      </x:c>
      <x:c r="DO70" s="1125" t="str">
        <x:f t="shared" si="115"/>
        <x:v>ERR</x:v>
      </x:c>
      <x:c r="DP70" s="1125" t="str">
        <x:f t="shared" si="116"/>
        <x:v>ERR</x:v>
      </x:c>
      <x:c r="DQ70" s="1108" t="str">
        <x:f t="shared" si="117"/>
        <x:v/>
      </x:c>
      <x:c r="DR70" s="1108" t="str">
        <x:f t="shared" si="117"/>
        <x:v/>
      </x:c>
      <x:c r="DS70" s="1108" t="str">
        <x:f t="shared" si="118"/>
        <x:v/>
      </x:c>
      <x:c r="DT70" s="1108" t="str">
        <x:f t="shared" si="119"/>
        <x:v/>
      </x:c>
      <x:c r="DU70" s="1108" t="str">
        <x:f t="shared" si="120"/>
        <x:v/>
      </x:c>
      <x:c r="DV70" s="1125" t="str">
        <x:f t="shared" si="121"/>
        <x:v>ERR</x:v>
      </x:c>
      <x:c r="DW70" s="1125" t="str">
        <x:f t="shared" si="122"/>
        <x:v>ERR</x:v>
      </x:c>
      <x:c r="DX70" s="1108" t="str">
        <x:f t="shared" si="123"/>
        <x:v/>
      </x:c>
      <x:c r="DY70" s="1108" t="str">
        <x:f t="shared" si="123"/>
        <x:v/>
      </x:c>
      <x:c r="DZ70" s="1108" t="str">
        <x:f t="shared" si="124"/>
        <x:v/>
      </x:c>
      <x:c r="EA70" s="1108" t="str">
        <x:f t="shared" si="125"/>
        <x:v/>
      </x:c>
      <x:c r="EB70" s="1111" t="str">
        <x:f t="shared" si="126"/>
        <x:v/>
      </x:c>
      <x:c r="EC70" s="1112" t="str">
        <x:f t="shared" si="127"/>
        <x:v/>
      </x:c>
      <x:c r="ED70" s="1111" t="str">
        <x:f t="shared" si="128"/>
        <x:v/>
      </x:c>
      <x:c r="EE70" s="1111" t="str">
        <x:f t="shared" si="129"/>
        <x:v/>
      </x:c>
      <x:c r="EF70" s="1111" t="str">
        <x:f t="shared" si="130"/>
        <x:v/>
      </x:c>
      <x:c r="EG70" s="1111" t="str">
        <x:f t="shared" si="131"/>
        <x:v/>
      </x:c>
      <x:c r="EH70" s="1111" t="str">
        <x:f t="shared" si="132"/>
        <x:v/>
      </x:c>
      <x:c r="EI70" s="1111" t="str">
        <x:f t="shared" si="133"/>
        <x:v/>
      </x:c>
      <x:c r="EJ70" s="1111" t="str">
        <x:f t="shared" si="134"/>
        <x:v/>
      </x:c>
      <x:c r="EK70" s="1109">
        <x:f t="shared" si="135"/>
        <x:v>0</x:v>
      </x:c>
      <x:c r="EL70" s="1109">
        <x:f t="shared" si="136"/>
        <x:v>0</x:v>
      </x:c>
      <x:c r="EM70" s="1109">
        <x:f t="shared" si="137"/>
        <x:v>0</x:v>
      </x:c>
      <x:c r="EN70" s="1109" t="str">
        <x:f t="shared" si="138"/>
        <x:v/>
      </x:c>
      <x:c r="EO70" s="1108" t="str">
        <x:f t="shared" si="139"/>
        <x:v/>
      </x:c>
      <x:c r="EP70" s="1109">
        <x:f t="shared" si="140"/>
        <x:v>0</x:v>
      </x:c>
      <x:c r="EQ70" s="1109">
        <x:f t="shared" si="141"/>
        <x:v>0</x:v>
      </x:c>
      <x:c r="ER70" s="1109">
        <x:f t="shared" si="142"/>
        <x:v>0</x:v>
      </x:c>
      <x:c r="ES70" s="1109" t="str">
        <x:f t="shared" si="143"/>
        <x:v/>
      </x:c>
      <x:c r="ET70" s="1108" t="str">
        <x:f t="shared" si="144"/>
        <x:v/>
      </x:c>
      <x:c r="EU70" s="1108">
        <x:f t="shared" si="145"/>
        <x:v>0</x:v>
      </x:c>
      <x:c r="EV70" s="1111" t="e">
        <x:f t="shared" si="146"/>
        <x:v>#VALUE!</x:v>
      </x:c>
      <x:c r="EW70" s="1111" t="e">
        <x:f t="shared" si="147"/>
        <x:v>#VALUE!</x:v>
      </x:c>
      <x:c r="EX70" s="1113" t="str">
        <x:f t="shared" si="176"/>
        <x:v/>
      </x:c>
      <x:c r="EY70" s="1114">
        <x:f t="shared" si="148"/>
        <x:v>25</x:v>
      </x:c>
      <x:c r="EZ70" s="1219">
        <x:f t="shared" si="149"/>
        <x:v>0</x:v>
      </x:c>
      <x:c r="FA70" s="1220">
        <x:f t="shared" si="150"/>
        <x:v>0</x:v>
      </x:c>
      <x:c r="FB70" s="1115" t="str">
        <x:f t="shared" si="151"/>
        <x:v/>
      </x:c>
      <x:c r="FC70" s="1116" t="str">
        <x:f t="shared" si="152"/>
        <x:v/>
      </x:c>
      <x:c r="FD70" s="1126">
        <x:f t="shared" si="153"/>
        <x:v>0</x:v>
      </x:c>
      <x:c r="FE70" s="1066">
        <x:f t="shared" si="154"/>
        <x:v>0</x:v>
      </x:c>
      <x:c r="FF70" s="970" t="b">
        <x:f t="shared" si="155"/>
        <x:v>0</x:v>
      </x:c>
      <x:c r="FG70" s="970" t="b">
        <x:f t="shared" si="156"/>
        <x:v>0</x:v>
      </x:c>
      <x:c r="FH70" s="970" t="b">
        <x:f t="shared" si="157"/>
        <x:v>0</x:v>
      </x:c>
      <x:c r="FI70" s="970" t="b">
        <x:f t="shared" si="158"/>
        <x:v>0</x:v>
      </x:c>
      <x:c r="FJ70" s="1161" t="str">
        <x:f t="shared" si="177"/>
        <x:v/>
      </x:c>
      <x:c r="FK70" s="1160" t="str">
        <x:f t="shared" si="178"/>
        <x:v/>
      </x:c>
      <x:c r="FL70" s="388" t="e">
        <x:f t="shared" si="179"/>
        <x:v>#N/A</x:v>
      </x:c>
      <x:c r="FM70" s="380" t="str">
        <x:f t="shared" si="159"/>
        <x:v/>
      </x:c>
      <x:c r="FN70" s="337" t="str">
        <x:f t="shared" ca="1" si="180"/>
        <x:v/>
      </x:c>
      <x:c r="FO70" s="338" t="str">
        <x:f t="shared" ca="1" si="181"/>
        <x:v/>
      </x:c>
      <x:c r="FP70" s="339" t="str">
        <x:f t="shared" ca="1" si="182"/>
        <x:v/>
      </x:c>
      <x:c r="FQ70" s="339" t="str">
        <x:f t="shared" ca="1" si="183"/>
        <x:v/>
      </x:c>
      <x:c r="FR70" s="389">
        <x:f t="shared" ca="1" si="184"/>
        <x:v>0</x:v>
      </x:c>
      <x:c r="FS70" s="390">
        <x:f t="shared" ca="1" si="185"/>
        <x:v>0</x:v>
      </x:c>
      <x:c r="FT70" s="337" t="str">
        <x:f t="shared" ca="1" si="186"/>
        <x:v/>
      </x:c>
      <x:c r="FU70" s="340" t="str">
        <x:f t="shared" ca="1" si="187"/>
        <x:v/>
      </x:c>
      <x:c r="FV70" s="391" t="str">
        <x:f t="shared" ca="1" si="160"/>
        <x:v/>
      </x:c>
      <x:c r="FW70" s="341" t="str">
        <x:f t="shared" ca="1" si="188"/>
        <x:v/>
      </x:c>
      <x:c r="FX70" s="341" t="str">
        <x:f t="shared" ca="1" si="189"/>
        <x:v/>
      </x:c>
      <x:c r="FY70" s="341" t="str">
        <x:f t="shared" ca="1" si="190"/>
        <x:v/>
      </x:c>
      <x:c r="FZ70" s="341" t="str">
        <x:f t="shared" ca="1" si="191"/>
        <x:v/>
      </x:c>
      <x:c r="GA70" s="341" t="str">
        <x:f t="shared" ca="1" si="192"/>
        <x:v/>
      </x:c>
      <x:c r="GB70" s="342" t="str">
        <x:f ca="1">IF(FY70="","",2+SUM(FO70:OFFSET(FO70,(FU70-1)*-1,0)))</x:f>
        <x:v/>
      </x:c>
      <x:c r="GC70" s="384" t="e">
        <x:f t="shared" si="193"/>
        <x:v>#N/A</x:v>
      </x:c>
      <x:c r="GD70" s="392" t="str">
        <x:f t="shared" si="161"/>
        <x:v/>
      </x:c>
      <x:c r="GE70" s="393" t="str">
        <x:f t="shared" si="162"/>
        <x:v/>
      </x:c>
      <x:c r="GF70" s="343" t="str">
        <x:f t="shared" si="163"/>
        <x:v/>
      </x:c>
      <x:c r="GG70" s="344" t="str">
        <x:f t="shared" si="164"/>
        <x:v/>
      </x:c>
      <x:c r="GH70" s="344" t="str">
        <x:f t="shared" si="165"/>
        <x:v/>
      </x:c>
      <x:c r="GI70" s="345" t="str">
        <x:f t="shared" si="166"/>
        <x:v/>
      </x:c>
      <x:c r="GJ70" s="646">
        <x:f t="shared" ca="1" si="167"/>
        <x:v>0</x:v>
      </x:c>
      <x:c r="GK70" s="1131" t="str">
        <x:f t="shared" si="194"/>
        <x:v/>
      </x:c>
    </x:row>
    <x:row r="71" spans="78:193" ht="12.6" hidden="1" customHeight="1" x14ac:dyDescent="0.2">
      <x:c r="BZ71" s="360"/>
      <x:c r="CA71" s="360"/>
      <x:c r="CB71" s="435" t="str">
        <x:f t="shared" si="100"/>
        <x:v/>
      </x:c>
      <x:c r="CC71" s="436" t="str">
        <x:f>IF(CG31="","",VLOOKUP(CG31,SectInfo!$B:$N,12,FALSE))</x:f>
        <x:v/>
      </x:c>
      <x:c r="CD71" s="1172" t="str">
        <x:f>IF(ISBLANK(CZ31),IF(CG31="","",VLOOKUP(CG31,SectInfo!$B:$N,13,FALSE)),CZ31)</x:f>
        <x:v/>
      </x:c>
      <x:c r="CE71" s="437" t="str">
        <x:f>IF(CG31="","",IF(VLOOKUP(CG31,SectInfo!$B:$N,5,FALSE)="","R",UPPER(VLOOKUP(CG31,SectInfo!$B:$N,5,FALSE))))</x:f>
        <x:v/>
      </x:c>
      <x:c r="CF71" s="1172" t="str">
        <x:f>IF(ISBLANK(DD31),IF(CG31="","",VLOOKUP(CG31,SectInfo!$B:$N,6,FALSE)),DD31)</x:f>
        <x:v/>
      </x:c>
      <x:c r="CG71" s="437" t="str">
        <x:f>IF(CG31="","",IF(VLOOKUP(CG31,SectInfo!$B:$N,10,FALSE)="","",(VLOOKUP(CG31,SectInfo!$B:$N,10,FALSE)*-1)))</x:f>
        <x:v/>
      </x:c>
      <x:c r="CH71" s="437" t="str">
        <x:f>IF(CG31="","",IF(VLOOKUP(CG31,SectInfo!$B:$N,7,FALSE)="","",(VLOOKUP(CG31,SectInfo!$B:$N,7,FALSE)*-1)))</x:f>
        <x:v/>
      </x:c>
      <x:c r="CI71" s="437" t="str">
        <x:f>IF(CG31="","",IF(VLOOKUP(CG31,SectInfo!$B:$N,8,FALSE)="",$FC$4,(VLOOKUP(CG31,SectInfo!$B:$N,8,FALSE))))</x:f>
        <x:v/>
      </x:c>
      <x:c r="CJ71" s="437" t="str">
        <x:f>IF(CG31="","",VLOOKUP(CG31,SectInfo!$B:$N,9,FALSE))</x:f>
        <x:v/>
      </x:c>
      <x:c r="CK71" s="438">
        <x:f t="shared" si="168"/>
        <x:v>0</x:v>
      </x:c>
      <x:c r="CL71" s="436" t="str">
        <x:f>IF(CN31="","",VLOOKUP(CN31,SectInfo!$B:$N,12,FALSE))</x:f>
        <x:v/>
      </x:c>
      <x:c r="CM71" s="1172" t="str">
        <x:f>IF(ISBLANK(DA31),IF(CN31="","",VLOOKUP(CN31,SectInfo!$B:$N,13,FALSE)),DA31)</x:f>
        <x:v/>
      </x:c>
      <x:c r="CN71" s="437" t="str">
        <x:f>IF(CN31="","",IF(VLOOKUP(CN31,SectInfo!$B:$N,5,FALSE)="","R",UPPER(VLOOKUP(CN31,SectInfo!$B:$N,5,FALSE))))</x:f>
        <x:v/>
      </x:c>
      <x:c r="CO71" s="1172" t="str">
        <x:f>IF(ISBLANK(DE31),IF(CN31="","",VLOOKUP(CN31,SectInfo!$B:$N,6,FALSE)),DE31)</x:f>
        <x:v/>
      </x:c>
      <x:c r="CP71" s="437" t="str">
        <x:f>IF(CN31="","",IF(VLOOKUP(CN31,SectInfo!$B:$N,10,FALSE)="","",(VLOOKUP(CN31,SectInfo!$B:$N,10,FALSE)*-1)))</x:f>
        <x:v/>
      </x:c>
      <x:c r="CQ71" s="437" t="str">
        <x:f>IF(CN31="","",IF(VLOOKUP(CN31,SectInfo!$B:$N,7,FALSE)="","",(VLOOKUP(CN31,SectInfo!$B:$N,7,FALSE)*-1)))</x:f>
        <x:v/>
      </x:c>
      <x:c r="CR71" s="437" t="str">
        <x:f>IF(CN31="","",IF(VLOOKUP(CN31,SectInfo!$B:$N,8,FALSE)="",$FC$4,(VLOOKUP(CN31,SectInfo!$B:$N,8,FALSE))))</x:f>
        <x:v/>
      </x:c>
      <x:c r="CS71" s="437" t="str">
        <x:f>IF(CN31="","",VLOOKUP(CN31,SectInfo!$B:$N,9,FALSE))</x:f>
        <x:v/>
      </x:c>
      <x:c r="CT71" s="438">
        <x:f t="shared" si="169"/>
        <x:v>0</x:v>
      </x:c>
      <x:c r="CU71" s="439">
        <x:f t="shared" si="101"/>
        <x:v>0</x:v>
      </x:c>
      <x:c r="CV71" s="339" t="str">
        <x:f t="shared" si="102"/>
        <x:v/>
      </x:c>
      <x:c r="CW71" s="339" t="str">
        <x:f t="shared" si="103"/>
        <x:v/>
      </x:c>
      <x:c r="CX71" s="339" t="str">
        <x:f t="shared" si="104"/>
        <x:v/>
      </x:c>
      <x:c r="CY71" s="1109">
        <x:f t="shared" si="105"/>
        <x:v>0</x:v>
      </x:c>
      <x:c r="CZ71" s="1109">
        <x:f t="shared" si="106"/>
        <x:v>0</x:v>
      </x:c>
      <x:c r="DA71" s="1109" t="str">
        <x:f t="shared" si="107"/>
        <x:v/>
      </x:c>
      <x:c r="DB71" s="1125" t="str">
        <x:f t="shared" si="170"/>
        <x:v/>
      </x:c>
      <x:c r="DC71" s="1125" t="str">
        <x:f t="shared" si="108"/>
        <x:v/>
      </x:c>
      <x:c r="DD71" s="1110">
        <x:f t="shared" si="171"/>
        <x:v>0</x:v>
      </x:c>
      <x:c r="DE71" s="1108">
        <x:f t="shared" si="172"/>
        <x:v>0</x:v>
      </x:c>
      <x:c r="DF71" s="1109">
        <x:f t="shared" si="109"/>
        <x:v>0</x:v>
      </x:c>
      <x:c r="DG71" s="1109" t="str">
        <x:f t="shared" si="110"/>
        <x:v/>
      </x:c>
      <x:c r="DH71" s="1125" t="str">
        <x:f t="shared" si="173"/>
        <x:v/>
      </x:c>
      <x:c r="DI71" s="1125" t="str">
        <x:f t="shared" si="174"/>
        <x:v/>
      </x:c>
      <x:c r="DJ71" s="1110">
        <x:f t="shared" si="175"/>
        <x:v>0</x:v>
      </x:c>
      <x:c r="DK71" s="1108" t="str">
        <x:f t="shared" si="111"/>
        <x:v/>
      </x:c>
      <x:c r="DL71" s="1108" t="str">
        <x:f t="shared" si="112"/>
        <x:v/>
      </x:c>
      <x:c r="DM71" s="1108" t="str">
        <x:f t="shared" si="113"/>
        <x:v/>
      </x:c>
      <x:c r="DN71" s="1108" t="str">
        <x:f t="shared" si="114"/>
        <x:v/>
      </x:c>
      <x:c r="DO71" s="1125" t="str">
        <x:f t="shared" si="115"/>
        <x:v>ERR</x:v>
      </x:c>
      <x:c r="DP71" s="1125" t="str">
        <x:f t="shared" si="116"/>
        <x:v>ERR</x:v>
      </x:c>
      <x:c r="DQ71" s="1108" t="str">
        <x:f t="shared" si="117"/>
        <x:v/>
      </x:c>
      <x:c r="DR71" s="1108" t="str">
        <x:f t="shared" si="117"/>
        <x:v/>
      </x:c>
      <x:c r="DS71" s="1108" t="str">
        <x:f t="shared" si="118"/>
        <x:v/>
      </x:c>
      <x:c r="DT71" s="1108" t="str">
        <x:f t="shared" si="119"/>
        <x:v/>
      </x:c>
      <x:c r="DU71" s="1108" t="str">
        <x:f t="shared" si="120"/>
        <x:v/>
      </x:c>
      <x:c r="DV71" s="1125" t="str">
        <x:f t="shared" si="121"/>
        <x:v>ERR</x:v>
      </x:c>
      <x:c r="DW71" s="1125" t="str">
        <x:f t="shared" si="122"/>
        <x:v>ERR</x:v>
      </x:c>
      <x:c r="DX71" s="1108" t="str">
        <x:f t="shared" si="123"/>
        <x:v/>
      </x:c>
      <x:c r="DY71" s="1108" t="str">
        <x:f t="shared" si="123"/>
        <x:v/>
      </x:c>
      <x:c r="DZ71" s="1108" t="str">
        <x:f t="shared" si="124"/>
        <x:v/>
      </x:c>
      <x:c r="EA71" s="1108" t="str">
        <x:f t="shared" si="125"/>
        <x:v/>
      </x:c>
      <x:c r="EB71" s="1111" t="str">
        <x:f t="shared" si="126"/>
        <x:v/>
      </x:c>
      <x:c r="EC71" s="1112" t="str">
        <x:f t="shared" si="127"/>
        <x:v/>
      </x:c>
      <x:c r="ED71" s="1111" t="str">
        <x:f t="shared" si="128"/>
        <x:v/>
      </x:c>
      <x:c r="EE71" s="1111" t="str">
        <x:f t="shared" si="129"/>
        <x:v/>
      </x:c>
      <x:c r="EF71" s="1111" t="str">
        <x:f t="shared" si="130"/>
        <x:v/>
      </x:c>
      <x:c r="EG71" s="1111" t="str">
        <x:f t="shared" si="131"/>
        <x:v/>
      </x:c>
      <x:c r="EH71" s="1111" t="str">
        <x:f t="shared" si="132"/>
        <x:v/>
      </x:c>
      <x:c r="EI71" s="1111" t="str">
        <x:f t="shared" si="133"/>
        <x:v/>
      </x:c>
      <x:c r="EJ71" s="1111" t="str">
        <x:f t="shared" si="134"/>
        <x:v/>
      </x:c>
      <x:c r="EK71" s="1109">
        <x:f t="shared" si="135"/>
        <x:v>0</x:v>
      </x:c>
      <x:c r="EL71" s="1109">
        <x:f t="shared" si="136"/>
        <x:v>0</x:v>
      </x:c>
      <x:c r="EM71" s="1109">
        <x:f t="shared" si="137"/>
        <x:v>0</x:v>
      </x:c>
      <x:c r="EN71" s="1109" t="str">
        <x:f t="shared" si="138"/>
        <x:v/>
      </x:c>
      <x:c r="EO71" s="1108" t="str">
        <x:f t="shared" si="139"/>
        <x:v/>
      </x:c>
      <x:c r="EP71" s="1109">
        <x:f t="shared" si="140"/>
        <x:v>0</x:v>
      </x:c>
      <x:c r="EQ71" s="1109">
        <x:f t="shared" si="141"/>
        <x:v>0</x:v>
      </x:c>
      <x:c r="ER71" s="1109">
        <x:f t="shared" si="142"/>
        <x:v>0</x:v>
      </x:c>
      <x:c r="ES71" s="1109" t="str">
        <x:f t="shared" si="143"/>
        <x:v/>
      </x:c>
      <x:c r="ET71" s="1108" t="str">
        <x:f t="shared" si="144"/>
        <x:v/>
      </x:c>
      <x:c r="EU71" s="1108">
        <x:f t="shared" si="145"/>
        <x:v>0</x:v>
      </x:c>
      <x:c r="EV71" s="1111" t="e">
        <x:f t="shared" si="146"/>
        <x:v>#VALUE!</x:v>
      </x:c>
      <x:c r="EW71" s="1111" t="e">
        <x:f t="shared" si="147"/>
        <x:v>#VALUE!</x:v>
      </x:c>
      <x:c r="EX71" s="1113" t="str">
        <x:f t="shared" si="176"/>
        <x:v/>
      </x:c>
      <x:c r="EY71" s="1114">
        <x:f t="shared" si="148"/>
        <x:v>25</x:v>
      </x:c>
      <x:c r="EZ71" s="1219">
        <x:f t="shared" si="149"/>
        <x:v>0</x:v>
      </x:c>
      <x:c r="FA71" s="1220">
        <x:f t="shared" si="150"/>
        <x:v>0</x:v>
      </x:c>
      <x:c r="FB71" s="1115" t="str">
        <x:f t="shared" si="151"/>
        <x:v/>
      </x:c>
      <x:c r="FC71" s="1116" t="str">
        <x:f t="shared" si="152"/>
        <x:v/>
      </x:c>
      <x:c r="FD71" s="1126">
        <x:f t="shared" si="153"/>
        <x:v>0</x:v>
      </x:c>
      <x:c r="FE71" s="1066">
        <x:f t="shared" si="154"/>
        <x:v>0</x:v>
      </x:c>
      <x:c r="FF71" s="970" t="b">
        <x:f t="shared" si="155"/>
        <x:v>0</x:v>
      </x:c>
      <x:c r="FG71" s="970" t="b">
        <x:f t="shared" si="156"/>
        <x:v>0</x:v>
      </x:c>
      <x:c r="FH71" s="970" t="b">
        <x:f t="shared" si="157"/>
        <x:v>0</x:v>
      </x:c>
      <x:c r="FI71" s="970" t="b">
        <x:f t="shared" si="158"/>
        <x:v>0</x:v>
      </x:c>
      <x:c r="FJ71" s="1161" t="str">
        <x:f t="shared" si="177"/>
        <x:v/>
      </x:c>
      <x:c r="FK71" s="1160" t="str">
        <x:f t="shared" si="178"/>
        <x:v/>
      </x:c>
      <x:c r="FL71" s="388" t="e">
        <x:f t="shared" si="179"/>
        <x:v>#N/A</x:v>
      </x:c>
      <x:c r="FM71" s="380" t="str">
        <x:f t="shared" si="159"/>
        <x:v/>
      </x:c>
      <x:c r="FN71" s="337" t="str">
        <x:f t="shared" ca="1" si="180"/>
        <x:v/>
      </x:c>
      <x:c r="FO71" s="338" t="str">
        <x:f t="shared" ca="1" si="181"/>
        <x:v/>
      </x:c>
      <x:c r="FP71" s="339" t="str">
        <x:f t="shared" ca="1" si="182"/>
        <x:v/>
      </x:c>
      <x:c r="FQ71" s="339" t="str">
        <x:f t="shared" ca="1" si="183"/>
        <x:v/>
      </x:c>
      <x:c r="FR71" s="389">
        <x:f t="shared" ca="1" si="184"/>
        <x:v>0</x:v>
      </x:c>
      <x:c r="FS71" s="390">
        <x:f t="shared" ca="1" si="185"/>
        <x:v>0</x:v>
      </x:c>
      <x:c r="FT71" s="337" t="str">
        <x:f t="shared" ca="1" si="186"/>
        <x:v/>
      </x:c>
      <x:c r="FU71" s="340" t="str">
        <x:f t="shared" ca="1" si="187"/>
        <x:v/>
      </x:c>
      <x:c r="FV71" s="391" t="str">
        <x:f t="shared" ca="1" si="160"/>
        <x:v/>
      </x:c>
      <x:c r="FW71" s="341" t="str">
        <x:f t="shared" ca="1" si="188"/>
        <x:v/>
      </x:c>
      <x:c r="FX71" s="341" t="str">
        <x:f t="shared" ca="1" si="189"/>
        <x:v/>
      </x:c>
      <x:c r="FY71" s="341" t="str">
        <x:f t="shared" ca="1" si="190"/>
        <x:v/>
      </x:c>
      <x:c r="FZ71" s="341" t="str">
        <x:f t="shared" ca="1" si="191"/>
        <x:v/>
      </x:c>
      <x:c r="GA71" s="341" t="str">
        <x:f t="shared" ca="1" si="192"/>
        <x:v/>
      </x:c>
      <x:c r="GB71" s="342" t="str">
        <x:f ca="1">IF(FY71="","",2+SUM(FO71:OFFSET(FO71,(FU71-1)*-1,0)))</x:f>
        <x:v/>
      </x:c>
      <x:c r="GC71" s="384" t="e">
        <x:f t="shared" si="193"/>
        <x:v>#N/A</x:v>
      </x:c>
      <x:c r="GD71" s="392" t="str">
        <x:f t="shared" si="161"/>
        <x:v/>
      </x:c>
      <x:c r="GE71" s="393" t="str">
        <x:f t="shared" si="162"/>
        <x:v/>
      </x:c>
      <x:c r="GF71" s="343" t="str">
        <x:f t="shared" si="163"/>
        <x:v/>
      </x:c>
      <x:c r="GG71" s="344" t="str">
        <x:f t="shared" si="164"/>
        <x:v/>
      </x:c>
      <x:c r="GH71" s="344" t="str">
        <x:f t="shared" si="165"/>
        <x:v/>
      </x:c>
      <x:c r="GI71" s="345" t="str">
        <x:f t="shared" si="166"/>
        <x:v/>
      </x:c>
      <x:c r="GJ71" s="646">
        <x:f t="shared" ca="1" si="167"/>
        <x:v>0</x:v>
      </x:c>
      <x:c r="GK71" s="1131" t="str">
        <x:f t="shared" si="194"/>
        <x:v/>
      </x:c>
    </x:row>
    <x:row r="72" spans="78:193" ht="12.6" hidden="1" customHeight="1" x14ac:dyDescent="0.2">
      <x:c r="BZ72" s="360"/>
      <x:c r="CA72" s="360"/>
      <x:c r="CB72" s="435" t="str">
        <x:f t="shared" si="100"/>
        <x:v/>
      </x:c>
      <x:c r="CC72" s="436" t="str">
        <x:f>IF(CG32="","",VLOOKUP(CG32,SectInfo!$B:$N,12,FALSE))</x:f>
        <x:v/>
      </x:c>
      <x:c r="CD72" s="1172" t="str">
        <x:f>IF(ISBLANK(CZ32),IF(CG32="","",VLOOKUP(CG32,SectInfo!$B:$N,13,FALSE)),CZ32)</x:f>
        <x:v/>
      </x:c>
      <x:c r="CE72" s="437" t="str">
        <x:f>IF(CG32="","",IF(VLOOKUP(CG32,SectInfo!$B:$N,5,FALSE)="","R",UPPER(VLOOKUP(CG32,SectInfo!$B:$N,5,FALSE))))</x:f>
        <x:v/>
      </x:c>
      <x:c r="CF72" s="1172" t="str">
        <x:f>IF(ISBLANK(DD32),IF(CG32="","",VLOOKUP(CG32,SectInfo!$B:$N,6,FALSE)),DD32)</x:f>
        <x:v/>
      </x:c>
      <x:c r="CG72" s="437" t="str">
        <x:f>IF(CG32="","",IF(VLOOKUP(CG32,SectInfo!$B:$N,10,FALSE)="","",(VLOOKUP(CG32,SectInfo!$B:$N,10,FALSE)*-1)))</x:f>
        <x:v/>
      </x:c>
      <x:c r="CH72" s="437" t="str">
        <x:f>IF(CG32="","",IF(VLOOKUP(CG32,SectInfo!$B:$N,7,FALSE)="","",(VLOOKUP(CG32,SectInfo!$B:$N,7,FALSE)*-1)))</x:f>
        <x:v/>
      </x:c>
      <x:c r="CI72" s="437" t="str">
        <x:f>IF(CG32="","",IF(VLOOKUP(CG32,SectInfo!$B:$N,8,FALSE)="",$FC$4,(VLOOKUP(CG32,SectInfo!$B:$N,8,FALSE))))</x:f>
        <x:v/>
      </x:c>
      <x:c r="CJ72" s="437" t="str">
        <x:f>IF(CG32="","",VLOOKUP(CG32,SectInfo!$B:$N,9,FALSE))</x:f>
        <x:v/>
      </x:c>
      <x:c r="CK72" s="438">
        <x:f t="shared" si="168"/>
        <x:v>0</x:v>
      </x:c>
      <x:c r="CL72" s="436" t="str">
        <x:f>IF(CN32="","",VLOOKUP(CN32,SectInfo!$B:$N,12,FALSE))</x:f>
        <x:v/>
      </x:c>
      <x:c r="CM72" s="1172" t="str">
        <x:f>IF(ISBLANK(DA32),IF(CN32="","",VLOOKUP(CN32,SectInfo!$B:$N,13,FALSE)),DA32)</x:f>
        <x:v/>
      </x:c>
      <x:c r="CN72" s="437" t="str">
        <x:f>IF(CN32="","",IF(VLOOKUP(CN32,SectInfo!$B:$N,5,FALSE)="","R",UPPER(VLOOKUP(CN32,SectInfo!$B:$N,5,FALSE))))</x:f>
        <x:v/>
      </x:c>
      <x:c r="CO72" s="1172" t="str">
        <x:f>IF(ISBLANK(DE32),IF(CN32="","",VLOOKUP(CN32,SectInfo!$B:$N,6,FALSE)),DE32)</x:f>
        <x:v/>
      </x:c>
      <x:c r="CP72" s="437" t="str">
        <x:f>IF(CN32="","",IF(VLOOKUP(CN32,SectInfo!$B:$N,10,FALSE)="","",(VLOOKUP(CN32,SectInfo!$B:$N,10,FALSE)*-1)))</x:f>
        <x:v/>
      </x:c>
      <x:c r="CQ72" s="437" t="str">
        <x:f>IF(CN32="","",IF(VLOOKUP(CN32,SectInfo!$B:$N,7,FALSE)="","",(VLOOKUP(CN32,SectInfo!$B:$N,7,FALSE)*-1)))</x:f>
        <x:v/>
      </x:c>
      <x:c r="CR72" s="437" t="str">
        <x:f>IF(CN32="","",IF(VLOOKUP(CN32,SectInfo!$B:$N,8,FALSE)="",$FC$4,(VLOOKUP(CN32,SectInfo!$B:$N,8,FALSE))))</x:f>
        <x:v/>
      </x:c>
      <x:c r="CS72" s="437" t="str">
        <x:f>IF(CN32="","",VLOOKUP(CN32,SectInfo!$B:$N,9,FALSE))</x:f>
        <x:v/>
      </x:c>
      <x:c r="CT72" s="438">
        <x:f t="shared" si="169"/>
        <x:v>0</x:v>
      </x:c>
      <x:c r="CU72" s="439">
        <x:f t="shared" si="101"/>
        <x:v>0</x:v>
      </x:c>
      <x:c r="CV72" s="339" t="str">
        <x:f t="shared" si="102"/>
        <x:v/>
      </x:c>
      <x:c r="CW72" s="339" t="str">
        <x:f t="shared" si="103"/>
        <x:v/>
      </x:c>
      <x:c r="CX72" s="339" t="str">
        <x:f t="shared" si="104"/>
        <x:v/>
      </x:c>
      <x:c r="CY72" s="1109">
        <x:f t="shared" si="105"/>
        <x:v>0</x:v>
      </x:c>
      <x:c r="CZ72" s="1109">
        <x:f t="shared" si="106"/>
        <x:v>0</x:v>
      </x:c>
      <x:c r="DA72" s="1109" t="str">
        <x:f t="shared" si="107"/>
        <x:v/>
      </x:c>
      <x:c r="DB72" s="1125" t="str">
        <x:f t="shared" si="170"/>
        <x:v/>
      </x:c>
      <x:c r="DC72" s="1125" t="str">
        <x:f t="shared" si="108"/>
        <x:v/>
      </x:c>
      <x:c r="DD72" s="1110">
        <x:f t="shared" si="171"/>
        <x:v>0</x:v>
      </x:c>
      <x:c r="DE72" s="1108">
        <x:f t="shared" si="172"/>
        <x:v>0</x:v>
      </x:c>
      <x:c r="DF72" s="1109">
        <x:f t="shared" si="109"/>
        <x:v>0</x:v>
      </x:c>
      <x:c r="DG72" s="1109" t="str">
        <x:f t="shared" si="110"/>
        <x:v/>
      </x:c>
      <x:c r="DH72" s="1125" t="str">
        <x:f t="shared" si="173"/>
        <x:v/>
      </x:c>
      <x:c r="DI72" s="1125" t="str">
        <x:f t="shared" si="174"/>
        <x:v/>
      </x:c>
      <x:c r="DJ72" s="1110">
        <x:f t="shared" si="175"/>
        <x:v>0</x:v>
      </x:c>
      <x:c r="DK72" s="1108" t="str">
        <x:f t="shared" si="111"/>
        <x:v/>
      </x:c>
      <x:c r="DL72" s="1108" t="str">
        <x:f t="shared" si="112"/>
        <x:v/>
      </x:c>
      <x:c r="DM72" s="1108" t="str">
        <x:f t="shared" si="113"/>
        <x:v/>
      </x:c>
      <x:c r="DN72" s="1108" t="str">
        <x:f t="shared" si="114"/>
        <x:v/>
      </x:c>
      <x:c r="DO72" s="1125" t="str">
        <x:f t="shared" si="115"/>
        <x:v>ERR</x:v>
      </x:c>
      <x:c r="DP72" s="1125" t="str">
        <x:f t="shared" si="116"/>
        <x:v>ERR</x:v>
      </x:c>
      <x:c r="DQ72" s="1108" t="str">
        <x:f t="shared" si="117"/>
        <x:v/>
      </x:c>
      <x:c r="DR72" s="1108" t="str">
        <x:f t="shared" si="117"/>
        <x:v/>
      </x:c>
      <x:c r="DS72" s="1108" t="str">
        <x:f t="shared" si="118"/>
        <x:v/>
      </x:c>
      <x:c r="DT72" s="1108" t="str">
        <x:f t="shared" si="119"/>
        <x:v/>
      </x:c>
      <x:c r="DU72" s="1108" t="str">
        <x:f t="shared" si="120"/>
        <x:v/>
      </x:c>
      <x:c r="DV72" s="1125" t="str">
        <x:f t="shared" si="121"/>
        <x:v>ERR</x:v>
      </x:c>
      <x:c r="DW72" s="1125" t="str">
        <x:f t="shared" si="122"/>
        <x:v>ERR</x:v>
      </x:c>
      <x:c r="DX72" s="1108" t="str">
        <x:f t="shared" si="123"/>
        <x:v/>
      </x:c>
      <x:c r="DY72" s="1108" t="str">
        <x:f t="shared" si="123"/>
        <x:v/>
      </x:c>
      <x:c r="DZ72" s="1108" t="str">
        <x:f t="shared" si="124"/>
        <x:v/>
      </x:c>
      <x:c r="EA72" s="1108" t="str">
        <x:f t="shared" si="125"/>
        <x:v/>
      </x:c>
      <x:c r="EB72" s="1111" t="str">
        <x:f t="shared" si="126"/>
        <x:v/>
      </x:c>
      <x:c r="EC72" s="1112" t="str">
        <x:f t="shared" si="127"/>
        <x:v/>
      </x:c>
      <x:c r="ED72" s="1111" t="str">
        <x:f t="shared" si="128"/>
        <x:v/>
      </x:c>
      <x:c r="EE72" s="1111" t="str">
        <x:f t="shared" si="129"/>
        <x:v/>
      </x:c>
      <x:c r="EF72" s="1111" t="str">
        <x:f t="shared" si="130"/>
        <x:v/>
      </x:c>
      <x:c r="EG72" s="1111" t="str">
        <x:f t="shared" si="131"/>
        <x:v/>
      </x:c>
      <x:c r="EH72" s="1111" t="str">
        <x:f t="shared" si="132"/>
        <x:v/>
      </x:c>
      <x:c r="EI72" s="1111" t="str">
        <x:f t="shared" si="133"/>
        <x:v/>
      </x:c>
      <x:c r="EJ72" s="1111" t="str">
        <x:f t="shared" si="134"/>
        <x:v/>
      </x:c>
      <x:c r="EK72" s="1109">
        <x:f t="shared" si="135"/>
        <x:v>0</x:v>
      </x:c>
      <x:c r="EL72" s="1109">
        <x:f t="shared" si="136"/>
        <x:v>0</x:v>
      </x:c>
      <x:c r="EM72" s="1109">
        <x:f t="shared" si="137"/>
        <x:v>0</x:v>
      </x:c>
      <x:c r="EN72" s="1109" t="str">
        <x:f t="shared" si="138"/>
        <x:v/>
      </x:c>
      <x:c r="EO72" s="1108" t="str">
        <x:f t="shared" si="139"/>
        <x:v/>
      </x:c>
      <x:c r="EP72" s="1109">
        <x:f t="shared" si="140"/>
        <x:v>0</x:v>
      </x:c>
      <x:c r="EQ72" s="1109">
        <x:f t="shared" si="141"/>
        <x:v>0</x:v>
      </x:c>
      <x:c r="ER72" s="1109">
        <x:f t="shared" si="142"/>
        <x:v>0</x:v>
      </x:c>
      <x:c r="ES72" s="1109" t="str">
        <x:f t="shared" si="143"/>
        <x:v/>
      </x:c>
      <x:c r="ET72" s="1108" t="str">
        <x:f t="shared" si="144"/>
        <x:v/>
      </x:c>
      <x:c r="EU72" s="1108">
        <x:f t="shared" si="145"/>
        <x:v>0</x:v>
      </x:c>
      <x:c r="EV72" s="1111" t="e">
        <x:f t="shared" si="146"/>
        <x:v>#VALUE!</x:v>
      </x:c>
      <x:c r="EW72" s="1111" t="e">
        <x:f t="shared" si="147"/>
        <x:v>#VALUE!</x:v>
      </x:c>
      <x:c r="EX72" s="1113" t="str">
        <x:f t="shared" si="176"/>
        <x:v/>
      </x:c>
      <x:c r="EY72" s="1114">
        <x:f t="shared" si="148"/>
        <x:v>25</x:v>
      </x:c>
      <x:c r="EZ72" s="1219">
        <x:f t="shared" si="149"/>
        <x:v>0</x:v>
      </x:c>
      <x:c r="FA72" s="1220">
        <x:f t="shared" si="150"/>
        <x:v>0</x:v>
      </x:c>
      <x:c r="FB72" s="1115" t="str">
        <x:f t="shared" si="151"/>
        <x:v/>
      </x:c>
      <x:c r="FC72" s="1116" t="str">
        <x:f t="shared" si="152"/>
        <x:v/>
      </x:c>
      <x:c r="FD72" s="1126">
        <x:f t="shared" si="153"/>
        <x:v>0</x:v>
      </x:c>
      <x:c r="FE72" s="1066">
        <x:f t="shared" si="154"/>
        <x:v>0</x:v>
      </x:c>
      <x:c r="FF72" s="969" t="b">
        <x:f t="shared" si="155"/>
        <x:v>0</x:v>
      </x:c>
      <x:c r="FG72" s="969" t="b">
        <x:f t="shared" si="156"/>
        <x:v>0</x:v>
      </x:c>
      <x:c r="FH72" s="969" t="b">
        <x:f t="shared" si="157"/>
        <x:v>0</x:v>
      </x:c>
      <x:c r="FI72" s="969" t="b">
        <x:f t="shared" si="158"/>
        <x:v>0</x:v>
      </x:c>
      <x:c r="FJ72" s="1161" t="str">
        <x:f t="shared" si="177"/>
        <x:v/>
      </x:c>
      <x:c r="FK72" s="1160" t="str">
        <x:f t="shared" si="178"/>
        <x:v/>
      </x:c>
      <x:c r="FL72" s="388" t="e">
        <x:f t="shared" si="179"/>
        <x:v>#N/A</x:v>
      </x:c>
      <x:c r="FM72" s="380" t="str">
        <x:f t="shared" si="159"/>
        <x:v/>
      </x:c>
      <x:c r="FN72" s="337" t="str">
        <x:f t="shared" ca="1" si="180"/>
        <x:v/>
      </x:c>
      <x:c r="FO72" s="338" t="str">
        <x:f t="shared" ca="1" si="181"/>
        <x:v/>
      </x:c>
      <x:c r="FP72" s="339" t="str">
        <x:f t="shared" ca="1" si="182"/>
        <x:v/>
      </x:c>
      <x:c r="FQ72" s="339" t="str">
        <x:f t="shared" ca="1" si="183"/>
        <x:v/>
      </x:c>
      <x:c r="FR72" s="389">
        <x:f t="shared" ca="1" si="184"/>
        <x:v>0</x:v>
      </x:c>
      <x:c r="FS72" s="390">
        <x:f t="shared" ca="1" si="185"/>
        <x:v>0</x:v>
      </x:c>
      <x:c r="FT72" s="337" t="str">
        <x:f t="shared" ca="1" si="186"/>
        <x:v/>
      </x:c>
      <x:c r="FU72" s="340" t="str">
        <x:f t="shared" ca="1" si="187"/>
        <x:v/>
      </x:c>
      <x:c r="FV72" s="391" t="str">
        <x:f t="shared" ca="1" si="160"/>
        <x:v/>
      </x:c>
      <x:c r="FW72" s="341" t="str">
        <x:f t="shared" ca="1" si="188"/>
        <x:v/>
      </x:c>
      <x:c r="FX72" s="341" t="str">
        <x:f t="shared" ca="1" si="189"/>
        <x:v/>
      </x:c>
      <x:c r="FY72" s="341" t="str">
        <x:f t="shared" ca="1" si="190"/>
        <x:v/>
      </x:c>
      <x:c r="FZ72" s="341" t="str">
        <x:f t="shared" ca="1" si="191"/>
        <x:v/>
      </x:c>
      <x:c r="GA72" s="341" t="str">
        <x:f t="shared" ca="1" si="192"/>
        <x:v/>
      </x:c>
      <x:c r="GB72" s="342" t="str">
        <x:f ca="1">IF(FY72="","",2+SUM(FO72:OFFSET(FO72,(FU72-1)*-1,0)))</x:f>
        <x:v/>
      </x:c>
      <x:c r="GC72" s="384" t="e">
        <x:f t="shared" si="193"/>
        <x:v>#N/A</x:v>
      </x:c>
      <x:c r="GD72" s="392" t="str">
        <x:f t="shared" si="161"/>
        <x:v/>
      </x:c>
      <x:c r="GE72" s="393" t="str">
        <x:f t="shared" si="162"/>
        <x:v/>
      </x:c>
      <x:c r="GF72" s="343" t="str">
        <x:f t="shared" si="163"/>
        <x:v/>
      </x:c>
      <x:c r="GG72" s="344" t="str">
        <x:f t="shared" si="164"/>
        <x:v/>
      </x:c>
      <x:c r="GH72" s="344" t="str">
        <x:f t="shared" si="165"/>
        <x:v/>
      </x:c>
      <x:c r="GI72" s="345" t="str">
        <x:f t="shared" si="166"/>
        <x:v/>
      </x:c>
      <x:c r="GJ72" s="646">
        <x:f t="shared" ca="1" si="167"/>
        <x:v>0</x:v>
      </x:c>
      <x:c r="GK72" s="1131" t="str">
        <x:f t="shared" ca="1" si="194"/>
        <x:v/>
      </x:c>
    </x:row>
    <x:row r="73" spans="78:193" ht="12.6" hidden="1" customHeight="1" x14ac:dyDescent="0.2">
      <x:c r="BZ73" s="360"/>
      <x:c r="CA73" s="360"/>
      <x:c r="CB73" s="435" t="str">
        <x:f t="shared" si="100"/>
        <x:v/>
      </x:c>
      <x:c r="CC73" s="436" t="str">
        <x:f>IF(CG33="","",VLOOKUP(CG33,SectInfo!$B:$N,12,FALSE))</x:f>
        <x:v/>
      </x:c>
      <x:c r="CD73" s="1172" t="str">
        <x:f>IF(ISBLANK(CZ33),IF(CG33="","",VLOOKUP(CG33,SectInfo!$B:$N,13,FALSE)),CZ33)</x:f>
        <x:v/>
      </x:c>
      <x:c r="CE73" s="437" t="str">
        <x:f>IF(CG33="","",IF(VLOOKUP(CG33,SectInfo!$B:$N,5,FALSE)="","R",UPPER(VLOOKUP(CG33,SectInfo!$B:$N,5,FALSE))))</x:f>
        <x:v/>
      </x:c>
      <x:c r="CF73" s="1172" t="str">
        <x:f>IF(ISBLANK(DD33),IF(CG33="","",VLOOKUP(CG33,SectInfo!$B:$N,6,FALSE)),DD33)</x:f>
        <x:v/>
      </x:c>
      <x:c r="CG73" s="437" t="str">
        <x:f>IF(CG33="","",IF(VLOOKUP(CG33,SectInfo!$B:$N,10,FALSE)="","",(VLOOKUP(CG33,SectInfo!$B:$N,10,FALSE)*-1)))</x:f>
        <x:v/>
      </x:c>
      <x:c r="CH73" s="437" t="str">
        <x:f>IF(CG33="","",IF(VLOOKUP(CG33,SectInfo!$B:$N,7,FALSE)="","",(VLOOKUP(CG33,SectInfo!$B:$N,7,FALSE)*-1)))</x:f>
        <x:v/>
      </x:c>
      <x:c r="CI73" s="437" t="str">
        <x:f>IF(CG33="","",IF(VLOOKUP(CG33,SectInfo!$B:$N,8,FALSE)="",$FC$4,(VLOOKUP(CG33,SectInfo!$B:$N,8,FALSE))))</x:f>
        <x:v/>
      </x:c>
      <x:c r="CJ73" s="437" t="str">
        <x:f>IF(CG33="","",VLOOKUP(CG33,SectInfo!$B:$N,9,FALSE))</x:f>
        <x:v/>
      </x:c>
      <x:c r="CK73" s="438">
        <x:f t="shared" si="168"/>
        <x:v>0</x:v>
      </x:c>
      <x:c r="CL73" s="436" t="str">
        <x:f>IF(CN33="","",VLOOKUP(CN33,SectInfo!$B:$N,12,FALSE))</x:f>
        <x:v/>
      </x:c>
      <x:c r="CM73" s="1172" t="str">
        <x:f>IF(ISBLANK(DA33),IF(CN33="","",VLOOKUP(CN33,SectInfo!$B:$N,13,FALSE)),DA33)</x:f>
        <x:v/>
      </x:c>
      <x:c r="CN73" s="437" t="str">
        <x:f>IF(CN33="","",IF(VLOOKUP(CN33,SectInfo!$B:$N,5,FALSE)="","R",UPPER(VLOOKUP(CN33,SectInfo!$B:$N,5,FALSE))))</x:f>
        <x:v/>
      </x:c>
      <x:c r="CO73" s="1172" t="str">
        <x:f>IF(ISBLANK(DE33),IF(CN33="","",VLOOKUP(CN33,SectInfo!$B:$N,6,FALSE)),DE33)</x:f>
        <x:v/>
      </x:c>
      <x:c r="CP73" s="437" t="str">
        <x:f>IF(CN33="","",IF(VLOOKUP(CN33,SectInfo!$B:$N,10,FALSE)="","",(VLOOKUP(CN33,SectInfo!$B:$N,10,FALSE)*-1)))</x:f>
        <x:v/>
      </x:c>
      <x:c r="CQ73" s="437" t="str">
        <x:f>IF(CN33="","",IF(VLOOKUP(CN33,SectInfo!$B:$N,7,FALSE)="","",(VLOOKUP(CN33,SectInfo!$B:$N,7,FALSE)*-1)))</x:f>
        <x:v/>
      </x:c>
      <x:c r="CR73" s="437" t="str">
        <x:f>IF(CN33="","",IF(VLOOKUP(CN33,SectInfo!$B:$N,8,FALSE)="",$FC$4,(VLOOKUP(CN33,SectInfo!$B:$N,8,FALSE))))</x:f>
        <x:v/>
      </x:c>
      <x:c r="CS73" s="437" t="str">
        <x:f>IF(CN33="","",VLOOKUP(CN33,SectInfo!$B:$N,9,FALSE))</x:f>
        <x:v/>
      </x:c>
      <x:c r="CT73" s="438">
        <x:f t="shared" si="169"/>
        <x:v>0</x:v>
      </x:c>
      <x:c r="CU73" s="439">
        <x:f t="shared" si="101"/>
        <x:v>0</x:v>
      </x:c>
      <x:c r="CV73" s="339" t="str">
        <x:f t="shared" si="102"/>
        <x:v/>
      </x:c>
      <x:c r="CW73" s="339" t="str">
        <x:f t="shared" si="103"/>
        <x:v/>
      </x:c>
      <x:c r="CX73" s="339" t="str">
        <x:f t="shared" si="104"/>
        <x:v/>
      </x:c>
      <x:c r="CY73" s="1109">
        <x:f t="shared" si="105"/>
        <x:v>0</x:v>
      </x:c>
      <x:c r="CZ73" s="1109">
        <x:f t="shared" si="106"/>
        <x:v>0</x:v>
      </x:c>
      <x:c r="DA73" s="1109" t="str">
        <x:f t="shared" si="107"/>
        <x:v/>
      </x:c>
      <x:c r="DB73" s="1125" t="str">
        <x:f t="shared" si="170"/>
        <x:v/>
      </x:c>
      <x:c r="DC73" s="1125" t="str">
        <x:f t="shared" si="108"/>
        <x:v/>
      </x:c>
      <x:c r="DD73" s="1110">
        <x:f t="shared" si="171"/>
        <x:v>0</x:v>
      </x:c>
      <x:c r="DE73" s="1108">
        <x:f t="shared" si="172"/>
        <x:v>0</x:v>
      </x:c>
      <x:c r="DF73" s="1109">
        <x:f t="shared" si="109"/>
        <x:v>0</x:v>
      </x:c>
      <x:c r="DG73" s="1109" t="str">
        <x:f t="shared" si="110"/>
        <x:v/>
      </x:c>
      <x:c r="DH73" s="1125" t="str">
        <x:f t="shared" si="173"/>
        <x:v/>
      </x:c>
      <x:c r="DI73" s="1125" t="str">
        <x:f t="shared" si="174"/>
        <x:v/>
      </x:c>
      <x:c r="DJ73" s="1110">
        <x:f t="shared" si="175"/>
        <x:v>0</x:v>
      </x:c>
      <x:c r="DK73" s="1108" t="str">
        <x:f t="shared" si="111"/>
        <x:v/>
      </x:c>
      <x:c r="DL73" s="1108" t="str">
        <x:f t="shared" si="112"/>
        <x:v/>
      </x:c>
      <x:c r="DM73" s="1108" t="str">
        <x:f t="shared" si="113"/>
        <x:v/>
      </x:c>
      <x:c r="DN73" s="1108" t="str">
        <x:f t="shared" si="114"/>
        <x:v/>
      </x:c>
      <x:c r="DO73" s="1125" t="str">
        <x:f t="shared" si="115"/>
        <x:v>ERR</x:v>
      </x:c>
      <x:c r="DP73" s="1125" t="str">
        <x:f t="shared" si="116"/>
        <x:v>ERR</x:v>
      </x:c>
      <x:c r="DQ73" s="1108" t="str">
        <x:f t="shared" si="117"/>
        <x:v/>
      </x:c>
      <x:c r="DR73" s="1108" t="str">
        <x:f t="shared" si="117"/>
        <x:v/>
      </x:c>
      <x:c r="DS73" s="1108" t="str">
        <x:f t="shared" si="118"/>
        <x:v/>
      </x:c>
      <x:c r="DT73" s="1108" t="str">
        <x:f t="shared" si="119"/>
        <x:v/>
      </x:c>
      <x:c r="DU73" s="1108" t="str">
        <x:f t="shared" si="120"/>
        <x:v/>
      </x:c>
      <x:c r="DV73" s="1125" t="str">
        <x:f t="shared" si="121"/>
        <x:v>ERR</x:v>
      </x:c>
      <x:c r="DW73" s="1125" t="str">
        <x:f t="shared" si="122"/>
        <x:v>ERR</x:v>
      </x:c>
      <x:c r="DX73" s="1108" t="str">
        <x:f t="shared" si="123"/>
        <x:v/>
      </x:c>
      <x:c r="DY73" s="1108" t="str">
        <x:f t="shared" si="123"/>
        <x:v/>
      </x:c>
      <x:c r="DZ73" s="1108" t="str">
        <x:f t="shared" si="124"/>
        <x:v/>
      </x:c>
      <x:c r="EA73" s="1108" t="str">
        <x:f t="shared" si="125"/>
        <x:v/>
      </x:c>
      <x:c r="EB73" s="1111" t="str">
        <x:f t="shared" si="126"/>
        <x:v/>
      </x:c>
      <x:c r="EC73" s="1112" t="str">
        <x:f t="shared" si="127"/>
        <x:v/>
      </x:c>
      <x:c r="ED73" s="1111" t="str">
        <x:f t="shared" si="128"/>
        <x:v/>
      </x:c>
      <x:c r="EE73" s="1111" t="str">
        <x:f t="shared" si="129"/>
        <x:v/>
      </x:c>
      <x:c r="EF73" s="1111" t="str">
        <x:f t="shared" si="130"/>
        <x:v/>
      </x:c>
      <x:c r="EG73" s="1111" t="str">
        <x:f t="shared" si="131"/>
        <x:v/>
      </x:c>
      <x:c r="EH73" s="1111" t="str">
        <x:f t="shared" si="132"/>
        <x:v/>
      </x:c>
      <x:c r="EI73" s="1111" t="str">
        <x:f t="shared" si="133"/>
        <x:v/>
      </x:c>
      <x:c r="EJ73" s="1111" t="str">
        <x:f t="shared" si="134"/>
        <x:v/>
      </x:c>
      <x:c r="EK73" s="1109">
        <x:f t="shared" si="135"/>
        <x:v>0</x:v>
      </x:c>
      <x:c r="EL73" s="1109">
        <x:f t="shared" si="136"/>
        <x:v>0</x:v>
      </x:c>
      <x:c r="EM73" s="1109">
        <x:f t="shared" si="137"/>
        <x:v>0</x:v>
      </x:c>
      <x:c r="EN73" s="1109" t="str">
        <x:f t="shared" si="138"/>
        <x:v/>
      </x:c>
      <x:c r="EO73" s="1108" t="str">
        <x:f t="shared" si="139"/>
        <x:v/>
      </x:c>
      <x:c r="EP73" s="1109">
        <x:f t="shared" si="140"/>
        <x:v>0</x:v>
      </x:c>
      <x:c r="EQ73" s="1109">
        <x:f t="shared" si="141"/>
        <x:v>0</x:v>
      </x:c>
      <x:c r="ER73" s="1109">
        <x:f t="shared" si="142"/>
        <x:v>0</x:v>
      </x:c>
      <x:c r="ES73" s="1109" t="str">
        <x:f t="shared" si="143"/>
        <x:v/>
      </x:c>
      <x:c r="ET73" s="1108" t="str">
        <x:f t="shared" si="144"/>
        <x:v/>
      </x:c>
      <x:c r="EU73" s="1108">
        <x:f t="shared" si="145"/>
        <x:v>0</x:v>
      </x:c>
      <x:c r="EV73" s="1111" t="e">
        <x:f t="shared" si="146"/>
        <x:v>#VALUE!</x:v>
      </x:c>
      <x:c r="EW73" s="1111" t="e">
        <x:f t="shared" si="147"/>
        <x:v>#VALUE!</x:v>
      </x:c>
      <x:c r="EX73" s="1113" t="str">
        <x:f t="shared" si="176"/>
        <x:v/>
      </x:c>
      <x:c r="EY73" s="1114">
        <x:f t="shared" si="148"/>
        <x:v>25</x:v>
      </x:c>
      <x:c r="EZ73" s="1219">
        <x:f t="shared" si="149"/>
        <x:v>0</x:v>
      </x:c>
      <x:c r="FA73" s="1220">
        <x:f t="shared" si="150"/>
        <x:v>0</x:v>
      </x:c>
      <x:c r="FB73" s="1115" t="str">
        <x:f t="shared" si="151"/>
        <x:v/>
      </x:c>
      <x:c r="FC73" s="1116" t="str">
        <x:f t="shared" si="152"/>
        <x:v/>
      </x:c>
      <x:c r="FD73" s="1126">
        <x:f t="shared" si="153"/>
        <x:v>0</x:v>
      </x:c>
      <x:c r="FE73" s="1066">
        <x:f t="shared" si="154"/>
        <x:v>0</x:v>
      </x:c>
      <x:c r="FF73" s="969" t="b">
        <x:f t="shared" si="155"/>
        <x:v>0</x:v>
      </x:c>
      <x:c r="FG73" s="969" t="b">
        <x:f t="shared" si="156"/>
        <x:v>0</x:v>
      </x:c>
      <x:c r="FH73" s="969" t="b">
        <x:f t="shared" si="157"/>
        <x:v>0</x:v>
      </x:c>
      <x:c r="FI73" s="969" t="b">
        <x:f t="shared" si="158"/>
        <x:v>0</x:v>
      </x:c>
      <x:c r="FJ73" s="1161" t="str">
        <x:f t="shared" si="177"/>
        <x:v/>
      </x:c>
      <x:c r="FK73" s="1160" t="str">
        <x:f t="shared" si="178"/>
        <x:v/>
      </x:c>
      <x:c r="FL73" s="388" t="e">
        <x:f t="shared" si="179"/>
        <x:v>#N/A</x:v>
      </x:c>
      <x:c r="FM73" s="380" t="str">
        <x:f t="shared" si="159"/>
        <x:v/>
      </x:c>
      <x:c r="FN73" s="337" t="str">
        <x:f t="shared" ca="1" si="180"/>
        <x:v/>
      </x:c>
      <x:c r="FO73" s="338" t="str">
        <x:f t="shared" ca="1" si="181"/>
        <x:v/>
      </x:c>
      <x:c r="FP73" s="339" t="str">
        <x:f t="shared" ca="1" si="182"/>
        <x:v/>
      </x:c>
      <x:c r="FQ73" s="339" t="str">
        <x:f t="shared" ca="1" si="183"/>
        <x:v/>
      </x:c>
      <x:c r="FR73" s="389">
        <x:f t="shared" ca="1" si="184"/>
        <x:v>0</x:v>
      </x:c>
      <x:c r="FS73" s="390">
        <x:f t="shared" ca="1" si="185"/>
        <x:v>0</x:v>
      </x:c>
      <x:c r="FT73" s="337" t="str">
        <x:f t="shared" ca="1" si="186"/>
        <x:v/>
      </x:c>
      <x:c r="FU73" s="340" t="str">
        <x:f t="shared" ca="1" si="187"/>
        <x:v/>
      </x:c>
      <x:c r="FV73" s="391" t="str">
        <x:f t="shared" ca="1" si="160"/>
        <x:v/>
      </x:c>
      <x:c r="FW73" s="341" t="str">
        <x:f t="shared" ca="1" si="188"/>
        <x:v/>
      </x:c>
      <x:c r="FX73" s="341" t="str">
        <x:f t="shared" ca="1" si="189"/>
        <x:v/>
      </x:c>
      <x:c r="FY73" s="341" t="str">
        <x:f t="shared" ca="1" si="190"/>
        <x:v/>
      </x:c>
      <x:c r="FZ73" s="341" t="str">
        <x:f t="shared" ca="1" si="191"/>
        <x:v/>
      </x:c>
      <x:c r="GA73" s="341" t="str">
        <x:f t="shared" ca="1" si="192"/>
        <x:v/>
      </x:c>
      <x:c r="GB73" s="342" t="str">
        <x:f ca="1">IF(FY73="","",2+SUM(FO73:OFFSET(FO73,(FU73-1)*-1,0)))</x:f>
        <x:v/>
      </x:c>
      <x:c r="GC73" s="384" t="e">
        <x:f t="shared" si="193"/>
        <x:v>#N/A</x:v>
      </x:c>
      <x:c r="GD73" s="392" t="str">
        <x:f t="shared" si="161"/>
        <x:v/>
      </x:c>
      <x:c r="GE73" s="393" t="str">
        <x:f t="shared" si="162"/>
        <x:v/>
      </x:c>
      <x:c r="GF73" s="343" t="str">
        <x:f t="shared" si="163"/>
        <x:v/>
      </x:c>
      <x:c r="GG73" s="344" t="str">
        <x:f t="shared" si="164"/>
        <x:v/>
      </x:c>
      <x:c r="GH73" s="344" t="str">
        <x:f t="shared" si="165"/>
        <x:v/>
      </x:c>
      <x:c r="GI73" s="345" t="str">
        <x:f t="shared" si="166"/>
        <x:v/>
      </x:c>
      <x:c r="GJ73" s="646">
        <x:f t="shared" ca="1" si="167"/>
        <x:v>0</x:v>
      </x:c>
      <x:c r="GK73" s="1131" t="str">
        <x:f t="shared" ca="1" si="194"/>
        <x:v>A</x:v>
      </x:c>
    </x:row>
    <x:row r="74" spans="78:193" ht="12.6" hidden="1" customHeight="1" x14ac:dyDescent="0.2">
      <x:c r="BZ74" s="360"/>
      <x:c r="CA74" s="360"/>
      <x:c r="CB74" s="435" t="str">
        <x:f t="shared" si="100"/>
        <x:v/>
      </x:c>
      <x:c r="CC74" s="436" t="str">
        <x:f>IF(CG34="","",VLOOKUP(CG34,SectInfo!$B:$N,12,FALSE))</x:f>
        <x:v/>
      </x:c>
      <x:c r="CD74" s="1172" t="str">
        <x:f>IF(ISBLANK(CZ34),IF(CG34="","",VLOOKUP(CG34,SectInfo!$B:$N,13,FALSE)),CZ34)</x:f>
        <x:v/>
      </x:c>
      <x:c r="CE74" s="437" t="str">
        <x:f>IF(CG34="","",IF(VLOOKUP(CG34,SectInfo!$B:$N,5,FALSE)="","R",UPPER(VLOOKUP(CG34,SectInfo!$B:$N,5,FALSE))))</x:f>
        <x:v/>
      </x:c>
      <x:c r="CF74" s="1172" t="str">
        <x:f>IF(ISBLANK(DD34),IF(CG34="","",VLOOKUP(CG34,SectInfo!$B:$N,6,FALSE)),DD34)</x:f>
        <x:v/>
      </x:c>
      <x:c r="CG74" s="437" t="str">
        <x:f>IF(CG34="","",IF(VLOOKUP(CG34,SectInfo!$B:$N,10,FALSE)="","",(VLOOKUP(CG34,SectInfo!$B:$N,10,FALSE)*-1)))</x:f>
        <x:v/>
      </x:c>
      <x:c r="CH74" s="437" t="str">
        <x:f>IF(CG34="","",IF(VLOOKUP(CG34,SectInfo!$B:$N,7,FALSE)="","",(VLOOKUP(CG34,SectInfo!$B:$N,7,FALSE)*-1)))</x:f>
        <x:v/>
      </x:c>
      <x:c r="CI74" s="437" t="str">
        <x:f>IF(CG34="","",IF(VLOOKUP(CG34,SectInfo!$B:$N,8,FALSE)="",$FC$4,(VLOOKUP(CG34,SectInfo!$B:$N,8,FALSE))))</x:f>
        <x:v/>
      </x:c>
      <x:c r="CJ74" s="437" t="str">
        <x:f>IF(CG34="","",VLOOKUP(CG34,SectInfo!$B:$N,9,FALSE))</x:f>
        <x:v/>
      </x:c>
      <x:c r="CK74" s="438">
        <x:f t="shared" si="168"/>
        <x:v>0</x:v>
      </x:c>
      <x:c r="CL74" s="436" t="str">
        <x:f>IF(CN34="","",VLOOKUP(CN34,SectInfo!$B:$N,12,FALSE))</x:f>
        <x:v/>
      </x:c>
      <x:c r="CM74" s="1172" t="str">
        <x:f>IF(ISBLANK(DA34),IF(CN34="","",VLOOKUP(CN34,SectInfo!$B:$N,13,FALSE)),DA34)</x:f>
        <x:v/>
      </x:c>
      <x:c r="CN74" s="437" t="str">
        <x:f>IF(CN34="","",IF(VLOOKUP(CN34,SectInfo!$B:$N,5,FALSE)="","R",UPPER(VLOOKUP(CN34,SectInfo!$B:$N,5,FALSE))))</x:f>
        <x:v/>
      </x:c>
      <x:c r="CO74" s="1172" t="str">
        <x:f>IF(ISBLANK(DE34),IF(CN34="","",VLOOKUP(CN34,SectInfo!$B:$N,6,FALSE)),DE34)</x:f>
        <x:v/>
      </x:c>
      <x:c r="CP74" s="437" t="str">
        <x:f>IF(CN34="","",IF(VLOOKUP(CN34,SectInfo!$B:$N,10,FALSE)="","",(VLOOKUP(CN34,SectInfo!$B:$N,10,FALSE)*-1)))</x:f>
        <x:v/>
      </x:c>
      <x:c r="CQ74" s="437" t="str">
        <x:f>IF(CN34="","",IF(VLOOKUP(CN34,SectInfo!$B:$N,7,FALSE)="","",(VLOOKUP(CN34,SectInfo!$B:$N,7,FALSE)*-1)))</x:f>
        <x:v/>
      </x:c>
      <x:c r="CR74" s="437" t="str">
        <x:f>IF(CN34="","",IF(VLOOKUP(CN34,SectInfo!$B:$N,8,FALSE)="",$FC$4,(VLOOKUP(CN34,SectInfo!$B:$N,8,FALSE))))</x:f>
        <x:v/>
      </x:c>
      <x:c r="CS74" s="437" t="str">
        <x:f>IF(CN34="","",VLOOKUP(CN34,SectInfo!$B:$N,9,FALSE))</x:f>
        <x:v/>
      </x:c>
      <x:c r="CT74" s="438">
        <x:f t="shared" si="169"/>
        <x:v>0</x:v>
      </x:c>
      <x:c r="CU74" s="439">
        <x:f t="shared" si="101"/>
        <x:v>0</x:v>
      </x:c>
      <x:c r="CV74" s="339" t="str">
        <x:f t="shared" si="102"/>
        <x:v/>
      </x:c>
      <x:c r="CW74" s="339" t="str">
        <x:f t="shared" si="103"/>
        <x:v/>
      </x:c>
      <x:c r="CX74" s="339" t="str">
        <x:f t="shared" si="104"/>
        <x:v/>
      </x:c>
      <x:c r="CY74" s="1109">
        <x:f t="shared" si="105"/>
        <x:v>0</x:v>
      </x:c>
      <x:c r="CZ74" s="1109">
        <x:f t="shared" si="106"/>
        <x:v>0</x:v>
      </x:c>
      <x:c r="DA74" s="1109" t="str">
        <x:f t="shared" si="107"/>
        <x:v/>
      </x:c>
      <x:c r="DB74" s="1125" t="str">
        <x:f t="shared" si="170"/>
        <x:v/>
      </x:c>
      <x:c r="DC74" s="1125" t="str">
        <x:f t="shared" si="108"/>
        <x:v/>
      </x:c>
      <x:c r="DD74" s="1110">
        <x:f t="shared" si="171"/>
        <x:v>0</x:v>
      </x:c>
      <x:c r="DE74" s="1108">
        <x:f t="shared" si="172"/>
        <x:v>0</x:v>
      </x:c>
      <x:c r="DF74" s="1109">
        <x:f t="shared" si="109"/>
        <x:v>0</x:v>
      </x:c>
      <x:c r="DG74" s="1109" t="str">
        <x:f t="shared" si="110"/>
        <x:v/>
      </x:c>
      <x:c r="DH74" s="1125" t="str">
        <x:f t="shared" si="173"/>
        <x:v/>
      </x:c>
      <x:c r="DI74" s="1125" t="str">
        <x:f t="shared" si="174"/>
        <x:v/>
      </x:c>
      <x:c r="DJ74" s="1110">
        <x:f t="shared" si="175"/>
        <x:v>0</x:v>
      </x:c>
      <x:c r="DK74" s="1108" t="str">
        <x:f t="shared" si="111"/>
        <x:v/>
      </x:c>
      <x:c r="DL74" s="1108" t="str">
        <x:f t="shared" si="112"/>
        <x:v/>
      </x:c>
      <x:c r="DM74" s="1108" t="str">
        <x:f t="shared" si="113"/>
        <x:v/>
      </x:c>
      <x:c r="DN74" s="1108" t="str">
        <x:f t="shared" si="114"/>
        <x:v/>
      </x:c>
      <x:c r="DO74" s="1125" t="str">
        <x:f t="shared" si="115"/>
        <x:v>ERR</x:v>
      </x:c>
      <x:c r="DP74" s="1125" t="str">
        <x:f t="shared" si="116"/>
        <x:v>ERR</x:v>
      </x:c>
      <x:c r="DQ74" s="1108" t="str">
        <x:f t="shared" si="117"/>
        <x:v/>
      </x:c>
      <x:c r="DR74" s="1108" t="str">
        <x:f t="shared" si="117"/>
        <x:v/>
      </x:c>
      <x:c r="DS74" s="1108" t="str">
        <x:f t="shared" si="118"/>
        <x:v/>
      </x:c>
      <x:c r="DT74" s="1108" t="str">
        <x:f t="shared" si="119"/>
        <x:v/>
      </x:c>
      <x:c r="DU74" s="1108" t="str">
        <x:f t="shared" si="120"/>
        <x:v/>
      </x:c>
      <x:c r="DV74" s="1125" t="str">
        <x:f t="shared" si="121"/>
        <x:v>ERR</x:v>
      </x:c>
      <x:c r="DW74" s="1125" t="str">
        <x:f t="shared" si="122"/>
        <x:v>ERR</x:v>
      </x:c>
      <x:c r="DX74" s="1108" t="str">
        <x:f t="shared" si="123"/>
        <x:v/>
      </x:c>
      <x:c r="DY74" s="1108" t="str">
        <x:f t="shared" si="123"/>
        <x:v/>
      </x:c>
      <x:c r="DZ74" s="1108" t="str">
        <x:f t="shared" si="124"/>
        <x:v/>
      </x:c>
      <x:c r="EA74" s="1108" t="str">
        <x:f t="shared" si="125"/>
        <x:v/>
      </x:c>
      <x:c r="EB74" s="1111" t="str">
        <x:f t="shared" si="126"/>
        <x:v/>
      </x:c>
      <x:c r="EC74" s="1112" t="str">
        <x:f t="shared" si="127"/>
        <x:v/>
      </x:c>
      <x:c r="ED74" s="1111" t="str">
        <x:f t="shared" si="128"/>
        <x:v/>
      </x:c>
      <x:c r="EE74" s="1111" t="str">
        <x:f t="shared" si="129"/>
        <x:v/>
      </x:c>
      <x:c r="EF74" s="1111" t="str">
        <x:f t="shared" si="130"/>
        <x:v/>
      </x:c>
      <x:c r="EG74" s="1111" t="str">
        <x:f t="shared" si="131"/>
        <x:v/>
      </x:c>
      <x:c r="EH74" s="1111" t="str">
        <x:f t="shared" si="132"/>
        <x:v/>
      </x:c>
      <x:c r="EI74" s="1111" t="str">
        <x:f t="shared" si="133"/>
        <x:v/>
      </x:c>
      <x:c r="EJ74" s="1111" t="str">
        <x:f t="shared" si="134"/>
        <x:v/>
      </x:c>
      <x:c r="EK74" s="1109">
        <x:f t="shared" si="135"/>
        <x:v>0</x:v>
      </x:c>
      <x:c r="EL74" s="1109">
        <x:f t="shared" si="136"/>
        <x:v>0</x:v>
      </x:c>
      <x:c r="EM74" s="1109">
        <x:f t="shared" si="137"/>
        <x:v>0</x:v>
      </x:c>
      <x:c r="EN74" s="1109" t="str">
        <x:f t="shared" si="138"/>
        <x:v/>
      </x:c>
      <x:c r="EO74" s="1108" t="str">
        <x:f t="shared" si="139"/>
        <x:v/>
      </x:c>
      <x:c r="EP74" s="1109">
        <x:f t="shared" si="140"/>
        <x:v>0</x:v>
      </x:c>
      <x:c r="EQ74" s="1109">
        <x:f t="shared" si="141"/>
        <x:v>0</x:v>
      </x:c>
      <x:c r="ER74" s="1109">
        <x:f t="shared" si="142"/>
        <x:v>0</x:v>
      </x:c>
      <x:c r="ES74" s="1109" t="str">
        <x:f t="shared" si="143"/>
        <x:v/>
      </x:c>
      <x:c r="ET74" s="1108" t="str">
        <x:f t="shared" si="144"/>
        <x:v/>
      </x:c>
      <x:c r="EU74" s="1108">
        <x:f t="shared" si="145"/>
        <x:v>0</x:v>
      </x:c>
      <x:c r="EV74" s="1111" t="e">
        <x:f t="shared" si="146"/>
        <x:v>#VALUE!</x:v>
      </x:c>
      <x:c r="EW74" s="1111" t="e">
        <x:f t="shared" si="147"/>
        <x:v>#VALUE!</x:v>
      </x:c>
      <x:c r="EX74" s="1113" t="str">
        <x:f t="shared" si="176"/>
        <x:v/>
      </x:c>
      <x:c r="EY74" s="1114" t="e">
        <x:f t="shared" si="148"/>
        <x:v>#DIV/0!</x:v>
      </x:c>
      <x:c r="EZ74" s="1219" t="e">
        <x:f t="shared" si="149"/>
        <x:v>#DIV/0!</x:v>
      </x:c>
      <x:c r="FA74" s="1220" t="e">
        <x:f t="shared" si="150"/>
        <x:v>#DIV/0!</x:v>
      </x:c>
      <x:c r="FB74" s="1115" t="str">
        <x:f t="shared" si="151"/>
        <x:v/>
      </x:c>
      <x:c r="FC74" s="1116" t="str">
        <x:f t="shared" si="152"/>
        <x:v/>
      </x:c>
      <x:c r="FD74" s="1126">
        <x:f t="shared" si="153"/>
        <x:v>0</x:v>
      </x:c>
      <x:c r="FE74" s="1066">
        <x:f t="shared" si="154"/>
        <x:v>0</x:v>
      </x:c>
      <x:c r="FF74" s="969" t="b">
        <x:f t="shared" si="155"/>
        <x:v>0</x:v>
      </x:c>
      <x:c r="FG74" s="969" t="b">
        <x:f t="shared" si="156"/>
        <x:v>0</x:v>
      </x:c>
      <x:c r="FH74" s="969" t="b">
        <x:f t="shared" si="157"/>
        <x:v>0</x:v>
      </x:c>
      <x:c r="FI74" s="969" t="b">
        <x:f t="shared" si="158"/>
        <x:v>0</x:v>
      </x:c>
      <x:c r="FJ74" s="1161" t="str">
        <x:f t="shared" si="177"/>
        <x:v/>
      </x:c>
      <x:c r="FK74" s="1160" t="str">
        <x:f t="shared" si="178"/>
        <x:v/>
      </x:c>
      <x:c r="FL74" s="388" t="e">
        <x:f t="shared" si="179"/>
        <x:v>#N/A</x:v>
      </x:c>
      <x:c r="FM74" s="380" t="str">
        <x:f t="shared" si="159"/>
        <x:v/>
      </x:c>
      <x:c r="FN74" s="337" t="str">
        <x:f t="shared" ca="1" si="180"/>
        <x:v/>
      </x:c>
      <x:c r="FO74" s="338" t="str">
        <x:f t="shared" ca="1" si="181"/>
        <x:v/>
      </x:c>
      <x:c r="FP74" s="339" t="str">
        <x:f t="shared" ca="1" si="182"/>
        <x:v/>
      </x:c>
      <x:c r="FQ74" s="339" t="str">
        <x:f t="shared" ca="1" si="183"/>
        <x:v/>
      </x:c>
      <x:c r="FR74" s="389">
        <x:f t="shared" ca="1" si="184"/>
        <x:v>0</x:v>
      </x:c>
      <x:c r="FS74" s="390">
        <x:f t="shared" ca="1" si="185"/>
        <x:v>0</x:v>
      </x:c>
      <x:c r="FT74" s="337" t="str">
        <x:f t="shared" ca="1" si="186"/>
        <x:v/>
      </x:c>
      <x:c r="FU74" s="340" t="str">
        <x:f t="shared" ca="1" si="187"/>
        <x:v/>
      </x:c>
      <x:c r="FV74" s="391" t="str">
        <x:f t="shared" ca="1" si="160"/>
        <x:v/>
      </x:c>
      <x:c r="FW74" s="341" t="str">
        <x:f t="shared" ca="1" si="188"/>
        <x:v/>
      </x:c>
      <x:c r="FX74" s="341" t="str">
        <x:f t="shared" ca="1" si="189"/>
        <x:v/>
      </x:c>
      <x:c r="FY74" s="341" t="str">
        <x:f t="shared" ca="1" si="190"/>
        <x:v/>
      </x:c>
      <x:c r="FZ74" s="341" t="str">
        <x:f t="shared" ca="1" si="191"/>
        <x:v/>
      </x:c>
      <x:c r="GA74" s="341" t="str">
        <x:f t="shared" ca="1" si="192"/>
        <x:v/>
      </x:c>
      <x:c r="GB74" s="342" t="str">
        <x:f ca="1">IF(FY74="","",2+SUM(FO74:OFFSET(FO74,(FU74-1)*-1,0)))</x:f>
        <x:v/>
      </x:c>
      <x:c r="GC74" s="384" t="e">
        <x:f t="shared" si="193"/>
        <x:v>#N/A</x:v>
      </x:c>
      <x:c r="GD74" s="392" t="str">
        <x:f t="shared" si="161"/>
        <x:v/>
      </x:c>
      <x:c r="GE74" s="393" t="str">
        <x:f t="shared" si="162"/>
        <x:v/>
      </x:c>
      <x:c r="GF74" s="343" t="str">
        <x:f t="shared" si="163"/>
        <x:v/>
      </x:c>
      <x:c r="GG74" s="344" t="str">
        <x:f t="shared" si="164"/>
        <x:v/>
      </x:c>
      <x:c r="GH74" s="344" t="str">
        <x:f t="shared" si="165"/>
        <x:v/>
      </x:c>
      <x:c r="GI74" s="345" t="str">
        <x:f t="shared" si="166"/>
        <x:v/>
      </x:c>
      <x:c r="GJ74" s="646">
        <x:f t="shared" ca="1" si="167"/>
        <x:v>0</x:v>
      </x:c>
      <x:c r="GK74" s="1131" t="str">
        <x:f t="shared" ca="1" si="194"/>
        <x:v>A</x:v>
      </x:c>
    </x:row>
    <x:row r="75" spans="78:193" ht="12.6" hidden="1" customHeight="1" x14ac:dyDescent="0.2">
      <x:c r="BZ75" s="360"/>
      <x:c r="CA75" s="360"/>
      <x:c r="CB75" s="435" t="str">
        <x:f t="shared" si="100"/>
        <x:v/>
      </x:c>
      <x:c r="CC75" s="436" t="str">
        <x:f>IF(CG35="","",VLOOKUP(CG35,SectInfo!$B:$N,12,FALSE))</x:f>
        <x:v/>
      </x:c>
      <x:c r="CD75" s="1172" t="str">
        <x:f>IF(ISBLANK(CZ35),IF(CG35="","",VLOOKUP(CG35,SectInfo!$B:$N,13,FALSE)),CZ35)</x:f>
        <x:v/>
      </x:c>
      <x:c r="CE75" s="437" t="str">
        <x:f>IF(CG35="","",IF(VLOOKUP(CG35,SectInfo!$B:$N,5,FALSE)="","R",UPPER(VLOOKUP(CG35,SectInfo!$B:$N,5,FALSE))))</x:f>
        <x:v/>
      </x:c>
      <x:c r="CF75" s="1172" t="str">
        <x:f>IF(ISBLANK(DD35),IF(CG35="","",VLOOKUP(CG35,SectInfo!$B:$N,6,FALSE)),DD35)</x:f>
        <x:v/>
      </x:c>
      <x:c r="CG75" s="437" t="str">
        <x:f>IF(CG35="","",IF(VLOOKUP(CG35,SectInfo!$B:$N,10,FALSE)="","",(VLOOKUP(CG35,SectInfo!$B:$N,10,FALSE)*-1)))</x:f>
        <x:v/>
      </x:c>
      <x:c r="CH75" s="437" t="str">
        <x:f>IF(CG35="","",IF(VLOOKUP(CG35,SectInfo!$B:$N,7,FALSE)="","",(VLOOKUP(CG35,SectInfo!$B:$N,7,FALSE)*-1)))</x:f>
        <x:v/>
      </x:c>
      <x:c r="CI75" s="437" t="str">
        <x:f>IF(CG35="","",IF(VLOOKUP(CG35,SectInfo!$B:$N,8,FALSE)="",$FC$4,(VLOOKUP(CG35,SectInfo!$B:$N,8,FALSE))))</x:f>
        <x:v/>
      </x:c>
      <x:c r="CJ75" s="437" t="str">
        <x:f>IF(CG35="","",VLOOKUP(CG35,SectInfo!$B:$N,9,FALSE))</x:f>
        <x:v/>
      </x:c>
      <x:c r="CK75" s="438">
        <x:f t="shared" si="168"/>
        <x:v>0</x:v>
      </x:c>
      <x:c r="CL75" s="436" t="str">
        <x:f>IF(CN35="","",VLOOKUP(CN35,SectInfo!$B:$N,12,FALSE))</x:f>
        <x:v/>
      </x:c>
      <x:c r="CM75" s="1172" t="str">
        <x:f>IF(ISBLANK(DA35),IF(CN35="","",VLOOKUP(CN35,SectInfo!$B:$N,13,FALSE)),DA35)</x:f>
        <x:v/>
      </x:c>
      <x:c r="CN75" s="437" t="str">
        <x:f>IF(CN35="","",IF(VLOOKUP(CN35,SectInfo!$B:$N,5,FALSE)="","R",UPPER(VLOOKUP(CN35,SectInfo!$B:$N,5,FALSE))))</x:f>
        <x:v/>
      </x:c>
      <x:c r="CO75" s="1172" t="str">
        <x:f>IF(ISBLANK(DE35),IF(CN35="","",VLOOKUP(CN35,SectInfo!$B:$N,6,FALSE)),DE35)</x:f>
        <x:v/>
      </x:c>
      <x:c r="CP75" s="437" t="str">
        <x:f>IF(CN35="","",IF(VLOOKUP(CN35,SectInfo!$B:$N,10,FALSE)="","",(VLOOKUP(CN35,SectInfo!$B:$N,10,FALSE)*-1)))</x:f>
        <x:v/>
      </x:c>
      <x:c r="CQ75" s="437" t="str">
        <x:f>IF(CN35="","",IF(VLOOKUP(CN35,SectInfo!$B:$N,7,FALSE)="","",(VLOOKUP(CN35,SectInfo!$B:$N,7,FALSE)*-1)))</x:f>
        <x:v/>
      </x:c>
      <x:c r="CR75" s="437" t="str">
        <x:f>IF(CN35="","",IF(VLOOKUP(CN35,SectInfo!$B:$N,8,FALSE)="",$FC$4,(VLOOKUP(CN35,SectInfo!$B:$N,8,FALSE))))</x:f>
        <x:v/>
      </x:c>
      <x:c r="CS75" s="437" t="str">
        <x:f>IF(CN35="","",VLOOKUP(CN35,SectInfo!$B:$N,9,FALSE))</x:f>
        <x:v/>
      </x:c>
      <x:c r="CT75" s="438">
        <x:f t="shared" si="169"/>
        <x:v>0</x:v>
      </x:c>
      <x:c r="CU75" s="439">
        <x:f t="shared" si="101"/>
        <x:v>0</x:v>
      </x:c>
      <x:c r="CV75" s="339" t="str">
        <x:f t="shared" si="102"/>
        <x:v/>
      </x:c>
      <x:c r="CW75" s="339" t="str">
        <x:f t="shared" si="103"/>
        <x:v/>
      </x:c>
      <x:c r="CX75" s="339" t="str">
        <x:f t="shared" si="104"/>
        <x:v/>
      </x:c>
      <x:c r="CY75" s="1109">
        <x:f t="shared" si="105"/>
        <x:v>0</x:v>
      </x:c>
      <x:c r="CZ75" s="1109">
        <x:f t="shared" si="106"/>
        <x:v>0</x:v>
      </x:c>
      <x:c r="DA75" s="1109" t="str">
        <x:f t="shared" si="107"/>
        <x:v/>
      </x:c>
      <x:c r="DB75" s="1125" t="str">
        <x:f t="shared" si="170"/>
        <x:v/>
      </x:c>
      <x:c r="DC75" s="1125" t="str">
        <x:f t="shared" si="108"/>
        <x:v/>
      </x:c>
      <x:c r="DD75" s="1110">
        <x:f t="shared" si="171"/>
        <x:v>0</x:v>
      </x:c>
      <x:c r="DE75" s="1108">
        <x:f t="shared" si="172"/>
        <x:v>0</x:v>
      </x:c>
      <x:c r="DF75" s="1109">
        <x:f t="shared" si="109"/>
        <x:v>0</x:v>
      </x:c>
      <x:c r="DG75" s="1109" t="str">
        <x:f t="shared" si="110"/>
        <x:v/>
      </x:c>
      <x:c r="DH75" s="1125" t="str">
        <x:f t="shared" si="173"/>
        <x:v/>
      </x:c>
      <x:c r="DI75" s="1125" t="str">
        <x:f t="shared" si="174"/>
        <x:v/>
      </x:c>
      <x:c r="DJ75" s="1110">
        <x:f t="shared" si="175"/>
        <x:v>0</x:v>
      </x:c>
      <x:c r="DK75" s="1108" t="str">
        <x:f t="shared" si="111"/>
        <x:v/>
      </x:c>
      <x:c r="DL75" s="1108" t="str">
        <x:f t="shared" si="112"/>
        <x:v/>
      </x:c>
      <x:c r="DM75" s="1108" t="str">
        <x:f t="shared" si="113"/>
        <x:v/>
      </x:c>
      <x:c r="DN75" s="1108" t="str">
        <x:f t="shared" si="114"/>
        <x:v/>
      </x:c>
      <x:c r="DO75" s="1125" t="str">
        <x:f t="shared" si="115"/>
        <x:v>ERR</x:v>
      </x:c>
      <x:c r="DP75" s="1125" t="str">
        <x:f t="shared" si="116"/>
        <x:v>ERR</x:v>
      </x:c>
      <x:c r="DQ75" s="1108" t="str">
        <x:f t="shared" si="117"/>
        <x:v/>
      </x:c>
      <x:c r="DR75" s="1108" t="str">
        <x:f t="shared" si="117"/>
        <x:v/>
      </x:c>
      <x:c r="DS75" s="1108" t="str">
        <x:f t="shared" si="118"/>
        <x:v/>
      </x:c>
      <x:c r="DT75" s="1108" t="str">
        <x:f t="shared" si="119"/>
        <x:v/>
      </x:c>
      <x:c r="DU75" s="1108" t="str">
        <x:f t="shared" si="120"/>
        <x:v/>
      </x:c>
      <x:c r="DV75" s="1125" t="str">
        <x:f t="shared" si="121"/>
        <x:v>ERR</x:v>
      </x:c>
      <x:c r="DW75" s="1125" t="str">
        <x:f t="shared" si="122"/>
        <x:v>ERR</x:v>
      </x:c>
      <x:c r="DX75" s="1108" t="str">
        <x:f t="shared" ref="DX75:DY85" si="195">IF(ISERROR(DT75),"ERR",IF(DT75="","",IF(DV75="ERR","ERR",CEILING(DV75-0.0625,0.125))))</x:f>
        <x:v/>
      </x:c>
      <x:c r="DY75" s="1108" t="str">
        <x:f t="shared" si="195"/>
        <x:v/>
      </x:c>
      <x:c r="DZ75" s="1108" t="str">
        <x:f t="shared" si="124"/>
        <x:v/>
      </x:c>
      <x:c r="EA75" s="1108" t="str">
        <x:f t="shared" si="125"/>
        <x:v/>
      </x:c>
      <x:c r="EB75" s="1111" t="str">
        <x:f t="shared" si="126"/>
        <x:v/>
      </x:c>
      <x:c r="EC75" s="1112" t="str">
        <x:f t="shared" si="127"/>
        <x:v/>
      </x:c>
      <x:c r="ED75" s="1111" t="str">
        <x:f t="shared" si="128"/>
        <x:v/>
      </x:c>
      <x:c r="EE75" s="1111" t="str">
        <x:f t="shared" si="129"/>
        <x:v/>
      </x:c>
      <x:c r="EF75" s="1111" t="str">
        <x:f t="shared" si="130"/>
        <x:v/>
      </x:c>
      <x:c r="EG75" s="1111" t="str">
        <x:f t="shared" si="131"/>
        <x:v/>
      </x:c>
      <x:c r="EH75" s="1111" t="str">
        <x:f t="shared" si="132"/>
        <x:v/>
      </x:c>
      <x:c r="EI75" s="1111" t="str">
        <x:f t="shared" si="133"/>
        <x:v/>
      </x:c>
      <x:c r="EJ75" s="1111" t="str">
        <x:f t="shared" si="134"/>
        <x:v/>
      </x:c>
      <x:c r="EK75" s="1109">
        <x:f t="shared" si="135"/>
        <x:v>0</x:v>
      </x:c>
      <x:c r="EL75" s="1109">
        <x:f t="shared" si="136"/>
        <x:v>0</x:v>
      </x:c>
      <x:c r="EM75" s="1109">
        <x:f t="shared" si="137"/>
        <x:v>0</x:v>
      </x:c>
      <x:c r="EN75" s="1109" t="str">
        <x:f t="shared" si="138"/>
        <x:v/>
      </x:c>
      <x:c r="EO75" s="1108" t="str">
        <x:f t="shared" si="139"/>
        <x:v/>
      </x:c>
      <x:c r="EP75" s="1109">
        <x:f t="shared" si="140"/>
        <x:v>0</x:v>
      </x:c>
      <x:c r="EQ75" s="1109">
        <x:f t="shared" si="141"/>
        <x:v>0</x:v>
      </x:c>
      <x:c r="ER75" s="1109">
        <x:f t="shared" si="142"/>
        <x:v>0</x:v>
      </x:c>
      <x:c r="ES75" s="1109" t="str">
        <x:f t="shared" si="143"/>
        <x:v/>
      </x:c>
      <x:c r="ET75" s="1108" t="str">
        <x:f t="shared" si="144"/>
        <x:v/>
      </x:c>
      <x:c r="EU75" s="1108">
        <x:f t="shared" si="145"/>
        <x:v>0</x:v>
      </x:c>
      <x:c r="EV75" s="1111" t="e">
        <x:f t="shared" si="146"/>
        <x:v>#VALUE!</x:v>
      </x:c>
      <x:c r="EW75" s="1111" t="e">
        <x:f t="shared" si="147"/>
        <x:v>#VALUE!</x:v>
      </x:c>
      <x:c r="EX75" s="1113" t="str">
        <x:f t="shared" si="176"/>
        <x:v/>
      </x:c>
      <x:c r="EY75" s="1114" t="e">
        <x:f t="shared" si="148"/>
        <x:v>#DIV/0!</x:v>
      </x:c>
      <x:c r="EZ75" s="1219" t="e">
        <x:f t="shared" si="149"/>
        <x:v>#DIV/0!</x:v>
      </x:c>
      <x:c r="FA75" s="1220" t="e">
        <x:f t="shared" si="150"/>
        <x:v>#DIV/0!</x:v>
      </x:c>
      <x:c r="FB75" s="1115" t="str">
        <x:f t="shared" si="151"/>
        <x:v/>
      </x:c>
      <x:c r="FC75" s="1116" t="str">
        <x:f t="shared" si="152"/>
        <x:v/>
      </x:c>
      <x:c r="FD75" s="1126">
        <x:f t="shared" si="153"/>
        <x:v>0</x:v>
      </x:c>
      <x:c r="FE75" s="1066">
        <x:f t="shared" si="154"/>
        <x:v>0</x:v>
      </x:c>
      <x:c r="FF75" s="969" t="b">
        <x:f t="shared" si="155"/>
        <x:v>0</x:v>
      </x:c>
      <x:c r="FG75" s="969" t="b">
        <x:f t="shared" si="156"/>
        <x:v>0</x:v>
      </x:c>
      <x:c r="FH75" s="969" t="b">
        <x:f t="shared" si="157"/>
        <x:v>0</x:v>
      </x:c>
      <x:c r="FI75" s="969" t="b">
        <x:f t="shared" si="158"/>
        <x:v>0</x:v>
      </x:c>
      <x:c r="FJ75" s="1161" t="str">
        <x:f t="shared" si="177"/>
        <x:v/>
      </x:c>
      <x:c r="FK75" s="1160" t="str">
        <x:f t="shared" si="178"/>
        <x:v/>
      </x:c>
      <x:c r="FL75" s="388" t="e">
        <x:f t="shared" si="179"/>
        <x:v>#N/A</x:v>
      </x:c>
      <x:c r="FM75" s="380" t="str">
        <x:f t="shared" si="159"/>
        <x:v/>
      </x:c>
      <x:c r="FN75" s="337" t="str">
        <x:f t="shared" ca="1" si="180"/>
        <x:v/>
      </x:c>
      <x:c r="FO75" s="338" t="str">
        <x:f t="shared" ca="1" si="181"/>
        <x:v/>
      </x:c>
      <x:c r="FP75" s="339" t="str">
        <x:f t="shared" ca="1" si="182"/>
        <x:v/>
      </x:c>
      <x:c r="FQ75" s="339" t="str">
        <x:f t="shared" ca="1" si="183"/>
        <x:v/>
      </x:c>
      <x:c r="FR75" s="389">
        <x:f t="shared" ca="1" si="184"/>
        <x:v>0</x:v>
      </x:c>
      <x:c r="FS75" s="390">
        <x:f t="shared" ca="1" si="185"/>
        <x:v>0</x:v>
      </x:c>
      <x:c r="FT75" s="337" t="str">
        <x:f t="shared" ca="1" si="186"/>
        <x:v/>
      </x:c>
      <x:c r="FU75" s="340" t="str">
        <x:f t="shared" ca="1" si="187"/>
        <x:v/>
      </x:c>
      <x:c r="FV75" s="391" t="str">
        <x:f t="shared" ca="1" si="160"/>
        <x:v/>
      </x:c>
      <x:c r="FW75" s="341" t="str">
        <x:f t="shared" ca="1" si="188"/>
        <x:v/>
      </x:c>
      <x:c r="FX75" s="341" t="str">
        <x:f t="shared" ca="1" si="189"/>
        <x:v/>
      </x:c>
      <x:c r="FY75" s="341" t="str">
        <x:f t="shared" ca="1" si="190"/>
        <x:v/>
      </x:c>
      <x:c r="FZ75" s="341" t="str">
        <x:f t="shared" ca="1" si="191"/>
        <x:v/>
      </x:c>
      <x:c r="GA75" s="341" t="str">
        <x:f t="shared" ca="1" si="192"/>
        <x:v/>
      </x:c>
      <x:c r="GB75" s="342" t="str">
        <x:f ca="1">IF(FY75="","",2+SUM(FO75:OFFSET(FO75,(FU75-1)*-1,0)))</x:f>
        <x:v/>
      </x:c>
      <x:c r="GC75" s="384" t="e">
        <x:f t="shared" si="193"/>
        <x:v>#N/A</x:v>
      </x:c>
      <x:c r="GD75" s="392" t="str">
        <x:f t="shared" si="161"/>
        <x:v/>
      </x:c>
      <x:c r="GE75" s="393" t="str">
        <x:f t="shared" si="162"/>
        <x:v/>
      </x:c>
      <x:c r="GF75" s="343" t="str">
        <x:f t="shared" si="163"/>
        <x:v/>
      </x:c>
      <x:c r="GG75" s="344" t="str">
        <x:f t="shared" si="164"/>
        <x:v/>
      </x:c>
      <x:c r="GH75" s="344" t="str">
        <x:f t="shared" si="165"/>
        <x:v/>
      </x:c>
      <x:c r="GI75" s="345" t="str">
        <x:f t="shared" si="166"/>
        <x:v/>
      </x:c>
      <x:c r="GJ75" s="646">
        <x:f t="shared" ca="1" si="167"/>
        <x:v>0</x:v>
      </x:c>
      <x:c r="GK75" s="1131" t="str">
        <x:f t="shared" ca="1" si="194"/>
        <x:v>A</x:v>
      </x:c>
    </x:row>
    <x:row r="76" spans="78:193" ht="12.6" hidden="1" customHeight="1" x14ac:dyDescent="0.2">
      <x:c r="BZ76" s="360"/>
      <x:c r="CA76" s="360"/>
      <x:c r="CB76" s="435" t="str">
        <x:f t="shared" si="100"/>
        <x:v/>
      </x:c>
      <x:c r="CC76" s="436" t="str">
        <x:f>IF(CG36="","",VLOOKUP(CG36,SectInfo!$B:$N,12,FALSE))</x:f>
        <x:v/>
      </x:c>
      <x:c r="CD76" s="1172" t="str">
        <x:f>IF(ISBLANK(CZ36),IF(CG36="","",VLOOKUP(CG36,SectInfo!$B:$N,13,FALSE)),CZ36)</x:f>
        <x:v/>
      </x:c>
      <x:c r="CE76" s="437" t="str">
        <x:f>IF(CG36="","",IF(VLOOKUP(CG36,SectInfo!$B:$N,5,FALSE)="","R",UPPER(VLOOKUP(CG36,SectInfo!$B:$N,5,FALSE))))</x:f>
        <x:v/>
      </x:c>
      <x:c r="CF76" s="1172" t="str">
        <x:f>IF(ISBLANK(DD36),IF(CG36="","",VLOOKUP(CG36,SectInfo!$B:$N,6,FALSE)),DD36)</x:f>
        <x:v/>
      </x:c>
      <x:c r="CG76" s="437" t="str">
        <x:f>IF(CG36="","",IF(VLOOKUP(CG36,SectInfo!$B:$N,10,FALSE)="","",(VLOOKUP(CG36,SectInfo!$B:$N,10,FALSE)*-1)))</x:f>
        <x:v/>
      </x:c>
      <x:c r="CH76" s="437" t="str">
        <x:f>IF(CG36="","",IF(VLOOKUP(CG36,SectInfo!$B:$N,7,FALSE)="","",(VLOOKUP(CG36,SectInfo!$B:$N,7,FALSE)*-1)))</x:f>
        <x:v/>
      </x:c>
      <x:c r="CI76" s="437" t="str">
        <x:f>IF(CG36="","",IF(VLOOKUP(CG36,SectInfo!$B:$N,8,FALSE)="",$FC$4,(VLOOKUP(CG36,SectInfo!$B:$N,8,FALSE))))</x:f>
        <x:v/>
      </x:c>
      <x:c r="CJ76" s="437" t="str">
        <x:f>IF(CG36="","",VLOOKUP(CG36,SectInfo!$B:$N,9,FALSE))</x:f>
        <x:v/>
      </x:c>
      <x:c r="CK76" s="438">
        <x:f t="shared" si="168"/>
        <x:v>0</x:v>
      </x:c>
      <x:c r="CL76" s="436" t="str">
        <x:f>IF(CN36="","",VLOOKUP(CN36,SectInfo!$B:$N,12,FALSE))</x:f>
        <x:v/>
      </x:c>
      <x:c r="CM76" s="1172" t="str">
        <x:f>IF(ISBLANK(DA36),IF(CN36="","",VLOOKUP(CN36,SectInfo!$B:$N,13,FALSE)),DA36)</x:f>
        <x:v/>
      </x:c>
      <x:c r="CN76" s="437" t="str">
        <x:f>IF(CN36="","",IF(VLOOKUP(CN36,SectInfo!$B:$N,5,FALSE)="","R",UPPER(VLOOKUP(CN36,SectInfo!$B:$N,5,FALSE))))</x:f>
        <x:v/>
      </x:c>
      <x:c r="CO76" s="1172" t="str">
        <x:f>IF(ISBLANK(DE36),IF(CN36="","",VLOOKUP(CN36,SectInfo!$B:$N,6,FALSE)),DE36)</x:f>
        <x:v/>
      </x:c>
      <x:c r="CP76" s="437" t="str">
        <x:f>IF(CN36="","",IF(VLOOKUP(CN36,SectInfo!$B:$N,10,FALSE)="","",(VLOOKUP(CN36,SectInfo!$B:$N,10,FALSE)*-1)))</x:f>
        <x:v/>
      </x:c>
      <x:c r="CQ76" s="437" t="str">
        <x:f>IF(CN36="","",IF(VLOOKUP(CN36,SectInfo!$B:$N,7,FALSE)="","",(VLOOKUP(CN36,SectInfo!$B:$N,7,FALSE)*-1)))</x:f>
        <x:v/>
      </x:c>
      <x:c r="CR76" s="437" t="str">
        <x:f>IF(CN36="","",IF(VLOOKUP(CN36,SectInfo!$B:$N,8,FALSE)="",$FC$4,(VLOOKUP(CN36,SectInfo!$B:$N,8,FALSE))))</x:f>
        <x:v/>
      </x:c>
      <x:c r="CS76" s="437" t="str">
        <x:f>IF(CN36="","",VLOOKUP(CN36,SectInfo!$B:$N,9,FALSE))</x:f>
        <x:v/>
      </x:c>
      <x:c r="CT76" s="438">
        <x:f t="shared" si="169"/>
        <x:v>0</x:v>
      </x:c>
      <x:c r="CU76" s="439">
        <x:f t="shared" si="101"/>
        <x:v>0</x:v>
      </x:c>
      <x:c r="CV76" s="339" t="str">
        <x:f t="shared" si="102"/>
        <x:v/>
      </x:c>
      <x:c r="CW76" s="339" t="str">
        <x:f t="shared" si="103"/>
        <x:v/>
      </x:c>
      <x:c r="CX76" s="339" t="str">
        <x:f t="shared" si="104"/>
        <x:v/>
      </x:c>
      <x:c r="CY76" s="1109">
        <x:f t="shared" si="105"/>
        <x:v>0</x:v>
      </x:c>
      <x:c r="CZ76" s="1109">
        <x:f t="shared" si="106"/>
        <x:v>0</x:v>
      </x:c>
      <x:c r="DA76" s="1109" t="str">
        <x:f t="shared" si="107"/>
        <x:v/>
      </x:c>
      <x:c r="DB76" s="1125" t="str">
        <x:f t="shared" si="170"/>
        <x:v/>
      </x:c>
      <x:c r="DC76" s="1125" t="str">
        <x:f t="shared" si="108"/>
        <x:v/>
      </x:c>
      <x:c r="DD76" s="1110">
        <x:f t="shared" si="171"/>
        <x:v>0</x:v>
      </x:c>
      <x:c r="DE76" s="1108">
        <x:f t="shared" si="172"/>
        <x:v>0</x:v>
      </x:c>
      <x:c r="DF76" s="1109">
        <x:f t="shared" si="109"/>
        <x:v>0</x:v>
      </x:c>
      <x:c r="DG76" s="1109" t="str">
        <x:f t="shared" si="110"/>
        <x:v/>
      </x:c>
      <x:c r="DH76" s="1125" t="str">
        <x:f t="shared" si="173"/>
        <x:v/>
      </x:c>
      <x:c r="DI76" s="1125" t="str">
        <x:f t="shared" si="174"/>
        <x:v/>
      </x:c>
      <x:c r="DJ76" s="1110">
        <x:f t="shared" si="175"/>
        <x:v>0</x:v>
      </x:c>
      <x:c r="DK76" s="1108" t="str">
        <x:f t="shared" si="111"/>
        <x:v/>
      </x:c>
      <x:c r="DL76" s="1108" t="str">
        <x:f t="shared" si="112"/>
        <x:v/>
      </x:c>
      <x:c r="DM76" s="1108" t="str">
        <x:f t="shared" si="113"/>
        <x:v/>
      </x:c>
      <x:c r="DN76" s="1108" t="str">
        <x:f t="shared" si="114"/>
        <x:v/>
      </x:c>
      <x:c r="DO76" s="1125" t="str">
        <x:f t="shared" si="115"/>
        <x:v>ERR</x:v>
      </x:c>
      <x:c r="DP76" s="1125" t="str">
        <x:f t="shared" si="116"/>
        <x:v>ERR</x:v>
      </x:c>
      <x:c r="DQ76" s="1108" t="str">
        <x:f t="shared" si="117"/>
        <x:v/>
      </x:c>
      <x:c r="DR76" s="1108" t="str">
        <x:f t="shared" si="117"/>
        <x:v/>
      </x:c>
      <x:c r="DS76" s="1108" t="str">
        <x:f t="shared" si="118"/>
        <x:v/>
      </x:c>
      <x:c r="DT76" s="1108" t="str">
        <x:f t="shared" si="119"/>
        <x:v/>
      </x:c>
      <x:c r="DU76" s="1108" t="str">
        <x:f t="shared" si="120"/>
        <x:v/>
      </x:c>
      <x:c r="DV76" s="1125" t="str">
        <x:f t="shared" si="121"/>
        <x:v>ERR</x:v>
      </x:c>
      <x:c r="DW76" s="1125" t="str">
        <x:f t="shared" si="122"/>
        <x:v>ERR</x:v>
      </x:c>
      <x:c r="DX76" s="1108" t="str">
        <x:f t="shared" si="195"/>
        <x:v/>
      </x:c>
      <x:c r="DY76" s="1108" t="str">
        <x:f t="shared" si="195"/>
        <x:v/>
      </x:c>
      <x:c r="DZ76" s="1108" t="str">
        <x:f t="shared" si="124"/>
        <x:v/>
      </x:c>
      <x:c r="EA76" s="1108" t="str">
        <x:f t="shared" si="125"/>
        <x:v/>
      </x:c>
      <x:c r="EB76" s="1111" t="str">
        <x:f t="shared" si="126"/>
        <x:v/>
      </x:c>
      <x:c r="EC76" s="1112" t="str">
        <x:f t="shared" si="127"/>
        <x:v/>
      </x:c>
      <x:c r="ED76" s="1111" t="str">
        <x:f t="shared" si="128"/>
        <x:v/>
      </x:c>
      <x:c r="EE76" s="1111" t="str">
        <x:f t="shared" si="129"/>
        <x:v/>
      </x:c>
      <x:c r="EF76" s="1111" t="str">
        <x:f t="shared" si="130"/>
        <x:v/>
      </x:c>
      <x:c r="EG76" s="1111" t="str">
        <x:f t="shared" si="131"/>
        <x:v/>
      </x:c>
      <x:c r="EH76" s="1111" t="str">
        <x:f t="shared" si="132"/>
        <x:v/>
      </x:c>
      <x:c r="EI76" s="1111" t="str">
        <x:f t="shared" si="133"/>
        <x:v/>
      </x:c>
      <x:c r="EJ76" s="1111" t="str">
        <x:f t="shared" si="134"/>
        <x:v/>
      </x:c>
      <x:c r="EK76" s="1109">
        <x:f t="shared" si="135"/>
        <x:v>0</x:v>
      </x:c>
      <x:c r="EL76" s="1109">
        <x:f t="shared" si="136"/>
        <x:v>0</x:v>
      </x:c>
      <x:c r="EM76" s="1109">
        <x:f t="shared" si="137"/>
        <x:v>0</x:v>
      </x:c>
      <x:c r="EN76" s="1109" t="str">
        <x:f t="shared" si="138"/>
        <x:v/>
      </x:c>
      <x:c r="EO76" s="1108" t="str">
        <x:f t="shared" si="139"/>
        <x:v/>
      </x:c>
      <x:c r="EP76" s="1109">
        <x:f t="shared" si="140"/>
        <x:v>0</x:v>
      </x:c>
      <x:c r="EQ76" s="1109">
        <x:f t="shared" si="141"/>
        <x:v>0</x:v>
      </x:c>
      <x:c r="ER76" s="1109">
        <x:f t="shared" si="142"/>
        <x:v>0</x:v>
      </x:c>
      <x:c r="ES76" s="1109" t="str">
        <x:f t="shared" si="143"/>
        <x:v/>
      </x:c>
      <x:c r="ET76" s="1108" t="str">
        <x:f t="shared" si="144"/>
        <x:v/>
      </x:c>
      <x:c r="EU76" s="1108">
        <x:f t="shared" si="145"/>
        <x:v>0</x:v>
      </x:c>
      <x:c r="EV76" s="1111" t="e">
        <x:f t="shared" si="146"/>
        <x:v>#VALUE!</x:v>
      </x:c>
      <x:c r="EW76" s="1111" t="e">
        <x:f t="shared" si="147"/>
        <x:v>#VALUE!</x:v>
      </x:c>
      <x:c r="EX76" s="1113" t="str">
        <x:f t="shared" si="176"/>
        <x:v/>
      </x:c>
      <x:c r="EY76" s="1114" t="e">
        <x:f t="shared" si="148"/>
        <x:v>#DIV/0!</x:v>
      </x:c>
      <x:c r="EZ76" s="1219" t="e">
        <x:f t="shared" si="149"/>
        <x:v>#DIV/0!</x:v>
      </x:c>
      <x:c r="FA76" s="1220" t="e">
        <x:f t="shared" si="150"/>
        <x:v>#DIV/0!</x:v>
      </x:c>
      <x:c r="FB76" s="1115" t="str">
        <x:f t="shared" si="151"/>
        <x:v/>
      </x:c>
      <x:c r="FC76" s="1116" t="str">
        <x:f t="shared" si="152"/>
        <x:v/>
      </x:c>
      <x:c r="FD76" s="1126">
        <x:f t="shared" si="153"/>
        <x:v>0</x:v>
      </x:c>
      <x:c r="FE76" s="1066">
        <x:f t="shared" si="154"/>
        <x:v>0</x:v>
      </x:c>
      <x:c r="FF76" s="969" t="b">
        <x:f t="shared" si="155"/>
        <x:v>0</x:v>
      </x:c>
      <x:c r="FG76" s="969" t="b">
        <x:f t="shared" si="156"/>
        <x:v>0</x:v>
      </x:c>
      <x:c r="FH76" s="969" t="b">
        <x:f t="shared" si="157"/>
        <x:v>0</x:v>
      </x:c>
      <x:c r="FI76" s="969" t="b">
        <x:f t="shared" si="158"/>
        <x:v>0</x:v>
      </x:c>
      <x:c r="FJ76" s="1161" t="str">
        <x:f t="shared" si="177"/>
        <x:v/>
      </x:c>
      <x:c r="FK76" s="1160" t="str">
        <x:f t="shared" si="178"/>
        <x:v/>
      </x:c>
      <x:c r="FL76" s="388" t="e">
        <x:f t="shared" si="179"/>
        <x:v>#N/A</x:v>
      </x:c>
      <x:c r="FM76" s="380" t="str">
        <x:f t="shared" si="159"/>
        <x:v/>
      </x:c>
      <x:c r="FN76" s="337" t="str">
        <x:f t="shared" ca="1" si="180"/>
        <x:v/>
      </x:c>
      <x:c r="FO76" s="338" t="str">
        <x:f t="shared" ca="1" si="181"/>
        <x:v/>
      </x:c>
      <x:c r="FP76" s="339" t="str">
        <x:f t="shared" ca="1" si="182"/>
        <x:v/>
      </x:c>
      <x:c r="FQ76" s="339" t="str">
        <x:f t="shared" ca="1" si="183"/>
        <x:v/>
      </x:c>
      <x:c r="FR76" s="389">
        <x:f t="shared" ca="1" si="184"/>
        <x:v>0</x:v>
      </x:c>
      <x:c r="FS76" s="390">
        <x:f t="shared" ca="1" si="185"/>
        <x:v>0</x:v>
      </x:c>
      <x:c r="FT76" s="337" t="str">
        <x:f t="shared" ca="1" si="186"/>
        <x:v/>
      </x:c>
      <x:c r="FU76" s="340" t="str">
        <x:f t="shared" ca="1" si="187"/>
        <x:v/>
      </x:c>
      <x:c r="FV76" s="391" t="str">
        <x:f t="shared" ca="1" si="160"/>
        <x:v/>
      </x:c>
      <x:c r="FW76" s="341" t="str">
        <x:f t="shared" ca="1" si="188"/>
        <x:v/>
      </x:c>
      <x:c r="FX76" s="341" t="str">
        <x:f t="shared" ca="1" si="189"/>
        <x:v/>
      </x:c>
      <x:c r="FY76" s="341" t="str">
        <x:f t="shared" ca="1" si="190"/>
        <x:v/>
      </x:c>
      <x:c r="FZ76" s="341" t="str">
        <x:f t="shared" ca="1" si="191"/>
        <x:v/>
      </x:c>
      <x:c r="GA76" s="341" t="str">
        <x:f t="shared" ca="1" si="192"/>
        <x:v/>
      </x:c>
      <x:c r="GB76" s="342" t="str">
        <x:f ca="1">IF(FY76="","",2+SUM(FO76:OFFSET(FO76,(FU76-1)*-1,0)))</x:f>
        <x:v/>
      </x:c>
      <x:c r="GC76" s="384" t="e">
        <x:f t="shared" si="193"/>
        <x:v>#N/A</x:v>
      </x:c>
      <x:c r="GD76" s="392" t="str">
        <x:f t="shared" si="161"/>
        <x:v/>
      </x:c>
      <x:c r="GE76" s="393" t="str">
        <x:f t="shared" si="162"/>
        <x:v/>
      </x:c>
      <x:c r="GF76" s="343" t="str">
        <x:f t="shared" si="163"/>
        <x:v/>
      </x:c>
      <x:c r="GG76" s="344" t="str">
        <x:f t="shared" si="164"/>
        <x:v/>
      </x:c>
      <x:c r="GH76" s="344" t="str">
        <x:f t="shared" si="165"/>
        <x:v/>
      </x:c>
      <x:c r="GI76" s="345" t="str">
        <x:f t="shared" si="166"/>
        <x:v/>
      </x:c>
      <x:c r="GJ76" s="646">
        <x:f t="shared" ca="1" si="167"/>
        <x:v>0</x:v>
      </x:c>
      <x:c r="GK76" s="1131" t="str">
        <x:f t="shared" ca="1" si="194"/>
        <x:v>B</x:v>
      </x:c>
    </x:row>
    <x:row r="77" spans="78:193" ht="12.6" hidden="1" customHeight="1" x14ac:dyDescent="0.2">
      <x:c r="BZ77" s="360"/>
      <x:c r="CA77" s="360"/>
      <x:c r="CB77" s="435" t="str">
        <x:f t="shared" si="100"/>
        <x:v/>
      </x:c>
      <x:c r="CC77" s="436" t="str">
        <x:f>IF(CG37="","",VLOOKUP(CG37,SectInfo!$B:$N,12,FALSE))</x:f>
        <x:v/>
      </x:c>
      <x:c r="CD77" s="1172" t="str">
        <x:f>IF(ISBLANK(CZ37),IF(CG37="","",VLOOKUP(CG37,SectInfo!$B:$N,13,FALSE)),CZ37)</x:f>
        <x:v/>
      </x:c>
      <x:c r="CE77" s="437" t="str">
        <x:f>IF(CG37="","",IF(VLOOKUP(CG37,SectInfo!$B:$N,5,FALSE)="","R",UPPER(VLOOKUP(CG37,SectInfo!$B:$N,5,FALSE))))</x:f>
        <x:v/>
      </x:c>
      <x:c r="CF77" s="1172" t="str">
        <x:f>IF(ISBLANK(DD37),IF(CG37="","",VLOOKUP(CG37,SectInfo!$B:$N,6,FALSE)),DD37)</x:f>
        <x:v/>
      </x:c>
      <x:c r="CG77" s="437" t="str">
        <x:f>IF(CG37="","",IF(VLOOKUP(CG37,SectInfo!$B:$N,10,FALSE)="","",(VLOOKUP(CG37,SectInfo!$B:$N,10,FALSE)*-1)))</x:f>
        <x:v/>
      </x:c>
      <x:c r="CH77" s="437" t="str">
        <x:f>IF(CG37="","",IF(VLOOKUP(CG37,SectInfo!$B:$N,7,FALSE)="","",(VLOOKUP(CG37,SectInfo!$B:$N,7,FALSE)*-1)))</x:f>
        <x:v/>
      </x:c>
      <x:c r="CI77" s="437" t="str">
        <x:f>IF(CG37="","",IF(VLOOKUP(CG37,SectInfo!$B:$N,8,FALSE)="",$FC$4,(VLOOKUP(CG37,SectInfo!$B:$N,8,FALSE))))</x:f>
        <x:v/>
      </x:c>
      <x:c r="CJ77" s="437" t="str">
        <x:f>IF(CG37="","",VLOOKUP(CG37,SectInfo!$B:$N,9,FALSE))</x:f>
        <x:v/>
      </x:c>
      <x:c r="CK77" s="438">
        <x:f t="shared" si="168"/>
        <x:v>0</x:v>
      </x:c>
      <x:c r="CL77" s="436" t="str">
        <x:f>IF(CN37="","",VLOOKUP(CN37,SectInfo!$B:$N,12,FALSE))</x:f>
        <x:v/>
      </x:c>
      <x:c r="CM77" s="1172" t="str">
        <x:f>IF(ISBLANK(DA37),IF(CN37="","",VLOOKUP(CN37,SectInfo!$B:$N,13,FALSE)),DA37)</x:f>
        <x:v/>
      </x:c>
      <x:c r="CN77" s="437" t="str">
        <x:f>IF(CN37="","",IF(VLOOKUP(CN37,SectInfo!$B:$N,5,FALSE)="","R",UPPER(VLOOKUP(CN37,SectInfo!$B:$N,5,FALSE))))</x:f>
        <x:v/>
      </x:c>
      <x:c r="CO77" s="1172" t="str">
        <x:f>IF(ISBLANK(DE37),IF(CN37="","",VLOOKUP(CN37,SectInfo!$B:$N,6,FALSE)),DE37)</x:f>
        <x:v/>
      </x:c>
      <x:c r="CP77" s="437" t="str">
        <x:f>IF(CN37="","",IF(VLOOKUP(CN37,SectInfo!$B:$N,10,FALSE)="","",(VLOOKUP(CN37,SectInfo!$B:$N,10,FALSE)*-1)))</x:f>
        <x:v/>
      </x:c>
      <x:c r="CQ77" s="437" t="str">
        <x:f>IF(CN37="","",IF(VLOOKUP(CN37,SectInfo!$B:$N,7,FALSE)="","",(VLOOKUP(CN37,SectInfo!$B:$N,7,FALSE)*-1)))</x:f>
        <x:v/>
      </x:c>
      <x:c r="CR77" s="437" t="str">
        <x:f>IF(CN37="","",IF(VLOOKUP(CN37,SectInfo!$B:$N,8,FALSE)="",$FC$4,(VLOOKUP(CN37,SectInfo!$B:$N,8,FALSE))))</x:f>
        <x:v/>
      </x:c>
      <x:c r="CS77" s="437" t="str">
        <x:f>IF(CN37="","",VLOOKUP(CN37,SectInfo!$B:$N,9,FALSE))</x:f>
        <x:v/>
      </x:c>
      <x:c r="CT77" s="438">
        <x:f t="shared" si="169"/>
        <x:v>0</x:v>
      </x:c>
      <x:c r="CU77" s="439">
        <x:f t="shared" si="101"/>
        <x:v>0</x:v>
      </x:c>
      <x:c r="CV77" s="339" t="str">
        <x:f t="shared" si="102"/>
        <x:v/>
      </x:c>
      <x:c r="CW77" s="339" t="str">
        <x:f t="shared" si="103"/>
        <x:v/>
      </x:c>
      <x:c r="CX77" s="339" t="str">
        <x:f t="shared" si="104"/>
        <x:v/>
      </x:c>
      <x:c r="CY77" s="1109">
        <x:f t="shared" si="105"/>
        <x:v>0</x:v>
      </x:c>
      <x:c r="CZ77" s="1109">
        <x:f t="shared" si="106"/>
        <x:v>0</x:v>
      </x:c>
      <x:c r="DA77" s="1109" t="str">
        <x:f t="shared" si="107"/>
        <x:v/>
      </x:c>
      <x:c r="DB77" s="1125" t="str">
        <x:f t="shared" si="170"/>
        <x:v/>
      </x:c>
      <x:c r="DC77" s="1125" t="str">
        <x:f t="shared" si="108"/>
        <x:v/>
      </x:c>
      <x:c r="DD77" s="1110">
        <x:f t="shared" si="171"/>
        <x:v>0</x:v>
      </x:c>
      <x:c r="DE77" s="1108">
        <x:f t="shared" si="172"/>
        <x:v>0</x:v>
      </x:c>
      <x:c r="DF77" s="1109">
        <x:f t="shared" si="109"/>
        <x:v>0</x:v>
      </x:c>
      <x:c r="DG77" s="1109" t="str">
        <x:f t="shared" si="110"/>
        <x:v/>
      </x:c>
      <x:c r="DH77" s="1125" t="str">
        <x:f t="shared" si="173"/>
        <x:v/>
      </x:c>
      <x:c r="DI77" s="1125" t="str">
        <x:f t="shared" si="174"/>
        <x:v/>
      </x:c>
      <x:c r="DJ77" s="1110">
        <x:f t="shared" si="175"/>
        <x:v>0</x:v>
      </x:c>
      <x:c r="DK77" s="1108" t="str">
        <x:f t="shared" si="111"/>
        <x:v/>
      </x:c>
      <x:c r="DL77" s="1108" t="str">
        <x:f t="shared" si="112"/>
        <x:v/>
      </x:c>
      <x:c r="DM77" s="1108" t="str">
        <x:f t="shared" si="113"/>
        <x:v/>
      </x:c>
      <x:c r="DN77" s="1108" t="str">
        <x:f t="shared" si="114"/>
        <x:v/>
      </x:c>
      <x:c r="DO77" s="1125" t="str">
        <x:f t="shared" si="115"/>
        <x:v>ERR</x:v>
      </x:c>
      <x:c r="DP77" s="1125" t="str">
        <x:f t="shared" si="116"/>
        <x:v>ERR</x:v>
      </x:c>
      <x:c r="DQ77" s="1108" t="str">
        <x:f t="shared" si="117"/>
        <x:v/>
      </x:c>
      <x:c r="DR77" s="1108" t="str">
        <x:f t="shared" si="117"/>
        <x:v/>
      </x:c>
      <x:c r="DS77" s="1108" t="str">
        <x:f t="shared" si="118"/>
        <x:v/>
      </x:c>
      <x:c r="DT77" s="1108" t="str">
        <x:f t="shared" si="119"/>
        <x:v/>
      </x:c>
      <x:c r="DU77" s="1108" t="str">
        <x:f t="shared" si="120"/>
        <x:v/>
      </x:c>
      <x:c r="DV77" s="1125" t="str">
        <x:f t="shared" si="121"/>
        <x:v>ERR</x:v>
      </x:c>
      <x:c r="DW77" s="1125" t="str">
        <x:f t="shared" si="122"/>
        <x:v>ERR</x:v>
      </x:c>
      <x:c r="DX77" s="1108" t="str">
        <x:f t="shared" si="195"/>
        <x:v/>
      </x:c>
      <x:c r="DY77" s="1108" t="str">
        <x:f t="shared" si="195"/>
        <x:v/>
      </x:c>
      <x:c r="DZ77" s="1108" t="str">
        <x:f t="shared" si="124"/>
        <x:v/>
      </x:c>
      <x:c r="EA77" s="1108" t="str">
        <x:f t="shared" si="125"/>
        <x:v/>
      </x:c>
      <x:c r="EB77" s="1111" t="str">
        <x:f t="shared" si="126"/>
        <x:v/>
      </x:c>
      <x:c r="EC77" s="1112" t="str">
        <x:f t="shared" si="127"/>
        <x:v/>
      </x:c>
      <x:c r="ED77" s="1111" t="str">
        <x:f t="shared" si="128"/>
        <x:v/>
      </x:c>
      <x:c r="EE77" s="1111" t="str">
        <x:f t="shared" si="129"/>
        <x:v/>
      </x:c>
      <x:c r="EF77" s="1111" t="str">
        <x:f t="shared" si="130"/>
        <x:v/>
      </x:c>
      <x:c r="EG77" s="1111" t="str">
        <x:f t="shared" si="131"/>
        <x:v/>
      </x:c>
      <x:c r="EH77" s="1111" t="str">
        <x:f t="shared" si="132"/>
        <x:v/>
      </x:c>
      <x:c r="EI77" s="1111" t="str">
        <x:f t="shared" si="133"/>
        <x:v/>
      </x:c>
      <x:c r="EJ77" s="1111" t="str">
        <x:f t="shared" si="134"/>
        <x:v/>
      </x:c>
      <x:c r="EK77" s="1109">
        <x:f t="shared" si="135"/>
        <x:v>0</x:v>
      </x:c>
      <x:c r="EL77" s="1109">
        <x:f t="shared" si="136"/>
        <x:v>0</x:v>
      </x:c>
      <x:c r="EM77" s="1109">
        <x:f t="shared" si="137"/>
        <x:v>0</x:v>
      </x:c>
      <x:c r="EN77" s="1109" t="str">
        <x:f t="shared" si="138"/>
        <x:v/>
      </x:c>
      <x:c r="EO77" s="1108" t="str">
        <x:f t="shared" si="139"/>
        <x:v/>
      </x:c>
      <x:c r="EP77" s="1109">
        <x:f t="shared" si="140"/>
        <x:v>0</x:v>
      </x:c>
      <x:c r="EQ77" s="1109">
        <x:f t="shared" si="141"/>
        <x:v>0</x:v>
      </x:c>
      <x:c r="ER77" s="1109">
        <x:f t="shared" si="142"/>
        <x:v>0</x:v>
      </x:c>
      <x:c r="ES77" s="1109" t="str">
        <x:f t="shared" si="143"/>
        <x:v/>
      </x:c>
      <x:c r="ET77" s="1108" t="str">
        <x:f t="shared" si="144"/>
        <x:v/>
      </x:c>
      <x:c r="EU77" s="1108">
        <x:f t="shared" si="145"/>
        <x:v>0</x:v>
      </x:c>
      <x:c r="EV77" s="1111" t="e">
        <x:f t="shared" si="146"/>
        <x:v>#VALUE!</x:v>
      </x:c>
      <x:c r="EW77" s="1111" t="e">
        <x:f t="shared" si="147"/>
        <x:v>#VALUE!</x:v>
      </x:c>
      <x:c r="EX77" s="1113" t="str">
        <x:f t="shared" si="176"/>
        <x:v/>
      </x:c>
      <x:c r="EY77" s="1114" t="e">
        <x:f t="shared" si="148"/>
        <x:v>#DIV/0!</x:v>
      </x:c>
      <x:c r="EZ77" s="1219" t="e">
        <x:f t="shared" si="149"/>
        <x:v>#DIV/0!</x:v>
      </x:c>
      <x:c r="FA77" s="1220" t="e">
        <x:f t="shared" si="150"/>
        <x:v>#DIV/0!</x:v>
      </x:c>
      <x:c r="FB77" s="1115" t="str">
        <x:f t="shared" si="151"/>
        <x:v/>
      </x:c>
      <x:c r="FC77" s="1116" t="str">
        <x:f t="shared" si="152"/>
        <x:v/>
      </x:c>
      <x:c r="FD77" s="1126">
        <x:f t="shared" si="153"/>
        <x:v>0</x:v>
      </x:c>
      <x:c r="FE77" s="1066">
        <x:f t="shared" si="154"/>
        <x:v>0</x:v>
      </x:c>
      <x:c r="FF77" s="969" t="b">
        <x:f t="shared" si="155"/>
        <x:v>0</x:v>
      </x:c>
      <x:c r="FG77" s="969" t="b">
        <x:f t="shared" si="156"/>
        <x:v>0</x:v>
      </x:c>
      <x:c r="FH77" s="969" t="b">
        <x:f t="shared" si="157"/>
        <x:v>0</x:v>
      </x:c>
      <x:c r="FI77" s="969" t="b">
        <x:f t="shared" si="158"/>
        <x:v>0</x:v>
      </x:c>
      <x:c r="FJ77" s="1161" t="str">
        <x:f t="shared" si="177"/>
        <x:v/>
      </x:c>
      <x:c r="FK77" s="1160" t="str">
        <x:f t="shared" si="178"/>
        <x:v/>
      </x:c>
      <x:c r="FL77" s="388" t="e">
        <x:f t="shared" si="179"/>
        <x:v>#N/A</x:v>
      </x:c>
      <x:c r="FM77" s="380" t="str">
        <x:f t="shared" si="159"/>
        <x:v/>
      </x:c>
      <x:c r="FN77" s="337" t="str">
        <x:f t="shared" ca="1" si="180"/>
        <x:v/>
      </x:c>
      <x:c r="FO77" s="338" t="str">
        <x:f t="shared" ca="1" si="181"/>
        <x:v/>
      </x:c>
      <x:c r="FP77" s="339" t="str">
        <x:f t="shared" ca="1" si="182"/>
        <x:v/>
      </x:c>
      <x:c r="FQ77" s="339" t="str">
        <x:f t="shared" ca="1" si="183"/>
        <x:v/>
      </x:c>
      <x:c r="FR77" s="389">
        <x:f t="shared" ca="1" si="184"/>
        <x:v>0</x:v>
      </x:c>
      <x:c r="FS77" s="390">
        <x:f t="shared" ca="1" si="185"/>
        <x:v>0</x:v>
      </x:c>
      <x:c r="FT77" s="337" t="str">
        <x:f t="shared" ca="1" si="186"/>
        <x:v/>
      </x:c>
      <x:c r="FU77" s="340" t="str">
        <x:f t="shared" ca="1" si="187"/>
        <x:v/>
      </x:c>
      <x:c r="FV77" s="391" t="str">
        <x:f t="shared" ca="1" si="160"/>
        <x:v/>
      </x:c>
      <x:c r="FW77" s="341" t="str">
        <x:f t="shared" ca="1" si="188"/>
        <x:v/>
      </x:c>
      <x:c r="FX77" s="341" t="str">
        <x:f t="shared" ca="1" si="189"/>
        <x:v/>
      </x:c>
      <x:c r="FY77" s="341" t="str">
        <x:f t="shared" ca="1" si="190"/>
        <x:v/>
      </x:c>
      <x:c r="FZ77" s="341" t="str">
        <x:f t="shared" ca="1" si="191"/>
        <x:v/>
      </x:c>
      <x:c r="GA77" s="341" t="str">
        <x:f t="shared" ca="1" si="192"/>
        <x:v/>
      </x:c>
      <x:c r="GB77" s="342" t="str">
        <x:f ca="1">IF(FY77="","",2+SUM(FO77:OFFSET(FO77,(FU77-1)*-1,0)))</x:f>
        <x:v/>
      </x:c>
      <x:c r="GC77" s="384" t="e">
        <x:f t="shared" si="193"/>
        <x:v>#N/A</x:v>
      </x:c>
      <x:c r="GD77" s="392" t="str">
        <x:f t="shared" si="161"/>
        <x:v/>
      </x:c>
      <x:c r="GE77" s="393" t="str">
        <x:f t="shared" si="162"/>
        <x:v/>
      </x:c>
      <x:c r="GF77" s="343" t="str">
        <x:f t="shared" si="163"/>
        <x:v/>
      </x:c>
      <x:c r="GG77" s="344" t="str">
        <x:f t="shared" si="164"/>
        <x:v/>
      </x:c>
      <x:c r="GH77" s="344" t="str">
        <x:f t="shared" si="165"/>
        <x:v/>
      </x:c>
      <x:c r="GI77" s="345" t="str">
        <x:f t="shared" si="166"/>
        <x:v/>
      </x:c>
      <x:c r="GJ77" s="646">
        <x:f t="shared" ca="1" si="167"/>
        <x:v>0</x:v>
      </x:c>
      <x:c r="GK77" s="1131" t="str">
        <x:f t="shared" ca="1" si="194"/>
        <x:v>A</x:v>
      </x:c>
    </x:row>
    <x:row r="78" spans="78:193" ht="12.6" hidden="1" customHeight="1" x14ac:dyDescent="0.2">
      <x:c r="BZ78" s="360"/>
      <x:c r="CA78" s="360"/>
      <x:c r="CB78" s="435" t="str">
        <x:f t="shared" si="100"/>
        <x:v/>
      </x:c>
      <x:c r="CC78" s="436" t="str">
        <x:f>IF(CG38="","",VLOOKUP(CG38,SectInfo!$B:$N,12,FALSE))</x:f>
        <x:v/>
      </x:c>
      <x:c r="CD78" s="1172" t="str">
        <x:f>IF(ISBLANK(CZ38),IF(CG38="","",VLOOKUP(CG38,SectInfo!$B:$N,13,FALSE)),CZ38)</x:f>
        <x:v/>
      </x:c>
      <x:c r="CE78" s="437" t="str">
        <x:f>IF(CG38="","",IF(VLOOKUP(CG38,SectInfo!$B:$N,5,FALSE)="","R",UPPER(VLOOKUP(CG38,SectInfo!$B:$N,5,FALSE))))</x:f>
        <x:v/>
      </x:c>
      <x:c r="CF78" s="1172" t="str">
        <x:f>IF(ISBLANK(DD38),IF(CG38="","",VLOOKUP(CG38,SectInfo!$B:$N,6,FALSE)),DD38)</x:f>
        <x:v/>
      </x:c>
      <x:c r="CG78" s="437" t="str">
        <x:f>IF(CG38="","",IF(VLOOKUP(CG38,SectInfo!$B:$N,10,FALSE)="","",(VLOOKUP(CG38,SectInfo!$B:$N,10,FALSE)*-1)))</x:f>
        <x:v/>
      </x:c>
      <x:c r="CH78" s="437" t="str">
        <x:f>IF(CG38="","",IF(VLOOKUP(CG38,SectInfo!$B:$N,7,FALSE)="","",(VLOOKUP(CG38,SectInfo!$B:$N,7,FALSE)*-1)))</x:f>
        <x:v/>
      </x:c>
      <x:c r="CI78" s="437" t="str">
        <x:f>IF(CG38="","",IF(VLOOKUP(CG38,SectInfo!$B:$N,8,FALSE)="",$FC$4,(VLOOKUP(CG38,SectInfo!$B:$N,8,FALSE))))</x:f>
        <x:v/>
      </x:c>
      <x:c r="CJ78" s="437" t="str">
        <x:f>IF(CG38="","",VLOOKUP(CG38,SectInfo!$B:$N,9,FALSE))</x:f>
        <x:v/>
      </x:c>
      <x:c r="CK78" s="438">
        <x:f t="shared" si="168"/>
        <x:v>0</x:v>
      </x:c>
      <x:c r="CL78" s="436" t="str">
        <x:f>IF(CN38="","",VLOOKUP(CN38,SectInfo!$B:$N,12,FALSE))</x:f>
        <x:v/>
      </x:c>
      <x:c r="CM78" s="1172" t="str">
        <x:f>IF(ISBLANK(DA38),IF(CN38="","",VLOOKUP(CN38,SectInfo!$B:$N,13,FALSE)),DA38)</x:f>
        <x:v/>
      </x:c>
      <x:c r="CN78" s="437" t="str">
        <x:f>IF(CN38="","",IF(VLOOKUP(CN38,SectInfo!$B:$N,5,FALSE)="","R",UPPER(VLOOKUP(CN38,SectInfo!$B:$N,5,FALSE))))</x:f>
        <x:v/>
      </x:c>
      <x:c r="CO78" s="1172" t="str">
        <x:f>IF(ISBLANK(DE38),IF(CN38="","",VLOOKUP(CN38,SectInfo!$B:$N,6,FALSE)),DE38)</x:f>
        <x:v/>
      </x:c>
      <x:c r="CP78" s="437" t="str">
        <x:f>IF(CN38="","",IF(VLOOKUP(CN38,SectInfo!$B:$N,10,FALSE)="","",(VLOOKUP(CN38,SectInfo!$B:$N,10,FALSE)*-1)))</x:f>
        <x:v/>
      </x:c>
      <x:c r="CQ78" s="437" t="str">
        <x:f>IF(CN38="","",IF(VLOOKUP(CN38,SectInfo!$B:$N,7,FALSE)="","",(VLOOKUP(CN38,SectInfo!$B:$N,7,FALSE)*-1)))</x:f>
        <x:v/>
      </x:c>
      <x:c r="CR78" s="437" t="str">
        <x:f>IF(CN38="","",IF(VLOOKUP(CN38,SectInfo!$B:$N,8,FALSE)="",$FC$4,(VLOOKUP(CN38,SectInfo!$B:$N,8,FALSE))))</x:f>
        <x:v/>
      </x:c>
      <x:c r="CS78" s="437" t="str">
        <x:f>IF(CN38="","",VLOOKUP(CN38,SectInfo!$B:$N,9,FALSE))</x:f>
        <x:v/>
      </x:c>
      <x:c r="CT78" s="438">
        <x:f t="shared" si="169"/>
        <x:v>0</x:v>
      </x:c>
      <x:c r="CU78" s="439">
        <x:f t="shared" si="101"/>
        <x:v>0</x:v>
      </x:c>
      <x:c r="CV78" s="339" t="str">
        <x:f t="shared" si="102"/>
        <x:v/>
      </x:c>
      <x:c r="CW78" s="339" t="str">
        <x:f t="shared" si="103"/>
        <x:v/>
      </x:c>
      <x:c r="CX78" s="339" t="str">
        <x:f t="shared" si="104"/>
        <x:v/>
      </x:c>
      <x:c r="CY78" s="1109">
        <x:f t="shared" si="105"/>
        <x:v>0</x:v>
      </x:c>
      <x:c r="CZ78" s="1109">
        <x:f t="shared" si="106"/>
        <x:v>0</x:v>
      </x:c>
      <x:c r="DA78" s="1109" t="str">
        <x:f t="shared" si="107"/>
        <x:v/>
      </x:c>
      <x:c r="DB78" s="1125" t="str">
        <x:f t="shared" si="170"/>
        <x:v/>
      </x:c>
      <x:c r="DC78" s="1125" t="str">
        <x:f t="shared" si="108"/>
        <x:v/>
      </x:c>
      <x:c r="DD78" s="1110">
        <x:f t="shared" si="171"/>
        <x:v>0</x:v>
      </x:c>
      <x:c r="DE78" s="1108">
        <x:f t="shared" si="172"/>
        <x:v>0</x:v>
      </x:c>
      <x:c r="DF78" s="1109">
        <x:f t="shared" si="109"/>
        <x:v>0</x:v>
      </x:c>
      <x:c r="DG78" s="1109" t="str">
        <x:f t="shared" si="110"/>
        <x:v/>
      </x:c>
      <x:c r="DH78" s="1125" t="str">
        <x:f t="shared" si="173"/>
        <x:v/>
      </x:c>
      <x:c r="DI78" s="1125" t="str">
        <x:f t="shared" si="174"/>
        <x:v/>
      </x:c>
      <x:c r="DJ78" s="1110">
        <x:f t="shared" si="175"/>
        <x:v>0</x:v>
      </x:c>
      <x:c r="DK78" s="1108" t="str">
        <x:f t="shared" si="111"/>
        <x:v/>
      </x:c>
      <x:c r="DL78" s="1108" t="str">
        <x:f t="shared" si="112"/>
        <x:v/>
      </x:c>
      <x:c r="DM78" s="1108" t="str">
        <x:f t="shared" si="113"/>
        <x:v/>
      </x:c>
      <x:c r="DN78" s="1108" t="str">
        <x:f t="shared" si="114"/>
        <x:v/>
      </x:c>
      <x:c r="DO78" s="1125" t="str">
        <x:f t="shared" si="115"/>
        <x:v>ERR</x:v>
      </x:c>
      <x:c r="DP78" s="1125" t="str">
        <x:f t="shared" si="116"/>
        <x:v>ERR</x:v>
      </x:c>
      <x:c r="DQ78" s="1108" t="str">
        <x:f t="shared" si="117"/>
        <x:v/>
      </x:c>
      <x:c r="DR78" s="1108" t="str">
        <x:f t="shared" si="117"/>
        <x:v/>
      </x:c>
      <x:c r="DS78" s="1108" t="str">
        <x:f t="shared" si="118"/>
        <x:v/>
      </x:c>
      <x:c r="DT78" s="1108" t="str">
        <x:f t="shared" si="119"/>
        <x:v/>
      </x:c>
      <x:c r="DU78" s="1108" t="str">
        <x:f t="shared" si="120"/>
        <x:v/>
      </x:c>
      <x:c r="DV78" s="1125" t="str">
        <x:f t="shared" si="121"/>
        <x:v>ERR</x:v>
      </x:c>
      <x:c r="DW78" s="1125" t="str">
        <x:f t="shared" si="122"/>
        <x:v>ERR</x:v>
      </x:c>
      <x:c r="DX78" s="1108" t="str">
        <x:f t="shared" si="195"/>
        <x:v/>
      </x:c>
      <x:c r="DY78" s="1108" t="str">
        <x:f t="shared" si="195"/>
        <x:v/>
      </x:c>
      <x:c r="DZ78" s="1108" t="str">
        <x:f t="shared" si="124"/>
        <x:v/>
      </x:c>
      <x:c r="EA78" s="1108" t="str">
        <x:f t="shared" si="125"/>
        <x:v/>
      </x:c>
      <x:c r="EB78" s="1111" t="str">
        <x:f t="shared" si="126"/>
        <x:v/>
      </x:c>
      <x:c r="EC78" s="1112" t="str">
        <x:f t="shared" si="127"/>
        <x:v/>
      </x:c>
      <x:c r="ED78" s="1111" t="str">
        <x:f t="shared" si="128"/>
        <x:v/>
      </x:c>
      <x:c r="EE78" s="1111" t="str">
        <x:f t="shared" si="129"/>
        <x:v/>
      </x:c>
      <x:c r="EF78" s="1111" t="str">
        <x:f t="shared" si="130"/>
        <x:v/>
      </x:c>
      <x:c r="EG78" s="1111" t="str">
        <x:f t="shared" si="131"/>
        <x:v/>
      </x:c>
      <x:c r="EH78" s="1111" t="str">
        <x:f t="shared" si="132"/>
        <x:v/>
      </x:c>
      <x:c r="EI78" s="1111" t="str">
        <x:f t="shared" si="133"/>
        <x:v/>
      </x:c>
      <x:c r="EJ78" s="1111" t="str">
        <x:f t="shared" si="134"/>
        <x:v/>
      </x:c>
      <x:c r="EK78" s="1109">
        <x:f t="shared" si="135"/>
        <x:v>0</x:v>
      </x:c>
      <x:c r="EL78" s="1109">
        <x:f t="shared" si="136"/>
        <x:v>0</x:v>
      </x:c>
      <x:c r="EM78" s="1109">
        <x:f t="shared" si="137"/>
        <x:v>0</x:v>
      </x:c>
      <x:c r="EN78" s="1109" t="str">
        <x:f t="shared" si="138"/>
        <x:v/>
      </x:c>
      <x:c r="EO78" s="1108" t="str">
        <x:f t="shared" si="139"/>
        <x:v/>
      </x:c>
      <x:c r="EP78" s="1109">
        <x:f t="shared" si="140"/>
        <x:v>0</x:v>
      </x:c>
      <x:c r="EQ78" s="1109">
        <x:f t="shared" si="141"/>
        <x:v>0</x:v>
      </x:c>
      <x:c r="ER78" s="1109">
        <x:f t="shared" si="142"/>
        <x:v>0</x:v>
      </x:c>
      <x:c r="ES78" s="1109" t="str">
        <x:f t="shared" si="143"/>
        <x:v/>
      </x:c>
      <x:c r="ET78" s="1108" t="str">
        <x:f t="shared" si="144"/>
        <x:v/>
      </x:c>
      <x:c r="EU78" s="1108">
        <x:f t="shared" si="145"/>
        <x:v>0</x:v>
      </x:c>
      <x:c r="EV78" s="1111" t="e">
        <x:f t="shared" si="146"/>
        <x:v>#VALUE!</x:v>
      </x:c>
      <x:c r="EW78" s="1111" t="e">
        <x:f t="shared" si="147"/>
        <x:v>#VALUE!</x:v>
      </x:c>
      <x:c r="EX78" s="1113" t="str">
        <x:f t="shared" si="176"/>
        <x:v/>
      </x:c>
      <x:c r="EY78" s="1114" t="e">
        <x:f t="shared" si="148"/>
        <x:v>#DIV/0!</x:v>
      </x:c>
      <x:c r="EZ78" s="1219" t="e">
        <x:f t="shared" si="149"/>
        <x:v>#DIV/0!</x:v>
      </x:c>
      <x:c r="FA78" s="1220" t="e">
        <x:f t="shared" si="150"/>
        <x:v>#DIV/0!</x:v>
      </x:c>
      <x:c r="FB78" s="1115" t="str">
        <x:f t="shared" si="151"/>
        <x:v/>
      </x:c>
      <x:c r="FC78" s="1116" t="str">
        <x:f t="shared" si="152"/>
        <x:v/>
      </x:c>
      <x:c r="FD78" s="1126">
        <x:f t="shared" si="153"/>
        <x:v>0</x:v>
      </x:c>
      <x:c r="FE78" s="1066">
        <x:f t="shared" si="154"/>
        <x:v>0</x:v>
      </x:c>
      <x:c r="FF78" s="969" t="b">
        <x:f t="shared" si="155"/>
        <x:v>0</x:v>
      </x:c>
      <x:c r="FG78" s="969" t="b">
        <x:f t="shared" si="156"/>
        <x:v>0</x:v>
      </x:c>
      <x:c r="FH78" s="969" t="b">
        <x:f t="shared" si="157"/>
        <x:v>0</x:v>
      </x:c>
      <x:c r="FI78" s="969" t="b">
        <x:f t="shared" si="158"/>
        <x:v>0</x:v>
      </x:c>
      <x:c r="FJ78" s="1161" t="str">
        <x:f t="shared" si="177"/>
        <x:v/>
      </x:c>
      <x:c r="FK78" s="1160" t="str">
        <x:f t="shared" si="178"/>
        <x:v/>
      </x:c>
      <x:c r="FL78" s="388" t="e">
        <x:f t="shared" si="179"/>
        <x:v>#N/A</x:v>
      </x:c>
      <x:c r="FM78" s="380" t="str">
        <x:f t="shared" si="159"/>
        <x:v/>
      </x:c>
      <x:c r="FN78" s="337" t="str">
        <x:f t="shared" ca="1" si="180"/>
        <x:v/>
      </x:c>
      <x:c r="FO78" s="338" t="str">
        <x:f t="shared" ca="1" si="181"/>
        <x:v/>
      </x:c>
      <x:c r="FP78" s="339" t="str">
        <x:f t="shared" ca="1" si="182"/>
        <x:v/>
      </x:c>
      <x:c r="FQ78" s="339" t="str">
        <x:f t="shared" ca="1" si="183"/>
        <x:v/>
      </x:c>
      <x:c r="FR78" s="389">
        <x:f t="shared" ca="1" si="184"/>
        <x:v>0</x:v>
      </x:c>
      <x:c r="FS78" s="390">
        <x:f t="shared" ca="1" si="185"/>
        <x:v>0</x:v>
      </x:c>
      <x:c r="FT78" s="337" t="str">
        <x:f t="shared" ca="1" si="186"/>
        <x:v/>
      </x:c>
      <x:c r="FU78" s="340" t="str">
        <x:f t="shared" ca="1" si="187"/>
        <x:v/>
      </x:c>
      <x:c r="FV78" s="391" t="str">
        <x:f t="shared" ca="1" si="160"/>
        <x:v/>
      </x:c>
      <x:c r="FW78" s="341" t="str">
        <x:f t="shared" ca="1" si="188"/>
        <x:v/>
      </x:c>
      <x:c r="FX78" s="341" t="str">
        <x:f t="shared" ca="1" si="189"/>
        <x:v/>
      </x:c>
      <x:c r="FY78" s="341" t="str">
        <x:f t="shared" ca="1" si="190"/>
        <x:v/>
      </x:c>
      <x:c r="FZ78" s="341" t="str">
        <x:f t="shared" ca="1" si="191"/>
        <x:v/>
      </x:c>
      <x:c r="GA78" s="341" t="str">
        <x:f t="shared" ca="1" si="192"/>
        <x:v/>
      </x:c>
      <x:c r="GB78" s="342" t="str">
        <x:f ca="1">IF(FY78="","",2+SUM(FO78:OFFSET(FO78,(FU78-1)*-1,0)))</x:f>
        <x:v/>
      </x:c>
      <x:c r="GC78" s="384" t="e">
        <x:f t="shared" si="193"/>
        <x:v>#N/A</x:v>
      </x:c>
      <x:c r="GD78" s="392" t="str">
        <x:f t="shared" si="161"/>
        <x:v/>
      </x:c>
      <x:c r="GE78" s="393" t="str">
        <x:f t="shared" si="162"/>
        <x:v/>
      </x:c>
      <x:c r="GF78" s="343" t="str">
        <x:f t="shared" si="163"/>
        <x:v/>
      </x:c>
      <x:c r="GG78" s="344" t="str">
        <x:f t="shared" si="164"/>
        <x:v/>
      </x:c>
      <x:c r="GH78" s="344" t="str">
        <x:f t="shared" si="165"/>
        <x:v/>
      </x:c>
      <x:c r="GI78" s="345" t="str">
        <x:f t="shared" si="166"/>
        <x:v/>
      </x:c>
      <x:c r="GJ78" s="646">
        <x:f t="shared" ca="1" si="167"/>
        <x:v>0</x:v>
      </x:c>
      <x:c r="GK78" s="1131" t="str">
        <x:f t="shared" ca="1" si="194"/>
        <x:v>B</x:v>
      </x:c>
    </x:row>
    <x:row r="79" spans="78:193" ht="12.6" hidden="1" customHeight="1" x14ac:dyDescent="0.2">
      <x:c r="BZ79" s="360"/>
      <x:c r="CA79" s="360"/>
      <x:c r="CB79" s="435" t="str">
        <x:f t="shared" si="100"/>
        <x:v/>
      </x:c>
      <x:c r="CC79" s="436" t="str">
        <x:f>IF(CG39="","",VLOOKUP(CG39,SectInfo!$B:$N,12,FALSE))</x:f>
        <x:v/>
      </x:c>
      <x:c r="CD79" s="1172" t="str">
        <x:f>IF(ISBLANK(CZ39),IF(CG39="","",VLOOKUP(CG39,SectInfo!$B:$N,13,FALSE)),CZ39)</x:f>
        <x:v/>
      </x:c>
      <x:c r="CE79" s="437" t="str">
        <x:f>IF(CG39="","",IF(VLOOKUP(CG39,SectInfo!$B:$N,5,FALSE)="","R",UPPER(VLOOKUP(CG39,SectInfo!$B:$N,5,FALSE))))</x:f>
        <x:v/>
      </x:c>
      <x:c r="CF79" s="1172" t="str">
        <x:f>IF(ISBLANK(DD39),IF(CG39="","",VLOOKUP(CG39,SectInfo!$B:$N,6,FALSE)),DD39)</x:f>
        <x:v/>
      </x:c>
      <x:c r="CG79" s="437" t="str">
        <x:f>IF(CG39="","",IF(VLOOKUP(CG39,SectInfo!$B:$N,10,FALSE)="","",(VLOOKUP(CG39,SectInfo!$B:$N,10,FALSE)*-1)))</x:f>
        <x:v/>
      </x:c>
      <x:c r="CH79" s="437" t="str">
        <x:f>IF(CG39="","",IF(VLOOKUP(CG39,SectInfo!$B:$N,7,FALSE)="","",(VLOOKUP(CG39,SectInfo!$B:$N,7,FALSE)*-1)))</x:f>
        <x:v/>
      </x:c>
      <x:c r="CI79" s="437" t="str">
        <x:f>IF(CG39="","",IF(VLOOKUP(CG39,SectInfo!$B:$N,8,FALSE)="",$FC$4,(VLOOKUP(CG39,SectInfo!$B:$N,8,FALSE))))</x:f>
        <x:v/>
      </x:c>
      <x:c r="CJ79" s="437" t="str">
        <x:f>IF(CG39="","",VLOOKUP(CG39,SectInfo!$B:$N,9,FALSE))</x:f>
        <x:v/>
      </x:c>
      <x:c r="CK79" s="438">
        <x:f t="shared" si="168"/>
        <x:v>0</x:v>
      </x:c>
      <x:c r="CL79" s="436" t="str">
        <x:f>IF(CN39="","",VLOOKUP(CN39,SectInfo!$B:$N,12,FALSE))</x:f>
        <x:v/>
      </x:c>
      <x:c r="CM79" s="1172" t="str">
        <x:f>IF(ISBLANK(DA39),IF(CN39="","",VLOOKUP(CN39,SectInfo!$B:$N,13,FALSE)),DA39)</x:f>
        <x:v/>
      </x:c>
      <x:c r="CN79" s="437" t="str">
        <x:f>IF(CN39="","",IF(VLOOKUP(CN39,SectInfo!$B:$N,5,FALSE)="","R",UPPER(VLOOKUP(CN39,SectInfo!$B:$N,5,FALSE))))</x:f>
        <x:v/>
      </x:c>
      <x:c r="CO79" s="1172" t="str">
        <x:f>IF(ISBLANK(DE39),IF(CN39="","",VLOOKUP(CN39,SectInfo!$B:$N,6,FALSE)),DE39)</x:f>
        <x:v/>
      </x:c>
      <x:c r="CP79" s="437" t="str">
        <x:f>IF(CN39="","",IF(VLOOKUP(CN39,SectInfo!$B:$N,10,FALSE)="","",(VLOOKUP(CN39,SectInfo!$B:$N,10,FALSE)*-1)))</x:f>
        <x:v/>
      </x:c>
      <x:c r="CQ79" s="437" t="str">
        <x:f>IF(CN39="","",IF(VLOOKUP(CN39,SectInfo!$B:$N,7,FALSE)="","",(VLOOKUP(CN39,SectInfo!$B:$N,7,FALSE)*-1)))</x:f>
        <x:v/>
      </x:c>
      <x:c r="CR79" s="437" t="str">
        <x:f>IF(CN39="","",IF(VLOOKUP(CN39,SectInfo!$B:$N,8,FALSE)="",$FC$4,(VLOOKUP(CN39,SectInfo!$B:$N,8,FALSE))))</x:f>
        <x:v/>
      </x:c>
      <x:c r="CS79" s="437" t="str">
        <x:f>IF(CN39="","",VLOOKUP(CN39,SectInfo!$B:$N,9,FALSE))</x:f>
        <x:v/>
      </x:c>
      <x:c r="CT79" s="438">
        <x:f t="shared" si="169"/>
        <x:v>0</x:v>
      </x:c>
      <x:c r="CU79" s="439">
        <x:f t="shared" si="101"/>
        <x:v>0</x:v>
      </x:c>
      <x:c r="CV79" s="339" t="str">
        <x:f t="shared" si="102"/>
        <x:v/>
      </x:c>
      <x:c r="CW79" s="339" t="str">
        <x:f t="shared" si="103"/>
        <x:v/>
      </x:c>
      <x:c r="CX79" s="339" t="str">
        <x:f t="shared" si="104"/>
        <x:v/>
      </x:c>
      <x:c r="CY79" s="1109">
        <x:f t="shared" si="105"/>
        <x:v>0</x:v>
      </x:c>
      <x:c r="CZ79" s="1109">
        <x:f t="shared" si="106"/>
        <x:v>0</x:v>
      </x:c>
      <x:c r="DA79" s="1109" t="str">
        <x:f t="shared" si="107"/>
        <x:v/>
      </x:c>
      <x:c r="DB79" s="1125" t="str">
        <x:f t="shared" si="170"/>
        <x:v/>
      </x:c>
      <x:c r="DC79" s="1125" t="str">
        <x:f t="shared" si="108"/>
        <x:v/>
      </x:c>
      <x:c r="DD79" s="1110">
        <x:f t="shared" si="171"/>
        <x:v>0</x:v>
      </x:c>
      <x:c r="DE79" s="1108">
        <x:f t="shared" si="172"/>
        <x:v>0</x:v>
      </x:c>
      <x:c r="DF79" s="1109">
        <x:f t="shared" si="109"/>
        <x:v>0</x:v>
      </x:c>
      <x:c r="DG79" s="1109" t="str">
        <x:f t="shared" si="110"/>
        <x:v/>
      </x:c>
      <x:c r="DH79" s="1125" t="str">
        <x:f t="shared" si="173"/>
        <x:v/>
      </x:c>
      <x:c r="DI79" s="1125" t="str">
        <x:f t="shared" si="174"/>
        <x:v/>
      </x:c>
      <x:c r="DJ79" s="1110">
        <x:f t="shared" si="175"/>
        <x:v>0</x:v>
      </x:c>
      <x:c r="DK79" s="1108" t="str">
        <x:f t="shared" si="111"/>
        <x:v/>
      </x:c>
      <x:c r="DL79" s="1108" t="str">
        <x:f t="shared" si="112"/>
        <x:v/>
      </x:c>
      <x:c r="DM79" s="1108" t="str">
        <x:f t="shared" si="113"/>
        <x:v/>
      </x:c>
      <x:c r="DN79" s="1108" t="str">
        <x:f t="shared" si="114"/>
        <x:v/>
      </x:c>
      <x:c r="DO79" s="1125" t="str">
        <x:f t="shared" si="115"/>
        <x:v>ERR</x:v>
      </x:c>
      <x:c r="DP79" s="1125" t="str">
        <x:f t="shared" si="116"/>
        <x:v>ERR</x:v>
      </x:c>
      <x:c r="DQ79" s="1108" t="str">
        <x:f t="shared" si="117"/>
        <x:v/>
      </x:c>
      <x:c r="DR79" s="1108" t="str">
        <x:f t="shared" si="117"/>
        <x:v/>
      </x:c>
      <x:c r="DS79" s="1108" t="str">
        <x:f t="shared" si="118"/>
        <x:v/>
      </x:c>
      <x:c r="DT79" s="1108" t="str">
        <x:f t="shared" si="119"/>
        <x:v/>
      </x:c>
      <x:c r="DU79" s="1108" t="str">
        <x:f t="shared" si="120"/>
        <x:v/>
      </x:c>
      <x:c r="DV79" s="1125" t="str">
        <x:f t="shared" si="121"/>
        <x:v>ERR</x:v>
      </x:c>
      <x:c r="DW79" s="1125" t="str">
        <x:f t="shared" si="122"/>
        <x:v>ERR</x:v>
      </x:c>
      <x:c r="DX79" s="1108" t="str">
        <x:f t="shared" si="195"/>
        <x:v/>
      </x:c>
      <x:c r="DY79" s="1108" t="str">
        <x:f t="shared" si="195"/>
        <x:v/>
      </x:c>
      <x:c r="DZ79" s="1108" t="str">
        <x:f t="shared" si="124"/>
        <x:v/>
      </x:c>
      <x:c r="EA79" s="1108" t="str">
        <x:f t="shared" si="125"/>
        <x:v/>
      </x:c>
      <x:c r="EB79" s="1111" t="str">
        <x:f t="shared" si="126"/>
        <x:v/>
      </x:c>
      <x:c r="EC79" s="1112" t="str">
        <x:f t="shared" si="127"/>
        <x:v/>
      </x:c>
      <x:c r="ED79" s="1111" t="str">
        <x:f t="shared" si="128"/>
        <x:v/>
      </x:c>
      <x:c r="EE79" s="1111" t="str">
        <x:f t="shared" si="129"/>
        <x:v/>
      </x:c>
      <x:c r="EF79" s="1111" t="str">
        <x:f t="shared" si="130"/>
        <x:v/>
      </x:c>
      <x:c r="EG79" s="1111" t="str">
        <x:f t="shared" si="131"/>
        <x:v/>
      </x:c>
      <x:c r="EH79" s="1111" t="str">
        <x:f t="shared" si="132"/>
        <x:v/>
      </x:c>
      <x:c r="EI79" s="1111" t="str">
        <x:f t="shared" si="133"/>
        <x:v/>
      </x:c>
      <x:c r="EJ79" s="1111" t="str">
        <x:f t="shared" si="134"/>
        <x:v/>
      </x:c>
      <x:c r="EK79" s="1109">
        <x:f t="shared" si="135"/>
        <x:v>0</x:v>
      </x:c>
      <x:c r="EL79" s="1109">
        <x:f t="shared" si="136"/>
        <x:v>0</x:v>
      </x:c>
      <x:c r="EM79" s="1109">
        <x:f t="shared" si="137"/>
        <x:v>0</x:v>
      </x:c>
      <x:c r="EN79" s="1109" t="str">
        <x:f t="shared" si="138"/>
        <x:v/>
      </x:c>
      <x:c r="EO79" s="1108" t="str">
        <x:f t="shared" si="139"/>
        <x:v/>
      </x:c>
      <x:c r="EP79" s="1109">
        <x:f t="shared" si="140"/>
        <x:v>0</x:v>
      </x:c>
      <x:c r="EQ79" s="1109">
        <x:f t="shared" si="141"/>
        <x:v>0</x:v>
      </x:c>
      <x:c r="ER79" s="1109">
        <x:f t="shared" si="142"/>
        <x:v>0</x:v>
      </x:c>
      <x:c r="ES79" s="1109" t="str">
        <x:f t="shared" si="143"/>
        <x:v/>
      </x:c>
      <x:c r="ET79" s="1108" t="str">
        <x:f t="shared" si="144"/>
        <x:v/>
      </x:c>
      <x:c r="EU79" s="1108">
        <x:f t="shared" si="145"/>
        <x:v>0</x:v>
      </x:c>
      <x:c r="EV79" s="1111" t="e">
        <x:f t="shared" si="146"/>
        <x:v>#VALUE!</x:v>
      </x:c>
      <x:c r="EW79" s="1111" t="e">
        <x:f t="shared" si="147"/>
        <x:v>#VALUE!</x:v>
      </x:c>
      <x:c r="EX79" s="1113" t="str">
        <x:f t="shared" si="176"/>
        <x:v/>
      </x:c>
      <x:c r="EY79" s="1114" t="e">
        <x:f t="shared" si="148"/>
        <x:v>#DIV/0!</x:v>
      </x:c>
      <x:c r="EZ79" s="1219" t="e">
        <x:f t="shared" si="149"/>
        <x:v>#DIV/0!</x:v>
      </x:c>
      <x:c r="FA79" s="1220" t="e">
        <x:f t="shared" si="150"/>
        <x:v>#DIV/0!</x:v>
      </x:c>
      <x:c r="FB79" s="1115" t="str">
        <x:f t="shared" si="151"/>
        <x:v/>
      </x:c>
      <x:c r="FC79" s="1116" t="str">
        <x:f t="shared" si="152"/>
        <x:v/>
      </x:c>
      <x:c r="FD79" s="1126">
        <x:f t="shared" si="153"/>
        <x:v>0</x:v>
      </x:c>
      <x:c r="FE79" s="1066">
        <x:f t="shared" si="154"/>
        <x:v>0</x:v>
      </x:c>
      <x:c r="FF79" s="969" t="b">
        <x:f t="shared" si="155"/>
        <x:v>0</x:v>
      </x:c>
      <x:c r="FG79" s="969" t="b">
        <x:f t="shared" si="156"/>
        <x:v>0</x:v>
      </x:c>
      <x:c r="FH79" s="969" t="b">
        <x:f t="shared" si="157"/>
        <x:v>0</x:v>
      </x:c>
      <x:c r="FI79" s="969" t="b">
        <x:f t="shared" si="158"/>
        <x:v>0</x:v>
      </x:c>
      <x:c r="FJ79" s="1161" t="str">
        <x:f t="shared" si="177"/>
        <x:v/>
      </x:c>
      <x:c r="FK79" s="1160" t="str">
        <x:f t="shared" si="178"/>
        <x:v/>
      </x:c>
      <x:c r="FL79" s="388" t="e">
        <x:f t="shared" si="179"/>
        <x:v>#N/A</x:v>
      </x:c>
      <x:c r="FM79" s="380" t="str">
        <x:f t="shared" si="159"/>
        <x:v/>
      </x:c>
      <x:c r="FN79" s="337" t="str">
        <x:f t="shared" ca="1" si="180"/>
        <x:v/>
      </x:c>
      <x:c r="FO79" s="338" t="str">
        <x:f t="shared" ca="1" si="181"/>
        <x:v/>
      </x:c>
      <x:c r="FP79" s="339" t="str">
        <x:f t="shared" ca="1" si="182"/>
        <x:v/>
      </x:c>
      <x:c r="FQ79" s="339" t="str">
        <x:f t="shared" ca="1" si="183"/>
        <x:v/>
      </x:c>
      <x:c r="FR79" s="389">
        <x:f t="shared" ca="1" si="184"/>
        <x:v>0</x:v>
      </x:c>
      <x:c r="FS79" s="390">
        <x:f t="shared" ca="1" si="185"/>
        <x:v>0</x:v>
      </x:c>
      <x:c r="FT79" s="337" t="str">
        <x:f t="shared" ca="1" si="186"/>
        <x:v/>
      </x:c>
      <x:c r="FU79" s="340" t="str">
        <x:f t="shared" ca="1" si="187"/>
        <x:v/>
      </x:c>
      <x:c r="FV79" s="391" t="str">
        <x:f t="shared" ca="1" si="160"/>
        <x:v/>
      </x:c>
      <x:c r="FW79" s="341" t="str">
        <x:f t="shared" ca="1" si="188"/>
        <x:v/>
      </x:c>
      <x:c r="FX79" s="341" t="str">
        <x:f t="shared" ca="1" si="189"/>
        <x:v/>
      </x:c>
      <x:c r="FY79" s="341" t="str">
        <x:f t="shared" ca="1" si="190"/>
        <x:v/>
      </x:c>
      <x:c r="FZ79" s="341" t="str">
        <x:f t="shared" ca="1" si="191"/>
        <x:v/>
      </x:c>
      <x:c r="GA79" s="341" t="str">
        <x:f t="shared" ca="1" si="192"/>
        <x:v/>
      </x:c>
      <x:c r="GB79" s="342" t="str">
        <x:f ca="1">IF(FY79="","",2+SUM(FO79:OFFSET(FO79,(FU79-1)*-1,0)))</x:f>
        <x:v/>
      </x:c>
      <x:c r="GC79" s="384" t="e">
        <x:f t="shared" si="193"/>
        <x:v>#N/A</x:v>
      </x:c>
      <x:c r="GD79" s="392" t="str">
        <x:f t="shared" si="161"/>
        <x:v/>
      </x:c>
      <x:c r="GE79" s="393" t="str">
        <x:f t="shared" si="162"/>
        <x:v/>
      </x:c>
      <x:c r="GF79" s="343" t="str">
        <x:f t="shared" si="163"/>
        <x:v/>
      </x:c>
      <x:c r="GG79" s="344" t="str">
        <x:f t="shared" si="164"/>
        <x:v/>
      </x:c>
      <x:c r="GH79" s="344" t="str">
        <x:f t="shared" si="165"/>
        <x:v/>
      </x:c>
      <x:c r="GI79" s="345" t="str">
        <x:f t="shared" si="166"/>
        <x:v/>
      </x:c>
      <x:c r="GJ79" s="646">
        <x:f t="shared" ca="1" si="167"/>
        <x:v>0</x:v>
      </x:c>
      <x:c r="GK79" s="1131" t="str">
        <x:f t="shared" ca="1" si="194"/>
        <x:v/>
      </x:c>
    </x:row>
    <x:row r="80" spans="78:193" ht="12.6" hidden="1" customHeight="1" x14ac:dyDescent="0.2">
      <x:c r="BZ80" s="360"/>
      <x:c r="CA80" s="360"/>
      <x:c r="CB80" s="435" t="str">
        <x:f t="shared" si="100"/>
        <x:v/>
      </x:c>
      <x:c r="CC80" s="436" t="str">
        <x:f>IF(CG40="","",VLOOKUP(CG40,SectInfo!$B:$N,12,FALSE))</x:f>
        <x:v/>
      </x:c>
      <x:c r="CD80" s="1172" t="str">
        <x:f>IF(ISBLANK(CZ40),IF(CG40="","",VLOOKUP(CG40,SectInfo!$B:$N,13,FALSE)),CZ40)</x:f>
        <x:v/>
      </x:c>
      <x:c r="CE80" s="437" t="str">
        <x:f>IF(CG40="","",IF(VLOOKUP(CG40,SectInfo!$B:$N,5,FALSE)="","R",UPPER(VLOOKUP(CG40,SectInfo!$B:$N,5,FALSE))))</x:f>
        <x:v/>
      </x:c>
      <x:c r="CF80" s="1172" t="str">
        <x:f>IF(ISBLANK(DD40),IF(CG40="","",VLOOKUP(CG40,SectInfo!$B:$N,6,FALSE)),DD40)</x:f>
        <x:v/>
      </x:c>
      <x:c r="CG80" s="437" t="str">
        <x:f>IF(CG40="","",IF(VLOOKUP(CG40,SectInfo!$B:$N,10,FALSE)="","",(VLOOKUP(CG40,SectInfo!$B:$N,10,FALSE)*-1)))</x:f>
        <x:v/>
      </x:c>
      <x:c r="CH80" s="437" t="str">
        <x:f>IF(CG40="","",IF(VLOOKUP(CG40,SectInfo!$B:$N,7,FALSE)="","",(VLOOKUP(CG40,SectInfo!$B:$N,7,FALSE)*-1)))</x:f>
        <x:v/>
      </x:c>
      <x:c r="CI80" s="437" t="str">
        <x:f>IF(CG40="","",IF(VLOOKUP(CG40,SectInfo!$B:$N,8,FALSE)="",$FC$4,(VLOOKUP(CG40,SectInfo!$B:$N,8,FALSE))))</x:f>
        <x:v/>
      </x:c>
      <x:c r="CJ80" s="437" t="str">
        <x:f>IF(CG40="","",VLOOKUP(CG40,SectInfo!$B:$N,9,FALSE))</x:f>
        <x:v/>
      </x:c>
      <x:c r="CK80" s="438">
        <x:f t="shared" si="168"/>
        <x:v>0</x:v>
      </x:c>
      <x:c r="CL80" s="436" t="str">
        <x:f>IF(CN40="","",VLOOKUP(CN40,SectInfo!$B:$N,12,FALSE))</x:f>
        <x:v/>
      </x:c>
      <x:c r="CM80" s="1172" t="str">
        <x:f>IF(ISBLANK(DA40),IF(CN40="","",VLOOKUP(CN40,SectInfo!$B:$N,13,FALSE)),DA40)</x:f>
        <x:v/>
      </x:c>
      <x:c r="CN80" s="437" t="str">
        <x:f>IF(CN40="","",IF(VLOOKUP(CN40,SectInfo!$B:$N,5,FALSE)="","R",UPPER(VLOOKUP(CN40,SectInfo!$B:$N,5,FALSE))))</x:f>
        <x:v/>
      </x:c>
      <x:c r="CO80" s="1172" t="str">
        <x:f>IF(ISBLANK(DE40),IF(CN40="","",VLOOKUP(CN40,SectInfo!$B:$N,6,FALSE)),DE40)</x:f>
        <x:v/>
      </x:c>
      <x:c r="CP80" s="437" t="str">
        <x:f>IF(CN40="","",IF(VLOOKUP(CN40,SectInfo!$B:$N,10,FALSE)="","",(VLOOKUP(CN40,SectInfo!$B:$N,10,FALSE)*-1)))</x:f>
        <x:v/>
      </x:c>
      <x:c r="CQ80" s="437" t="str">
        <x:f>IF(CN40="","",IF(VLOOKUP(CN40,SectInfo!$B:$N,7,FALSE)="","",(VLOOKUP(CN40,SectInfo!$B:$N,7,FALSE)*-1)))</x:f>
        <x:v/>
      </x:c>
      <x:c r="CR80" s="437" t="str">
        <x:f>IF(CN40="","",IF(VLOOKUP(CN40,SectInfo!$B:$N,8,FALSE)="",$FC$4,(VLOOKUP(CN40,SectInfo!$B:$N,8,FALSE))))</x:f>
        <x:v/>
      </x:c>
      <x:c r="CS80" s="437" t="str">
        <x:f>IF(CN40="","",VLOOKUP(CN40,SectInfo!$B:$N,9,FALSE))</x:f>
        <x:v/>
      </x:c>
      <x:c r="CT80" s="438">
        <x:f t="shared" si="169"/>
        <x:v>0</x:v>
      </x:c>
      <x:c r="CU80" s="439">
        <x:f t="shared" si="101"/>
        <x:v>0</x:v>
      </x:c>
      <x:c r="CV80" s="339" t="str">
        <x:f t="shared" si="102"/>
        <x:v/>
      </x:c>
      <x:c r="CW80" s="339" t="str">
        <x:f t="shared" si="103"/>
        <x:v/>
      </x:c>
      <x:c r="CX80" s="339" t="str">
        <x:f t="shared" si="104"/>
        <x:v/>
      </x:c>
      <x:c r="CY80" s="1109">
        <x:f t="shared" si="105"/>
        <x:v>0</x:v>
      </x:c>
      <x:c r="CZ80" s="1109">
        <x:f t="shared" si="106"/>
        <x:v>0</x:v>
      </x:c>
      <x:c r="DA80" s="1109" t="str">
        <x:f t="shared" si="107"/>
        <x:v/>
      </x:c>
      <x:c r="DB80" s="1125" t="str">
        <x:f t="shared" si="170"/>
        <x:v/>
      </x:c>
      <x:c r="DC80" s="1125" t="str">
        <x:f t="shared" si="108"/>
        <x:v/>
      </x:c>
      <x:c r="DD80" s="1110">
        <x:f t="shared" si="171"/>
        <x:v>0</x:v>
      </x:c>
      <x:c r="DE80" s="1108">
        <x:f t="shared" si="172"/>
        <x:v>0</x:v>
      </x:c>
      <x:c r="DF80" s="1109">
        <x:f t="shared" si="109"/>
        <x:v>0</x:v>
      </x:c>
      <x:c r="DG80" s="1109" t="str">
        <x:f t="shared" si="110"/>
        <x:v/>
      </x:c>
      <x:c r="DH80" s="1125" t="str">
        <x:f t="shared" si="173"/>
        <x:v/>
      </x:c>
      <x:c r="DI80" s="1125" t="str">
        <x:f t="shared" si="174"/>
        <x:v/>
      </x:c>
      <x:c r="DJ80" s="1110">
        <x:f t="shared" si="175"/>
        <x:v>0</x:v>
      </x:c>
      <x:c r="DK80" s="1108" t="str">
        <x:f t="shared" si="111"/>
        <x:v/>
      </x:c>
      <x:c r="DL80" s="1108" t="str">
        <x:f t="shared" si="112"/>
        <x:v/>
      </x:c>
      <x:c r="DM80" s="1108" t="str">
        <x:f t="shared" si="113"/>
        <x:v/>
      </x:c>
      <x:c r="DN80" s="1108" t="str">
        <x:f t="shared" si="114"/>
        <x:v/>
      </x:c>
      <x:c r="DO80" s="1125" t="str">
        <x:f t="shared" si="115"/>
        <x:v>ERR</x:v>
      </x:c>
      <x:c r="DP80" s="1125" t="str">
        <x:f t="shared" si="116"/>
        <x:v>ERR</x:v>
      </x:c>
      <x:c r="DQ80" s="1108" t="str">
        <x:f t="shared" si="117"/>
        <x:v/>
      </x:c>
      <x:c r="DR80" s="1108" t="str">
        <x:f t="shared" si="117"/>
        <x:v/>
      </x:c>
      <x:c r="DS80" s="1108" t="str">
        <x:f t="shared" si="118"/>
        <x:v/>
      </x:c>
      <x:c r="DT80" s="1108" t="str">
        <x:f t="shared" si="119"/>
        <x:v/>
      </x:c>
      <x:c r="DU80" s="1108" t="str">
        <x:f t="shared" si="120"/>
        <x:v/>
      </x:c>
      <x:c r="DV80" s="1125" t="str">
        <x:f t="shared" si="121"/>
        <x:v>ERR</x:v>
      </x:c>
      <x:c r="DW80" s="1125" t="str">
        <x:f t="shared" si="122"/>
        <x:v>ERR</x:v>
      </x:c>
      <x:c r="DX80" s="1108" t="str">
        <x:f t="shared" si="195"/>
        <x:v/>
      </x:c>
      <x:c r="DY80" s="1108" t="str">
        <x:f t="shared" si="195"/>
        <x:v/>
      </x:c>
      <x:c r="DZ80" s="1108" t="str">
        <x:f t="shared" si="124"/>
        <x:v/>
      </x:c>
      <x:c r="EA80" s="1108" t="str">
        <x:f t="shared" si="125"/>
        <x:v/>
      </x:c>
      <x:c r="EB80" s="1111" t="str">
        <x:f t="shared" si="126"/>
        <x:v/>
      </x:c>
      <x:c r="EC80" s="1112" t="str">
        <x:f t="shared" si="127"/>
        <x:v/>
      </x:c>
      <x:c r="ED80" s="1111" t="str">
        <x:f t="shared" si="128"/>
        <x:v/>
      </x:c>
      <x:c r="EE80" s="1111" t="str">
        <x:f t="shared" si="129"/>
        <x:v/>
      </x:c>
      <x:c r="EF80" s="1111" t="str">
        <x:f t="shared" si="130"/>
        <x:v/>
      </x:c>
      <x:c r="EG80" s="1111" t="str">
        <x:f t="shared" si="131"/>
        <x:v/>
      </x:c>
      <x:c r="EH80" s="1111" t="str">
        <x:f t="shared" si="132"/>
        <x:v/>
      </x:c>
      <x:c r="EI80" s="1111" t="str">
        <x:f t="shared" si="133"/>
        <x:v/>
      </x:c>
      <x:c r="EJ80" s="1111" t="str">
        <x:f t="shared" si="134"/>
        <x:v/>
      </x:c>
      <x:c r="EK80" s="1109">
        <x:f t="shared" si="135"/>
        <x:v>0</x:v>
      </x:c>
      <x:c r="EL80" s="1109">
        <x:f t="shared" si="136"/>
        <x:v>0</x:v>
      </x:c>
      <x:c r="EM80" s="1109">
        <x:f t="shared" si="137"/>
        <x:v>0</x:v>
      </x:c>
      <x:c r="EN80" s="1109" t="str">
        <x:f t="shared" si="138"/>
        <x:v/>
      </x:c>
      <x:c r="EO80" s="1108" t="str">
        <x:f t="shared" si="139"/>
        <x:v/>
      </x:c>
      <x:c r="EP80" s="1109">
        <x:f t="shared" si="140"/>
        <x:v>0</x:v>
      </x:c>
      <x:c r="EQ80" s="1109">
        <x:f t="shared" si="141"/>
        <x:v>0</x:v>
      </x:c>
      <x:c r="ER80" s="1109">
        <x:f t="shared" si="142"/>
        <x:v>0</x:v>
      </x:c>
      <x:c r="ES80" s="1109" t="str">
        <x:f t="shared" si="143"/>
        <x:v/>
      </x:c>
      <x:c r="ET80" s="1108" t="str">
        <x:f t="shared" si="144"/>
        <x:v/>
      </x:c>
      <x:c r="EU80" s="1108">
        <x:f t="shared" si="145"/>
        <x:v>0</x:v>
      </x:c>
      <x:c r="EV80" s="1111" t="e">
        <x:f t="shared" si="146"/>
        <x:v>#VALUE!</x:v>
      </x:c>
      <x:c r="EW80" s="1111" t="e">
        <x:f t="shared" si="147"/>
        <x:v>#VALUE!</x:v>
      </x:c>
      <x:c r="EX80" s="1113" t="str">
        <x:f t="shared" si="176"/>
        <x:v/>
      </x:c>
      <x:c r="EY80" s="1114" t="e">
        <x:f t="shared" si="148"/>
        <x:v>#DIV/0!</x:v>
      </x:c>
      <x:c r="EZ80" s="1219" t="e">
        <x:f t="shared" si="149"/>
        <x:v>#DIV/0!</x:v>
      </x:c>
      <x:c r="FA80" s="1220" t="e">
        <x:f t="shared" si="150"/>
        <x:v>#DIV/0!</x:v>
      </x:c>
      <x:c r="FB80" s="1115" t="str">
        <x:f t="shared" si="151"/>
        <x:v/>
      </x:c>
      <x:c r="FC80" s="1116" t="str">
        <x:f t="shared" si="152"/>
        <x:v/>
      </x:c>
      <x:c r="FD80" s="1126">
        <x:f t="shared" si="153"/>
        <x:v>0</x:v>
      </x:c>
      <x:c r="FE80" s="1066">
        <x:f t="shared" si="154"/>
        <x:v>0</x:v>
      </x:c>
      <x:c r="FF80" s="969" t="b">
        <x:f t="shared" si="155"/>
        <x:v>0</x:v>
      </x:c>
      <x:c r="FG80" s="969" t="b">
        <x:f t="shared" si="156"/>
        <x:v>0</x:v>
      </x:c>
      <x:c r="FH80" s="969" t="b">
        <x:f t="shared" si="157"/>
        <x:v>0</x:v>
      </x:c>
      <x:c r="FI80" s="969" t="b">
        <x:f t="shared" si="158"/>
        <x:v>0</x:v>
      </x:c>
      <x:c r="FJ80" s="1161" t="str">
        <x:f t="shared" si="177"/>
        <x:v/>
      </x:c>
      <x:c r="FK80" s="1160" t="str">
        <x:f t="shared" si="178"/>
        <x:v/>
      </x:c>
      <x:c r="FL80" s="388" t="e">
        <x:f t="shared" si="179"/>
        <x:v>#N/A</x:v>
      </x:c>
      <x:c r="FM80" s="380" t="str">
        <x:f t="shared" si="159"/>
        <x:v/>
      </x:c>
      <x:c r="FN80" s="337" t="str">
        <x:f t="shared" ca="1" si="180"/>
        <x:v/>
      </x:c>
      <x:c r="FO80" s="338" t="str">
        <x:f t="shared" ca="1" si="181"/>
        <x:v/>
      </x:c>
      <x:c r="FP80" s="339" t="str">
        <x:f t="shared" ca="1" si="182"/>
        <x:v/>
      </x:c>
      <x:c r="FQ80" s="339" t="str">
        <x:f t="shared" ca="1" si="183"/>
        <x:v/>
      </x:c>
      <x:c r="FR80" s="389">
        <x:f t="shared" ca="1" si="184"/>
        <x:v>0</x:v>
      </x:c>
      <x:c r="FS80" s="390">
        <x:f t="shared" ca="1" si="185"/>
        <x:v>0</x:v>
      </x:c>
      <x:c r="FT80" s="337" t="str">
        <x:f t="shared" ca="1" si="186"/>
        <x:v/>
      </x:c>
      <x:c r="FU80" s="340" t="str">
        <x:f t="shared" ca="1" si="187"/>
        <x:v/>
      </x:c>
      <x:c r="FV80" s="391" t="str">
        <x:f t="shared" ca="1" si="160"/>
        <x:v/>
      </x:c>
      <x:c r="FW80" s="341" t="str">
        <x:f t="shared" ca="1" si="188"/>
        <x:v/>
      </x:c>
      <x:c r="FX80" s="341" t="str">
        <x:f t="shared" ca="1" si="189"/>
        <x:v/>
      </x:c>
      <x:c r="FY80" s="341" t="str">
        <x:f t="shared" ca="1" si="190"/>
        <x:v/>
      </x:c>
      <x:c r="FZ80" s="341" t="str">
        <x:f t="shared" ca="1" si="191"/>
        <x:v/>
      </x:c>
      <x:c r="GA80" s="341" t="str">
        <x:f t="shared" ca="1" si="192"/>
        <x:v/>
      </x:c>
      <x:c r="GB80" s="342" t="str">
        <x:f ca="1">IF(FY80="","",2+SUM(FO80:OFFSET(FO80,(FU80-1)*-1,0)))</x:f>
        <x:v/>
      </x:c>
      <x:c r="GC80" s="384" t="e">
        <x:f t="shared" si="193"/>
        <x:v>#N/A</x:v>
      </x:c>
      <x:c r="GD80" s="392" t="str">
        <x:f t="shared" si="161"/>
        <x:v/>
      </x:c>
      <x:c r="GE80" s="393" t="str">
        <x:f t="shared" si="162"/>
        <x:v/>
      </x:c>
      <x:c r="GF80" s="343" t="str">
        <x:f t="shared" si="163"/>
        <x:v/>
      </x:c>
      <x:c r="GG80" s="344" t="str">
        <x:f t="shared" si="164"/>
        <x:v/>
      </x:c>
      <x:c r="GH80" s="344" t="str">
        <x:f t="shared" si="165"/>
        <x:v/>
      </x:c>
      <x:c r="GI80" s="345" t="str">
        <x:f t="shared" si="166"/>
        <x:v/>
      </x:c>
      <x:c r="GJ80" s="646">
        <x:f t="shared" ca="1" si="167"/>
        <x:v>0</x:v>
      </x:c>
      <x:c r="GK80" s="1131" t="str">
        <x:f t="shared" ca="1" si="194"/>
        <x:v/>
      </x:c>
    </x:row>
    <x:row r="81" spans="1:193" ht="12.6" hidden="1" customHeight="1" x14ac:dyDescent="0.2">
      <x:c r="BZ81" s="360"/>
      <x:c r="CA81" s="360"/>
      <x:c r="CB81" s="435" t="str">
        <x:f t="shared" si="100"/>
        <x:v/>
      </x:c>
      <x:c r="CC81" s="436" t="str">
        <x:f>IF(CG41="","",VLOOKUP(CG41,SectInfo!$B:$N,12,FALSE))</x:f>
        <x:v/>
      </x:c>
      <x:c r="CD81" s="1172" t="str">
        <x:f>IF(ISBLANK(CZ41),IF(CG41="","",VLOOKUP(CG41,SectInfo!$B:$N,13,FALSE)),CZ41)</x:f>
        <x:v/>
      </x:c>
      <x:c r="CE81" s="437" t="str">
        <x:f>IF(CG41="","",IF(VLOOKUP(CG41,SectInfo!$B:$N,5,FALSE)="","R",UPPER(VLOOKUP(CG41,SectInfo!$B:$N,5,FALSE))))</x:f>
        <x:v/>
      </x:c>
      <x:c r="CF81" s="1172" t="str">
        <x:f>IF(ISBLANK(DD41),IF(CG41="","",VLOOKUP(CG41,SectInfo!$B:$N,6,FALSE)),DD41)</x:f>
        <x:v/>
      </x:c>
      <x:c r="CG81" s="437" t="str">
        <x:f>IF(CG41="","",IF(VLOOKUP(CG41,SectInfo!$B:$N,10,FALSE)="","",(VLOOKUP(CG41,SectInfo!$B:$N,10,FALSE)*-1)))</x:f>
        <x:v/>
      </x:c>
      <x:c r="CH81" s="437" t="str">
        <x:f>IF(CG41="","",IF(VLOOKUP(CG41,SectInfo!$B:$N,7,FALSE)="","",(VLOOKUP(CG41,SectInfo!$B:$N,7,FALSE)*-1)))</x:f>
        <x:v/>
      </x:c>
      <x:c r="CI81" s="437" t="str">
        <x:f>IF(CG41="","",IF(VLOOKUP(CG41,SectInfo!$B:$N,8,FALSE)="",$FC$4,(VLOOKUP(CG41,SectInfo!$B:$N,8,FALSE))))</x:f>
        <x:v/>
      </x:c>
      <x:c r="CJ81" s="437" t="str">
        <x:f>IF(CG41="","",VLOOKUP(CG41,SectInfo!$B:$N,9,FALSE))</x:f>
        <x:v/>
      </x:c>
      <x:c r="CK81" s="438">
        <x:f t="shared" si="168"/>
        <x:v>0</x:v>
      </x:c>
      <x:c r="CL81" s="436" t="str">
        <x:f>IF(CN41="","",VLOOKUP(CN41,SectInfo!$B:$N,12,FALSE))</x:f>
        <x:v/>
      </x:c>
      <x:c r="CM81" s="1172" t="str">
        <x:f>IF(ISBLANK(DA41),IF(CN41="","",VLOOKUP(CN41,SectInfo!$B:$N,13,FALSE)),DA41)</x:f>
        <x:v/>
      </x:c>
      <x:c r="CN81" s="437" t="str">
        <x:f>IF(CN41="","",IF(VLOOKUP(CN41,SectInfo!$B:$N,5,FALSE)="","R",UPPER(VLOOKUP(CN41,SectInfo!$B:$N,5,FALSE))))</x:f>
        <x:v/>
      </x:c>
      <x:c r="CO81" s="1172" t="str">
        <x:f>IF(ISBLANK(DE41),IF(CN41="","",VLOOKUP(CN41,SectInfo!$B:$N,6,FALSE)),DE41)</x:f>
        <x:v/>
      </x:c>
      <x:c r="CP81" s="437" t="str">
        <x:f>IF(CN41="","",IF(VLOOKUP(CN41,SectInfo!$B:$N,10,FALSE)="","",(VLOOKUP(CN41,SectInfo!$B:$N,10,FALSE)*-1)))</x:f>
        <x:v/>
      </x:c>
      <x:c r="CQ81" s="437" t="str">
        <x:f>IF(CN41="","",IF(VLOOKUP(CN41,SectInfo!$B:$N,7,FALSE)="","",(VLOOKUP(CN41,SectInfo!$B:$N,7,FALSE)*-1)))</x:f>
        <x:v/>
      </x:c>
      <x:c r="CR81" s="437" t="str">
        <x:f>IF(CN41="","",IF(VLOOKUP(CN41,SectInfo!$B:$N,8,FALSE)="",$FC$4,(VLOOKUP(CN41,SectInfo!$B:$N,8,FALSE))))</x:f>
        <x:v/>
      </x:c>
      <x:c r="CS81" s="437" t="str">
        <x:f>IF(CN41="","",VLOOKUP(CN41,SectInfo!$B:$N,9,FALSE))</x:f>
        <x:v/>
      </x:c>
      <x:c r="CT81" s="438">
        <x:f t="shared" si="169"/>
        <x:v>0</x:v>
      </x:c>
      <x:c r="CU81" s="439">
        <x:f t="shared" si="101"/>
        <x:v>0</x:v>
      </x:c>
      <x:c r="CV81" s="339" t="str">
        <x:f t="shared" si="102"/>
        <x:v/>
      </x:c>
      <x:c r="CW81" s="339" t="str">
        <x:f t="shared" si="103"/>
        <x:v/>
      </x:c>
      <x:c r="CX81" s="339" t="str">
        <x:f t="shared" si="104"/>
        <x:v/>
      </x:c>
      <x:c r="CY81" s="1109">
        <x:f t="shared" si="105"/>
        <x:v>0</x:v>
      </x:c>
      <x:c r="CZ81" s="1109">
        <x:f t="shared" si="106"/>
        <x:v>0</x:v>
      </x:c>
      <x:c r="DA81" s="1109" t="str">
        <x:f t="shared" si="107"/>
        <x:v/>
      </x:c>
      <x:c r="DB81" s="1125" t="str">
        <x:f t="shared" si="170"/>
        <x:v/>
      </x:c>
      <x:c r="DC81" s="1125" t="str">
        <x:f t="shared" si="108"/>
        <x:v/>
      </x:c>
      <x:c r="DD81" s="1110">
        <x:f t="shared" si="171"/>
        <x:v>0</x:v>
      </x:c>
      <x:c r="DE81" s="1108">
        <x:f t="shared" si="172"/>
        <x:v>0</x:v>
      </x:c>
      <x:c r="DF81" s="1109">
        <x:f t="shared" si="109"/>
        <x:v>0</x:v>
      </x:c>
      <x:c r="DG81" s="1109" t="str">
        <x:f t="shared" si="110"/>
        <x:v/>
      </x:c>
      <x:c r="DH81" s="1125" t="str">
        <x:f t="shared" si="173"/>
        <x:v/>
      </x:c>
      <x:c r="DI81" s="1125" t="str">
        <x:f t="shared" si="174"/>
        <x:v/>
      </x:c>
      <x:c r="DJ81" s="1110">
        <x:f t="shared" si="175"/>
        <x:v>0</x:v>
      </x:c>
      <x:c r="DK81" s="1108" t="str">
        <x:f t="shared" si="111"/>
        <x:v/>
      </x:c>
      <x:c r="DL81" s="1108" t="str">
        <x:f t="shared" si="112"/>
        <x:v/>
      </x:c>
      <x:c r="DM81" s="1108" t="str">
        <x:f t="shared" si="113"/>
        <x:v/>
      </x:c>
      <x:c r="DN81" s="1108" t="str">
        <x:f t="shared" si="114"/>
        <x:v/>
      </x:c>
      <x:c r="DO81" s="1125" t="str">
        <x:f t="shared" si="115"/>
        <x:v>ERR</x:v>
      </x:c>
      <x:c r="DP81" s="1125" t="str">
        <x:f t="shared" si="116"/>
        <x:v>ERR</x:v>
      </x:c>
      <x:c r="DQ81" s="1108" t="str">
        <x:f t="shared" si="117"/>
        <x:v/>
      </x:c>
      <x:c r="DR81" s="1108" t="str">
        <x:f t="shared" si="117"/>
        <x:v/>
      </x:c>
      <x:c r="DS81" s="1108" t="str">
        <x:f t="shared" si="118"/>
        <x:v/>
      </x:c>
      <x:c r="DT81" s="1108" t="str">
        <x:f t="shared" si="119"/>
        <x:v/>
      </x:c>
      <x:c r="DU81" s="1108" t="str">
        <x:f t="shared" si="120"/>
        <x:v/>
      </x:c>
      <x:c r="DV81" s="1125" t="str">
        <x:f t="shared" si="121"/>
        <x:v>ERR</x:v>
      </x:c>
      <x:c r="DW81" s="1125" t="str">
        <x:f t="shared" si="122"/>
        <x:v>ERR</x:v>
      </x:c>
      <x:c r="DX81" s="1108" t="str">
        <x:f t="shared" si="195"/>
        <x:v/>
      </x:c>
      <x:c r="DY81" s="1108" t="str">
        <x:f t="shared" si="195"/>
        <x:v/>
      </x:c>
      <x:c r="DZ81" s="1108" t="str">
        <x:f t="shared" si="124"/>
        <x:v/>
      </x:c>
      <x:c r="EA81" s="1108" t="str">
        <x:f t="shared" si="125"/>
        <x:v/>
      </x:c>
      <x:c r="EB81" s="1111" t="str">
        <x:f t="shared" si="126"/>
        <x:v/>
      </x:c>
      <x:c r="EC81" s="1112" t="str">
        <x:f t="shared" si="127"/>
        <x:v/>
      </x:c>
      <x:c r="ED81" s="1111" t="str">
        <x:f t="shared" si="128"/>
        <x:v/>
      </x:c>
      <x:c r="EE81" s="1111" t="str">
        <x:f t="shared" si="129"/>
        <x:v/>
      </x:c>
      <x:c r="EF81" s="1111" t="str">
        <x:f t="shared" si="130"/>
        <x:v/>
      </x:c>
      <x:c r="EG81" s="1111" t="str">
        <x:f t="shared" si="131"/>
        <x:v/>
      </x:c>
      <x:c r="EH81" s="1111" t="str">
        <x:f t="shared" si="132"/>
        <x:v/>
      </x:c>
      <x:c r="EI81" s="1111" t="str">
        <x:f t="shared" si="133"/>
        <x:v/>
      </x:c>
      <x:c r="EJ81" s="1111" t="str">
        <x:f t="shared" si="134"/>
        <x:v/>
      </x:c>
      <x:c r="EK81" s="1109">
        <x:f t="shared" si="135"/>
        <x:v>0</x:v>
      </x:c>
      <x:c r="EL81" s="1109">
        <x:f t="shared" si="136"/>
        <x:v>0</x:v>
      </x:c>
      <x:c r="EM81" s="1109">
        <x:f t="shared" si="137"/>
        <x:v>0</x:v>
      </x:c>
      <x:c r="EN81" s="1109" t="str">
        <x:f t="shared" si="138"/>
        <x:v/>
      </x:c>
      <x:c r="EO81" s="1108" t="str">
        <x:f t="shared" si="139"/>
        <x:v/>
      </x:c>
      <x:c r="EP81" s="1109">
        <x:f t="shared" si="140"/>
        <x:v>0</x:v>
      </x:c>
      <x:c r="EQ81" s="1109">
        <x:f t="shared" si="141"/>
        <x:v>0</x:v>
      </x:c>
      <x:c r="ER81" s="1109">
        <x:f t="shared" si="142"/>
        <x:v>0</x:v>
      </x:c>
      <x:c r="ES81" s="1109" t="str">
        <x:f t="shared" si="143"/>
        <x:v/>
      </x:c>
      <x:c r="ET81" s="1108" t="str">
        <x:f t="shared" si="144"/>
        <x:v/>
      </x:c>
      <x:c r="EU81" s="1108">
        <x:f t="shared" si="145"/>
        <x:v>0</x:v>
      </x:c>
      <x:c r="EV81" s="1111" t="e">
        <x:f t="shared" si="146"/>
        <x:v>#VALUE!</x:v>
      </x:c>
      <x:c r="EW81" s="1111" t="e">
        <x:f t="shared" si="147"/>
        <x:v>#VALUE!</x:v>
      </x:c>
      <x:c r="EX81" s="1113" t="str">
        <x:f t="shared" si="176"/>
        <x:v/>
      </x:c>
      <x:c r="EY81" s="1114" t="e">
        <x:f t="shared" si="148"/>
        <x:v>#DIV/0!</x:v>
      </x:c>
      <x:c r="EZ81" s="1219" t="e">
        <x:f t="shared" si="149"/>
        <x:v>#DIV/0!</x:v>
      </x:c>
      <x:c r="FA81" s="1220" t="e">
        <x:f t="shared" si="150"/>
        <x:v>#DIV/0!</x:v>
      </x:c>
      <x:c r="FB81" s="1115" t="str">
        <x:f t="shared" si="151"/>
        <x:v/>
      </x:c>
      <x:c r="FC81" s="1116" t="str">
        <x:f t="shared" si="152"/>
        <x:v/>
      </x:c>
      <x:c r="FD81" s="1126">
        <x:f t="shared" si="153"/>
        <x:v>0</x:v>
      </x:c>
      <x:c r="FE81" s="1066">
        <x:f t="shared" si="154"/>
        <x:v>0</x:v>
      </x:c>
      <x:c r="FF81" s="969" t="b">
        <x:f t="shared" si="155"/>
        <x:v>0</x:v>
      </x:c>
      <x:c r="FG81" s="969" t="b">
        <x:f t="shared" si="156"/>
        <x:v>0</x:v>
      </x:c>
      <x:c r="FH81" s="969" t="b">
        <x:f t="shared" si="157"/>
        <x:v>0</x:v>
      </x:c>
      <x:c r="FI81" s="969" t="b">
        <x:f t="shared" si="158"/>
        <x:v>0</x:v>
      </x:c>
      <x:c r="FJ81" s="1161" t="str">
        <x:f t="shared" si="177"/>
        <x:v/>
      </x:c>
      <x:c r="FK81" s="1160" t="str">
        <x:f t="shared" si="178"/>
        <x:v/>
      </x:c>
      <x:c r="FL81" s="388" t="e">
        <x:f t="shared" si="179"/>
        <x:v>#N/A</x:v>
      </x:c>
      <x:c r="FM81" s="380" t="str">
        <x:f t="shared" si="159"/>
        <x:v/>
      </x:c>
      <x:c r="FN81" s="337" t="str">
        <x:f t="shared" ca="1" si="180"/>
        <x:v/>
      </x:c>
      <x:c r="FO81" s="338" t="str">
        <x:f t="shared" ca="1" si="181"/>
        <x:v/>
      </x:c>
      <x:c r="FP81" s="339" t="str">
        <x:f t="shared" ca="1" si="182"/>
        <x:v/>
      </x:c>
      <x:c r="FQ81" s="339" t="str">
        <x:f t="shared" ca="1" si="183"/>
        <x:v/>
      </x:c>
      <x:c r="FR81" s="389">
        <x:f t="shared" ca="1" si="184"/>
        <x:v>0</x:v>
      </x:c>
      <x:c r="FS81" s="390">
        <x:f t="shared" ca="1" si="185"/>
        <x:v>0</x:v>
      </x:c>
      <x:c r="FT81" s="337" t="str">
        <x:f t="shared" ca="1" si="186"/>
        <x:v/>
      </x:c>
      <x:c r="FU81" s="340" t="str">
        <x:f t="shared" ca="1" si="187"/>
        <x:v/>
      </x:c>
      <x:c r="FV81" s="391" t="str">
        <x:f t="shared" ca="1" si="160"/>
        <x:v/>
      </x:c>
      <x:c r="FW81" s="341" t="str">
        <x:f t="shared" ca="1" si="188"/>
        <x:v/>
      </x:c>
      <x:c r="FX81" s="341" t="str">
        <x:f t="shared" ca="1" si="189"/>
        <x:v/>
      </x:c>
      <x:c r="FY81" s="341" t="str">
        <x:f t="shared" ca="1" si="190"/>
        <x:v/>
      </x:c>
      <x:c r="FZ81" s="341" t="str">
        <x:f t="shared" ca="1" si="191"/>
        <x:v/>
      </x:c>
      <x:c r="GA81" s="341" t="str">
        <x:f t="shared" ca="1" si="192"/>
        <x:v/>
      </x:c>
      <x:c r="GB81" s="342" t="str">
        <x:f ca="1">IF(FY81="","",2+SUM(FO81:OFFSET(FO81,(FU81-1)*-1,0)))</x:f>
        <x:v/>
      </x:c>
      <x:c r="GC81" s="384" t="e">
        <x:f t="shared" si="193"/>
        <x:v>#N/A</x:v>
      </x:c>
      <x:c r="GD81" s="392" t="str">
        <x:f t="shared" si="161"/>
        <x:v/>
      </x:c>
      <x:c r="GE81" s="393" t="str">
        <x:f t="shared" si="162"/>
        <x:v/>
      </x:c>
      <x:c r="GF81" s="343" t="str">
        <x:f t="shared" si="163"/>
        <x:v/>
      </x:c>
      <x:c r="GG81" s="344" t="str">
        <x:f t="shared" si="164"/>
        <x:v/>
      </x:c>
      <x:c r="GH81" s="344" t="str">
        <x:f t="shared" si="165"/>
        <x:v/>
      </x:c>
      <x:c r="GI81" s="345" t="str">
        <x:f t="shared" si="166"/>
        <x:v/>
      </x:c>
      <x:c r="GJ81" s="646">
        <x:f t="shared" ca="1" si="167"/>
        <x:v>0</x:v>
      </x:c>
      <x:c r="GK81" s="1131" t="str">
        <x:f t="shared" ca="1" si="194"/>
        <x:v/>
      </x:c>
    </x:row>
    <x:row r="82" spans="1:193" ht="12.6" hidden="1" customHeight="1" x14ac:dyDescent="0.2">
      <x:c r="BZ82" s="360"/>
      <x:c r="CA82" s="360"/>
      <x:c r="CB82" s="435" t="str">
        <x:f t="shared" si="100"/>
        <x:v/>
      </x:c>
      <x:c r="CC82" s="436" t="str">
        <x:f>IF(CG42="","",VLOOKUP(CG42,SectInfo!$B:$N,12,FALSE))</x:f>
        <x:v/>
      </x:c>
      <x:c r="CD82" s="1172" t="str">
        <x:f>IF(ISBLANK(CZ42),IF(CG42="","",VLOOKUP(CG42,SectInfo!$B:$N,13,FALSE)),CZ42)</x:f>
        <x:v/>
      </x:c>
      <x:c r="CE82" s="437" t="str">
        <x:f>IF(CG42="","",IF(VLOOKUP(CG42,SectInfo!$B:$N,5,FALSE)="","R",UPPER(VLOOKUP(CG42,SectInfo!$B:$N,5,FALSE))))</x:f>
        <x:v/>
      </x:c>
      <x:c r="CF82" s="1172" t="str">
        <x:f>IF(ISBLANK(DD42),IF(CG42="","",VLOOKUP(CG42,SectInfo!$B:$N,6,FALSE)),DD42)</x:f>
        <x:v/>
      </x:c>
      <x:c r="CG82" s="437" t="str">
        <x:f>IF(CG42="","",IF(VLOOKUP(CG42,SectInfo!$B:$N,10,FALSE)="","",(VLOOKUP(CG42,SectInfo!$B:$N,10,FALSE)*-1)))</x:f>
        <x:v/>
      </x:c>
      <x:c r="CH82" s="437" t="str">
        <x:f>IF(CG42="","",IF(VLOOKUP(CG42,SectInfo!$B:$N,7,FALSE)="","",(VLOOKUP(CG42,SectInfo!$B:$N,7,FALSE)*-1)))</x:f>
        <x:v/>
      </x:c>
      <x:c r="CI82" s="437" t="str">
        <x:f>IF(CG42="","",IF(VLOOKUP(CG42,SectInfo!$B:$N,8,FALSE)="",$FC$4,(VLOOKUP(CG42,SectInfo!$B:$N,8,FALSE))))</x:f>
        <x:v/>
      </x:c>
      <x:c r="CJ82" s="437" t="str">
        <x:f>IF(CG42="","",VLOOKUP(CG42,SectInfo!$B:$N,9,FALSE))</x:f>
        <x:v/>
      </x:c>
      <x:c r="CK82" s="438">
        <x:f t="shared" si="168"/>
        <x:v>0</x:v>
      </x:c>
      <x:c r="CL82" s="436" t="str">
        <x:f>IF(CN42="","",VLOOKUP(CN42,SectInfo!$B:$N,12,FALSE))</x:f>
        <x:v/>
      </x:c>
      <x:c r="CM82" s="1172" t="str">
        <x:f>IF(ISBLANK(DA42),IF(CN42="","",VLOOKUP(CN42,SectInfo!$B:$N,13,FALSE)),DA42)</x:f>
        <x:v/>
      </x:c>
      <x:c r="CN82" s="437" t="str">
        <x:f>IF(CN42="","",IF(VLOOKUP(CN42,SectInfo!$B:$N,5,FALSE)="","R",UPPER(VLOOKUP(CN42,SectInfo!$B:$N,5,FALSE))))</x:f>
        <x:v/>
      </x:c>
      <x:c r="CO82" s="1172" t="str">
        <x:f>IF(ISBLANK(DE42),IF(CN42="","",VLOOKUP(CN42,SectInfo!$B:$N,6,FALSE)),DE42)</x:f>
        <x:v/>
      </x:c>
      <x:c r="CP82" s="437" t="str">
        <x:f>IF(CN42="","",IF(VLOOKUP(CN42,SectInfo!$B:$N,10,FALSE)="","",(VLOOKUP(CN42,SectInfo!$B:$N,10,FALSE)*-1)))</x:f>
        <x:v/>
      </x:c>
      <x:c r="CQ82" s="437" t="str">
        <x:f>IF(CN42="","",IF(VLOOKUP(CN42,SectInfo!$B:$N,7,FALSE)="","",(VLOOKUP(CN42,SectInfo!$B:$N,7,FALSE)*-1)))</x:f>
        <x:v/>
      </x:c>
      <x:c r="CR82" s="437" t="str">
        <x:f>IF(CN42="","",IF(VLOOKUP(CN42,SectInfo!$B:$N,8,FALSE)="",$FC$4,(VLOOKUP(CN42,SectInfo!$B:$N,8,FALSE))))</x:f>
        <x:v/>
      </x:c>
      <x:c r="CS82" s="437" t="str">
        <x:f>IF(CN42="","",VLOOKUP(CN42,SectInfo!$B:$N,9,FALSE))</x:f>
        <x:v/>
      </x:c>
      <x:c r="CT82" s="438">
        <x:f t="shared" si="169"/>
        <x:v>0</x:v>
      </x:c>
      <x:c r="CU82" s="439">
        <x:f t="shared" si="101"/>
        <x:v>0</x:v>
      </x:c>
      <x:c r="CV82" s="339" t="str">
        <x:f t="shared" si="102"/>
        <x:v/>
      </x:c>
      <x:c r="CW82" s="339" t="str">
        <x:f t="shared" si="103"/>
        <x:v/>
      </x:c>
      <x:c r="CX82" s="339" t="str">
        <x:f t="shared" si="104"/>
        <x:v/>
      </x:c>
      <x:c r="CY82" s="1109">
        <x:f t="shared" si="105"/>
        <x:v>0</x:v>
      </x:c>
      <x:c r="CZ82" s="1109">
        <x:f t="shared" si="106"/>
        <x:v>0</x:v>
      </x:c>
      <x:c r="DA82" s="1109" t="str">
        <x:f t="shared" si="107"/>
        <x:v/>
      </x:c>
      <x:c r="DB82" s="1125" t="str">
        <x:f t="shared" si="170"/>
        <x:v/>
      </x:c>
      <x:c r="DC82" s="1125" t="str">
        <x:f t="shared" si="108"/>
        <x:v/>
      </x:c>
      <x:c r="DD82" s="1110">
        <x:f t="shared" si="171"/>
        <x:v>0</x:v>
      </x:c>
      <x:c r="DE82" s="1108">
        <x:f t="shared" si="172"/>
        <x:v>0</x:v>
      </x:c>
      <x:c r="DF82" s="1109">
        <x:f t="shared" si="109"/>
        <x:v>0</x:v>
      </x:c>
      <x:c r="DG82" s="1109" t="str">
        <x:f t="shared" si="110"/>
        <x:v/>
      </x:c>
      <x:c r="DH82" s="1125" t="str">
        <x:f t="shared" si="173"/>
        <x:v/>
      </x:c>
      <x:c r="DI82" s="1125" t="str">
        <x:f t="shared" si="174"/>
        <x:v/>
      </x:c>
      <x:c r="DJ82" s="1110">
        <x:f t="shared" si="175"/>
        <x:v>0</x:v>
      </x:c>
      <x:c r="DK82" s="1108" t="str">
        <x:f t="shared" si="111"/>
        <x:v/>
      </x:c>
      <x:c r="DL82" s="1108" t="str">
        <x:f t="shared" si="112"/>
        <x:v/>
      </x:c>
      <x:c r="DM82" s="1108" t="str">
        <x:f t="shared" si="113"/>
        <x:v/>
      </x:c>
      <x:c r="DN82" s="1108" t="str">
        <x:f t="shared" si="114"/>
        <x:v/>
      </x:c>
      <x:c r="DO82" s="1125" t="str">
        <x:f t="shared" si="115"/>
        <x:v>ERR</x:v>
      </x:c>
      <x:c r="DP82" s="1125" t="str">
        <x:f t="shared" si="116"/>
        <x:v>ERR</x:v>
      </x:c>
      <x:c r="DQ82" s="1108" t="str">
        <x:f t="shared" si="117"/>
        <x:v/>
      </x:c>
      <x:c r="DR82" s="1108" t="str">
        <x:f t="shared" si="117"/>
        <x:v/>
      </x:c>
      <x:c r="DS82" s="1108" t="str">
        <x:f t="shared" si="118"/>
        <x:v/>
      </x:c>
      <x:c r="DT82" s="1108" t="str">
        <x:f t="shared" si="119"/>
        <x:v/>
      </x:c>
      <x:c r="DU82" s="1108" t="str">
        <x:f t="shared" si="120"/>
        <x:v/>
      </x:c>
      <x:c r="DV82" s="1125" t="str">
        <x:f t="shared" si="121"/>
        <x:v>ERR</x:v>
      </x:c>
      <x:c r="DW82" s="1125" t="str">
        <x:f t="shared" si="122"/>
        <x:v>ERR</x:v>
      </x:c>
      <x:c r="DX82" s="1108" t="str">
        <x:f t="shared" si="195"/>
        <x:v/>
      </x:c>
      <x:c r="DY82" s="1108" t="str">
        <x:f t="shared" si="195"/>
        <x:v/>
      </x:c>
      <x:c r="DZ82" s="1108" t="str">
        <x:f t="shared" si="124"/>
        <x:v/>
      </x:c>
      <x:c r="EA82" s="1108" t="str">
        <x:f t="shared" si="125"/>
        <x:v/>
      </x:c>
      <x:c r="EB82" s="1111" t="str">
        <x:f t="shared" si="126"/>
        <x:v/>
      </x:c>
      <x:c r="EC82" s="1112" t="str">
        <x:f t="shared" si="127"/>
        <x:v/>
      </x:c>
      <x:c r="ED82" s="1111" t="str">
        <x:f t="shared" si="128"/>
        <x:v/>
      </x:c>
      <x:c r="EE82" s="1111" t="str">
        <x:f t="shared" si="129"/>
        <x:v/>
      </x:c>
      <x:c r="EF82" s="1111" t="str">
        <x:f t="shared" si="130"/>
        <x:v/>
      </x:c>
      <x:c r="EG82" s="1111" t="str">
        <x:f t="shared" si="131"/>
        <x:v/>
      </x:c>
      <x:c r="EH82" s="1111" t="str">
        <x:f t="shared" si="132"/>
        <x:v/>
      </x:c>
      <x:c r="EI82" s="1111" t="str">
        <x:f t="shared" si="133"/>
        <x:v/>
      </x:c>
      <x:c r="EJ82" s="1111" t="str">
        <x:f t="shared" si="134"/>
        <x:v/>
      </x:c>
      <x:c r="EK82" s="1109">
        <x:f t="shared" si="135"/>
        <x:v>0</x:v>
      </x:c>
      <x:c r="EL82" s="1109">
        <x:f t="shared" si="136"/>
        <x:v>0</x:v>
      </x:c>
      <x:c r="EM82" s="1109">
        <x:f t="shared" si="137"/>
        <x:v>0</x:v>
      </x:c>
      <x:c r="EN82" s="1109" t="str">
        <x:f t="shared" si="138"/>
        <x:v/>
      </x:c>
      <x:c r="EO82" s="1108" t="str">
        <x:f t="shared" si="139"/>
        <x:v/>
      </x:c>
      <x:c r="EP82" s="1109">
        <x:f t="shared" si="140"/>
        <x:v>0</x:v>
      </x:c>
      <x:c r="EQ82" s="1109">
        <x:f t="shared" si="141"/>
        <x:v>0</x:v>
      </x:c>
      <x:c r="ER82" s="1109">
        <x:f t="shared" si="142"/>
        <x:v>0</x:v>
      </x:c>
      <x:c r="ES82" s="1109" t="str">
        <x:f t="shared" si="143"/>
        <x:v/>
      </x:c>
      <x:c r="ET82" s="1108" t="str">
        <x:f t="shared" si="144"/>
        <x:v/>
      </x:c>
      <x:c r="EU82" s="1108">
        <x:f t="shared" si="145"/>
        <x:v>0</x:v>
      </x:c>
      <x:c r="EV82" s="1111" t="e">
        <x:f t="shared" si="146"/>
        <x:v>#VALUE!</x:v>
      </x:c>
      <x:c r="EW82" s="1111" t="e">
        <x:f t="shared" si="147"/>
        <x:v>#VALUE!</x:v>
      </x:c>
      <x:c r="EX82" s="1113" t="str">
        <x:f t="shared" si="176"/>
        <x:v/>
      </x:c>
      <x:c r="EY82" s="1114" t="e">
        <x:f t="shared" si="148"/>
        <x:v>#DIV/0!</x:v>
      </x:c>
      <x:c r="EZ82" s="1219" t="e">
        <x:f t="shared" si="149"/>
        <x:v>#DIV/0!</x:v>
      </x:c>
      <x:c r="FA82" s="1220" t="e">
        <x:f t="shared" si="150"/>
        <x:v>#DIV/0!</x:v>
      </x:c>
      <x:c r="FB82" s="1115" t="str">
        <x:f t="shared" si="151"/>
        <x:v/>
      </x:c>
      <x:c r="FC82" s="1116" t="str">
        <x:f t="shared" si="152"/>
        <x:v/>
      </x:c>
      <x:c r="FD82" s="1126">
        <x:f t="shared" si="153"/>
        <x:v>0</x:v>
      </x:c>
      <x:c r="FE82" s="1066">
        <x:f t="shared" si="154"/>
        <x:v>0</x:v>
      </x:c>
      <x:c r="FF82" s="969" t="b">
        <x:f t="shared" si="155"/>
        <x:v>0</x:v>
      </x:c>
      <x:c r="FG82" s="969" t="b">
        <x:f t="shared" si="156"/>
        <x:v>0</x:v>
      </x:c>
      <x:c r="FH82" s="969" t="b">
        <x:f t="shared" si="157"/>
        <x:v>0</x:v>
      </x:c>
      <x:c r="FI82" s="969" t="b">
        <x:f t="shared" si="158"/>
        <x:v>0</x:v>
      </x:c>
      <x:c r="FJ82" s="1161" t="str">
        <x:f t="shared" si="177"/>
        <x:v/>
      </x:c>
      <x:c r="FK82" s="1160" t="str">
        <x:f t="shared" si="178"/>
        <x:v/>
      </x:c>
      <x:c r="FL82" s="388" t="e">
        <x:f t="shared" si="179"/>
        <x:v>#N/A</x:v>
      </x:c>
      <x:c r="FM82" s="380" t="str">
        <x:f t="shared" si="159"/>
        <x:v/>
      </x:c>
      <x:c r="FN82" s="337" t="str">
        <x:f t="shared" ca="1" si="180"/>
        <x:v/>
      </x:c>
      <x:c r="FO82" s="338" t="str">
        <x:f t="shared" ca="1" si="181"/>
        <x:v/>
      </x:c>
      <x:c r="FP82" s="339" t="str">
        <x:f t="shared" ca="1" si="182"/>
        <x:v/>
      </x:c>
      <x:c r="FQ82" s="339" t="str">
        <x:f t="shared" ca="1" si="183"/>
        <x:v/>
      </x:c>
      <x:c r="FR82" s="389">
        <x:f t="shared" ca="1" si="184"/>
        <x:v>0</x:v>
      </x:c>
      <x:c r="FS82" s="390">
        <x:f t="shared" ca="1" si="185"/>
        <x:v>0</x:v>
      </x:c>
      <x:c r="FT82" s="337" t="str">
        <x:f t="shared" ca="1" si="186"/>
        <x:v/>
      </x:c>
      <x:c r="FU82" s="340" t="str">
        <x:f t="shared" ca="1" si="187"/>
        <x:v/>
      </x:c>
      <x:c r="FV82" s="391" t="str">
        <x:f t="shared" ca="1" si="160"/>
        <x:v/>
      </x:c>
      <x:c r="FW82" s="341" t="str">
        <x:f t="shared" ca="1" si="188"/>
        <x:v/>
      </x:c>
      <x:c r="FX82" s="341" t="str">
        <x:f t="shared" ca="1" si="189"/>
        <x:v/>
      </x:c>
      <x:c r="FY82" s="341" t="str">
        <x:f t="shared" ca="1" si="190"/>
        <x:v/>
      </x:c>
      <x:c r="FZ82" s="341" t="str">
        <x:f t="shared" ca="1" si="191"/>
        <x:v/>
      </x:c>
      <x:c r="GA82" s="341" t="str">
        <x:f t="shared" ca="1" si="192"/>
        <x:v/>
      </x:c>
      <x:c r="GB82" s="342" t="str">
        <x:f ca="1">IF(FY82="","",2+SUM(FO82:OFFSET(FO82,(FU82-1)*-1,0)))</x:f>
        <x:v/>
      </x:c>
      <x:c r="GC82" s="384" t="e">
        <x:f t="shared" si="193"/>
        <x:v>#N/A</x:v>
      </x:c>
      <x:c r="GD82" s="392" t="str">
        <x:f t="shared" si="161"/>
        <x:v/>
      </x:c>
      <x:c r="GE82" s="393" t="str">
        <x:f t="shared" si="162"/>
        <x:v/>
      </x:c>
      <x:c r="GF82" s="343" t="str">
        <x:f t="shared" si="163"/>
        <x:v/>
      </x:c>
      <x:c r="GG82" s="344" t="str">
        <x:f t="shared" si="164"/>
        <x:v/>
      </x:c>
      <x:c r="GH82" s="344" t="str">
        <x:f t="shared" si="165"/>
        <x:v/>
      </x:c>
      <x:c r="GI82" s="345" t="str">
        <x:f t="shared" si="166"/>
        <x:v/>
      </x:c>
      <x:c r="GJ82" s="646">
        <x:f t="shared" ca="1" si="167"/>
        <x:v>0</x:v>
      </x:c>
      <x:c r="GK82" s="1131" t="str">
        <x:f t="shared" ca="1" si="194"/>
        <x:v/>
      </x:c>
    </x:row>
    <x:row r="83" spans="1:193" ht="12.6" hidden="1" customHeight="1" x14ac:dyDescent="0.2">
      <x:c r="BZ83" s="360"/>
      <x:c r="CA83" s="360"/>
      <x:c r="CB83" s="435" t="str">
        <x:f t="shared" si="100"/>
        <x:v/>
      </x:c>
      <x:c r="CC83" s="436" t="str">
        <x:f>IF(CG43="","",VLOOKUP(CG43,SectInfo!$B:$N,12,FALSE))</x:f>
        <x:v/>
      </x:c>
      <x:c r="CD83" s="1172" t="str">
        <x:f>IF(ISBLANK(CZ43),IF(CG43="","",VLOOKUP(CG43,SectInfo!$B:$N,13,FALSE)),CZ43)</x:f>
        <x:v/>
      </x:c>
      <x:c r="CE83" s="437" t="str">
        <x:f>IF(CG43="","",IF(VLOOKUP(CG43,SectInfo!$B:$N,5,FALSE)="","R",UPPER(VLOOKUP(CG43,SectInfo!$B:$N,5,FALSE))))</x:f>
        <x:v/>
      </x:c>
      <x:c r="CF83" s="1172" t="str">
        <x:f>IF(ISBLANK(DD43),IF(CG43="","",VLOOKUP(CG43,SectInfo!$B:$N,6,FALSE)),DD43)</x:f>
        <x:v/>
      </x:c>
      <x:c r="CG83" s="437" t="str">
        <x:f>IF(CG43="","",IF(VLOOKUP(CG43,SectInfo!$B:$N,10,FALSE)="","",(VLOOKUP(CG43,SectInfo!$B:$N,10,FALSE)*-1)))</x:f>
        <x:v/>
      </x:c>
      <x:c r="CH83" s="437" t="str">
        <x:f>IF(CG43="","",IF(VLOOKUP(CG43,SectInfo!$B:$N,7,FALSE)="","",(VLOOKUP(CG43,SectInfo!$B:$N,7,FALSE)*-1)))</x:f>
        <x:v/>
      </x:c>
      <x:c r="CI83" s="437" t="str">
        <x:f>IF(CG43="","",IF(VLOOKUP(CG43,SectInfo!$B:$N,8,FALSE)="",$FC$4,(VLOOKUP(CG43,SectInfo!$B:$N,8,FALSE))))</x:f>
        <x:v/>
      </x:c>
      <x:c r="CJ83" s="437" t="str">
        <x:f>IF(CG43="","",VLOOKUP(CG43,SectInfo!$B:$N,9,FALSE))</x:f>
        <x:v/>
      </x:c>
      <x:c r="CK83" s="438">
        <x:f t="shared" si="168"/>
        <x:v>0</x:v>
      </x:c>
      <x:c r="CL83" s="436" t="str">
        <x:f>IF(CN43="","",VLOOKUP(CN43,SectInfo!$B:$N,12,FALSE))</x:f>
        <x:v/>
      </x:c>
      <x:c r="CM83" s="1172" t="str">
        <x:f>IF(ISBLANK(DA43),IF(CN43="","",VLOOKUP(CN43,SectInfo!$B:$N,13,FALSE)),DA43)</x:f>
        <x:v/>
      </x:c>
      <x:c r="CN83" s="437" t="str">
        <x:f>IF(CN43="","",IF(VLOOKUP(CN43,SectInfo!$B:$N,5,FALSE)="","R",UPPER(VLOOKUP(CN43,SectInfo!$B:$N,5,FALSE))))</x:f>
        <x:v/>
      </x:c>
      <x:c r="CO83" s="1172" t="str">
        <x:f>IF(ISBLANK(DE43),IF(CN43="","",VLOOKUP(CN43,SectInfo!$B:$N,6,FALSE)),DE43)</x:f>
        <x:v/>
      </x:c>
      <x:c r="CP83" s="437" t="str">
        <x:f>IF(CN43="","",IF(VLOOKUP(CN43,SectInfo!$B:$N,10,FALSE)="","",(VLOOKUP(CN43,SectInfo!$B:$N,10,FALSE)*-1)))</x:f>
        <x:v/>
      </x:c>
      <x:c r="CQ83" s="437" t="str">
        <x:f>IF(CN43="","",IF(VLOOKUP(CN43,SectInfo!$B:$N,7,FALSE)="","",(VLOOKUP(CN43,SectInfo!$B:$N,7,FALSE)*-1)))</x:f>
        <x:v/>
      </x:c>
      <x:c r="CR83" s="437" t="str">
        <x:f>IF(CN43="","",IF(VLOOKUP(CN43,SectInfo!$B:$N,8,FALSE)="",$FC$4,(VLOOKUP(CN43,SectInfo!$B:$N,8,FALSE))))</x:f>
        <x:v/>
      </x:c>
      <x:c r="CS83" s="437" t="str">
        <x:f>IF(CN43="","",VLOOKUP(CN43,SectInfo!$B:$N,9,FALSE))</x:f>
        <x:v/>
      </x:c>
      <x:c r="CT83" s="438">
        <x:f t="shared" si="169"/>
        <x:v>0</x:v>
      </x:c>
      <x:c r="CU83" s="439">
        <x:f t="shared" si="101"/>
        <x:v>0</x:v>
      </x:c>
      <x:c r="CV83" s="339" t="str">
        <x:f t="shared" si="102"/>
        <x:v/>
      </x:c>
      <x:c r="CW83" s="339" t="str">
        <x:f t="shared" si="103"/>
        <x:v/>
      </x:c>
      <x:c r="CX83" s="339" t="str">
        <x:f t="shared" si="104"/>
        <x:v/>
      </x:c>
      <x:c r="CY83" s="1109">
        <x:f t="shared" si="105"/>
        <x:v>0</x:v>
      </x:c>
      <x:c r="CZ83" s="1109">
        <x:f t="shared" si="106"/>
        <x:v>0</x:v>
      </x:c>
      <x:c r="DA83" s="1109" t="str">
        <x:f t="shared" si="107"/>
        <x:v/>
      </x:c>
      <x:c r="DB83" s="1125" t="str">
        <x:f t="shared" si="170"/>
        <x:v/>
      </x:c>
      <x:c r="DC83" s="1125" t="str">
        <x:f t="shared" si="108"/>
        <x:v/>
      </x:c>
      <x:c r="DD83" s="1110">
        <x:f t="shared" si="171"/>
        <x:v>0</x:v>
      </x:c>
      <x:c r="DE83" s="1108">
        <x:f t="shared" si="172"/>
        <x:v>0</x:v>
      </x:c>
      <x:c r="DF83" s="1109">
        <x:f t="shared" si="109"/>
        <x:v>0</x:v>
      </x:c>
      <x:c r="DG83" s="1109" t="str">
        <x:f t="shared" si="110"/>
        <x:v/>
      </x:c>
      <x:c r="DH83" s="1125" t="str">
        <x:f t="shared" si="173"/>
        <x:v/>
      </x:c>
      <x:c r="DI83" s="1125" t="str">
        <x:f t="shared" si="174"/>
        <x:v/>
      </x:c>
      <x:c r="DJ83" s="1110">
        <x:f t="shared" si="175"/>
        <x:v>0</x:v>
      </x:c>
      <x:c r="DK83" s="1108" t="str">
        <x:f t="shared" si="111"/>
        <x:v/>
      </x:c>
      <x:c r="DL83" s="1108" t="str">
        <x:f t="shared" si="112"/>
        <x:v/>
      </x:c>
      <x:c r="DM83" s="1108" t="str">
        <x:f t="shared" si="113"/>
        <x:v/>
      </x:c>
      <x:c r="DN83" s="1108" t="str">
        <x:f t="shared" si="114"/>
        <x:v/>
      </x:c>
      <x:c r="DO83" s="1125" t="str">
        <x:f t="shared" si="115"/>
        <x:v>ERR</x:v>
      </x:c>
      <x:c r="DP83" s="1125" t="str">
        <x:f t="shared" si="116"/>
        <x:v>ERR</x:v>
      </x:c>
      <x:c r="DQ83" s="1108" t="str">
        <x:f t="shared" si="117"/>
        <x:v/>
      </x:c>
      <x:c r="DR83" s="1108" t="str">
        <x:f t="shared" si="117"/>
        <x:v/>
      </x:c>
      <x:c r="DS83" s="1108" t="str">
        <x:f t="shared" si="118"/>
        <x:v/>
      </x:c>
      <x:c r="DT83" s="1108" t="str">
        <x:f t="shared" si="119"/>
        <x:v/>
      </x:c>
      <x:c r="DU83" s="1108" t="str">
        <x:f t="shared" si="120"/>
        <x:v/>
      </x:c>
      <x:c r="DV83" s="1125" t="str">
        <x:f t="shared" si="121"/>
        <x:v>ERR</x:v>
      </x:c>
      <x:c r="DW83" s="1125" t="str">
        <x:f t="shared" si="122"/>
        <x:v>ERR</x:v>
      </x:c>
      <x:c r="DX83" s="1108" t="str">
        <x:f t="shared" si="195"/>
        <x:v/>
      </x:c>
      <x:c r="DY83" s="1108" t="str">
        <x:f t="shared" si="195"/>
        <x:v/>
      </x:c>
      <x:c r="DZ83" s="1108" t="str">
        <x:f t="shared" si="124"/>
        <x:v/>
      </x:c>
      <x:c r="EA83" s="1108" t="str">
        <x:f t="shared" si="125"/>
        <x:v/>
      </x:c>
      <x:c r="EB83" s="1111" t="str">
        <x:f t="shared" si="126"/>
        <x:v/>
      </x:c>
      <x:c r="EC83" s="1112" t="str">
        <x:f t="shared" si="127"/>
        <x:v/>
      </x:c>
      <x:c r="ED83" s="1111" t="str">
        <x:f t="shared" si="128"/>
        <x:v/>
      </x:c>
      <x:c r="EE83" s="1111" t="str">
        <x:f t="shared" si="129"/>
        <x:v/>
      </x:c>
      <x:c r="EF83" s="1111" t="str">
        <x:f t="shared" si="130"/>
        <x:v/>
      </x:c>
      <x:c r="EG83" s="1111" t="str">
        <x:f t="shared" si="131"/>
        <x:v/>
      </x:c>
      <x:c r="EH83" s="1111" t="str">
        <x:f t="shared" si="132"/>
        <x:v/>
      </x:c>
      <x:c r="EI83" s="1111" t="str">
        <x:f t="shared" si="133"/>
        <x:v/>
      </x:c>
      <x:c r="EJ83" s="1111" t="str">
        <x:f t="shared" si="134"/>
        <x:v/>
      </x:c>
      <x:c r="EK83" s="1109">
        <x:f t="shared" si="135"/>
        <x:v>0</x:v>
      </x:c>
      <x:c r="EL83" s="1109">
        <x:f t="shared" si="136"/>
        <x:v>0</x:v>
      </x:c>
      <x:c r="EM83" s="1109">
        <x:f t="shared" si="137"/>
        <x:v>0</x:v>
      </x:c>
      <x:c r="EN83" s="1109" t="str">
        <x:f t="shared" si="138"/>
        <x:v/>
      </x:c>
      <x:c r="EO83" s="1108" t="str">
        <x:f t="shared" si="139"/>
        <x:v/>
      </x:c>
      <x:c r="EP83" s="1109">
        <x:f t="shared" si="140"/>
        <x:v>0</x:v>
      </x:c>
      <x:c r="EQ83" s="1109">
        <x:f t="shared" si="141"/>
        <x:v>0</x:v>
      </x:c>
      <x:c r="ER83" s="1109">
        <x:f t="shared" si="142"/>
        <x:v>0</x:v>
      </x:c>
      <x:c r="ES83" s="1109" t="str">
        <x:f t="shared" si="143"/>
        <x:v/>
      </x:c>
      <x:c r="ET83" s="1108" t="str">
        <x:f t="shared" si="144"/>
        <x:v/>
      </x:c>
      <x:c r="EU83" s="1108">
        <x:f t="shared" si="145"/>
        <x:v>0</x:v>
      </x:c>
      <x:c r="EV83" s="1111" t="e">
        <x:f t="shared" si="146"/>
        <x:v>#VALUE!</x:v>
      </x:c>
      <x:c r="EW83" s="1111" t="e">
        <x:f t="shared" si="147"/>
        <x:v>#VALUE!</x:v>
      </x:c>
      <x:c r="EX83" s="1113" t="str">
        <x:f t="shared" si="176"/>
        <x:v/>
      </x:c>
      <x:c r="EY83" s="1114" t="e">
        <x:f t="shared" si="148"/>
        <x:v>#DIV/0!</x:v>
      </x:c>
      <x:c r="EZ83" s="1219" t="e">
        <x:f t="shared" si="149"/>
        <x:v>#DIV/0!</x:v>
      </x:c>
      <x:c r="FA83" s="1220" t="e">
        <x:f t="shared" si="150"/>
        <x:v>#DIV/0!</x:v>
      </x:c>
      <x:c r="FB83" s="1115" t="str">
        <x:f t="shared" si="151"/>
        <x:v/>
      </x:c>
      <x:c r="FC83" s="1116" t="str">
        <x:f t="shared" si="152"/>
        <x:v/>
      </x:c>
      <x:c r="FD83" s="1126">
        <x:f t="shared" si="153"/>
        <x:v>0</x:v>
      </x:c>
      <x:c r="FE83" s="1066">
        <x:f t="shared" si="154"/>
        <x:v>0</x:v>
      </x:c>
      <x:c r="FF83" s="969" t="b">
        <x:f t="shared" si="155"/>
        <x:v>0</x:v>
      </x:c>
      <x:c r="FG83" s="969" t="b">
        <x:f t="shared" si="156"/>
        <x:v>0</x:v>
      </x:c>
      <x:c r="FH83" s="969" t="b">
        <x:f t="shared" si="157"/>
        <x:v>0</x:v>
      </x:c>
      <x:c r="FI83" s="969" t="b">
        <x:f t="shared" si="158"/>
        <x:v>0</x:v>
      </x:c>
      <x:c r="FJ83" s="1161" t="str">
        <x:f t="shared" si="177"/>
        <x:v/>
      </x:c>
      <x:c r="FK83" s="1160" t="str">
        <x:f t="shared" si="178"/>
        <x:v/>
      </x:c>
      <x:c r="FL83" s="388" t="e">
        <x:f t="shared" si="179"/>
        <x:v>#N/A</x:v>
      </x:c>
      <x:c r="FM83" s="380" t="str">
        <x:f t="shared" si="159"/>
        <x:v/>
      </x:c>
      <x:c r="FN83" s="337" t="str">
        <x:f t="shared" ca="1" si="180"/>
        <x:v/>
      </x:c>
      <x:c r="FO83" s="338" t="str">
        <x:f t="shared" ca="1" si="181"/>
        <x:v/>
      </x:c>
      <x:c r="FP83" s="339" t="str">
        <x:f t="shared" ca="1" si="182"/>
        <x:v/>
      </x:c>
      <x:c r="FQ83" s="339" t="str">
        <x:f t="shared" ca="1" si="183"/>
        <x:v/>
      </x:c>
      <x:c r="FR83" s="389">
        <x:f t="shared" ca="1" si="184"/>
        <x:v>0</x:v>
      </x:c>
      <x:c r="FS83" s="390">
        <x:f t="shared" ca="1" si="185"/>
        <x:v>0</x:v>
      </x:c>
      <x:c r="FT83" s="337" t="str">
        <x:f t="shared" ca="1" si="186"/>
        <x:v/>
      </x:c>
      <x:c r="FU83" s="340" t="str">
        <x:f t="shared" ca="1" si="187"/>
        <x:v/>
      </x:c>
      <x:c r="FV83" s="391" t="str">
        <x:f t="shared" ca="1" si="160"/>
        <x:v/>
      </x:c>
      <x:c r="FW83" s="341" t="str">
        <x:f t="shared" ca="1" si="188"/>
        <x:v/>
      </x:c>
      <x:c r="FX83" s="341" t="str">
        <x:f t="shared" ca="1" si="189"/>
        <x:v/>
      </x:c>
      <x:c r="FY83" s="341" t="str">
        <x:f t="shared" ca="1" si="190"/>
        <x:v/>
      </x:c>
      <x:c r="FZ83" s="341" t="str">
        <x:f t="shared" ca="1" si="191"/>
        <x:v/>
      </x:c>
      <x:c r="GA83" s="341" t="str">
        <x:f t="shared" ca="1" si="192"/>
        <x:v/>
      </x:c>
      <x:c r="GB83" s="342" t="str">
        <x:f ca="1">IF(FY83="","",2+SUM(FO83:OFFSET(FO83,(FU83-1)*-1,0)))</x:f>
        <x:v/>
      </x:c>
      <x:c r="GC83" s="384" t="e">
        <x:f t="shared" si="193"/>
        <x:v>#N/A</x:v>
      </x:c>
      <x:c r="GD83" s="392" t="str">
        <x:f t="shared" si="161"/>
        <x:v/>
      </x:c>
      <x:c r="GE83" s="393" t="str">
        <x:f t="shared" si="162"/>
        <x:v/>
      </x:c>
      <x:c r="GF83" s="343" t="str">
        <x:f t="shared" si="163"/>
        <x:v/>
      </x:c>
      <x:c r="GG83" s="344" t="str">
        <x:f t="shared" si="164"/>
        <x:v/>
      </x:c>
      <x:c r="GH83" s="344" t="str">
        <x:f t="shared" si="165"/>
        <x:v/>
      </x:c>
      <x:c r="GI83" s="345" t="str">
        <x:f t="shared" si="166"/>
        <x:v/>
      </x:c>
      <x:c r="GJ83" s="646">
        <x:f t="shared" ca="1" si="167"/>
        <x:v>0</x:v>
      </x:c>
      <x:c r="GK83" s="1131" t="str">
        <x:f t="shared" ca="1" si="194"/>
        <x:v/>
      </x:c>
    </x:row>
    <x:row r="84" spans="1:193" ht="12.6" hidden="1" customHeight="1" x14ac:dyDescent="0.2">
      <x:c r="BZ84" s="360"/>
      <x:c r="CA84" s="360"/>
      <x:c r="CB84" s="435" t="str">
        <x:f t="shared" si="100"/>
        <x:v/>
      </x:c>
      <x:c r="CC84" s="436" t="str">
        <x:f>IF(CG44="","",VLOOKUP(CG44,SectInfo!$B:$N,12,FALSE))</x:f>
        <x:v/>
      </x:c>
      <x:c r="CD84" s="1172" t="str">
        <x:f>IF(ISBLANK(CZ44),IF(CG44="","",VLOOKUP(CG44,SectInfo!$B:$N,13,FALSE)),CZ44)</x:f>
        <x:v/>
      </x:c>
      <x:c r="CE84" s="437" t="str">
        <x:f>IF(CG44="","",IF(VLOOKUP(CG44,SectInfo!$B:$N,5,FALSE)="","R",UPPER(VLOOKUP(CG44,SectInfo!$B:$N,5,FALSE))))</x:f>
        <x:v/>
      </x:c>
      <x:c r="CF84" s="1172" t="str">
        <x:f>IF(ISBLANK(DD44),IF(CG44="","",VLOOKUP(CG44,SectInfo!$B:$N,6,FALSE)),DD44)</x:f>
        <x:v/>
      </x:c>
      <x:c r="CG84" s="437" t="str">
        <x:f>IF(CG44="","",IF(VLOOKUP(CG44,SectInfo!$B:$N,10,FALSE)="","",(VLOOKUP(CG44,SectInfo!$B:$N,10,FALSE)*-1)))</x:f>
        <x:v/>
      </x:c>
      <x:c r="CH84" s="437" t="str">
        <x:f>IF(CG44="","",IF(VLOOKUP(CG44,SectInfo!$B:$N,7,FALSE)="","",(VLOOKUP(CG44,SectInfo!$B:$N,7,FALSE)*-1)))</x:f>
        <x:v/>
      </x:c>
      <x:c r="CI84" s="437" t="str">
        <x:f>IF(CG44="","",IF(VLOOKUP(CG44,SectInfo!$B:$N,8,FALSE)="",$FC$4,(VLOOKUP(CG44,SectInfo!$B:$N,8,FALSE))))</x:f>
        <x:v/>
      </x:c>
      <x:c r="CJ84" s="437" t="str">
        <x:f>IF(CG44="","",VLOOKUP(CG44,SectInfo!$B:$N,9,FALSE))</x:f>
        <x:v/>
      </x:c>
      <x:c r="CK84" s="438">
        <x:f t="shared" si="168"/>
        <x:v>0</x:v>
      </x:c>
      <x:c r="CL84" s="436" t="str">
        <x:f>IF(CN44="","",VLOOKUP(CN44,SectInfo!$B:$N,12,FALSE))</x:f>
        <x:v/>
      </x:c>
      <x:c r="CM84" s="1172" t="str">
        <x:f>IF(ISBLANK(DA44),IF(CN44="","",VLOOKUP(CN44,SectInfo!$B:$N,13,FALSE)),DA44)</x:f>
        <x:v/>
      </x:c>
      <x:c r="CN84" s="437" t="str">
        <x:f>IF(CN44="","",IF(VLOOKUP(CN44,SectInfo!$B:$N,5,FALSE)="","R",UPPER(VLOOKUP(CN44,SectInfo!$B:$N,5,FALSE))))</x:f>
        <x:v/>
      </x:c>
      <x:c r="CO84" s="1172" t="str">
        <x:f>IF(ISBLANK(DE44),IF(CN44="","",VLOOKUP(CN44,SectInfo!$B:$N,6,FALSE)),DE44)</x:f>
        <x:v/>
      </x:c>
      <x:c r="CP84" s="437" t="str">
        <x:f>IF(CN44="","",IF(VLOOKUP(CN44,SectInfo!$B:$N,10,FALSE)="","",(VLOOKUP(CN44,SectInfo!$B:$N,10,FALSE)*-1)))</x:f>
        <x:v/>
      </x:c>
      <x:c r="CQ84" s="437" t="str">
        <x:f>IF(CN44="","",IF(VLOOKUP(CN44,SectInfo!$B:$N,7,FALSE)="","",(VLOOKUP(CN44,SectInfo!$B:$N,7,FALSE)*-1)))</x:f>
        <x:v/>
      </x:c>
      <x:c r="CR84" s="437" t="str">
        <x:f>IF(CN44="","",IF(VLOOKUP(CN44,SectInfo!$B:$N,8,FALSE)="",$FC$4,(VLOOKUP(CN44,SectInfo!$B:$N,8,FALSE))))</x:f>
        <x:v/>
      </x:c>
      <x:c r="CS84" s="437" t="str">
        <x:f>IF(CN44="","",VLOOKUP(CN44,SectInfo!$B:$N,9,FALSE))</x:f>
        <x:v/>
      </x:c>
      <x:c r="CT84" s="438">
        <x:f t="shared" si="169"/>
        <x:v>0</x:v>
      </x:c>
      <x:c r="CU84" s="439">
        <x:f t="shared" si="101"/>
        <x:v>0</x:v>
      </x:c>
      <x:c r="CV84" s="339" t="str">
        <x:f t="shared" si="102"/>
        <x:v/>
      </x:c>
      <x:c r="CW84" s="339" t="str">
        <x:f t="shared" si="103"/>
        <x:v/>
      </x:c>
      <x:c r="CX84" s="339" t="str">
        <x:f t="shared" si="104"/>
        <x:v/>
      </x:c>
      <x:c r="CY84" s="1109">
        <x:f t="shared" si="105"/>
        <x:v>0</x:v>
      </x:c>
      <x:c r="CZ84" s="1109">
        <x:f t="shared" si="106"/>
        <x:v>0</x:v>
      </x:c>
      <x:c r="DA84" s="1109" t="str">
        <x:f t="shared" si="107"/>
        <x:v/>
      </x:c>
      <x:c r="DB84" s="1125" t="str">
        <x:f t="shared" si="170"/>
        <x:v/>
      </x:c>
      <x:c r="DC84" s="1125" t="str">
        <x:f t="shared" si="108"/>
        <x:v/>
      </x:c>
      <x:c r="DD84" s="1110">
        <x:f t="shared" si="171"/>
        <x:v>0</x:v>
      </x:c>
      <x:c r="DE84" s="1108">
        <x:f t="shared" si="172"/>
        <x:v>0</x:v>
      </x:c>
      <x:c r="DF84" s="1109">
        <x:f t="shared" si="109"/>
        <x:v>0</x:v>
      </x:c>
      <x:c r="DG84" s="1109" t="str">
        <x:f t="shared" si="110"/>
        <x:v/>
      </x:c>
      <x:c r="DH84" s="1125" t="str">
        <x:f t="shared" si="173"/>
        <x:v/>
      </x:c>
      <x:c r="DI84" s="1125" t="str">
        <x:f t="shared" si="174"/>
        <x:v/>
      </x:c>
      <x:c r="DJ84" s="1110">
        <x:f t="shared" si="175"/>
        <x:v>0</x:v>
      </x:c>
      <x:c r="DK84" s="1108" t="str">
        <x:f t="shared" si="111"/>
        <x:v/>
      </x:c>
      <x:c r="DL84" s="1108" t="str">
        <x:f t="shared" si="112"/>
        <x:v/>
      </x:c>
      <x:c r="DM84" s="1108" t="str">
        <x:f t="shared" si="113"/>
        <x:v/>
      </x:c>
      <x:c r="DN84" s="1108" t="str">
        <x:f t="shared" si="114"/>
        <x:v/>
      </x:c>
      <x:c r="DO84" s="1125" t="str">
        <x:f t="shared" si="115"/>
        <x:v>ERR</x:v>
      </x:c>
      <x:c r="DP84" s="1125" t="str">
        <x:f t="shared" si="116"/>
        <x:v>ERR</x:v>
      </x:c>
      <x:c r="DQ84" s="1108" t="str">
        <x:f t="shared" si="117"/>
        <x:v/>
      </x:c>
      <x:c r="DR84" s="1108" t="str">
        <x:f t="shared" si="117"/>
        <x:v/>
      </x:c>
      <x:c r="DS84" s="1108" t="str">
        <x:f t="shared" si="118"/>
        <x:v/>
      </x:c>
      <x:c r="DT84" s="1108" t="str">
        <x:f t="shared" si="119"/>
        <x:v/>
      </x:c>
      <x:c r="DU84" s="1108" t="str">
        <x:f t="shared" si="120"/>
        <x:v/>
      </x:c>
      <x:c r="DV84" s="1125" t="str">
        <x:f t="shared" si="121"/>
        <x:v>ERR</x:v>
      </x:c>
      <x:c r="DW84" s="1125" t="str">
        <x:f t="shared" si="122"/>
        <x:v>ERR</x:v>
      </x:c>
      <x:c r="DX84" s="1108" t="str">
        <x:f t="shared" si="195"/>
        <x:v/>
      </x:c>
      <x:c r="DY84" s="1108" t="str">
        <x:f t="shared" si="195"/>
        <x:v/>
      </x:c>
      <x:c r="DZ84" s="1108" t="str">
        <x:f t="shared" si="124"/>
        <x:v/>
      </x:c>
      <x:c r="EA84" s="1108" t="str">
        <x:f t="shared" si="125"/>
        <x:v/>
      </x:c>
      <x:c r="EB84" s="1111" t="str">
        <x:f t="shared" si="126"/>
        <x:v/>
      </x:c>
      <x:c r="EC84" s="1112" t="str">
        <x:f t="shared" si="127"/>
        <x:v/>
      </x:c>
      <x:c r="ED84" s="1111" t="str">
        <x:f t="shared" si="128"/>
        <x:v/>
      </x:c>
      <x:c r="EE84" s="1111" t="str">
        <x:f t="shared" si="129"/>
        <x:v/>
      </x:c>
      <x:c r="EF84" s="1111" t="str">
        <x:f t="shared" si="130"/>
        <x:v/>
      </x:c>
      <x:c r="EG84" s="1111" t="str">
        <x:f t="shared" si="131"/>
        <x:v/>
      </x:c>
      <x:c r="EH84" s="1111" t="str">
        <x:f t="shared" si="132"/>
        <x:v/>
      </x:c>
      <x:c r="EI84" s="1111" t="str">
        <x:f t="shared" si="133"/>
        <x:v/>
      </x:c>
      <x:c r="EJ84" s="1111" t="str">
        <x:f t="shared" si="134"/>
        <x:v/>
      </x:c>
      <x:c r="EK84" s="1109">
        <x:f t="shared" si="135"/>
        <x:v>0</x:v>
      </x:c>
      <x:c r="EL84" s="1109">
        <x:f t="shared" si="136"/>
        <x:v>0</x:v>
      </x:c>
      <x:c r="EM84" s="1109">
        <x:f t="shared" si="137"/>
        <x:v>0</x:v>
      </x:c>
      <x:c r="EN84" s="1109" t="str">
        <x:f t="shared" si="138"/>
        <x:v/>
      </x:c>
      <x:c r="EO84" s="1108" t="str">
        <x:f t="shared" si="139"/>
        <x:v/>
      </x:c>
      <x:c r="EP84" s="1109">
        <x:f t="shared" si="140"/>
        <x:v>0</x:v>
      </x:c>
      <x:c r="EQ84" s="1109">
        <x:f t="shared" si="141"/>
        <x:v>0</x:v>
      </x:c>
      <x:c r="ER84" s="1109">
        <x:f t="shared" si="142"/>
        <x:v>0</x:v>
      </x:c>
      <x:c r="ES84" s="1109" t="str">
        <x:f t="shared" si="143"/>
        <x:v/>
      </x:c>
      <x:c r="ET84" s="1108" t="str">
        <x:f t="shared" si="144"/>
        <x:v/>
      </x:c>
      <x:c r="EU84" s="1108">
        <x:f t="shared" si="145"/>
        <x:v>0</x:v>
      </x:c>
      <x:c r="EV84" s="1111" t="e">
        <x:f t="shared" si="146"/>
        <x:v>#VALUE!</x:v>
      </x:c>
      <x:c r="EW84" s="1111" t="e">
        <x:f t="shared" si="147"/>
        <x:v>#VALUE!</x:v>
      </x:c>
      <x:c r="EX84" s="1113" t="str">
        <x:f t="shared" si="176"/>
        <x:v/>
      </x:c>
      <x:c r="EY84" s="1114" t="e">
        <x:f t="shared" si="148"/>
        <x:v>#DIV/0!</x:v>
      </x:c>
      <x:c r="EZ84" s="1219" t="e">
        <x:f t="shared" si="149"/>
        <x:v>#DIV/0!</x:v>
      </x:c>
      <x:c r="FA84" s="1220" t="e">
        <x:f t="shared" si="150"/>
        <x:v>#DIV/0!</x:v>
      </x:c>
      <x:c r="FB84" s="1115" t="str">
        <x:f t="shared" si="151"/>
        <x:v/>
      </x:c>
      <x:c r="FC84" s="1116" t="str">
        <x:f t="shared" si="152"/>
        <x:v/>
      </x:c>
      <x:c r="FD84" s="1126">
        <x:f t="shared" si="153"/>
        <x:v>0</x:v>
      </x:c>
      <x:c r="FE84" s="1066">
        <x:f t="shared" si="154"/>
        <x:v>0</x:v>
      </x:c>
      <x:c r="FF84" s="969" t="b">
        <x:f t="shared" si="155"/>
        <x:v>0</x:v>
      </x:c>
      <x:c r="FG84" s="969" t="b">
        <x:f t="shared" si="156"/>
        <x:v>0</x:v>
      </x:c>
      <x:c r="FH84" s="969" t="b">
        <x:f t="shared" si="157"/>
        <x:v>0</x:v>
      </x:c>
      <x:c r="FI84" s="969" t="b">
        <x:f t="shared" si="158"/>
        <x:v>0</x:v>
      </x:c>
      <x:c r="FJ84" s="1161" t="str">
        <x:f t="shared" si="177"/>
        <x:v/>
      </x:c>
      <x:c r="FK84" s="1160" t="str">
        <x:f t="shared" si="178"/>
        <x:v/>
      </x:c>
      <x:c r="FL84" s="388" t="e">
        <x:f t="shared" si="179"/>
        <x:v>#N/A</x:v>
      </x:c>
      <x:c r="FM84" s="380" t="str">
        <x:f t="shared" si="159"/>
        <x:v/>
      </x:c>
      <x:c r="FN84" s="337" t="str">
        <x:f t="shared" ca="1" si="180"/>
        <x:v/>
      </x:c>
      <x:c r="FO84" s="338" t="str">
        <x:f t="shared" ca="1" si="181"/>
        <x:v/>
      </x:c>
      <x:c r="FP84" s="339" t="str">
        <x:f t="shared" ca="1" si="182"/>
        <x:v/>
      </x:c>
      <x:c r="FQ84" s="339" t="str">
        <x:f t="shared" ca="1" si="183"/>
        <x:v/>
      </x:c>
      <x:c r="FR84" s="389">
        <x:f t="shared" ca="1" si="184"/>
        <x:v>0</x:v>
      </x:c>
      <x:c r="FS84" s="390">
        <x:f t="shared" ca="1" si="185"/>
        <x:v>0</x:v>
      </x:c>
      <x:c r="FT84" s="337" t="str">
        <x:f t="shared" ca="1" si="186"/>
        <x:v/>
      </x:c>
      <x:c r="FU84" s="340" t="str">
        <x:f t="shared" ca="1" si="187"/>
        <x:v/>
      </x:c>
      <x:c r="FV84" s="391" t="str">
        <x:f t="shared" ca="1" si="160"/>
        <x:v/>
      </x:c>
      <x:c r="FW84" s="341" t="str">
        <x:f t="shared" ca="1" si="188"/>
        <x:v/>
      </x:c>
      <x:c r="FX84" s="341" t="str">
        <x:f t="shared" ca="1" si="189"/>
        <x:v/>
      </x:c>
      <x:c r="FY84" s="341" t="str">
        <x:f t="shared" ca="1" si="190"/>
        <x:v/>
      </x:c>
      <x:c r="FZ84" s="341" t="str">
        <x:f t="shared" ca="1" si="191"/>
        <x:v/>
      </x:c>
      <x:c r="GA84" s="341" t="str">
        <x:f t="shared" ca="1" si="192"/>
        <x:v/>
      </x:c>
      <x:c r="GB84" s="342" t="str">
        <x:f ca="1">IF(FY84="","",2+SUM(FO84:OFFSET(FO84,(FU84-1)*-1,0)))</x:f>
        <x:v/>
      </x:c>
      <x:c r="GC84" s="384" t="e">
        <x:f t="shared" si="193"/>
        <x:v>#N/A</x:v>
      </x:c>
      <x:c r="GD84" s="392" t="str">
        <x:f t="shared" si="161"/>
        <x:v/>
      </x:c>
      <x:c r="GE84" s="393" t="str">
        <x:f t="shared" si="162"/>
        <x:v/>
      </x:c>
      <x:c r="GF84" s="343" t="str">
        <x:f t="shared" si="163"/>
        <x:v/>
      </x:c>
      <x:c r="GG84" s="344" t="str">
        <x:f t="shared" si="164"/>
        <x:v/>
      </x:c>
      <x:c r="GH84" s="344" t="str">
        <x:f t="shared" si="165"/>
        <x:v/>
      </x:c>
      <x:c r="GI84" s="345" t="str">
        <x:f t="shared" si="166"/>
        <x:v/>
      </x:c>
      <x:c r="GJ84" s="646">
        <x:f t="shared" ca="1" si="167"/>
        <x:v>0</x:v>
      </x:c>
      <x:c r="GK84" s="1131" t="str">
        <x:f t="shared" ca="1" si="194"/>
        <x:v/>
      </x:c>
    </x:row>
    <x:row r="85" spans="1:193" ht="12.6" hidden="1" customHeight="1" thickBot="1" x14ac:dyDescent="0.25">
      <x:c r="BZ85" s="360"/>
      <x:c r="CA85" s="360"/>
      <x:c r="CB85" s="435" t="str">
        <x:f t="shared" si="100"/>
        <x:v/>
      </x:c>
      <x:c r="CC85" s="436" t="str">
        <x:f>IF(CG45="","",VLOOKUP(CG45,SectInfo!$B:$N,12,FALSE))</x:f>
        <x:v/>
      </x:c>
      <x:c r="CD85" s="1172" t="str">
        <x:f>IF(ISBLANK(CZ45),IF(CG45="","",VLOOKUP(CG45,SectInfo!$B:$N,13,FALSE)),CZ45)</x:f>
        <x:v/>
      </x:c>
      <x:c r="CE85" s="437" t="str">
        <x:f>IF(CG45="","",IF(VLOOKUP(CG45,SectInfo!$B:$N,5,FALSE)="","R",UPPER(VLOOKUP(CG45,SectInfo!$B:$N,5,FALSE))))</x:f>
        <x:v/>
      </x:c>
      <x:c r="CF85" s="1172" t="str">
        <x:f>IF(ISBLANK(DD45),IF(CG45="","",VLOOKUP(CG45,SectInfo!$B:$N,6,FALSE)),DD45)</x:f>
        <x:v/>
      </x:c>
      <x:c r="CG85" s="437" t="str">
        <x:f>IF(CG45="","",IF(VLOOKUP(CG45,SectInfo!$B:$N,10,FALSE)="","",(VLOOKUP(CG45,SectInfo!$B:$N,10,FALSE)*-1)))</x:f>
        <x:v/>
      </x:c>
      <x:c r="CH85" s="437" t="str">
        <x:f>IF(CG45="","",IF(VLOOKUP(CG45,SectInfo!$B:$N,7,FALSE)="","",(VLOOKUP(CG45,SectInfo!$B:$N,7,FALSE)*-1)))</x:f>
        <x:v/>
      </x:c>
      <x:c r="CI85" s="437" t="str">
        <x:f>IF(CG45="","",IF(VLOOKUP(CG45,SectInfo!$B:$N,8,FALSE)="",$FC$4,(VLOOKUP(CG45,SectInfo!$B:$N,8,FALSE))))</x:f>
        <x:v/>
      </x:c>
      <x:c r="CJ85" s="437" t="str">
        <x:f>IF(CG45="","",VLOOKUP(CG45,SectInfo!$B:$N,9,FALSE))</x:f>
        <x:v/>
      </x:c>
      <x:c r="CK85" s="438">
        <x:f t="shared" si="168"/>
        <x:v>0</x:v>
      </x:c>
      <x:c r="CL85" s="436" t="str">
        <x:f>IF(CN45="","",VLOOKUP(CN45,SectInfo!$B:$N,12,FALSE))</x:f>
        <x:v/>
      </x:c>
      <x:c r="CM85" s="1172" t="str">
        <x:f>IF(ISBLANK(DA45),IF(CN45="","",VLOOKUP(CN45,SectInfo!$B:$N,13,FALSE)),DA45)</x:f>
        <x:v/>
      </x:c>
      <x:c r="CN85" s="437" t="str">
        <x:f>IF(CN45="","",IF(VLOOKUP(CN45,SectInfo!$B:$N,5,FALSE)="","R",UPPER(VLOOKUP(CN45,SectInfo!$B:$N,5,FALSE))))</x:f>
        <x:v/>
      </x:c>
      <x:c r="CO85" s="1172" t="str">
        <x:f>IF(ISBLANK(DE45),IF(CN45="","",VLOOKUP(CN45,SectInfo!$B:$N,6,FALSE)),DE45)</x:f>
        <x:v/>
      </x:c>
      <x:c r="CP85" s="437" t="str">
        <x:f>IF(CN45="","",IF(VLOOKUP(CN45,SectInfo!$B:$N,10,FALSE)="","",(VLOOKUP(CN45,SectInfo!$B:$N,10,FALSE)*-1)))</x:f>
        <x:v/>
      </x:c>
      <x:c r="CQ85" s="437" t="str">
        <x:f>IF(CN45="","",IF(VLOOKUP(CN45,SectInfo!$B:$N,7,FALSE)="","",(VLOOKUP(CN45,SectInfo!$B:$N,7,FALSE)*-1)))</x:f>
        <x:v/>
      </x:c>
      <x:c r="CR85" s="437" t="str">
        <x:f>IF(CN45="","",IF(VLOOKUP(CN45,SectInfo!$B:$N,8,FALSE)="",$FC$4,(VLOOKUP(CN45,SectInfo!$B:$N,8,FALSE))))</x:f>
        <x:v/>
      </x:c>
      <x:c r="CS85" s="437" t="str">
        <x:f>IF(CN45="","",VLOOKUP(CN45,SectInfo!$B:$N,9,FALSE))</x:f>
        <x:v/>
      </x:c>
      <x:c r="CT85" s="438">
        <x:f t="shared" si="169"/>
        <x:v>0</x:v>
      </x:c>
      <x:c r="CU85" s="439">
        <x:f t="shared" si="101"/>
        <x:v>0</x:v>
      </x:c>
      <x:c r="CV85" s="339" t="str">
        <x:f t="shared" si="102"/>
        <x:v/>
      </x:c>
      <x:c r="CW85" s="339" t="str">
        <x:f t="shared" si="103"/>
        <x:v/>
      </x:c>
      <x:c r="CX85" s="339" t="str">
        <x:f t="shared" si="104"/>
        <x:v/>
      </x:c>
      <x:c r="CY85" s="1109">
        <x:f t="shared" si="105"/>
        <x:v>0</x:v>
      </x:c>
      <x:c r="CZ85" s="1109">
        <x:f t="shared" si="106"/>
        <x:v>0</x:v>
      </x:c>
      <x:c r="DA85" s="1109" t="str">
        <x:f t="shared" si="107"/>
        <x:v/>
      </x:c>
      <x:c r="DB85" s="1125" t="str">
        <x:f t="shared" si="170"/>
        <x:v/>
      </x:c>
      <x:c r="DC85" s="1125" t="str">
        <x:f t="shared" si="108"/>
        <x:v/>
      </x:c>
      <x:c r="DD85" s="1110">
        <x:f t="shared" si="171"/>
        <x:v>0</x:v>
      </x:c>
      <x:c r="DE85" s="1108">
        <x:f t="shared" si="172"/>
        <x:v>0</x:v>
      </x:c>
      <x:c r="DF85" s="1109">
        <x:f t="shared" si="109"/>
        <x:v>0</x:v>
      </x:c>
      <x:c r="DG85" s="1109" t="str">
        <x:f t="shared" si="110"/>
        <x:v/>
      </x:c>
      <x:c r="DH85" s="1125" t="str">
        <x:f t="shared" si="173"/>
        <x:v/>
      </x:c>
      <x:c r="DI85" s="1125" t="str">
        <x:f t="shared" si="174"/>
        <x:v/>
      </x:c>
      <x:c r="DJ85" s="1110">
        <x:f t="shared" si="175"/>
        <x:v>0</x:v>
      </x:c>
      <x:c r="DK85" s="1108" t="str">
        <x:f t="shared" si="111"/>
        <x:v/>
      </x:c>
      <x:c r="DL85" s="1108" t="str">
        <x:f t="shared" si="112"/>
        <x:v/>
      </x:c>
      <x:c r="DM85" s="1108" t="str">
        <x:f t="shared" si="113"/>
        <x:v/>
      </x:c>
      <x:c r="DN85" s="1108" t="str">
        <x:f t="shared" si="114"/>
        <x:v/>
      </x:c>
      <x:c r="DO85" s="1125" t="str">
        <x:f t="shared" si="115"/>
        <x:v>ERR</x:v>
      </x:c>
      <x:c r="DP85" s="1125" t="str">
        <x:f t="shared" si="116"/>
        <x:v>ERR</x:v>
      </x:c>
      <x:c r="DQ85" s="1108" t="str">
        <x:f t="shared" si="117"/>
        <x:v/>
      </x:c>
      <x:c r="DR85" s="1108" t="str">
        <x:f t="shared" si="117"/>
        <x:v/>
      </x:c>
      <x:c r="DS85" s="1108" t="str">
        <x:f t="shared" si="118"/>
        <x:v/>
      </x:c>
      <x:c r="DT85" s="1108" t="str">
        <x:f t="shared" si="119"/>
        <x:v/>
      </x:c>
      <x:c r="DU85" s="1108" t="str">
        <x:f t="shared" si="120"/>
        <x:v/>
      </x:c>
      <x:c r="DV85" s="1125" t="str">
        <x:f t="shared" si="121"/>
        <x:v>ERR</x:v>
      </x:c>
      <x:c r="DW85" s="1125" t="str">
        <x:f t="shared" si="122"/>
        <x:v>ERR</x:v>
      </x:c>
      <x:c r="DX85" s="1108" t="str">
        <x:f t="shared" si="195"/>
        <x:v/>
      </x:c>
      <x:c r="DY85" s="1108" t="str">
        <x:f t="shared" si="195"/>
        <x:v/>
      </x:c>
      <x:c r="DZ85" s="1108" t="str">
        <x:f>IF(CG85="","",IF((CD85-CG85)/COS(CU85)-FB85&lt;=-0.0625,CEILING((CD85-CG85)/COS(CU85)-FB85+0.0625,-0.125),IF((CD85-CG85)/COS(CU85)-FB85&gt;=0.0625,CEILING((CD85-CG85)/COS(CU85)-FB85-0.0625,0.125),0)))</x:f>
        <x:v/>
      </x:c>
      <x:c r="EA85" s="1108" t="str">
        <x:f>IF(CP85="","",IF((CM85-CP85)/COS(CU85)-FC85&lt;=-0.0625,CEILING((CM85-CP85)/COS(CU85)-FC85+0.0625,-0.125),IF((CM85-CP85)/COS(CU85)-FC85&gt;=0.0625,CEILING((CM85-CP85)/COS(CU85)-FC85-0.0625,0.125),0)))</x:f>
        <x:v/>
      </x:c>
      <x:c r="EB85" s="1111" t="str">
        <x:f t="shared" si="126"/>
        <x:v/>
      </x:c>
      <x:c r="EC85" s="1112" t="str">
        <x:f t="shared" si="127"/>
        <x:v/>
      </x:c>
      <x:c r="ED85" s="1111" t="str">
        <x:f t="shared" si="128"/>
        <x:v/>
      </x:c>
      <x:c r="EE85" s="1111" t="str">
        <x:f t="shared" si="129"/>
        <x:v/>
      </x:c>
      <x:c r="EF85" s="1111" t="str">
        <x:f t="shared" si="130"/>
        <x:v/>
      </x:c>
      <x:c r="EG85" s="1111" t="str">
        <x:f t="shared" si="131"/>
        <x:v/>
      </x:c>
      <x:c r="EH85" s="1111" t="str">
        <x:f t="shared" si="132"/>
        <x:v/>
      </x:c>
      <x:c r="EI85" s="1111" t="str">
        <x:f t="shared" si="133"/>
        <x:v/>
      </x:c>
      <x:c r="EJ85" s="1111" t="str">
        <x:f t="shared" si="134"/>
        <x:v/>
      </x:c>
      <x:c r="EK85" s="1109">
        <x:f t="shared" si="135"/>
        <x:v>0</x:v>
      </x:c>
      <x:c r="EL85" s="1109">
        <x:f t="shared" si="136"/>
        <x:v>0</x:v>
      </x:c>
      <x:c r="EM85" s="1109">
        <x:f t="shared" si="137"/>
        <x:v>0</x:v>
      </x:c>
      <x:c r="EN85" s="1109" t="str">
        <x:f t="shared" si="138"/>
        <x:v/>
      </x:c>
      <x:c r="EO85" s="1108" t="str">
        <x:f t="shared" si="139"/>
        <x:v/>
      </x:c>
      <x:c r="EP85" s="1109">
        <x:f t="shared" si="140"/>
        <x:v>0</x:v>
      </x:c>
      <x:c r="EQ85" s="1109">
        <x:f t="shared" si="141"/>
        <x:v>0</x:v>
      </x:c>
      <x:c r="ER85" s="1109">
        <x:f t="shared" si="142"/>
        <x:v>0</x:v>
      </x:c>
      <x:c r="ES85" s="1109" t="str">
        <x:f t="shared" si="143"/>
        <x:v/>
      </x:c>
      <x:c r="ET85" s="1108" t="str">
        <x:f t="shared" si="144"/>
        <x:v/>
      </x:c>
      <x:c r="EU85" s="1108">
        <x:f t="shared" si="145"/>
        <x:v>0</x:v>
      </x:c>
      <x:c r="EV85" s="1111" t="e">
        <x:f>MIN(IF(CH45&gt;0,CH45/2,MAX(CI45/2,CJ85)),IF(CI45&gt;0,CI45/2,MAX(CH45/2,CJ85)),IF(CJ85&gt;0,CJ85,MAX(CI45/2,CH45/2)))/COS(CY85)+CD85-DC85</x:f>
        <x:v>#VALUE!</x:v>
      </x:c>
      <x:c r="EW85" s="1111" t="e">
        <x:f>MIN(IF(CO45&gt;0,CO45/2,MAX(CP45/2,CS85)),IF(CP45&gt;0,CP45/2,MAX(CO45/2,CS85)),IF(CS85&gt;0,CS85,MAX(CP45/2,CO45/2)))/COS(DE85)+CM85-DI85</x:f>
        <x:v>#VALUE!</x:v>
      </x:c>
      <x:c r="EX85" s="1113" t="str">
        <x:f t="shared" si="176"/>
        <x:v/>
      </x:c>
      <x:c r="EY85" s="1114" t="e">
        <x:f t="shared" si="148"/>
        <x:v>#DIV/0!</x:v>
      </x:c>
      <x:c r="EZ85" s="1219" t="e">
        <x:f t="shared" si="149"/>
        <x:v>#DIV/0!</x:v>
      </x:c>
      <x:c r="FA85" s="1220" t="e">
        <x:f t="shared" si="150"/>
        <x:v>#DIV/0!</x:v>
      </x:c>
      <x:c r="FB85" s="1115" t="str">
        <x:f t="shared" si="151"/>
        <x:v/>
      </x:c>
      <x:c r="FC85" s="1116" t="str">
        <x:f t="shared" si="152"/>
        <x:v/>
      </x:c>
      <x:c r="FD85" s="1126">
        <x:f t="shared" si="153"/>
        <x:v>0</x:v>
      </x:c>
      <x:c r="FE85" s="1066">
        <x:f t="shared" si="154"/>
        <x:v>0</x:v>
      </x:c>
      <x:c r="FF85" s="969" t="b">
        <x:f t="shared" si="155"/>
        <x:v>0</x:v>
      </x:c>
      <x:c r="FG85" s="969" t="b">
        <x:f t="shared" si="156"/>
        <x:v>0</x:v>
      </x:c>
      <x:c r="FH85" s="969" t="b">
        <x:f t="shared" si="157"/>
        <x:v>0</x:v>
      </x:c>
      <x:c r="FI85" s="969" t="b">
        <x:f t="shared" si="158"/>
        <x:v>0</x:v>
      </x:c>
      <x:c r="FJ85" s="1161" t="str">
        <x:f t="shared" si="177"/>
        <x:v/>
      </x:c>
      <x:c r="FK85" s="1163" t="str">
        <x:f t="shared" si="178"/>
        <x:v/>
      </x:c>
      <x:c r="FL85" s="395" t="e">
        <x:f t="shared" si="179"/>
        <x:v>#N/A</x:v>
      </x:c>
      <x:c r="FM85" s="396" t="str">
        <x:f t="shared" si="159"/>
        <x:v/>
      </x:c>
      <x:c r="FN85" s="346" t="str">
        <x:f t="shared" ca="1" si="180"/>
        <x:v/>
      </x:c>
      <x:c r="FO85" s="347" t="str">
        <x:f t="shared" ca="1" si="181"/>
        <x:v/>
      </x:c>
      <x:c r="FP85" s="348" t="str">
        <x:f t="shared" ca="1" si="182"/>
        <x:v/>
      </x:c>
      <x:c r="FQ85" s="348" t="str">
        <x:f t="shared" ca="1" si="183"/>
        <x:v/>
      </x:c>
      <x:c r="FR85" s="397">
        <x:f t="shared" ca="1" si="184"/>
        <x:v>0</x:v>
      </x:c>
      <x:c r="FS85" s="398">
        <x:f t="shared" ca="1" si="185"/>
        <x:v>0</x:v>
      </x:c>
      <x:c r="FT85" s="346" t="str">
        <x:f t="shared" ca="1" si="186"/>
        <x:v/>
      </x:c>
      <x:c r="FU85" s="349" t="str">
        <x:f t="shared" ca="1" si="187"/>
        <x:v/>
      </x:c>
      <x:c r="FV85" s="399" t="str">
        <x:f t="shared" ca="1" si="160"/>
        <x:v/>
      </x:c>
      <x:c r="FW85" s="350" t="str">
        <x:f t="shared" ca="1" si="188"/>
        <x:v/>
      </x:c>
      <x:c r="FX85" s="350" t="str">
        <x:f t="shared" ca="1" si="189"/>
        <x:v/>
      </x:c>
      <x:c r="FY85" s="350" t="str">
        <x:f t="shared" ca="1" si="190"/>
        <x:v/>
      </x:c>
      <x:c r="FZ85" s="350" t="str">
        <x:f t="shared" ca="1" si="191"/>
        <x:v/>
      </x:c>
      <x:c r="GA85" s="350" t="str">
        <x:f t="shared" ca="1" si="192"/>
        <x:v/>
      </x:c>
      <x:c r="GB85" s="351" t="str">
        <x:f ca="1">IF(FY85="","",2+SUM(FO85:OFFSET(FO85,(FU85-1)*-1,0)))</x:f>
        <x:v/>
      </x:c>
      <x:c r="GC85" s="400" t="e">
        <x:f t="shared" si="193"/>
        <x:v>#N/A</x:v>
      </x:c>
      <x:c r="GD85" s="401" t="str">
        <x:f t="shared" si="161"/>
        <x:v/>
      </x:c>
      <x:c r="GE85" s="402" t="str">
        <x:f t="shared" si="162"/>
        <x:v/>
      </x:c>
      <x:c r="GF85" s="352" t="str">
        <x:f t="shared" si="163"/>
        <x:v/>
      </x:c>
      <x:c r="GG85" s="353" t="str">
        <x:f t="shared" si="164"/>
        <x:v/>
      </x:c>
      <x:c r="GH85" s="353" t="str">
        <x:f t="shared" si="165"/>
        <x:v/>
      </x:c>
      <x:c r="GI85" s="354" t="str">
        <x:f t="shared" si="166"/>
        <x:v/>
      </x:c>
      <x:c r="GJ85" s="647">
        <x:f ca="1">IF(FY85="",FM46,(FY85-(FQ85+VLOOKUP(FK85,$CB$54:$EU$85,12,FALSE)-VLOOKUP(FK85,$CB$54:$EU$85,34,FALSE))/COS(VLOOKUP(FK85,$CB$54:$EU$85,72,FALSE)))/2)</x:f>
        <x:v>0</x:v>
      </x:c>
      <x:c r="GK85" s="1131" t="str">
        <x:f t="shared" ca="1" si="194"/>
        <x:v/>
      </x:c>
    </x:row>
    <x:row r="86" spans="1:193" ht="15" hidden="1" customHeight="1" x14ac:dyDescent="0.2">
      <x:c r="Z86" s="1464"/>
      <x:c r="AA86" s="1204"/>
      <x:c r="AB86" s="1205"/>
    </x:row>
    <x:row r="87" spans="1:193" ht="15" hidden="1" customHeight="1" x14ac:dyDescent="0.25">
      <x:c r="A87" s="1583" t="str">
        <x:f>IF(ISBLANK(CB87),"",CB87)</x:f>
        <x:v/>
      </x:c>
      <x:c r="B87" s="1584" t="str">
        <x:f>IF(ISBLANK(CC87),"",CC87)</x:f>
        <x:v/>
      </x:c>
      <x:c r="C87" s="1585" t="str">
        <x:f>IF(ISBLANK(CD87),"",CD87)</x:f>
        <x:v/>
      </x:c>
      <x:c r="D87" s="1586" t="str">
        <x:f>IF(CV127="","",TRUNC(CV127/12))</x:f>
        <x:v/>
      </x:c>
      <x:c r="E87" s="1587" t="str">
        <x:f>IF(CV127="","",CV127-(D87*12))</x:f>
        <x:v/>
      </x:c>
      <x:c r="F87" s="1588" t="str">
        <x:f>IF(ISBLANK(CY87),"",CY87)</x:f>
        <x:v/>
      </x:c>
      <x:c r="G87" s="1589" t="str">
        <x:f>IF(DD127=0,"",TRUNC(DD127/12))</x:f>
        <x:v/>
      </x:c>
      <x:c r="H87" s="1590" t="str">
        <x:f>IF(DD127=0,"",DD127-(G87*12))</x:f>
        <x:v/>
      </x:c>
      <x:c r="I87" s="1591" t="str">
        <x:f>IF(DD127=0,"",CE127)</x:f>
        <x:v/>
      </x:c>
      <x:c r="J87" s="1586" t="str">
        <x:f>IF(DJ127=0,"",TRUNC(DJ127/12))</x:f>
        <x:v/>
      </x:c>
      <x:c r="K87" s="1590" t="str">
        <x:f>IF(DJ127=0,"",DJ127-(J87*12))</x:f>
        <x:v/>
      </x:c>
      <x:c r="L87" s="1592" t="str">
        <x:f>IF(DJ127=0,"",CN127)</x:f>
        <x:v/>
      </x:c>
      <x:c r="M87" s="1593" t="str">
        <x:f>IF(CW127="","",CW127)</x:f>
        <x:v/>
      </x:c>
      <x:c r="N87" s="1594" t="str">
        <x:f>IF(CX127="","",CX127)</x:f>
        <x:v/>
      </x:c>
      <x:c r="O87" s="1589" t="str">
        <x:f>IF(DZ127="","",IF(AND(DZ127&gt;-12,DZ127&lt;0),-0.000001,TRUNC(DZ127/12)))</x:f>
        <x:v/>
      </x:c>
      <x:c r="P87" s="1590" t="str">
        <x:f>IF(DZ127="","",IF(AND(DZ127&lt;0,DZ127-(O87*12)=0),-0.00001,DZ127-(O87*12)))</x:f>
        <x:v/>
      </x:c>
      <x:c r="Q87" s="1586" t="str">
        <x:f>IF(EA127="","",IF(AND(EA127&gt;-12,EA127&lt;0),-0.000001,TRUNC(EA127/12)))</x:f>
        <x:v/>
      </x:c>
      <x:c r="R87" s="1587" t="str">
        <x:f>IF(EA127="","",IF(AND(EA127&lt;0,EA127-(Q87*12)=0),-0.00001,EA127-(Q87*12)))</x:f>
        <x:v/>
      </x:c>
      <x:c r="S87" s="1595" t="str">
        <x:f>IF(DR127="","",IF(DR127="ERR",TRUNC(DQ127/12),TRUNC(DR127/12)))</x:f>
        <x:v/>
      </x:c>
      <x:c r="T87" s="1590" t="str">
        <x:f>IF(DR127="","",IF(DR127="ERR",DQ127-(S87*12),DR127-(S87*12)))</x:f>
        <x:v/>
      </x:c>
      <x:c r="U87" s="1586" t="str">
        <x:f>IF(DY127="","",IF(DY127="ERR",TRUNC(DX127/12),TRUNC(DY127/12)))</x:f>
        <x:v/>
      </x:c>
      <x:c r="V87" s="1590" t="str">
        <x:f>IF(DY127="","",IF(DY127="ERR",DX127-(U87*12),DY127-(U87*12)))</x:f>
        <x:v/>
      </x:c>
      <x:c r="W87" s="1594">
        <x:f>IF(EC127="",0,EC127)</x:f>
        <x:v>0</x:v>
      </x:c>
      <x:c r="X87" s="1596" t="str">
        <x:f>IF(EN127="","",EN127)</x:f>
        <x:v/>
      </x:c>
      <x:c r="Y87" s="1597" t="str">
        <x:f>IF(ES127="","",ES127)</x:f>
        <x:v/>
      </x:c>
      <x:c r="Z87" s="1604" t="str">
        <x:f>CONCATENATE(IF(CW87="","",CONCATENATE("[",SUBSTITUTE(CW87," ",""),"] ")),IF(CV87="","",CONCATENATE("(",SUBSTITUTE(CV87," ",""),")")))</x:f>
        <x:v/>
      </x:c>
      <x:c r="AA87" s="1605" t="str">
        <x:f>IF(ISBLANK(CX87),"",CX87)</x:f>
        <x:v/>
      </x:c>
      <x:c r="AB87" s="1264" t="str">
        <x:f>IF(ISBLANK(DH87),"",DH87)</x:f>
        <x:v/>
      </x:c>
      <x:c r="AC87" s="1260" t="str">
        <x:f>IF(ISBLANK(DI87),"",DI87)</x:f>
        <x:v/>
      </x:c>
      <x:c r="AD87" s="1261" t="str">
        <x:f>IF(FV127="","",TRUNC(FV127/12))</x:f>
        <x:v/>
      </x:c>
      <x:c r="AE87" s="1262" t="str">
        <x:f>IF(FV127="","",FV127-(AD87*12))</x:f>
        <x:v/>
      </x:c>
      <x:c r="AF87" s="1260" t="str">
        <x:f>IF(FO127="","",FO127)</x:f>
        <x:v/>
      </x:c>
      <x:c r="AG87" s="1261" t="str">
        <x:f>IF(FX127="","",TRUNC(FX127/12))</x:f>
        <x:v/>
      </x:c>
      <x:c r="AH87" s="1262" t="str">
        <x:f>IF(FX127="","",FX127-(AG87*12))</x:f>
        <x:v/>
      </x:c>
      <x:c r="AI87" s="1261" t="str">
        <x:f>IF(FZ127="","",TRUNC(FZ127/12))</x:f>
        <x:v/>
      </x:c>
      <x:c r="AJ87" s="1262" t="str">
        <x:f>IF(FZ127="","",FZ127-(AI87*12))</x:f>
        <x:v/>
      </x:c>
      <x:c r="AK87" s="1599" t="str">
        <x:f>IF(ISBLANK(DO87),"",DO87)</x:f>
        <x:v/>
      </x:c>
      <x:c r="AL87" s="1600" t="str">
        <x:f>IF(ISBLANK(DP87),"",DP87)</x:f>
        <x:v/>
      </x:c>
      <x:c r="AM87" s="1601" t="str">
        <x:f>IF(ISBLANK(DQ87),"",DQ87)</x:f>
        <x:v/>
      </x:c>
      <x:c r="AN87" s="1260" t="str">
        <x:f>IF(ISBLANK(DR87),"",DR87)</x:f>
        <x:v/>
      </x:c>
      <x:c r="AO87" s="1329" t="str">
        <x:f>IF(ISBLANK(DS87),"",DS87)</x:f>
        <x:v/>
      </x:c>
      <x:c r="AP87" s="1327" t="str">
        <x:f>IF(OR(GD127="",GD127=0),"",GD127)</x:f>
        <x:v/>
      </x:c>
      <x:c r="AQ87" s="1602" t="str">
        <x:f>IF(OR(GE127="",GE127=0),"",GE127)</x:f>
        <x:v/>
      </x:c>
      <x:c r="AR87" s="1263" t="str">
        <x:f>IF(GF127="","",IF(ISTEXT(GF127),"P",TRUNC(GF127/12)))</x:f>
        <x:v/>
      </x:c>
      <x:c r="AS87" s="1262" t="str">
        <x:f>IF(GF127="","",IF(AR87="P",GF127,GF127-(AR87*12)))</x:f>
        <x:v/>
      </x:c>
      <x:c r="AT87" s="1603" t="str">
        <x:f>IF(ISBLANK(DX87),"",DX87)</x:f>
        <x:v/>
      </x:c>
      <x:c r="AU87" s="1410" t="str">
        <x:f>IF(ISBLANK(DY87),"",DY87)</x:f>
        <x:v/>
      </x:c>
      <x:c r="AV87" s="1328" t="str">
        <x:f>IF(GG127="","",IF(ISTEXT(GG127),"P",TRUNC(GG127/12)))</x:f>
        <x:v/>
      </x:c>
      <x:c r="AW87" s="1262" t="str">
        <x:f>IF(GG127="","",IF(AV87="P",GG127,GG127-(AV87*12)))</x:f>
        <x:v/>
      </x:c>
      <x:c r="AX87" s="1603" t="str">
        <x:f>IF(ISBLANK(EB87),"",EB87)</x:f>
        <x:v/>
      </x:c>
      <x:c r="AY87" s="1410" t="str">
        <x:f>IF(ISBLANK(EC87),"",EC87)</x:f>
        <x:v/>
      </x:c>
      <x:c r="AZ87" s="1328" t="str">
        <x:f>IF(GH127="","",IF(ISTEXT(GH127),"P",TRUNC(GH127/12)))</x:f>
        <x:v/>
      </x:c>
      <x:c r="BA87" s="1262" t="str">
        <x:f>IF(GH127="","",IF(AZ87="P",GH127,GH127-(AZ87*12)))</x:f>
        <x:v/>
      </x:c>
      <x:c r="BB87" s="1603" t="str">
        <x:f>IF(ISBLANK(EF87),"",EF87)</x:f>
        <x:v/>
      </x:c>
      <x:c r="BC87" s="1410" t="str">
        <x:f>IF(ISBLANK(EG87),"",EG87)</x:f>
        <x:v/>
      </x:c>
      <x:c r="BD87" s="1328" t="str">
        <x:f>IF(GI127="","",IF(ISTEXT(GI127),"P",TRUNC(GI127/12)))</x:f>
        <x:v/>
      </x:c>
      <x:c r="BE87" s="1262" t="str">
        <x:f>IF(GI127="","",IF(BD87="P",GI127,GI127-(BD87*12)))</x:f>
        <x:v/>
      </x:c>
      <x:c r="BF87" s="1603" t="str">
        <x:f>IF(ISBLANK(EJ87),"",EJ87)</x:f>
        <x:v/>
      </x:c>
      <x:c r="BG87" s="1410" t="str">
        <x:f>IF(ISBLANK(EK87),"",EK87)</x:f>
        <x:v/>
      </x:c>
    </x:row>
    <x:row r="88" spans="1:193" ht="12.75" hidden="1" customHeight="1" x14ac:dyDescent="0.2">
      <x:c r="Z88" s="1465"/>
    </x:row>
    <x:row r="89" spans="1:193" ht="12.75" customHeight="1" x14ac:dyDescent="0.2">
      <x:c r="B89" s="649" t="s">
        <x:v>762</x:v>
      </x:c>
    </x:row>
  </x:sheetData>
  <x:sheetProtection algorithmName="SHA-512" hashValue="+qvGSdqxpfaCKWLVLj+orc6Z2Tn4Qr3BU+BZ1V7seVHpvcIj2YfBC1YG/PPR7/znfhQ7hLHs5TnYa7Hhh+cOSg==" saltValue="Xd3FUwjOiDsk4io6/Lgjzw==" spinCount="100000" sheet="1" objects="1" scenarios="1" selectLockedCells="1"/>
  <x:mergeCells count="315">
    <x:mergeCell ref="FG3:FI3"/>
    <x:mergeCell ref="Q4:T4"/>
    <x:mergeCell ref="W4:Y4"/>
    <x:mergeCell ref="AU4:AX4"/>
    <x:mergeCell ref="BA4:BC4"/>
    <x:mergeCell ref="BD4:BF4"/>
    <x:mergeCell ref="DA4:DD4"/>
    <x:mergeCell ref="Q1:T1"/>
    <x:mergeCell ref="W1:Y1"/>
    <x:mergeCell ref="AU1:AX1"/>
    <x:mergeCell ref="BA1:BC1"/>
    <x:mergeCell ref="BD1:BF1"/>
    <x:mergeCell ref="Q2:T3"/>
    <x:mergeCell ref="W2:Y2"/>
    <x:mergeCell ref="AU2:AX3"/>
    <x:mergeCell ref="BA2:BC2"/>
    <x:mergeCell ref="BD2:BF2"/>
    <x:mergeCell ref="A5:L5"/>
    <x:mergeCell ref="AB5:AQ5"/>
    <x:mergeCell ref="M6:T6"/>
    <x:mergeCell ref="V6:W6"/>
    <x:mergeCell ref="X6:Y6"/>
    <x:mergeCell ref="AZ6:BA6"/>
    <x:mergeCell ref="W3:Y3"/>
    <x:mergeCell ref="BA3:BC3"/>
    <x:mergeCell ref="BD3:BF3"/>
    <x:mergeCell ref="BB6:BD6"/>
    <x:mergeCell ref="DH6:EK8"/>
    <x:mergeCell ref="K7:L7"/>
    <x:mergeCell ref="M7:S7"/>
    <x:mergeCell ref="V7:W7"/>
    <x:mergeCell ref="AZ7:BA7"/>
    <x:mergeCell ref="CB7:CY9"/>
    <x:mergeCell ref="A8:AA8"/>
    <x:mergeCell ref="AB8:BG8"/>
    <x:mergeCell ref="A9:B9"/>
    <x:mergeCell ref="AX10:BA10"/>
    <x:mergeCell ref="BB10:BD10"/>
    <x:mergeCell ref="BE10:BG10"/>
    <x:mergeCell ref="CG10:CM11"/>
    <x:mergeCell ref="C9:P9"/>
    <x:mergeCell ref="Q9:S9"/>
    <x:mergeCell ref="T9:AA9"/>
    <x:mergeCell ref="AB9:AD9"/>
    <x:mergeCell ref="AE9:AT9"/>
    <x:mergeCell ref="AU9:AW9"/>
    <x:mergeCell ref="CN10:CT11"/>
    <x:mergeCell ref="ER10:ES12"/>
    <x:mergeCell ref="ET10:ET13"/>
    <x:mergeCell ref="EU10:EU13"/>
    <x:mergeCell ref="GA10:GJ11"/>
    <x:mergeCell ref="A11:AA11"/>
    <x:mergeCell ref="A12:A13"/>
    <x:mergeCell ref="B12:B13"/>
    <x:mergeCell ref="C12:C13"/>
    <x:mergeCell ref="D12:E13"/>
    <x:mergeCell ref="DV9:EK11"/>
    <x:mergeCell ref="A10:B10"/>
    <x:mergeCell ref="C10:P10"/>
    <x:mergeCell ref="Q10:S10"/>
    <x:mergeCell ref="T10:W10"/>
    <x:mergeCell ref="X10:Y10"/>
    <x:mergeCell ref="Z10:AA10"/>
    <x:mergeCell ref="AB10:AD10"/>
    <x:mergeCell ref="AE10:AT10"/>
    <x:mergeCell ref="AU10:AW10"/>
    <x:mergeCell ref="AX9:BG9"/>
    <x:mergeCell ref="CZ9:DA11"/>
    <x:mergeCell ref="DH9:DH13"/>
    <x:mergeCell ref="DI9:DN11"/>
    <x:mergeCell ref="S12:W12"/>
    <x:mergeCell ref="X12:Y12"/>
    <x:mergeCell ref="AA12:AA13"/>
    <x:mergeCell ref="AB12:AB13"/>
    <x:mergeCell ref="AC12:AC13"/>
    <x:mergeCell ref="AD12:AE13"/>
    <x:mergeCell ref="F12:F13"/>
    <x:mergeCell ref="G12:I12"/>
    <x:mergeCell ref="J12:L12"/>
    <x:mergeCell ref="M12:N12"/>
    <x:mergeCell ref="O12:P13"/>
    <x:mergeCell ref="Q12:R13"/>
    <x:mergeCell ref="CB12:CB13"/>
    <x:mergeCell ref="CC12:CC13"/>
    <x:mergeCell ref="CD12:CD13"/>
    <x:mergeCell ref="CE12:CF13"/>
    <x:mergeCell ref="CG12:CG13"/>
    <x:mergeCell ref="CH12:CI13"/>
    <x:mergeCell ref="AF12:AH12"/>
    <x:mergeCell ref="AI12:AJ13"/>
    <x:mergeCell ref="AK12:AK13"/>
    <x:mergeCell ref="AL12:AQ12"/>
    <x:mergeCell ref="AR12:BG12"/>
    <x:mergeCell ref="BW12:BZ12"/>
    <x:mergeCell ref="AV13:AW13"/>
    <x:mergeCell ref="AZ13:BA13"/>
    <x:mergeCell ref="BD13:BE13"/>
    <x:mergeCell ref="CS12:CS13"/>
    <x:mergeCell ref="CT12:CT13"/>
    <x:mergeCell ref="CU12:CU13"/>
    <x:mergeCell ref="CV12:CW12"/>
    <x:mergeCell ref="CX12:CX13"/>
    <x:mergeCell ref="CY12:CY13"/>
    <x:mergeCell ref="CJ12:CK13"/>
    <x:mergeCell ref="CL12:CL13"/>
    <x:mergeCell ref="CM12:CM13"/>
    <x:mergeCell ref="CN12:CN13"/>
    <x:mergeCell ref="CO12:CP13"/>
    <x:mergeCell ref="CQ12:CR13"/>
    <x:mergeCell ref="DL12:DL13"/>
    <x:mergeCell ref="DM12:DN13"/>
    <x:mergeCell ref="DP12:DP13"/>
    <x:mergeCell ref="DQ12:DQ13"/>
    <x:mergeCell ref="DR12:DR13"/>
    <x:mergeCell ref="DS12:DS13"/>
    <x:mergeCell ref="CZ12:CZ13"/>
    <x:mergeCell ref="DA12:DA13"/>
    <x:mergeCell ref="DB12:DC12"/>
    <x:mergeCell ref="DD12:DE12"/>
    <x:mergeCell ref="DI12:DI13"/>
    <x:mergeCell ref="DJ12:DK13"/>
    <x:mergeCell ref="DO9:DO13"/>
    <x:mergeCell ref="DP9:DU11"/>
    <x:mergeCell ref="EC12:EC13"/>
    <x:mergeCell ref="ED12:EE12"/>
    <x:mergeCell ref="EF12:EF13"/>
    <x:mergeCell ref="EG12:EG13"/>
    <x:mergeCell ref="EH12:EI12"/>
    <x:mergeCell ref="EJ12:EJ13"/>
    <x:mergeCell ref="DT12:DU12"/>
    <x:mergeCell ref="DV12:DW12"/>
    <x:mergeCell ref="DX12:DX13"/>
    <x:mergeCell ref="DY12:DY13"/>
    <x:mergeCell ref="DZ12:EA12"/>
    <x:mergeCell ref="EB12:EB13"/>
    <x:mergeCell ref="GE12:GE13"/>
    <x:mergeCell ref="GF12:GF13"/>
    <x:mergeCell ref="GG12:GH12"/>
    <x:mergeCell ref="GI12:GJ12"/>
    <x:mergeCell ref="GK12:GK13"/>
    <x:mergeCell ref="GL12:GL13"/>
    <x:mergeCell ref="EK12:EK13"/>
    <x:mergeCell ref="EL12:EN12"/>
    <x:mergeCell ref="EO12:EO13"/>
    <x:mergeCell ref="EP12:EQ12"/>
    <x:mergeCell ref="GA12:GB12"/>
    <x:mergeCell ref="GC12:GD12"/>
    <x:mergeCell ref="HG12:HG13"/>
    <x:mergeCell ref="HH12:HH13"/>
    <x:mergeCell ref="HI12:HI13"/>
    <x:mergeCell ref="HJ12:HJ13"/>
    <x:mergeCell ref="HK12:HK13"/>
    <x:mergeCell ref="HL12:HL13"/>
    <x:mergeCell ref="GM12:GM13"/>
    <x:mergeCell ref="HA12:HA13"/>
    <x:mergeCell ref="HB12:HB13"/>
    <x:mergeCell ref="HC12:HC13"/>
    <x:mergeCell ref="HD12:HE13"/>
    <x:mergeCell ref="HF12:HF13"/>
    <x:mergeCell ref="HS12:HS13"/>
    <x:mergeCell ref="HT12:HT13"/>
    <x:mergeCell ref="HU12:HU13"/>
    <x:mergeCell ref="HV12:HV13"/>
    <x:mergeCell ref="HW12:HW13"/>
    <x:mergeCell ref="HX12:HX13"/>
    <x:mergeCell ref="HM12:HM13"/>
    <x:mergeCell ref="HN12:HN13"/>
    <x:mergeCell ref="HO12:HO13"/>
    <x:mergeCell ref="HP12:HP13"/>
    <x:mergeCell ref="HQ12:HQ13"/>
    <x:mergeCell ref="HR12:HR13"/>
    <x:mergeCell ref="IE12:IE13"/>
    <x:mergeCell ref="IF12:IF13"/>
    <x:mergeCell ref="IG12:IG13"/>
    <x:mergeCell ref="IH12:IH13"/>
    <x:mergeCell ref="II12:II13"/>
    <x:mergeCell ref="IJ12:IJ13"/>
    <x:mergeCell ref="HY12:HY13"/>
    <x:mergeCell ref="HZ12:HZ13"/>
    <x:mergeCell ref="IA12:IA13"/>
    <x:mergeCell ref="IB12:IB13"/>
    <x:mergeCell ref="IC12:IC13"/>
    <x:mergeCell ref="ID12:ID13"/>
    <x:mergeCell ref="IS12:IS13"/>
    <x:mergeCell ref="IT12:IT13"/>
    <x:mergeCell ref="IU12:IU13"/>
    <x:mergeCell ref="IV12:IV13"/>
    <x:mergeCell ref="IK12:IK13"/>
    <x:mergeCell ref="IL12:IL13"/>
    <x:mergeCell ref="IM12:IM13"/>
    <x:mergeCell ref="IN12:IN13"/>
    <x:mergeCell ref="IO12:IO13"/>
    <x:mergeCell ref="IP12:IP13"/>
    <x:mergeCell ref="JI12:JI13"/>
    <x:mergeCell ref="JJ12:JJ13"/>
    <x:mergeCell ref="JK12:JK13"/>
    <x:mergeCell ref="JL12:JL13"/>
    <x:mergeCell ref="G13:H13"/>
    <x:mergeCell ref="J13:K13"/>
    <x:mergeCell ref="S13:T13"/>
    <x:mergeCell ref="U13:V13"/>
    <x:mergeCell ref="AG13:AH13"/>
    <x:mergeCell ref="AR13:AS13"/>
    <x:mergeCell ref="JC12:JC13"/>
    <x:mergeCell ref="JD12:JD13"/>
    <x:mergeCell ref="JE12:JE13"/>
    <x:mergeCell ref="JF12:JF13"/>
    <x:mergeCell ref="JG12:JG13"/>
    <x:mergeCell ref="JH12:JH13"/>
    <x:mergeCell ref="IW12:IW13"/>
    <x:mergeCell ref="IX12:IX13"/>
    <x:mergeCell ref="IY12:IY13"/>
    <x:mergeCell ref="IZ12:IZ13"/>
    <x:mergeCell ref="JA12:JA13"/>
    <x:mergeCell ref="JB12:JB13"/>
    <x:mergeCell ref="IQ12:IQ13"/>
    <x:mergeCell ref="IR12:IR13"/>
    <x:mergeCell ref="FN50:FS51"/>
    <x:mergeCell ref="FT50:FZ51"/>
    <x:mergeCell ref="CC51:CK51"/>
    <x:mergeCell ref="CL51:CT51"/>
    <x:mergeCell ref="EX51:EX53"/>
    <x:mergeCell ref="EY51:EY53"/>
    <x:mergeCell ref="FF51:FI51"/>
    <x:mergeCell ref="CH52:CH53"/>
    <x:mergeCell ref="CI52:CI53"/>
    <x:mergeCell ref="CJ52:CJ53"/>
    <x:mergeCell ref="EP50:EP53"/>
    <x:mergeCell ref="EQ50:EQ53"/>
    <x:mergeCell ref="ER50:ER53"/>
    <x:mergeCell ref="ES50:ES53"/>
    <x:mergeCell ref="ET50:ET53"/>
    <x:mergeCell ref="EU50:EU53"/>
    <x:mergeCell ref="EJ50:EJ53"/>
    <x:mergeCell ref="EK50:EK53"/>
    <x:mergeCell ref="EL50:EL53"/>
    <x:mergeCell ref="EM50:EM53"/>
    <x:mergeCell ref="EN50:EN53"/>
    <x:mergeCell ref="EO50:EO53"/>
    <x:mergeCell ref="ED50:ED53"/>
    <x:mergeCell ref="EE50:EE53"/>
    <x:mergeCell ref="CK52:CK53"/>
    <x:mergeCell ref="CL52:CL53"/>
    <x:mergeCell ref="CM52:CM53"/>
    <x:mergeCell ref="CN52:CN53"/>
    <x:mergeCell ref="CO52:CO53"/>
    <x:mergeCell ref="CP52:CP53"/>
    <x:mergeCell ref="CB52:CB53"/>
    <x:mergeCell ref="CC52:CC53"/>
    <x:mergeCell ref="CD52:CD53"/>
    <x:mergeCell ref="CE52:CE53"/>
    <x:mergeCell ref="CF52:CF53"/>
    <x:mergeCell ref="CG52:CG53"/>
    <x:mergeCell ref="CW52:CW53"/>
    <x:mergeCell ref="CX52:CX53"/>
    <x:mergeCell ref="CY52:CY53"/>
    <x:mergeCell ref="CZ52:DA52"/>
    <x:mergeCell ref="DB52:DB53"/>
    <x:mergeCell ref="DC52:DC53"/>
    <x:mergeCell ref="CQ52:CQ53"/>
    <x:mergeCell ref="CR52:CR53"/>
    <x:mergeCell ref="CS52:CS53"/>
    <x:mergeCell ref="CT52:CT53"/>
    <x:mergeCell ref="CU52:CU53"/>
    <x:mergeCell ref="CV52:CV53"/>
    <x:mergeCell ref="DK52:DK53"/>
    <x:mergeCell ref="DL52:DL53"/>
    <x:mergeCell ref="DM52:DN52"/>
    <x:mergeCell ref="DO52:DP52"/>
    <x:mergeCell ref="DQ52:DR52"/>
    <x:mergeCell ref="DS52:DS53"/>
    <x:mergeCell ref="DD52:DD53"/>
    <x:mergeCell ref="DE52:DE53"/>
    <x:mergeCell ref="DF52:DG52"/>
    <x:mergeCell ref="DH52:DH53"/>
    <x:mergeCell ref="DI52:DI53"/>
    <x:mergeCell ref="DJ52:DJ53"/>
    <x:mergeCell ref="EC52:EC53"/>
    <x:mergeCell ref="EV52:EV53"/>
    <x:mergeCell ref="EW52:EW53"/>
    <x:mergeCell ref="EZ52:EZ53"/>
    <x:mergeCell ref="FA52:FA53"/>
    <x:mergeCell ref="FB52:FB53"/>
    <x:mergeCell ref="DT52:DU52"/>
    <x:mergeCell ref="DV52:DW52"/>
    <x:mergeCell ref="DX52:DY52"/>
    <x:mergeCell ref="DZ52:DZ53"/>
    <x:mergeCell ref="EA52:EA53"/>
    <x:mergeCell ref="EB52:EB53"/>
    <x:mergeCell ref="EF50:EF53"/>
    <x:mergeCell ref="EG50:EG53"/>
    <x:mergeCell ref="EH50:EH53"/>
    <x:mergeCell ref="EI50:EI53"/>
    <x:mergeCell ref="FO52:FO53"/>
    <x:mergeCell ref="FP52:FP53"/>
    <x:mergeCell ref="FQ52:FQ53"/>
    <x:mergeCell ref="FR52:FR53"/>
    <x:mergeCell ref="FS52:FS53"/>
    <x:mergeCell ref="FT52:FT53"/>
    <x:mergeCell ref="FC52:FC53"/>
    <x:mergeCell ref="FD52:FE52"/>
    <x:mergeCell ref="FK52:FK53"/>
    <x:mergeCell ref="FL52:FL53"/>
    <x:mergeCell ref="FM52:FM53"/>
    <x:mergeCell ref="FN52:FN53"/>
    <x:mergeCell ref="GA52:GA53"/>
    <x:mergeCell ref="GB52:GB53"/>
    <x:mergeCell ref="GC52:GC53"/>
    <x:mergeCell ref="GJ52:GJ53"/>
    <x:mergeCell ref="FU52:FU53"/>
    <x:mergeCell ref="FV52:FV53"/>
    <x:mergeCell ref="FW52:FW53"/>
    <x:mergeCell ref="FX52:FX53"/>
    <x:mergeCell ref="FY52:FY53"/>
    <x:mergeCell ref="FZ52:FZ53"/>
  </x:mergeCells>
  <x:conditionalFormatting sqref="GA48:GB48">
    <x:cfRule type="expression" dxfId="1132" priority="90" stopIfTrue="1">
      <x:formula>GM87&gt;=0.125</x:formula>
    </x:cfRule>
  </x:conditionalFormatting>
  <x:conditionalFormatting sqref="FQ54:FR85">
    <x:cfRule type="cellIs" dxfId="1131" priority="91" stopIfTrue="1" operator="lessThan">
      <x:formula>0</x:formula>
    </x:cfRule>
  </x:conditionalFormatting>
  <x:conditionalFormatting sqref="DI14">
    <x:cfRule type="expression" dxfId="1130" priority="80">
      <x:formula>UPPER(#REF!)="X"</x:formula>
    </x:cfRule>
  </x:conditionalFormatting>
  <x:conditionalFormatting sqref="DJ14">
    <x:cfRule type="expression" dxfId="1129" priority="92">
      <x:formula>OR(UPPER(#REF!)="X",UPPER(#REF!="X"))</x:formula>
    </x:cfRule>
  </x:conditionalFormatting>
  <x:conditionalFormatting sqref="DK14">
    <x:cfRule type="expression" dxfId="1128" priority="93">
      <x:formula>OR(UPPER(#REF!)="X",UPPER(#REF!="X"))</x:formula>
    </x:cfRule>
  </x:conditionalFormatting>
  <x:conditionalFormatting sqref="Q2:T4 AU2:AX4">
    <x:cfRule type="cellIs" dxfId="1127" priority="95" stopIfTrue="1" operator="equal">
      <x:formula>""</x:formula>
    </x:cfRule>
  </x:conditionalFormatting>
  <x:conditionalFormatting sqref="DM54:DM85">
    <x:cfRule type="cellIs" dxfId="1126" priority="89" stopIfTrue="1" operator="notEqual">
      <x:formula>DN54</x:formula>
    </x:cfRule>
  </x:conditionalFormatting>
  <x:conditionalFormatting sqref="DT54:DT85">
    <x:cfRule type="cellIs" dxfId="1125" priority="88" stopIfTrue="1" operator="notEqual">
      <x:formula>DU54</x:formula>
    </x:cfRule>
  </x:conditionalFormatting>
  <x:conditionalFormatting sqref="DA4">
    <x:cfRule type="expression" dxfId="1124" priority="87" stopIfTrue="1">
      <x:formula>NOT(ISBLANK($DA$4))</x:formula>
    </x:cfRule>
  </x:conditionalFormatting>
  <x:conditionalFormatting sqref="M7">
    <x:cfRule type="expression" dxfId="1123" priority="85" stopIfTrue="1">
      <x:formula>OR(ISBLANK($M$7),$M$7="")</x:formula>
    </x:cfRule>
    <x:cfRule type="expression" dxfId="1122" priority="86" stopIfTrue="1">
      <x:formula>AND(LOWER($M$7)&lt;&gt;"std gray primer: one shop coat",LOWER($M$7)&lt;&gt;"gray",$M$7&lt;&gt;"")</x:formula>
    </x:cfRule>
  </x:conditionalFormatting>
  <x:conditionalFormatting sqref="A14:B45 A87:B87">
    <x:cfRule type="expression" dxfId="1121" priority="68" stopIfTrue="1">
      <x:formula>AND(NOT($BK$1),$B14=0,OR($BJ$1="",$BJ$1="M"))</x:formula>
    </x:cfRule>
  </x:conditionalFormatting>
  <x:conditionalFormatting sqref="C14:C45">
    <x:cfRule type="expression" dxfId="1120" priority="78">
      <x:formula>AND(NOT($BK14),NOT(BR14))</x:formula>
    </x:cfRule>
  </x:conditionalFormatting>
  <x:conditionalFormatting sqref="U14:U45">
    <x:cfRule type="expression" dxfId="1119" priority="83">
      <x:formula>AND(NOT($BK14),BV14="No")</x:formula>
    </x:cfRule>
  </x:conditionalFormatting>
  <x:conditionalFormatting sqref="V14:V45">
    <x:cfRule type="expression" dxfId="1118" priority="84">
      <x:formula>AND(NOT($BK14),BV14="No")</x:formula>
    </x:cfRule>
  </x:conditionalFormatting>
  <x:conditionalFormatting sqref="S14:S45">
    <x:cfRule type="expression" dxfId="1117" priority="81">
      <x:formula>AND(NOT($BK14),BT14="No")</x:formula>
    </x:cfRule>
  </x:conditionalFormatting>
  <x:conditionalFormatting sqref="T14:T45">
    <x:cfRule type="expression" dxfId="1116" priority="82">
      <x:formula>AND(NOT($BK14),BT14="No")</x:formula>
    </x:cfRule>
  </x:conditionalFormatting>
  <x:conditionalFormatting sqref="W14:W45">
    <x:cfRule type="expression" dxfId="1115" priority="64">
      <x:formula>$W14=0</x:formula>
    </x:cfRule>
  </x:conditionalFormatting>
  <x:conditionalFormatting sqref="DI15:DI45">
    <x:cfRule type="expression" dxfId="1114" priority="94">
      <x:formula>FM54="X"</x:formula>
    </x:cfRule>
  </x:conditionalFormatting>
  <x:conditionalFormatting sqref="DJ15:DJ45">
    <x:cfRule type="expression" dxfId="1113" priority="96">
      <x:formula>FM54="X"</x:formula>
    </x:cfRule>
  </x:conditionalFormatting>
  <x:conditionalFormatting sqref="DK15:DK45">
    <x:cfRule type="expression" dxfId="1112" priority="97">
      <x:formula>FM54="X"</x:formula>
    </x:cfRule>
  </x:conditionalFormatting>
  <x:conditionalFormatting sqref="DT14:DU45">
    <x:cfRule type="expression" dxfId="1111" priority="98">
      <x:formula>GD54=0</x:formula>
    </x:cfRule>
  </x:conditionalFormatting>
  <x:conditionalFormatting sqref="DH14:DH45">
    <x:cfRule type="expression" dxfId="1110" priority="7">
      <x:formula>NOT($FQ14)</x:formula>
    </x:cfRule>
    <x:cfRule type="expression" dxfId="1109" priority="99">
      <x:formula>FJ54="G"</x:formula>
    </x:cfRule>
  </x:conditionalFormatting>
  <x:conditionalFormatting sqref="DM14:DN45">
    <x:cfRule type="expression" dxfId="1108" priority="100">
      <x:formula>FIND("B",$GK54)</x:formula>
    </x:cfRule>
  </x:conditionalFormatting>
  <x:conditionalFormatting sqref="DJ14:DK45">
    <x:cfRule type="expression" dxfId="1107" priority="101">
      <x:formula>FIND("A",$GK54)</x:formula>
    </x:cfRule>
  </x:conditionalFormatting>
  <x:conditionalFormatting sqref="DL14:DL45">
    <x:cfRule type="expression" dxfId="1106" priority="79">
      <x:formula>FIND("B",$GK54)</x:formula>
    </x:cfRule>
  </x:conditionalFormatting>
  <x:conditionalFormatting sqref="DI14:DI45">
    <x:cfRule type="expression" dxfId="1105" priority="102">
      <x:formula>NOT($EY14)</x:formula>
    </x:cfRule>
  </x:conditionalFormatting>
  <x:conditionalFormatting sqref="DQ14:DQ45">
    <x:cfRule type="expression" dxfId="1104" priority="67">
      <x:formula>DQ14&lt;&gt;EZ14</x:formula>
    </x:cfRule>
  </x:conditionalFormatting>
  <x:conditionalFormatting sqref="AR14:AS45">
    <x:cfRule type="expression" dxfId="1103" priority="71">
      <x:formula>AND(NOT($BZ14),$FF54)</x:formula>
    </x:cfRule>
  </x:conditionalFormatting>
  <x:conditionalFormatting sqref="AV14:AW45">
    <x:cfRule type="expression" dxfId="1102" priority="72">
      <x:formula>AND(NOT($BZ14),$FG54)</x:formula>
    </x:cfRule>
  </x:conditionalFormatting>
  <x:conditionalFormatting sqref="AZ14:BA45">
    <x:cfRule type="expression" dxfId="1101" priority="73">
      <x:formula>AND(NOT($BZ14),$FH54)</x:formula>
    </x:cfRule>
  </x:conditionalFormatting>
  <x:conditionalFormatting sqref="BD14:BE45">
    <x:cfRule type="expression" dxfId="1100" priority="74">
      <x:formula>AND(NOT($BZ14),$FI54)</x:formula>
    </x:cfRule>
  </x:conditionalFormatting>
  <x:conditionalFormatting sqref="AD14:AE45">
    <x:cfRule type="expression" dxfId="1099" priority="75">
      <x:formula>AND(NOT($BZ14),FIND("A",$GK54))</x:formula>
    </x:cfRule>
  </x:conditionalFormatting>
  <x:conditionalFormatting sqref="AI14:AJ45">
    <x:cfRule type="expression" dxfId="1098" priority="76">
      <x:formula>AND(NOT($BZ14),FIND("B",$GK54))</x:formula>
    </x:cfRule>
  </x:conditionalFormatting>
  <x:conditionalFormatting sqref="AC14:AC45">
    <x:cfRule type="expression" dxfId="1097" priority="77">
      <x:formula>AND(NOT($BZ14),NOT($EY14))</x:formula>
    </x:cfRule>
  </x:conditionalFormatting>
  <x:conditionalFormatting sqref="AM14:AM45">
    <x:cfRule type="expression" dxfId="1096" priority="69">
      <x:formula>AND(NOT($BZ14),AM14&lt;&gt;EZ14)</x:formula>
    </x:cfRule>
  </x:conditionalFormatting>
  <x:conditionalFormatting sqref="FF14:FF45">
    <x:cfRule type="expression" dxfId="1095" priority="70">
      <x:formula>$FC14=0</x:formula>
    </x:cfRule>
  </x:conditionalFormatting>
  <x:conditionalFormatting sqref="AD14:AJ45">
    <x:cfRule type="expression" dxfId="1094" priority="66">
      <x:formula>AND(NOT($BZ14),NOT($FA14))</x:formula>
    </x:cfRule>
  </x:conditionalFormatting>
  <x:conditionalFormatting sqref="CV14:CW45">
    <x:cfRule type="expression" dxfId="1093" priority="65">
      <x:formula>AND(NOT($BK14),LEN($Z14)&gt;27)</x:formula>
    </x:cfRule>
  </x:conditionalFormatting>
  <x:conditionalFormatting sqref="C87">
    <x:cfRule type="expression" dxfId="1092" priority="58" stopIfTrue="1">
      <x:formula>AND(NOT($BK87),NOT(BR87))</x:formula>
    </x:cfRule>
  </x:conditionalFormatting>
  <x:conditionalFormatting sqref="U87">
    <x:cfRule type="expression" dxfId="1091" priority="62" stopIfTrue="1">
      <x:formula>AND(NOT($BK87),BV87="No")</x:formula>
    </x:cfRule>
  </x:conditionalFormatting>
  <x:conditionalFormatting sqref="V87">
    <x:cfRule type="expression" dxfId="1090" priority="63" stopIfTrue="1">
      <x:formula>AND(NOT($BK87),BV87="No")</x:formula>
    </x:cfRule>
  </x:conditionalFormatting>
  <x:conditionalFormatting sqref="S87">
    <x:cfRule type="expression" dxfId="1089" priority="60" stopIfTrue="1">
      <x:formula>AND(NOT($BK87),BT87="No")</x:formula>
    </x:cfRule>
  </x:conditionalFormatting>
  <x:conditionalFormatting sqref="T87">
    <x:cfRule type="expression" dxfId="1088" priority="61" stopIfTrue="1">
      <x:formula>AND(NOT($BK87),BT87="No")</x:formula>
    </x:cfRule>
  </x:conditionalFormatting>
  <x:conditionalFormatting sqref="W87">
    <x:cfRule type="expression" dxfId="1087" priority="47">
      <x:formula>$W87=0</x:formula>
    </x:cfRule>
  </x:conditionalFormatting>
  <x:conditionalFormatting sqref="AR87:AS87">
    <x:cfRule type="expression" dxfId="1086" priority="51">
      <x:formula>AND(NOT($BZ87),$FF127)</x:formula>
    </x:cfRule>
  </x:conditionalFormatting>
  <x:conditionalFormatting sqref="AV87:AW87">
    <x:cfRule type="expression" dxfId="1085" priority="52">
      <x:formula>AND(NOT($BZ87),$FG127)</x:formula>
    </x:cfRule>
  </x:conditionalFormatting>
  <x:conditionalFormatting sqref="AZ87:BA87">
    <x:cfRule type="expression" dxfId="1084" priority="53">
      <x:formula>AND(NOT($BZ87),$FH127)</x:formula>
    </x:cfRule>
  </x:conditionalFormatting>
  <x:conditionalFormatting sqref="BD87:BE87">
    <x:cfRule type="expression" dxfId="1083" priority="54">
      <x:formula>AND(NOT($BZ87),$FI127)</x:formula>
    </x:cfRule>
  </x:conditionalFormatting>
  <x:conditionalFormatting sqref="AD87:AE87">
    <x:cfRule type="expression" dxfId="1082" priority="55">
      <x:formula>AND(NOT($BZ87),FIND("A",$GK127))</x:formula>
    </x:cfRule>
  </x:conditionalFormatting>
  <x:conditionalFormatting sqref="AI87:AJ87">
    <x:cfRule type="expression" dxfId="1081" priority="56">
      <x:formula>AND(NOT($BZ87),FIND("B",$GK127))</x:formula>
    </x:cfRule>
  </x:conditionalFormatting>
  <x:conditionalFormatting sqref="AC87">
    <x:cfRule type="expression" dxfId="1080" priority="57">
      <x:formula>AND(NOT($BZ87),NOT($EY87))</x:formula>
    </x:cfRule>
  </x:conditionalFormatting>
  <x:conditionalFormatting sqref="AM87">
    <x:cfRule type="expression" dxfId="1079" priority="50">
      <x:formula>AND(NOT($BZ87),AM87&lt;&gt;EZ87)</x:formula>
    </x:cfRule>
  </x:conditionalFormatting>
  <x:conditionalFormatting sqref="AD87:AJ87">
    <x:cfRule type="expression" dxfId="1078" priority="49">
      <x:formula>AND(NOT($BZ87),NOT($FA87))</x:formula>
    </x:cfRule>
  </x:conditionalFormatting>
  <x:conditionalFormatting sqref="AA87 A87:Y87">
    <x:cfRule type="expression" dxfId="1077" priority="59">
      <x:formula>$BI87</x:formula>
    </x:cfRule>
  </x:conditionalFormatting>
  <x:conditionalFormatting sqref="AB87:BG87">
    <x:cfRule type="expression" dxfId="1076" priority="46">
      <x:formula>$CA87</x:formula>
    </x:cfRule>
  </x:conditionalFormatting>
  <x:conditionalFormatting sqref="Z87">
    <x:cfRule type="expression" dxfId="1075" priority="45">
      <x:formula>$BI87</x:formula>
    </x:cfRule>
  </x:conditionalFormatting>
  <x:conditionalFormatting sqref="Z87">
    <x:cfRule type="expression" dxfId="1074" priority="48">
      <x:formula>AND(NOT($BK87),LEN($Z87)&gt;27)</x:formula>
    </x:cfRule>
  </x:conditionalFormatting>
  <x:conditionalFormatting sqref="CD14:CD45">
    <x:cfRule type="expression" dxfId="1073" priority="9">
      <x:formula>AND(NOT($BK14),NOT($BR14))</x:formula>
    </x:cfRule>
  </x:conditionalFormatting>
  <x:conditionalFormatting sqref="CX14:CX45">
    <x:cfRule type="cellIs" dxfId="1072" priority="22" operator="greaterThan">
      <x:formula>EY54</x:formula>
    </x:cfRule>
    <x:cfRule type="expression" dxfId="1071" priority="23">
      <x:formula>AND(ISBLANK(CX14),EY54&gt;0)</x:formula>
    </x:cfRule>
  </x:conditionalFormatting>
  <x:conditionalFormatting sqref="CY14:CY45">
    <x:cfRule type="cellIs" dxfId="1070" priority="24" operator="lessThan">
      <x:formula>EX54</x:formula>
    </x:cfRule>
    <x:cfRule type="expression" dxfId="1069" priority="25">
      <x:formula>AND(ISBLANK(CY14),EX54&lt;&gt;"")</x:formula>
    </x:cfRule>
  </x:conditionalFormatting>
  <x:conditionalFormatting sqref="CT14:CT45 CM14:CM45">
    <x:cfRule type="expression" dxfId="1068" priority="26">
      <x:formula>AND(NOT($BK14),AND(ISBLANK(CM14),AND(NOT(ISBLANK(CL14)),$CU14&lt;&gt;0)))</x:formula>
    </x:cfRule>
  </x:conditionalFormatting>
  <x:conditionalFormatting sqref="DB14:DB45">
    <x:cfRule type="expression" dxfId="1067" priority="27">
      <x:formula>OR(DB14&gt;CD54,DB14&lt;0)</x:formula>
    </x:cfRule>
  </x:conditionalFormatting>
  <x:conditionalFormatting sqref="CJ14:CJ45">
    <x:cfRule type="expression" dxfId="1066" priority="10">
      <x:formula>AND(NOT($BK14),OR($CC54="M",$CC54="C",$CC54="G"))</x:formula>
    </x:cfRule>
    <x:cfRule type="expression" dxfId="1065" priority="11">
      <x:formula>AND(NOT($BK14),AND(OR($CC54="B",$CC54="G"),CJ14="",CK14=""))</x:formula>
    </x:cfRule>
    <x:cfRule type="expression" dxfId="1064" priority="12">
      <x:formula>AND(NOT($BK14),EG54="ERR")</x:formula>
    </x:cfRule>
  </x:conditionalFormatting>
  <x:conditionalFormatting sqref="CK14:CK45">
    <x:cfRule type="expression" dxfId="1063" priority="13">
      <x:formula>AND(NOT($BK14),OR($CC54="M",$CC54="C",$CC54="G"))</x:formula>
    </x:cfRule>
    <x:cfRule type="expression" dxfId="1062" priority="14">
      <x:formula>AND(NOT($BK14),AND(OR($CC54="B",$CC54="G"),CJ14="",CK14=""))</x:formula>
    </x:cfRule>
    <x:cfRule type="expression" dxfId="1061" priority="15">
      <x:formula>AND(NOT($BK14),EG54="ERR")</x:formula>
    </x:cfRule>
  </x:conditionalFormatting>
  <x:conditionalFormatting sqref="CQ14:CQ45">
    <x:cfRule type="expression" dxfId="1060" priority="16">
      <x:formula>AND(NOT($BK14),OR($CL54="M",$CL54="C",$CL54="G"))</x:formula>
    </x:cfRule>
    <x:cfRule type="expression" dxfId="1059" priority="17">
      <x:formula>AND(NOT($BK14),AND(OR($CL54="B",$CL54="G"),CQ14="",CR14=""))</x:formula>
    </x:cfRule>
    <x:cfRule type="expression" dxfId="1058" priority="18">
      <x:formula>AND(NOT($BK14),EJ54="ERR")</x:formula>
    </x:cfRule>
  </x:conditionalFormatting>
  <x:conditionalFormatting sqref="CR14:CR45">
    <x:cfRule type="expression" dxfId="1057" priority="19">
      <x:formula>AND(NOT($BK14),OR($CL54="M",$CL54="C",$CL54="G"))</x:formula>
    </x:cfRule>
    <x:cfRule type="expression" dxfId="1056" priority="20">
      <x:formula>AND(NOT($BK14),AND(OR($CL54="B",$CL54="G"),CQ14="",CR14=""))</x:formula>
    </x:cfRule>
    <x:cfRule type="expression" dxfId="1055" priority="21">
      <x:formula>AND(NOT($BK14),EJ54="ERR")</x:formula>
    </x:cfRule>
  </x:conditionalFormatting>
  <x:conditionalFormatting sqref="DC14:DC45">
    <x:cfRule type="expression" dxfId="1054" priority="8">
      <x:formula>OR(DC14&gt;CM54,DC14&lt;0)</x:formula>
    </x:cfRule>
  </x:conditionalFormatting>
  <x:conditionalFormatting sqref="CG14:CG45">
    <x:cfRule type="expression" dxfId="1053" priority="28">
      <x:formula>AND(NOT($BK14),ISERROR(CC54))</x:formula>
    </x:cfRule>
    <x:cfRule type="expression" dxfId="1052" priority="29">
      <x:formula>AND(NOT($BK14),OR(ISERROR(CC54),CC54="", ER14&lt;&gt;""))</x:formula>
    </x:cfRule>
  </x:conditionalFormatting>
  <x:conditionalFormatting sqref="CN14:CN45">
    <x:cfRule type="expression" dxfId="1051" priority="30">
      <x:formula>AND(NOT($BK14),ISERROR(CL54))</x:formula>
    </x:cfRule>
    <x:cfRule type="expression" dxfId="1050" priority="31">
      <x:formula>AND(NOT($BK14),OR(CL54="", ES14&lt;&gt;""))</x:formula>
    </x:cfRule>
  </x:conditionalFormatting>
  <x:conditionalFormatting sqref="CW14:CW45">
    <x:cfRule type="expression" dxfId="1049" priority="32">
      <x:formula>OR(EL14&lt;&gt;"",EM14&lt;&gt;"",EN14&lt;&gt;"",EO14&lt;&gt;"",EP14&lt;&gt;"",EQ14&lt;&gt;"")</x:formula>
    </x:cfRule>
  </x:conditionalFormatting>
  <x:conditionalFormatting sqref="CH14:CH45">
    <x:cfRule type="expression" dxfId="1048" priority="33">
      <x:formula>AND(NOT($BK14),OR($CC54="M",$CC54="C"))</x:formula>
    </x:cfRule>
    <x:cfRule type="expression" dxfId="1047" priority="34">
      <x:formula>AND(NOT($BK14),AND(CH14="",CI14="",OR($CC54="B",$CC54="G")))</x:formula>
    </x:cfRule>
    <x:cfRule type="expression" dxfId="1046" priority="35">
      <x:formula>AND(NOT($BK14),(CH14/2)/COS(RADIANS(CL14))+CD54-DC54&lt;$FB$4)</x:formula>
    </x:cfRule>
  </x:conditionalFormatting>
  <x:conditionalFormatting sqref="CI14:CI45">
    <x:cfRule type="expression" dxfId="1045" priority="36">
      <x:formula>AND(NOT($BK14),OR($CC54="M",$CC54="C"))</x:formula>
    </x:cfRule>
    <x:cfRule type="expression" dxfId="1044" priority="37">
      <x:formula>AND(NOT($BK14),AND(CH14="",CI14="",OR($CC54="B",$CC54="G")))</x:formula>
    </x:cfRule>
    <x:cfRule type="expression" dxfId="1043" priority="38">
      <x:formula>AND(NOT($BK14),(CI14/2)/COS(RADIANS(CL14))+CD54-DC54&lt;$FB$4)</x:formula>
    </x:cfRule>
  </x:conditionalFormatting>
  <x:conditionalFormatting sqref="CO14:CO45">
    <x:cfRule type="expression" dxfId="1042" priority="39">
      <x:formula>AND(NOT($BK14),OR($CL54="M",$CL54="C"))</x:formula>
    </x:cfRule>
    <x:cfRule type="expression" dxfId="1041" priority="40">
      <x:formula>AND(NOT($BK14),AND(CO14="",CP14="",OR($CL54="B",$CL54="G")))</x:formula>
    </x:cfRule>
    <x:cfRule type="expression" dxfId="1040" priority="41">
      <x:formula>AND(NOT($BK14),(CO14/2)/COS(RADIANS(CS14))+CM54-DI54&lt;$FB$4)</x:formula>
    </x:cfRule>
  </x:conditionalFormatting>
  <x:conditionalFormatting sqref="CP14:CP45">
    <x:cfRule type="expression" dxfId="1039" priority="42">
      <x:formula>AND(NOT($BK14),OR($CL54="M",$CL54="C"))</x:formula>
    </x:cfRule>
    <x:cfRule type="expression" dxfId="1038" priority="43">
      <x:formula>AND(NOT($BK14),AND(CO14="",CP14="",OR($CL54="B",$CL54="G")))</x:formula>
    </x:cfRule>
    <x:cfRule type="expression" dxfId="1037" priority="44">
      <x:formula>AND(NOT($BK14),(CP14/2)/COS(RADIANS(CS14))+CM54-DI54&lt;$FB$4)</x:formula>
    </x:cfRule>
  </x:conditionalFormatting>
  <x:conditionalFormatting sqref="DH14:EK45 AB14:BG45">
    <x:cfRule type="expression" dxfId="1036" priority="103">
      <x:formula>$FP14</x:formula>
    </x:cfRule>
  </x:conditionalFormatting>
  <x:conditionalFormatting sqref="A14:Y45 CB14:DE45 AA14:AA45">
    <x:cfRule type="expression" dxfId="1035" priority="104">
      <x:formula>$FN14</x:formula>
    </x:cfRule>
  </x:conditionalFormatting>
  <x:conditionalFormatting sqref="AB14:AB45">
    <x:cfRule type="expression" dxfId="1034" priority="6">
      <x:formula>NOT($FQ14)</x:formula>
    </x:cfRule>
  </x:conditionalFormatting>
  <x:conditionalFormatting sqref="CB14:CB45">
    <x:cfRule type="expression" dxfId="1033" priority="5">
      <x:formula>NOT($FO14)</x:formula>
    </x:cfRule>
  </x:conditionalFormatting>
  <x:conditionalFormatting sqref="A14:A45">
    <x:cfRule type="expression" dxfId="1032" priority="4">
      <x:formula>NOT($FO14)</x:formula>
    </x:cfRule>
  </x:conditionalFormatting>
  <x:conditionalFormatting sqref="Z14:Z45">
    <x:cfRule type="expression" dxfId="1031" priority="2">
      <x:formula>$BI14</x:formula>
    </x:cfRule>
  </x:conditionalFormatting>
  <x:conditionalFormatting sqref="Z14:Z45">
    <x:cfRule type="expression" dxfId="1030" priority="3">
      <x:formula>AND(NOT($BK14),LEN($Z14)&gt;27)</x:formula>
    </x:cfRule>
  </x:conditionalFormatting>
  <x:conditionalFormatting sqref="GA14:GB45">
    <x:cfRule type="expression" dxfId="1029" priority="1" stopIfTrue="1">
      <x:formula>GM53&gt;=0.125</x:formula>
    </x:cfRule>
  </x:conditionalFormatting>
  <x:dataValidations count="9">
    <x:dataValidation type="whole" operator="greaterThanOrEqual" allowBlank="1" showInputMessage="1" showErrorMessage="1" sqref="B14:B45 B87">
      <x:formula1>0</x:formula1>
    </x:dataValidation>
    <x:dataValidation type="decimal" operator="greaterThan" allowBlank="1" showInputMessage="1" showErrorMessage="1" errorTitle="Dimensional Error" error="Only positive numeric values permitted here." sqref="M14:N45 M87:N87">
      <x:formula1>0</x:formula1>
    </x:dataValidation>
    <x:dataValidation type="decimal" operator="notEqual" allowBlank="1" showInputMessage="1" showErrorMessage="1" errorTitle="Input Error" error="Enter + or - Numbers Only._x000a_Do NOT use &quot;&lt;&quot; or &quot;&gt;&quot;." sqref="X14:Y45 X87:Y87">
      <x:formula1>0</x:formula1>
    </x:dataValidation>
    <x:dataValidation type="decimal" operator="greaterThanOrEqual" allowBlank="1" showInputMessage="1" showErrorMessage="1" errorTitle="Dimensional Error" error="&quot;Inches&quot; must be a number." sqref="CH14:CK45 CO14:CR45">
      <x:formula1>0</x:formula1>
    </x:dataValidation>
    <x:dataValidation type="decimal" allowBlank="1" showInputMessage="1" showErrorMessage="1" errorTitle="Dimensional Error" error="&quot;Inches&quot; must be a number from 0 to 11.875." sqref="AJ87 E14:E45 H14:H45 K14:K45 T14:T45 V14:V45 AE14:AE45 AH14:AH45 AJ14:AJ45 E87 H87 K87 T87 V87 AE87 AH87 CF14:CF45">
      <x:formula1>0</x:formula1>
      <x:formula2>11.875</x:formula2>
    </x:dataValidation>
    <x:dataValidation type="custom" allowBlank="1" showErrorMessage="1" errorTitle="Error" error="Value must  be either a whole number OR the string &quot;P&quot;." sqref="DV14:DV45 DZ14:DZ45 ED14:ED45 EH14:EH45 BD14:BD45 AR14:AR45 AV14:AV45 AZ14:AZ45 BD87 AR87 AV87 AZ87">
      <x:formula1>IF(ISERROR(INT(AR14)),AR14="P",INT(AR14)=AR14)</x:formula1>
    </x:dataValidation>
    <x:dataValidation type="whole" operator="greaterThanOrEqual" allowBlank="1" showErrorMessage="1" errorTitle="Error" error="&quot;Number of Panels&quot; can only be whole numbers." sqref="DL14:DL45 AF14:AF45 AF87">
      <x:formula1>0</x:formula1>
    </x:dataValidation>
    <x: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formula1>0</x:formula1>
    </x:dataValidation>
    <x:dataValidation type="list" allowBlank="1" showInputMessage="1" sqref="M7:S7 DA4:DD4">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colBreaks count="1" manualBreakCount="1">
    <x:brk id="27" max="44" man="1"/>
  </x:colBreaks>
  <x:drawing r:id="rId2"/>
  <x:legacyDrawing r:id="rId3"/>
</x:worksheet>
</file>

<file path=xl/worksheets/sheet5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6">
    <x:tabColor indexed="43"/>
  </x:sheetPr>
  <x:dimension ref="A1:II71"/>
  <x:sheetViews>
    <x:sheetView showGridLines="0" zoomScaleNormal="100" zoomScaleSheetLayoutView="75" workbookViewId="0">
      <x:selection activeCell="GA23" sqref="GA23"/>
    </x:sheetView>
  </x:sheetViews>
  <x:sheetFormatPr defaultColWidth="5.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5.7109375" style="295" customWidth="1"/>
    <x:col min="29" max="29" width="5.7109375" style="295" hidden="1" customWidth="1"/>
    <x:col min="30" max="34" width="4.7109375" style="295" hidden="1" customWidth="1"/>
    <x:col min="35" max="35" width="7.85546875" style="475" hidden="1" customWidth="1"/>
    <x:col min="36" max="41" width="4.7109375" style="295" hidden="1" customWidth="1"/>
    <x:col min="42" max="42" width="8.7109375" style="295" hidden="1" customWidth="1"/>
    <x:col min="43" max="49" width="4.7109375" style="295" hidden="1" customWidth="1"/>
    <x:col min="50" max="52" width="5.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5.7109375" style="295" customWidth="1"/>
    <x:col min="180" max="181" width="5.7109375" style="295" hidden="1" customWidth="1"/>
    <x:col min="182" max="182" width="5.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5.7109375" style="295" customWidth="1"/>
    <x:col min="197" max="206" width="8.7109375" style="295" hidden="1" customWidth="1"/>
    <x:col min="207" max="207" width="8.7109375" style="295" customWidth="1"/>
    <x:col min="208" max="208" width="8.7109375" style="295" hidden="1" customWidth="1"/>
    <x:col min="209" max="210" width="6.7109375" style="295" hidden="1" customWidth="1"/>
    <x:col min="211" max="211" width="12.7109375" style="295" hidden="1" customWidth="1"/>
    <x:col min="212" max="212" width="6.7109375" style="297" hidden="1" customWidth="1"/>
    <x:col min="213" max="213" width="6.7109375" style="453" hidden="1" customWidth="1"/>
    <x:col min="214" max="240" width="6.7109375" style="295" hidden="1" customWidth="1"/>
    <x:col min="241" max="243" width="8.7109375" style="295" customWidth="1"/>
    <x:col min="244" max="16384" width="5.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666"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611</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x:c r="CW3" s="700"/>
      <x:c r="CX3" s="701"/>
      <x:c r="CY3" s="702"/>
      <x:c r="CZ3" s="701"/>
      <x:c r="DA3" s="701"/>
      <x:c r="DB3" s="701"/>
      <x:c r="DC3" s="703"/>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444"/>
      <x:c r="CJ4" s="444"/>
      <x:c r="CK4" s="444"/>
      <x:c r="CL4" s="444"/>
      <x:c r="CM4" s="444"/>
      <x:c r="CN4" s="444"/>
      <x:c r="CO4" s="444"/>
      <x:c r="CP4" s="292"/>
      <x:c r="CQ4" s="292"/>
      <x:c r="CR4" s="444"/>
      <x:c r="CS4" s="444"/>
      <x:c r="CU4" s="705"/>
      <x:c r="CV4" s="706"/>
      <x:c r="CW4" s="707"/>
      <x:c r="CX4" s="708"/>
      <x:c r="CY4" s="708"/>
      <x:c r="CZ4" s="708"/>
      <x:c r="DA4" s="709"/>
      <x:c r="DB4" s="708"/>
      <x:c r="DC4" s="710"/>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B5" s="982"/>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x:c r="CV5" s="712"/>
      <x:c r="CW5" s="713"/>
      <x:c r="CX5" s="713"/>
      <x:c r="CY5" s="713"/>
      <x:c r="CZ5" s="713"/>
      <x:c r="DA5" s="714"/>
      <x:c r="DB5" s="713"/>
      <x:c r="DC5" s="715"/>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983"/>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x:c r="CV6" s="717"/>
      <x:c r="CW6" s="718"/>
      <x:c r="CX6" s="718"/>
      <x:c r="CY6" s="718"/>
      <x:c r="CZ6" s="718"/>
      <x:c r="DA6" s="719"/>
      <x:c r="DB6" s="718"/>
      <x:c r="DC6" s="720"/>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303"/>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30 of 42</x:v>
      </x:c>
      <x:c r="Z7" s="822"/>
      <x:c r="AA7" s="444"/>
      <x:c r="AB7" s="984"/>
      <x:c r="AC7" s="1393">
        <x:v>30</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416</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7.3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984"/>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417</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984"/>
      <x:c r="AL9" s="449"/>
      <x:c r="AM9" s="449"/>
      <x:c r="AN9" s="449"/>
      <x:c r="AO9" s="449"/>
      <x:c r="AP9" s="449"/>
      <x:c r="AQ9" s="449"/>
      <x:c r="AR9" s="449"/>
      <x:c r="BA9" s="307"/>
      <x:c r="BB9" s="480"/>
      <x:c r="BC9" s="293"/>
      <x:c r="BD9" s="293"/>
      <x:c r="BE9" s="293"/>
      <x:c r="BF9" s="293"/>
      <x:c r="BG9" s="293"/>
      <x:c r="BH9" s="293"/>
      <x:c r="BI9" s="293"/>
      <x:c r="BJ9" s="293"/>
      <x:c r="BK9" s="293"/>
      <x:c r="BL9" s="293"/>
      <x:c r="BM9" s="293"/>
      <x:c r="BN9" s="293"/>
      <x:c r="BO9" s="293"/>
      <x:c r="BP9" s="293"/>
      <x:c r="BQ9" s="293"/>
      <x:c r="BR9" s="293"/>
      <x:c r="BS9" s="293"/>
      <x:c r="BT9" s="293"/>
      <x:c r="BU9" s="293"/>
      <x:c r="BV9" s="293"/>
      <x:c r="BW9" s="293"/>
      <x:c r="BX9" s="293"/>
      <x:c r="BY9" s="293"/>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115</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x14ac:dyDescent="0.2">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984"/>
      <x:c r="AL10" s="449"/>
      <x:c r="AM10" s="449"/>
      <x:c r="AN10" s="449"/>
      <x:c r="AO10" s="449"/>
      <x:c r="AP10" s="449"/>
      <x:c r="AQ10" s="449"/>
      <x:c r="AR10" s="449"/>
      <x:c r="BA10" s="307"/>
      <x:c r="BB10" s="293"/>
      <x:c r="BC10" s="293"/>
      <x:c r="BD10" s="293"/>
      <x:c r="BE10" s="293"/>
      <x:c r="BF10" s="293"/>
      <x:c r="BG10" s="293"/>
      <x:c r="BH10" s="293"/>
      <x:c r="BI10" s="293"/>
      <x:c r="BJ10" s="293"/>
      <x:c r="BK10" s="293"/>
      <x:c r="BL10" s="293"/>
      <x:c r="BM10" s="293"/>
      <x:c r="BN10" s="293"/>
      <x:c r="BO10" s="293"/>
      <x:c r="BP10" s="293"/>
      <x:c r="BQ10" s="293"/>
      <x:c r="BR10" s="293"/>
      <x:c r="BS10" s="293"/>
      <x:c r="BT10" s="293"/>
      <x:c r="BU10" s="293"/>
      <x:c r="BV10" s="293"/>
      <x:c r="BW10" s="293"/>
      <x:c r="BX10" s="293"/>
      <x:c r="BY10" s="293"/>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7.35" customHeight="1" x14ac:dyDescent="0.2">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93"/>
      <x:c r="BC11" s="293"/>
      <x:c r="BD11" s="293"/>
      <x:c r="BE11" s="293"/>
      <x:c r="BF11" s="293"/>
      <x:c r="BG11" s="293"/>
      <x:c r="BH11" s="293"/>
      <x:c r="BI11" s="293"/>
      <x:c r="BJ11" s="293"/>
      <x:c r="BK11" s="293"/>
      <x:c r="BL11" s="293"/>
      <x:c r="BM11" s="293"/>
      <x:c r="BN11" s="293"/>
      <x:c r="BO11" s="293"/>
      <x:c r="BP11" s="293"/>
      <x:c r="BQ11" s="293"/>
      <x:c r="BR11" s="293"/>
      <x:c r="BS11" s="293"/>
      <x:c r="BT11" s="293"/>
      <x:c r="BU11" s="293"/>
      <x:c r="BV11" s="293"/>
      <x:c r="BW11" s="293"/>
      <x:c r="BX11" s="293"/>
      <x:c r="BY11" s="293"/>
      <x:c r="BZ11" s="293"/>
      <x:c r="CA11" s="293"/>
      <x:c r="CB11" s="293"/>
      <x:c r="CC11" s="293"/>
      <x:c r="CD11" s="293"/>
      <x:c r="CE11" s="293"/>
      <x:c r="CF11" s="292"/>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row>
    <x:row r="12" spans="1:241" ht="12.6" customHeight="1" x14ac:dyDescent="0.2">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IF(ISBLANK(CC19),"",CC19)</x:f>
        <x:v/>
      </x:c>
      <x:c r="AB12" s="981" t="str">
        <x:f>AA12</x:f>
        <x:v/>
      </x:c>
      <x:c r="AP12" s="1294"/>
      <x:c r="BA12" s="307"/>
      <x:c r="BB12" s="487"/>
      <x:c r="BC12" s="293"/>
      <x:c r="BD12" s="293"/>
      <x:c r="BE12" s="293"/>
      <x:c r="BF12" s="293"/>
      <x:c r="BG12" s="293"/>
      <x:c r="BH12" s="293"/>
      <x:c r="BI12" s="293"/>
      <x:c r="BJ12" s="293"/>
      <x:c r="BK12" s="293"/>
      <x:c r="BL12" s="293"/>
      <x:c r="BM12" s="293"/>
      <x:c r="BN12" s="243"/>
      <x:c r="BO12" s="488"/>
      <x:c r="BP12" s="488"/>
      <x:c r="BQ12" s="488"/>
      <x:c r="BR12" s="488"/>
      <x:c r="BS12" s="488"/>
      <x:c r="BT12" s="488"/>
      <x:c r="BU12" s="488"/>
      <x:c r="BV12" s="488"/>
      <x:c r="BW12" s="488"/>
      <x:c r="BX12" s="488"/>
      <x:c r="BY12" s="488"/>
      <x:c r="BZ12" s="488"/>
      <x:c r="CA12" s="488"/>
      <x:c r="CB12" s="488"/>
      <x:c r="CC12" s="488"/>
      <x:c r="CD12" s="488"/>
      <x:c r="CE12" s="488"/>
      <x:c r="CF12" s="292"/>
      <x:c r="CG12" s="292"/>
      <x:c r="CH12" s="292"/>
      <x:c r="CI12" s="292"/>
      <x:c r="CJ12" s="292"/>
      <x:c r="CK12" s="292"/>
      <x:c r="CL12" s="292"/>
      <x:c r="CM12" s="292"/>
      <x:c r="CN12" s="292"/>
      <x:c r="CO12" s="292"/>
      <x:c r="CP12" s="292"/>
      <x:c r="CQ12" s="292"/>
      <x:c r="CR12" s="292"/>
      <x:c r="CS12" s="292"/>
      <x:c r="CT12" s="296"/>
      <x:c r="CU12" s="296"/>
      <x:c r="CV12" s="296"/>
      <x:c r="CW12" s="296"/>
      <x:c r="CX12" s="296"/>
      <x:c r="CY12" s="296"/>
      <x:c r="CZ12" s="296"/>
      <x:c r="DA12" s="489"/>
      <x:c r="DB12" s="490"/>
      <x:c r="DC12" s="490"/>
      <x:c r="DD12" s="490"/>
      <x:c r="DE12" s="490"/>
      <x:c r="DR12" s="302"/>
      <x:c r="DS12" s="302"/>
      <x:c r="DT12" s="302"/>
      <x:c r="DU12" s="302"/>
      <x:c r="DV12" s="302"/>
      <x:c r="DW12" s="302"/>
      <x:c r="DX12" s="302"/>
      <x:c r="DY12" s="302"/>
      <x:c r="DZ12" s="302"/>
      <x:c r="EA12" s="302"/>
      <x:c r="EB12" s="302"/>
      <x:c r="EC12" s="302"/>
      <x:c r="ED12" s="302"/>
      <x:c r="EE12" s="485"/>
      <x:c r="EF12" s="485"/>
      <x:c r="EG12" s="485"/>
      <x:c r="EH12" s="485"/>
      <x:c r="EI12" s="485"/>
      <x:c r="EJ12" s="485"/>
      <x:c r="EK12" s="485"/>
      <x:c r="EL12" s="485"/>
      <x:c r="EM12" s="485"/>
      <x:c r="EN12" s="485"/>
      <x:c r="EO12" s="485"/>
      <x:c r="EP12" s="485"/>
      <x:c r="EQ12" s="307"/>
      <x:c r="ER12" s="307"/>
      <x:c r="ES12" s="307"/>
      <x:c r="ET12" s="307"/>
      <x:c r="EU12" s="307"/>
      <x:c r="EV12" s="307"/>
      <x:c r="EW12" s="307"/>
      <x:c r="EX12" s="490"/>
      <x:c r="EY12" s="303"/>
      <x:c r="EZ12" s="303"/>
      <x:c r="FA12" s="303"/>
      <x:c r="FB12" s="296"/>
      <x:c r="FC12" s="296"/>
      <x:c r="FD12" s="296"/>
      <x:c r="FE12" s="296"/>
      <x:c r="FF12" s="296"/>
      <x:c r="FG12" s="296"/>
      <x:c r="FH12" s="296"/>
      <x:c r="FI12" s="296"/>
      <x:c r="GA12" s="473"/>
      <x:c r="GB12" s="473"/>
      <x:c r="GC12" s="473"/>
      <x:c r="GD12" s="473"/>
      <x:c r="GE12" s="473"/>
      <x:c r="GF12" s="473"/>
      <x:c r="GG12" s="473"/>
      <x:c r="GH12" s="473"/>
      <x:c r="GI12" s="473"/>
      <x:c r="GJ12" s="473"/>
    </x:row>
    <x:row r="13" spans="1:241" ht="11.1" customHeight="1" x14ac:dyDescent="0.2">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BA13" s="307"/>
      <x:c r="BB13" s="293"/>
      <x:c r="BC13" s="293"/>
      <x:c r="BD13" s="293"/>
      <x:c r="BE13" s="293"/>
      <x:c r="BF13" s="293"/>
      <x:c r="BG13" s="293"/>
      <x:c r="BH13" s="293"/>
      <x:c r="BI13" s="293"/>
      <x:c r="BJ13" s="293"/>
      <x:c r="BK13" s="293"/>
      <x:c r="BL13" s="293"/>
      <x:c r="BM13" s="293"/>
      <x:c r="BN13" s="293"/>
      <x:c r="BO13" s="293"/>
      <x:c r="BP13" s="293"/>
      <x:c r="BQ13" s="293"/>
      <x:c r="BR13" s="293"/>
      <x:c r="BS13" s="293"/>
      <x:c r="BT13" s="293"/>
      <x:c r="BU13" s="293"/>
      <x:c r="BV13" s="293"/>
      <x:c r="BW13" s="293"/>
      <x:c r="BX13" s="293"/>
      <x:c r="BY13" s="293"/>
      <x:c r="BZ13" s="293"/>
      <x:c r="CA13" s="293"/>
      <x:c r="CB13" s="293"/>
      <x:c r="CC13" s="293"/>
      <x:c r="CD13" s="293"/>
      <x:c r="CE13" s="293"/>
      <x:c r="CF13" s="292"/>
      <x:c r="CG13" s="292"/>
      <x:c r="CH13" s="292"/>
      <x:c r="CI13" s="292"/>
      <x:c r="CJ13" s="292"/>
      <x:c r="CK13" s="292"/>
      <x:c r="CL13" s="292"/>
      <x:c r="CM13" s="292"/>
      <x:c r="CN13" s="292"/>
      <x:c r="CO13" s="292"/>
      <x:c r="CP13" s="292"/>
      <x:c r="CQ13" s="292"/>
      <x:c r="CR13" s="292"/>
      <x:c r="CS13" s="292"/>
      <x:c r="CT13" s="296"/>
      <x:c r="CU13" s="296"/>
      <x:c r="CV13" s="296"/>
      <x:c r="CW13" s="296"/>
      <x:c r="CX13" s="296"/>
      <x:c r="CY13" s="296"/>
      <x:c r="CZ13" s="296"/>
      <x:c r="EE13" s="485"/>
      <x:c r="EF13" s="485"/>
      <x:c r="EG13" s="485"/>
      <x:c r="EH13" s="485"/>
      <x:c r="EI13" s="485"/>
      <x:c r="EJ13" s="493"/>
      <x:c r="EK13" s="493"/>
      <x:c r="EL13" s="493"/>
      <x:c r="EM13" s="493"/>
      <x:c r="EN13" s="493"/>
      <x:c r="EO13" s="493"/>
      <x:c r="EP13" s="493"/>
      <x:c r="EQ13" s="2710"/>
      <x:c r="ES13" s="296"/>
      <x:c r="ET13" s="296"/>
      <x:c r="EU13" s="2710"/>
      <x:c r="EV13" s="2710"/>
      <x:c r="EW13" s="2710"/>
      <x:c r="EZ13" s="303"/>
      <x:c r="FA13" s="303"/>
      <x:c r="FB13" s="296"/>
      <x:c r="FC13" s="296"/>
      <x:c r="FD13" s="296"/>
      <x:c r="FE13" s="296"/>
      <x:c r="FF13" s="296"/>
      <x:c r="FG13" s="296"/>
      <x:c r="FH13" s="296"/>
      <x:c r="FI13" s="296"/>
      <x:c r="GA13" s="473"/>
      <x:c r="GB13" s="473"/>
      <x:c r="GC13" s="473"/>
      <x:c r="GD13" s="473"/>
      <x:c r="GE13" s="473"/>
      <x:c r="GF13" s="473"/>
      <x:c r="GG13" s="473"/>
      <x:c r="GH13" s="473"/>
      <x:c r="GI13" s="473"/>
      <x:c r="GJ13" s="473"/>
    </x:row>
    <x:row r="14" spans="1:241" ht="76.349999999999994" customHeight="1" x14ac:dyDescent="0.2">
      <x:c r="A14" s="473"/>
      <x:c r="B14" s="473"/>
      <x:c r="C14" s="473"/>
      <x:c r="D14" s="473"/>
      <x:c r="E14" s="473"/>
      <x:c r="F14" s="473"/>
      <x:c r="G14" s="473"/>
      <x:c r="H14" s="473"/>
      <x:c r="I14" s="473"/>
      <x:c r="J14" s="473"/>
      <x:c r="K14" s="473"/>
      <x:c r="L14" s="473"/>
      <x:c r="M14" s="473"/>
      <x:c r="N14" s="473"/>
      <x:c r="O14" s="473"/>
      <x:c r="P14" s="473"/>
      <x:c r="Q14" s="473"/>
      <x:c r="R14" s="473"/>
      <x:c r="S14" s="473"/>
      <x:c r="T14" s="473"/>
      <x:c r="U14" s="473"/>
      <x:c r="V14" s="473"/>
      <x:c r="W14" s="473"/>
      <x:c r="X14" s="473"/>
      <x:c r="Y14" s="473"/>
      <x:c r="Z14" s="473"/>
      <x:c r="AA14" s="494" t="s">
        <x:v>28</x:v>
      </x:c>
      <x:c r="AB14" s="495"/>
      <x:c r="BA14" s="307"/>
      <x:c r="BB14" s="293"/>
      <x:c r="BC14" s="293"/>
      <x:c r="BD14" s="293"/>
      <x:c r="BE14" s="293"/>
      <x:c r="BF14" s="293"/>
      <x:c r="BG14" s="293"/>
      <x:c r="BH14" s="293"/>
      <x:c r="BI14" s="293"/>
      <x:c r="BJ14" s="293"/>
      <x:c r="BK14" s="293"/>
      <x:c r="BL14" s="293"/>
      <x:c r="BM14" s="293"/>
      <x:c r="BN14" s="293"/>
      <x:c r="BO14" s="293"/>
      <x:c r="BP14" s="293"/>
      <x:c r="BQ14" s="293"/>
      <x:c r="BR14" s="293"/>
      <x:c r="BS14" s="293"/>
      <x:c r="BT14" s="293"/>
      <x:c r="BU14" s="293"/>
      <x:c r="BV14" s="293"/>
      <x:c r="BW14" s="293"/>
      <x:c r="BX14" s="293"/>
      <x:c r="BY14" s="293"/>
      <x:c r="BZ14" s="293"/>
      <x:c r="CA14" s="293"/>
      <x:c r="CB14" s="293"/>
      <x:c r="CC14" s="293"/>
      <x:c r="CD14" s="293"/>
      <x:c r="CE14" s="293"/>
      <x:c r="CF14" s="292"/>
      <x:c r="CG14" s="473"/>
      <x:c r="CH14" s="473"/>
      <x:c r="CI14" s="473"/>
      <x:c r="CJ14" s="473"/>
      <x:c r="CK14" s="473"/>
      <x:c r="CL14" s="473"/>
      <x:c r="CM14" s="473"/>
      <x:c r="CN14" s="473"/>
      <x:c r="CO14" s="473"/>
      <x:c r="CP14" s="292"/>
      <x:c r="CQ14" s="292"/>
      <x:c r="CR14" s="292"/>
      <x:c r="CS14" s="292"/>
      <x:c r="CT14" s="296"/>
      <x:c r="CU14" s="296"/>
      <x:c r="CV14" s="296"/>
      <x:c r="CW14" s="296"/>
      <x:c r="CX14" s="296"/>
      <x:c r="CY14" s="296"/>
      <x:c r="CZ14" s="296"/>
      <x:c r="EE14" s="485"/>
      <x:c r="EF14" s="485"/>
      <x:c r="EG14" s="485"/>
      <x:c r="EH14" s="485"/>
      <x:c r="EI14" s="485"/>
      <x:c r="EJ14" s="485"/>
      <x:c r="EK14" s="485"/>
      <x:c r="EL14" s="485"/>
      <x:c r="EM14" s="485"/>
      <x:c r="EN14" s="485"/>
      <x:c r="EO14" s="485"/>
      <x:c r="EP14" s="485"/>
      <x:c r="EQ14" s="2711"/>
      <x:c r="ES14" s="296"/>
      <x:c r="ET14" s="296"/>
      <x:c r="EU14" s="2711"/>
      <x:c r="EV14" s="2711"/>
      <x:c r="EW14" s="2711"/>
      <x:c r="EZ14" s="303"/>
      <x:c r="FA14" s="303"/>
      <x:c r="FB14" s="296"/>
      <x:c r="FC14" s="296"/>
      <x:c r="FD14" s="296"/>
      <x:c r="FE14" s="296"/>
      <x:c r="FF14" s="296"/>
      <x:c r="FG14" s="296"/>
      <x:c r="FH14" s="296"/>
      <x:c r="FI14" s="296"/>
      <x:c r="GA14" s="473"/>
      <x:c r="GB14" s="473"/>
      <x:c r="GC14" s="473"/>
      <x:c r="GD14" s="473"/>
      <x:c r="GE14" s="473"/>
      <x:c r="GF14" s="473"/>
      <x:c r="GG14" s="473"/>
      <x:c r="GH14" s="473"/>
      <x:c r="GI14" s="473"/>
      <x:c r="GJ14" s="473"/>
    </x:row>
    <x:row r="15" spans="1:241" ht="12.6" customHeight="1" x14ac:dyDescent="0.2">
      <x:c r="A15" s="473"/>
      <x:c r="B15" s="473"/>
      <x:c r="C15" s="473"/>
      <x:c r="D15" s="473"/>
      <x:c r="E15" s="473"/>
      <x:c r="F15" s="473"/>
      <x:c r="G15" s="473"/>
      <x:c r="H15" s="473"/>
      <x:c r="I15" s="473"/>
      <x:c r="J15" s="473"/>
      <x:c r="K15" s="473"/>
      <x:c r="L15" s="473"/>
      <x:c r="M15" s="473"/>
      <x:c r="N15" s="473"/>
      <x:c r="O15" s="473"/>
      <x:c r="P15" s="473"/>
      <x:c r="Q15" s="473"/>
      <x:c r="R15" s="473"/>
      <x:c r="S15" s="473"/>
      <x:c r="T15" s="473"/>
      <x:c r="U15" s="473"/>
      <x:c r="V15" s="473"/>
      <x:c r="W15" s="473"/>
      <x:c r="X15" s="473"/>
      <x:c r="Y15" s="473"/>
      <x:c r="Z15" s="550" t="s">
        <x:v>5</x:v>
      </x:c>
      <x:c r="AA15" s="828">
        <x:f>AD15+AD41</x:f>
        <x:v>542</x:v>
      </x:c>
      <x:c r="AB15" s="496"/>
      <x:c r="AD15" s="497">
        <x:v>542</x:v>
      </x:c>
      <x:c r="AE15" s="295" t="s">
        <x:v>74</x:v>
      </x:c>
      <x:c r="BA15" s="307"/>
      <x:c r="BB15" s="293"/>
      <x:c r="BC15" s="293"/>
      <x:c r="BD15" s="293"/>
      <x:c r="BE15" s="293"/>
      <x:c r="BF15" s="293"/>
      <x:c r="BG15" s="293"/>
      <x:c r="BH15" s="293"/>
      <x:c r="BI15" s="293"/>
      <x:c r="BJ15" s="293"/>
      <x:c r="BK15" s="293"/>
      <x:c r="BL15" s="293"/>
      <x:c r="BM15" s="293"/>
      <x:c r="BN15" s="293"/>
      <x:c r="BO15" s="293"/>
      <x:c r="BP15" s="293"/>
      <x:c r="BQ15" s="293"/>
      <x:c r="BR15" s="293"/>
      <x:c r="BS15" s="293"/>
      <x:c r="BT15" s="293"/>
      <x:c r="BU15" s="293"/>
      <x:c r="BV15" s="293"/>
      <x:c r="BW15" s="293"/>
      <x:c r="BX15" s="293"/>
      <x:c r="BY15" s="293"/>
      <x:c r="BZ15" s="293"/>
      <x:c r="CA15" s="293"/>
      <x:c r="CB15" s="293"/>
      <x:c r="CC15" s="293"/>
      <x:c r="CD15" s="293"/>
      <x:c r="CE15" s="293"/>
      <x:c r="CF15" s="292"/>
      <x:c r="CG15" s="473"/>
      <x:c r="CH15" s="473"/>
      <x:c r="CI15" s="473"/>
      <x:c r="CJ15" s="473"/>
      <x:c r="CK15" s="473"/>
      <x:c r="CL15" s="473"/>
      <x:c r="CM15" s="473"/>
      <x:c r="CN15" s="473"/>
      <x:c r="CO15" s="292"/>
      <x:c r="CP15" s="292"/>
      <x:c r="CQ15" s="292"/>
      <x:c r="CR15" s="292"/>
      <x:c r="CS15" s="1210"/>
      <x:c r="CT15" s="498"/>
      <x:c r="CU15" s="296"/>
      <x:c r="CV15" s="296"/>
      <x:c r="CW15" s="296"/>
      <x:c r="CX15" s="296"/>
      <x:c r="CY15" s="296"/>
      <x:c r="CZ15" s="296"/>
      <x:c r="DA15" s="296"/>
      <x:c r="DB15" s="296"/>
      <x:c r="DC15" s="296"/>
      <x:c r="DD15" s="296"/>
      <x:c r="DE15" s="296"/>
      <x:c r="DF15" s="296"/>
      <x:c r="DG15" s="296"/>
      <x:c r="DH15" s="296"/>
      <x:c r="DI15" s="499"/>
      <x:c r="DJ15" s="499"/>
      <x:c r="DK15" s="303"/>
      <x:c r="DL15" s="500"/>
      <x:c r="DM15" s="500"/>
      <x:c r="DN15" s="500"/>
      <x:c r="DO15" s="296"/>
      <x:c r="DP15" s="296"/>
      <x:c r="DQ15" s="296"/>
      <x:c r="DR15" s="296"/>
      <x:c r="DS15" s="296"/>
      <x:c r="DT15" s="499"/>
      <x:c r="DU15" s="499"/>
      <x:c r="DV15" s="499"/>
      <x:c r="DW15" s="499"/>
      <x:c r="DX15" s="296"/>
      <x:c r="DY15" s="303"/>
      <x:c r="DZ15" s="296"/>
      <x:c r="EA15" s="296"/>
      <x:c r="EB15" s="296"/>
      <x:c r="EC15" s="485"/>
      <x:c r="ED15" s="485"/>
      <x:c r="EE15" s="485"/>
      <x:c r="EF15" s="485"/>
      <x:c r="EG15" s="485"/>
      <x:c r="EH15" s="485"/>
      <x:c r="EI15" s="485"/>
      <x:c r="EJ15" s="485"/>
      <x:c r="EK15" s="499"/>
      <x:c r="EL15" s="499"/>
      <x:c r="EM15" s="499"/>
      <x:c r="EN15" s="499"/>
      <x:c r="EO15" s="499"/>
      <x:c r="EP15" s="485"/>
      <x:c r="EQ15" s="307"/>
      <x:c r="ES15" s="296"/>
      <x:c r="ET15" s="296"/>
      <x:c r="EU15" s="307"/>
      <x:c r="EV15" s="307"/>
      <x:c r="EW15" s="307"/>
      <x:c r="EZ15" s="303"/>
      <x:c r="FA15" s="303"/>
      <x:c r="FB15" s="296"/>
      <x:c r="FC15" s="296"/>
      <x:c r="FD15" s="296"/>
      <x:c r="FE15" s="296"/>
      <x:c r="FF15" s="296"/>
      <x:c r="FG15" s="296"/>
      <x:c r="FH15" s="296"/>
      <x:c r="FI15" s="296"/>
      <x:c r="FR15" s="613"/>
      <x:c r="GA15" s="473"/>
      <x:c r="GB15" s="473"/>
      <x:c r="GC15" s="473"/>
      <x:c r="GD15" s="473"/>
      <x:c r="GE15" s="473"/>
      <x:c r="GF15" s="473"/>
      <x:c r="GG15" s="473"/>
      <x:c r="GH15" s="473"/>
      <x:c r="GI15" s="473"/>
      <x:c r="GJ15" s="473"/>
    </x:row>
    <x:row r="16" spans="1:241" ht="12.6" customHeight="1" x14ac:dyDescent="0.2">
      <x:c r="A16" s="473"/>
      <x:c r="B16" s="473"/>
      <x:c r="C16" s="473"/>
      <x:c r="D16" s="473"/>
      <x:c r="E16" s="473"/>
      <x:c r="F16" s="473"/>
      <x:c r="G16" s="473"/>
      <x:c r="H16" s="473"/>
      <x:c r="I16" s="473"/>
      <x:c r="J16" s="473"/>
      <x:c r="K16" s="473"/>
      <x:c r="L16" s="473"/>
      <x:c r="M16" s="473"/>
      <x:c r="N16" s="473"/>
      <x:c r="O16" s="473"/>
      <x:c r="P16" s="473"/>
      <x:c r="Q16" s="473"/>
      <x:c r="R16" s="473"/>
      <x:c r="S16" s="473"/>
      <x:c r="T16" s="473"/>
      <x:c r="U16" s="473"/>
      <x:c r="V16" s="473"/>
      <x:c r="W16" s="473"/>
      <x:c r="X16" s="473"/>
      <x:c r="Y16" s="473"/>
      <x:c r="Z16" s="550" t="s">
        <x:v>6</x:v>
      </x:c>
      <x:c r="AA16" s="828">
        <x:f>AD16+AE41</x:f>
        <x:v>687</x:v>
      </x:c>
      <x:c r="AB16" s="496"/>
      <x:c r="AD16" s="497">
        <x:v>687</x:v>
      </x:c>
      <x:c r="AE16" s="295" t="s">
        <x:v>75</x:v>
      </x:c>
      <x:c r="BA16" s="307"/>
      <x:c r="BB16" s="293"/>
      <x:c r="BC16" s="293"/>
      <x:c r="BD16" s="293"/>
      <x:c r="BE16" s="1207">
        <x:v>4.5</x:v>
      </x:c>
      <x:c r="BF16" s="1207">
        <x:v>5.5</x:v>
      </x:c>
      <x:c r="BG16" s="1208">
        <x:v>5</x:v>
      </x:c>
      <x:c r="BH16" s="1208">
        <x:v>5</x:v>
      </x:c>
      <x:c r="BI16" s="1208">
        <x:v>5</x:v>
      </x:c>
      <x:c r="BJ16" s="1208">
        <x:v>3</x:v>
      </x:c>
      <x:c r="BK16" s="1208">
        <x:v>5</x:v>
      </x:c>
      <x:c r="BL16" s="1208">
        <x:v>5</x:v>
      </x:c>
      <x:c r="BM16" s="1208">
        <x:v>5</x:v>
      </x:c>
      <x:c r="BN16" s="1208">
        <x:v>6</x:v>
      </x:c>
      <x:c r="BO16" s="1208">
        <x:v>5</x:v>
      </x:c>
      <x:c r="BP16" s="1208">
        <x:v>5</x:v>
      </x:c>
      <x:c r="BQ16" s="1208">
        <x:v>5</x:v>
      </x:c>
      <x:c r="BR16" s="1208">
        <x:v>3</x:v>
      </x:c>
      <x:c r="BS16" s="1208">
        <x:v>5</x:v>
      </x:c>
      <x:c r="BT16" s="1208">
        <x:v>5</x:v>
      </x:c>
      <x:c r="BU16" s="1208">
        <x:v>5</x:v>
      </x:c>
      <x:c r="BV16" s="1208">
        <x:v>6</x:v>
      </x:c>
      <x:c r="BW16" s="1209"/>
      <x:c r="BX16" s="1207">
        <x:v>24</x:v>
      </x:c>
      <x:c r="BY16" s="1207">
        <x:v>24</x:v>
      </x:c>
      <x:c r="BZ16" s="293"/>
      <x:c r="CA16" s="293"/>
      <x:c r="CB16" s="997"/>
      <x:c r="CC16" s="293"/>
      <x:c r="CD16" s="293"/>
      <x:c r="CE16" s="293"/>
      <x:c r="CF16" s="292"/>
      <x:c r="CG16" s="473"/>
      <x:c r="CH16" s="473"/>
      <x:c r="CI16" s="473"/>
      <x:c r="CJ16" s="473"/>
      <x:c r="CK16" s="473"/>
      <x:c r="CL16" s="473"/>
      <x:c r="CM16" s="473"/>
      <x:c r="CN16" s="473"/>
      <x:c r="CO16" s="292"/>
      <x:c r="CP16" s="292"/>
      <x:c r="CQ16" s="292"/>
      <x:c r="CR16" s="1211"/>
      <x:c r="CS16" s="292"/>
      <x:c r="CT16" s="498"/>
      <x:c r="CU16" s="296"/>
      <x:c r="CV16" s="296"/>
      <x:c r="CW16" s="296"/>
      <x:c r="CX16" s="296"/>
      <x:c r="CY16" s="296"/>
      <x:c r="CZ16" s="296"/>
      <x:c r="DA16" s="296"/>
      <x:c r="DB16" s="296"/>
      <x:c r="DC16" s="296"/>
      <x:c r="DD16" s="296"/>
      <x:c r="DE16" s="296"/>
      <x:c r="DF16" s="296"/>
      <x:c r="DG16" s="296"/>
      <x:c r="DH16" s="296"/>
      <x:c r="DI16" s="296"/>
      <x:c r="DJ16" s="296"/>
      <x:c r="DK16" s="303"/>
      <x:c r="DL16" s="501"/>
      <x:c r="DM16" s="501"/>
      <x:c r="DN16" s="501"/>
      <x:c r="DO16" s="296"/>
      <x:c r="DP16" s="502"/>
      <x:c r="DQ16" s="502"/>
      <x:c r="DR16" s="502"/>
      <x:c r="DS16" s="502"/>
      <x:c r="DT16" s="296"/>
      <x:c r="DU16" s="296"/>
      <x:c r="DV16" s="296"/>
      <x:c r="DW16" s="296"/>
      <x:c r="DX16" s="296"/>
      <x:c r="DY16" s="296"/>
      <x:c r="DZ16" s="296"/>
      <x:c r="EA16" s="503"/>
      <x:c r="EB16" s="296"/>
      <x:c r="EC16" s="485"/>
      <x:c r="ED16" s="485"/>
      <x:c r="EE16" s="485"/>
      <x:c r="EF16" s="485"/>
      <x:c r="EG16" s="485"/>
      <x:c r="EH16" s="485"/>
      <x:c r="EI16" s="485"/>
      <x:c r="EJ16" s="485"/>
      <x:c r="EK16" s="499"/>
      <x:c r="EL16" s="499"/>
      <x:c r="EM16" s="499"/>
      <x:c r="EN16" s="499"/>
      <x:c r="EO16" s="499"/>
      <x:c r="EP16" s="485"/>
      <x:c r="EQ16" s="307"/>
      <x:c r="ES16" s="296"/>
      <x:c r="ET16" s="296"/>
      <x:c r="EU16" s="307"/>
      <x:c r="EV16" s="307"/>
      <x:c r="EW16" s="307"/>
      <x:c r="EZ16" s="303"/>
      <x:c r="FA16" s="303"/>
      <x:c r="FB16" s="296"/>
      <x:c r="FC16" s="296"/>
      <x:c r="FD16" s="296"/>
      <x:c r="FE16" s="296"/>
      <x:c r="FF16" s="296"/>
      <x:c r="FG16" s="296"/>
      <x:c r="FH16" s="296"/>
      <x:c r="FI16" s="296"/>
      <x:c r="FR16" s="612"/>
      <x:c r="GA16" s="473"/>
      <x:c r="GB16" s="473"/>
      <x:c r="GC16" s="473"/>
      <x:c r="GD16" s="473"/>
      <x:c r="GE16" s="473"/>
      <x:c r="GF16" s="473"/>
      <x:c r="GG16" s="473"/>
      <x:c r="GH16" s="473"/>
      <x:c r="GI16" s="473"/>
      <x:c r="GJ16" s="473"/>
    </x:row>
    <x:row r="17" spans="1:243" ht="12.6" customHeight="1" thickBot="1" x14ac:dyDescent="0.25">
      <x:c r="A17" s="473"/>
      <x:c r="B17" s="473"/>
      <x:c r="C17" s="473"/>
      <x:c r="D17" s="473"/>
      <x:c r="E17" s="473"/>
      <x:c r="F17" s="473"/>
      <x:c r="G17" s="473"/>
      <x:c r="H17" s="473"/>
      <x:c r="I17" s="473"/>
      <x:c r="J17" s="473"/>
      <x:c r="K17" s="473"/>
      <x:c r="L17" s="473"/>
      <x:c r="M17" s="473"/>
      <x:c r="N17" s="473"/>
      <x:c r="O17" s="473"/>
      <x:c r="P17" s="473"/>
      <x:c r="Q17" s="473"/>
      <x:c r="R17" s="473"/>
      <x:c r="S17" s="473"/>
      <x:c r="T17" s="473"/>
      <x:c r="U17" s="473"/>
      <x:c r="V17" s="473"/>
      <x:c r="W17" s="473"/>
      <x:c r="X17" s="473"/>
      <x:c r="Y17" s="473"/>
      <x:c r="Z17" s="550" t="s">
        <x:v>7</x:v>
      </x:c>
      <x:c r="AA17" s="828">
        <x:f>AD17+AF41</x:f>
        <x:v>2</x:v>
      </x:c>
      <x:c r="AB17" s="496"/>
      <x:c r="AD17" s="497">
        <x:v>2</x:v>
      </x:c>
      <x:c r="AE17" s="295" t="s">
        <x:v>76</x:v>
      </x:c>
      <x:c r="AP17" s="1294"/>
      <x:c r="BA17" s="307"/>
      <x:c r="BB17" s="1206"/>
      <x:c r="BC17" s="1206"/>
      <x:c r="BD17" s="1206"/>
      <x:c r="BE17" s="1208">
        <x:v>6</x:v>
      </x:c>
      <x:c r="BF17" s="1208">
        <x:v>6</x:v>
      </x:c>
      <x:c r="BG17" s="1208">
        <x:v>7</x:v>
      </x:c>
      <x:c r="BH17" s="1208">
        <x:v>6</x:v>
      </x:c>
      <x:c r="BI17" s="1208">
        <x:v>6</x:v>
      </x:c>
      <x:c r="BJ17" s="1208">
        <x:v>6</x:v>
      </x:c>
      <x:c r="BK17" s="1208">
        <x:v>6</x:v>
      </x:c>
      <x:c r="BL17" s="1208">
        <x:v>6</x:v>
      </x:c>
      <x:c r="BM17" s="1208">
        <x:v>7</x:v>
      </x:c>
      <x:c r="BN17" s="1208">
        <x:v>6</x:v>
      </x:c>
      <x:c r="BO17" s="1208">
        <x:v>7</x:v>
      </x:c>
      <x:c r="BP17" s="1208">
        <x:v>6</x:v>
      </x:c>
      <x:c r="BQ17" s="1208">
        <x:v>6</x:v>
      </x:c>
      <x:c r="BR17" s="1208">
        <x:v>6</x:v>
      </x:c>
      <x:c r="BS17" s="1208">
        <x:v>6</x:v>
      </x:c>
      <x:c r="BT17" s="1208">
        <x:v>6</x:v>
      </x:c>
      <x:c r="BU17" s="1208">
        <x:v>7</x:v>
      </x:c>
      <x:c r="BV17" s="1208">
        <x:v>6</x:v>
      </x:c>
      <x:c r="BW17" s="1208"/>
      <x:c r="BX17" s="1208">
        <x:v>13</x:v>
      </x:c>
      <x:c r="BY17" s="1208">
        <x:v>13</x:v>
      </x:c>
      <x:c r="BZ17" s="293"/>
      <x:c r="CA17" s="293"/>
      <x:c r="CB17" s="470"/>
      <x:c r="CC17" s="293"/>
      <x:c r="CD17" s="293"/>
      <x:c r="CE17" s="293"/>
      <x:c r="CF17" s="292"/>
      <x:c r="CG17" s="473"/>
      <x:c r="CH17" s="473"/>
      <x:c r="CI17" s="473"/>
      <x:c r="CJ17" s="473"/>
      <x:c r="CK17" s="473"/>
      <x:c r="CL17" s="473"/>
      <x:c r="CM17" s="473"/>
      <x:c r="CN17" s="473"/>
      <x:c r="CO17" s="292"/>
      <x:c r="CP17" s="292"/>
      <x:c r="CQ17" s="292"/>
      <x:c r="CR17" s="292"/>
      <x:c r="CS17" s="292"/>
      <x:c r="CT17" s="296"/>
      <x:c r="CU17" s="296"/>
      <x:c r="CV17" s="296"/>
      <x:c r="CW17" s="296"/>
      <x:c r="CX17" s="296"/>
      <x:c r="CY17" s="296"/>
      <x:c r="CZ17" s="296"/>
      <x:c r="DA17" s="296"/>
      <x:c r="DB17" s="296"/>
      <x:c r="DC17" s="296"/>
      <x:c r="DD17" s="296"/>
      <x:c r="DE17" s="296"/>
      <x:c r="DF17" s="296"/>
      <x:c r="DG17" s="296"/>
      <x:c r="DH17" s="296"/>
      <x:c r="DI17" s="296"/>
      <x:c r="DJ17" s="296"/>
      <x:c r="DK17" s="303"/>
      <x:c r="DN17" s="501"/>
      <x:c r="DO17" s="296"/>
      <x:c r="DP17" s="296"/>
      <x:c r="DQ17" s="296"/>
      <x:c r="DR17" s="296"/>
      <x:c r="DS17" s="296"/>
      <x:c r="DT17" s="499"/>
      <x:c r="DU17" s="499"/>
      <x:c r="DV17" s="499"/>
      <x:c r="DW17" s="499"/>
      <x:c r="DX17" s="296"/>
      <x:c r="DY17" s="303"/>
      <x:c r="DZ17" s="296"/>
      <x:c r="EA17" s="296"/>
      <x:c r="EB17" s="296"/>
      <x:c r="EC17" s="485"/>
      <x:c r="ED17" s="485"/>
      <x:c r="EE17" s="499"/>
      <x:c r="EF17" s="499"/>
      <x:c r="EG17" s="499"/>
      <x:c r="EH17" s="499"/>
      <x:c r="EI17" s="499"/>
      <x:c r="EJ17" s="499"/>
      <x:c r="EK17" s="499"/>
      <x:c r="EL17" s="499"/>
      <x:c r="EM17" s="499"/>
      <x:c r="EN17" s="499"/>
      <x:c r="EO17" s="499"/>
      <x:c r="EP17" s="499"/>
      <x:c r="EQ17" s="296"/>
      <x:c r="ER17" s="307"/>
      <x:c r="ES17" s="307"/>
      <x:c r="ET17" s="307"/>
      <x:c r="EU17" s="307"/>
      <x:c r="EV17" s="307"/>
      <x:c r="EW17" s="296"/>
      <x:c r="EX17" s="303"/>
      <x:c r="EY17" s="303"/>
      <x:c r="EZ17" s="303"/>
      <x:c r="FA17" s="303"/>
      <x:c r="FB17" s="296"/>
      <x:c r="FC17" s="296"/>
      <x:c r="FD17" s="296"/>
      <x:c r="FE17" s="296"/>
      <x:c r="FF17" s="296"/>
      <x:c r="FG17" s="296"/>
      <x:c r="FH17" s="296"/>
      <x:c r="FI17" s="296"/>
      <x:c r="GA17" s="473"/>
      <x:c r="GB17" s="473"/>
      <x:c r="GC17" s="473"/>
      <x:c r="GD17" s="473"/>
      <x:c r="GE17" s="473"/>
      <x:c r="GF17" s="473"/>
      <x:c r="GG17" s="473"/>
      <x:c r="GH17" s="473"/>
      <x:c r="GI17" s="473"/>
      <x:c r="GJ17" s="473"/>
      <x:c r="GZ17" s="2698"/>
    </x:row>
    <x:row r="18" spans="1:243" ht="12.6" customHeight="1" thickTop="1" thickBot="1" x14ac:dyDescent="0.25">
      <x:c r="A18" s="473"/>
      <x:c r="B18" s="473"/>
      <x:c r="C18" s="473"/>
      <x:c r="D18" s="473"/>
      <x:c r="E18" s="473"/>
      <x:c r="F18" s="473"/>
      <x:c r="G18" s="473"/>
      <x:c r="H18" s="473"/>
      <x:c r="I18" s="473"/>
      <x:c r="J18" s="473"/>
      <x:c r="K18" s="473"/>
      <x:c r="L18" s="473"/>
      <x:c r="M18" s="473"/>
      <x:c r="N18" s="473"/>
      <x:c r="O18" s="473"/>
      <x:c r="P18" s="473"/>
      <x:c r="Q18" s="473"/>
      <x:c r="R18" s="473"/>
      <x:c r="S18" s="473"/>
      <x:c r="T18" s="473"/>
      <x:c r="U18" s="473"/>
      <x:c r="V18" s="473"/>
      <x:c r="W18" s="473"/>
      <x:c r="X18" s="473"/>
      <x:c r="Y18" s="473"/>
      <x:c r="Z18" s="551" t="s">
        <x:v>8</x:v>
      </x:c>
      <x:c r="AA18" s="828">
        <x:f>AD18+AG41</x:f>
        <x:v>0</x:v>
      </x:c>
      <x:c r="AD18" s="497">
        <x:v>0</x:v>
      </x:c>
      <x:c r="AE18" s="295" t="s">
        <x:v>77</x:v>
      </x:c>
      <x:c r="BA18" s="672" t="s">
        <x:v>117</x:v>
      </x:c>
      <x:c r="BB18" s="2811" t="s">
        <x:v>632</x:v>
      </x:c>
      <x:c r="BC18" s="2812"/>
      <x:c r="BD18" s="2812"/>
      <x:c r="BE18" s="2812"/>
      <x:c r="BF18" s="2812"/>
      <x:c r="BG18" s="2812"/>
      <x:c r="BH18" s="2812"/>
      <x:c r="BI18" s="2812"/>
      <x:c r="BJ18" s="2812"/>
      <x:c r="BK18" s="2812"/>
      <x:c r="BL18" s="2812"/>
      <x:c r="BM18" s="2812"/>
      <x:c r="BN18" s="2812"/>
      <x:c r="BO18" s="2812"/>
      <x:c r="BP18" s="2812"/>
      <x:c r="BQ18" s="2812"/>
      <x:c r="BR18" s="2812"/>
      <x:c r="BS18" s="2812"/>
      <x:c r="BT18" s="2812"/>
      <x:c r="BU18" s="2812"/>
      <x:c r="BV18" s="2813"/>
      <x:c r="BW18" s="2813"/>
      <x:c r="BX18" s="2813"/>
      <x:c r="BY18" s="2814"/>
      <x:c r="BZ18" s="473"/>
      <x:c r="CA18" s="473"/>
      <x:c r="CB18" s="470" t="s">
        <x:v>719</x:v>
      </x:c>
      <x:c r="CC18" s="2789"/>
      <x:c r="CD18" s="2430"/>
      <x:c r="CE18" s="2430"/>
      <x:c r="CF18" s="2430"/>
      <x:c r="CG18" s="473"/>
      <x:c r="CH18" s="292"/>
      <x:c r="CI18" s="292"/>
      <x:c r="CJ18" s="292"/>
      <x:c r="CK18" s="292"/>
      <x:c r="CL18" s="292"/>
      <x:c r="CM18" s="1146"/>
      <x:c r="CN18" s="292"/>
      <x:c r="CO18" s="292"/>
      <x:c r="CP18" s="292"/>
      <x:c r="CQ18" s="292"/>
      <x:c r="CR18" s="292"/>
      <x:c r="CS18" s="292"/>
      <x:c r="CT18" s="296"/>
      <x:c r="CU18" s="296"/>
      <x:c r="CV18" s="296"/>
      <x:c r="CW18" s="296"/>
      <x:c r="CX18" s="296"/>
      <x:c r="CY18" s="296"/>
      <x:c r="CZ18" s="296"/>
      <x:c r="DA18" s="296"/>
      <x:c r="DB18" s="296"/>
      <x:c r="DC18" s="296"/>
      <x:c r="DD18" s="296"/>
      <x:c r="DE18" s="296"/>
      <x:c r="DF18" s="296"/>
      <x:c r="DG18" s="296"/>
      <x:c r="DH18" s="296"/>
      <x:c r="DI18" s="296"/>
      <x:c r="DJ18" s="296"/>
      <x:c r="DK18" s="303"/>
      <x:c r="DL18" s="296"/>
      <x:c r="DM18" s="296"/>
      <x:c r="DN18" s="296"/>
      <x:c r="DO18" s="296"/>
      <x:c r="DP18" s="502"/>
      <x:c r="DQ18" s="502"/>
      <x:c r="DR18" s="502"/>
      <x:c r="DS18" s="502"/>
      <x:c r="DT18" s="618"/>
      <x:c r="DU18" s="296"/>
      <x:c r="DV18" s="296"/>
      <x:c r="DW18" s="296"/>
      <x:c r="DX18" s="296"/>
      <x:c r="DY18" s="296"/>
      <x:c r="DZ18" s="296"/>
      <x:c r="EA18" s="503"/>
      <x:c r="EB18" s="504"/>
      <x:c r="EC18" s="504"/>
      <x:c r="ED18" s="504"/>
      <x:c r="EE18" s="504"/>
      <x:c r="EF18" s="499"/>
      <x:c r="EG18" s="296"/>
      <x:c r="EH18" s="296"/>
      <x:c r="EI18" s="296"/>
      <x:c r="EJ18" s="296"/>
      <x:c r="EK18" s="296"/>
      <x:c r="EL18" s="296"/>
      <x:c r="EM18" s="296"/>
      <x:c r="EN18" s="296"/>
      <x:c r="EO18" s="296"/>
      <x:c r="EP18" s="296"/>
      <x:c r="EQ18" s="296"/>
      <x:c r="ER18" s="296"/>
      <x:c r="ES18" s="296"/>
      <x:c r="ET18" s="296"/>
      <x:c r="EU18" s="303"/>
      <x:c r="EV18" s="303"/>
      <x:c r="EW18" s="303"/>
      <x:c r="EX18" s="303"/>
      <x:c r="EY18" s="296"/>
      <x:c r="EZ18" s="296"/>
      <x:c r="FA18" s="296"/>
      <x:c r="FB18" s="296"/>
      <x:c r="FC18" s="296"/>
      <x:c r="FD18" s="296"/>
      <x:c r="FE18" s="296"/>
      <x:c r="FF18" s="296"/>
      <x:c r="FG18" s="296"/>
      <x:c r="FR18" s="504"/>
      <x:c r="FS18" s="504"/>
      <x:c r="FW18" s="504"/>
      <x:c r="FX18" s="504"/>
      <x:c r="GA18" s="473"/>
      <x:c r="GB18" s="473"/>
      <x:c r="GC18" s="473"/>
      <x:c r="GD18" s="473"/>
      <x:c r="GE18" s="473"/>
      <x:c r="GF18" s="473"/>
      <x:c r="GG18" s="473"/>
      <x:c r="GH18" s="473"/>
      <x:c r="GI18" s="473"/>
      <x:c r="GJ18" s="473"/>
      <x:c r="GZ18" s="2699"/>
      <x:c r="HA18" s="315">
        <x:v>1</x:v>
      </x:c>
      <x:c r="HB18" s="315">
        <x:f>HA18+1</x:f>
        <x:v>2</x:v>
      </x:c>
      <x:c r="HC18" s="315">
        <x:f t="shared" ref="HC18:IB18" si="0">HB18+1</x:f>
        <x:v>3</x:v>
      </x:c>
      <x:c r="HD18" s="315">
        <x:f t="shared" si="0"/>
        <x:v>4</x:v>
      </x:c>
      <x:c r="HE18" s="315">
        <x:f t="shared" si="0"/>
        <x:v>5</x:v>
      </x:c>
      <x:c r="HF18" s="315">
        <x:f t="shared" si="0"/>
        <x:v>6</x:v>
      </x:c>
      <x:c r="HG18" s="315">
        <x:f t="shared" si="0"/>
        <x:v>7</x:v>
      </x:c>
      <x:c r="HH18" s="315">
        <x:f t="shared" si="0"/>
        <x:v>8</x:v>
      </x:c>
      <x:c r="HI18" s="315">
        <x:f t="shared" si="0"/>
        <x:v>9</x:v>
      </x:c>
      <x:c r="HJ18" s="315">
        <x:f t="shared" si="0"/>
        <x:v>10</x:v>
      </x:c>
      <x:c r="HK18" s="315">
        <x:f t="shared" si="0"/>
        <x:v>11</x:v>
      </x:c>
      <x:c r="HL18" s="315">
        <x:f t="shared" si="0"/>
        <x:v>12</x:v>
      </x:c>
      <x:c r="HM18" s="315">
        <x:f t="shared" si="0"/>
        <x:v>13</x:v>
      </x:c>
      <x:c r="HN18" s="315">
        <x:f t="shared" si="0"/>
        <x:v>14</x:v>
      </x:c>
      <x:c r="HO18" s="315">
        <x:f t="shared" si="0"/>
        <x:v>15</x:v>
      </x:c>
      <x:c r="HP18" s="315">
        <x:f t="shared" si="0"/>
        <x:v>16</x:v>
      </x:c>
      <x:c r="HQ18" s="315">
        <x:f t="shared" si="0"/>
        <x:v>17</x:v>
      </x:c>
      <x:c r="HR18" s="315">
        <x:f t="shared" si="0"/>
        <x:v>18</x:v>
      </x:c>
      <x:c r="HS18" s="315">
        <x:f t="shared" si="0"/>
        <x:v>19</x:v>
      </x:c>
      <x:c r="HT18" s="315">
        <x:f t="shared" si="0"/>
        <x:v>20</x:v>
      </x:c>
      <x:c r="HU18" s="315">
        <x:f t="shared" si="0"/>
        <x:v>21</x:v>
      </x:c>
      <x:c r="HV18" s="315">
        <x:f t="shared" si="0"/>
        <x:v>22</x:v>
      </x:c>
      <x:c r="HW18" s="315">
        <x:f t="shared" si="0"/>
        <x:v>23</x:v>
      </x:c>
      <x:c r="HX18" s="315">
        <x:f t="shared" si="0"/>
        <x:v>24</x:v>
      </x:c>
      <x:c r="HY18" s="315">
        <x:f t="shared" si="0"/>
        <x:v>25</x:v>
      </x:c>
      <x:c r="HZ18" s="315">
        <x:f t="shared" si="0"/>
        <x:v>26</x:v>
      </x:c>
      <x:c r="IA18" s="315">
        <x:f t="shared" si="0"/>
        <x:v>27</x:v>
      </x:c>
      <x:c r="IB18" s="315">
        <x:f t="shared" si="0"/>
        <x:v>28</x:v>
      </x:c>
      <x:c r="IC18" s="315">
        <x:f>IB18+1</x:f>
        <x:v>29</x:v>
      </x:c>
      <x:c r="ID18" s="315">
        <x:f>IC18+1</x:f>
        <x:v>30</x:v>
      </x:c>
      <x:c r="IE18" s="315">
        <x:f>ID18+1</x:f>
        <x:v>31</x:v>
      </x:c>
      <x:c r="IF18" s="315">
        <x:f>IE18+1</x:f>
        <x:v>32</x:v>
      </x:c>
    </x:row>
    <x:row r="19" spans="1:243" ht="12.6" customHeight="1" thickTop="1" thickBot="1" x14ac:dyDescent="0.25">
      <x:c r="A19" s="473"/>
      <x:c r="B19" s="473"/>
      <x:c r="C19" s="473"/>
      <x:c r="D19" s="473"/>
      <x:c r="E19" s="473"/>
      <x:c r="F19" s="473"/>
      <x:c r="G19" s="473"/>
      <x:c r="H19" s="473"/>
      <x:c r="I19" s="473"/>
      <x:c r="J19" s="473"/>
      <x:c r="K19" s="473"/>
      <x:c r="L19" s="473"/>
      <x:c r="M19" s="473"/>
      <x:c r="N19" s="473"/>
      <x:c r="O19" s="473"/>
      <x:c r="P19" s="473"/>
      <x:c r="Q19" s="473"/>
      <x:c r="R19" s="473"/>
      <x:c r="S19" s="473"/>
      <x:c r="T19" s="473"/>
      <x:c r="U19" s="473"/>
      <x:c r="V19" s="473"/>
      <x:c r="W19" s="473"/>
      <x:c r="X19" s="473"/>
      <x:c r="Y19" s="473"/>
      <x:c r="Z19" s="551" t="s">
        <x:v>116</x:v>
      </x:c>
      <x:c r="AA19" s="828">
        <x:f>AD19+AH41</x:f>
        <x:v>0</x:v>
      </x:c>
      <x:c r="AD19" s="497">
        <x:v>0</x:v>
      </x:c>
      <x:c r="AE19" s="295" t="s">
        <x:v>115</x:v>
      </x:c>
      <x:c r="BA19" s="673"/>
      <x:c r="BB19" s="2815"/>
      <x:c r="BC19" s="2816"/>
      <x:c r="BD19" s="2816"/>
      <x:c r="BE19" s="2816"/>
      <x:c r="BF19" s="2816"/>
      <x:c r="BG19" s="2817"/>
      <x:c r="BH19" s="2817"/>
      <x:c r="BI19" s="2817"/>
      <x:c r="BJ19" s="2817"/>
      <x:c r="BK19" s="2817"/>
      <x:c r="BL19" s="2817"/>
      <x:c r="BM19" s="2817"/>
      <x:c r="BN19" s="2817"/>
      <x:c r="BO19" s="2817"/>
      <x:c r="BP19" s="2817"/>
      <x:c r="BQ19" s="2817"/>
      <x:c r="BR19" s="2817"/>
      <x:c r="BS19" s="2817"/>
      <x:c r="BT19" s="2817"/>
      <x:c r="BU19" s="2817"/>
      <x:c r="BV19" s="2818"/>
      <x:c r="BW19" s="2819"/>
      <x:c r="BX19" s="2818"/>
      <x:c r="BY19" s="2820"/>
      <x:c r="BZ19" s="2633" t="s">
        <x:v>1104</x:v>
      </x:c>
      <x:c r="CA19" s="2634"/>
      <x:c r="CB19" s="474" t="s">
        <x:v>698</x:v>
      </x:c>
      <x:c r="CC19" s="1390"/>
      <x:c r="CD19" s="293"/>
      <x:c r="CE19" s="293"/>
      <x:c r="CF19" s="292"/>
      <x:c r="CG19" s="473"/>
      <x:c r="CH19" s="473"/>
      <x:c r="CI19" s="473"/>
      <x:c r="CJ19" s="473"/>
      <x:c r="CK19" s="473"/>
      <x:c r="CL19" s="444"/>
      <x:c r="CM19" s="1191"/>
      <x:c r="CN19" s="2824" t="s">
        <x:v>720</x:v>
      </x:c>
      <x:c r="CO19" s="2825"/>
      <x:c r="CP19" s="2471" t="s">
        <x:v>655</x:v>
      </x:c>
      <x:c r="CQ19" s="2806"/>
      <x:c r="CR19" s="2608" t="s">
        <x:v>519</x:v>
      </x:c>
      <x:c r="CS19" s="2765" t="s">
        <x:v>520</x:v>
      </x:c>
      <x:c r="CU19" s="296"/>
      <x:c r="CV19" s="296"/>
      <x:c r="CW19" s="296"/>
      <x:c r="CX19" s="296"/>
      <x:c r="CY19" s="296"/>
      <x:c r="CZ19" s="296"/>
      <x:c r="DA19" s="296"/>
      <x:c r="DB19" s="296"/>
      <x:c r="DC19" s="296"/>
      <x:c r="DD19" s="296"/>
      <x:c r="DE19" s="296"/>
      <x:c r="DF19" s="296"/>
      <x:c r="DG19" s="296"/>
      <x:c r="DH19" s="296"/>
      <x:c r="DI19" s="296"/>
      <x:c r="DJ19" s="296"/>
      <x:c r="DK19" s="296"/>
      <x:c r="DL19" s="296"/>
      <x:c r="DM19" s="296"/>
      <x:c r="DN19" s="296"/>
      <x:c r="DO19" s="303"/>
      <x:c r="DQ19" s="501"/>
      <x:c r="DR19" s="296"/>
      <x:c r="DS19" s="296"/>
      <x:c r="DT19" s="296"/>
      <x:c r="DU19" s="296"/>
      <x:c r="DV19" s="296"/>
      <x:c r="DW19" s="499"/>
      <x:c r="DX19" s="499"/>
      <x:c r="DY19" s="499"/>
      <x:c r="DZ19" s="499"/>
      <x:c r="EA19" s="296"/>
      <x:c r="EB19" s="303"/>
      <x:c r="EC19" s="296"/>
      <x:c r="ED19" s="296"/>
      <x:c r="EE19" s="296"/>
      <x:c r="EF19" s="296"/>
      <x:c r="EG19" s="296"/>
      <x:c r="EH19" s="296"/>
      <x:c r="EI19" s="296"/>
      <x:c r="EJ19" s="296"/>
      <x:c r="EK19" s="296"/>
      <x:c r="EL19" s="296"/>
      <x:c r="EM19" s="296"/>
      <x:c r="EN19" s="296"/>
      <x:c r="EO19" s="296"/>
      <x:c r="EP19" s="296"/>
      <x:c r="EQ19" s="296"/>
      <x:c r="ER19" s="296"/>
      <x:c r="ES19" s="296"/>
      <x:c r="ET19" s="296"/>
      <x:c r="EU19" s="307"/>
      <x:c r="EV19" s="2755" t="s">
        <x:v>621</x:v>
      </x:c>
      <x:c r="EW19" s="2749" t="s">
        <x:v>509</x:v>
      </x:c>
      <x:c r="EX19" s="2753" t="s">
        <x:v>562</x:v>
      </x:c>
      <x:c r="EY19" s="2753" t="s">
        <x:v>563</x:v>
      </x:c>
      <x:c r="EZ19" s="2753" t="s">
        <x:v>564</x:v>
      </x:c>
      <x:c r="FA19" s="2753" t="s">
        <x:v>565</x:v>
      </x:c>
      <x:c r="FB19" s="2753" t="s">
        <x:v>566</x:v>
      </x:c>
      <x:c r="FC19" s="2753" t="s">
        <x:v>567</x:v>
      </x:c>
      <x:c r="FD19" s="2753" t="s">
        <x:v>568</x:v>
      </x:c>
      <x:c r="FE19" s="2753" t="s">
        <x:v>510</x:v>
      </x:c>
      <x:c r="FF19" s="2753" t="s">
        <x:v>569</x:v>
      </x:c>
      <x:c r="FG19" s="2753" t="s">
        <x:v>623</x:v>
      </x:c>
      <x:c r="FH19" s="2753" t="s">
        <x:v>511</x:v>
      </x:c>
      <x:c r="FI19" s="2753" t="s">
        <x:v>570</x:v>
      </x:c>
      <x:c r="FJ19" s="2753" t="s">
        <x:v>512</x:v>
      </x:c>
      <x:c r="FK19" s="2753" t="s">
        <x:v>571</x:v>
      </x:c>
      <x:c r="FL19" s="2753" t="s">
        <x:v>624</x:v>
      </x:c>
      <x:c r="FM19" s="2753" t="s">
        <x:v>513</x:v>
      </x:c>
      <x:c r="FN19" s="2753" t="s">
        <x:v>514</x:v>
      </x:c>
      <x:c r="FQ19" s="2777" t="s">
        <x:v>697</x:v>
      </x:c>
      <x:c r="FR19" s="2778"/>
      <x:c r="GA19" s="473"/>
      <x:c r="GB19" s="473"/>
      <x:c r="GC19" s="473"/>
      <x:c r="GD19" s="473"/>
      <x:c r="GE19" s="473"/>
      <x:c r="GF19" s="473"/>
      <x:c r="GG19" s="473"/>
      <x:c r="GH19" s="473"/>
      <x:c r="GI19" s="473"/>
      <x:c r="GJ19" s="473"/>
      <x:c r="HA19" s="2836" t="s">
        <x:v>661</x:v>
      </x:c>
      <x:c r="HB19" s="2837"/>
      <x:c r="HC19" s="2837"/>
      <x:c r="HD19" s="2837"/>
      <x:c r="HE19" s="2837"/>
      <x:c r="HF19" s="2837"/>
      <x:c r="HG19" s="2837"/>
      <x:c r="HH19" s="2837"/>
      <x:c r="HI19" s="2837"/>
      <x:c r="HJ19" s="2837"/>
      <x:c r="HK19" s="2837"/>
      <x:c r="HL19" s="2837"/>
      <x:c r="HM19" s="2837"/>
      <x:c r="HN19" s="2837"/>
      <x:c r="HO19" s="2837"/>
      <x:c r="HP19" s="2837"/>
      <x:c r="HQ19" s="2837"/>
      <x:c r="HR19" s="2837"/>
      <x:c r="HS19" s="2837"/>
      <x:c r="HT19" s="2837"/>
      <x:c r="HU19" s="2837"/>
      <x:c r="HV19" s="2838"/>
      <x:c r="HW19" s="2838"/>
      <x:c r="HX19" s="2838"/>
      <x:c r="HY19" s="2839"/>
      <x:c r="HZ19" s="2839"/>
      <x:c r="IA19" s="2839"/>
      <x:c r="IB19" s="2839"/>
      <x:c r="IC19" s="2839"/>
      <x:c r="ID19" s="2839"/>
      <x:c r="IE19" s="2839"/>
      <x:c r="IF19" s="2840"/>
    </x:row>
    <x:row r="20" spans="1:243" ht="12.6" customHeight="1" thickTop="1" thickBot="1" x14ac:dyDescent="0.25">
      <x:c r="A20" s="505"/>
      <x:c r="B20" s="505"/>
      <x:c r="C20" s="505"/>
      <x:c r="D20" s="506"/>
      <x:c r="E20" s="506"/>
      <x:c r="F20" s="506"/>
      <x:c r="G20" s="506"/>
      <x:c r="H20" s="506"/>
      <x:c r="I20" s="506"/>
      <x:c r="J20" s="506"/>
      <x:c r="K20" s="506"/>
      <x:c r="L20" s="506"/>
      <x:c r="M20" s="506"/>
      <x:c r="N20" s="506"/>
      <x:c r="O20" s="506"/>
      <x:c r="P20" s="506"/>
      <x:c r="Q20" s="506"/>
      <x:c r="R20" s="506"/>
      <x:c r="S20" s="506"/>
      <x:c r="T20" s="506"/>
      <x:c r="U20" s="506"/>
      <x:c r="V20" s="506"/>
      <x:c r="W20" s="473"/>
      <x:c r="X20" s="473"/>
      <x:c r="Y20" s="473"/>
      <x:c r="Z20" s="473"/>
      <x:c r="AA20" s="473"/>
      <x:c r="AU20" s="2314" t="s">
        <x:v>487</x:v>
      </x:c>
      <x:c r="AV20" s="2777" t="s">
        <x:v>488</x:v>
      </x:c>
      <x:c r="AW20" s="2778"/>
      <x:c r="AX20" s="555"/>
      <x:c r="BA20" s="507"/>
      <x:c r="BB20" s="619"/>
      <x:c r="BC20" s="620"/>
      <x:c r="BD20" s="620"/>
      <x:c r="BE20" s="620"/>
      <x:c r="BF20" s="621"/>
      <x:c r="BG20" s="2758" t="s">
        <x:v>506</x:v>
      </x:c>
      <x:c r="BH20" s="2759"/>
      <x:c r="BI20" s="2759"/>
      <x:c r="BJ20" s="2759"/>
      <x:c r="BK20" s="2759"/>
      <x:c r="BL20" s="2760"/>
      <x:c r="BM20" s="2761"/>
      <x:c r="BN20" s="2762"/>
      <x:c r="BO20" s="2758" t="s">
        <x:v>507</x:v>
      </x:c>
      <x:c r="BP20" s="2760"/>
      <x:c r="BQ20" s="2760"/>
      <x:c r="BR20" s="2760"/>
      <x:c r="BS20" s="2760"/>
      <x:c r="BT20" s="2760"/>
      <x:c r="BU20" s="2761"/>
      <x:c r="BV20" s="2762"/>
      <x:c r="BW20" s="2786" t="s">
        <x:v>846</x:v>
      </x:c>
      <x:c r="BX20" s="2828"/>
      <x:c r="BY20" s="2829"/>
      <x:c r="BZ20" s="2567"/>
      <x:c r="CA20" s="2569"/>
      <x:c r="CB20" s="473"/>
      <x:c r="CC20" s="473"/>
      <x:c r="CD20" s="293"/>
      <x:c r="CE20" s="293"/>
      <x:c r="CF20" s="292"/>
      <x:c r="CG20" s="473"/>
      <x:c r="CH20" s="473"/>
      <x:c r="CI20" s="473"/>
      <x:c r="CJ20" s="473"/>
      <x:c r="CK20" s="473"/>
      <x:c r="CL20" s="1192"/>
      <x:c r="CM20" s="1193"/>
      <x:c r="CN20" s="2826"/>
      <x:c r="CO20" s="2827"/>
      <x:c r="CP20" s="2807"/>
      <x:c r="CQ20" s="2808"/>
      <x:c r="CR20" s="2763"/>
      <x:c r="CS20" s="2766"/>
      <x:c r="CU20" s="2731" t="s">
        <x:v>508</x:v>
      </x:c>
      <x:c r="CV20" s="2732"/>
      <x:c r="CW20" s="2732"/>
      <x:c r="CX20" s="2732"/>
      <x:c r="CY20" s="2732"/>
      <x:c r="CZ20" s="2732"/>
      <x:c r="DA20" s="2732"/>
      <x:c r="DB20" s="2732"/>
      <x:c r="DC20" s="2732"/>
      <x:c r="DD20" s="2733"/>
      <x:c r="DE20" s="2731" t="s">
        <x:v>507</x:v>
      </x:c>
      <x:c r="DF20" s="2732"/>
      <x:c r="DG20" s="2732"/>
      <x:c r="DH20" s="2732"/>
      <x:c r="DI20" s="2732"/>
      <x:c r="DJ20" s="2732"/>
      <x:c r="DK20" s="2732"/>
      <x:c r="DL20" s="2732"/>
      <x:c r="DM20" s="2732"/>
      <x:c r="DN20" s="2733"/>
      <x:c r="DQ20" s="508"/>
      <x:c r="DR20" s="296"/>
      <x:c r="DS20" s="502"/>
      <x:c r="DT20" s="502"/>
      <x:c r="DU20" s="502"/>
      <x:c r="DV20" s="502"/>
      <x:c r="DW20" s="296"/>
      <x:c r="DX20" s="296"/>
      <x:c r="DY20" s="296"/>
      <x:c r="DZ20" s="296"/>
      <x:c r="EA20" s="296"/>
      <x:c r="EB20" s="296"/>
      <x:c r="EC20" s="296"/>
      <x:c r="ED20" s="503"/>
      <x:c r="EE20" s="508"/>
      <x:c r="EF20" s="508"/>
      <x:c r="EG20" s="508"/>
      <x:c r="EH20" s="508"/>
      <x:c r="EI20" s="508"/>
      <x:c r="EJ20" s="508"/>
      <x:c r="EK20" s="508"/>
      <x:c r="EL20" s="508"/>
      <x:c r="EM20" s="508"/>
      <x:c r="EN20" s="508"/>
      <x:c r="EO20" s="508"/>
      <x:c r="EP20" s="508"/>
      <x:c r="EQ20" s="508"/>
      <x:c r="ER20" s="508"/>
      <x:c r="ES20" s="508"/>
      <x:c r="ET20" s="508"/>
      <x:c r="EU20" s="509"/>
      <x:c r="EV20" s="2756"/>
      <x:c r="EW20" s="2750"/>
      <x:c r="EX20" s="2754"/>
      <x:c r="EY20" s="2754"/>
      <x:c r="EZ20" s="2800"/>
      <x:c r="FA20" s="2754"/>
      <x:c r="FB20" s="2754"/>
      <x:c r="FC20" s="2754"/>
      <x:c r="FD20" s="2801"/>
      <x:c r="FE20" s="2801"/>
      <x:c r="FF20" s="2801"/>
      <x:c r="FG20" s="2801"/>
      <x:c r="FH20" s="2801"/>
      <x:c r="FI20" s="2801"/>
      <x:c r="FJ20" s="2801"/>
      <x:c r="FK20" s="2801"/>
      <x:c r="FL20" s="2801"/>
      <x:c r="FM20" s="2801"/>
      <x:c r="FN20" s="2801"/>
      <x:c r="FQ20" s="2779"/>
      <x:c r="FR20" s="2780"/>
      <x:c r="GA20" s="2706" t="s">
        <x:v>1188</x:v>
      </x:c>
      <x:c r="GB20" s="2706"/>
      <x:c r="GC20" s="2706"/>
      <x:c r="GD20" s="2706"/>
      <x:c r="GE20" s="2706"/>
      <x:c r="GF20" s="2706"/>
      <x:c r="GG20" s="2657"/>
      <x:c r="GH20" s="2657"/>
      <x:c r="GI20" s="2657"/>
      <x:c r="GJ20" s="2657"/>
      <x:c r="GZ20" s="2698"/>
      <x:c r="HA20" s="2841"/>
      <x:c r="HB20" s="2842"/>
      <x:c r="HC20" s="2842"/>
      <x:c r="HD20" s="2842"/>
      <x:c r="HE20" s="2842"/>
      <x:c r="HF20" s="2842"/>
      <x:c r="HG20" s="2842"/>
      <x:c r="HH20" s="2842"/>
      <x:c r="HI20" s="2842"/>
      <x:c r="HJ20" s="2842"/>
      <x:c r="HK20" s="2842"/>
      <x:c r="HL20" s="2842"/>
      <x:c r="HM20" s="2842"/>
      <x:c r="HN20" s="2842"/>
      <x:c r="HO20" s="2842"/>
      <x:c r="HP20" s="2842"/>
      <x:c r="HQ20" s="2842"/>
      <x:c r="HR20" s="2842"/>
      <x:c r="HS20" s="2842"/>
      <x:c r="HT20" s="2842"/>
      <x:c r="HU20" s="2842"/>
      <x:c r="HV20" s="2843"/>
      <x:c r="HW20" s="2843"/>
      <x:c r="HX20" s="2843"/>
      <x:c r="HY20" s="2844"/>
      <x:c r="HZ20" s="2844"/>
      <x:c r="IA20" s="2844"/>
      <x:c r="IB20" s="2844"/>
      <x:c r="IC20" s="2844"/>
      <x:c r="ID20" s="2844"/>
      <x:c r="IE20" s="2844"/>
      <x:c r="IF20" s="2845"/>
    </x:row>
    <x:row r="21" spans="1:243" s="1844" customFormat="1" ht="12.6" customHeight="1" thickTop="1" thickBot="1" x14ac:dyDescent="0.25">
      <x:c r="A21" s="2795" t="s">
        <x:v>40</x:v>
      </x:c>
      <x:c r="B21" s="2791" t="s">
        <x:v>28</x:v>
      </x:c>
      <x:c r="C21" s="2791" t="s">
        <x:v>24</x:v>
      </x:c>
      <x:c r="D21" s="2791" t="s">
        <x:v>25</x:v>
      </x:c>
      <x:c r="E21" s="2792"/>
      <x:c r="F21" s="2344" t="s">
        <x:v>9</x:v>
      </x:c>
      <x:c r="G21" s="2443"/>
      <x:c r="H21" s="2443"/>
      <x:c r="I21" s="2443" t="s">
        <x:v>10</x:v>
      </x:c>
      <x:c r="J21" s="2443"/>
      <x:c r="K21" s="2342"/>
      <x:c r="L21" s="2442" t="s">
        <x:v>11</x:v>
      </x:c>
      <x:c r="M21" s="2444"/>
      <x:c r="N21" s="2344" t="s">
        <x:v>12</x:v>
      </x:c>
      <x:c r="O21" s="2443"/>
      <x:c r="P21" s="2443"/>
      <x:c r="Q21" s="2443" t="s">
        <x:v>13</x:v>
      </x:c>
      <x:c r="R21" s="2443"/>
      <x:c r="S21" s="2444"/>
      <x:c r="T21" s="2344" t="s">
        <x:v>14</x:v>
      </x:c>
      <x:c r="U21" s="2443"/>
      <x:c r="V21" s="2443"/>
      <x:c r="W21" s="2443"/>
      <x:c r="X21" s="2342"/>
      <x:c r="Y21" s="2437" t="s">
        <x:v>112</x:v>
      </x:c>
      <x:c r="Z21" s="2438"/>
      <x:c r="AA21" s="1373" t="s">
        <x:v>15</x:v>
      </x:c>
      <x:c r="AU21" s="2315"/>
      <x:c r="AV21" s="2779"/>
      <x:c r="AW21" s="2780"/>
      <x:c r="AX21" s="600"/>
      <x:c r="AZ21" s="2797" t="s">
        <x:v>1105</x:v>
      </x:c>
      <x:c r="BA21" s="490"/>
      <x:c r="BB21" s="2832" t="s">
        <x:v>576</x:v>
      </x:c>
      <x:c r="BC21" s="2783" t="s">
        <x:v>131</x:v>
      </x:c>
      <x:c r="BD21" s="2774" t="s">
        <x:v>577</x:v>
      </x:c>
      <x:c r="BE21" s="2693" t="s">
        <x:v>578</x:v>
      </x:c>
      <x:c r="BF21" s="2821"/>
      <x:c r="BG21" s="2616" t="s">
        <x:v>579</x:v>
      </x:c>
      <x:c r="BH21" s="2618" t="s">
        <x:v>845</x:v>
      </x:c>
      <x:c r="BI21" s="2619"/>
      <x:c r="BJ21" s="2772" t="s">
        <x:v>580</x:v>
      </x:c>
      <x:c r="BK21" s="2774" t="s">
        <x:v>1118</x:v>
      </x:c>
      <x:c r="BL21" s="2619"/>
      <x:c r="BM21" s="2484" t="s">
        <x:v>525</x:v>
      </x:c>
      <x:c r="BN21" s="2784" t="s">
        <x:v>835</x:v>
      </x:c>
      <x:c r="BO21" s="2616" t="s">
        <x:v>579</x:v>
      </x:c>
      <x:c r="BP21" s="2618" t="s">
        <x:v>845</x:v>
      </x:c>
      <x:c r="BQ21" s="2619"/>
      <x:c r="BR21" s="2772" t="s">
        <x:v>580</x:v>
      </x:c>
      <x:c r="BS21" s="2774" t="s">
        <x:v>1118</x:v>
      </x:c>
      <x:c r="BT21" s="2619"/>
      <x:c r="BU21" s="2484" t="s">
        <x:v>525</x:v>
      </x:c>
      <x:c r="BV21" s="2626" t="s">
        <x:v>835</x:v>
      </x:c>
      <x:c r="BW21" s="2787"/>
      <x:c r="BX21" s="2830"/>
      <x:c r="BY21" s="2831"/>
      <x:c r="BZ21" s="2635" t="s">
        <x:v>677</x:v>
      </x:c>
      <x:c r="CA21" s="2637" t="s">
        <x:v>678</x:v>
      </x:c>
      <x:c r="CB21" s="2632" t="s">
        <x:v>847</x:v>
      </x:c>
      <x:c r="CC21" s="2632"/>
      <x:c r="CD21" s="2632" t="s">
        <x:v>829</x:v>
      </x:c>
      <x:c r="CE21" s="2632"/>
      <x:c r="CF21" s="2573" t="s">
        <x:v>1064</x:v>
      </x:c>
      <x:c r="CG21" s="2573"/>
      <x:c r="CH21" s="2769" t="s">
        <x:v>628</x:v>
      </x:c>
      <x:c r="CI21" s="2770"/>
      <x:c r="CJ21" s="2770"/>
      <x:c r="CK21" s="2769" t="s">
        <x:v>629</x:v>
      </x:c>
      <x:c r="CL21" s="2621" t="s">
        <x:v>827</x:v>
      </x:c>
      <x:c r="CM21" s="2621"/>
      <x:c r="CN21" s="2826"/>
      <x:c r="CO21" s="2827"/>
      <x:c r="CP21" s="2809"/>
      <x:c r="CQ21" s="2810"/>
      <x:c r="CR21" s="2763"/>
      <x:c r="CS21" s="2766"/>
      <x:c r="CU21" s="2726" t="s">
        <x:v>535</x:v>
      </x:c>
      <x:c r="CV21" s="2712" t="s">
        <x:v>536</x:v>
      </x:c>
      <x:c r="CW21" s="2712" t="s">
        <x:v>537</x:v>
      </x:c>
      <x:c r="CX21" s="2712" t="s">
        <x:v>538</x:v>
      </x:c>
      <x:c r="CY21" s="2712" t="s">
        <x:v>599</x:v>
      </x:c>
      <x:c r="CZ21" s="2712" t="s">
        <x:v>618</x:v>
      </x:c>
      <x:c r="DA21" s="2712" t="s">
        <x:v>539</x:v>
      </x:c>
      <x:c r="DB21" s="2712" t="s">
        <x:v>619</x:v>
      </x:c>
      <x:c r="DC21" s="2712" t="s">
        <x:v>540</x:v>
      </x:c>
      <x:c r="DD21" s="2712" t="s">
        <x:v>541</x:v>
      </x:c>
      <x:c r="DE21" s="2726" t="s">
        <x:v>535</x:v>
      </x:c>
      <x:c r="DF21" s="2712" t="s">
        <x:v>536</x:v>
      </x:c>
      <x:c r="DG21" s="2712" t="s">
        <x:v>542</x:v>
      </x:c>
      <x:c r="DH21" s="2712" t="s">
        <x:v>538</x:v>
      </x:c>
      <x:c r="DI21" s="2712" t="s">
        <x:v>599</x:v>
      </x:c>
      <x:c r="DJ21" s="2712" t="s">
        <x:v>618</x:v>
      </x:c>
      <x:c r="DK21" s="2712" t="s">
        <x:v>539</x:v>
      </x:c>
      <x:c r="DL21" s="2712" t="s">
        <x:v>619</x:v>
      </x:c>
      <x:c r="DM21" s="2712" t="s">
        <x:v>540</x:v>
      </x:c>
      <x:c r="DN21" s="2729" t="s">
        <x:v>541</x:v>
      </x:c>
      <x:c r="DO21" s="2722" t="s">
        <x:v>528</x:v>
      </x:c>
      <x:c r="DP21" s="2741" t="s">
        <x:v>543</x:v>
      </x:c>
      <x:c r="DQ21" s="2716" t="s">
        <x:v>544</x:v>
      </x:c>
      <x:c r="DR21" s="2724" t="s">
        <x:v>545</x:v>
      </x:c>
      <x:c r="DS21" s="2737" t="s">
        <x:v>582</x:v>
      </x:c>
      <x:c r="DT21" s="2714" t="s">
        <x:v>546</x:v>
      </x:c>
      <x:c r="DU21" s="2715"/>
      <x:c r="DV21" s="2739" t="s">
        <x:v>1149</x:v>
      </x:c>
      <x:c r="DW21" s="2718" t="s">
        <x:v>1150</x:v>
      </x:c>
      <x:c r="DX21" s="2720" t="s">
        <x:v>551</x:v>
      </x:c>
      <x:c r="DY21" s="2737" t="s">
        <x:v>583</x:v>
      </x:c>
      <x:c r="DZ21" s="2714" t="s">
        <x:v>548</x:v>
      </x:c>
      <x:c r="EA21" s="2715"/>
      <x:c r="EB21" s="2718" t="s">
        <x:v>1151</x:v>
      </x:c>
      <x:c r="EC21" s="2718" t="s">
        <x:v>1152</x:v>
      </x:c>
      <x:c r="ED21" s="2720" t="s">
        <x:v>553</x:v>
      </x:c>
      <x:c r="EE21" s="2716" t="s">
        <x:v>584</x:v>
      </x:c>
      <x:c r="EF21" s="2743" t="s">
        <x:v>585</x:v>
      </x:c>
      <x:c r="EG21" s="2746"/>
      <x:c r="EH21" s="2743" t="s">
        <x:v>586</x:v>
      </x:c>
      <x:c r="EI21" s="2744"/>
      <x:c r="EJ21" s="2724" t="s">
        <x:v>587</x:v>
      </x:c>
      <x:c r="EK21" s="2725"/>
      <x:c r="EL21" s="2716" t="s">
        <x:v>608</x:v>
      </x:c>
      <x:c r="EM21" s="2743" t="s">
        <x:v>588</x:v>
      </x:c>
      <x:c r="EN21" s="2746"/>
      <x:c r="EO21" s="2743" t="s">
        <x:v>589</x:v>
      </x:c>
      <x:c r="EP21" s="2744"/>
      <x:c r="EQ21" s="2724" t="s">
        <x:v>590</x:v>
      </x:c>
      <x:c r="ER21" s="2725"/>
      <x:c r="ES21" s="2716" t="s">
        <x:v>12</x:v>
      </x:c>
      <x:c r="ET21" s="2716" t="s">
        <x:v>13</x:v>
      </x:c>
      <x:c r="EU21" s="2724" t="s">
        <x:v>622</x:v>
      </x:c>
      <x:c r="EV21" s="2756"/>
      <x:c r="EW21" s="2750"/>
      <x:c r="EX21" s="2754"/>
      <x:c r="EY21" s="2754"/>
      <x:c r="EZ21" s="2800"/>
      <x:c r="FA21" s="2754"/>
      <x:c r="FB21" s="2754"/>
      <x:c r="FC21" s="2754"/>
      <x:c r="FD21" s="2801"/>
      <x:c r="FE21" s="2801"/>
      <x:c r="FF21" s="2801"/>
      <x:c r="FG21" s="2801"/>
      <x:c r="FH21" s="2801"/>
      <x:c r="FI21" s="2801"/>
      <x:c r="FJ21" s="2801"/>
      <x:c r="FK21" s="2801"/>
      <x:c r="FL21" s="2801"/>
      <x:c r="FM21" s="2801"/>
      <x:c r="FN21" s="2801"/>
      <x:c r="FO21" s="2716" t="s">
        <x:v>630</x:v>
      </x:c>
      <x:c r="FP21" s="2716" t="s">
        <x:v>631</x:v>
      </x:c>
      <x:c r="FQ21" s="2833" t="s">
        <x:v>695</x:v>
      </x:c>
      <x:c r="FR21" s="2848" t="s">
        <x:v>696</x:v>
      </x:c>
      <x:c r="FS21" s="2741" t="s">
        <x:v>723</x:v>
      </x:c>
      <x:c r="FT21" s="2851" t="s">
        <x:v>724</x:v>
      </x:c>
      <x:c r="FU21" s="2543" t="s">
        <x:v>828</x:v>
      </x:c>
      <x:c r="FV21" s="2544"/>
      <x:c r="GA21" s="2498" t="s">
        <x:v>749</x:v>
      </x:c>
      <x:c r="GB21" s="2499"/>
      <x:c r="GC21" s="2498" t="s">
        <x:v>597</x:v>
      </x:c>
      <x:c r="GD21" s="2499"/>
      <x:c r="GE21" s="2500" t="s">
        <x:v>752</x:v>
      </x:c>
      <x:c r="GF21" s="2502" t="s">
        <x:v>40</x:v>
      </x:c>
      <x:c r="GG21" s="2704" t="s">
        <x:v>1190</x:v>
      </x:c>
      <x:c r="GH21" s="2705"/>
      <x:c r="GI21" s="2704" t="s">
        <x:v>1189</x:v>
      </x:c>
      <x:c r="GJ21" s="2705"/>
      <x:c r="GK21" s="2804" t="s">
        <x:v>753</x:v>
      </x:c>
      <x:c r="GL21" s="2491" t="s">
        <x:v>754</x:v>
      </x:c>
      <x:c r="GM21" s="2491" t="s">
        <x:v>755</x:v>
      </x:c>
      <x:c r="GZ21" s="2699"/>
      <x:c r="HA21" s="2846" t="s">
        <x:v>576</x:v>
      </x:c>
      <x:c r="HB21" s="2702" t="s">
        <x:v>131</x:v>
      </x:c>
      <x:c r="HC21" s="2702" t="s">
        <x:v>577</x:v>
      </x:c>
      <x:c r="HD21" s="2802" t="str">
        <x:f>IF($HA$1,"Joist ""BayLength""","Overall Length")</x:f>
        <x:v>Overall Length</x:v>
      </x:c>
      <x:c r="HE21" s="2803"/>
      <x:c r="HF21" s="2700" t="str">
        <x:f>IF($HA$1,"Left Sect. #","TCXL Feet")</x:f>
        <x:v>TCXL Feet</x:v>
      </x:c>
      <x:c r="HG21" s="2700" t="str">
        <x:f>IF($HA$1,"L Min Sup Width","TCXL Inch")</x:f>
        <x:v>TCXL Inch</x:v>
      </x:c>
      <x:c r="HH21" s="2700" t="str">
        <x:f>IF($HA$1,"L Max Sup Width","TCXL Type")</x:f>
        <x:v>TCXL Type</x:v>
      </x:c>
      <x:c r="HI21" s="2700" t="str">
        <x:f>IF($HA$1,"Left Bolt ""X""","TCXR Feet")</x:f>
        <x:v>TCXR Feet</x:v>
      </x:c>
      <x:c r="HJ21" s="2700" t="str">
        <x:f>IF($HA$1,"L Min Flg Ga","TCXR Inch")</x:f>
        <x:v>TCXR Inch</x:v>
      </x:c>
      <x:c r="HK21" s="2700" t="str">
        <x:f>IF($HA$1,"L Max Flg Ga","TCXR Type")</x:f>
        <x:v>TCXR Type</x:v>
      </x:c>
      <x:c r="HL21" s="2700" t="str">
        <x:f>IF($HA$1,"Left Skew","BDL")</x:f>
        <x:v>BDL</x:v>
      </x:c>
      <x:c r="HM21" s="2700" t="str">
        <x:f>IF($HA$1,"Left Brg Slp","BDR")</x:f>
        <x:v>BDR</x:v>
      </x:c>
      <x:c r="HN21" s="2700" t="str">
        <x:f>IF($HA$1,"Right Sect. #","BCXL Feet")</x:f>
        <x:v>BCXL Feet</x:v>
      </x:c>
      <x:c r="HO21" s="2700" t="str">
        <x:f>IF($HA$1,"R Min Sup Width","BCXL Inch")</x:f>
        <x:v>BCXL Inch</x:v>
      </x:c>
      <x:c r="HP21" s="2700" t="str">
        <x:f>IF($HA$1,"R Max Sup Width","BCXL Type")</x:f>
        <x:v>BCXL Type</x:v>
      </x:c>
      <x:c r="HQ21" s="2700" t="str">
        <x:f>IF($HA$1,"Right Bolt ""X""","BCXR Feet")</x:f>
        <x:v>BCXR Feet</x:v>
      </x:c>
      <x:c r="HR21" s="2700" t="str">
        <x:f>IF($HA$1,"R Min Flg Ga","BCXR Inch")</x:f>
        <x:v>BCXR Inch</x:v>
      </x:c>
      <x:c r="HS21" s="2700" t="str">
        <x:f>IF($HA$1,"R Max Flg Ga","BCXR Type")</x:f>
        <x:v>BCXR Type</x:v>
      </x:c>
      <x:c r="HT21" s="2700" t="str">
        <x:f>IF($HA$1,"Right Skew","HL Feet")</x:f>
        <x:v>HL Feet</x:v>
      </x:c>
      <x:c r="HU21" s="2700" t="str">
        <x:f>IF($HA$1,"Right Brg Slp","HL Inch")</x:f>
        <x:v>HL Inch</x:v>
      </x:c>
      <x:c r="HV21" s="2700" t="str">
        <x:f>IF($HA$1,"TC Slope","HR Feet")</x:f>
        <x:v>HR Feet</x:v>
      </x:c>
      <x:c r="HW21" s="2700" t="str">
        <x:f>IF($HA$1,"Load Notes","HR Inch")</x:f>
        <x:v>HR Inch</x:v>
      </x:c>
      <x:c r="HX21" s="2700" t="str">
        <x:f>IF($HA$1,"Spcl Notes","Slot Ga")</x:f>
        <x:v>Slot Ga</x:v>
      </x:c>
      <x:c r="HY21" s="2700" t="str">
        <x:f>IF($HA$1,"TC L Override","L Seat Slp")</x:f>
        <x:v>L Seat Slp</x:v>
      </x:c>
      <x:c r="HZ21" s="2700" t="str">
        <x:f>IF($HA$1,"TCR Override","R Seat Slp")</x:f>
        <x:v>R Seat Slp</x:v>
      </x:c>
      <x:c r="IA21" s="2700" t="str">
        <x:f>IF($HA$1,"L-BL Override","Sp Notes")</x:f>
        <x:v>Sp Notes</x:v>
      </x:c>
      <x:c r="IB21" s="2700" t="str">
        <x:f>IF($HA$1,"R-BL Override","Ld Notes")</x:f>
        <x:v>Ld Notes</x:v>
      </x:c>
      <x:c r="IC21" s="2700" t="str">
        <x:f>IF($HA$1,"BCXL ""X""","-")</x:f>
        <x:v>-</x:v>
      </x:c>
      <x:c r="ID21" s="2700" t="str">
        <x:f>IF($HA$1,"BCXR ""X""","-")</x:f>
        <x:v>-</x:v>
      </x:c>
      <x:c r="IE21" s="2700" t="str">
        <x:f>IF($HA$1,"BDL Override","-")</x:f>
        <x:v>-</x:v>
      </x:c>
      <x:c r="IF21" s="2834" t="str">
        <x:f>IF($HA$1,"BDR Override","-")</x:f>
        <x:v>-</x:v>
      </x:c>
    </x:row>
    <x:row r="22" spans="1:243" s="1844" customFormat="1" ht="12.6" customHeight="1" thickTop="1" thickBot="1" x14ac:dyDescent="0.25">
      <x:c r="A22" s="2796"/>
      <x:c r="B22" s="2793"/>
      <x:c r="C22" s="2793"/>
      <x:c r="D22" s="2793"/>
      <x:c r="E22" s="2794"/>
      <x:c r="F22" s="2352" t="s">
        <x:v>16</x:v>
      </x:c>
      <x:c r="G22" s="2436"/>
      <x:c r="H22" s="1839" t="s">
        <x:v>773</x:v>
      </x:c>
      <x:c r="I22" s="2436" t="s">
        <x:v>16</x:v>
      </x:c>
      <x:c r="J22" s="2436"/>
      <x:c r="K22" s="1832" t="s">
        <x:v>773</x:v>
      </x:c>
      <x:c r="L22" s="1834" t="s">
        <x:v>18</x:v>
      </x:c>
      <x:c r="M22" s="549" t="s">
        <x:v>19</x:v>
      </x:c>
      <x:c r="N22" s="2352" t="s">
        <x:v>16</x:v>
      </x:c>
      <x:c r="O22" s="2436"/>
      <x:c r="P22" s="1839" t="s">
        <x:v>773</x:v>
      </x:c>
      <x:c r="Q22" s="2436" t="s">
        <x:v>16</x:v>
      </x:c>
      <x:c r="R22" s="2436"/>
      <x:c r="S22" s="549" t="s">
        <x:v>773</x:v>
      </x:c>
      <x:c r="T22" s="2352" t="s">
        <x:v>81</x:v>
      </x:c>
      <x:c r="U22" s="2436"/>
      <x:c r="V22" s="2436" t="s">
        <x:v>82</x:v>
      </x:c>
      <x:c r="W22" s="2436"/>
      <x:c r="X22" s="1832" t="s">
        <x:v>27</x:v>
      </x:c>
      <x:c r="Y22" s="1834" t="s">
        <x:v>113</x:v>
      </x:c>
      <x:c r="Z22" s="549" t="s">
        <x:v>114</x:v>
      </x:c>
      <x:c r="AA22" s="1374" t="s">
        <x:v>58</x:v>
      </x:c>
      <x:c r="AB22" s="295"/>
      <x:c r="AC22" s="1225" t="s">
        <x:v>1147</x:v>
      </x:c>
      <x:c r="AD22" s="511" t="s">
        <x:v>74</x:v>
      </x:c>
      <x:c r="AE22" s="512" t="s">
        <x:v>75</x:v>
      </x:c>
      <x:c r="AF22" s="512" t="s">
        <x:v>76</x:v>
      </x:c>
      <x:c r="AG22" s="512" t="s">
        <x:v>77</x:v>
      </x:c>
      <x:c r="AH22" s="513" t="s">
        <x:v>115</x:v>
      </x:c>
      <x:c r="AI22" s="514" t="s">
        <x:v>171</x:v>
      </x:c>
      <x:c r="AJ22" s="442" t="s">
        <x:v>172</x:v>
      </x:c>
      <x:c r="AK22" s="442" t="s">
        <x:v>173</x:v>
      </x:c>
      <x:c r="AL22" s="442" t="s">
        <x:v>174</x:v>
      </x:c>
      <x:c r="AM22" s="442" t="s">
        <x:v>148</x:v>
      </x:c>
      <x:c r="AN22" s="442" t="s">
        <x:v>789</x:v>
      </x:c>
      <x:c r="AO22" s="442" t="s">
        <x:v>790</x:v>
      </x:c>
      <x:c r="AP22" s="442" t="s">
        <x:v>180</x:v>
      </x:c>
      <x:c r="AQ22" s="442" t="s">
        <x:v>177</x:v>
      </x:c>
      <x:c r="AR22" s="442" t="s">
        <x:v>175</x:v>
      </x:c>
      <x:c r="AS22" s="442" t="s">
        <x:v>178</x:v>
      </x:c>
      <x:c r="AT22" s="442" t="s">
        <x:v>179</x:v>
      </x:c>
      <x:c r="AU22" s="2316"/>
      <x:c r="AV22" s="2781"/>
      <x:c r="AW22" s="2782"/>
      <x:c r="AX22" s="601" t="s">
        <x:v>673</x:v>
      </x:c>
      <x:c r="AY22" s="601" t="s">
        <x:v>134</x:v>
      </x:c>
      <x:c r="AZ22" s="2798"/>
      <x:c r="BA22" s="490"/>
      <x:c r="BB22" s="2506"/>
      <x:c r="BC22" s="2485"/>
      <x:c r="BD22" s="2508"/>
      <x:c r="BE22" s="2822"/>
      <x:c r="BF22" s="2823"/>
      <x:c r="BG22" s="2617"/>
      <x:c r="BH22" s="2775"/>
      <x:c r="BI22" s="2776"/>
      <x:c r="BJ22" s="2773"/>
      <x:c r="BK22" s="2775"/>
      <x:c r="BL22" s="2776"/>
      <x:c r="BM22" s="2485"/>
      <x:c r="BN22" s="2785"/>
      <x:c r="BO22" s="2617"/>
      <x:c r="BP22" s="2775"/>
      <x:c r="BQ22" s="2776"/>
      <x:c r="BR22" s="2773"/>
      <x:c r="BS22" s="2775"/>
      <x:c r="BT22" s="2776"/>
      <x:c r="BU22" s="2485"/>
      <x:c r="BV22" s="2768"/>
      <x:c r="BW22" s="2788"/>
      <x:c r="BX22" s="515" t="s">
        <x:v>455</x:v>
      </x:c>
      <x:c r="BY22" s="516" t="s">
        <x:v>592</x:v>
      </x:c>
      <x:c r="BZ22" s="2636"/>
      <x:c r="CA22" s="2638"/>
      <x:c r="CB22" s="594" t="s">
        <x:v>646</x:v>
      </x:c>
      <x:c r="CC22" s="595" t="s">
        <x:v>647</x:v>
      </x:c>
      <x:c r="CD22" s="594" t="s">
        <x:v>646</x:v>
      </x:c>
      <x:c r="CE22" s="595" t="s">
        <x:v>647</x:v>
      </x:c>
      <x:c r="CF22" s="594" t="s">
        <x:v>646</x:v>
      </x:c>
      <x:c r="CG22" s="595" t="s">
        <x:v>647</x:v>
      </x:c>
      <x:c r="CH22" s="596" t="s">
        <x:v>625</x:v>
      </x:c>
      <x:c r="CI22" s="517" t="s">
        <x:v>626</x:v>
      </x:c>
      <x:c r="CJ22" s="518" t="s">
        <x:v>627</x:v>
      </x:c>
      <x:c r="CK22" s="2771"/>
      <x:c r="CL22" s="597" t="s">
        <x:v>646</x:v>
      </x:c>
      <x:c r="CM22" s="598" t="s">
        <x:v>647</x:v>
      </x:c>
      <x:c r="CN22" s="593" t="s">
        <x:v>646</x:v>
      </x:c>
      <x:c r="CO22" s="519" t="s">
        <x:v>647</x:v>
      </x:c>
      <x:c r="CP22" s="520" t="s">
        <x:v>557</x:v>
      </x:c>
      <x:c r="CQ22" s="521" t="s">
        <x:v>170</x:v>
      </x:c>
      <x:c r="CR22" s="2764"/>
      <x:c r="CS22" s="2767"/>
      <x:c r="CU22" s="2727"/>
      <x:c r="CV22" s="2728"/>
      <x:c r="CW22" s="2728"/>
      <x:c r="CX22" s="2713"/>
      <x:c r="CY22" s="2713"/>
      <x:c r="CZ22" s="2713"/>
      <x:c r="DA22" s="2713"/>
      <x:c r="DB22" s="2713"/>
      <x:c r="DC22" s="2713"/>
      <x:c r="DD22" s="2713"/>
      <x:c r="DE22" s="2727"/>
      <x:c r="DF22" s="2728"/>
      <x:c r="DG22" s="2728"/>
      <x:c r="DH22" s="2713"/>
      <x:c r="DI22" s="2713"/>
      <x:c r="DJ22" s="2713"/>
      <x:c r="DK22" s="2713"/>
      <x:c r="DL22" s="2713"/>
      <x:c r="DM22" s="2713"/>
      <x:c r="DN22" s="2730"/>
      <x:c r="DO22" s="2723"/>
      <x:c r="DP22" s="2742"/>
      <x:c r="DQ22" s="2717"/>
      <x:c r="DR22" s="2736"/>
      <x:c r="DS22" s="2738"/>
      <x:c r="DT22" s="522" t="s">
        <x:v>593</x:v>
      </x:c>
      <x:c r="DU22" s="522" t="s">
        <x:v>594</x:v>
      </x:c>
      <x:c r="DV22" s="2740"/>
      <x:c r="DW22" s="2719"/>
      <x:c r="DX22" s="2721"/>
      <x:c r="DY22" s="2738"/>
      <x:c r="DZ22" s="522" t="s">
        <x:v>593</x:v>
      </x:c>
      <x:c r="EA22" s="522" t="s">
        <x:v>594</x:v>
      </x:c>
      <x:c r="EB22" s="2719"/>
      <x:c r="EC22" s="2719"/>
      <x:c r="ED22" s="2721"/>
      <x:c r="EE22" s="2745"/>
      <x:c r="EF22" s="523" t="s">
        <x:v>558</x:v>
      </x:c>
      <x:c r="EG22" s="524" t="s">
        <x:v>559</x:v>
      </x:c>
      <x:c r="EH22" s="523" t="s">
        <x:v>558</x:v>
      </x:c>
      <x:c r="EI22" s="524" t="s">
        <x:v>559</x:v>
      </x:c>
      <x:c r="EJ22" s="523" t="s">
        <x:v>558</x:v>
      </x:c>
      <x:c r="EK22" s="524" t="s">
        <x:v>559</x:v>
      </x:c>
      <x:c r="EL22" s="2745"/>
      <x:c r="EM22" s="523" t="s">
        <x:v>558</x:v>
      </x:c>
      <x:c r="EN22" s="524" t="s">
        <x:v>559</x:v>
      </x:c>
      <x:c r="EO22" s="523" t="s">
        <x:v>558</x:v>
      </x:c>
      <x:c r="EP22" s="524" t="s">
        <x:v>559</x:v>
      </x:c>
      <x:c r="EQ22" s="523" t="s">
        <x:v>558</x:v>
      </x:c>
      <x:c r="ER22" s="524" t="s">
        <x:v>559</x:v>
      </x:c>
      <x:c r="ES22" s="2751"/>
      <x:c r="ET22" s="2751"/>
      <x:c r="EU22" s="2752"/>
      <x:c r="EV22" s="2757"/>
      <x:c r="EW22" s="2750"/>
      <x:c r="EX22" s="2754"/>
      <x:c r="EY22" s="2754"/>
      <x:c r="EZ22" s="2800"/>
      <x:c r="FA22" s="2754"/>
      <x:c r="FB22" s="2754"/>
      <x:c r="FC22" s="2754"/>
      <x:c r="FD22" s="2801"/>
      <x:c r="FE22" s="2801"/>
      <x:c r="FF22" s="2801"/>
      <x:c r="FG22" s="2801"/>
      <x:c r="FH22" s="2801"/>
      <x:c r="FI22" s="2801"/>
      <x:c r="FJ22" s="2801"/>
      <x:c r="FK22" s="2801"/>
      <x:c r="FL22" s="2801"/>
      <x:c r="FM22" s="2801"/>
      <x:c r="FN22" s="2801"/>
      <x:c r="FO22" s="2751"/>
      <x:c r="FP22" s="2751"/>
      <x:c r="FQ22" s="2751"/>
      <x:c r="FR22" s="2849"/>
      <x:c r="FS22" s="2850"/>
      <x:c r="FT22" s="2849"/>
      <x:c r="FU22" s="610" t="s">
        <x:v>646</x:v>
      </x:c>
      <x:c r="FV22" s="611" t="s">
        <x:v>647</x:v>
      </x:c>
      <x:c r="GA22" s="1295" t="s">
        <x:v>1158</x:v>
      </x:c>
      <x:c r="GB22" s="1296" t="s">
        <x:v>751</x:v>
      </x:c>
      <x:c r="GC22" s="1297" t="s">
        <x:v>646</x:v>
      </x:c>
      <x:c r="GD22" s="1298" t="s">
        <x:v>647</x:v>
      </x:c>
      <x:c r="GE22" s="2501"/>
      <x:c r="GF22" s="2501"/>
      <x:c r="GG22" s="1299" t="s">
        <x:v>1158</x:v>
      </x:c>
      <x:c r="GH22" s="1300" t="s">
        <x:v>751</x:v>
      </x:c>
      <x:c r="GI22" s="1299" t="s">
        <x:v>1158</x:v>
      </x:c>
      <x:c r="GJ22" s="1300" t="s">
        <x:v>751</x:v>
      </x:c>
      <x:c r="GK22" s="2805"/>
      <x:c r="GL22" s="2492"/>
      <x:c r="GM22" s="2492"/>
      <x:c r="GZ22" s="2699"/>
      <x:c r="HA22" s="2847"/>
      <x:c r="HB22" s="2703"/>
      <x:c r="HC22" s="2703"/>
      <x:c r="HD22" s="2703"/>
      <x:c r="HE22" s="2703"/>
      <x:c r="HF22" s="2701"/>
      <x:c r="HG22" s="2701"/>
      <x:c r="HH22" s="2701"/>
      <x:c r="HI22" s="2701"/>
      <x:c r="HJ22" s="2701"/>
      <x:c r="HK22" s="2701"/>
      <x:c r="HL22" s="2701"/>
      <x:c r="HM22" s="2701"/>
      <x:c r="HN22" s="2701"/>
      <x:c r="HO22" s="2701"/>
      <x:c r="HP22" s="2701"/>
      <x:c r="HQ22" s="2701"/>
      <x:c r="HR22" s="2701"/>
      <x:c r="HS22" s="2701"/>
      <x:c r="HT22" s="2701"/>
      <x:c r="HU22" s="2701"/>
      <x:c r="HV22" s="2701"/>
      <x:c r="HW22" s="2701"/>
      <x:c r="HX22" s="2701"/>
      <x:c r="HY22" s="2701"/>
      <x:c r="HZ22" s="2701"/>
      <x:c r="IA22" s="2701"/>
      <x:c r="IB22" s="2701"/>
      <x:c r="IC22" s="2701"/>
      <x:c r="ID22" s="2701"/>
      <x:c r="IE22" s="2701"/>
      <x:c r="IF22" s="2835"/>
    </x:row>
    <x:row r="23" spans="1:243" ht="12.6" customHeight="1" thickTop="1" x14ac:dyDescent="0.25">
      <x:c r="A23" s="1264" t="s">
        <x:v>1325</x:v>
      </x:c>
      <x:c r="B23" s="1265">
        <x:v>0</x:v>
      </x:c>
      <x:c r="C23" s="1265" t="s">
        <x:v>1978</x:v>
      </x:c>
      <x:c r="D23" s="1261">
        <x:v>59</x:v>
      </x:c>
      <x:c r="E23" s="1411">
        <x:v>4.25</x:v>
      </x:c>
      <x:c r="F23" s="1263">
        <x:v>0</x:v>
      </x:c>
      <x:c r="G23" s="1262">
        <x:v>3.625</x:v>
      </x:c>
      <x:c r="H23" s="1266" t="s">
        <x:v>114</x:v>
      </x:c>
      <x:c r="I23" s="1261" t="str">
        <x:f t="shared" ref="I23:I39" si="1">IF(ED23=0,"",TRUNC(ED23/12))</x:f>
        <x:v/>
      </x:c>
      <x:c r="J23" s="1262" t="str">
        <x:f t="shared" ref="J23:J39" si="2">IF(ED23=0,"",ED23-(I23*12))</x:f>
        <x:v/>
      </x:c>
      <x:c r="K23" s="1412" t="str">
        <x:f t="shared" ref="K23:K39" si="3">IF(ED23=0,"",DG23)</x:f>
        <x:v/>
      </x:c>
      <x:c r="L23" s="1327">
        <x:v>3</x:v>
      </x:c>
      <x:c r="M23" s="1329">
        <x:v>3</x:v>
      </x:c>
      <x:c r="N23" s="1263" t="str">
        <x:f t="shared" ref="N23:N39" si="4">IF(ES23="","",IF(AND(ES23&lt;0,ES23&gt;-12),TRUNC(ES23/12)-0.0000001,TRUNC(ES23/12)))</x:f>
        <x:v/>
      </x:c>
      <x:c r="O23" s="1262" t="str">
        <x:f t="shared" ref="O23:O39" si="5">IF(ES23="","",IF(AND(ES23-(N23*12)=0,ES23&lt;0),-0.000001,ES23-(N23*12)))</x:f>
        <x:v/>
      </x:c>
      <x:c r="P23" s="1260" t="str">
        <x:f t="shared" ref="P23:P39" si="6">IF(ES23="","",CZ23)</x:f>
        <x:v/>
      </x:c>
      <x:c r="Q23" s="1261" t="str">
        <x:f t="shared" ref="Q23:Q39" si="7">IF(ET23="","",IF(AND(ET23&lt;0,ET23&gt;-12),TRUNC(ET23/12)-0.0000001,TRUNC(ET23/12)))</x:f>
        <x:v/>
      </x:c>
      <x:c r="R23" s="1262" t="str">
        <x:f t="shared" ref="R23:R39" si="8">IF(ET23="","",IF(AND(ET23-(Q23*12)=0,ET23&lt;0),-0.000001,ET23-(Q23*12)))</x:f>
        <x:v/>
      </x:c>
      <x:c r="S23" s="1410" t="str">
        <x:f t="shared" ref="S23:S39" si="9">IF(ET23="","",DJ23)</x:f>
        <x:v/>
      </x:c>
      <x:c r="T23" s="1263" t="str">
        <x:f t="shared" ref="T23:T39" si="10">IF(CH23="ERR","",IF(EK23="","",IF(EK23="ERR",TRUNC(EJ23/12),TRUNC(EK23/12))))</x:f>
        <x:v/>
      </x:c>
      <x:c r="U23" s="1262" t="str">
        <x:f t="shared" ref="U23:U39" si="11">IF(CH23="ERR","",IF(EK23="","",IF(EK23="ERR",EJ23-(T23*12),EK23-(T23*12))))</x:f>
        <x:v/>
      </x:c>
      <x:c r="V23" s="1261" t="str">
        <x:f t="shared" ref="V23:V39" si="12">IF(CI23="ERR","",IF(ER23="","",IF(ER23="ERR",TRUNC(EQ23/12),TRUNC(ER23/12))))</x:f>
        <x:v/>
      </x:c>
      <x:c r="W23" s="1262" t="str">
        <x:f t="shared" ref="W23:W39" si="13">IF(CI23="ERR","",IF(ER23="","",IF(ER23="ERR",EQ23-(V23*12),ER23-(V23*12))))</x:f>
        <x:v/>
      </x:c>
      <x:c r="X23" s="1409">
        <x:f t="shared" ref="X23:X39" si="14">IF(EV23="",0,EV23)</x:f>
        <x:v>0</x:v>
      </x:c>
      <x:c r="Y23" s="1377" t="str">
        <x:f t="shared" ref="Y23:Y39" si="15">FG23</x:f>
        <x:v/>
      </x:c>
      <x:c r="Z23" s="1378" t="str">
        <x:f t="shared" ref="Z23:Z39" si="16">FL23</x:f>
        <x:v/>
      </x:c>
      <x:c r="AA23" s="2159" t="s">
        <x:v>2062</x:v>
      </x:c>
      <x:c r="AC23" s="1226" t="b">
        <x:v>0</x:v>
      </x:c>
      <x:c r="AD23" s="525">
        <x:f t="shared" ref="AD23:AD40" si="17">IF($C23="",0,IF(SUM(AE23:AG23)&gt;0,0,IF(ISERROR(SEARCH("K",$C23,1))=TRUE,0,$B23)))</x:f>
        <x:v>0</x:v>
      </x:c>
      <x:c r="AE23" s="526">
        <x:f t="shared" ref="AE23:AE40" si="18">IF(ISERROR(SEARCH("LH",$C23,1))=TRUE,0,$B23)</x:f>
        <x:v>0</x:v>
      </x:c>
      <x:c r="AF23" s="526">
        <x:f t="shared" ref="AF23:AF40" si="19">IF(ISERROR(SEARCH("JS",$C23))=TRUE,IF(ISERROR(SEARCH("2.5K",$C23))=TRUE,0,$B23),$B23)</x:f>
        <x:v>0</x:v>
      </x:c>
      <x:c r="AG23" s="526">
        <x:f t="shared" ref="AG23:AG40" si="20">IF(ISERROR(SEARCH("HDR",$C23,1))=TRUE,0,$B23)</x:f>
        <x:v>0</x:v>
      </x:c>
      <x:c r="AH23" s="527">
        <x:f t="shared" ref="AH23:AH40" si="21">IF(ISERROR(SEARCH("CJ",$C23,1))=TRUE,0,$B23)</x:f>
        <x:v>0</x:v>
      </x:c>
      <x:c r="AI23" s="528" t="b">
        <x:v>0</x:v>
      </x:c>
      <x:c r="AJ23" s="284">
        <x:f>IF(OR(ISERROR(VALUE(LEFT(C23,SEARCH(AK23,C23)-1))),AK23=""),0,VALUE(LEFT(C23,SEARCH(AK23,C23)-1)))</x:f>
        <x:v>36</x:v>
      </x:c>
      <x:c r="AK23" s="284" t="str">
        <x:f t="shared" ref="AK23:AK40" si="22">IF(AV23="",AW23,AV23)</x:f>
        <x:v>LH</x:v>
      </x:c>
      <x:c r="AL23" s="1202" t="str">
        <x:f t="shared" ref="AL23:AL40" si="23">IF(AK23="","",IF(ISERROR(SEARCH("/",C23)),IF(VALUE(MID(C23,SEARCH(AK23,C23)+LEN(AK23),LEN(C23)))&gt;25,"",VALUE(MID(C23,SEARCH(AK23,C23)+LEN(AK23),LEN(C23)))),""))</x:f>
        <x:v/>
      </x:c>
      <x:c r="AM23" s="284">
        <x:f t="shared" ref="AM23:AM40" si="24">IF(AK23="","",IF(ISERROR(SEARCH("/",C23)),IF(VALUE(MID(C23,SEARCH(AK23,C23)+LEN(AK23),LEN(C23)))&lt;26,"",VALUE(MID(C23,SEARCH(AK23,C23)+LEN(AK23),LEN(C23)))),VALUE(MID(C23,SEARCH(AK23,C23)+LEN(AK23),SEARCH("/",C23)-SEARCH(AK23,C23)-LEN(AK23)))))</x:f>
        <x:v>270</x:v>
      </x:c>
      <x:c r="AN23" s="284">
        <x:f t="shared" ref="AN23:AN40" si="25">IF(AK23="","",IF(AK23="CJ",MID(MID(C23,SEARCH("/",C23)+1,LEN(C23)),1,SEARCH("/",MID(C23,SEARCH("/",C23)+1,LEN(C23)))-1),IF(ISERROR(SEARCH("/",C23)),"",VALUE(MID(C23,SEARCH("/",C23)+1,LEN(C23))))))</x:f>
        <x:v>120</x:v>
      </x:c>
      <x:c r="AO23" s="284" t="str">
        <x:f t="shared" ref="AO23:AO40" si="26">IF(AK23="CJ",VALUE(MID(MID(C23,SEARCH("/",C23)+1,LEN(C23)),SEARCH("/",MID(C23,SEARCH("/",C23)+1,LEN(C23)))+1,LEN(MID(C23,SEARCH("/",C23)+1,LEN(C23))))),"")</x:f>
        <x:v/>
      </x:c>
      <x:c r="AP23" s="1063" t="b">
        <x:f>IF(ISERROR(AJ23),FALSE,IF(OR(AJ23=0,ISERROR(AL23),ISERROR(AM23),ISERROR(AN23),ISERROR(AO23)),FALSE,IF(AL23&lt;&gt;"",IF(ISERROR(VLOOKUP(SUBSTITUTE(SUBSTITUTE(C23,"R",""),"A",""),TblJoistSize!$A:$A,1,FALSE)),FALSE,TRUE),TRUE)))</x:f>
        <x:v>1</x:v>
      </x:c>
      <x:c r="AQ23" s="1305">
        <x:f t="shared" ref="AQ23:AQ40" si="27">VLOOKUP(AK23,$DF$2:$DN$9,4,FALSE)+IF(LEFT(H23,1)="R",IF(ISNUMBER(F23),F23*12,0)+IF(ISNUMBER(G23),G23,0),0)</x:f>
        <x:v>9.625</x:v>
      </x:c>
      <x:c r="AR23" s="1305" t="b">
        <x:f t="shared" ref="AR23:AR40" si="28">IF(IF(ISNUMBER(T23),T23*12,0)+IF(ISNUMBER(U23),U23,0)&gt;0,IF(AND((IF(ISNUMBER(T23),T23*12,0)+IF(ISNUMBER(U23),U23,0))&gt;=1,(IF(ISNUMBER(T23),T23*12,0)+IF(ISNUMBER(U23),U23,0))&lt;=(AQ23-1)+IF(H23="X",2,0)),TRUE,FALSE),FALSE)</x:f>
        <x:v>0</x:v>
      </x:c>
      <x:c r="AS23" s="1305">
        <x:f t="shared" ref="AS23:AS40" si="29">VLOOKUP(AK23,$DF$2:$DN$9,4,FALSE)+IF(LEFT(K23,1)="R",(IF(ISNUMBER(I23),I23*12,0)+IF(ISNUMBER(J23),J23,0)),0)</x:f>
        <x:v>6</x:v>
      </x:c>
      <x:c r="AT23" s="1305" t="b">
        <x:f t="shared" ref="AT23:AT40" si="30">IF(IF(ISNUMBER(V23),V23*12,0)+IF(ISNUMBER(W23),W23,0)&gt;0,IF(AND((IF(ISNUMBER(V23),V23*12,0)+IF(ISNUMBER(W23),W23,0))&gt;=1,(IF(ISNUMBER(V23),V23*12,0)+IF(ISNUMBER(W23),W23,0))&lt;=(AS23-1)+IF(K23="X",2,0)),TRUE,FALSE),FALSE)</x:f>
        <x:v>0</x:v>
      </x:c>
      <x:c r="AU23" s="1203" t="str">
        <x:f t="shared" ref="AU23:AU40" si="3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x:f>
        <x:v>LH</x:v>
      </x:c>
      <x:c r="AV23" s="1063" t="str">
        <x:f t="shared" ref="AV23:AV40" si="32">IF(NOT(ISERROR(SEARCH("KCSR",C23))),"KCSR",IF(NOT(ISERROR(SEARCH("KCSA",C23))),"KCSA",IF(NOT(ISERROR(SEARCH("KCS",C23))),"KCS",IF(NOT(ISERROR(SEARCH("KR",C23))),"KR",IF(NOT(ISERROR(SEARCH("KA",C23))),"KA",IF(NOT(ISERROR(SEARCH("K",C23))),"K",IF(NOT(ISERROR(SEARCH("CJ",C23))),"CJ","")))))))</x:f>
        <x:v/>
      </x:c>
      <x:c r="AW23" s="1063" t="str">
        <x:f>IF(NOT(ISERROR(SEARCH("HDR",C23))),"HDR",IF(NOT(ISERROR(SEARCH("JS",C23))),"JS",IF(NOT(ISERROR(SEARCH("SLH",C23))),"SLH",IF(NOT(ISERROR(SEARCH("DLH",C23))),"DLH",IF(NOT(ISERROR(SEARCH("LH",C23))),"LH","")))))</x:f>
        <x:v>LH</x:v>
      </x:c>
      <x:c r="AX23" s="1063" t="str">
        <x:f>IF(OR(ISBLANK(A23),A23=""),"",A23)</x:f>
        <x:v>J1</x:v>
      </x:c>
      <x:c r="AY23" s="554" t="b">
        <x:f t="shared" ref="AY23:AY40" si="33">IF($AE$1,IF(AX23=AX22,AY22,IF(AND(AX23&lt;&gt;"",OR(B23=0,B23="")),TRUE,FALSE)),FALSE)</x:f>
        <x:v>0</x:v>
      </x:c>
      <x:c r="AZ23" s="1090" t="b">
        <x:f>IF(AND(NOT(ISERROR(AJ23)),AJ23&gt;0),((IF(D23="",0,D23)*12+IF(E23="",0,E23))-(IF(F23="",0,F23)*12+IF(G23="",0,G23))-(IF(I23="",0,I23)*12+IF(J23="",0,J23)))&gt;AJ23*24,"")</x:f>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1246"/>
      <x:c r="BZ23" s="922"/>
      <x:c r="CA23" s="923"/>
      <x:c r="CB23" s="922"/>
      <x:c r="CC23" s="923"/>
      <x:c r="CD23" s="924" t="str">
        <x:f t="shared" ref="CD23:CD38" si="34">IF(CY23="","","X")</x:f>
        <x:v/>
      </x:c>
      <x:c r="CE23" s="925" t="str">
        <x:f t="shared" ref="CE23:CE38" si="35">IF(DI23="","","X")</x:f>
        <x:v/>
      </x:c>
      <x:c r="CF23" s="1147"/>
      <x:c r="CG23" s="1148"/>
      <x:c r="CH23" s="789" t="str">
        <x:f t="shared" ref="CH23:CH40" si="36">IF(EJ23=EK23,IF(EK23="ERR","ERR",""),CONCATENATE(IF(BM23&lt;0,"NS ","FS "),IF(EK23="ERR","Slot Only",CONCATENATE("Slot @ ",EJ23))))</x:f>
        <x:v/>
      </x:c>
      <x:c r="CI23" s="790" t="str">
        <x:f t="shared" ref="CI23:CI40" si="37">IF(EQ23=ER23,IF(ER23="ERR","ERR",""),CONCATENATE(IF(BU23&lt;0,"FS ","NS "),IF(ER23="ERR","Slot Only",CONCATENATE("Slot @ ",EQ23))))</x:f>
        <x:v/>
      </x:c>
      <x:c r="CJ23" s="791" t="str">
        <x:f>IF(EV23="","",IF(AND(DB23&lt;&gt;EV23,OR(NOT(ISBLANK(BJ23)),CU23="C")),CONCATENATE("LE slots @ ",DB23," Ga."),IF(AND(DL23&lt;&gt;EV23,OR(NOT(ISBLANK(BR23)),DE23="C")),CONCATENATE("RE slots @ ",DL23," Ga."),"")))</x:f>
        <x:v/>
      </x:c>
      <x:c r="CK23" s="1085" t="str">
        <x:f t="shared" ref="CK23:CK40" si="38">IF(AND(CP23&lt;&gt;"",BM23&lt;&gt;"",CQ23&lt;&gt;"",BU23&lt;&gt;""),"BE",IF(AND(CP23&lt;&gt;"",BM23&lt;&gt;""),"LE",IF(AND(CQ23&lt;&gt;"",BU23&lt;&gt;""),"RE","")))</x:f>
        <x:v/>
      </x:c>
      <x:c r="CL23" s="1079" t="str">
        <x:f>IF(ISBLANK(CB23),"",CEILING(DV23,0.125))</x:f>
        <x:v/>
      </x:c>
      <x:c r="CM23" s="1080" t="str">
        <x:f>IF(ISBLANK(CC23),"",CEILING(EB23,0.125))</x:f>
        <x:v/>
      </x:c>
      <x:c r="CN23" s="756" t="str">
        <x:f t="shared" ref="CN23:CN40" si="39">IF(AND(BW23&lt;&gt;0,BM23&lt;&gt;0),BW23*COS(RADIANS(90-BM23))/(1/COS(RADIANS(90-BM23)))*-1,"")</x:f>
        <x:v/>
      </x:c>
      <x:c r="CO23" s="757" t="str">
        <x:f t="shared" ref="CO23:CO40" si="40">IF(AND(BW23&lt;&gt;0,BU23&lt;&gt;0),BW23*COS(RADIANS(90-BU23))/(1/COS(RADIANS(90-BU23))),"")</x:f>
        <x:v/>
      </x:c>
      <x:c r="CP23" s="760" t="str">
        <x:f t="shared" ref="CP23:CP40" si="41">IF(BG23="","",IF(AU23="JS","",IF(VLOOKUP(AU23,$DF$2:$DN$9,5,FALSE)&gt;FO23,IF(FO23&gt;=0.0625,CEILING(FO23-0.0625,0.125),FO23),"")))</x:f>
        <x:v/>
      </x:c>
      <x:c r="CQ23" s="761" t="str">
        <x:f t="shared" ref="CQ23:CQ40" si="42">IF(BO23="","",IF(AU23="JS","",IF(VLOOKUP(AU23,$DF$2:$DN$9,5,FALSE)&gt;FP23,IF(FP23&gt;=0.0625,CEILING(FP23-0.0625,0.125),FP23),"")))</x:f>
        <x:v/>
      </x:c>
      <x:c r="CR23" s="951">
        <x:f t="shared" ref="CR23:CR40" si="43">IF(AU23="","",IF(ABS(FF23)&lt;ABS($CX$2),VLOOKUP(AU23,$DF$2:$DN$9,3,FALSE),CEILING(VLOOKUP(AU23,$DF$2:$DN$9,3,FALSE)/COS(FE23)+0.375+IF(CU23="M",IF(FE23&gt;0,(DV23-DW23)/12,0),IF(FE23&gt;0,0,(DV23-CV23)/12))*ABS(FF23),0.125)))</x:f>
        <x:v>5</x:v>
      </x:c>
      <x:c r="CS23" s="952">
        <x:f t="shared" ref="CS23:CS40" si="44">IF(AU23="","",IF(ABS(FK23)&lt;ABS($CX$2),VLOOKUP(AU23,$DF$2:$DN$9,3,FALSE),CEILING(VLOOKUP(AU23,$DF$2:$DN$9,3,FALSE)/COS(FJ23)+0.375+IF(DE23="M",IF(FJ23&lt;0,(EB23-EC23)/12,0),IF(FJ23&lt;0,0,(EB23-DF23)/12))*ABS(FK23),0.125)))</x:f>
        <x:v>5</x:v>
      </x:c>
      <x:c r="CU23" s="135" t="str">
        <x:f>IF(BG23="","",VLOOKUP(BG23,SectInfo!$B:$N,12,FALSE))</x:f>
        <x:v/>
      </x:c>
      <x:c r="CV23" s="136" t="str">
        <x:f>IF(BG23="","",IF(ISBLANK(BZ23),VLOOKUP(BG23,SectInfo!$B:$N,13,FALSE),BZ23))</x:f>
        <x:v/>
      </x:c>
      <x:c r="CW23" s="136" t="str">
        <x:f>IF(BG23="","",IF(VLOOKUP(BG23,SectInfo!$B:$N,5,FALSE)="","R",UPPER(VLOOKUP(BG23,SectInfo!$B:$N,5,FALSE))))</x:f>
        <x:v/>
      </x:c>
      <x:c r="CX23" s="1046" t="str">
        <x:f>IF(BG23="","",IF(ISBLANK(CF23),VLOOKUP(BG23,SectInfo!$B:$N,6,FALSE),CF23))</x:f>
        <x:v/>
      </x:c>
      <x:c r="CY23" s="136" t="str">
        <x:f>IF(BG23="","",IF(VLOOKUP(BG23,SectInfo!$B:$N,10,FALSE)="","",(VLOOKUP(BG23,SectInfo!$B:$N,10,FALSE)*-1)))</x:f>
        <x:v/>
      </x:c>
      <x:c r="CZ23" s="1443" t="str">
        <x:f>IF(BG23="","",IF(VLOOKUP(BG23,SectInfo!$B:$N,11,FALSE)="","2",(VLOOKUP(BG23,SectInfo!$B:$N,11,FALSE))))</x:f>
        <x:v/>
      </x:c>
      <x:c r="DA23" s="136" t="str">
        <x:f>IF(BG23="","",IF(VLOOKUP(BG23,SectInfo!$B:$N,7,FALSE)="","",(VLOOKUP(BG23,SectInfo!$B:$N,7,FALSE)*-1)))</x:f>
        <x:v/>
      </x:c>
      <x:c r="DB23" s="1046" t="str">
        <x:f>IF(BG23="","",IF(VLOOKUP(BG23,SectInfo!$B:$N,8,FALSE)="",VLOOKUP(AU23,$DF$2:$DN$9,6,FALSE),(VLOOKUP(BG23,SectInfo!$B:$N,8,FALSE))))</x:f>
        <x:v/>
      </x:c>
      <x:c r="DC23" s="1046" t="str">
        <x:f>IF(BG23="","",VLOOKUP(BG23,SectInfo!$B:$N,9,FALSE))</x:f>
        <x:v/>
      </x:c>
      <x:c r="DD23" s="1047">
        <x:f>BN23*-1</x:f>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27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BV23*-1</x:f>
        <x:v>0</x:v>
      </x:c>
      <x:c r="DO23" s="1049">
        <x:f t="shared" ref="DO23:DO40" si="45">IF(BW23="",0,ATAN(BW23/12))</x:f>
        <x:v>0</x:v>
      </x:c>
      <x:c r="DP23" s="1050" t="str">
        <x:f t="shared" ref="DP23:DP40" si="46">IF(OR(CV23="",BE23="",DF23=""),"",CEILING(IF(AND(BE23="",BF23=""),"",((BE23*12+BF23)+CV23+DF23)/COS(FN23))-0.0625,0.125))</x:f>
        <x:v/>
      </x:c>
      <x:c r="DQ23" s="1050" t="str">
        <x:f t="shared" ref="DQ23:DQ40" si="47">IF(AU23="","",IF(ABS(FF23)&lt;ABS($CX$2),CX23,IF(FF23=0,CX23,CEILING((CX23+((DW23-CV23)/12)*FF23)-0.0625,0.125))))</x:f>
        <x:v/>
      </x:c>
      <x:c r="DR23" s="1050" t="str">
        <x:f t="shared" ref="DR23:DR40" si="48">IF(AU23="","",IF(ABS(FK23)&lt;ABS($CX$2),DH23,IF(FK23=0,DH23,CEILING((DH23+((EC23-DF23)/12)*FK23)-0.0625,0.125))))</x:f>
        <x:v/>
      </x:c>
      <x:c r="DS23" s="1051">
        <x:f t="shared" ref="DS23:DS40" si="49">IF(BM23="",0,RADIANS(ABS(BM23)))</x:f>
        <x:v>0</x:v>
      </x:c>
      <x:c r="DT23" s="1052">
        <x:f>MIN(IF(BH23&gt;0,BH23/2,MAX(BI23/2,DC23)),IF(BI23&gt;0,BI23/2,MAX(BH23/2,DC23)),IF(DC23&gt;0,DC23,MAX(BI23/2,BH23/2)))/IF(OR(CU23="C",AND(CU23="M",$DD$1="N")),1,COS(DS23))</x:f>
        <x:v>0</x:v>
      </x:c>
      <x:c r="DU23" s="1052" t="str">
        <x:f>IF(CV23="","",IF(DC23&gt;=0,MAX(BH23/2,BI23/2,DC23),DC23)/IF(OR(CU23="C",AND(CU23="M",$DD$1="N")),1,COS(DS23)))</x:f>
        <x:v/>
      </x:c>
      <x:c r="DV23" s="1050" t="str">
        <x:f t="shared" ref="DV23:DV40" si="50">IF(CV23="","",(CV23+DU23+(VLOOKUP(IF(AU23="HDR","K",AU23),$DF$2:$DN$9,2,FALSE))*TAN(DS23))/COS(FD23)-FH23)</x:f>
        <x:v/>
      </x:c>
      <x:c r="DW23" s="1050" t="str">
        <x:f t="shared" ref="DW23:DW40" si="51">IF(CV23="","",MAX(0,IF(NOT(ISBLANK(CB23)),CV23-CB23,DV23-VLOOKUP(IF(AU23="HDR","K",AU23),$DF$2:$DN$9,4,FALSE))))</x:f>
        <x:v/>
      </x:c>
      <x:c r="DX23" s="1268">
        <x:f>IF(CV23="",0,IF(DW23/COS(FN23-FD23)&lt;0.0625,0,CEILING(DW23/COS(FN23-FD23)-0.03125,0.125)))</x:f>
        <x:v>0</x:v>
      </x:c>
      <x:c r="DY23" s="1050">
        <x:f>RADIANS(ABS(BU23))</x:f>
        <x:v>0</x:v>
      </x:c>
      <x:c r="DZ23" s="1052">
        <x:f>MIN(IF(BP23&gt;0,BP23/2,MAX(BQ23/2,DM23)),IF(BQ23&gt;0,BQ23/2,MAX(BP23/2,DM23)),IF(DM23&gt;0,DM23,MAX(BQ23/2,BP23/2)))/IF(OR(DE23="C",AND(DE23="M",$DD$1="N")),1,COS(DY23))</x:f>
        <x:v>0</x:v>
      </x:c>
      <x:c r="EA23" s="1052" t="str">
        <x:f>IF(DF23="","",IF(DM23&gt;=0,MAX(BP23/2,BQ23/2,DM23),DM23)/IF(OR(DE23="C",AND(DE23="M",$DD$1="N")),1,COS(DY23)))</x:f>
        <x:v/>
      </x:c>
      <x:c r="EB23" s="1050" t="str">
        <x:f t="shared" ref="EB23:EB40" si="52">IF(DF23="","",(DF23+EA23+(VLOOKUP(IF(AU23="HDR","K",AU23),$DF$2:$DN$9,2,FALSE))*TAN(DY23))/COS(FI23)-FM23)</x:f>
        <x:v/>
      </x:c>
      <x:c r="EC23" s="1050" t="str">
        <x:f t="shared" ref="EC23:EC40" si="53">IF(DF23="","",MAX(0,IF(NOT(ISBLANK(CC23)),DF23-CC23,EB23-VLOOKUP(IF(AU23="HDR","K",AU23),$DF$2:$DN$9,4,FALSE))))</x:f>
        <x:v/>
      </x:c>
      <x:c r="ED23" s="1268">
        <x:f>IF(DF23="",0,IF(EC23/COS(FN23+FI23)&lt;0.0625,0,CEILING(EC23/COS(FN23+FI23)-0.03125,0.125)))</x:f>
        <x:v>0</x:v>
      </x:c>
      <x:c r="EE23" s="1449" t="str">
        <x:f>IF(AND(EZ23="",DA23=""),"",IF(EZ23="ERR","ERR",IF(CU23="C",DA23,IF(BJ23="","",IF(DA23="",(EZ23/2)*-1,DA23)))))</x:f>
        <x:v/>
      </x:c>
      <x:c r="EF23" s="1050" t="str">
        <x:f t="shared" ref="EF23:EF40" si="54">IF(EE23="ERR","ERR",IF(EE23="","",IF(DB23*TAN(DS23)&lt;=(VLOOKUP(AU23,$DF$2:$DN$9,8,FALSE)-(VLOOKUP(AU23,$DF$2:$DN$9,7,FALSE)-0.0625)),CV23-(EE23-FH23)/IF(OR(CU23="C",AND(CU23="M",$DD$1="N")),1,COS(DS23))-IF(MID(CW23,1,1)="R",0,DW23),(ABS(EE23-FH23)/IF(OR(CU23="C",AND(CU23="M",$DD$1="N")),1,COS(DS23))+CV23)-((DB23/2)*TAN(DS23))-IF(MID(CW23,1,1)="R",0,DW23))))</x:f>
        <x:v/>
      </x:c>
      <x:c r="EG23" s="1050" t="str">
        <x:f t="shared" ref="EG23:EG40" si="55">IF(EE23="ERR","ERR",IF(EE23="","",IF(DB23*TAN(DS23)&lt;=(VLOOKUP(AU23,$DF$2:$DN$9,8,FALSE)-(VLOOKUP(AU23,$DF$2:$DN$9,7,FALSE)-0.0625)),CV23-(EE23-FH23)/IF(OR(CU23="C",AND(CU23="M",$DD$1="N")),1,COS(DS23))-IF(MID(CW23,1,1)="R",0,DW23),(ABS(EE23-FH23)/IF(OR(CU23="C",AND(CU23="M",$DD$1="N")),1,COS(DS23))+CV23)+((DB23/2)*TAN(DS23))-IF(MID(CW23,1,1)="R",0,DW23))))</x:f>
        <x:v/>
      </x:c>
      <x:c r="EH23" s="1050" t="str">
        <x:f t="shared" ref="EH23:EH40" si="56">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x:f>
        <x:v>ERR</x:v>
      </x:c>
      <x:c r="EI23" s="1050" t="str">
        <x:f t="shared" ref="EI23:EI40" si="57">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x:f>
        <x:v>ERR</x:v>
      </x:c>
      <x:c r="EJ23" s="1050" t="str">
        <x:f t="shared" ref="EJ23:EK40" si="58">IF(ISERROR(EF23),"ERR",IF(EF23="","",IF(EH23="ERR","ERR",CEILING(EH23-0.0625,0.125))))</x:f>
        <x:v/>
      </x:c>
      <x:c r="EK23" s="1050" t="str">
        <x:f t="shared" si="58"/>
        <x:v/>
      </x:c>
      <x:c r="EL23" s="1449" t="str">
        <x:f>IF(AND(FC23="",DK23=""),"",IF(FC23="ERR","ERR",IF(DE23="C",DK23,IF(BR23="","",IF(DK23="",(FC23/2)*-1,DK23)))))</x:f>
        <x:v/>
      </x:c>
      <x:c r="EM23" s="1050" t="str">
        <x:f t="shared" ref="EM23:EM40" si="59">IF(EL23="ERR","ERR",IF(EL23="","",IF(DL23*TAN(DY23)&lt;=(VLOOKUP(AU23,$DF$2:$DN$9,8,FALSE)-(VLOOKUP(AU23,$DF$2:$DN$9,7,FALSE)-0.0625)),DF23-(EL23-FM23)/IF(OR(DE23="C",AND(DE23="M",$DD$1="N")),1,COS(DY23))-IF(MID(DG23,1,1)="R",0,EC23),(ABS(EL23-FM23)/IF(OR(DE23="C",AND(DE23="M",$DD$1="N")),1,COS(DY23))+DF23)-((DL23/2)*TAN(DY23))-IF(MID(DG23,1,1)="R",0,EC23))))</x:f>
        <x:v/>
      </x:c>
      <x:c r="EN23" s="1050" t="str">
        <x:f t="shared" ref="EN23:EN40" si="60">IF(EL23="ERR","ERR",IF(EL23="","",IF(DL23*TAN(DY23)&lt;=(VLOOKUP(AU23,$DF$2:$DN$9,8,FALSE)-(VLOOKUP(AU23,$DF$2:$DN$9,7,FALSE)-0.0625)),DF23-(EL23-FM23)/IF(OR(DE23="C",AND(DE23="M",$DD$1="N")),1,COS(DY23))-IF(MID(DG23,1,1)="R",0,EC23),(ABS(EL23-FM23)/IF(OR(DE23="C",AND(DE23="M",$DD$1="N")),1,COS(DY23))+DF23)+((DL23/2)*TAN(DY23))-IF(MID(DG23,1,1)="R",0,EC23))))</x:f>
        <x:v/>
      </x:c>
      <x:c r="EO23" s="1050" t="str">
        <x:f t="shared" ref="EO23:EO40" si="61">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x:f>
        <x:v>ERR</x:v>
      </x:c>
      <x:c r="EP23" s="1050" t="str">
        <x:f t="shared" ref="EP23:EP40" si="62">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x:f>
        <x:v>ERR</x:v>
      </x:c>
      <x:c r="EQ23" s="1050" t="str">
        <x:f t="shared" ref="EQ23:ER40" si="63">IF(ISERROR(EM23),"ERR",IF(EM23="","",IF(EO23="ERR","ERR",CEILING(EO23-0.0625,0.125))))</x:f>
        <x:v/>
      </x:c>
      <x:c r="ER23" s="1050" t="str">
        <x:f t="shared" si="63"/>
        <x:v/>
      </x:c>
      <x:c r="ES23" s="1053" t="str">
        <x:f t="shared" ref="ES23:ES40" si="64">IF(OR(CY23="",AU23="JS",AU23="HDR",CD23=""),"",IF((CV23-CY23)/COS(DO23)-FS23&lt;=-0.0625,CEILING((CV23-CY23)/COS(DO23)-FS23+0.0625,-0.125),IF((CV23-CY23)/COS(DO23)-FS23&gt;=0.0625,CEILING((CV23-CY23)/COS(DO23)-FS23-0.0625,0.125),0)))</x:f>
        <x:v/>
      </x:c>
      <x:c r="ET23" s="1053" t="str">
        <x:f t="shared" ref="ET23:ET40" si="65">IF(OR(DI23="",AU23="JS",AU23="HDR",CE23=""),"",IF((DF23-DI23)/COS(DO23)-FT23&lt;=-0.0625,CEILING((DF23-DI23)/COS(DO23)-FT23+0.0625,-0.125),IF((DF23-DI23)/COS(DO23)-FT23&gt;=0.0625,CEILING((DF23-DI23)/COS(DO23)-FT23-0.0625,0.125),0)))</x:f>
        <x:v/>
      </x:c>
      <x:c r="EU23" s="1054">
        <x:f t="shared" ref="EU23:EU40" si="66">IF(AU23="","",VLOOKUP(AU23,$DF$2:$DN$9,6,FALSE))</x:f>
        <x:v>4</x:v>
      </x:c>
      <x:c r="EV23" s="1055" t="str">
        <x:f>IF(AND(EK23="",ER23=""),"",IF(EK23="",DL23,IF(EQ23="",DB23,IF(DB23&lt;&gt;DL23,EU23,DB23))))</x:f>
        <x:v/>
      </x:c>
      <x:c r="EW23" s="1054"/>
      <x:c r="EX23" s="1054" t="str">
        <x:f>IF(AND(CU23="G", ISBLANK(BK23), ISBLANK(BL23)),VLOOKUP(MIN(BH23:BI23),TblJoistSize!$M$3:$N$10,2),IF(OR(CU23="B",CU23="G"),MIN(BK23:BL23),""))</x:f>
        <x:v/>
      </x:c>
      <x:c r="EY23" s="1054" t="str">
        <x:f>IF(AND(CU23="G", ISBLANK(BK23), ISBLANK(BL23)),VLOOKUP(MAX(BH23:BI23),TblJoistSize!$M$3:$N$10,2),IF(OR(CU23="B",CU23="G"),MAX(BK23:BL23),""))</x:f>
        <x:v/>
      </x:c>
      <x:c r="EZ23" s="1054" t="str">
        <x:f t="shared" ref="EZ23:EZ40" si="67">IF(BJ23="X",IF(OR(CU23="M",CU23="C"),"",IF((EY23-EX23)/2&lt;=(VLOOKUP(AU23,$DF$2:$DN$9,8,FALSE)-(VLOOKUP(AU23,$DF$2:$DN$9,7,FALSE)-0.0625)),(EX23+EY23)/2,"ERR")),"")</x:f>
        <x:v/>
      </x:c>
      <x:c r="FA23" s="1054" t="str">
        <x:f>IF(AND(DE23="G", ISBLANK(BS23), ISBLANK(BT23)),VLOOKUP(MIN(BP23:BQ23),TblJoistSize!$M$3:$N$10,2),IF(OR(DE23="B", DE23="G"),MIN(BS23:BT23),""))</x:f>
        <x:v/>
      </x:c>
      <x:c r="FB23" s="1054" t="str">
        <x:f>IF(AND(DE23="G", ISBLANK(BS23), ISBLANK(BT23)),VLOOKUP(MAX(BP23:BQ23),TblJoistSize!$M$3:$N$10,2),IF(OR(DE23="B", DE23="G"),MAX(BS23:BT23),""))</x:f>
        <x:v/>
      </x:c>
      <x:c r="FC23" s="1054" t="str">
        <x:f t="shared" ref="FC23:FC40" si="68">IF(BR23="X",IF(OR(DE23="M",DE23="C"),"",IF((FB23-FA23)/2&lt;=(VLOOKUP(AU23,$DF$2:$DN$9,8,FALSE)-(VLOOKUP(AU23,$DF$2:$DN$9,7,FALSE)-0.0625)),(FA23+FB23)/2,"ERR")),"")</x:f>
        <x:v/>
      </x:c>
      <x:c r="FD23" s="1050">
        <x:f t="shared" ref="FD23:FD40" si="69">IF(DD23="",0,ATAN(DD23/12))</x:f>
        <x:v>0</x:v>
      </x:c>
      <x:c r="FE23" s="1050">
        <x:f t="shared" ref="FE23:FE40" si="70">DO23-FD23</x:f>
        <x:v>0</x:v>
      </x:c>
      <x:c r="FF23" s="1051">
        <x:f t="shared" ref="FF23:FF40" si="71">TAN(FE23)*12</x:f>
        <x:v>0</x:v>
      </x:c>
      <x:c r="FG23" s="1051" t="str">
        <x:f t="shared" ref="FG23:FG40" si="72">IF(FF23=0,"",IF(ABS(FF23)&lt;$CX$2,IF(AND(ABS(MIN(DV23,FQ23)/12*FF23)&gt;$DD$2,FF23&gt;0),IF(FF23&gt;0,CEILING(FF23-0.0625,0.125),CEILING(FF23+0.0625,-0.125)),""),IF(FF23&gt;0,CEILING(FF23-0.0625,0.125),CEILING(FF23+0.0625,-0.125))))</x:f>
        <x:v/>
      </x:c>
      <x:c r="FH23" s="1050" t="str">
        <x:f t="shared" ref="FH23:FH40" si="73">IF(CX23="","",CX23*TAN(FD23))</x:f>
        <x:v/>
      </x:c>
      <x:c r="FI23" s="1050">
        <x:f t="shared" ref="FI23:FI40" si="74">IF(DN23="",0,ATAN(DN23/12))</x:f>
        <x:v>0</x:v>
      </x:c>
      <x:c r="FJ23" s="1050">
        <x:f t="shared" ref="FJ23:FJ40" si="75">DO23+FI23</x:f>
        <x:v>0</x:v>
      </x:c>
      <x:c r="FK23" s="1051">
        <x:f t="shared" ref="FK23:FK40" si="76">TAN(FJ23)*-12</x:f>
        <x:v>0</x:v>
      </x:c>
      <x:c r="FL23" s="1051" t="str">
        <x:f t="shared" ref="FL23:FL40" si="77">IF(FK23=0,"",IF(ABS(FK23)&lt;$CX$2,IF(AND(ABS(MIN(EB23,FR23)/12*FK23)&gt;$DD$2,FK23&gt;0),IF(FK23&gt;0,CEILING(FK23-0.0625,0.125),CEILING(FK23+0.0625,-0.125)),""),IF(FK23&gt;0,CEILING(FK23-0.0625,0.125),CEILING(FK23+0.0625,-0.125))))</x:f>
        <x:v/>
      </x:c>
      <x:c r="FM23" s="1050" t="str">
        <x:f t="shared" ref="FM23:FM40" si="78">IF(DH23="","",DH23*TAN(FI23))</x:f>
        <x:v/>
      </x:c>
      <x:c r="FN23" s="1050" t="e">
        <x:f>IF(((BE23*12+BF23)+CV23+DF23)/COS(DO23)-((BE23*12+BF23)+CV23+DF23)&lt;$DB$2,0,DO23)</x:f>
        <x:v>#VALUE!</x:v>
      </x:c>
      <x:c r="FO23" s="1056" t="e">
        <x:f t="shared" ref="FO23:FO40" si="79">MIN(IF(BH23&gt;0,BH23/2,MAX(BI23/2,DC23)),IF(BI23&gt;0,BI23/2,MAX(BH23/2,DC23)),IF(DC23&gt;0,DC23,MAX(BI23/2,BH23/2)))/COS(DS23)+CV23-DW23</x:f>
        <x:v>#VALUE!</x:v>
      </x:c>
      <x:c r="FP23" s="1056" t="e">
        <x:f t="shared" ref="FP23:FP40" si="80">MIN(IF(BP23&gt;0,BP23/2,MAX(BQ23/2,DM23)),IF(BQ23&gt;0,BQ23/2,MAX(BP23/2,DM23)),IF(DM23&gt;0,DM23,MAX(BQ23/2,BP23/2)))/COS(DY23)+DF23-EC23</x:f>
        <x:v>#VALUE!</x:v>
      </x:c>
      <x:c r="FQ23" s="1057" t="e">
        <x:f t="shared" ref="FQ23:FQ40" si="81">IF(OR(CU23="M", CU23="B",CU23="G"),MAX(BH23,BI23),DC23+CV23)</x:f>
        <x:v>#VALUE!</x:v>
      </x:c>
      <x:c r="FR23" s="1058" t="e">
        <x:f t="shared" ref="FR23:FR40" si="82">IF(OR(DE23="M", DE23="B",DE23="G"),MAX(BP23,BQ23),DM23+DF23)</x:f>
        <x:v>#VALUE!</x:v>
      </x:c>
      <x:c r="FS23" s="1059" t="str">
        <x:f t="shared" ref="FS23:FS40" si="83">IF(CY23="","",IF(ABS(BW23*((AJ23-IF(BW23&gt;0,VLOOKUP(AU23,$DF$2:$DN$9,9,FALSE),0))/12))&gt;$CZ$2,BW23*((AJ23-IF(BW23&gt;0,VLOOKUP(AU23,$DF$2:$DN$9,9,FALSE),0))/12),0))</x:f>
        <x:v/>
      </x:c>
      <x:c r="FT23" s="1060" t="str">
        <x:f t="shared" ref="FT23:FT40" si="84">IF(DI23="","",IF(ABS(BW23*((AJ23-IF(BW23&lt;0,VLOOKUP(AU23,$DF$2:$DN$9,9,FALSE),0))/12))&gt;$CZ$2,BW23*((AJ23-IF(BW23&lt;0,VLOOKUP(AU23,$DF$2:$DN$9,9,FALSE),0))/12)*-1,0))</x:f>
        <x:v/>
      </x:c>
      <x:c r="FU23" s="1272">
        <x:f t="shared" ref="FU23:FU40" si="85">IF(CX23="",0,MAX(0,MIN(DV23-VLOOKUP(AU23,DF$2:DN$9,4,FALSE),(MAX(0,CX23-VLOOKUP(AU23,DF$2:DN$9,3,FALSE))+VLOOKUP(AU23,DF$2:DN$9,4,FALSE))*COS(DO23)+((MAX(0,CX23-VLOOKUP(AU23,DF$2:DN$9,3,FALSE))+VLOOKUP(AU23,DF$2:DN$9,4,FALSE))*COS(PI()/2-DO23))/TAN(PI()/2-(DO23+PI()/4))-VLOOKUP(AU23,DF$2:DN$9,4,FALSE))))</x:f>
        <x:v>0</x:v>
      </x:c>
      <x:c r="FV23" s="1273">
        <x:f t="shared" ref="FV23:FV40" si="86">IF(DH23="",0,MAX(0,MIN(EB23-VLOOKUP(AU23,DF$2:DN$9,4,FALSE),(MAX(0,DH23-VLOOKUP(AU23,DF$2:DN$9,3,FALSE))+VLOOKUP(AU23,DF$2:DN$9,4,FALSE))*COS(DO23)+((MAX(0,DH23-VLOOKUP(AU23,DF$2:DN$9,3,FALSE))+VLOOKUP(AU23,DF$2:DN$9,4,FALSE))*COS(PI()/2-DO23))/TAN(PI()/2-(DO23+PI()/4))-VLOOKUP(AU23,DF$2:DN$9,4,FALSE))))</x:f>
        <x:v>0</x:v>
      </x:c>
      <x:c r="GA23" s="1975">
        <x:v>59</x:v>
      </x:c>
      <x:c r="GB23" s="1976">
        <x:v>2.75</x:v>
      </x:c>
      <x:c r="GC23" s="1977">
        <x:v>2</x:v>
      </x:c>
      <x:c r="GD23" s="1978">
        <x:v>-0.5</x:v>
      </x:c>
      <x:c r="GE23" s="1979">
        <x:v>0.11154815972107449</x:v>
      </x:c>
      <x:c r="GF23" s="1980" t="str">
        <x:f t="shared" ref="GF23:GF40" si="87">IF(A23=0,"",A23)</x:f>
        <x:v>J1</x:v>
      </x:c>
      <x:c r="GG23" s="1453"/>
      <x:c r="GH23" s="1454"/>
      <x:c r="GI23" s="1453"/>
      <x:c r="GJ23" s="1454"/>
      <x:c r="GK23" s="1407">
        <x:f t="shared" ref="GK23:GK40" si="88">IF(D23="",0,D23*12+E23)</x:f>
        <x:v>712.25</x:v>
      </x:c>
      <x:c r="GL23" s="1407">
        <x:f t="shared" ref="GL23:GL40" si="89">(GA23*12+GB23+GC23+GD23)/COS(ATAN(ABS(GE23/12)))</x:f>
        <x:v>712.28077197765151</x:v>
      </x:c>
      <x:c r="GM23" s="1408">
        <x:f>IF(ABS(GK23-GL23)&gt;='Job Info.'!$L$22,ABS(GK23-GL23),0)</x:f>
        <x:v>0</x:v>
      </x:c>
      <x:c r="GZ23" s="497"/>
      <x:c r="HA23" s="1634" t="s">
        <x:v>1325</x:v>
      </x:c>
      <x:c r="HB23" s="1635">
        <x:v>48</x:v>
      </x:c>
      <x:c r="HC23" s="1635" t="s">
        <x:v>1978</x:v>
      </x:c>
      <x:c r="HD23" s="1636">
        <x:v>59</x:v>
      </x:c>
      <x:c r="HE23" s="1637">
        <x:v>4.25</x:v>
      </x:c>
      <x:c r="HF23" s="1635">
        <x:v>0</x:v>
      </x:c>
      <x:c r="HG23" s="1635">
        <x:v>3.625</x:v>
      </x:c>
      <x:c r="HH23" s="1635" t="s">
        <x:v>114</x:v>
      </x:c>
      <x:c r="HI23" s="1638"/>
      <x:c r="HJ23" s="1635"/>
      <x:c r="HK23" s="1635"/>
      <x:c r="HL23" s="1635">
        <x:v>3</x:v>
      </x:c>
      <x:c r="HM23" s="1635">
        <x:v>3</x:v>
      </x:c>
      <x:c r="HN23" s="1635"/>
      <x:c r="HO23" s="1635"/>
      <x:c r="HP23" s="1635"/>
      <x:c r="HQ23" s="1638"/>
      <x:c r="HR23" s="1635"/>
      <x:c r="HS23" s="1635"/>
      <x:c r="HT23" s="1635"/>
      <x:c r="HU23" s="1635"/>
      <x:c r="HV23" s="1635"/>
      <x:c r="HW23" s="1637"/>
      <x:c r="HX23" s="1637">
        <x:v>0</x:v>
      </x:c>
      <x:c r="HY23" s="1637"/>
      <x:c r="HZ23" s="1637"/>
      <x:c r="IA23" s="1637" t="s">
        <x:v>2062</x:v>
      </x:c>
      <x:c r="IB23" s="1637"/>
      <x:c r="IC23" s="1637"/>
      <x:c r="ID23" s="1637"/>
      <x:c r="IE23" s="1637"/>
      <x:c r="IF23" s="1639"/>
      <x:c r="IG23" s="497"/>
      <x:c r="IH23" s="497"/>
      <x:c r="II23" s="497"/>
    </x:row>
    <x:row r="24" spans="1:243" ht="12.6" customHeight="1" x14ac:dyDescent="0.25">
      <x:c r="A24" s="1264" t="s">
        <x:v>1326</x:v>
      </x:c>
      <x:c r="B24" s="1265">
        <x:v>0</x:v>
      </x:c>
      <x:c r="C24" s="1265" t="s">
        <x:v>1978</x:v>
      </x:c>
      <x:c r="D24" s="1261">
        <x:v>59</x:v>
      </x:c>
      <x:c r="E24" s="1411">
        <x:v>4.25</x:v>
      </x:c>
      <x:c r="F24" s="1263">
        <x:v>0</x:v>
      </x:c>
      <x:c r="G24" s="1262">
        <x:v>3.625</x:v>
      </x:c>
      <x:c r="H24" s="1266" t="s">
        <x:v>114</x:v>
      </x:c>
      <x:c r="I24" s="1261" t="str">
        <x:f t="shared" si="1"/>
        <x:v/>
      </x:c>
      <x:c r="J24" s="1262" t="str">
        <x:f t="shared" si="2"/>
        <x:v/>
      </x:c>
      <x:c r="K24" s="1412" t="str">
        <x:f t="shared" si="3"/>
        <x:v/>
      </x:c>
      <x:c r="L24" s="1327">
        <x:v>3</x:v>
      </x:c>
      <x:c r="M24" s="1329">
        <x:v>3</x:v>
      </x:c>
      <x:c r="N24" s="1263" t="str">
        <x:f t="shared" si="4"/>
        <x:v/>
      </x:c>
      <x:c r="O24" s="1262" t="str">
        <x:f t="shared" si="5"/>
        <x:v/>
      </x:c>
      <x:c r="P24" s="1260" t="str">
        <x:f t="shared" si="6"/>
        <x:v/>
      </x:c>
      <x:c r="Q24" s="1261" t="str">
        <x:f t="shared" si="7"/>
        <x:v/>
      </x:c>
      <x:c r="R24" s="1262" t="str">
        <x:f t="shared" si="8"/>
        <x:v/>
      </x:c>
      <x:c r="S24" s="1410" t="str">
        <x:f t="shared" si="9"/>
        <x:v/>
      </x:c>
      <x:c r="T24" s="1263" t="str">
        <x:f t="shared" si="10"/>
        <x:v/>
      </x:c>
      <x:c r="U24" s="1262" t="str">
        <x:f t="shared" si="11"/>
        <x:v/>
      </x:c>
      <x:c r="V24" s="1261" t="str">
        <x:f t="shared" si="12"/>
        <x:v/>
      </x:c>
      <x:c r="W24" s="1262" t="str">
        <x:f t="shared" si="13"/>
        <x:v/>
      </x:c>
      <x:c r="X24" s="1409">
        <x:f t="shared" si="14"/>
        <x:v>0</x:v>
      </x:c>
      <x:c r="Y24" s="1377" t="str">
        <x:f t="shared" si="15"/>
        <x:v/>
      </x:c>
      <x:c r="Z24" s="1378" t="str">
        <x:f t="shared" si="16"/>
        <x:v/>
      </x:c>
      <x:c r="AA24" s="2159" t="s">
        <x:v>2063</x:v>
      </x:c>
      <x:c r="AC24" s="1226" t="b">
        <x:v>0</x:v>
      </x:c>
      <x:c r="AD24" s="525">
        <x:f t="shared" si="17"/>
        <x:v>0</x:v>
      </x:c>
      <x:c r="AE24" s="526">
        <x:f t="shared" si="18"/>
        <x:v>0</x:v>
      </x:c>
      <x:c r="AF24" s="526">
        <x:f t="shared" si="19"/>
        <x:v>0</x:v>
      </x:c>
      <x:c r="AG24" s="526">
        <x:f t="shared" si="20"/>
        <x:v>0</x:v>
      </x:c>
      <x:c r="AH24" s="527">
        <x:f t="shared" si="21"/>
        <x:v>0</x:v>
      </x:c>
      <x:c r="AI24" s="528" t="b">
        <x:v>0</x:v>
      </x:c>
      <x:c r="AJ24" s="284">
        <x:f>IF(OR(ISERROR(VALUE(LEFT(C24,SEARCH(AK24,C24)-1))),AK24=""),0,VALUE(LEFT(C24,SEARCH(AK24,C24)-1)))</x:f>
        <x:v>36</x:v>
      </x:c>
      <x:c r="AK24" s="284" t="str">
        <x:f t="shared" si="22"/>
        <x:v>LH</x:v>
      </x:c>
      <x:c r="AL24" s="1202" t="str">
        <x:f t="shared" si="23"/>
        <x:v/>
      </x:c>
      <x:c r="AM24" s="284">
        <x:f t="shared" si="24"/>
        <x:v>270</x:v>
      </x:c>
      <x:c r="AN24" s="284">
        <x:f t="shared" si="25"/>
        <x:v>120</x:v>
      </x:c>
      <x:c r="AO24" s="284" t="str">
        <x:f t="shared" si="26"/>
        <x:v/>
      </x:c>
      <x:c r="AP24" s="1063" t="b">
        <x:f>IF(ISERROR(AJ24),FALSE,IF(OR(AJ24=0,ISERROR(AL24),ISERROR(AM24),ISERROR(AN24),ISERROR(AO24)),FALSE,IF(AL24&lt;&gt;"",IF(ISERROR(VLOOKUP(SUBSTITUTE(SUBSTITUTE(C24,"R",""),"A",""),TblJoistSize!$A:$A,1,FALSE)),FALSE,TRUE),TRUE)))</x:f>
        <x:v>1</x:v>
      </x:c>
      <x:c r="AQ24" s="1305">
        <x:f t="shared" si="27"/>
        <x:v>9.625</x:v>
      </x:c>
      <x:c r="AR24" s="1305" t="b">
        <x:f t="shared" si="28"/>
        <x:v>0</x:v>
      </x:c>
      <x:c r="AS24" s="1305">
        <x:f t="shared" si="29"/>
        <x:v>6</x:v>
      </x:c>
      <x:c r="AT24" s="1305" t="b">
        <x:f t="shared" si="30"/>
        <x:v>0</x:v>
      </x:c>
      <x:c r="AU24" s="1203" t="str">
        <x:f t="shared" si="31"/>
        <x:v>LH</x:v>
      </x:c>
      <x:c r="AV24" s="1063" t="str">
        <x:f t="shared" si="32"/>
        <x:v/>
      </x:c>
      <x:c r="AW24" s="1063" t="str">
        <x:f t="shared" ref="AW24:AW40" si="90">IF(NOT(ISERROR(SEARCH("HDR",C24))),"HDR",IF(NOT(ISERROR(SEARCH("JS",C24))),"JS",IF(NOT(ISERROR(SEARCH("SLH",C24))),"SLH",IF(NOT(ISERROR(SEARCH("DLH",C24))),"DLH",IF(NOT(ISERROR(SEARCH("LH",C24))),"LH","")))))</x:f>
        <x:v>LH</x:v>
      </x:c>
      <x:c r="AX24" s="1063" t="str">
        <x:f>IF(AND(OR(ISBLANK(A24),A24=""),AA24&lt;&gt;""),AX23,IF(OR(ISBLANK(A24),A24=""),"",A24))</x:f>
        <x:v>J2</x:v>
      </x:c>
      <x:c r="AY24" s="554" t="b">
        <x:f t="shared" si="33"/>
        <x:v>0</x:v>
      </x:c>
      <x:c r="AZ24" s="1090" t="b">
        <x:f t="shared" ref="AZ24:AZ40" si="91">IF(AND(NOT(ISERROR(AJ24)),AJ24&gt;0),((IF(D24="",0,D24)*12+IF(E24="",0,E24))-(IF(F24="",0,F24)*12+IF(G24="",0,G24))-(IF(I24="",0,I24)*12+IF(J24="",0,J24)))&gt;AJ24*24,"")</x:f>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4"/>
        <x:v/>
      </x:c>
      <x:c r="CE24" s="935" t="str">
        <x:f t="shared" si="35"/>
        <x:v/>
      </x:c>
      <x:c r="CF24" s="1149"/>
      <x:c r="CG24" s="1150"/>
      <x:c r="CH24" s="792" t="str">
        <x:f t="shared" si="36"/>
        <x:v/>
      </x:c>
      <x:c r="CI24" s="793" t="str">
        <x:f t="shared" si="37"/>
        <x:v/>
      </x:c>
      <x:c r="CJ24" s="794" t="str">
        <x:f>IF(EV24="","",IF(AND(DB24&lt;&gt;EV24,OR(NOT(ISBLANK(BJ24)),CU24="C")),CONCATENATE("LE slots @ ",DB24," Ga."),IF(AND(DL24&lt;&gt;EV24,OR(NOT(ISBLANK(BR24)),DE24="C")),CONCATENATE("RE slots @ ",DL24," Ga."),"")))</x:f>
        <x:v/>
      </x:c>
      <x:c r="CK24" s="1086" t="str">
        <x:f t="shared" si="38"/>
        <x:v/>
      </x:c>
      <x:c r="CL24" s="1081" t="str">
        <x:f>IF(ISBLANK(CB24),"",CEILING(DV24,0.125))</x:f>
        <x:v/>
      </x:c>
      <x:c r="CM24" s="1082" t="str">
        <x:f>IF(ISBLANK(CC24),"",CEILING(EB24,0.125))</x:f>
        <x:v/>
      </x:c>
      <x:c r="CN24" s="758" t="str">
        <x:f t="shared" si="39"/>
        <x:v/>
      </x:c>
      <x:c r="CO24" s="759" t="str">
        <x:f t="shared" si="40"/>
        <x:v/>
      </x:c>
      <x:c r="CP24" s="762" t="str">
        <x:f t="shared" si="41"/>
        <x:v/>
      </x:c>
      <x:c r="CQ24" s="763" t="str">
        <x:f t="shared" si="42"/>
        <x:v/>
      </x:c>
      <x:c r="CR24" s="953">
        <x:f t="shared" si="43"/>
        <x:v>5</x:v>
      </x:c>
      <x:c r="CS24" s="954">
        <x:f t="shared" si="44"/>
        <x:v>5</x:v>
      </x:c>
      <x:c r="CU24" s="135" t="str">
        <x:f>IF(BG24="","",VLOOKUP(BG24,SectInfo!$B:$N,12,FALSE))</x:f>
        <x:v/>
      </x:c>
      <x:c r="CV24" s="136" t="str">
        <x:f>IF(BG24="","",IF(ISBLANK(BZ24),VLOOKUP(BG24,SectInfo!$B:$N,13,FALSE),BZ24))</x:f>
        <x:v/>
      </x:c>
      <x:c r="CW24" s="136" t="str">
        <x:f>IF(BG24="","",IF(VLOOKUP(BG24,SectInfo!$B:$N,5,FALSE)="","R",UPPER(VLOOKUP(BG24,SectInfo!$B:$N,5,FALSE))))</x:f>
        <x:v/>
      </x:c>
      <x:c r="CX24" s="1046" t="str">
        <x:f>IF(BG24="","",IF(ISBLANK(CF24),VLOOKUP(BG24,SectInfo!$B:$N,6,FALSE),CF24))</x:f>
        <x:v/>
      </x:c>
      <x:c r="CY24" s="136" t="str">
        <x:f>IF(BG24="","",IF(VLOOKUP(BG24,SectInfo!$B:$N,10,FALSE)="","",(VLOOKUP(BG24,SectInfo!$B:$N,10,FALSE)*-1)))</x:f>
        <x:v/>
      </x:c>
      <x:c r="CZ24" s="1443" t="str">
        <x:f>IF(BG24="","",IF(VLOOKUP(BG24,SectInfo!$B:$N,11,FALSE)="","2",(VLOOKUP(BG24,SectInfo!$B:$N,11,FALSE))))</x:f>
        <x:v/>
      </x:c>
      <x:c r="DA24" s="13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ref="DD24:DD40" si="92">BN24*-1</x:f>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27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ref="DN24:DN40" si="93">BV24*-1</x:f>
        <x:v>0</x:v>
      </x:c>
      <x:c r="DO24" s="1049">
        <x:f t="shared" si="45"/>
        <x:v>0</x:v>
      </x:c>
      <x:c r="DP24" s="1053" t="str">
        <x:f t="shared" si="46"/>
        <x:v/>
      </x:c>
      <x:c r="DQ24" s="1053" t="str">
        <x:f t="shared" si="47"/>
        <x:v/>
      </x:c>
      <x:c r="DR24" s="1053" t="str">
        <x:f t="shared" si="48"/>
        <x:v/>
      </x:c>
      <x:c r="DS24" s="1052">
        <x:f t="shared" si="49"/>
        <x:v>0</x:v>
      </x:c>
      <x:c r="DT24" s="1052">
        <x:f>MIN(IF(BH24&gt;0,BH24/2,MAX(BI24/2,DC24)),IF(BI24&gt;0,BI24/2,MAX(BH24/2,DC24)),IF(DC24&gt;0,DC24,MAX(BI24/2,BH24/2)))/IF(OR(CU24="C",AND(CU24="M",$DD$1="N")),1,COS(DS24))</x:f>
        <x:v>0</x:v>
      </x:c>
      <x:c r="DU24" s="1052" t="str">
        <x:f>IF(CV24="","",IF(DC24&gt;=0,MAX(BH24/2,BI24/2,DC24),DC24)/IF(OR(CU24="C",AND(CU24="M",$DD$1="N")),1,COS(DS24)))</x:f>
        <x:v/>
      </x:c>
      <x:c r="DV24" s="1053" t="str">
        <x:f t="shared" si="50"/>
        <x:v/>
      </x:c>
      <x:c r="DW24" s="1053" t="str">
        <x:f t="shared" si="51"/>
        <x:v/>
      </x:c>
      <x:c r="DX24" s="1269">
        <x:f t="shared" ref="DX24:DX40" si="94">IF(CV24="",0,IF(DW24/COS(FN24-FD24)&lt;0.0625,0,CEILING(DW24/COS(FN24-FD24)-0.03125,0.125)))</x:f>
        <x:v>0</x:v>
      </x:c>
      <x:c r="DY24" s="1053">
        <x:f t="shared" ref="DY24:DY40" si="95">RADIANS(ABS(BU24))</x:f>
        <x:v>0</x:v>
      </x:c>
      <x:c r="DZ24" s="1052">
        <x:f>MIN(IF(BP24&gt;0,BP24/2,MAX(BQ24/2,DM24)),IF(BQ24&gt;0,BQ24/2,MAX(BP24/2,DM24)),IF(DM24&gt;0,DM24,MAX(BQ24/2,BP24/2)))/IF(OR(DE24="C",AND(DE24="M",$DD$1="N")),1,COS(DY24))</x:f>
        <x:v>0</x:v>
      </x:c>
      <x:c r="EA24" s="1052" t="str">
        <x:f t="shared" ref="EA24:EA40" si="96">IF(DF24="","",IF(DM24&gt;=0,MAX(BP24/2,BQ24/2,DM24),DM24)/IF(OR(DE24="C",AND(DE24="M",$DD$1="N")),1,COS(DY24)))</x:f>
        <x:v/>
      </x:c>
      <x:c r="EB24" s="1053" t="str">
        <x:f t="shared" si="52"/>
        <x:v/>
      </x:c>
      <x:c r="EC24" s="1053" t="str">
        <x:f t="shared" si="53"/>
        <x:v/>
      </x:c>
      <x:c r="ED24" s="1269">
        <x:f t="shared" ref="ED24:ED40" si="97">IF(DF24="",0,IF(EC24/COS(FN24+FI24)&lt;0.0625,0,CEILING(EC24/COS(FN24+FI24)-0.03125,0.125)))</x:f>
        <x:v>0</x:v>
      </x:c>
      <x:c r="EE24" s="1090" t="str">
        <x:f>IF(AND(EZ24="",DA24=""),"",IF(EZ24="ERR","ERR",IF(CU24="C",DA24,IF(BJ24="","",IF(DA24="",(EZ24/2)*-1,DA24)))))</x:f>
        <x:v/>
      </x:c>
      <x:c r="EF24" s="1053" t="str">
        <x:f t="shared" si="54"/>
        <x:v/>
      </x:c>
      <x:c r="EG24" s="1053" t="str">
        <x:f t="shared" si="55"/>
        <x:v/>
      </x:c>
      <x:c r="EH24" s="1053" t="str">
        <x:f t="shared" si="56"/>
        <x:v>ERR</x:v>
      </x:c>
      <x:c r="EI24" s="1053" t="str">
        <x:f t="shared" si="57"/>
        <x:v>ERR</x:v>
      </x:c>
      <x:c r="EJ24" s="1053" t="str">
        <x:f t="shared" si="58"/>
        <x:v/>
      </x:c>
      <x:c r="EK24" s="1053" t="str">
        <x:f t="shared" si="58"/>
        <x:v/>
      </x:c>
      <x:c r="EL24" s="1090" t="str">
        <x:f>IF(AND(FC24="",DK24=""),"",IF(FC24="ERR","ERR",IF(DE24="C",DK24,IF(BR24="","",IF(DK24="",(FC24/2)*-1,DK24)))))</x:f>
        <x:v/>
      </x:c>
      <x:c r="EM24" s="1053" t="str">
        <x:f t="shared" si="59"/>
        <x:v/>
      </x:c>
      <x:c r="EN24" s="1053" t="str">
        <x:f t="shared" si="60"/>
        <x:v/>
      </x:c>
      <x:c r="EO24" s="1053" t="str">
        <x:f t="shared" si="61"/>
        <x:v>ERR</x:v>
      </x:c>
      <x:c r="EP24" s="1053" t="str">
        <x:f t="shared" si="62"/>
        <x:v>ERR</x:v>
      </x:c>
      <x:c r="EQ24" s="1053" t="str">
        <x:f t="shared" si="63"/>
        <x:v/>
      </x:c>
      <x:c r="ER24" s="1053" t="str">
        <x:f t="shared" si="63"/>
        <x:v/>
      </x:c>
      <x:c r="ES24" s="1053" t="str">
        <x:f t="shared" si="64"/>
        <x:v/>
      </x:c>
      <x:c r="ET24" s="1053" t="str">
        <x:f t="shared" si="65"/>
        <x:v/>
      </x:c>
      <x:c r="EU24" s="1061">
        <x:f t="shared" si="66"/>
        <x:v>4</x:v>
      </x:c>
      <x:c r="EV24" s="1055" t="str">
        <x:f>IF(AND(EK24="",ER24=""),"",IF(EK24="",DL24,IF(EQ24="",DB24,IF(DB24&lt;&gt;DL24,EU24,DB24))))</x:f>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6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68"/>
        <x:v/>
      </x:c>
      <x:c r="FD24" s="1053">
        <x:f t="shared" si="69"/>
        <x:v>0</x:v>
      </x:c>
      <x:c r="FE24" s="1053">
        <x:f t="shared" si="70"/>
        <x:v>0</x:v>
      </x:c>
      <x:c r="FF24" s="1052">
        <x:f t="shared" si="71"/>
        <x:v>0</x:v>
      </x:c>
      <x:c r="FG24" s="1052" t="str">
        <x:f t="shared" si="72"/>
        <x:v/>
      </x:c>
      <x:c r="FH24" s="1053" t="str">
        <x:f t="shared" si="73"/>
        <x:v/>
      </x:c>
      <x:c r="FI24" s="1053">
        <x:f t="shared" si="74"/>
        <x:v>0</x:v>
      </x:c>
      <x:c r="FJ24" s="1053">
        <x:f t="shared" si="75"/>
        <x:v>0</x:v>
      </x:c>
      <x:c r="FK24" s="1052">
        <x:f t="shared" si="76"/>
        <x:v>0</x:v>
      </x:c>
      <x:c r="FL24" s="1052" t="str">
        <x:f t="shared" si="77"/>
        <x:v/>
      </x:c>
      <x:c r="FM24" s="1053" t="str">
        <x:f t="shared" si="78"/>
        <x:v/>
      </x:c>
      <x:c r="FN24" s="1053" t="e">
        <x:f t="shared" ref="FN24:FN40" si="98">IF(((BE24*12+BF24)+CV24+DF24)/COS(DO24)-((BE24*12+BF24)+CV24+DF24)&lt;$DB$2,0,DO24)</x:f>
        <x:v>#VALUE!</x:v>
      </x:c>
      <x:c r="FO24" s="1062" t="e">
        <x:f t="shared" si="79"/>
        <x:v>#VALUE!</x:v>
      </x:c>
      <x:c r="FP24" s="1062" t="e">
        <x:f t="shared" si="80"/>
        <x:v>#VALUE!</x:v>
      </x:c>
      <x:c r="FQ24" s="1063" t="e">
        <x:f t="shared" si="81"/>
        <x:v>#VALUE!</x:v>
      </x:c>
      <x:c r="FR24" s="1064" t="e">
        <x:f t="shared" si="82"/>
        <x:v>#VALUE!</x:v>
      </x:c>
      <x:c r="FS24" s="1065" t="str">
        <x:f t="shared" si="83"/>
        <x:v/>
      </x:c>
      <x:c r="FT24" s="1066" t="str">
        <x:f t="shared" si="84"/>
        <x:v/>
      </x:c>
      <x:c r="FU24" s="1105">
        <x:f t="shared" si="85"/>
        <x:v>0</x:v>
      </x:c>
      <x:c r="FV24" s="1106">
        <x:f t="shared" si="86"/>
        <x:v>0</x:v>
      </x:c>
      <x:c r="GA24" s="1975">
        <x:v>59</x:v>
      </x:c>
      <x:c r="GB24" s="1976">
        <x:v>2.75</x:v>
      </x:c>
      <x:c r="GC24" s="1977">
        <x:v>2</x:v>
      </x:c>
      <x:c r="GD24" s="1978">
        <x:v>-0.5</x:v>
      </x:c>
      <x:c r="GE24" s="1979">
        <x:v>0.1474722644759775</x:v>
      </x:c>
      <x:c r="GF24" s="1980" t="str">
        <x:f t="shared" si="87"/>
        <x:v>J2</x:v>
      </x:c>
      <x:c r="GG24" s="1453"/>
      <x:c r="GH24" s="1454"/>
      <x:c r="GI24" s="1453"/>
      <x:c r="GJ24" s="1454"/>
      <x:c r="GK24" s="1407">
        <x:f t="shared" si="88"/>
        <x:v>712.25</x:v>
      </x:c>
      <x:c r="GL24" s="1407">
        <x:f t="shared" si="89"/>
        <x:v>712.30378290687622</x:v>
      </x:c>
      <x:c r="GM24" s="1408">
        <x:f>IF(ABS(GK24-GL24)&gt;='Job Info.'!$L$22,ABS(GK24-GL24),0)</x:f>
        <x:v>0</x:v>
      </x:c>
      <x:c r="GZ24" s="497"/>
      <x:c r="HA24" s="1640" t="s">
        <x:v>1326</x:v>
      </x:c>
      <x:c r="HB24" s="1641">
        <x:v>4</x:v>
      </x:c>
      <x:c r="HC24" s="1641" t="s">
        <x:v>1978</x:v>
      </x:c>
      <x:c r="HD24" s="1642">
        <x:v>59</x:v>
      </x:c>
      <x:c r="HE24" s="1643">
        <x:v>4.25</x:v>
      </x:c>
      <x:c r="HF24" s="1641">
        <x:v>0</x:v>
      </x:c>
      <x:c r="HG24" s="1641">
        <x:v>3.625</x:v>
      </x:c>
      <x:c r="HH24" s="1641" t="s">
        <x:v>114</x:v>
      </x:c>
      <x:c r="HI24" s="1644"/>
      <x:c r="HJ24" s="1641"/>
      <x:c r="HK24" s="1641"/>
      <x:c r="HL24" s="1641">
        <x:v>3</x:v>
      </x:c>
      <x:c r="HM24" s="1641">
        <x:v>3</x:v>
      </x:c>
      <x:c r="HN24" s="1641"/>
      <x:c r="HO24" s="1641"/>
      <x:c r="HP24" s="1641"/>
      <x:c r="HQ24" s="1644"/>
      <x:c r="HR24" s="1641"/>
      <x:c r="HS24" s="1641"/>
      <x:c r="HT24" s="1641"/>
      <x:c r="HU24" s="1641"/>
      <x:c r="HV24" s="1641"/>
      <x:c r="HW24" s="1643"/>
      <x:c r="HX24" s="1643">
        <x:v>0</x:v>
      </x:c>
      <x:c r="HY24" s="1643"/>
      <x:c r="HZ24" s="1643"/>
      <x:c r="IA24" s="1643" t="s">
        <x:v>2063</x:v>
      </x:c>
      <x:c r="IB24" s="1643"/>
      <x:c r="IC24" s="1643"/>
      <x:c r="ID24" s="1643"/>
      <x:c r="IE24" s="1643"/>
      <x:c r="IF24" s="1645"/>
      <x:c r="IG24" s="497"/>
      <x:c r="IH24" s="497"/>
      <x:c r="II24" s="497"/>
    </x:row>
    <x:row r="25" spans="1:243" ht="12.6" customHeight="1" x14ac:dyDescent="0.25">
      <x:c r="A25" s="1264" t="s">
        <x:v>1327</x:v>
      </x:c>
      <x:c r="B25" s="1265">
        <x:v>0</x:v>
      </x:c>
      <x:c r="C25" s="1265" t="s">
        <x:v>1978</x:v>
      </x:c>
      <x:c r="D25" s="1261">
        <x:v>59</x:v>
      </x:c>
      <x:c r="E25" s="1411">
        <x:v>5.25</x:v>
      </x:c>
      <x:c r="F25" s="1263">
        <x:v>0</x:v>
      </x:c>
      <x:c r="G25" s="1262">
        <x:v>4.625</x:v>
      </x:c>
      <x:c r="H25" s="1266" t="s">
        <x:v>114</x:v>
      </x:c>
      <x:c r="I25" s="1261" t="str">
        <x:f t="shared" si="1"/>
        <x:v/>
      </x:c>
      <x:c r="J25" s="1262" t="str">
        <x:f t="shared" si="2"/>
        <x:v/>
      </x:c>
      <x:c r="K25" s="1412" t="str">
        <x:f t="shared" si="3"/>
        <x:v/>
      </x:c>
      <x:c r="L25" s="1327">
        <x:v>3</x:v>
      </x:c>
      <x:c r="M25" s="1329">
        <x:v>3</x:v>
      </x:c>
      <x:c r="N25" s="1263">
        <x:v>0</x:v>
      </x:c>
      <x:c r="O25" s="1262">
        <x:v>10</x:v>
      </x:c>
      <x:c r="P25" s="1260">
        <x:v>2</x:v>
      </x:c>
      <x:c r="Q25" s="1261" t="str">
        <x:f t="shared" si="7"/>
        <x:v/>
      </x:c>
      <x:c r="R25" s="1262" t="str">
        <x:f t="shared" si="8"/>
        <x:v/>
      </x:c>
      <x:c r="S25" s="1410" t="str">
        <x:f t="shared" si="9"/>
        <x:v/>
      </x:c>
      <x:c r="T25" s="1263">
        <x:v>0</x:v>
      </x:c>
      <x:c r="U25" s="1262">
        <x:v>5.5</x:v>
      </x:c>
      <x:c r="V25" s="1261">
        <x:v>0</x:v>
      </x:c>
      <x:c r="W25" s="1262">
        <x:v>2</x:v>
      </x:c>
      <x:c r="X25" s="1409">
        <x:v>4</x:v>
      </x:c>
      <x:c r="Y25" s="1377" t="str">
        <x:f t="shared" si="15"/>
        <x:v/>
      </x:c>
      <x:c r="Z25" s="1378" t="str">
        <x:f t="shared" si="16"/>
        <x:v/>
      </x:c>
      <x:c r="AA25" s="2159" t="s">
        <x:v>2064</x:v>
      </x:c>
      <x:c r="AC25" s="1226" t="b">
        <x:v>0</x:v>
      </x:c>
      <x:c r="AD25" s="525">
        <x:f t="shared" si="17"/>
        <x:v>0</x:v>
      </x:c>
      <x:c r="AE25" s="526">
        <x:f t="shared" si="18"/>
        <x:v>0</x:v>
      </x:c>
      <x:c r="AF25" s="526">
        <x:f t="shared" si="19"/>
        <x:v>0</x:v>
      </x:c>
      <x:c r="AG25" s="526">
        <x:f t="shared" si="20"/>
        <x:v>0</x:v>
      </x:c>
      <x:c r="AH25" s="527">
        <x:f t="shared" si="21"/>
        <x:v>0</x:v>
      </x:c>
      <x:c r="AI25" s="528" t="b">
        <x:v>0</x:v>
      </x:c>
      <x:c r="AJ25" s="284">
        <x:f>IF(OR(ISERROR(VALUE(LEFT(C25,SEARCH(AK25,C25)-1))),AK25=""),0,VALUE(LEFT(C25,SEARCH(AK25,C25)-1)))</x:f>
        <x:v>36</x:v>
      </x:c>
      <x:c r="AK25" s="284" t="str">
        <x:f t="shared" si="22"/>
        <x:v>LH</x:v>
      </x:c>
      <x:c r="AL25" s="1202" t="str">
        <x:f t="shared" si="23"/>
        <x:v/>
      </x:c>
      <x:c r="AM25" s="284">
        <x:f t="shared" si="24"/>
        <x:v>270</x:v>
      </x:c>
      <x:c r="AN25" s="284">
        <x:f t="shared" si="25"/>
        <x:v>120</x:v>
      </x:c>
      <x:c r="AO25" s="284" t="str">
        <x:f t="shared" si="26"/>
        <x:v/>
      </x:c>
      <x:c r="AP25" s="1063" t="b">
        <x:f>IF(ISERROR(AJ25),FALSE,IF(OR(AJ25=0,ISERROR(AL25),ISERROR(AM25),ISERROR(AN25),ISERROR(AO25)),FALSE,IF(AL25&lt;&gt;"",IF(ISERROR(VLOOKUP(SUBSTITUTE(SUBSTITUTE(C25,"R",""),"A",""),TblJoistSize!$A:$A,1,FALSE)),FALSE,TRUE),TRUE)))</x:f>
        <x:v>1</x:v>
      </x:c>
      <x:c r="AQ25" s="1305">
        <x:f t="shared" si="27"/>
        <x:v>10.625</x:v>
      </x:c>
      <x:c r="AR25" s="1305" t="b">
        <x:f t="shared" si="28"/>
        <x:v>1</x:v>
      </x:c>
      <x:c r="AS25" s="1305">
        <x:f t="shared" si="29"/>
        <x:v>6</x:v>
      </x:c>
      <x:c r="AT25" s="1305" t="b">
        <x:f t="shared" si="30"/>
        <x:v>1</x:v>
      </x:c>
      <x:c r="AU25" s="1203" t="str">
        <x:f t="shared" si="31"/>
        <x:v>LH</x:v>
      </x:c>
      <x:c r="AV25" s="1063" t="str">
        <x:f t="shared" si="32"/>
        <x:v/>
      </x:c>
      <x:c r="AW25" s="1063" t="str">
        <x:f t="shared" si="90"/>
        <x:v>LH</x:v>
      </x:c>
      <x:c r="AX25" s="1063" t="str">
        <x:f t="shared" ref="AX25:AX40" si="99">IF(AND(OR(ISBLANK(A25),A25=""),AA25&lt;&gt;""),AX24,IF(OR(ISBLANK(A25),A25=""),"",A25))</x:f>
        <x:v>TJ3</x:v>
      </x:c>
      <x:c r="AY25" s="554" t="b">
        <x:f t="shared" si="33"/>
        <x:v>0</x:v>
      </x:c>
      <x:c r="AZ25" s="1090" t="b">
        <x:f t="shared" si="91"/>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4"/>
        <x:v/>
      </x:c>
      <x:c r="CE25" s="935" t="str">
        <x:f t="shared" si="35"/>
        <x:v/>
      </x:c>
      <x:c r="CF25" s="1149"/>
      <x:c r="CG25" s="1150"/>
      <x:c r="CH25" s="792" t="str">
        <x:f t="shared" si="36"/>
        <x:v/>
      </x:c>
      <x:c r="CI25" s="793" t="str">
        <x:f t="shared" si="37"/>
        <x:v/>
      </x:c>
      <x:c r="CJ25" s="794" t="str">
        <x:f>IF(EV25="","",IF(AND(DB25&lt;&gt;EV25,OR(NOT(ISBLANK(BJ25)),CU25="C")),CONCATENATE("LE slots @ ",DB25," Ga."),IF(AND(DL25&lt;&gt;EV25,OR(NOT(ISBLANK(BR25)),DE25="C")),CONCATENATE("RE slots @ ",DL25," Ga."),"")))</x:f>
        <x:v/>
      </x:c>
      <x:c r="CK25" s="1086" t="str">
        <x:f t="shared" si="38"/>
        <x:v/>
      </x:c>
      <x:c r="CL25" s="1081" t="str">
        <x:f t="shared" ref="CL25:CL40" si="100">IF(ISBLANK(CB25),"",CEILING(DV25,0.125))</x:f>
        <x:v/>
      </x:c>
      <x:c r="CM25" s="1082" t="str">
        <x:f t="shared" ref="CM25:CM40" si="101">IF(ISBLANK(CC25),"",CEILING(EB25,0.125))</x:f>
        <x:v/>
      </x:c>
      <x:c r="CN25" s="758" t="str">
        <x:f t="shared" si="39"/>
        <x:v/>
      </x:c>
      <x:c r="CO25" s="759" t="str">
        <x:f t="shared" si="40"/>
        <x:v/>
      </x:c>
      <x:c r="CP25" s="762" t="str">
        <x:f t="shared" si="41"/>
        <x:v/>
      </x:c>
      <x:c r="CQ25" s="763" t="str">
        <x:f t="shared" si="42"/>
        <x:v/>
      </x:c>
      <x:c r="CR25" s="953">
        <x:f t="shared" si="43"/>
        <x:v>5</x:v>
      </x:c>
      <x:c r="CS25" s="954">
        <x:f t="shared" si="44"/>
        <x:v>5</x:v>
      </x:c>
      <x:c r="CU25" s="135" t="str">
        <x:f>IF(BG25="","",VLOOKUP(BG25,SectInfo!$B:$N,12,FALSE))</x:f>
        <x:v/>
      </x:c>
      <x:c r="CV25" s="136" t="str">
        <x:f>IF(BG25="","",IF(ISBLANK(BZ25),VLOOKUP(BG25,SectInfo!$B:$N,13,FALSE),BZ25))</x:f>
        <x:v/>
      </x:c>
      <x:c r="CW25" s="136" t="str">
        <x:f>IF(BG25="","",IF(VLOOKUP(BG25,SectInfo!$B:$N,5,FALSE)="","R",UPPER(VLOOKUP(BG25,SectInfo!$B:$N,5,FALSE))))</x:f>
        <x:v/>
      </x:c>
      <x:c r="CX25" s="1046" t="str">
        <x:f>IF(BG25="","",IF(ISBLANK(CF25),VLOOKUP(BG25,SectInfo!$B:$N,6,FALSE),CF25))</x:f>
        <x:v/>
      </x:c>
      <x:c r="CY25" s="136" t="str">
        <x:f>IF(BG25="","",IF(VLOOKUP(BG25,SectInfo!$B:$N,10,FALSE)="","",(VLOOKUP(BG25,SectInfo!$B:$N,10,FALSE)*-1)))</x:f>
        <x:v/>
      </x:c>
      <x:c r="CZ25" s="1443" t="str">
        <x:f>IF(BG25="","",IF(VLOOKUP(BG25,SectInfo!$B:$N,11,FALSE)="","2",(VLOOKUP(BG25,SectInfo!$B:$N,11,FALSE))))</x:f>
        <x:v/>
      </x:c>
      <x:c r="DA25" s="13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92"/>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27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93"/>
        <x:v>0</x:v>
      </x:c>
      <x:c r="DO25" s="1049">
        <x:f t="shared" si="45"/>
        <x:v>0</x:v>
      </x:c>
      <x:c r="DP25" s="1053" t="str">
        <x:f t="shared" si="46"/>
        <x:v/>
      </x:c>
      <x:c r="DQ25" s="1053" t="str">
        <x:f t="shared" si="47"/>
        <x:v/>
      </x:c>
      <x:c r="DR25" s="1053" t="str">
        <x:f t="shared" si="48"/>
        <x:v/>
      </x:c>
      <x:c r="DS25" s="1052">
        <x:f t="shared" si="49"/>
        <x:v>0</x:v>
      </x:c>
      <x:c r="DT25" s="1052">
        <x:f>MIN(IF(BH25&gt;0,BH25/2,MAX(BI25/2,DC25)),IF(BI25&gt;0,BI25/2,MAX(BH25/2,DC25)),IF(DC25&gt;0,DC25,MAX(BI25/2,BH25/2)))/IF(OR(CU25="C",AND(CU25="M",$DD$1="N")),1,COS(DS25))</x:f>
        <x:v>0</x:v>
      </x:c>
      <x:c r="DU25" s="1052" t="str">
        <x:f>IF(CV25="","",IF(DC25&gt;=0,MAX(BH25/2,BI25/2,DC25),DC25)/IF(OR(CU25="C",AND(CU25="M",$DD$1="N")),1,COS(DS25)))</x:f>
        <x:v/>
      </x:c>
      <x:c r="DV25" s="1053" t="str">
        <x:f t="shared" si="50"/>
        <x:v/>
      </x:c>
      <x:c r="DW25" s="1053" t="str">
        <x:f t="shared" si="51"/>
        <x:v/>
      </x:c>
      <x:c r="DX25" s="1269">
        <x:f t="shared" si="94"/>
        <x:v>0</x:v>
      </x:c>
      <x:c r="DY25" s="1053">
        <x:f t="shared" si="95"/>
        <x:v>0</x:v>
      </x:c>
      <x:c r="DZ25" s="1052">
        <x:f>MIN(IF(BP25&gt;0,BP25/2,MAX(BQ25/2,DM25)),IF(BQ25&gt;0,BQ25/2,MAX(BP25/2,DM25)),IF(DM25&gt;0,DM25,MAX(BQ25/2,BP25/2)))/IF(OR(DE25="C",AND(DE25="M",$DD$1="N")),1,COS(DY25))</x:f>
        <x:v>0</x:v>
      </x:c>
      <x:c r="EA25" s="1052" t="str">
        <x:f t="shared" si="96"/>
        <x:v/>
      </x:c>
      <x:c r="EB25" s="1053" t="str">
        <x:f t="shared" si="52"/>
        <x:v/>
      </x:c>
      <x:c r="EC25" s="1053" t="str">
        <x:f t="shared" si="53"/>
        <x:v/>
      </x:c>
      <x:c r="ED25" s="1269">
        <x:f t="shared" si="97"/>
        <x:v>0</x:v>
      </x:c>
      <x:c r="EE25" s="1090" t="str">
        <x:f t="shared" ref="EE25:EE40" si="102">IF(AND(EZ25="",DA25=""),"",IF(EZ25="ERR","ERR",IF(CU25="C",DA25,IF(BJ25="","",IF(DA25="",(EZ25/2)*-1,DA25)))))</x:f>
        <x:v/>
      </x:c>
      <x:c r="EF25" s="1053" t="str">
        <x:f t="shared" si="54"/>
        <x:v/>
      </x:c>
      <x:c r="EG25" s="1053" t="str">
        <x:f t="shared" si="55"/>
        <x:v/>
      </x:c>
      <x:c r="EH25" s="1053" t="str">
        <x:f t="shared" si="56"/>
        <x:v>ERR</x:v>
      </x:c>
      <x:c r="EI25" s="1053" t="str">
        <x:f t="shared" si="57"/>
        <x:v>ERR</x:v>
      </x:c>
      <x:c r="EJ25" s="1053" t="str">
        <x:f t="shared" si="58"/>
        <x:v/>
      </x:c>
      <x:c r="EK25" s="1053" t="str">
        <x:f t="shared" si="58"/>
        <x:v/>
      </x:c>
      <x:c r="EL25" s="1090" t="str">
        <x:f t="shared" ref="EL25:EL40" si="103">IF(AND(FC25="",DK25=""),"",IF(FC25="ERR","ERR",IF(DE25="C",DK25,IF(BR25="","",IF(DK25="",(FC25/2)*-1,DK25)))))</x:f>
        <x:v/>
      </x:c>
      <x:c r="EM25" s="1053" t="str">
        <x:f t="shared" si="59"/>
        <x:v/>
      </x:c>
      <x:c r="EN25" s="1053" t="str">
        <x:f t="shared" si="60"/>
        <x:v/>
      </x:c>
      <x:c r="EO25" s="1053" t="str">
        <x:f t="shared" si="61"/>
        <x:v>ERR</x:v>
      </x:c>
      <x:c r="EP25" s="1053" t="str">
        <x:f t="shared" si="62"/>
        <x:v>ERR</x:v>
      </x:c>
      <x:c r="EQ25" s="1053" t="str">
        <x:f t="shared" si="63"/>
        <x:v/>
      </x:c>
      <x:c r="ER25" s="1053" t="str">
        <x:f t="shared" si="63"/>
        <x:v/>
      </x:c>
      <x:c r="ES25" s="1053" t="str">
        <x:f t="shared" si="64"/>
        <x:v/>
      </x:c>
      <x:c r="ET25" s="1053" t="str">
        <x:f t="shared" si="65"/>
        <x:v/>
      </x:c>
      <x:c r="EU25" s="1061">
        <x:f t="shared" si="66"/>
        <x:v>4</x:v>
      </x:c>
      <x:c r="EV25" s="1055" t="str">
        <x:f>IF(AND(EK25="",ER25=""),"",IF(EK25="",DL25,IF(EQ25="",DB25,IF(DB25&lt;&gt;DL25,EU25,DB25))))</x:f>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6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68"/>
        <x:v/>
      </x:c>
      <x:c r="FD25" s="1053">
        <x:f t="shared" si="69"/>
        <x:v>0</x:v>
      </x:c>
      <x:c r="FE25" s="1053">
        <x:f t="shared" si="70"/>
        <x:v>0</x:v>
      </x:c>
      <x:c r="FF25" s="1052">
        <x:f t="shared" si="71"/>
        <x:v>0</x:v>
      </x:c>
      <x:c r="FG25" s="1052" t="str">
        <x:f t="shared" si="72"/>
        <x:v/>
      </x:c>
      <x:c r="FH25" s="1053" t="str">
        <x:f t="shared" si="73"/>
        <x:v/>
      </x:c>
      <x:c r="FI25" s="1053">
        <x:f t="shared" si="74"/>
        <x:v>0</x:v>
      </x:c>
      <x:c r="FJ25" s="1053">
        <x:f t="shared" si="75"/>
        <x:v>0</x:v>
      </x:c>
      <x:c r="FK25" s="1052">
        <x:f t="shared" si="76"/>
        <x:v>0</x:v>
      </x:c>
      <x:c r="FL25" s="1052" t="str">
        <x:f t="shared" si="77"/>
        <x:v/>
      </x:c>
      <x:c r="FM25" s="1053" t="str">
        <x:f t="shared" si="78"/>
        <x:v/>
      </x:c>
      <x:c r="FN25" s="1053" t="e">
        <x:f t="shared" si="98"/>
        <x:v>#VALUE!</x:v>
      </x:c>
      <x:c r="FO25" s="1062" t="e">
        <x:f t="shared" si="79"/>
        <x:v>#VALUE!</x:v>
      </x:c>
      <x:c r="FP25" s="1062" t="e">
        <x:f t="shared" si="80"/>
        <x:v>#VALUE!</x:v>
      </x:c>
      <x:c r="FQ25" s="1063" t="e">
        <x:f t="shared" si="81"/>
        <x:v>#VALUE!</x:v>
      </x:c>
      <x:c r="FR25" s="1064" t="e">
        <x:f t="shared" si="82"/>
        <x:v>#VALUE!</x:v>
      </x:c>
      <x:c r="FS25" s="1065" t="str">
        <x:f t="shared" si="83"/>
        <x:v/>
      </x:c>
      <x:c r="FT25" s="1066" t="str">
        <x:f t="shared" si="84"/>
        <x:v/>
      </x:c>
      <x:c r="FU25" s="1105">
        <x:f t="shared" si="85"/>
        <x:v>0</x:v>
      </x:c>
      <x:c r="FV25" s="1106">
        <x:f t="shared" si="86"/>
        <x:v>0</x:v>
      </x:c>
      <x:c r="GA25" s="1975">
        <x:v>59</x:v>
      </x:c>
      <x:c r="GB25" s="1976">
        <x:v>2.75</x:v>
      </x:c>
      <x:c r="GC25" s="1977">
        <x:v>3</x:v>
      </x:c>
      <x:c r="GD25" s="1978">
        <x:v>-0.5</x:v>
      </x:c>
      <x:c r="GE25" s="1979">
        <x:f t="shared" ref="GE25:GE40" si="104">IF(GF25="","",BW25)</x:f>
        <x:v>0</x:v>
      </x:c>
      <x:c r="GF25" s="1980" t="str">
        <x:f t="shared" si="87"/>
        <x:v>TJ3</x:v>
      </x:c>
      <x:c r="GG25" s="1453"/>
      <x:c r="GH25" s="1454"/>
      <x:c r="GI25" s="1453"/>
      <x:c r="GJ25" s="1454"/>
      <x:c r="GK25" s="1407">
        <x:f t="shared" si="88"/>
        <x:v>713.25</x:v>
      </x:c>
      <x:c r="GL25" s="1407">
        <x:f t="shared" si="89"/>
        <x:v>713.25</x:v>
      </x:c>
      <x:c r="GM25" s="1408">
        <x:f>IF(ABS(GK25-GL25)&gt;='Job Info.'!$L$22,ABS(GK25-GL25),0)</x:f>
        <x:v>0</x:v>
      </x:c>
      <x:c r="GZ25" s="497"/>
      <x:c r="HA25" s="1640" t="s">
        <x:v>1327</x:v>
      </x:c>
      <x:c r="HB25" s="1641">
        <x:v>7</x:v>
      </x:c>
      <x:c r="HC25" s="1641" t="s">
        <x:v>1978</x:v>
      </x:c>
      <x:c r="HD25" s="1642">
        <x:v>59</x:v>
      </x:c>
      <x:c r="HE25" s="1643">
        <x:v>5.25</x:v>
      </x:c>
      <x:c r="HF25" s="1641">
        <x:v>0</x:v>
      </x:c>
      <x:c r="HG25" s="1641">
        <x:v>4.625</x:v>
      </x:c>
      <x:c r="HH25" s="1641" t="s">
        <x:v>114</x:v>
      </x:c>
      <x:c r="HI25" s="1644"/>
      <x:c r="HJ25" s="1641"/>
      <x:c r="HK25" s="1641"/>
      <x:c r="HL25" s="1641">
        <x:v>3</x:v>
      </x:c>
      <x:c r="HM25" s="1641">
        <x:v>3</x:v>
      </x:c>
      <x:c r="HN25" s="1641">
        <x:v>0</x:v>
      </x:c>
      <x:c r="HO25" s="1641">
        <x:v>10</x:v>
      </x:c>
      <x:c r="HP25" s="1641">
        <x:v>2</x:v>
      </x:c>
      <x:c r="HQ25" s="1644"/>
      <x:c r="HR25" s="1641"/>
      <x:c r="HS25" s="1641"/>
      <x:c r="HT25" s="1641">
        <x:v>0</x:v>
      </x:c>
      <x:c r="HU25" s="1641">
        <x:v>5.5</x:v>
      </x:c>
      <x:c r="HV25" s="1641">
        <x:v>0</x:v>
      </x:c>
      <x:c r="HW25" s="1643">
        <x:v>2</x:v>
      </x:c>
      <x:c r="HX25" s="1643">
        <x:v>4</x:v>
      </x:c>
      <x:c r="HY25" s="1643"/>
      <x:c r="HZ25" s="1643"/>
      <x:c r="IA25" s="1643" t="s">
        <x:v>2064</x:v>
      </x:c>
      <x:c r="IB25" s="1643"/>
      <x:c r="IC25" s="1643"/>
      <x:c r="ID25" s="1643"/>
      <x:c r="IE25" s="1643"/>
      <x:c r="IF25" s="1645"/>
      <x:c r="IG25" s="497"/>
      <x:c r="IH25" s="497"/>
      <x:c r="II25" s="497"/>
    </x:row>
    <x:row r="26" spans="1:243" ht="12.6" customHeight="1" x14ac:dyDescent="0.25">
      <x:c r="A26" s="1264" t="s">
        <x:v>1328</x:v>
      </x:c>
      <x:c r="B26" s="1265">
        <x:v>0</x:v>
      </x:c>
      <x:c r="C26" s="1265" t="s">
        <x:v>1978</x:v>
      </x:c>
      <x:c r="D26" s="1261">
        <x:v>59</x:v>
      </x:c>
      <x:c r="E26" s="1411">
        <x:v>4.25</x:v>
      </x:c>
      <x:c r="F26" s="1263">
        <x:v>0</x:v>
      </x:c>
      <x:c r="G26" s="1262">
        <x:v>3.625</x:v>
      </x:c>
      <x:c r="H26" s="1266" t="s">
        <x:v>114</x:v>
      </x:c>
      <x:c r="I26" s="1261" t="str">
        <x:f>IF(ED26=0,"",TRUNC(ED26/12))</x:f>
        <x:v/>
      </x:c>
      <x:c r="J26" s="1262" t="str">
        <x:f>IF(ED26=0,"",ED26-(I26*12))</x:f>
        <x:v/>
      </x:c>
      <x:c r="K26" s="1412" t="str">
        <x:f>IF(ED26=0,"",DG26)</x:f>
        <x:v/>
      </x:c>
      <x:c r="L26" s="1327">
        <x:v>3</x:v>
      </x:c>
      <x:c r="M26" s="1329">
        <x:v>3</x:v>
      </x:c>
      <x:c r="N26" s="1263" t="str">
        <x:f>IF(ES26="","",IF(AND(ES26&lt;0,ES26&gt;-12),TRUNC(ES26/12)-0.0000001,TRUNC(ES26/12)))</x:f>
        <x:v/>
      </x:c>
      <x:c r="O26" s="1262" t="str">
        <x:f>IF(ES26="","",IF(AND(ES26-(N26*12)=0,ES26&lt;0),-0.000001,ES26-(N26*12)))</x:f>
        <x:v/>
      </x:c>
      <x:c r="P26" s="1260" t="str">
        <x:f>IF(ES26="","",CZ26)</x:f>
        <x:v/>
      </x:c>
      <x:c r="Q26" s="1261" t="str">
        <x:f>IF(ET26="","",IF(AND(ET26&lt;0,ET26&gt;-12),TRUNC(ET26/12)-0.0000001,TRUNC(ET26/12)))</x:f>
        <x:v/>
      </x:c>
      <x:c r="R26" s="1262" t="str">
        <x:f>IF(ET26="","",IF(AND(ET26-(Q26*12)=0,ET26&lt;0),-0.000001,ET26-(Q26*12)))</x:f>
        <x:v/>
      </x:c>
      <x:c r="S26" s="1410" t="str">
        <x:f>IF(ET26="","",DJ26)</x:f>
        <x:v/>
      </x:c>
      <x:c r="T26" s="1263" t="str">
        <x:f>IF(CH26="ERR","",IF(EK26="","",IF(EK26="ERR",TRUNC(EJ26/12),TRUNC(EK26/12))))</x:f>
        <x:v/>
      </x:c>
      <x:c r="U26" s="1262" t="str">
        <x:f>IF(CH26="ERR","",IF(EK26="","",IF(EK26="ERR",EJ26-(T26*12),EK26-(T26*12))))</x:f>
        <x:v/>
      </x:c>
      <x:c r="V26" s="1261" t="str">
        <x:f>IF(CI26="ERR","",IF(ER26="","",IF(ER26="ERR",TRUNC(EQ26/12),TRUNC(ER26/12))))</x:f>
        <x:v/>
      </x:c>
      <x:c r="W26" s="1262" t="str">
        <x:f>IF(CI26="ERR","",IF(ER26="","",IF(ER26="ERR",EQ26-(V26*12),ER26-(V26*12))))</x:f>
        <x:v/>
      </x:c>
      <x:c r="X26" s="1409">
        <x:f>IF(EV26="",0,EV26)</x:f>
        <x:v>0</x:v>
      </x:c>
      <x:c r="Y26" s="1377" t="str">
        <x:f>FG26</x:f>
        <x:v/>
      </x:c>
      <x:c r="Z26" s="1378" t="str">
        <x:f>FL26</x:f>
        <x:v/>
      </x:c>
      <x:c r="AA26" s="2159" t="s">
        <x:v>2065</x:v>
      </x:c>
      <x:c r="AC26" s="1226" t="b">
        <x:v>0</x:v>
      </x:c>
      <x:c r="AD26" s="525">
        <x:f t="shared" si="17"/>
        <x:v>0</x:v>
      </x:c>
      <x:c r="AE26" s="526">
        <x:f t="shared" si="18"/>
        <x:v>0</x:v>
      </x:c>
      <x:c r="AF26" s="526">
        <x:f t="shared" si="19"/>
        <x:v>0</x:v>
      </x:c>
      <x:c r="AG26" s="526">
        <x:f t="shared" si="20"/>
        <x:v>0</x:v>
      </x:c>
      <x:c r="AH26" s="527">
        <x:f t="shared" si="21"/>
        <x:v>0</x:v>
      </x:c>
      <x:c r="AI26" s="528" t="b">
        <x:v>0</x:v>
      </x:c>
      <x:c r="AJ26" s="284">
        <x:f>IF(OR(ISERROR(VALUE(LEFT(C26,SEARCH(AK26,C26)-1))),AK26=""),0,VALUE(LEFT(C26,SEARCH(AK26,C26)-1)))</x:f>
        <x:v>36</x:v>
      </x:c>
      <x:c r="AK26" s="284" t="str">
        <x:f t="shared" si="22"/>
        <x:v>LH</x:v>
      </x:c>
      <x:c r="AL26" s="1202" t="str">
        <x:f t="shared" si="23"/>
        <x:v/>
      </x:c>
      <x:c r="AM26" s="284">
        <x:f t="shared" si="24"/>
        <x:v>270</x:v>
      </x:c>
      <x:c r="AN26" s="284">
        <x:f t="shared" si="25"/>
        <x:v>120</x:v>
      </x:c>
      <x:c r="AO26" s="284" t="str">
        <x:f t="shared" si="26"/>
        <x:v/>
      </x:c>
      <x:c r="AP26" s="1063" t="b">
        <x:f>IF(ISERROR(AJ26),FALSE,IF(OR(AJ26=0,ISERROR(AL26),ISERROR(AM26),ISERROR(AN26),ISERROR(AO26)),FALSE,IF(AL26&lt;&gt;"",IF(ISERROR(VLOOKUP(SUBSTITUTE(SUBSTITUTE(C26,"R",""),"A",""),TblJoistSize!$A:$A,1,FALSE)),FALSE,TRUE),TRUE)))</x:f>
        <x:v>1</x:v>
      </x:c>
      <x:c r="AQ26" s="1305">
        <x:f t="shared" si="27"/>
        <x:v>9.625</x:v>
      </x:c>
      <x:c r="AR26" s="1305" t="b">
        <x:f t="shared" si="28"/>
        <x:v>0</x:v>
      </x:c>
      <x:c r="AS26" s="1305">
        <x:f t="shared" si="29"/>
        <x:v>6</x:v>
      </x:c>
      <x:c r="AT26" s="1305" t="b">
        <x:f t="shared" si="30"/>
        <x:v>0</x:v>
      </x:c>
      <x:c r="AU26" s="1203" t="str">
        <x:f t="shared" si="31"/>
        <x:v>LH</x:v>
      </x:c>
      <x:c r="AV26" s="1063" t="str">
        <x:f t="shared" si="32"/>
        <x:v/>
      </x:c>
      <x:c r="AW26" s="1063" t="str">
        <x:f t="shared" si="90"/>
        <x:v>LH</x:v>
      </x:c>
      <x:c r="AX26" s="1063" t="str">
        <x:f t="shared" si="99"/>
        <x:v>J4</x:v>
      </x:c>
      <x:c r="AY26" s="554" t="b">
        <x:f t="shared" si="33"/>
        <x:v>0</x:v>
      </x:c>
      <x:c r="AZ26" s="1090" t="b">
        <x:f t="shared" si="91"/>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4"/>
        <x:v/>
      </x:c>
      <x:c r="CE26" s="935" t="str">
        <x:f t="shared" si="35"/>
        <x:v/>
      </x:c>
      <x:c r="CF26" s="1149"/>
      <x:c r="CG26" s="1150"/>
      <x:c r="CH26" s="792" t="str">
        <x:f t="shared" si="36"/>
        <x:v/>
      </x:c>
      <x:c r="CI26" s="793" t="str">
        <x:f t="shared" si="37"/>
        <x:v/>
      </x:c>
      <x:c r="CJ26" s="794" t="str">
        <x:f>IF(EV26="","",IF(AND(DB26&lt;&gt;EV26,OR(NOT(ISBLANK(BJ26)),CU26="C")),CONCATENATE("LE slots @ ",DB26," Ga."),IF(AND(DL26&lt;&gt;EV26,OR(NOT(ISBLANK(BR26)),DE26="C")),CONCATENATE("RE slots @ ",DL26," Ga."),"")))</x:f>
        <x:v/>
      </x:c>
      <x:c r="CK26" s="1086" t="str">
        <x:f t="shared" si="38"/>
        <x:v/>
      </x:c>
      <x:c r="CL26" s="1081" t="str">
        <x:f t="shared" si="100"/>
        <x:v/>
      </x:c>
      <x:c r="CM26" s="1082" t="str">
        <x:f t="shared" si="101"/>
        <x:v/>
      </x:c>
      <x:c r="CN26" s="758" t="str">
        <x:f t="shared" si="39"/>
        <x:v/>
      </x:c>
      <x:c r="CO26" s="759" t="str">
        <x:f t="shared" si="40"/>
        <x:v/>
      </x:c>
      <x:c r="CP26" s="762" t="str">
        <x:f t="shared" si="41"/>
        <x:v/>
      </x:c>
      <x:c r="CQ26" s="763" t="str">
        <x:f t="shared" si="42"/>
        <x:v/>
      </x:c>
      <x:c r="CR26" s="953">
        <x:f t="shared" si="43"/>
        <x:v>5</x:v>
      </x:c>
      <x:c r="CS26" s="954">
        <x:f t="shared" si="44"/>
        <x:v>5</x:v>
      </x:c>
      <x:c r="CU26" s="135" t="str">
        <x:f>IF(BG26="","",VLOOKUP(BG26,SectInfo!$B:$N,12,FALSE))</x:f>
        <x:v/>
      </x:c>
      <x:c r="CV26" s="136" t="str">
        <x:f>IF(BG26="","",IF(ISBLANK(BZ26),VLOOKUP(BG26,SectInfo!$B:$N,13,FALSE),BZ26))</x:f>
        <x:v/>
      </x:c>
      <x:c r="CW26" s="136" t="str">
        <x:f>IF(BG26="","",IF(VLOOKUP(BG26,SectInfo!$B:$N,5,FALSE)="","R",UPPER(VLOOKUP(BG26,SectInfo!$B:$N,5,FALSE))))</x:f>
        <x:v/>
      </x:c>
      <x:c r="CX26" s="1046" t="str">
        <x:f>IF(BG26="","",IF(ISBLANK(CF26),VLOOKUP(BG26,SectInfo!$B:$N,6,FALSE),CF26))</x:f>
        <x:v/>
      </x:c>
      <x:c r="CY26" s="136" t="str">
        <x:f>IF(BG26="","",IF(VLOOKUP(BG26,SectInfo!$B:$N,10,FALSE)="","",(VLOOKUP(BG26,SectInfo!$B:$N,10,FALSE)*-1)))</x:f>
        <x:v/>
      </x:c>
      <x:c r="CZ26" s="1443" t="str">
        <x:f>IF(BG26="","",IF(VLOOKUP(BG26,SectInfo!$B:$N,11,FALSE)="","2",(VLOOKUP(BG26,SectInfo!$B:$N,11,FALSE))))</x:f>
        <x:v/>
      </x:c>
      <x:c r="DA26" s="13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92"/>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27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93"/>
        <x:v>0</x:v>
      </x:c>
      <x:c r="DO26" s="1049">
        <x:f t="shared" si="45"/>
        <x:v>0</x:v>
      </x:c>
      <x:c r="DP26" s="1053" t="str">
        <x:f t="shared" si="46"/>
        <x:v/>
      </x:c>
      <x:c r="DQ26" s="1053" t="str">
        <x:f t="shared" si="47"/>
        <x:v/>
      </x:c>
      <x:c r="DR26" s="1053" t="str">
        <x:f t="shared" si="48"/>
        <x:v/>
      </x:c>
      <x:c r="DS26" s="1052">
        <x:f t="shared" si="49"/>
        <x:v>0</x:v>
      </x:c>
      <x:c r="DT26" s="1052">
        <x:f t="shared" ref="DT26:DT40" si="105">MIN(IF(BH26&gt;0,BH26/2,MAX(BI26/2,DC26)),IF(BI26&gt;0,BI26/2,MAX(BH26/2,DC26)),IF(DC26&gt;0,DC26,MAX(BI26/2,BH26/2)))/IF(OR(CU26="C",AND(CU26="M",$DD$1="N")),1,COS(DS26))</x:f>
        <x:v>0</x:v>
      </x:c>
      <x:c r="DU26" s="1052" t="str">
        <x:f t="shared" ref="DU26:DU40" si="106">IF(CV26="","",IF(DC26&gt;=0,MAX(BH26/2,BI26/2,DC26),DC26)/IF(OR(CU26="C",AND(CU26="M",$DD$1="N")),1,COS(DS26)))</x:f>
        <x:v/>
      </x:c>
      <x:c r="DV26" s="1053" t="str">
        <x:f t="shared" si="50"/>
        <x:v/>
      </x:c>
      <x:c r="DW26" s="1053" t="str">
        <x:f t="shared" si="51"/>
        <x:v/>
      </x:c>
      <x:c r="DX26" s="1269">
        <x:f t="shared" si="94"/>
        <x:v>0</x:v>
      </x:c>
      <x:c r="DY26" s="1053">
        <x:f t="shared" si="95"/>
        <x:v>0</x:v>
      </x:c>
      <x:c r="DZ26" s="1052">
        <x:f t="shared" ref="DZ26:DZ40" si="107">MIN(IF(BP26&gt;0,BP26/2,MAX(BQ26/2,DM26)),IF(BQ26&gt;0,BQ26/2,MAX(BP26/2,DM26)),IF(DM26&gt;0,DM26,MAX(BQ26/2,BP26/2)))/IF(OR(DE26="C",AND(DE26="M",$DD$1="N")),1,COS(DY26))</x:f>
        <x:v>0</x:v>
      </x:c>
      <x:c r="EA26" s="1052" t="str">
        <x:f t="shared" si="96"/>
        <x:v/>
      </x:c>
      <x:c r="EB26" s="1053" t="str">
        <x:f t="shared" si="52"/>
        <x:v/>
      </x:c>
      <x:c r="EC26" s="1053" t="str">
        <x:f t="shared" si="53"/>
        <x:v/>
      </x:c>
      <x:c r="ED26" s="1269">
        <x:f t="shared" si="97"/>
        <x:v>0</x:v>
      </x:c>
      <x:c r="EE26" s="1090" t="str">
        <x:f t="shared" si="102"/>
        <x:v/>
      </x:c>
      <x:c r="EF26" s="1053" t="str">
        <x:f t="shared" si="54"/>
        <x:v/>
      </x:c>
      <x:c r="EG26" s="1053" t="str">
        <x:f t="shared" si="55"/>
        <x:v/>
      </x:c>
      <x:c r="EH26" s="1053" t="str">
        <x:f t="shared" si="56"/>
        <x:v>ERR</x:v>
      </x:c>
      <x:c r="EI26" s="1053" t="str">
        <x:f t="shared" si="57"/>
        <x:v>ERR</x:v>
      </x:c>
      <x:c r="EJ26" s="1053" t="str">
        <x:f t="shared" si="58"/>
        <x:v/>
      </x:c>
      <x:c r="EK26" s="1053" t="str">
        <x:f t="shared" si="58"/>
        <x:v/>
      </x:c>
      <x:c r="EL26" s="1090" t="str">
        <x:f t="shared" si="103"/>
        <x:v/>
      </x:c>
      <x:c r="EM26" s="1053" t="str">
        <x:f t="shared" si="59"/>
        <x:v/>
      </x:c>
      <x:c r="EN26" s="1053" t="str">
        <x:f t="shared" si="60"/>
        <x:v/>
      </x:c>
      <x:c r="EO26" s="1053" t="str">
        <x:f t="shared" si="61"/>
        <x:v>ERR</x:v>
      </x:c>
      <x:c r="EP26" s="1053" t="str">
        <x:f t="shared" si="62"/>
        <x:v>ERR</x:v>
      </x:c>
      <x:c r="EQ26" s="1053" t="str">
        <x:f t="shared" si="63"/>
        <x:v/>
      </x:c>
      <x:c r="ER26" s="1053" t="str">
        <x:f t="shared" si="63"/>
        <x:v/>
      </x:c>
      <x:c r="ES26" s="1053" t="str">
        <x:f t="shared" si="64"/>
        <x:v/>
      </x:c>
      <x:c r="ET26" s="1053" t="str">
        <x:f t="shared" si="65"/>
        <x:v/>
      </x:c>
      <x:c r="EU26" s="1061">
        <x:f t="shared" si="66"/>
        <x:v>4</x:v>
      </x:c>
      <x:c r="EV26" s="1055" t="str">
        <x:f>IF(AND(EK26="",ER26=""),"",IF(EK26="",DL26,IF(EQ26="",DB26,IF(DB26&lt;&gt;DL26,EU26,DB26))))</x:f>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6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68"/>
        <x:v/>
      </x:c>
      <x:c r="FD26" s="1053">
        <x:f t="shared" si="69"/>
        <x:v>0</x:v>
      </x:c>
      <x:c r="FE26" s="1053">
        <x:f t="shared" si="70"/>
        <x:v>0</x:v>
      </x:c>
      <x:c r="FF26" s="1052">
        <x:f t="shared" si="71"/>
        <x:v>0</x:v>
      </x:c>
      <x:c r="FG26" s="1052" t="str">
        <x:f t="shared" si="72"/>
        <x:v/>
      </x:c>
      <x:c r="FH26" s="1053" t="str">
        <x:f t="shared" si="73"/>
        <x:v/>
      </x:c>
      <x:c r="FI26" s="1053">
        <x:f t="shared" si="74"/>
        <x:v>0</x:v>
      </x:c>
      <x:c r="FJ26" s="1053">
        <x:f t="shared" si="75"/>
        <x:v>0</x:v>
      </x:c>
      <x:c r="FK26" s="1052">
        <x:f t="shared" si="76"/>
        <x:v>0</x:v>
      </x:c>
      <x:c r="FL26" s="1052" t="str">
        <x:f t="shared" si="77"/>
        <x:v/>
      </x:c>
      <x:c r="FM26" s="1053" t="str">
        <x:f t="shared" si="78"/>
        <x:v/>
      </x:c>
      <x:c r="FN26" s="1053" t="e">
        <x:f t="shared" si="98"/>
        <x:v>#VALUE!</x:v>
      </x:c>
      <x:c r="FO26" s="1062" t="e">
        <x:f t="shared" si="79"/>
        <x:v>#VALUE!</x:v>
      </x:c>
      <x:c r="FP26" s="1062" t="e">
        <x:f t="shared" si="80"/>
        <x:v>#VALUE!</x:v>
      </x:c>
      <x:c r="FQ26" s="1063" t="e">
        <x:f t="shared" si="81"/>
        <x:v>#VALUE!</x:v>
      </x:c>
      <x:c r="FR26" s="1064" t="e">
        <x:f t="shared" si="82"/>
        <x:v>#VALUE!</x:v>
      </x:c>
      <x:c r="FS26" s="1065" t="str">
        <x:f t="shared" si="83"/>
        <x:v/>
      </x:c>
      <x:c r="FT26" s="1066" t="str">
        <x:f t="shared" si="84"/>
        <x:v/>
      </x:c>
      <x:c r="FU26" s="1105">
        <x:f t="shared" si="85"/>
        <x:v>0</x:v>
      </x:c>
      <x:c r="FV26" s="1106">
        <x:f t="shared" si="86"/>
        <x:v>0</x:v>
      </x:c>
      <x:c r="GA26" s="1975">
        <x:v>59</x:v>
      </x:c>
      <x:c r="GB26" s="1976">
        <x:v>2.75</x:v>
      </x:c>
      <x:c r="GC26" s="1977">
        <x:v>2</x:v>
      </x:c>
      <x:c r="GD26" s="1978">
        <x:v>-0.5</x:v>
      </x:c>
      <x:c r="GE26" s="1979">
        <x:v>4.7641527888640282E-2</x:v>
      </x:c>
      <x:c r="GF26" s="1980" t="str">
        <x:f t="shared" si="87"/>
        <x:v>J4</x:v>
      </x:c>
      <x:c r="GG26" s="1453"/>
      <x:c r="GH26" s="1454"/>
      <x:c r="GI26" s="1453"/>
      <x:c r="GJ26" s="1454"/>
      <x:c r="GK26" s="1407">
        <x:f t="shared" si="88"/>
        <x:v>712.25</x:v>
      </x:c>
      <x:c r="GL26" s="1407">
        <x:f t="shared" si="89"/>
        <x:v>712.25561318842529</x:v>
      </x:c>
      <x:c r="GM26" s="1408">
        <x:f>IF(ABS(GK26-GL26)&gt;='Job Info.'!$L$22,ABS(GK26-GL26),0)</x:f>
        <x:v>0</x:v>
      </x:c>
      <x:c r="GZ26" s="497"/>
      <x:c r="HA26" s="1640" t="s">
        <x:v>1328</x:v>
      </x:c>
      <x:c r="HB26" s="1641">
        <x:v>4</x:v>
      </x:c>
      <x:c r="HC26" s="1641" t="s">
        <x:v>1978</x:v>
      </x:c>
      <x:c r="HD26" s="1642">
        <x:v>59</x:v>
      </x:c>
      <x:c r="HE26" s="1643">
        <x:v>4.25</x:v>
      </x:c>
      <x:c r="HF26" s="1641">
        <x:v>0</x:v>
      </x:c>
      <x:c r="HG26" s="1641">
        <x:v>3.625</x:v>
      </x:c>
      <x:c r="HH26" s="1641" t="s">
        <x:v>114</x:v>
      </x:c>
      <x:c r="HI26" s="1644"/>
      <x:c r="HJ26" s="1641"/>
      <x:c r="HK26" s="1641"/>
      <x:c r="HL26" s="1641">
        <x:v>3</x:v>
      </x:c>
      <x:c r="HM26" s="1641">
        <x:v>3</x:v>
      </x:c>
      <x:c r="HN26" s="1641"/>
      <x:c r="HO26" s="1641"/>
      <x:c r="HP26" s="1641"/>
      <x:c r="HQ26" s="1644"/>
      <x:c r="HR26" s="1641"/>
      <x:c r="HS26" s="1641"/>
      <x:c r="HT26" s="1641"/>
      <x:c r="HU26" s="1641"/>
      <x:c r="HV26" s="1641"/>
      <x:c r="HW26" s="1643"/>
      <x:c r="HX26" s="1643">
        <x:v>0</x:v>
      </x:c>
      <x:c r="HY26" s="1643"/>
      <x:c r="HZ26" s="1643"/>
      <x:c r="IA26" s="1643" t="s">
        <x:v>2065</x:v>
      </x:c>
      <x:c r="IB26" s="1643"/>
      <x:c r="IC26" s="1643"/>
      <x:c r="ID26" s="1643"/>
      <x:c r="IE26" s="1643"/>
      <x:c r="IF26" s="1645"/>
      <x:c r="IG26" s="497"/>
      <x:c r="IH26" s="497"/>
      <x:c r="II26" s="497"/>
    </x:row>
    <x:row r="27" spans="1:243" ht="12.6" customHeight="1" x14ac:dyDescent="0.25">
      <x:c r="A27" s="1264" t="s">
        <x:v>1329</x:v>
      </x:c>
      <x:c r="B27" s="1265">
        <x:v>0</x:v>
      </x:c>
      <x:c r="C27" s="1265" t="s">
        <x:v>1978</x:v>
      </x:c>
      <x:c r="D27" s="1261">
        <x:v>59</x:v>
      </x:c>
      <x:c r="E27" s="1411">
        <x:v>4.25</x:v>
      </x:c>
      <x:c r="F27" s="1263">
        <x:v>0</x:v>
      </x:c>
      <x:c r="G27" s="1262">
        <x:v>3.625</x:v>
      </x:c>
      <x:c r="H27" s="1266" t="s">
        <x:v>114</x:v>
      </x:c>
      <x:c r="I27" s="1261" t="str">
        <x:f t="shared" si="1"/>
        <x:v/>
      </x:c>
      <x:c r="J27" s="1262" t="str">
        <x:f t="shared" si="2"/>
        <x:v/>
      </x:c>
      <x:c r="K27" s="1412" t="str">
        <x:f t="shared" si="3"/>
        <x:v/>
      </x:c>
      <x:c r="L27" s="1327">
        <x:v>3</x:v>
      </x:c>
      <x:c r="M27" s="1329">
        <x:v>3</x:v>
      </x:c>
      <x:c r="N27" s="1263" t="str">
        <x:f t="shared" si="4"/>
        <x:v/>
      </x:c>
      <x:c r="O27" s="1262" t="str">
        <x:f t="shared" si="5"/>
        <x:v/>
      </x:c>
      <x:c r="P27" s="1260" t="str">
        <x:f t="shared" si="6"/>
        <x:v/>
      </x:c>
      <x:c r="Q27" s="1261" t="str">
        <x:f t="shared" si="7"/>
        <x:v/>
      </x:c>
      <x:c r="R27" s="1262" t="str">
        <x:f t="shared" si="8"/>
        <x:v/>
      </x:c>
      <x:c r="S27" s="1410" t="str">
        <x:f t="shared" si="9"/>
        <x:v/>
      </x:c>
      <x:c r="T27" s="1263" t="str">
        <x:f t="shared" si="10"/>
        <x:v/>
      </x:c>
      <x:c r="U27" s="1262" t="str">
        <x:f t="shared" si="11"/>
        <x:v/>
      </x:c>
      <x:c r="V27" s="1261" t="str">
        <x:f t="shared" si="12"/>
        <x:v/>
      </x:c>
      <x:c r="W27" s="1262" t="str">
        <x:f t="shared" si="13"/>
        <x:v/>
      </x:c>
      <x:c r="X27" s="1409">
        <x:f t="shared" si="14"/>
        <x:v>0</x:v>
      </x:c>
      <x:c r="Y27" s="1377" t="str">
        <x:f t="shared" si="15"/>
        <x:v/>
      </x:c>
      <x:c r="Z27" s="1378" t="str">
        <x:f t="shared" si="16"/>
        <x:v/>
      </x:c>
      <x:c r="AA27" s="2159" t="s">
        <x:v>2066</x:v>
      </x:c>
      <x:c r="AC27" s="1226" t="b">
        <x:v>0</x:v>
      </x:c>
      <x:c r="AD27" s="525">
        <x:f t="shared" si="17"/>
        <x:v>0</x:v>
      </x:c>
      <x:c r="AE27" s="526">
        <x:f t="shared" si="18"/>
        <x:v>0</x:v>
      </x:c>
      <x:c r="AF27" s="526">
        <x:f t="shared" si="19"/>
        <x:v>0</x:v>
      </x:c>
      <x:c r="AG27" s="526">
        <x:f t="shared" si="20"/>
        <x:v>0</x:v>
      </x:c>
      <x:c r="AH27" s="527">
        <x:f t="shared" si="21"/>
        <x:v>0</x:v>
      </x:c>
      <x:c r="AI27" s="528" t="b">
        <x:v>0</x:v>
      </x:c>
      <x:c r="AJ27" s="284">
        <x:f>IF(OR(ISERROR(VALUE(LEFT(C27,SEARCH(AK27,C27)-1))),AK27=""),0,VALUE(LEFT(C27,SEARCH(AK27,C27)-1)))</x:f>
        <x:v>36</x:v>
      </x:c>
      <x:c r="AK27" s="284" t="str">
        <x:f t="shared" si="22"/>
        <x:v>LH</x:v>
      </x:c>
      <x:c r="AL27" s="1202" t="str">
        <x:f t="shared" si="23"/>
        <x:v/>
      </x:c>
      <x:c r="AM27" s="284">
        <x:f t="shared" si="24"/>
        <x:v>270</x:v>
      </x:c>
      <x:c r="AN27" s="284">
        <x:f t="shared" si="25"/>
        <x:v>120</x:v>
      </x:c>
      <x:c r="AO27" s="284" t="str">
        <x:f t="shared" si="26"/>
        <x:v/>
      </x:c>
      <x:c r="AP27" s="1063" t="b">
        <x:f>IF(ISERROR(AJ27),FALSE,IF(OR(AJ27=0,ISERROR(AL27),ISERROR(AM27),ISERROR(AN27),ISERROR(AO27)),FALSE,IF(AL27&lt;&gt;"",IF(ISERROR(VLOOKUP(SUBSTITUTE(SUBSTITUTE(C27,"R",""),"A",""),TblJoistSize!$A:$A,1,FALSE)),FALSE,TRUE),TRUE)))</x:f>
        <x:v>1</x:v>
      </x:c>
      <x:c r="AQ27" s="1305">
        <x:f t="shared" si="27"/>
        <x:v>9.625</x:v>
      </x:c>
      <x:c r="AR27" s="1305" t="b">
        <x:f t="shared" si="28"/>
        <x:v>0</x:v>
      </x:c>
      <x:c r="AS27" s="1305">
        <x:f t="shared" si="29"/>
        <x:v>6</x:v>
      </x:c>
      <x:c r="AT27" s="1305" t="b">
        <x:f t="shared" si="30"/>
        <x:v>0</x:v>
      </x:c>
      <x:c r="AU27" s="1203" t="str">
        <x:f t="shared" si="31"/>
        <x:v>LH</x:v>
      </x:c>
      <x:c r="AV27" s="1063" t="str">
        <x:f t="shared" si="32"/>
        <x:v/>
      </x:c>
      <x:c r="AW27" s="1063" t="str">
        <x:f t="shared" si="90"/>
        <x:v>LH</x:v>
      </x:c>
      <x:c r="AX27" s="1063" t="str">
        <x:f t="shared" si="99"/>
        <x:v>J5</x:v>
      </x:c>
      <x:c r="AY27" s="554" t="b">
        <x:f t="shared" si="33"/>
        <x:v>0</x:v>
      </x:c>
      <x:c r="AZ27" s="1090" t="b">
        <x:f t="shared" si="91"/>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4"/>
        <x:v/>
      </x:c>
      <x:c r="CE27" s="935" t="str">
        <x:f t="shared" si="35"/>
        <x:v/>
      </x:c>
      <x:c r="CF27" s="1149"/>
      <x:c r="CG27" s="1150"/>
      <x:c r="CH27" s="792" t="str">
        <x:f t="shared" si="36"/>
        <x:v/>
      </x:c>
      <x:c r="CI27" s="793" t="str">
        <x:f t="shared" si="37"/>
        <x:v/>
      </x:c>
      <x:c r="CJ27" s="794" t="str">
        <x:f t="shared" ref="CJ27:CJ40" si="108">IF(EV27="","",IF(AND(DB27&lt;&gt;EV27,OR(NOT(ISBLANK(BJ27)),CU27="C")),CONCATENATE("LE slots @ ",DB27," Ga."),IF(AND(DL27&lt;&gt;EV27,OR(NOT(ISBLANK(BR27)),DE27="C")),CONCATENATE("RE slots @ ",DL27," Ga."),"")))</x:f>
        <x:v/>
      </x:c>
      <x:c r="CK27" s="1086" t="str">
        <x:f t="shared" si="38"/>
        <x:v/>
      </x:c>
      <x:c r="CL27" s="1081" t="str">
        <x:f t="shared" si="100"/>
        <x:v/>
      </x:c>
      <x:c r="CM27" s="1082" t="str">
        <x:f t="shared" si="101"/>
        <x:v/>
      </x:c>
      <x:c r="CN27" s="758" t="str">
        <x:f t="shared" si="39"/>
        <x:v/>
      </x:c>
      <x:c r="CO27" s="759" t="str">
        <x:f t="shared" si="40"/>
        <x:v/>
      </x:c>
      <x:c r="CP27" s="762" t="str">
        <x:f t="shared" si="41"/>
        <x:v/>
      </x:c>
      <x:c r="CQ27" s="763" t="str">
        <x:f t="shared" si="42"/>
        <x:v/>
      </x:c>
      <x:c r="CR27" s="953">
        <x:f t="shared" si="43"/>
        <x:v>5</x:v>
      </x:c>
      <x:c r="CS27" s="954">
        <x:f t="shared" si="44"/>
        <x:v>5</x:v>
      </x:c>
      <x:c r="CU27" s="135" t="str">
        <x:f>IF(BG27="","",VLOOKUP(BG27,SectInfo!$B:$N,12,FALSE))</x:f>
        <x:v/>
      </x:c>
      <x:c r="CV27" s="136" t="str">
        <x:f>IF(BG27="","",IF(ISBLANK(BZ27),VLOOKUP(BG27,SectInfo!$B:$N,13,FALSE),BZ27))</x:f>
        <x:v/>
      </x:c>
      <x:c r="CW27" s="136" t="str">
        <x:f>IF(BG27="","",IF(VLOOKUP(BG27,SectInfo!$B:$N,5,FALSE)="","R",UPPER(VLOOKUP(BG27,SectInfo!$B:$N,5,FALSE))))</x:f>
        <x:v/>
      </x:c>
      <x:c r="CX27" s="1046" t="str">
        <x:f>IF(BG27="","",IF(ISBLANK(CF27),VLOOKUP(BG27,SectInfo!$B:$N,6,FALSE),CF27))</x:f>
        <x:v/>
      </x:c>
      <x:c r="CY27" s="136" t="str">
        <x:f>IF(BG27="","",IF(VLOOKUP(BG27,SectInfo!$B:$N,10,FALSE)="","",(VLOOKUP(BG27,SectInfo!$B:$N,10,FALSE)*-1)))</x:f>
        <x:v/>
      </x:c>
      <x:c r="CZ27" s="1443" t="str">
        <x:f>IF(BG27="","",IF(VLOOKUP(BG27,SectInfo!$B:$N,11,FALSE)="","2",(VLOOKUP(BG27,SectInfo!$B:$N,11,FALSE))))</x:f>
        <x:v/>
      </x:c>
      <x:c r="DA27" s="13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92"/>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27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93"/>
        <x:v>0</x:v>
      </x:c>
      <x:c r="DO27" s="1049">
        <x:f t="shared" si="45"/>
        <x:v>0</x:v>
      </x:c>
      <x:c r="DP27" s="1053" t="str">
        <x:f t="shared" si="46"/>
        <x:v/>
      </x:c>
      <x:c r="DQ27" s="1053" t="str">
        <x:f t="shared" si="47"/>
        <x:v/>
      </x:c>
      <x:c r="DR27" s="1053" t="str">
        <x:f t="shared" si="48"/>
        <x:v/>
      </x:c>
      <x:c r="DS27" s="1052">
        <x:f t="shared" si="49"/>
        <x:v>0</x:v>
      </x:c>
      <x:c r="DT27" s="1052">
        <x:f t="shared" si="105"/>
        <x:v>0</x:v>
      </x:c>
      <x:c r="DU27" s="1052" t="str">
        <x:f t="shared" si="106"/>
        <x:v/>
      </x:c>
      <x:c r="DV27" s="1053" t="str">
        <x:f t="shared" si="50"/>
        <x:v/>
      </x:c>
      <x:c r="DW27" s="1053" t="str">
        <x:f t="shared" si="51"/>
        <x:v/>
      </x:c>
      <x:c r="DX27" s="1269">
        <x:f t="shared" si="94"/>
        <x:v>0</x:v>
      </x:c>
      <x:c r="DY27" s="1053">
        <x:f t="shared" si="95"/>
        <x:v>0</x:v>
      </x:c>
      <x:c r="DZ27" s="1052">
        <x:f t="shared" si="107"/>
        <x:v>0</x:v>
      </x:c>
      <x:c r="EA27" s="1052" t="str">
        <x:f t="shared" si="96"/>
        <x:v/>
      </x:c>
      <x:c r="EB27" s="1053" t="str">
        <x:f t="shared" si="52"/>
        <x:v/>
      </x:c>
      <x:c r="EC27" s="1053" t="str">
        <x:f t="shared" si="53"/>
        <x:v/>
      </x:c>
      <x:c r="ED27" s="1269">
        <x:f t="shared" si="97"/>
        <x:v>0</x:v>
      </x:c>
      <x:c r="EE27" s="1090" t="str">
        <x:f t="shared" si="102"/>
        <x:v/>
      </x:c>
      <x:c r="EF27" s="1053" t="str">
        <x:f t="shared" si="54"/>
        <x:v/>
      </x:c>
      <x:c r="EG27" s="1053" t="str">
        <x:f t="shared" si="55"/>
        <x:v/>
      </x:c>
      <x:c r="EH27" s="1053" t="str">
        <x:f t="shared" si="56"/>
        <x:v>ERR</x:v>
      </x:c>
      <x:c r="EI27" s="1053" t="str">
        <x:f t="shared" si="57"/>
        <x:v>ERR</x:v>
      </x:c>
      <x:c r="EJ27" s="1053" t="str">
        <x:f t="shared" si="58"/>
        <x:v/>
      </x:c>
      <x:c r="EK27" s="1053" t="str">
        <x:f t="shared" si="58"/>
        <x:v/>
      </x:c>
      <x:c r="EL27" s="1090" t="str">
        <x:f t="shared" si="103"/>
        <x:v/>
      </x:c>
      <x:c r="EM27" s="1053" t="str">
        <x:f t="shared" si="59"/>
        <x:v/>
      </x:c>
      <x:c r="EN27" s="1053" t="str">
        <x:f t="shared" si="60"/>
        <x:v/>
      </x:c>
      <x:c r="EO27" s="1053" t="str">
        <x:f t="shared" si="61"/>
        <x:v>ERR</x:v>
      </x:c>
      <x:c r="EP27" s="1053" t="str">
        <x:f t="shared" si="62"/>
        <x:v>ERR</x:v>
      </x:c>
      <x:c r="EQ27" s="1053" t="str">
        <x:f t="shared" si="63"/>
        <x:v/>
      </x:c>
      <x:c r="ER27" s="1053" t="str">
        <x:f t="shared" si="63"/>
        <x:v/>
      </x:c>
      <x:c r="ES27" s="1053" t="str">
        <x:f t="shared" si="64"/>
        <x:v/>
      </x:c>
      <x:c r="ET27" s="1053" t="str">
        <x:f t="shared" si="65"/>
        <x:v/>
      </x:c>
      <x:c r="EU27" s="1061">
        <x:f t="shared" si="66"/>
        <x:v>4</x:v>
      </x:c>
      <x:c r="EV27" s="1055" t="str">
        <x:f t="shared" ref="EV27:EV40" si="109">IF(AND(EK27="",ER27=""),"",IF(EK27="",DL27,IF(EQ27="",DB27,IF(DB27&lt;&gt;DL27,EU27,DB27))))</x:f>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6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68"/>
        <x:v/>
      </x:c>
      <x:c r="FD27" s="1053">
        <x:f t="shared" si="69"/>
        <x:v>0</x:v>
      </x:c>
      <x:c r="FE27" s="1053">
        <x:f t="shared" si="70"/>
        <x:v>0</x:v>
      </x:c>
      <x:c r="FF27" s="1052">
        <x:f t="shared" si="71"/>
        <x:v>0</x:v>
      </x:c>
      <x:c r="FG27" s="1052" t="str">
        <x:f t="shared" si="72"/>
        <x:v/>
      </x:c>
      <x:c r="FH27" s="1053" t="str">
        <x:f t="shared" si="73"/>
        <x:v/>
      </x:c>
      <x:c r="FI27" s="1053">
        <x:f t="shared" si="74"/>
        <x:v>0</x:v>
      </x:c>
      <x:c r="FJ27" s="1053">
        <x:f t="shared" si="75"/>
        <x:v>0</x:v>
      </x:c>
      <x:c r="FK27" s="1052">
        <x:f t="shared" si="76"/>
        <x:v>0</x:v>
      </x:c>
      <x:c r="FL27" s="1052" t="str">
        <x:f t="shared" si="77"/>
        <x:v/>
      </x:c>
      <x:c r="FM27" s="1053" t="str">
        <x:f t="shared" si="78"/>
        <x:v/>
      </x:c>
      <x:c r="FN27" s="1053" t="e">
        <x:f t="shared" si="98"/>
        <x:v>#VALUE!</x:v>
      </x:c>
      <x:c r="FO27" s="1062" t="e">
        <x:f t="shared" si="79"/>
        <x:v>#VALUE!</x:v>
      </x:c>
      <x:c r="FP27" s="1062" t="e">
        <x:f t="shared" si="80"/>
        <x:v>#VALUE!</x:v>
      </x:c>
      <x:c r="FQ27" s="1063" t="e">
        <x:f t="shared" si="81"/>
        <x:v>#VALUE!</x:v>
      </x:c>
      <x:c r="FR27" s="1064" t="e">
        <x:f t="shared" si="82"/>
        <x:v>#VALUE!</x:v>
      </x:c>
      <x:c r="FS27" s="1065" t="str">
        <x:f t="shared" si="83"/>
        <x:v/>
      </x:c>
      <x:c r="FT27" s="1066" t="str">
        <x:f t="shared" si="84"/>
        <x:v/>
      </x:c>
      <x:c r="FU27" s="1105">
        <x:f t="shared" si="85"/>
        <x:v>0</x:v>
      </x:c>
      <x:c r="FV27" s="1106">
        <x:f t="shared" si="86"/>
        <x:v>0</x:v>
      </x:c>
      <x:c r="GA27" s="1975">
        <x:v>59</x:v>
      </x:c>
      <x:c r="GB27" s="1976">
        <x:v>2.75</x:v>
      </x:c>
      <x:c r="GC27" s="1977">
        <x:v>2</x:v>
      </x:c>
      <x:c r="GD27" s="1978">
        <x:v>-0.5</x:v>
      </x:c>
      <x:c r="GE27" s="1979">
        <x:v>9.539843417155508E-2</x:v>
      </x:c>
      <x:c r="GF27" s="1980" t="str">
        <x:f t="shared" si="87"/>
        <x:v>J5</x:v>
      </x:c>
      <x:c r="GG27" s="1453"/>
      <x:c r="GH27" s="1454"/>
      <x:c r="GI27" s="1453"/>
      <x:c r="GJ27" s="1454"/>
      <x:c r="GK27" s="1407">
        <x:f t="shared" si="88"/>
        <x:v>712.25</x:v>
      </x:c>
      <x:c r="GL27" s="1407">
        <x:f t="shared" si="89"/>
        <x:v>712.27250689585219</x:v>
      </x:c>
      <x:c r="GM27" s="1408">
        <x:f>IF(ABS(GK27-GL27)&gt;='Job Info.'!$L$22,ABS(GK27-GL27),0)</x:f>
        <x:v>0</x:v>
      </x:c>
      <x:c r="GZ27" s="497"/>
      <x:c r="HA27" s="1640" t="s">
        <x:v>1329</x:v>
      </x:c>
      <x:c r="HB27" s="1641">
        <x:v>3</x:v>
      </x:c>
      <x:c r="HC27" s="1641" t="s">
        <x:v>1978</x:v>
      </x:c>
      <x:c r="HD27" s="1642">
        <x:v>59</x:v>
      </x:c>
      <x:c r="HE27" s="1643">
        <x:v>4.25</x:v>
      </x:c>
      <x:c r="HF27" s="1641">
        <x:v>0</x:v>
      </x:c>
      <x:c r="HG27" s="1641">
        <x:v>3.625</x:v>
      </x:c>
      <x:c r="HH27" s="1641" t="s">
        <x:v>114</x:v>
      </x:c>
      <x:c r="HI27" s="1644"/>
      <x:c r="HJ27" s="1641"/>
      <x:c r="HK27" s="1641"/>
      <x:c r="HL27" s="1641">
        <x:v>3</x:v>
      </x:c>
      <x:c r="HM27" s="1641">
        <x:v>3</x:v>
      </x:c>
      <x:c r="HN27" s="1641"/>
      <x:c r="HO27" s="1641"/>
      <x:c r="HP27" s="1641"/>
      <x:c r="HQ27" s="1644"/>
      <x:c r="HR27" s="1641"/>
      <x:c r="HS27" s="1641"/>
      <x:c r="HT27" s="1641"/>
      <x:c r="HU27" s="1641"/>
      <x:c r="HV27" s="1641"/>
      <x:c r="HW27" s="1643"/>
      <x:c r="HX27" s="1643">
        <x:v>0</x:v>
      </x:c>
      <x:c r="HY27" s="1643"/>
      <x:c r="HZ27" s="1643"/>
      <x:c r="IA27" s="1643" t="s">
        <x:v>2066</x:v>
      </x:c>
      <x:c r="IB27" s="1643"/>
      <x:c r="IC27" s="1643"/>
      <x:c r="ID27" s="1643"/>
      <x:c r="IE27" s="1643"/>
      <x:c r="IF27" s="1645"/>
      <x:c r="IG27" s="497"/>
      <x:c r="IH27" s="497"/>
      <x:c r="II27" s="497"/>
    </x:row>
    <x:row r="28" spans="1:243" ht="12.6" customHeight="1" x14ac:dyDescent="0.25">
      <x:c r="A28" s="1264" t="s">
        <x:v>1330</x:v>
      </x:c>
      <x:c r="B28" s="1265">
        <x:v>0</x:v>
      </x:c>
      <x:c r="C28" s="1265" t="s">
        <x:v>1978</x:v>
      </x:c>
      <x:c r="D28" s="1261">
        <x:v>59</x:v>
      </x:c>
      <x:c r="E28" s="1411">
        <x:v>3.375</x:v>
      </x:c>
      <x:c r="F28" s="1263">
        <x:v>0</x:v>
      </x:c>
      <x:c r="G28" s="1262">
        <x:v>4.625</x:v>
      </x:c>
      <x:c r="H28" s="1266" t="s">
        <x:v>114</x:v>
      </x:c>
      <x:c r="I28" s="1261">
        <x:v>0</x:v>
      </x:c>
      <x:c r="J28" s="1262">
        <x:v>0.125</x:v>
      </x:c>
      <x:c r="K28" s="1412" t="s">
        <x:v>114</x:v>
      </x:c>
      <x:c r="L28" s="1327">
        <x:v>3</x:v>
      </x:c>
      <x:c r="M28" s="1329">
        <x:v>3</x:v>
      </x:c>
      <x:c r="N28" s="1263">
        <x:v>0</x:v>
      </x:c>
      <x:c r="O28" s="1262">
        <x:v>10</x:v>
      </x:c>
      <x:c r="P28" s="1260">
        <x:v>2</x:v>
      </x:c>
      <x:c r="Q28" s="1261" t="str">
        <x:f t="shared" si="7"/>
        <x:v/>
      </x:c>
      <x:c r="R28" s="1262" t="str">
        <x:f t="shared" si="8"/>
        <x:v/>
      </x:c>
      <x:c r="S28" s="1410" t="str">
        <x:f t="shared" si="9"/>
        <x:v/>
      </x:c>
      <x:c r="T28" s="1263">
        <x:v>0</x:v>
      </x:c>
      <x:c r="U28" s="1262">
        <x:v>5.5</x:v>
      </x:c>
      <x:c r="V28" s="1261">
        <x:v>0</x:v>
      </x:c>
      <x:c r="W28" s="1262">
        <x:v>2.5</x:v>
      </x:c>
      <x:c r="X28" s="1409">
        <x:v>4</x:v>
      </x:c>
      <x:c r="Y28" s="1377" t="str">
        <x:f t="shared" si="15"/>
        <x:v/>
      </x:c>
      <x:c r="Z28" s="1378" t="str">
        <x:f t="shared" si="16"/>
        <x:v/>
      </x:c>
      <x:c r="AA28" s="2159" t="s">
        <x:v>2067</x:v>
      </x:c>
      <x:c r="AC28" s="1226" t="b">
        <x:v>0</x:v>
      </x:c>
      <x:c r="AD28" s="525">
        <x:f t="shared" si="17"/>
        <x:v>0</x:v>
      </x:c>
      <x:c r="AE28" s="526">
        <x:f t="shared" si="18"/>
        <x:v>0</x:v>
      </x:c>
      <x:c r="AF28" s="526">
        <x:f t="shared" si="19"/>
        <x:v>0</x:v>
      </x:c>
      <x:c r="AG28" s="526">
        <x:f t="shared" si="20"/>
        <x:v>0</x:v>
      </x:c>
      <x:c r="AH28" s="527">
        <x:f t="shared" si="21"/>
        <x:v>0</x:v>
      </x:c>
      <x:c r="AI28" s="528" t="b">
        <x:v>0</x:v>
      </x:c>
      <x:c r="AJ28" s="284">
        <x:f t="shared" ref="AJ28:AJ40" si="110">IF(OR(ISERROR(VALUE(LEFT(C28,SEARCH(AK28,C28)-1))),AK28=""),0,VALUE(LEFT(C28,SEARCH(AK28,C28)-1)))</x:f>
        <x:v>36</x:v>
      </x:c>
      <x:c r="AK28" s="284" t="str">
        <x:f t="shared" si="22"/>
        <x:v>LH</x:v>
      </x:c>
      <x:c r="AL28" s="1202" t="str">
        <x:f t="shared" si="23"/>
        <x:v/>
      </x:c>
      <x:c r="AM28" s="284">
        <x:f t="shared" si="24"/>
        <x:v>270</x:v>
      </x:c>
      <x:c r="AN28" s="284">
        <x:f t="shared" si="25"/>
        <x:v>120</x:v>
      </x:c>
      <x:c r="AO28" s="284" t="str">
        <x:f t="shared" si="26"/>
        <x:v/>
      </x:c>
      <x:c r="AP28" s="1063" t="b">
        <x:f>IF(ISERROR(AJ28),FALSE,IF(OR(AJ28=0,ISERROR(AL28),ISERROR(AM28),ISERROR(AN28),ISERROR(AO28)),FALSE,IF(AL28&lt;&gt;"",IF(ISERROR(VLOOKUP(SUBSTITUTE(SUBSTITUTE(C28,"R",""),"A",""),TblJoistSize!$A:$A,1,FALSE)),FALSE,TRUE),TRUE)))</x:f>
        <x:v>1</x:v>
      </x:c>
      <x:c r="AQ28" s="1305">
        <x:f t="shared" si="27"/>
        <x:v>10.625</x:v>
      </x:c>
      <x:c r="AR28" s="1305" t="b">
        <x:f t="shared" si="28"/>
        <x:v>1</x:v>
      </x:c>
      <x:c r="AS28" s="1305">
        <x:f t="shared" si="29"/>
        <x:v>6.125</x:v>
      </x:c>
      <x:c r="AT28" s="1305" t="b">
        <x:f t="shared" si="30"/>
        <x:v>1</x:v>
      </x:c>
      <x:c r="AU28" s="1203" t="str">
        <x:f t="shared" si="31"/>
        <x:v>LH</x:v>
      </x:c>
      <x:c r="AV28" s="1063" t="str">
        <x:f t="shared" si="32"/>
        <x:v/>
      </x:c>
      <x:c r="AW28" s="1063" t="str">
        <x:f t="shared" si="90"/>
        <x:v>LH</x:v>
      </x:c>
      <x:c r="AX28" s="1063" t="str">
        <x:f t="shared" si="99"/>
        <x:v>TJ6</x:v>
      </x:c>
      <x:c r="AY28" s="554" t="b">
        <x:f t="shared" si="33"/>
        <x:v>0</x:v>
      </x:c>
      <x:c r="AZ28" s="1090" t="b">
        <x:f t="shared" si="91"/>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4"/>
        <x:v/>
      </x:c>
      <x:c r="CE28" s="935" t="str">
        <x:f t="shared" si="35"/>
        <x:v/>
      </x:c>
      <x:c r="CF28" s="1149"/>
      <x:c r="CG28" s="1150"/>
      <x:c r="CH28" s="792" t="str">
        <x:f t="shared" si="36"/>
        <x:v/>
      </x:c>
      <x:c r="CI28" s="793" t="str">
        <x:f t="shared" si="37"/>
        <x:v/>
      </x:c>
      <x:c r="CJ28" s="794" t="str">
        <x:f t="shared" si="108"/>
        <x:v/>
      </x:c>
      <x:c r="CK28" s="1086" t="str">
        <x:f t="shared" si="38"/>
        <x:v/>
      </x:c>
      <x:c r="CL28" s="1081" t="str">
        <x:f t="shared" si="100"/>
        <x:v/>
      </x:c>
      <x:c r="CM28" s="1082" t="str">
        <x:f t="shared" si="101"/>
        <x:v/>
      </x:c>
      <x:c r="CN28" s="758" t="str">
        <x:f t="shared" si="39"/>
        <x:v/>
      </x:c>
      <x:c r="CO28" s="759" t="str">
        <x:f t="shared" si="40"/>
        <x:v/>
      </x:c>
      <x:c r="CP28" s="762" t="str">
        <x:f t="shared" si="41"/>
        <x:v/>
      </x:c>
      <x:c r="CQ28" s="763" t="str">
        <x:f t="shared" si="42"/>
        <x:v/>
      </x:c>
      <x:c r="CR28" s="953">
        <x:f t="shared" si="43"/>
        <x:v>5</x:v>
      </x:c>
      <x:c r="CS28" s="954">
        <x:f t="shared" si="44"/>
        <x:v>5</x:v>
      </x:c>
      <x:c r="CU28" s="135" t="str">
        <x:f>IF(BG28="","",VLOOKUP(BG28,SectInfo!$B:$N,12,FALSE))</x:f>
        <x:v/>
      </x:c>
      <x:c r="CV28" s="136" t="str">
        <x:f>IF(BG28="","",IF(ISBLANK(BZ28),VLOOKUP(BG28,SectInfo!$B:$N,13,FALSE),BZ28))</x:f>
        <x:v/>
      </x:c>
      <x:c r="CW28" s="136" t="str">
        <x:f>IF(BG28="","",IF(VLOOKUP(BG28,SectInfo!$B:$N,5,FALSE)="","R",UPPER(VLOOKUP(BG28,SectInfo!$B:$N,5,FALSE))))</x:f>
        <x:v/>
      </x:c>
      <x:c r="CX28" s="1046" t="str">
        <x:f>IF(BG28="","",IF(ISBLANK(CF28),VLOOKUP(BG28,SectInfo!$B:$N,6,FALSE),CF28))</x:f>
        <x:v/>
      </x:c>
      <x:c r="CY28" s="136" t="str">
        <x:f>IF(BG28="","",IF(VLOOKUP(BG28,SectInfo!$B:$N,10,FALSE)="","",(VLOOKUP(BG28,SectInfo!$B:$N,10,FALSE)*-1)))</x:f>
        <x:v/>
      </x:c>
      <x:c r="CZ28" s="1443" t="str">
        <x:f>IF(BG28="","",IF(VLOOKUP(BG28,SectInfo!$B:$N,11,FALSE)="","2",(VLOOKUP(BG28,SectInfo!$B:$N,11,FALSE))))</x:f>
        <x:v/>
      </x:c>
      <x:c r="DA28" s="13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92"/>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27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93"/>
        <x:v>0</x:v>
      </x:c>
      <x:c r="DO28" s="1049">
        <x:f t="shared" si="45"/>
        <x:v>0</x:v>
      </x:c>
      <x:c r="DP28" s="1053" t="str">
        <x:f t="shared" si="46"/>
        <x:v/>
      </x:c>
      <x:c r="DQ28" s="1053" t="str">
        <x:f t="shared" si="47"/>
        <x:v/>
      </x:c>
      <x:c r="DR28" s="1053" t="str">
        <x:f t="shared" si="48"/>
        <x:v/>
      </x:c>
      <x:c r="DS28" s="1052">
        <x:f t="shared" si="49"/>
        <x:v>0</x:v>
      </x:c>
      <x:c r="DT28" s="1052">
        <x:f t="shared" si="105"/>
        <x:v>0</x:v>
      </x:c>
      <x:c r="DU28" s="1052" t="str">
        <x:f t="shared" si="106"/>
        <x:v/>
      </x:c>
      <x:c r="DV28" s="1053" t="str">
        <x:f t="shared" si="50"/>
        <x:v/>
      </x:c>
      <x:c r="DW28" s="1053" t="str">
        <x:f t="shared" si="51"/>
        <x:v/>
      </x:c>
      <x:c r="DX28" s="1269">
        <x:f t="shared" si="94"/>
        <x:v>0</x:v>
      </x:c>
      <x:c r="DY28" s="1053">
        <x:f t="shared" si="95"/>
        <x:v>0</x:v>
      </x:c>
      <x:c r="DZ28" s="1052">
        <x:f t="shared" si="107"/>
        <x:v>0</x:v>
      </x:c>
      <x:c r="EA28" s="1052" t="str">
        <x:f t="shared" si="96"/>
        <x:v/>
      </x:c>
      <x:c r="EB28" s="1053" t="str">
        <x:f t="shared" si="52"/>
        <x:v/>
      </x:c>
      <x:c r="EC28" s="1053" t="str">
        <x:f t="shared" si="53"/>
        <x:v/>
      </x:c>
      <x:c r="ED28" s="1269">
        <x:f t="shared" si="97"/>
        <x:v>0</x:v>
      </x:c>
      <x:c r="EE28" s="1090" t="str">
        <x:f t="shared" si="102"/>
        <x:v/>
      </x:c>
      <x:c r="EF28" s="1053" t="str">
        <x:f t="shared" si="54"/>
        <x:v/>
      </x:c>
      <x:c r="EG28" s="1053" t="str">
        <x:f t="shared" si="55"/>
        <x:v/>
      </x:c>
      <x:c r="EH28" s="1053" t="str">
        <x:f t="shared" si="56"/>
        <x:v>ERR</x:v>
      </x:c>
      <x:c r="EI28" s="1053" t="str">
        <x:f t="shared" si="57"/>
        <x:v>ERR</x:v>
      </x:c>
      <x:c r="EJ28" s="1053" t="str">
        <x:f t="shared" si="58"/>
        <x:v/>
      </x:c>
      <x:c r="EK28" s="1053" t="str">
        <x:f t="shared" si="58"/>
        <x:v/>
      </x:c>
      <x:c r="EL28" s="1090" t="str">
        <x:f t="shared" si="103"/>
        <x:v/>
      </x:c>
      <x:c r="EM28" s="1053" t="str">
        <x:f t="shared" si="59"/>
        <x:v/>
      </x:c>
      <x:c r="EN28" s="1053" t="str">
        <x:f t="shared" si="60"/>
        <x:v/>
      </x:c>
      <x:c r="EO28" s="1053" t="str">
        <x:f t="shared" si="61"/>
        <x:v>ERR</x:v>
      </x:c>
      <x:c r="EP28" s="1053" t="str">
        <x:f t="shared" si="62"/>
        <x:v>ERR</x:v>
      </x:c>
      <x:c r="EQ28" s="1053" t="str">
        <x:f t="shared" si="63"/>
        <x:v/>
      </x:c>
      <x:c r="ER28" s="1053" t="str">
        <x:f t="shared" si="63"/>
        <x:v/>
      </x:c>
      <x:c r="ES28" s="1053" t="str">
        <x:f t="shared" si="64"/>
        <x:v/>
      </x:c>
      <x:c r="ET28" s="1053" t="str">
        <x:f t="shared" si="65"/>
        <x:v/>
      </x:c>
      <x:c r="EU28" s="1061">
        <x:f t="shared" si="66"/>
        <x:v>4</x:v>
      </x:c>
      <x:c r="EV28" s="1055" t="str">
        <x:f t="shared" si="109"/>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6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68"/>
        <x:v/>
      </x:c>
      <x:c r="FD28" s="1053">
        <x:f t="shared" si="69"/>
        <x:v>0</x:v>
      </x:c>
      <x:c r="FE28" s="1053">
        <x:f t="shared" si="70"/>
        <x:v>0</x:v>
      </x:c>
      <x:c r="FF28" s="1052">
        <x:f t="shared" si="71"/>
        <x:v>0</x:v>
      </x:c>
      <x:c r="FG28" s="1052" t="str">
        <x:f t="shared" si="72"/>
        <x:v/>
      </x:c>
      <x:c r="FH28" s="1053" t="str">
        <x:f t="shared" si="73"/>
        <x:v/>
      </x:c>
      <x:c r="FI28" s="1053">
        <x:f t="shared" si="74"/>
        <x:v>0</x:v>
      </x:c>
      <x:c r="FJ28" s="1053">
        <x:f t="shared" si="75"/>
        <x:v>0</x:v>
      </x:c>
      <x:c r="FK28" s="1052">
        <x:f t="shared" si="76"/>
        <x:v>0</x:v>
      </x:c>
      <x:c r="FL28" s="1052" t="str">
        <x:f t="shared" si="77"/>
        <x:v/>
      </x:c>
      <x:c r="FM28" s="1053" t="str">
        <x:f t="shared" si="78"/>
        <x:v/>
      </x:c>
      <x:c r="FN28" s="1053" t="e">
        <x:f t="shared" si="98"/>
        <x:v>#VALUE!</x:v>
      </x:c>
      <x:c r="FO28" s="1062" t="e">
        <x:f t="shared" si="79"/>
        <x:v>#VALUE!</x:v>
      </x:c>
      <x:c r="FP28" s="1062" t="e">
        <x:f t="shared" si="80"/>
        <x:v>#VALUE!</x:v>
      </x:c>
      <x:c r="FQ28" s="1063" t="e">
        <x:f t="shared" si="81"/>
        <x:v>#VALUE!</x:v>
      </x:c>
      <x:c r="FR28" s="1064" t="e">
        <x:f t="shared" si="82"/>
        <x:v>#VALUE!</x:v>
      </x:c>
      <x:c r="FS28" s="1065" t="str">
        <x:f t="shared" si="83"/>
        <x:v/>
      </x:c>
      <x:c r="FT28" s="1066" t="str">
        <x:f t="shared" si="84"/>
        <x:v/>
      </x:c>
      <x:c r="FU28" s="1105">
        <x:f t="shared" si="85"/>
        <x:v>0</x:v>
      </x:c>
      <x:c r="FV28" s="1106">
        <x:f t="shared" si="86"/>
        <x:v>0</x:v>
      </x:c>
      <x:c r="GA28" s="1975">
        <x:v>59</x:v>
      </x:c>
      <x:c r="GB28" s="1976">
        <x:v>0.875</x:v>
      </x:c>
      <x:c r="GC28" s="1977">
        <x:v>3</x:v>
      </x:c>
      <x:c r="GD28" s="1978">
        <x:v>-0.5</x:v>
      </x:c>
      <x:c r="GE28" s="1979">
        <x:v>-1.1295182677646899E-3</x:v>
      </x:c>
      <x:c r="GF28" s="1980" t="str">
        <x:f t="shared" si="87"/>
        <x:v>TJ6</x:v>
      </x:c>
      <x:c r="GG28" s="1453"/>
      <x:c r="GH28" s="1454"/>
      <x:c r="GI28" s="1453"/>
      <x:c r="GJ28" s="1454"/>
      <x:c r="GK28" s="1407">
        <x:f t="shared" si="88"/>
        <x:v>711.375</x:v>
      </x:c>
      <x:c r="GL28" s="1407">
        <x:f t="shared" si="89"/>
        <x:v>711.37500315132093</x:v>
      </x:c>
      <x:c r="GM28" s="1408">
        <x:f>IF(ABS(GK28-GL28)&gt;='Job Info.'!$L$22,ABS(GK28-GL28),0)</x:f>
        <x:v>0</x:v>
      </x:c>
      <x:c r="GZ28" s="497"/>
      <x:c r="HA28" s="1640" t="s">
        <x:v>1330</x:v>
      </x:c>
      <x:c r="HB28" s="1641">
        <x:v>1</x:v>
      </x:c>
      <x:c r="HC28" s="1641" t="s">
        <x:v>1978</x:v>
      </x:c>
      <x:c r="HD28" s="1642">
        <x:v>59</x:v>
      </x:c>
      <x:c r="HE28" s="1643">
        <x:v>3.375</x:v>
      </x:c>
      <x:c r="HF28" s="1641">
        <x:v>0</x:v>
      </x:c>
      <x:c r="HG28" s="1641">
        <x:v>4.625</x:v>
      </x:c>
      <x:c r="HH28" s="1641" t="s">
        <x:v>114</x:v>
      </x:c>
      <x:c r="HI28" s="1644">
        <x:v>0</x:v>
      </x:c>
      <x:c r="HJ28" s="1641">
        <x:v>0.125</x:v>
      </x:c>
      <x:c r="HK28" s="1641" t="s">
        <x:v>114</x:v>
      </x:c>
      <x:c r="HL28" s="1641">
        <x:v>3</x:v>
      </x:c>
      <x:c r="HM28" s="1641">
        <x:v>3</x:v>
      </x:c>
      <x:c r="HN28" s="1641">
        <x:v>0</x:v>
      </x:c>
      <x:c r="HO28" s="1641">
        <x:v>10</x:v>
      </x:c>
      <x:c r="HP28" s="1641">
        <x:v>2</x:v>
      </x:c>
      <x:c r="HQ28" s="1644"/>
      <x:c r="HR28" s="1641"/>
      <x:c r="HS28" s="1641"/>
      <x:c r="HT28" s="1641">
        <x:v>0</x:v>
      </x:c>
      <x:c r="HU28" s="1641">
        <x:v>5.5</x:v>
      </x:c>
      <x:c r="HV28" s="1641">
        <x:v>0</x:v>
      </x:c>
      <x:c r="HW28" s="1643">
        <x:v>2.5</x:v>
      </x:c>
      <x:c r="HX28" s="1643">
        <x:v>4</x:v>
      </x:c>
      <x:c r="HY28" s="1643"/>
      <x:c r="HZ28" s="1643"/>
      <x:c r="IA28" s="1643" t="s">
        <x:v>2067</x:v>
      </x:c>
      <x:c r="IB28" s="1643"/>
      <x:c r="IC28" s="1643"/>
      <x:c r="ID28" s="1643"/>
      <x:c r="IE28" s="1643"/>
      <x:c r="IF28" s="1645"/>
      <x:c r="IG28" s="497"/>
      <x:c r="IH28" s="497"/>
      <x:c r="II28" s="497"/>
    </x:row>
    <x:row r="29" spans="1:243" ht="12.6" customHeight="1" x14ac:dyDescent="0.25">
      <x:c r="A29" s="1264" t="s">
        <x:v>1331</x:v>
      </x:c>
      <x:c r="B29" s="1265">
        <x:v>0</x:v>
      </x:c>
      <x:c r="C29" s="1265" t="s">
        <x:v>1978</x:v>
      </x:c>
      <x:c r="D29" s="1261">
        <x:v>54</x:v>
      </x:c>
      <x:c r="E29" s="1411">
        <x:v>2.375</x:v>
      </x:c>
      <x:c r="F29" s="1263">
        <x:v>0</x:v>
      </x:c>
      <x:c r="G29" s="1262">
        <x:v>3.625</x:v>
      </x:c>
      <x:c r="H29" s="1266" t="s">
        <x:v>114</x:v>
      </x:c>
      <x:c r="I29" s="1261">
        <x:v>0</x:v>
      </x:c>
      <x:c r="J29" s="1262">
        <x:v>0.125</x:v>
      </x:c>
      <x:c r="K29" s="1412" t="s">
        <x:v>114</x:v>
      </x:c>
      <x:c r="L29" s="1327">
        <x:v>3</x:v>
      </x:c>
      <x:c r="M29" s="1329">
        <x:v>3</x:v>
      </x:c>
      <x:c r="N29" s="1263" t="str">
        <x:f>IF(ES29="","",IF(AND(ES29&lt;0,ES29&gt;-12),TRUNC(ES29/12)-0.0000001,TRUNC(ES29/12)))</x:f>
        <x:v/>
      </x:c>
      <x:c r="O29" s="1262" t="str">
        <x:f>IF(ES29="","",IF(AND(ES29-(N29*12)=0,ES29&lt;0),-0.000001,ES29-(N29*12)))</x:f>
        <x:v/>
      </x:c>
      <x:c r="P29" s="1260" t="str">
        <x:f>IF(ES29="","",CZ29)</x:f>
        <x:v/>
      </x:c>
      <x:c r="Q29" s="1261" t="str">
        <x:f>IF(ET29="","",IF(AND(ET29&lt;0,ET29&gt;-12),TRUNC(ET29/12)-0.0000001,TRUNC(ET29/12)))</x:f>
        <x:v/>
      </x:c>
      <x:c r="R29" s="1262" t="str">
        <x:f>IF(ET29="","",IF(AND(ET29-(Q29*12)=0,ET29&lt;0),-0.000001,ET29-(Q29*12)))</x:f>
        <x:v/>
      </x:c>
      <x:c r="S29" s="1410" t="str">
        <x:f>IF(ET29="","",DJ29)</x:f>
        <x:v/>
      </x:c>
      <x:c r="T29" s="1263" t="str">
        <x:f>IF(CH29="ERR","",IF(EK29="","",IF(EK29="ERR",TRUNC(EJ29/12),TRUNC(EK29/12))))</x:f>
        <x:v/>
      </x:c>
      <x:c r="U29" s="1262" t="str">
        <x:f>IF(CH29="ERR","",IF(EK29="","",IF(EK29="ERR",EJ29-(T29*12),EK29-(T29*12))))</x:f>
        <x:v/>
      </x:c>
      <x:c r="V29" s="1261" t="str">
        <x:f>IF(CI29="ERR","",IF(ER29="","",IF(ER29="ERR",TRUNC(EQ29/12),TRUNC(ER29/12))))</x:f>
        <x:v/>
      </x:c>
      <x:c r="W29" s="1262" t="str">
        <x:f>IF(CI29="ERR","",IF(ER29="","",IF(ER29="ERR",EQ29-(V29*12),ER29-(V29*12))))</x:f>
        <x:v/>
      </x:c>
      <x:c r="X29" s="1409">
        <x:f>IF(EV29="",0,EV29)</x:f>
        <x:v>0</x:v>
      </x:c>
      <x:c r="Y29" s="1377" t="str">
        <x:f>FG29</x:f>
        <x:v/>
      </x:c>
      <x:c r="Z29" s="1378" t="str">
        <x:f>FL29</x:f>
        <x:v/>
      </x:c>
      <x:c r="AA29" s="2159" t="s">
        <x:v>2068</x:v>
      </x:c>
      <x:c r="AC29" s="1226" t="b">
        <x:v>0</x:v>
      </x:c>
      <x:c r="AD29" s="525">
        <x:f t="shared" si="17"/>
        <x:v>0</x:v>
      </x:c>
      <x:c r="AE29" s="526">
        <x:f t="shared" si="18"/>
        <x:v>0</x:v>
      </x:c>
      <x:c r="AF29" s="526">
        <x:f t="shared" si="19"/>
        <x:v>0</x:v>
      </x:c>
      <x:c r="AG29" s="526">
        <x:f t="shared" si="20"/>
        <x:v>0</x:v>
      </x:c>
      <x:c r="AH29" s="527">
        <x:f t="shared" si="21"/>
        <x:v>0</x:v>
      </x:c>
      <x:c r="AI29" s="528" t="b">
        <x:v>0</x:v>
      </x:c>
      <x:c r="AJ29" s="284">
        <x:f t="shared" si="110"/>
        <x:v>36</x:v>
      </x:c>
      <x:c r="AK29" s="284" t="str">
        <x:f t="shared" si="22"/>
        <x:v>LH</x:v>
      </x:c>
      <x:c r="AL29" s="1202" t="str">
        <x:f t="shared" si="23"/>
        <x:v/>
      </x:c>
      <x:c r="AM29" s="284">
        <x:f t="shared" si="24"/>
        <x:v>270</x:v>
      </x:c>
      <x:c r="AN29" s="284">
        <x:f t="shared" si="25"/>
        <x:v>120</x:v>
      </x:c>
      <x:c r="AO29" s="284" t="str">
        <x:f t="shared" si="26"/>
        <x:v/>
      </x:c>
      <x:c r="AP29" s="1063" t="b">
        <x:f>IF(ISERROR(AJ29),FALSE,IF(OR(AJ29=0,ISERROR(AL29),ISERROR(AM29),ISERROR(AN29),ISERROR(AO29)),FALSE,IF(AL29&lt;&gt;"",IF(ISERROR(VLOOKUP(SUBSTITUTE(SUBSTITUTE(C29,"R",""),"A",""),TblJoistSize!$A:$A,1,FALSE)),FALSE,TRUE),TRUE)))</x:f>
        <x:v>1</x:v>
      </x:c>
      <x:c r="AQ29" s="1305">
        <x:f t="shared" si="27"/>
        <x:v>9.625</x:v>
      </x:c>
      <x:c r="AR29" s="1305" t="b">
        <x:f t="shared" si="28"/>
        <x:v>0</x:v>
      </x:c>
      <x:c r="AS29" s="1305">
        <x:f t="shared" si="29"/>
        <x:v>6.125</x:v>
      </x:c>
      <x:c r="AT29" s="1305" t="b">
        <x:f t="shared" si="30"/>
        <x:v>0</x:v>
      </x:c>
      <x:c r="AU29" s="1203" t="str">
        <x:f t="shared" si="31"/>
        <x:v>LH</x:v>
      </x:c>
      <x:c r="AV29" s="1063" t="str">
        <x:f t="shared" si="32"/>
        <x:v/>
      </x:c>
      <x:c r="AW29" s="1063" t="str">
        <x:f t="shared" si="90"/>
        <x:v>LH</x:v>
      </x:c>
      <x:c r="AX29" s="1063" t="str">
        <x:f t="shared" si="99"/>
        <x:v>J7</x:v>
      </x:c>
      <x:c r="AY29" s="554" t="b">
        <x:f t="shared" si="33"/>
        <x:v>0</x:v>
      </x:c>
      <x:c r="AZ29" s="1090" t="b">
        <x:f t="shared" si="91"/>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IF(CY29="","","X")</x:f>
        <x:v/>
      </x:c>
      <x:c r="CE29" s="935" t="str">
        <x:f>IF(DI29="","","X")</x:f>
        <x:v/>
      </x:c>
      <x:c r="CF29" s="1149"/>
      <x:c r="CG29" s="1150"/>
      <x:c r="CH29" s="792" t="str">
        <x:f t="shared" si="36"/>
        <x:v/>
      </x:c>
      <x:c r="CI29" s="793" t="str">
        <x:f t="shared" si="37"/>
        <x:v/>
      </x:c>
      <x:c r="CJ29" s="794" t="str">
        <x:f t="shared" si="108"/>
        <x:v/>
      </x:c>
      <x:c r="CK29" s="1086" t="str">
        <x:f t="shared" si="38"/>
        <x:v/>
      </x:c>
      <x:c r="CL29" s="1081" t="str">
        <x:f t="shared" si="100"/>
        <x:v/>
      </x:c>
      <x:c r="CM29" s="1082" t="str">
        <x:f t="shared" si="101"/>
        <x:v/>
      </x:c>
      <x:c r="CN29" s="758" t="str">
        <x:f t="shared" si="39"/>
        <x:v/>
      </x:c>
      <x:c r="CO29" s="759" t="str">
        <x:f t="shared" si="40"/>
        <x:v/>
      </x:c>
      <x:c r="CP29" s="762" t="str">
        <x:f t="shared" si="41"/>
        <x:v/>
      </x:c>
      <x:c r="CQ29" s="763" t="str">
        <x:f t="shared" si="42"/>
        <x:v/>
      </x:c>
      <x:c r="CR29" s="953">
        <x:f t="shared" si="43"/>
        <x:v>5</x:v>
      </x:c>
      <x:c r="CS29" s="954">
        <x:f t="shared" si="44"/>
        <x:v>5</x:v>
      </x:c>
      <x:c r="CU29" s="135" t="str">
        <x:f>IF(BG29="","",VLOOKUP(BG29,SectInfo!$B:$N,12,FALSE))</x:f>
        <x:v/>
      </x:c>
      <x:c r="CV29" s="136" t="str">
        <x:f>IF(BG29="","",IF(ISBLANK(BZ29),VLOOKUP(BG29,SectInfo!$B:$N,13,FALSE),BZ29))</x:f>
        <x:v/>
      </x:c>
      <x:c r="CW29" s="136" t="str">
        <x:f>IF(BG29="","",IF(VLOOKUP(BG29,SectInfo!$B:$N,5,FALSE)="","R",UPPER(VLOOKUP(BG29,SectInfo!$B:$N,5,FALSE))))</x:f>
        <x:v/>
      </x:c>
      <x:c r="CX29" s="1046" t="str">
        <x:f>IF(BG29="","",IF(ISBLANK(CF29),VLOOKUP(BG29,SectInfo!$B:$N,6,FALSE),CF29))</x:f>
        <x:v/>
      </x:c>
      <x:c r="CY29" s="136" t="str">
        <x:f>IF(BG29="","",IF(VLOOKUP(BG29,SectInfo!$B:$N,10,FALSE)="","",(VLOOKUP(BG29,SectInfo!$B:$N,10,FALSE)*-1)))</x:f>
        <x:v/>
      </x:c>
      <x:c r="CZ29" s="1443" t="str">
        <x:f>IF(BG29="","",IF(VLOOKUP(BG29,SectInfo!$B:$N,11,FALSE)="","2",(VLOOKUP(BG29,SectInfo!$B:$N,11,FALSE))))</x:f>
        <x:v/>
      </x:c>
      <x:c r="DA29" s="13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92"/>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27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93"/>
        <x:v>0</x:v>
      </x:c>
      <x:c r="DO29" s="1049">
        <x:f t="shared" si="45"/>
        <x:v>0</x:v>
      </x:c>
      <x:c r="DP29" s="1053" t="str">
        <x:f t="shared" si="46"/>
        <x:v/>
      </x:c>
      <x:c r="DQ29" s="1053" t="str">
        <x:f t="shared" si="47"/>
        <x:v/>
      </x:c>
      <x:c r="DR29" s="1053" t="str">
        <x:f t="shared" si="48"/>
        <x:v/>
      </x:c>
      <x:c r="DS29" s="1052">
        <x:f t="shared" si="49"/>
        <x:v>0</x:v>
      </x:c>
      <x:c r="DT29" s="1052">
        <x:f t="shared" si="105"/>
        <x:v>0</x:v>
      </x:c>
      <x:c r="DU29" s="1052" t="str">
        <x:f t="shared" si="106"/>
        <x:v/>
      </x:c>
      <x:c r="DV29" s="1053" t="str">
        <x:f t="shared" si="50"/>
        <x:v/>
      </x:c>
      <x:c r="DW29" s="1053" t="str">
        <x:f t="shared" si="51"/>
        <x:v/>
      </x:c>
      <x:c r="DX29" s="1269">
        <x:f t="shared" si="94"/>
        <x:v>0</x:v>
      </x:c>
      <x:c r="DY29" s="1053">
        <x:f t="shared" si="95"/>
        <x:v>0</x:v>
      </x:c>
      <x:c r="DZ29" s="1052">
        <x:f t="shared" si="107"/>
        <x:v>0</x:v>
      </x:c>
      <x:c r="EA29" s="1052" t="str">
        <x:f t="shared" si="96"/>
        <x:v/>
      </x:c>
      <x:c r="EB29" s="1053" t="str">
        <x:f t="shared" si="52"/>
        <x:v/>
      </x:c>
      <x:c r="EC29" s="1053" t="str">
        <x:f t="shared" si="53"/>
        <x:v/>
      </x:c>
      <x:c r="ED29" s="1269">
        <x:f t="shared" si="97"/>
        <x:v>0</x:v>
      </x:c>
      <x:c r="EE29" s="1090" t="str">
        <x:f t="shared" si="102"/>
        <x:v/>
      </x:c>
      <x:c r="EF29" s="1053" t="str">
        <x:f t="shared" si="54"/>
        <x:v/>
      </x:c>
      <x:c r="EG29" s="1053" t="str">
        <x:f t="shared" si="55"/>
        <x:v/>
      </x:c>
      <x:c r="EH29" s="1053" t="str">
        <x:f t="shared" si="56"/>
        <x:v>ERR</x:v>
      </x:c>
      <x:c r="EI29" s="1053" t="str">
        <x:f t="shared" si="57"/>
        <x:v>ERR</x:v>
      </x:c>
      <x:c r="EJ29" s="1053" t="str">
        <x:f t="shared" si="58"/>
        <x:v/>
      </x:c>
      <x:c r="EK29" s="1053" t="str">
        <x:f t="shared" si="58"/>
        <x:v/>
      </x:c>
      <x:c r="EL29" s="1090" t="str">
        <x:f t="shared" si="103"/>
        <x:v/>
      </x:c>
      <x:c r="EM29" s="1053" t="str">
        <x:f t="shared" si="59"/>
        <x:v/>
      </x:c>
      <x:c r="EN29" s="1053" t="str">
        <x:f t="shared" si="60"/>
        <x:v/>
      </x:c>
      <x:c r="EO29" s="1053" t="str">
        <x:f t="shared" si="61"/>
        <x:v>ERR</x:v>
      </x:c>
      <x:c r="EP29" s="1053" t="str">
        <x:f t="shared" si="62"/>
        <x:v>ERR</x:v>
      </x:c>
      <x:c r="EQ29" s="1053" t="str">
        <x:f t="shared" si="63"/>
        <x:v/>
      </x:c>
      <x:c r="ER29" s="1053" t="str">
        <x:f t="shared" si="63"/>
        <x:v/>
      </x:c>
      <x:c r="ES29" s="1053" t="str">
        <x:f t="shared" si="64"/>
        <x:v/>
      </x:c>
      <x:c r="ET29" s="1053" t="str">
        <x:f t="shared" si="65"/>
        <x:v/>
      </x:c>
      <x:c r="EU29" s="1061">
        <x:f t="shared" si="66"/>
        <x:v>4</x:v>
      </x:c>
      <x:c r="EV29" s="1055" t="str">
        <x:f t="shared" si="109"/>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6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68"/>
        <x:v/>
      </x:c>
      <x:c r="FD29" s="1053">
        <x:f t="shared" si="69"/>
        <x:v>0</x:v>
      </x:c>
      <x:c r="FE29" s="1053">
        <x:f t="shared" si="70"/>
        <x:v>0</x:v>
      </x:c>
      <x:c r="FF29" s="1052">
        <x:f t="shared" si="71"/>
        <x:v>0</x:v>
      </x:c>
      <x:c r="FG29" s="1052" t="str">
        <x:f t="shared" si="72"/>
        <x:v/>
      </x:c>
      <x:c r="FH29" s="1053" t="str">
        <x:f t="shared" si="73"/>
        <x:v/>
      </x:c>
      <x:c r="FI29" s="1053">
        <x:f t="shared" si="74"/>
        <x:v>0</x:v>
      </x:c>
      <x:c r="FJ29" s="1053">
        <x:f t="shared" si="75"/>
        <x:v>0</x:v>
      </x:c>
      <x:c r="FK29" s="1052">
        <x:f t="shared" si="76"/>
        <x:v>0</x:v>
      </x:c>
      <x:c r="FL29" s="1052" t="str">
        <x:f t="shared" si="77"/>
        <x:v/>
      </x:c>
      <x:c r="FM29" s="1053" t="str">
        <x:f t="shared" si="78"/>
        <x:v/>
      </x:c>
      <x:c r="FN29" s="1053" t="e">
        <x:f t="shared" si="98"/>
        <x:v>#VALUE!</x:v>
      </x:c>
      <x:c r="FO29" s="1062" t="e">
        <x:f t="shared" si="79"/>
        <x:v>#VALUE!</x:v>
      </x:c>
      <x:c r="FP29" s="1062" t="e">
        <x:f t="shared" si="80"/>
        <x:v>#VALUE!</x:v>
      </x:c>
      <x:c r="FQ29" s="1063" t="e">
        <x:f t="shared" si="81"/>
        <x:v>#VALUE!</x:v>
      </x:c>
      <x:c r="FR29" s="1064" t="e">
        <x:f t="shared" si="82"/>
        <x:v>#VALUE!</x:v>
      </x:c>
      <x:c r="FS29" s="1065" t="str">
        <x:f t="shared" si="83"/>
        <x:v/>
      </x:c>
      <x:c r="FT29" s="1066" t="str">
        <x:f t="shared" si="84"/>
        <x:v/>
      </x:c>
      <x:c r="FU29" s="1105">
        <x:f t="shared" si="85"/>
        <x:v>0</x:v>
      </x:c>
      <x:c r="FV29" s="1106">
        <x:f t="shared" si="86"/>
        <x:v>0</x:v>
      </x:c>
      <x:c r="GA29" s="1975">
        <x:v>54</x:v>
      </x:c>
      <x:c r="GB29" s="1976">
        <x:v>0.875</x:v>
      </x:c>
      <x:c r="GC29" s="1977">
        <x:v>2</x:v>
      </x:c>
      <x:c r="GD29" s="1978">
        <x:v>-0.5</x:v>
      </x:c>
      <x:c r="GE29" s="1979">
        <x:v>1.06310420601984E-2</x:v>
      </x:c>
      <x:c r="GF29" s="1980" t="str">
        <x:f t="shared" si="87"/>
        <x:v>J7</x:v>
      </x:c>
      <x:c r="GG29" s="1453"/>
      <x:c r="GH29" s="1454"/>
      <x:c r="GI29" s="1453"/>
      <x:c r="GJ29" s="1454"/>
      <x:c r="GK29" s="1407">
        <x:f t="shared" si="88"/>
        <x:v>650.375</x:v>
      </x:c>
      <x:c r="GL29" s="1407">
        <x:f t="shared" si="89"/>
        <x:v>650.37525522483907</x:v>
      </x:c>
      <x:c r="GM29" s="1408">
        <x:f>IF(ABS(GK29-GL29)&gt;='Job Info.'!$L$22,ABS(GK29-GL29),0)</x:f>
        <x:v>0</x:v>
      </x:c>
      <x:c r="GZ29" s="497"/>
      <x:c r="HA29" s="1640" t="s">
        <x:v>1331</x:v>
      </x:c>
      <x:c r="HB29" s="1641">
        <x:v>1</x:v>
      </x:c>
      <x:c r="HC29" s="1641" t="s">
        <x:v>1978</x:v>
      </x:c>
      <x:c r="HD29" s="1642">
        <x:v>54</x:v>
      </x:c>
      <x:c r="HE29" s="1643">
        <x:v>2.375</x:v>
      </x:c>
      <x:c r="HF29" s="1641">
        <x:v>0</x:v>
      </x:c>
      <x:c r="HG29" s="1641">
        <x:v>3.625</x:v>
      </x:c>
      <x:c r="HH29" s="1641" t="s">
        <x:v>114</x:v>
      </x:c>
      <x:c r="HI29" s="1644">
        <x:v>0</x:v>
      </x:c>
      <x:c r="HJ29" s="1641">
        <x:v>0.125</x:v>
      </x:c>
      <x:c r="HK29" s="1641" t="s">
        <x:v>114</x:v>
      </x:c>
      <x:c r="HL29" s="1641">
        <x:v>3</x:v>
      </x:c>
      <x:c r="HM29" s="1641">
        <x:v>3</x:v>
      </x:c>
      <x:c r="HN29" s="1641"/>
      <x:c r="HO29" s="1641"/>
      <x:c r="HP29" s="1641"/>
      <x:c r="HQ29" s="1644"/>
      <x:c r="HR29" s="1641"/>
      <x:c r="HS29" s="1641"/>
      <x:c r="HT29" s="1641"/>
      <x:c r="HU29" s="1641"/>
      <x:c r="HV29" s="1641"/>
      <x:c r="HW29" s="1643"/>
      <x:c r="HX29" s="1643">
        <x:v>0</x:v>
      </x:c>
      <x:c r="HY29" s="1643"/>
      <x:c r="HZ29" s="1643"/>
      <x:c r="IA29" s="1643" t="s">
        <x:v>2068</x:v>
      </x:c>
      <x:c r="IB29" s="1643"/>
      <x:c r="IC29" s="1643"/>
      <x:c r="ID29" s="1643"/>
      <x:c r="IE29" s="1643"/>
      <x:c r="IF29" s="1645"/>
      <x:c r="IG29" s="497"/>
      <x:c r="IH29" s="497"/>
      <x:c r="II29" s="497"/>
    </x:row>
    <x:row r="30" spans="1:243" ht="12.6" customHeight="1" x14ac:dyDescent="0.25">
      <x:c r="A30" s="1264" t="s">
        <x:v>1332</x:v>
      </x:c>
      <x:c r="B30" s="1265">
        <x:v>0</x:v>
      </x:c>
      <x:c r="C30" s="1265" t="s">
        <x:v>1979</x:v>
      </x:c>
      <x:c r="D30" s="1261">
        <x:v>49</x:v>
      </x:c>
      <x:c r="E30" s="1411">
        <x:v>2.375</x:v>
      </x:c>
      <x:c r="F30" s="1263">
        <x:v>0</x:v>
      </x:c>
      <x:c r="G30" s="1262">
        <x:v>3.625</x:v>
      </x:c>
      <x:c r="H30" s="1266" t="s">
        <x:v>114</x:v>
      </x:c>
      <x:c r="I30" s="1261" t="str">
        <x:f t="shared" si="1"/>
        <x:v/>
      </x:c>
      <x:c r="J30" s="1262" t="str">
        <x:f t="shared" si="2"/>
        <x:v/>
      </x:c>
      <x:c r="K30" s="1412" t="str">
        <x:f t="shared" si="3"/>
        <x:v/>
      </x:c>
      <x:c r="L30" s="1327">
        <x:v>3</x:v>
      </x:c>
      <x:c r="M30" s="1329">
        <x:v>3</x:v>
      </x:c>
      <x:c r="N30" s="1263" t="str">
        <x:f t="shared" si="4"/>
        <x:v/>
      </x:c>
      <x:c r="O30" s="1262" t="str">
        <x:f t="shared" si="5"/>
        <x:v/>
      </x:c>
      <x:c r="P30" s="1260" t="str">
        <x:f t="shared" si="6"/>
        <x:v/>
      </x:c>
      <x:c r="Q30" s="1261" t="str">
        <x:f t="shared" si="7"/>
        <x:v/>
      </x:c>
      <x:c r="R30" s="1262" t="str">
        <x:f t="shared" si="8"/>
        <x:v/>
      </x:c>
      <x:c r="S30" s="1410" t="str">
        <x:f t="shared" si="9"/>
        <x:v/>
      </x:c>
      <x:c r="T30" s="1263" t="str">
        <x:f t="shared" si="10"/>
        <x:v/>
      </x:c>
      <x:c r="U30" s="1262" t="str">
        <x:f t="shared" si="11"/>
        <x:v/>
      </x:c>
      <x:c r="V30" s="1261" t="str">
        <x:f t="shared" si="12"/>
        <x:v/>
      </x:c>
      <x:c r="W30" s="1262" t="str">
        <x:f t="shared" si="13"/>
        <x:v/>
      </x:c>
      <x:c r="X30" s="1409">
        <x:f t="shared" si="14"/>
        <x:v>0</x:v>
      </x:c>
      <x:c r="Y30" s="1377" t="str">
        <x:f t="shared" si="15"/>
        <x:v/>
      </x:c>
      <x:c r="Z30" s="1378" t="str">
        <x:f t="shared" si="16"/>
        <x:v/>
      </x:c>
      <x:c r="AA30" s="2159" t="s">
        <x:v>2069</x:v>
      </x:c>
      <x:c r="AC30" s="1226" t="b">
        <x:v>0</x:v>
      </x:c>
      <x:c r="AD30" s="525">
        <x:f t="shared" si="17"/>
        <x:v>0</x:v>
      </x:c>
      <x:c r="AE30" s="526">
        <x:f t="shared" si="18"/>
        <x:v>0</x:v>
      </x:c>
      <x:c r="AF30" s="526">
        <x:f t="shared" si="19"/>
        <x:v>0</x:v>
      </x:c>
      <x:c r="AG30" s="526">
        <x:f t="shared" si="20"/>
        <x:v>0</x:v>
      </x:c>
      <x:c r="AH30" s="527">
        <x:f t="shared" si="21"/>
        <x:v>0</x:v>
      </x:c>
      <x:c r="AI30" s="528" t="b">
        <x:v>0</x:v>
      </x:c>
      <x:c r="AJ30" s="284">
        <x:f t="shared" si="110"/>
        <x:v>30</x:v>
      </x:c>
      <x:c r="AK30" s="284" t="str">
        <x:f t="shared" si="22"/>
        <x:v>K</x:v>
      </x:c>
      <x:c r="AL30" s="1202" t="str">
        <x:f t="shared" si="23"/>
        <x:v/>
      </x:c>
      <x:c r="AM30" s="284">
        <x:f t="shared" si="24"/>
        <x:v>240</x:v>
      </x:c>
      <x:c r="AN30" s="284">
        <x:f t="shared" si="25"/>
        <x:v>140</x:v>
      </x:c>
      <x:c r="AO30" s="284" t="str">
        <x:f t="shared" si="26"/>
        <x:v/>
      </x:c>
      <x:c r="AP30" s="1063" t="b">
        <x:f>IF(ISERROR(AJ30),FALSE,IF(OR(AJ30=0,ISERROR(AL30),ISERROR(AM30),ISERROR(AN30),ISERROR(AO30)),FALSE,IF(AL30&lt;&gt;"",IF(ISERROR(VLOOKUP(SUBSTITUTE(SUBSTITUTE(C30,"R",""),"A",""),TblJoistSize!$A:$A,1,FALSE)),FALSE,TRUE),TRUE)))</x:f>
        <x:v>1</x:v>
      </x:c>
      <x:c r="AQ30" s="1305">
        <x:f t="shared" si="27"/>
        <x:v>7.625</x:v>
      </x:c>
      <x:c r="AR30" s="1305" t="b">
        <x:f t="shared" si="28"/>
        <x:v>0</x:v>
      </x:c>
      <x:c r="AS30" s="1305">
        <x:f t="shared" si="29"/>
        <x:v>4</x:v>
      </x:c>
      <x:c r="AT30" s="1305" t="b">
        <x:f t="shared" si="30"/>
        <x:v>0</x:v>
      </x:c>
      <x:c r="AU30" s="1203" t="str">
        <x:f t="shared" si="31"/>
        <x:v>K</x:v>
      </x:c>
      <x:c r="AV30" s="1063" t="str">
        <x:f t="shared" si="32"/>
        <x:v>K</x:v>
      </x:c>
      <x:c r="AW30" s="1063" t="str">
        <x:f t="shared" si="90"/>
        <x:v/>
      </x:c>
      <x:c r="AX30" s="1063" t="str">
        <x:f t="shared" si="99"/>
        <x:v>J8</x:v>
      </x:c>
      <x:c r="AY30" s="554" t="b">
        <x:f t="shared" si="33"/>
        <x:v>0</x:v>
      </x:c>
      <x:c r="AZ30" s="1090" t="b">
        <x:f t="shared" si="91"/>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4"/>
        <x:v/>
      </x:c>
      <x:c r="CE30" s="935" t="str">
        <x:f t="shared" si="35"/>
        <x:v/>
      </x:c>
      <x:c r="CF30" s="1149"/>
      <x:c r="CG30" s="1150"/>
      <x:c r="CH30" s="792" t="str">
        <x:f t="shared" si="36"/>
        <x:v/>
      </x:c>
      <x:c r="CI30" s="793" t="str">
        <x:f t="shared" si="37"/>
        <x:v/>
      </x:c>
      <x:c r="CJ30" s="794" t="str">
        <x:f t="shared" si="108"/>
        <x:v/>
      </x:c>
      <x:c r="CK30" s="1086" t="str">
        <x:f t="shared" si="38"/>
        <x:v/>
      </x:c>
      <x:c r="CL30" s="1081" t="str">
        <x:f t="shared" si="100"/>
        <x:v/>
      </x:c>
      <x:c r="CM30" s="1082" t="str">
        <x:f t="shared" si="101"/>
        <x:v/>
      </x:c>
      <x:c r="CN30" s="758" t="str">
        <x:f t="shared" si="39"/>
        <x:v/>
      </x:c>
      <x:c r="CO30" s="759" t="str">
        <x:f t="shared" si="40"/>
        <x:v/>
      </x:c>
      <x:c r="CP30" s="762" t="str">
        <x:f t="shared" si="41"/>
        <x:v/>
      </x:c>
      <x:c r="CQ30" s="763" t="str">
        <x:f t="shared" si="42"/>
        <x:v/>
      </x:c>
      <x:c r="CR30" s="953">
        <x:f t="shared" si="43"/>
        <x:v>2.5</x:v>
      </x:c>
      <x:c r="CS30" s="954">
        <x:f t="shared" si="44"/>
        <x:v>2.5</x:v>
      </x:c>
      <x:c r="CU30" s="135" t="str">
        <x:f>IF(BG30="","",VLOOKUP(BG30,SectInfo!$B:$N,12,FALSE))</x:f>
        <x:v/>
      </x:c>
      <x:c r="CV30" s="136" t="str">
        <x:f>IF(BG30="","",IF(ISBLANK(BZ30),VLOOKUP(BG30,SectInfo!$B:$N,13,FALSE),BZ30))</x:f>
        <x:v/>
      </x:c>
      <x:c r="CW30" s="136" t="str">
        <x:f>IF(BG30="","",IF(VLOOKUP(BG30,SectInfo!$B:$N,5,FALSE)="","R",UPPER(VLOOKUP(BG30,SectInfo!$B:$N,5,FALSE))))</x:f>
        <x:v/>
      </x:c>
      <x:c r="CX30" s="1046" t="str">
        <x:f>IF(BG30="","",IF(ISBLANK(CF30),VLOOKUP(BG30,SectInfo!$B:$N,6,FALSE),CF30))</x:f>
        <x:v/>
      </x:c>
      <x:c r="CY30" s="136" t="str">
        <x:f>IF(BG30="","",IF(VLOOKUP(BG30,SectInfo!$B:$N,10,FALSE)="","",(VLOOKUP(BG30,SectInfo!$B:$N,10,FALSE)*-1)))</x:f>
        <x:v/>
      </x:c>
      <x:c r="CZ30" s="1443" t="str">
        <x:f>IF(BG30="","",IF(VLOOKUP(BG30,SectInfo!$B:$N,11,FALSE)="","2",(VLOOKUP(BG30,SectInfo!$B:$N,11,FALSE))))</x:f>
        <x:v/>
      </x:c>
      <x:c r="DA30" s="13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92"/>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27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93"/>
        <x:v>0</x:v>
      </x:c>
      <x:c r="DO30" s="1049">
        <x:f t="shared" si="45"/>
        <x:v>0</x:v>
      </x:c>
      <x:c r="DP30" s="1053" t="str">
        <x:f t="shared" si="46"/>
        <x:v/>
      </x:c>
      <x:c r="DQ30" s="1053" t="str">
        <x:f t="shared" si="47"/>
        <x:v/>
      </x:c>
      <x:c r="DR30" s="1053" t="str">
        <x:f t="shared" si="48"/>
        <x:v/>
      </x:c>
      <x:c r="DS30" s="1052">
        <x:f t="shared" si="49"/>
        <x:v>0</x:v>
      </x:c>
      <x:c r="DT30" s="1052">
        <x:f t="shared" si="105"/>
        <x:v>0</x:v>
      </x:c>
      <x:c r="DU30" s="1052" t="str">
        <x:f t="shared" si="106"/>
        <x:v/>
      </x:c>
      <x:c r="DV30" s="1053" t="str">
        <x:f t="shared" si="50"/>
        <x:v/>
      </x:c>
      <x:c r="DW30" s="1053" t="str">
        <x:f t="shared" si="51"/>
        <x:v/>
      </x:c>
      <x:c r="DX30" s="1269">
        <x:f t="shared" si="94"/>
        <x:v>0</x:v>
      </x:c>
      <x:c r="DY30" s="1053">
        <x:f t="shared" si="95"/>
        <x:v>0</x:v>
      </x:c>
      <x:c r="DZ30" s="1052">
        <x:f t="shared" si="107"/>
        <x:v>0</x:v>
      </x:c>
      <x:c r="EA30" s="1052" t="str">
        <x:f t="shared" si="96"/>
        <x:v/>
      </x:c>
      <x:c r="EB30" s="1053" t="str">
        <x:f t="shared" si="52"/>
        <x:v/>
      </x:c>
      <x:c r="EC30" s="1053" t="str">
        <x:f t="shared" si="53"/>
        <x:v/>
      </x:c>
      <x:c r="ED30" s="1269">
        <x:f t="shared" si="97"/>
        <x:v>0</x:v>
      </x:c>
      <x:c r="EE30" s="1090" t="str">
        <x:f t="shared" si="102"/>
        <x:v/>
      </x:c>
      <x:c r="EF30" s="1053" t="str">
        <x:f t="shared" si="54"/>
        <x:v/>
      </x:c>
      <x:c r="EG30" s="1053" t="str">
        <x:f t="shared" si="55"/>
        <x:v/>
      </x:c>
      <x:c r="EH30" s="1053" t="str">
        <x:f t="shared" si="56"/>
        <x:v>ERR</x:v>
      </x:c>
      <x:c r="EI30" s="1053" t="str">
        <x:f t="shared" si="57"/>
        <x:v>ERR</x:v>
      </x:c>
      <x:c r="EJ30" s="1053" t="str">
        <x:f t="shared" si="58"/>
        <x:v/>
      </x:c>
      <x:c r="EK30" s="1053" t="str">
        <x:f t="shared" si="58"/>
        <x:v/>
      </x:c>
      <x:c r="EL30" s="1090" t="str">
        <x:f t="shared" si="103"/>
        <x:v/>
      </x:c>
      <x:c r="EM30" s="1053" t="str">
        <x:f t="shared" si="59"/>
        <x:v/>
      </x:c>
      <x:c r="EN30" s="1053" t="str">
        <x:f t="shared" si="60"/>
        <x:v/>
      </x:c>
      <x:c r="EO30" s="1053" t="str">
        <x:f t="shared" si="61"/>
        <x:v>ERR</x:v>
      </x:c>
      <x:c r="EP30" s="1053" t="str">
        <x:f t="shared" si="62"/>
        <x:v>ERR</x:v>
      </x:c>
      <x:c r="EQ30" s="1053" t="str">
        <x:f t="shared" si="63"/>
        <x:v/>
      </x:c>
      <x:c r="ER30" s="1053" t="str">
        <x:f t="shared" si="63"/>
        <x:v/>
      </x:c>
      <x:c r="ES30" s="1053" t="str">
        <x:f t="shared" si="64"/>
        <x:v/>
      </x:c>
      <x:c r="ET30" s="1053" t="str">
        <x:f t="shared" si="65"/>
        <x:v/>
      </x:c>
      <x:c r="EU30" s="1061">
        <x:f t="shared" si="66"/>
        <x:v>3.5</x:v>
      </x:c>
      <x:c r="EV30" s="1055" t="str">
        <x:f t="shared" si="109"/>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6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68"/>
        <x:v/>
      </x:c>
      <x:c r="FD30" s="1053">
        <x:f t="shared" si="69"/>
        <x:v>0</x:v>
      </x:c>
      <x:c r="FE30" s="1053">
        <x:f t="shared" si="70"/>
        <x:v>0</x:v>
      </x:c>
      <x:c r="FF30" s="1052">
        <x:f t="shared" si="71"/>
        <x:v>0</x:v>
      </x:c>
      <x:c r="FG30" s="1052" t="str">
        <x:f t="shared" si="72"/>
        <x:v/>
      </x:c>
      <x:c r="FH30" s="1053" t="str">
        <x:f t="shared" si="73"/>
        <x:v/>
      </x:c>
      <x:c r="FI30" s="1053">
        <x:f t="shared" si="74"/>
        <x:v>0</x:v>
      </x:c>
      <x:c r="FJ30" s="1053">
        <x:f t="shared" si="75"/>
        <x:v>0</x:v>
      </x:c>
      <x:c r="FK30" s="1052">
        <x:f t="shared" si="76"/>
        <x:v>0</x:v>
      </x:c>
      <x:c r="FL30" s="1052" t="str">
        <x:f t="shared" si="77"/>
        <x:v/>
      </x:c>
      <x:c r="FM30" s="1053" t="str">
        <x:f t="shared" si="78"/>
        <x:v/>
      </x:c>
      <x:c r="FN30" s="1053" t="e">
        <x:f t="shared" si="98"/>
        <x:v>#VALUE!</x:v>
      </x:c>
      <x:c r="FO30" s="1062" t="e">
        <x:f t="shared" si="79"/>
        <x:v>#VALUE!</x:v>
      </x:c>
      <x:c r="FP30" s="1062" t="e">
        <x:f t="shared" si="80"/>
        <x:v>#VALUE!</x:v>
      </x:c>
      <x:c r="FQ30" s="1063" t="e">
        <x:f t="shared" si="81"/>
        <x:v>#VALUE!</x:v>
      </x:c>
      <x:c r="FR30" s="1064" t="e">
        <x:f t="shared" si="82"/>
        <x:v>#VALUE!</x:v>
      </x:c>
      <x:c r="FS30" s="1065" t="str">
        <x:f t="shared" si="83"/>
        <x:v/>
      </x:c>
      <x:c r="FT30" s="1066" t="str">
        <x:f t="shared" si="84"/>
        <x:v/>
      </x:c>
      <x:c r="FU30" s="1105">
        <x:f t="shared" si="85"/>
        <x:v>0</x:v>
      </x:c>
      <x:c r="FV30" s="1106">
        <x:f t="shared" si="86"/>
        <x:v>0</x:v>
      </x:c>
      <x:c r="GA30" s="1975">
        <x:v>49</x:v>
      </x:c>
      <x:c r="GB30" s="1976">
        <x:v>0.875</x:v>
      </x:c>
      <x:c r="GC30" s="1977">
        <x:v>2</x:v>
      </x:c>
      <x:c r="GD30" s="1978">
        <x:v>-0.5</x:v>
      </x:c>
      <x:c r="GE30" s="1979">
        <x:v>2.47881183801964E-2</x:v>
      </x:c>
      <x:c r="GF30" s="1980" t="str">
        <x:f t="shared" si="87"/>
        <x:v>J8</x:v>
      </x:c>
      <x:c r="GG30" s="1453"/>
      <x:c r="GH30" s="1454"/>
      <x:c r="GI30" s="1453"/>
      <x:c r="GJ30" s="1454"/>
      <x:c r="GK30" s="1407">
        <x:f t="shared" si="88"/>
        <x:v>590.375</x:v>
      </x:c>
      <x:c r="GL30" s="1407">
        <x:f t="shared" si="89"/>
        <x:v>590.37625956948489</x:v>
      </x:c>
      <x:c r="GM30" s="1408">
        <x:f>IF(ABS(GK30-GL30)&gt;='Job Info.'!$L$22,ABS(GK30-GL30),0)</x:f>
        <x:v>0</x:v>
      </x:c>
      <x:c r="GZ30" s="497"/>
      <x:c r="HA30" s="1640" t="s">
        <x:v>1332</x:v>
      </x:c>
      <x:c r="HB30" s="1641">
        <x:v>1</x:v>
      </x:c>
      <x:c r="HC30" s="1641" t="s">
        <x:v>1979</x:v>
      </x:c>
      <x:c r="HD30" s="1642">
        <x:v>49</x:v>
      </x:c>
      <x:c r="HE30" s="1643">
        <x:v>2.375</x:v>
      </x:c>
      <x:c r="HF30" s="1641">
        <x:v>0</x:v>
      </x:c>
      <x:c r="HG30" s="1641">
        <x:v>3.625</x:v>
      </x:c>
      <x:c r="HH30" s="1641" t="s">
        <x:v>114</x:v>
      </x:c>
      <x:c r="HI30" s="1644"/>
      <x:c r="HJ30" s="1641"/>
      <x:c r="HK30" s="1641"/>
      <x:c r="HL30" s="1641">
        <x:v>3</x:v>
      </x:c>
      <x:c r="HM30" s="1641">
        <x:v>3</x:v>
      </x:c>
      <x:c r="HN30" s="1641"/>
      <x:c r="HO30" s="1641"/>
      <x:c r="HP30" s="1641"/>
      <x:c r="HQ30" s="1644"/>
      <x:c r="HR30" s="1641"/>
      <x:c r="HS30" s="1641"/>
      <x:c r="HT30" s="1641"/>
      <x:c r="HU30" s="1641"/>
      <x:c r="HV30" s="1641"/>
      <x:c r="HW30" s="1643"/>
      <x:c r="HX30" s="1643">
        <x:v>0</x:v>
      </x:c>
      <x:c r="HY30" s="1643"/>
      <x:c r="HZ30" s="1643"/>
      <x:c r="IA30" s="1643" t="s">
        <x:v>2069</x:v>
      </x:c>
      <x:c r="IB30" s="1643"/>
      <x:c r="IC30" s="1643"/>
      <x:c r="ID30" s="1643"/>
      <x:c r="IE30" s="1643"/>
      <x:c r="IF30" s="1645"/>
      <x:c r="IG30" s="497"/>
      <x:c r="IH30" s="497"/>
      <x:c r="II30" s="497"/>
    </x:row>
    <x:row r="31" spans="1:243" ht="12.6" customHeight="1" x14ac:dyDescent="0.25">
      <x:c r="A31" s="1264" t="s">
        <x:v>1333</x:v>
      </x:c>
      <x:c r="B31" s="1265">
        <x:v>0</x:v>
      </x:c>
      <x:c r="C31" s="1265" t="s">
        <x:v>1979</x:v>
      </x:c>
      <x:c r="D31" s="1261">
        <x:v>44</x:v>
      </x:c>
      <x:c r="E31" s="1411">
        <x:v>2.375</x:v>
      </x:c>
      <x:c r="F31" s="1263">
        <x:v>0</x:v>
      </x:c>
      <x:c r="G31" s="1262">
        <x:v>3.625</x:v>
      </x:c>
      <x:c r="H31" s="1266" t="s">
        <x:v>114</x:v>
      </x:c>
      <x:c r="I31" s="1261" t="str">
        <x:f t="shared" si="1"/>
        <x:v/>
      </x:c>
      <x:c r="J31" s="1262" t="str">
        <x:f t="shared" si="2"/>
        <x:v/>
      </x:c>
      <x:c r="K31" s="1412" t="str">
        <x:f t="shared" si="3"/>
        <x:v/>
      </x:c>
      <x:c r="L31" s="1327">
        <x:v>3</x:v>
      </x:c>
      <x:c r="M31" s="1329">
        <x:v>3</x:v>
      </x:c>
      <x:c r="N31" s="1263" t="str">
        <x:f t="shared" si="4"/>
        <x:v/>
      </x:c>
      <x:c r="O31" s="1262" t="str">
        <x:f t="shared" si="5"/>
        <x:v/>
      </x:c>
      <x:c r="P31" s="1260" t="str">
        <x:f t="shared" si="6"/>
        <x:v/>
      </x:c>
      <x:c r="Q31" s="1261" t="str">
        <x:f t="shared" si="7"/>
        <x:v/>
      </x:c>
      <x:c r="R31" s="1262" t="str">
        <x:f t="shared" si="8"/>
        <x:v/>
      </x:c>
      <x:c r="S31" s="1410" t="str">
        <x:f t="shared" si="9"/>
        <x:v/>
      </x:c>
      <x:c r="T31" s="1263" t="str">
        <x:f t="shared" si="10"/>
        <x:v/>
      </x:c>
      <x:c r="U31" s="1262" t="str">
        <x:f t="shared" si="11"/>
        <x:v/>
      </x:c>
      <x:c r="V31" s="1261" t="str">
        <x:f t="shared" si="12"/>
        <x:v/>
      </x:c>
      <x:c r="W31" s="1262" t="str">
        <x:f t="shared" si="13"/>
        <x:v/>
      </x:c>
      <x:c r="X31" s="1409">
        <x:f t="shared" si="14"/>
        <x:v>0</x:v>
      </x:c>
      <x:c r="Y31" s="1377" t="str">
        <x:f t="shared" si="15"/>
        <x:v/>
      </x:c>
      <x:c r="Z31" s="1378" t="str">
        <x:f t="shared" si="16"/>
        <x:v/>
      </x:c>
      <x:c r="AA31" s="2159" t="s">
        <x:v>2070</x:v>
      </x:c>
      <x:c r="AC31" s="1226" t="b">
        <x:v>0</x:v>
      </x:c>
      <x:c r="AD31" s="525">
        <x:f t="shared" si="17"/>
        <x:v>0</x:v>
      </x:c>
      <x:c r="AE31" s="526">
        <x:f t="shared" si="18"/>
        <x:v>0</x:v>
      </x:c>
      <x:c r="AF31" s="526">
        <x:f t="shared" si="19"/>
        <x:v>0</x:v>
      </x:c>
      <x:c r="AG31" s="526">
        <x:f t="shared" si="20"/>
        <x:v>0</x:v>
      </x:c>
      <x:c r="AH31" s="527">
        <x:f t="shared" si="21"/>
        <x:v>0</x:v>
      </x:c>
      <x:c r="AI31" s="528" t="b">
        <x:v>0</x:v>
      </x:c>
      <x:c r="AJ31" s="284">
        <x:f t="shared" si="110"/>
        <x:v>30</x:v>
      </x:c>
      <x:c r="AK31" s="284" t="str">
        <x:f t="shared" si="22"/>
        <x:v>K</x:v>
      </x:c>
      <x:c r="AL31" s="1202" t="str">
        <x:f t="shared" si="23"/>
        <x:v/>
      </x:c>
      <x:c r="AM31" s="284">
        <x:f t="shared" si="24"/>
        <x:v>240</x:v>
      </x:c>
      <x:c r="AN31" s="284">
        <x:f t="shared" si="25"/>
        <x:v>140</x:v>
      </x:c>
      <x:c r="AO31" s="284" t="str">
        <x:f t="shared" si="26"/>
        <x:v/>
      </x:c>
      <x:c r="AP31" s="1063" t="b">
        <x:f>IF(ISERROR(AJ31),FALSE,IF(OR(AJ31=0,ISERROR(AL31),ISERROR(AM31),ISERROR(AN31),ISERROR(AO31)),FALSE,IF(AL31&lt;&gt;"",IF(ISERROR(VLOOKUP(SUBSTITUTE(SUBSTITUTE(C31,"R",""),"A",""),TblJoistSize!$A:$A,1,FALSE)),FALSE,TRUE),TRUE)))</x:f>
        <x:v>1</x:v>
      </x:c>
      <x:c r="AQ31" s="1305">
        <x:f t="shared" si="27"/>
        <x:v>7.625</x:v>
      </x:c>
      <x:c r="AR31" s="1305" t="b">
        <x:f t="shared" si="28"/>
        <x:v>0</x:v>
      </x:c>
      <x:c r="AS31" s="1305">
        <x:f t="shared" si="29"/>
        <x:v>4</x:v>
      </x:c>
      <x:c r="AT31" s="1305" t="b">
        <x:f t="shared" si="30"/>
        <x:v>0</x:v>
      </x:c>
      <x:c r="AU31" s="1203" t="str">
        <x:f t="shared" si="31"/>
        <x:v>K</x:v>
      </x:c>
      <x:c r="AV31" s="1063" t="str">
        <x:f t="shared" si="32"/>
        <x:v>K</x:v>
      </x:c>
      <x:c r="AW31" s="1063" t="str">
        <x:f t="shared" si="90"/>
        <x:v/>
      </x:c>
      <x:c r="AX31" s="1063" t="str">
        <x:f t="shared" si="99"/>
        <x:v>J9</x:v>
      </x:c>
      <x:c r="AY31" s="554" t="b">
        <x:f t="shared" si="33"/>
        <x:v>0</x:v>
      </x:c>
      <x:c r="AZ31" s="1090" t="b">
        <x:f t="shared" si="91"/>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4"/>
        <x:v/>
      </x:c>
      <x:c r="CE31" s="935" t="str">
        <x:f t="shared" si="35"/>
        <x:v/>
      </x:c>
      <x:c r="CF31" s="1149"/>
      <x:c r="CG31" s="1150"/>
      <x:c r="CH31" s="792" t="str">
        <x:f t="shared" si="36"/>
        <x:v/>
      </x:c>
      <x:c r="CI31" s="793" t="str">
        <x:f t="shared" si="37"/>
        <x:v/>
      </x:c>
      <x:c r="CJ31" s="794" t="str">
        <x:f t="shared" si="108"/>
        <x:v/>
      </x:c>
      <x:c r="CK31" s="1086" t="str">
        <x:f t="shared" si="38"/>
        <x:v/>
      </x:c>
      <x:c r="CL31" s="1081" t="str">
        <x:f t="shared" si="100"/>
        <x:v/>
      </x:c>
      <x:c r="CM31" s="1082" t="str">
        <x:f t="shared" si="101"/>
        <x:v/>
      </x:c>
      <x:c r="CN31" s="758" t="str">
        <x:f t="shared" si="39"/>
        <x:v/>
      </x:c>
      <x:c r="CO31" s="759" t="str">
        <x:f t="shared" si="40"/>
        <x:v/>
      </x:c>
      <x:c r="CP31" s="762" t="str">
        <x:f t="shared" si="41"/>
        <x:v/>
      </x:c>
      <x:c r="CQ31" s="763" t="str">
        <x:f t="shared" si="42"/>
        <x:v/>
      </x:c>
      <x:c r="CR31" s="953">
        <x:f t="shared" si="43"/>
        <x:v>2.5</x:v>
      </x:c>
      <x:c r="CS31" s="954">
        <x:f t="shared" si="44"/>
        <x:v>2.5</x:v>
      </x:c>
      <x:c r="CU31" s="135" t="str">
        <x:f>IF(BG31="","",VLOOKUP(BG31,SectInfo!$B:$N,12,FALSE))</x:f>
        <x:v/>
      </x:c>
      <x:c r="CV31" s="136" t="str">
        <x:f>IF(BG31="","",IF(ISBLANK(BZ31),VLOOKUP(BG31,SectInfo!$B:$N,13,FALSE),BZ31))</x:f>
        <x:v/>
      </x:c>
      <x:c r="CW31" s="136" t="str">
        <x:f>IF(BG31="","",IF(VLOOKUP(BG31,SectInfo!$B:$N,5,FALSE)="","R",UPPER(VLOOKUP(BG31,SectInfo!$B:$N,5,FALSE))))</x:f>
        <x:v/>
      </x:c>
      <x:c r="CX31" s="1046" t="str">
        <x:f>IF(BG31="","",IF(ISBLANK(CF31),VLOOKUP(BG31,SectInfo!$B:$N,6,FALSE),CF31))</x:f>
        <x:v/>
      </x:c>
      <x:c r="CY31" s="136" t="str">
        <x:f>IF(BG31="","",IF(VLOOKUP(BG31,SectInfo!$B:$N,10,FALSE)="","",(VLOOKUP(BG31,SectInfo!$B:$N,10,FALSE)*-1)))</x:f>
        <x:v/>
      </x:c>
      <x:c r="CZ31" s="1443" t="str">
        <x:f>IF(BG31="","",IF(VLOOKUP(BG31,SectInfo!$B:$N,11,FALSE)="","2",(VLOOKUP(BG31,SectInfo!$B:$N,11,FALSE))))</x:f>
        <x:v/>
      </x:c>
      <x:c r="DA31" s="13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92"/>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27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93"/>
        <x:v>0</x:v>
      </x:c>
      <x:c r="DO31" s="1049">
        <x:f t="shared" si="45"/>
        <x:v>0</x:v>
      </x:c>
      <x:c r="DP31" s="1053" t="str">
        <x:f t="shared" si="46"/>
        <x:v/>
      </x:c>
      <x:c r="DQ31" s="1053" t="str">
        <x:f t="shared" si="47"/>
        <x:v/>
      </x:c>
      <x:c r="DR31" s="1053" t="str">
        <x:f t="shared" si="48"/>
        <x:v/>
      </x:c>
      <x:c r="DS31" s="1052">
        <x:f t="shared" si="49"/>
        <x:v>0</x:v>
      </x:c>
      <x:c r="DT31" s="1052">
        <x:f t="shared" si="105"/>
        <x:v>0</x:v>
      </x:c>
      <x:c r="DU31" s="1052" t="str">
        <x:f t="shared" si="106"/>
        <x:v/>
      </x:c>
      <x:c r="DV31" s="1053" t="str">
        <x:f t="shared" si="50"/>
        <x:v/>
      </x:c>
      <x:c r="DW31" s="1053" t="str">
        <x:f t="shared" si="51"/>
        <x:v/>
      </x:c>
      <x:c r="DX31" s="1269">
        <x:f t="shared" si="94"/>
        <x:v>0</x:v>
      </x:c>
      <x:c r="DY31" s="1053">
        <x:f t="shared" si="95"/>
        <x:v>0</x:v>
      </x:c>
      <x:c r="DZ31" s="1052">
        <x:f t="shared" si="107"/>
        <x:v>0</x:v>
      </x:c>
      <x:c r="EA31" s="1052" t="str">
        <x:f t="shared" si="96"/>
        <x:v/>
      </x:c>
      <x:c r="EB31" s="1053" t="str">
        <x:f t="shared" si="52"/>
        <x:v/>
      </x:c>
      <x:c r="EC31" s="1053" t="str">
        <x:f t="shared" si="53"/>
        <x:v/>
      </x:c>
      <x:c r="ED31" s="1269">
        <x:f t="shared" si="97"/>
        <x:v>0</x:v>
      </x:c>
      <x:c r="EE31" s="1090" t="str">
        <x:f t="shared" si="102"/>
        <x:v/>
      </x:c>
      <x:c r="EF31" s="1053" t="str">
        <x:f t="shared" si="54"/>
        <x:v/>
      </x:c>
      <x:c r="EG31" s="1053" t="str">
        <x:f t="shared" si="55"/>
        <x:v/>
      </x:c>
      <x:c r="EH31" s="1053" t="str">
        <x:f t="shared" si="56"/>
        <x:v>ERR</x:v>
      </x:c>
      <x:c r="EI31" s="1053" t="str">
        <x:f t="shared" si="57"/>
        <x:v>ERR</x:v>
      </x:c>
      <x:c r="EJ31" s="1053" t="str">
        <x:f t="shared" si="58"/>
        <x:v/>
      </x:c>
      <x:c r="EK31" s="1053" t="str">
        <x:f t="shared" si="58"/>
        <x:v/>
      </x:c>
      <x:c r="EL31" s="1090" t="str">
        <x:f t="shared" si="103"/>
        <x:v/>
      </x:c>
      <x:c r="EM31" s="1053" t="str">
        <x:f t="shared" si="59"/>
        <x:v/>
      </x:c>
      <x:c r="EN31" s="1053" t="str">
        <x:f t="shared" si="60"/>
        <x:v/>
      </x:c>
      <x:c r="EO31" s="1053" t="str">
        <x:f t="shared" si="61"/>
        <x:v>ERR</x:v>
      </x:c>
      <x:c r="EP31" s="1053" t="str">
        <x:f t="shared" si="62"/>
        <x:v>ERR</x:v>
      </x:c>
      <x:c r="EQ31" s="1053" t="str">
        <x:f t="shared" si="63"/>
        <x:v/>
      </x:c>
      <x:c r="ER31" s="1053" t="str">
        <x:f t="shared" si="63"/>
        <x:v/>
      </x:c>
      <x:c r="ES31" s="1053" t="str">
        <x:f t="shared" si="64"/>
        <x:v/>
      </x:c>
      <x:c r="ET31" s="1053" t="str">
        <x:f t="shared" si="65"/>
        <x:v/>
      </x:c>
      <x:c r="EU31" s="1061">
        <x:f t="shared" si="66"/>
        <x:v>3.5</x:v>
      </x:c>
      <x:c r="EV31" s="1055" t="str">
        <x:f t="shared" si="109"/>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6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68"/>
        <x:v/>
      </x:c>
      <x:c r="FD31" s="1053">
        <x:f t="shared" si="69"/>
        <x:v>0</x:v>
      </x:c>
      <x:c r="FE31" s="1053">
        <x:f t="shared" si="70"/>
        <x:v>0</x:v>
      </x:c>
      <x:c r="FF31" s="1052">
        <x:f t="shared" si="71"/>
        <x:v>0</x:v>
      </x:c>
      <x:c r="FG31" s="1052" t="str">
        <x:f t="shared" si="72"/>
        <x:v/>
      </x:c>
      <x:c r="FH31" s="1053" t="str">
        <x:f t="shared" si="73"/>
        <x:v/>
      </x:c>
      <x:c r="FI31" s="1053">
        <x:f t="shared" si="74"/>
        <x:v>0</x:v>
      </x:c>
      <x:c r="FJ31" s="1053">
        <x:f t="shared" si="75"/>
        <x:v>0</x:v>
      </x:c>
      <x:c r="FK31" s="1052">
        <x:f t="shared" si="76"/>
        <x:v>0</x:v>
      </x:c>
      <x:c r="FL31" s="1052" t="str">
        <x:f t="shared" si="77"/>
        <x:v/>
      </x:c>
      <x:c r="FM31" s="1053" t="str">
        <x:f t="shared" si="78"/>
        <x:v/>
      </x:c>
      <x:c r="FN31" s="1053" t="e">
        <x:f t="shared" si="98"/>
        <x:v>#VALUE!</x:v>
      </x:c>
      <x:c r="FO31" s="1062" t="e">
        <x:f t="shared" si="79"/>
        <x:v>#VALUE!</x:v>
      </x:c>
      <x:c r="FP31" s="1062" t="e">
        <x:f t="shared" si="80"/>
        <x:v>#VALUE!</x:v>
      </x:c>
      <x:c r="FQ31" s="1063" t="e">
        <x:f t="shared" si="81"/>
        <x:v>#VALUE!</x:v>
      </x:c>
      <x:c r="FR31" s="1064" t="e">
        <x:f t="shared" si="82"/>
        <x:v>#VALUE!</x:v>
      </x:c>
      <x:c r="FS31" s="1065" t="str">
        <x:f t="shared" si="83"/>
        <x:v/>
      </x:c>
      <x:c r="FT31" s="1066" t="str">
        <x:f t="shared" si="84"/>
        <x:v/>
      </x:c>
      <x:c r="FU31" s="1105">
        <x:f t="shared" si="85"/>
        <x:v>0</x:v>
      </x:c>
      <x:c r="FV31" s="1106">
        <x:f t="shared" si="86"/>
        <x:v>0</x:v>
      </x:c>
      <x:c r="GA31" s="1975">
        <x:v>44</x:v>
      </x:c>
      <x:c r="GB31" s="1976">
        <x:v>0.875</x:v>
      </x:c>
      <x:c r="GC31" s="1977">
        <x:v>2</x:v>
      </x:c>
      <x:c r="GD31" s="1978">
        <x:v>-0.5</x:v>
      </x:c>
      <x:c r="GE31" s="1979">
        <x:v>4.2157340947770197E-2</x:v>
      </x:c>
      <x:c r="GF31" s="1980" t="str">
        <x:f t="shared" si="87"/>
        <x:v>J9</x:v>
      </x:c>
      <x:c r="GG31" s="1453"/>
      <x:c r="GH31" s="1454"/>
      <x:c r="GI31" s="1453"/>
      <x:c r="GJ31" s="1454"/>
      <x:c r="GK31" s="1407">
        <x:f t="shared" si="88"/>
        <x:v>530.375</x:v>
      </x:c>
      <x:c r="GL31" s="1407">
        <x:f t="shared" si="89"/>
        <x:v>530.37827292186421</x:v>
      </x:c>
      <x:c r="GM31" s="1408">
        <x:f>IF(ABS(GK31-GL31)&gt;='Job Info.'!$L$22,ABS(GK31-GL31),0)</x:f>
        <x:v>0</x:v>
      </x:c>
      <x:c r="GZ31" s="497"/>
      <x:c r="HA31" s="1640" t="s">
        <x:v>1333</x:v>
      </x:c>
      <x:c r="HB31" s="1641">
        <x:v>1</x:v>
      </x:c>
      <x:c r="HC31" s="1641" t="s">
        <x:v>1979</x:v>
      </x:c>
      <x:c r="HD31" s="1642">
        <x:v>44</x:v>
      </x:c>
      <x:c r="HE31" s="1643">
        <x:v>2.375</x:v>
      </x:c>
      <x:c r="HF31" s="1641">
        <x:v>0</x:v>
      </x:c>
      <x:c r="HG31" s="1641">
        <x:v>3.625</x:v>
      </x:c>
      <x:c r="HH31" s="1641" t="s">
        <x:v>114</x:v>
      </x:c>
      <x:c r="HI31" s="1644"/>
      <x:c r="HJ31" s="1641"/>
      <x:c r="HK31" s="1641"/>
      <x:c r="HL31" s="1641">
        <x:v>3</x:v>
      </x:c>
      <x:c r="HM31" s="1641">
        <x:v>3</x:v>
      </x:c>
      <x:c r="HN31" s="1641"/>
      <x:c r="HO31" s="1641"/>
      <x:c r="HP31" s="1641"/>
      <x:c r="HQ31" s="1644"/>
      <x:c r="HR31" s="1641"/>
      <x:c r="HS31" s="1641"/>
      <x:c r="HT31" s="1641"/>
      <x:c r="HU31" s="1641"/>
      <x:c r="HV31" s="1641"/>
      <x:c r="HW31" s="1643"/>
      <x:c r="HX31" s="1643">
        <x:v>0</x:v>
      </x:c>
      <x:c r="HY31" s="1643"/>
      <x:c r="HZ31" s="1643"/>
      <x:c r="IA31" s="1643" t="s">
        <x:v>2070</x:v>
      </x:c>
      <x:c r="IB31" s="1643"/>
      <x:c r="IC31" s="1643"/>
      <x:c r="ID31" s="1643"/>
      <x:c r="IE31" s="1643"/>
      <x:c r="IF31" s="1645"/>
      <x:c r="IG31" s="497"/>
      <x:c r="IH31" s="497"/>
      <x:c r="II31" s="497"/>
    </x:row>
    <x:row r="32" spans="1:243" ht="12.6" customHeight="1" x14ac:dyDescent="0.25">
      <x:c r="A32" s="1264" t="s">
        <x:v>1334</x:v>
      </x:c>
      <x:c r="B32" s="1265">
        <x:v>0</x:v>
      </x:c>
      <x:c r="C32" s="1265" t="s">
        <x:v>1980</x:v>
      </x:c>
      <x:c r="D32" s="1261">
        <x:v>39</x:v>
      </x:c>
      <x:c r="E32" s="1411">
        <x:v>2.375</x:v>
      </x:c>
      <x:c r="F32" s="1263">
        <x:v>0</x:v>
      </x:c>
      <x:c r="G32" s="1262">
        <x:v>3.625</x:v>
      </x:c>
      <x:c r="H32" s="1266" t="s">
        <x:v>114</x:v>
      </x:c>
      <x:c r="I32" s="1261" t="str">
        <x:f t="shared" si="1"/>
        <x:v/>
      </x:c>
      <x:c r="J32" s="1262" t="str">
        <x:f t="shared" si="2"/>
        <x:v/>
      </x:c>
      <x:c r="K32" s="1412" t="str">
        <x:f t="shared" si="3"/>
        <x:v/>
      </x:c>
      <x:c r="L32" s="1327">
        <x:v>3</x:v>
      </x:c>
      <x:c r="M32" s="1329">
        <x:v>3</x:v>
      </x:c>
      <x:c r="N32" s="1263" t="str">
        <x:f t="shared" si="4"/>
        <x:v/>
      </x:c>
      <x:c r="O32" s="1262" t="str">
        <x:f t="shared" si="5"/>
        <x:v/>
      </x:c>
      <x:c r="P32" s="1260" t="str">
        <x:f t="shared" si="6"/>
        <x:v/>
      </x:c>
      <x:c r="Q32" s="1261" t="str">
        <x:f t="shared" si="7"/>
        <x:v/>
      </x:c>
      <x:c r="R32" s="1262" t="str">
        <x:f t="shared" si="8"/>
        <x:v/>
      </x:c>
      <x:c r="S32" s="1410" t="str">
        <x:f t="shared" si="9"/>
        <x:v/>
      </x:c>
      <x:c r="T32" s="1263" t="str">
        <x:f t="shared" si="10"/>
        <x:v/>
      </x:c>
      <x:c r="U32" s="1262" t="str">
        <x:f t="shared" si="11"/>
        <x:v/>
      </x:c>
      <x:c r="V32" s="1261" t="str">
        <x:f t="shared" si="12"/>
        <x:v/>
      </x:c>
      <x:c r="W32" s="1262" t="str">
        <x:f t="shared" si="13"/>
        <x:v/>
      </x:c>
      <x:c r="X32" s="1409">
        <x:f t="shared" si="14"/>
        <x:v>0</x:v>
      </x:c>
      <x:c r="Y32" s="1377" t="str">
        <x:f t="shared" si="15"/>
        <x:v/>
      </x:c>
      <x:c r="Z32" s="1378" t="str">
        <x:f t="shared" si="16"/>
        <x:v/>
      </x:c>
      <x:c r="AA32" s="2159" t="s">
        <x:v>2071</x:v>
      </x:c>
      <x:c r="AC32" s="1226" t="b">
        <x:v>0</x:v>
      </x:c>
      <x:c r="AD32" s="525">
        <x:f t="shared" si="17"/>
        <x:v>0</x:v>
      </x:c>
      <x:c r="AE32" s="526">
        <x:f t="shared" si="18"/>
        <x:v>0</x:v>
      </x:c>
      <x:c r="AF32" s="526">
        <x:f t="shared" si="19"/>
        <x:v>0</x:v>
      </x:c>
      <x:c r="AG32" s="526">
        <x:f t="shared" si="20"/>
        <x:v>0</x:v>
      </x:c>
      <x:c r="AH32" s="527">
        <x:f t="shared" si="21"/>
        <x:v>0</x:v>
      </x:c>
      <x:c r="AI32" s="528" t="b">
        <x:v>0</x:v>
      </x:c>
      <x:c r="AJ32" s="284">
        <x:f t="shared" si="110"/>
        <x:v>30</x:v>
      </x:c>
      <x:c r="AK32" s="284" t="str">
        <x:f t="shared" si="22"/>
        <x:v>K</x:v>
      </x:c>
      <x:c r="AL32" s="1202" t="str">
        <x:f t="shared" si="23"/>
        <x:v/>
      </x:c>
      <x:c r="AM32" s="284">
        <x:f t="shared" si="24"/>
        <x:v>310</x:v>
      </x:c>
      <x:c r="AN32" s="284">
        <x:f t="shared" si="25"/>
        <x:v>160</x:v>
      </x:c>
      <x:c r="AO32" s="284" t="str">
        <x:f t="shared" si="26"/>
        <x:v/>
      </x:c>
      <x:c r="AP32" s="1063" t="b">
        <x:f>IF(ISERROR(AJ32),FALSE,IF(OR(AJ32=0,ISERROR(AL32),ISERROR(AM32),ISERROR(AN32),ISERROR(AO32)),FALSE,IF(AL32&lt;&gt;"",IF(ISERROR(VLOOKUP(SUBSTITUTE(SUBSTITUTE(C32,"R",""),"A",""),TblJoistSize!$A:$A,1,FALSE)),FALSE,TRUE),TRUE)))</x:f>
        <x:v>1</x:v>
      </x:c>
      <x:c r="AQ32" s="1305">
        <x:f t="shared" si="27"/>
        <x:v>7.625</x:v>
      </x:c>
      <x:c r="AR32" s="1305" t="b">
        <x:f t="shared" si="28"/>
        <x:v>0</x:v>
      </x:c>
      <x:c r="AS32" s="1305">
        <x:f t="shared" si="29"/>
        <x:v>4</x:v>
      </x:c>
      <x:c r="AT32" s="1305" t="b">
        <x:f t="shared" si="30"/>
        <x:v>0</x:v>
      </x:c>
      <x:c r="AU32" s="1203" t="str">
        <x:f t="shared" si="31"/>
        <x:v>K</x:v>
      </x:c>
      <x:c r="AV32" s="1063" t="str">
        <x:f t="shared" si="32"/>
        <x:v>K</x:v>
      </x:c>
      <x:c r="AW32" s="1063" t="str">
        <x:f t="shared" si="90"/>
        <x:v/>
      </x:c>
      <x:c r="AX32" s="1063" t="str">
        <x:f t="shared" si="99"/>
        <x:v>J10</x:v>
      </x:c>
      <x:c r="AY32" s="554" t="b">
        <x:f t="shared" si="33"/>
        <x:v>0</x:v>
      </x:c>
      <x:c r="AZ32" s="1090" t="b">
        <x:f t="shared" si="91"/>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4"/>
        <x:v/>
      </x:c>
      <x:c r="CE32" s="935" t="str">
        <x:f t="shared" si="35"/>
        <x:v/>
      </x:c>
      <x:c r="CF32" s="1149"/>
      <x:c r="CG32" s="1150"/>
      <x:c r="CH32" s="792" t="str">
        <x:f t="shared" si="36"/>
        <x:v/>
      </x:c>
      <x:c r="CI32" s="793" t="str">
        <x:f t="shared" si="37"/>
        <x:v/>
      </x:c>
      <x:c r="CJ32" s="794" t="str">
        <x:f t="shared" si="108"/>
        <x:v/>
      </x:c>
      <x:c r="CK32" s="1086" t="str">
        <x:f t="shared" si="38"/>
        <x:v/>
      </x:c>
      <x:c r="CL32" s="1081" t="str">
        <x:f t="shared" si="100"/>
        <x:v/>
      </x:c>
      <x:c r="CM32" s="1082" t="str">
        <x:f t="shared" si="101"/>
        <x:v/>
      </x:c>
      <x:c r="CN32" s="758" t="str">
        <x:f t="shared" si="39"/>
        <x:v/>
      </x:c>
      <x:c r="CO32" s="759" t="str">
        <x:f t="shared" si="40"/>
        <x:v/>
      </x:c>
      <x:c r="CP32" s="762" t="str">
        <x:f t="shared" si="41"/>
        <x:v/>
      </x:c>
      <x:c r="CQ32" s="763" t="str">
        <x:f t="shared" si="42"/>
        <x:v/>
      </x:c>
      <x:c r="CR32" s="953">
        <x:f t="shared" si="43"/>
        <x:v>2.5</x:v>
      </x:c>
      <x:c r="CS32" s="954">
        <x:f t="shared" si="44"/>
        <x:v>2.5</x:v>
      </x:c>
      <x:c r="CU32" s="135" t="str">
        <x:f>IF(BG32="","",VLOOKUP(BG32,SectInfo!$B:$N,12,FALSE))</x:f>
        <x:v/>
      </x:c>
      <x:c r="CV32" s="136" t="str">
        <x:f>IF(BG32="","",IF(ISBLANK(BZ32),VLOOKUP(BG32,SectInfo!$B:$N,13,FALSE),BZ32))</x:f>
        <x:v/>
      </x:c>
      <x:c r="CW32" s="136" t="str">
        <x:f>IF(BG32="","",IF(VLOOKUP(BG32,SectInfo!$B:$N,5,FALSE)="","R",UPPER(VLOOKUP(BG32,SectInfo!$B:$N,5,FALSE))))</x:f>
        <x:v/>
      </x:c>
      <x:c r="CX32" s="1046" t="str">
        <x:f>IF(BG32="","",IF(ISBLANK(CF32),VLOOKUP(BG32,SectInfo!$B:$N,6,FALSE),CF32))</x:f>
        <x:v/>
      </x:c>
      <x:c r="CY32" s="136" t="str">
        <x:f>IF(BG32="","",IF(VLOOKUP(BG32,SectInfo!$B:$N,10,FALSE)="","",(VLOOKUP(BG32,SectInfo!$B:$N,10,FALSE)*-1)))</x:f>
        <x:v/>
      </x:c>
      <x:c r="CZ32" s="1443" t="str">
        <x:f>IF(BG32="","",IF(VLOOKUP(BG32,SectInfo!$B:$N,11,FALSE)="","2",(VLOOKUP(BG32,SectInfo!$B:$N,11,FALSE))))</x:f>
        <x:v/>
      </x:c>
      <x:c r="DA32" s="13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92"/>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27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93"/>
        <x:v>0</x:v>
      </x:c>
      <x:c r="DO32" s="1049">
        <x:f t="shared" si="45"/>
        <x:v>0</x:v>
      </x:c>
      <x:c r="DP32" s="1053" t="str">
        <x:f t="shared" si="46"/>
        <x:v/>
      </x:c>
      <x:c r="DQ32" s="1053" t="str">
        <x:f t="shared" si="47"/>
        <x:v/>
      </x:c>
      <x:c r="DR32" s="1053" t="str">
        <x:f t="shared" si="48"/>
        <x:v/>
      </x:c>
      <x:c r="DS32" s="1052">
        <x:f t="shared" si="49"/>
        <x:v>0</x:v>
      </x:c>
      <x:c r="DT32" s="1052">
        <x:f t="shared" si="105"/>
        <x:v>0</x:v>
      </x:c>
      <x:c r="DU32" s="1052" t="str">
        <x:f t="shared" si="106"/>
        <x:v/>
      </x:c>
      <x:c r="DV32" s="1053" t="str">
        <x:f t="shared" si="50"/>
        <x:v/>
      </x:c>
      <x:c r="DW32" s="1053" t="str">
        <x:f t="shared" si="51"/>
        <x:v/>
      </x:c>
      <x:c r="DX32" s="1269">
        <x:f t="shared" si="94"/>
        <x:v>0</x:v>
      </x:c>
      <x:c r="DY32" s="1053">
        <x:f t="shared" si="95"/>
        <x:v>0</x:v>
      </x:c>
      <x:c r="DZ32" s="1052">
        <x:f t="shared" si="107"/>
        <x:v>0</x:v>
      </x:c>
      <x:c r="EA32" s="1052" t="str">
        <x:f t="shared" si="96"/>
        <x:v/>
      </x:c>
      <x:c r="EB32" s="1053" t="str">
        <x:f t="shared" si="52"/>
        <x:v/>
      </x:c>
      <x:c r="EC32" s="1053" t="str">
        <x:f t="shared" si="53"/>
        <x:v/>
      </x:c>
      <x:c r="ED32" s="1269">
        <x:f t="shared" si="97"/>
        <x:v>0</x:v>
      </x:c>
      <x:c r="EE32" s="1090" t="str">
        <x:f t="shared" si="102"/>
        <x:v/>
      </x:c>
      <x:c r="EF32" s="1053" t="str">
        <x:f t="shared" si="54"/>
        <x:v/>
      </x:c>
      <x:c r="EG32" s="1053" t="str">
        <x:f t="shared" si="55"/>
        <x:v/>
      </x:c>
      <x:c r="EH32" s="1053" t="str">
        <x:f t="shared" si="56"/>
        <x:v>ERR</x:v>
      </x:c>
      <x:c r="EI32" s="1053" t="str">
        <x:f t="shared" si="57"/>
        <x:v>ERR</x:v>
      </x:c>
      <x:c r="EJ32" s="1053" t="str">
        <x:f t="shared" si="58"/>
        <x:v/>
      </x:c>
      <x:c r="EK32" s="1053" t="str">
        <x:f t="shared" si="58"/>
        <x:v/>
      </x:c>
      <x:c r="EL32" s="1090" t="str">
        <x:f t="shared" si="103"/>
        <x:v/>
      </x:c>
      <x:c r="EM32" s="1053" t="str">
        <x:f t="shared" si="59"/>
        <x:v/>
      </x:c>
      <x:c r="EN32" s="1053" t="str">
        <x:f t="shared" si="60"/>
        <x:v/>
      </x:c>
      <x:c r="EO32" s="1053" t="str">
        <x:f t="shared" si="61"/>
        <x:v>ERR</x:v>
      </x:c>
      <x:c r="EP32" s="1053" t="str">
        <x:f t="shared" si="62"/>
        <x:v>ERR</x:v>
      </x:c>
      <x:c r="EQ32" s="1053" t="str">
        <x:f t="shared" si="63"/>
        <x:v/>
      </x:c>
      <x:c r="ER32" s="1053" t="str">
        <x:f t="shared" si="63"/>
        <x:v/>
      </x:c>
      <x:c r="ES32" s="1053" t="str">
        <x:f t="shared" si="64"/>
        <x:v/>
      </x:c>
      <x:c r="ET32" s="1053" t="str">
        <x:f t="shared" si="65"/>
        <x:v/>
      </x:c>
      <x:c r="EU32" s="1061">
        <x:f t="shared" si="66"/>
        <x:v>3.5</x:v>
      </x:c>
      <x:c r="EV32" s="1055" t="str">
        <x:f t="shared" si="109"/>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6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68"/>
        <x:v/>
      </x:c>
      <x:c r="FD32" s="1053">
        <x:f t="shared" si="69"/>
        <x:v>0</x:v>
      </x:c>
      <x:c r="FE32" s="1053">
        <x:f t="shared" si="70"/>
        <x:v>0</x:v>
      </x:c>
      <x:c r="FF32" s="1052">
        <x:f t="shared" si="71"/>
        <x:v>0</x:v>
      </x:c>
      <x:c r="FG32" s="1052" t="str">
        <x:f t="shared" si="72"/>
        <x:v/>
      </x:c>
      <x:c r="FH32" s="1053" t="str">
        <x:f t="shared" si="73"/>
        <x:v/>
      </x:c>
      <x:c r="FI32" s="1053">
        <x:f t="shared" si="74"/>
        <x:v>0</x:v>
      </x:c>
      <x:c r="FJ32" s="1053">
        <x:f t="shared" si="75"/>
        <x:v>0</x:v>
      </x:c>
      <x:c r="FK32" s="1052">
        <x:f t="shared" si="76"/>
        <x:v>0</x:v>
      </x:c>
      <x:c r="FL32" s="1052" t="str">
        <x:f t="shared" si="77"/>
        <x:v/>
      </x:c>
      <x:c r="FM32" s="1053" t="str">
        <x:f t="shared" si="78"/>
        <x:v/>
      </x:c>
      <x:c r="FN32" s="1053" t="e">
        <x:f t="shared" si="98"/>
        <x:v>#VALUE!</x:v>
      </x:c>
      <x:c r="FO32" s="1062" t="e">
        <x:f t="shared" si="79"/>
        <x:v>#VALUE!</x:v>
      </x:c>
      <x:c r="FP32" s="1062" t="e">
        <x:f t="shared" si="80"/>
        <x:v>#VALUE!</x:v>
      </x:c>
      <x:c r="FQ32" s="1063" t="e">
        <x:f t="shared" si="81"/>
        <x:v>#VALUE!</x:v>
      </x:c>
      <x:c r="FR32" s="1064" t="e">
        <x:f t="shared" si="82"/>
        <x:v>#VALUE!</x:v>
      </x:c>
      <x:c r="FS32" s="1065" t="str">
        <x:f t="shared" si="83"/>
        <x:v/>
      </x:c>
      <x:c r="FT32" s="1066" t="str">
        <x:f t="shared" si="84"/>
        <x:v/>
      </x:c>
      <x:c r="FU32" s="1105">
        <x:f t="shared" si="85"/>
        <x:v>0</x:v>
      </x:c>
      <x:c r="FV32" s="1106">
        <x:f t="shared" si="86"/>
        <x:v>0</x:v>
      </x:c>
      <x:c r="GA32" s="1975">
        <x:v>39</x:v>
      </x:c>
      <x:c r="GB32" s="1976">
        <x:v>0.875</x:v>
      </x:c>
      <x:c r="GC32" s="1977">
        <x:v>2</x:v>
      </x:c>
      <x:c r="GD32" s="1978">
        <x:v>-0.5</x:v>
      </x:c>
      <x:c r="GE32" s="1979">
        <x:v>6.3971824361952201E-2</x:v>
      </x:c>
      <x:c r="GF32" s="1980" t="str">
        <x:f t="shared" si="87"/>
        <x:v>J10</x:v>
      </x:c>
      <x:c r="GG32" s="1453"/>
      <x:c r="GH32" s="1454"/>
      <x:c r="GI32" s="1453"/>
      <x:c r="GJ32" s="1454"/>
      <x:c r="GK32" s="1407">
        <x:f t="shared" si="88"/>
        <x:v>470.375</x:v>
      </x:c>
      <x:c r="GL32" s="1407">
        <x:f t="shared" si="89"/>
        <x:v>470.38168384131336</x:v>
      </x:c>
      <x:c r="GM32" s="1408">
        <x:f>IF(ABS(GK32-GL32)&gt;='Job Info.'!$L$22,ABS(GK32-GL32),0)</x:f>
        <x:v>0</x:v>
      </x:c>
      <x:c r="GZ32" s="497"/>
      <x:c r="HA32" s="1640" t="s">
        <x:v>1334</x:v>
      </x:c>
      <x:c r="HB32" s="1641">
        <x:v>1</x:v>
      </x:c>
      <x:c r="HC32" s="1641" t="s">
        <x:v>1980</x:v>
      </x:c>
      <x:c r="HD32" s="1642">
        <x:v>39</x:v>
      </x:c>
      <x:c r="HE32" s="1643">
        <x:v>2.375</x:v>
      </x:c>
      <x:c r="HF32" s="1641">
        <x:v>0</x:v>
      </x:c>
      <x:c r="HG32" s="1641">
        <x:v>3.625</x:v>
      </x:c>
      <x:c r="HH32" s="1641" t="s">
        <x:v>114</x:v>
      </x:c>
      <x:c r="HI32" s="1644"/>
      <x:c r="HJ32" s="1641"/>
      <x:c r="HK32" s="1641"/>
      <x:c r="HL32" s="1641">
        <x:v>3</x:v>
      </x:c>
      <x:c r="HM32" s="1641">
        <x:v>3</x:v>
      </x:c>
      <x:c r="HN32" s="1641"/>
      <x:c r="HO32" s="1641"/>
      <x:c r="HP32" s="1641"/>
      <x:c r="HQ32" s="1644"/>
      <x:c r="HR32" s="1641"/>
      <x:c r="HS32" s="1641"/>
      <x:c r="HT32" s="1641"/>
      <x:c r="HU32" s="1641"/>
      <x:c r="HV32" s="1641"/>
      <x:c r="HW32" s="1643"/>
      <x:c r="HX32" s="1643">
        <x:v>0</x:v>
      </x:c>
      <x:c r="HY32" s="1643"/>
      <x:c r="HZ32" s="1643"/>
      <x:c r="IA32" s="1643" t="s">
        <x:v>2071</x:v>
      </x:c>
      <x:c r="IB32" s="1643"/>
      <x:c r="IC32" s="1643"/>
      <x:c r="ID32" s="1643"/>
      <x:c r="IE32" s="1643"/>
      <x:c r="IF32" s="1645"/>
      <x:c r="IG32" s="497"/>
      <x:c r="IH32" s="497"/>
      <x:c r="II32" s="497"/>
    </x:row>
    <x:row r="33" spans="1:243" ht="12.6" customHeight="1" x14ac:dyDescent="0.25">
      <x:c r="A33" s="1264" t="s">
        <x:v>1335</x:v>
      </x:c>
      <x:c r="B33" s="1265">
        <x:v>0</x:v>
      </x:c>
      <x:c r="C33" s="1265" t="s">
        <x:v>1980</x:v>
      </x:c>
      <x:c r="D33" s="1261">
        <x:v>34</x:v>
      </x:c>
      <x:c r="E33" s="1411">
        <x:v>2.375</x:v>
      </x:c>
      <x:c r="F33" s="1263">
        <x:v>0</x:v>
      </x:c>
      <x:c r="G33" s="1262">
        <x:v>3.625</x:v>
      </x:c>
      <x:c r="H33" s="1266" t="s">
        <x:v>114</x:v>
      </x:c>
      <x:c r="I33" s="1261" t="str">
        <x:f t="shared" si="1"/>
        <x:v/>
      </x:c>
      <x:c r="J33" s="1262" t="str">
        <x:f t="shared" si="2"/>
        <x:v/>
      </x:c>
      <x:c r="K33" s="1412" t="str">
        <x:f t="shared" si="3"/>
        <x:v/>
      </x:c>
      <x:c r="L33" s="1327">
        <x:v>3</x:v>
      </x:c>
      <x:c r="M33" s="1329">
        <x:v>3</x:v>
      </x:c>
      <x:c r="N33" s="1263" t="str">
        <x:f t="shared" si="4"/>
        <x:v/>
      </x:c>
      <x:c r="O33" s="1262" t="str">
        <x:f t="shared" si="5"/>
        <x:v/>
      </x:c>
      <x:c r="P33" s="1260" t="str">
        <x:f t="shared" si="6"/>
        <x:v/>
      </x:c>
      <x:c r="Q33" s="1261" t="str">
        <x:f t="shared" si="7"/>
        <x:v/>
      </x:c>
      <x:c r="R33" s="1262" t="str">
        <x:f t="shared" si="8"/>
        <x:v/>
      </x:c>
      <x:c r="S33" s="1410" t="str">
        <x:f t="shared" si="9"/>
        <x:v/>
      </x:c>
      <x:c r="T33" s="1263" t="str">
        <x:f t="shared" si="10"/>
        <x:v/>
      </x:c>
      <x:c r="U33" s="1262" t="str">
        <x:f t="shared" si="11"/>
        <x:v/>
      </x:c>
      <x:c r="V33" s="1261" t="str">
        <x:f t="shared" si="12"/>
        <x:v/>
      </x:c>
      <x:c r="W33" s="1262" t="str">
        <x:f t="shared" si="13"/>
        <x:v/>
      </x:c>
      <x:c r="X33" s="1409">
        <x:f t="shared" si="14"/>
        <x:v>0</x:v>
      </x:c>
      <x:c r="Y33" s="1377" t="str">
        <x:f t="shared" si="15"/>
        <x:v/>
      </x:c>
      <x:c r="Z33" s="1378" t="str">
        <x:f t="shared" si="16"/>
        <x:v/>
      </x:c>
      <x:c r="AA33" s="2159" t="s">
        <x:v>2072</x:v>
      </x:c>
      <x:c r="AC33" s="1226" t="b">
        <x:v>0</x:v>
      </x:c>
      <x:c r="AD33" s="525">
        <x:f t="shared" si="17"/>
        <x:v>0</x:v>
      </x:c>
      <x:c r="AE33" s="526">
        <x:f t="shared" si="18"/>
        <x:v>0</x:v>
      </x:c>
      <x:c r="AF33" s="526">
        <x:f t="shared" si="19"/>
        <x:v>0</x:v>
      </x:c>
      <x:c r="AG33" s="526">
        <x:f t="shared" si="20"/>
        <x:v>0</x:v>
      </x:c>
      <x:c r="AH33" s="527">
        <x:f t="shared" si="21"/>
        <x:v>0</x:v>
      </x:c>
      <x:c r="AI33" s="528" t="b">
        <x:v>0</x:v>
      </x:c>
      <x:c r="AJ33" s="284">
        <x:f t="shared" si="110"/>
        <x:v>30</x:v>
      </x:c>
      <x:c r="AK33" s="284" t="str">
        <x:f t="shared" si="22"/>
        <x:v>K</x:v>
      </x:c>
      <x:c r="AL33" s="1202" t="str">
        <x:f t="shared" si="23"/>
        <x:v/>
      </x:c>
      <x:c r="AM33" s="284">
        <x:f t="shared" si="24"/>
        <x:v>310</x:v>
      </x:c>
      <x:c r="AN33" s="284">
        <x:f t="shared" si="25"/>
        <x:v>160</x:v>
      </x:c>
      <x:c r="AO33" s="284" t="str">
        <x:f t="shared" si="26"/>
        <x:v/>
      </x:c>
      <x:c r="AP33" s="1063" t="b">
        <x:f>IF(ISERROR(AJ33),FALSE,IF(OR(AJ33=0,ISERROR(AL33),ISERROR(AM33),ISERROR(AN33),ISERROR(AO33)),FALSE,IF(AL33&lt;&gt;"",IF(ISERROR(VLOOKUP(SUBSTITUTE(SUBSTITUTE(C33,"R",""),"A",""),TblJoistSize!$A:$A,1,FALSE)),FALSE,TRUE),TRUE)))</x:f>
        <x:v>1</x:v>
      </x:c>
      <x:c r="AQ33" s="1305">
        <x:f t="shared" si="27"/>
        <x:v>7.625</x:v>
      </x:c>
      <x:c r="AR33" s="1305" t="b">
        <x:f t="shared" si="28"/>
        <x:v>0</x:v>
      </x:c>
      <x:c r="AS33" s="1305">
        <x:f t="shared" si="29"/>
        <x:v>4</x:v>
      </x:c>
      <x:c r="AT33" s="1305" t="b">
        <x:f t="shared" si="30"/>
        <x:v>0</x:v>
      </x:c>
      <x:c r="AU33" s="1203" t="str">
        <x:f t="shared" si="31"/>
        <x:v>K</x:v>
      </x:c>
      <x:c r="AV33" s="1063" t="str">
        <x:f t="shared" si="32"/>
        <x:v>K</x:v>
      </x:c>
      <x:c r="AW33" s="1063" t="str">
        <x:f t="shared" si="90"/>
        <x:v/>
      </x:c>
      <x:c r="AX33" s="1063" t="str">
        <x:f t="shared" si="99"/>
        <x:v>J11</x:v>
      </x:c>
      <x:c r="AY33" s="554" t="b">
        <x:f t="shared" si="33"/>
        <x:v>0</x:v>
      </x:c>
      <x:c r="AZ33" s="1090" t="b">
        <x:f t="shared" si="91"/>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4"/>
        <x:v/>
      </x:c>
      <x:c r="CE33" s="935" t="str">
        <x:f t="shared" si="35"/>
        <x:v/>
      </x:c>
      <x:c r="CF33" s="1149"/>
      <x:c r="CG33" s="1150"/>
      <x:c r="CH33" s="792" t="str">
        <x:f t="shared" si="36"/>
        <x:v/>
      </x:c>
      <x:c r="CI33" s="793" t="str">
        <x:f t="shared" si="37"/>
        <x:v/>
      </x:c>
      <x:c r="CJ33" s="794" t="str">
        <x:f t="shared" si="108"/>
        <x:v/>
      </x:c>
      <x:c r="CK33" s="1086" t="str">
        <x:f t="shared" si="38"/>
        <x:v/>
      </x:c>
      <x:c r="CL33" s="1081" t="str">
        <x:f t="shared" si="100"/>
        <x:v/>
      </x:c>
      <x:c r="CM33" s="1082" t="str">
        <x:f t="shared" si="101"/>
        <x:v/>
      </x:c>
      <x:c r="CN33" s="758" t="str">
        <x:f t="shared" si="39"/>
        <x:v/>
      </x:c>
      <x:c r="CO33" s="759" t="str">
        <x:f t="shared" si="40"/>
        <x:v/>
      </x:c>
      <x:c r="CP33" s="762" t="str">
        <x:f t="shared" si="41"/>
        <x:v/>
      </x:c>
      <x:c r="CQ33" s="763" t="str">
        <x:f t="shared" si="42"/>
        <x:v/>
      </x:c>
      <x:c r="CR33" s="953">
        <x:f t="shared" si="43"/>
        <x:v>2.5</x:v>
      </x:c>
      <x:c r="CS33" s="954">
        <x:f t="shared" si="44"/>
        <x:v>2.5</x:v>
      </x:c>
      <x:c r="CU33" s="135" t="str">
        <x:f>IF(BG33="","",VLOOKUP(BG33,SectInfo!$B:$N,12,FALSE))</x:f>
        <x:v/>
      </x:c>
      <x:c r="CV33" s="136" t="str">
        <x:f>IF(BG33="","",IF(ISBLANK(BZ33),VLOOKUP(BG33,SectInfo!$B:$N,13,FALSE),BZ33))</x:f>
        <x:v/>
      </x:c>
      <x:c r="CW33" s="136" t="str">
        <x:f>IF(BG33="","",IF(VLOOKUP(BG33,SectInfo!$B:$N,5,FALSE)="","R",UPPER(VLOOKUP(BG33,SectInfo!$B:$N,5,FALSE))))</x:f>
        <x:v/>
      </x:c>
      <x:c r="CX33" s="1046" t="str">
        <x:f>IF(BG33="","",IF(ISBLANK(CF33),VLOOKUP(BG33,SectInfo!$B:$N,6,FALSE),CF33))</x:f>
        <x:v/>
      </x:c>
      <x:c r="CY33" s="136" t="str">
        <x:f>IF(BG33="","",IF(VLOOKUP(BG33,SectInfo!$B:$N,10,FALSE)="","",(VLOOKUP(BG33,SectInfo!$B:$N,10,FALSE)*-1)))</x:f>
        <x:v/>
      </x:c>
      <x:c r="CZ33" s="1443" t="str">
        <x:f>IF(BG33="","",IF(VLOOKUP(BG33,SectInfo!$B:$N,11,FALSE)="","2",(VLOOKUP(BG33,SectInfo!$B:$N,11,FALSE))))</x:f>
        <x:v/>
      </x:c>
      <x:c r="DA33" s="13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92"/>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27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93"/>
        <x:v>0</x:v>
      </x:c>
      <x:c r="DO33" s="1049">
        <x:f t="shared" si="45"/>
        <x:v>0</x:v>
      </x:c>
      <x:c r="DP33" s="1053" t="str">
        <x:f t="shared" si="46"/>
        <x:v/>
      </x:c>
      <x:c r="DQ33" s="1053" t="str">
        <x:f t="shared" si="47"/>
        <x:v/>
      </x:c>
      <x:c r="DR33" s="1053" t="str">
        <x:f t="shared" si="48"/>
        <x:v/>
      </x:c>
      <x:c r="DS33" s="1052">
        <x:f t="shared" si="49"/>
        <x:v>0</x:v>
      </x:c>
      <x:c r="DT33" s="1052">
        <x:f t="shared" si="105"/>
        <x:v>0</x:v>
      </x:c>
      <x:c r="DU33" s="1052" t="str">
        <x:f t="shared" si="106"/>
        <x:v/>
      </x:c>
      <x:c r="DV33" s="1053" t="str">
        <x:f t="shared" si="50"/>
        <x:v/>
      </x:c>
      <x:c r="DW33" s="1053" t="str">
        <x:f t="shared" si="51"/>
        <x:v/>
      </x:c>
      <x:c r="DX33" s="1269">
        <x:f t="shared" si="94"/>
        <x:v>0</x:v>
      </x:c>
      <x:c r="DY33" s="1053">
        <x:f t="shared" si="95"/>
        <x:v>0</x:v>
      </x:c>
      <x:c r="DZ33" s="1052">
        <x:f t="shared" si="107"/>
        <x:v>0</x:v>
      </x:c>
      <x:c r="EA33" s="1052" t="str">
        <x:f t="shared" si="96"/>
        <x:v/>
      </x:c>
      <x:c r="EB33" s="1053" t="str">
        <x:f t="shared" si="52"/>
        <x:v/>
      </x:c>
      <x:c r="EC33" s="1053" t="str">
        <x:f t="shared" si="53"/>
        <x:v/>
      </x:c>
      <x:c r="ED33" s="1269">
        <x:f t="shared" si="97"/>
        <x:v>0</x:v>
      </x:c>
      <x:c r="EE33" s="1090" t="str">
        <x:f t="shared" si="102"/>
        <x:v/>
      </x:c>
      <x:c r="EF33" s="1053" t="str">
        <x:f t="shared" si="54"/>
        <x:v/>
      </x:c>
      <x:c r="EG33" s="1053" t="str">
        <x:f t="shared" si="55"/>
        <x:v/>
      </x:c>
      <x:c r="EH33" s="1053" t="str">
        <x:f t="shared" si="56"/>
        <x:v>ERR</x:v>
      </x:c>
      <x:c r="EI33" s="1053" t="str">
        <x:f t="shared" si="57"/>
        <x:v>ERR</x:v>
      </x:c>
      <x:c r="EJ33" s="1053" t="str">
        <x:f t="shared" si="58"/>
        <x:v/>
      </x:c>
      <x:c r="EK33" s="1053" t="str">
        <x:f t="shared" si="58"/>
        <x:v/>
      </x:c>
      <x:c r="EL33" s="1090" t="str">
        <x:f t="shared" si="103"/>
        <x:v/>
      </x:c>
      <x:c r="EM33" s="1053" t="str">
        <x:f t="shared" si="59"/>
        <x:v/>
      </x:c>
      <x:c r="EN33" s="1053" t="str">
        <x:f t="shared" si="60"/>
        <x:v/>
      </x:c>
      <x:c r="EO33" s="1053" t="str">
        <x:f t="shared" si="61"/>
        <x:v>ERR</x:v>
      </x:c>
      <x:c r="EP33" s="1053" t="str">
        <x:f t="shared" si="62"/>
        <x:v>ERR</x:v>
      </x:c>
      <x:c r="EQ33" s="1053" t="str">
        <x:f t="shared" si="63"/>
        <x:v/>
      </x:c>
      <x:c r="ER33" s="1053" t="str">
        <x:f t="shared" si="63"/>
        <x:v/>
      </x:c>
      <x:c r="ES33" s="1053" t="str">
        <x:f t="shared" si="64"/>
        <x:v/>
      </x:c>
      <x:c r="ET33" s="1053" t="str">
        <x:f t="shared" si="65"/>
        <x:v/>
      </x:c>
      <x:c r="EU33" s="1061">
        <x:f t="shared" si="66"/>
        <x:v>3.5</x:v>
      </x:c>
      <x:c r="EV33" s="1055" t="str">
        <x:f t="shared" si="109"/>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6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68"/>
        <x:v/>
      </x:c>
      <x:c r="FD33" s="1053">
        <x:f t="shared" si="69"/>
        <x:v>0</x:v>
      </x:c>
      <x:c r="FE33" s="1053">
        <x:f t="shared" si="70"/>
        <x:v>0</x:v>
      </x:c>
      <x:c r="FF33" s="1052">
        <x:f t="shared" si="71"/>
        <x:v>0</x:v>
      </x:c>
      <x:c r="FG33" s="1052" t="str">
        <x:f t="shared" si="72"/>
        <x:v/>
      </x:c>
      <x:c r="FH33" s="1053" t="str">
        <x:f t="shared" si="73"/>
        <x:v/>
      </x:c>
      <x:c r="FI33" s="1053">
        <x:f t="shared" si="74"/>
        <x:v>0</x:v>
      </x:c>
      <x:c r="FJ33" s="1053">
        <x:f t="shared" si="75"/>
        <x:v>0</x:v>
      </x:c>
      <x:c r="FK33" s="1052">
        <x:f t="shared" si="76"/>
        <x:v>0</x:v>
      </x:c>
      <x:c r="FL33" s="1052" t="str">
        <x:f t="shared" si="77"/>
        <x:v/>
      </x:c>
      <x:c r="FM33" s="1053" t="str">
        <x:f t="shared" si="78"/>
        <x:v/>
      </x:c>
      <x:c r="FN33" s="1053" t="e">
        <x:f t="shared" si="98"/>
        <x:v>#VALUE!</x:v>
      </x:c>
      <x:c r="FO33" s="1062" t="e">
        <x:f t="shared" si="79"/>
        <x:v>#VALUE!</x:v>
      </x:c>
      <x:c r="FP33" s="1062" t="e">
        <x:f t="shared" si="80"/>
        <x:v>#VALUE!</x:v>
      </x:c>
      <x:c r="FQ33" s="1063" t="e">
        <x:f t="shared" si="81"/>
        <x:v>#VALUE!</x:v>
      </x:c>
      <x:c r="FR33" s="1064" t="e">
        <x:f t="shared" si="82"/>
        <x:v>#VALUE!</x:v>
      </x:c>
      <x:c r="FS33" s="1065" t="str">
        <x:f t="shared" si="83"/>
        <x:v/>
      </x:c>
      <x:c r="FT33" s="1066" t="str">
        <x:f t="shared" si="84"/>
        <x:v/>
      </x:c>
      <x:c r="FU33" s="1105">
        <x:f t="shared" si="85"/>
        <x:v>0</x:v>
      </x:c>
      <x:c r="FV33" s="1106">
        <x:f t="shared" si="86"/>
        <x:v>0</x:v>
      </x:c>
      <x:c r="GA33" s="1975">
        <x:v>34</x:v>
      </x:c>
      <x:c r="GB33" s="1976">
        <x:v>0.875</x:v>
      </x:c>
      <x:c r="GC33" s="1977">
        <x:v>2</x:v>
      </x:c>
      <x:c r="GD33" s="1978">
        <x:v>-0.5</x:v>
      </x:c>
      <x:c r="GE33" s="1979">
        <x:v>9.2188484332133905E-2</x:v>
      </x:c>
      <x:c r="GF33" s="1980" t="str">
        <x:f t="shared" si="87"/>
        <x:v>J11</x:v>
      </x:c>
      <x:c r="GG33" s="1453"/>
      <x:c r="GH33" s="1454"/>
      <x:c r="GI33" s="1453"/>
      <x:c r="GJ33" s="1454"/>
      <x:c r="GK33" s="1407">
        <x:f t="shared" si="88"/>
        <x:v>410.375</x:v>
      </x:c>
      <x:c r="GL33" s="1407">
        <x:f t="shared" si="89"/>
        <x:v>410.38710975480774</x:v>
      </x:c>
      <x:c r="GM33" s="1408">
        <x:f>IF(ABS(GK33-GL33)&gt;='Job Info.'!$L$22,ABS(GK33-GL33),0)</x:f>
        <x:v>0</x:v>
      </x:c>
      <x:c r="GZ33" s="497"/>
      <x:c r="HA33" s="1640" t="s">
        <x:v>1335</x:v>
      </x:c>
      <x:c r="HB33" s="1641">
        <x:v>1</x:v>
      </x:c>
      <x:c r="HC33" s="1641" t="s">
        <x:v>1980</x:v>
      </x:c>
      <x:c r="HD33" s="1642">
        <x:v>34</x:v>
      </x:c>
      <x:c r="HE33" s="1643">
        <x:v>2.375</x:v>
      </x:c>
      <x:c r="HF33" s="1641">
        <x:v>0</x:v>
      </x:c>
      <x:c r="HG33" s="1641">
        <x:v>3.625</x:v>
      </x:c>
      <x:c r="HH33" s="1641" t="s">
        <x:v>114</x:v>
      </x:c>
      <x:c r="HI33" s="1644"/>
      <x:c r="HJ33" s="1641"/>
      <x:c r="HK33" s="1641"/>
      <x:c r="HL33" s="1641">
        <x:v>3</x:v>
      </x:c>
      <x:c r="HM33" s="1641">
        <x:v>3</x:v>
      </x:c>
      <x:c r="HN33" s="1641"/>
      <x:c r="HO33" s="1641"/>
      <x:c r="HP33" s="1641"/>
      <x:c r="HQ33" s="1644"/>
      <x:c r="HR33" s="1641"/>
      <x:c r="HS33" s="1641"/>
      <x:c r="HT33" s="1641"/>
      <x:c r="HU33" s="1641"/>
      <x:c r="HV33" s="1641"/>
      <x:c r="HW33" s="1643"/>
      <x:c r="HX33" s="1643">
        <x:v>0</x:v>
      </x:c>
      <x:c r="HY33" s="1643"/>
      <x:c r="HZ33" s="1643"/>
      <x:c r="IA33" s="1643" t="s">
        <x:v>2072</x:v>
      </x:c>
      <x:c r="IB33" s="1643"/>
      <x:c r="IC33" s="1643"/>
      <x:c r="ID33" s="1643"/>
      <x:c r="IE33" s="1643"/>
      <x:c r="IF33" s="1645"/>
      <x:c r="IG33" s="497"/>
      <x:c r="IH33" s="497"/>
      <x:c r="II33" s="497"/>
    </x:row>
    <x:row r="34" spans="1:243" ht="12.6" customHeight="1" x14ac:dyDescent="0.25">
      <x:c r="A34" s="1264" t="s">
        <x:v>1336</x:v>
      </x:c>
      <x:c r="B34" s="1265">
        <x:v>0</x:v>
      </x:c>
      <x:c r="C34" s="1265" t="s">
        <x:v>1980</x:v>
      </x:c>
      <x:c r="D34" s="1261">
        <x:v>29</x:v>
      </x:c>
      <x:c r="E34" s="1411">
        <x:v>2.375</x:v>
      </x:c>
      <x:c r="F34" s="1263">
        <x:v>0</x:v>
      </x:c>
      <x:c r="G34" s="1262">
        <x:v>3.625</x:v>
      </x:c>
      <x:c r="H34" s="1266" t="s">
        <x:v>114</x:v>
      </x:c>
      <x:c r="I34" s="1261" t="str">
        <x:f t="shared" si="1"/>
        <x:v/>
      </x:c>
      <x:c r="J34" s="1262" t="str">
        <x:f t="shared" si="2"/>
        <x:v/>
      </x:c>
      <x:c r="K34" s="1412" t="str">
        <x:f t="shared" si="3"/>
        <x:v/>
      </x:c>
      <x:c r="L34" s="1327">
        <x:v>3</x:v>
      </x:c>
      <x:c r="M34" s="1329">
        <x:v>3</x:v>
      </x:c>
      <x:c r="N34" s="1263" t="str">
        <x:f t="shared" si="4"/>
        <x:v/>
      </x:c>
      <x:c r="O34" s="1262" t="str">
        <x:f t="shared" si="5"/>
        <x:v/>
      </x:c>
      <x:c r="P34" s="1260" t="str">
        <x:f t="shared" si="6"/>
        <x:v/>
      </x:c>
      <x:c r="Q34" s="1261" t="str">
        <x:f t="shared" si="7"/>
        <x:v/>
      </x:c>
      <x:c r="R34" s="1262" t="str">
        <x:f t="shared" si="8"/>
        <x:v/>
      </x:c>
      <x:c r="S34" s="1410" t="str">
        <x:f t="shared" si="9"/>
        <x:v/>
      </x:c>
      <x:c r="T34" s="1263" t="str">
        <x:f t="shared" si="10"/>
        <x:v/>
      </x:c>
      <x:c r="U34" s="1262" t="str">
        <x:f t="shared" si="11"/>
        <x:v/>
      </x:c>
      <x:c r="V34" s="1261" t="str">
        <x:f t="shared" si="12"/>
        <x:v/>
      </x:c>
      <x:c r="W34" s="1262" t="str">
        <x:f t="shared" si="13"/>
        <x:v/>
      </x:c>
      <x:c r="X34" s="1409">
        <x:f t="shared" si="14"/>
        <x:v>0</x:v>
      </x:c>
      <x:c r="Y34" s="1377" t="str">
        <x:f t="shared" si="15"/>
        <x:v/>
      </x:c>
      <x:c r="Z34" s="1378" t="str">
        <x:f t="shared" si="16"/>
        <x:v/>
      </x:c>
      <x:c r="AA34" s="2159" t="s">
        <x:v>2073</x:v>
      </x:c>
      <x:c r="AC34" s="1226" t="b">
        <x:v>0</x:v>
      </x:c>
      <x:c r="AD34" s="525">
        <x:f t="shared" si="17"/>
        <x:v>0</x:v>
      </x:c>
      <x:c r="AE34" s="526">
        <x:f t="shared" si="18"/>
        <x:v>0</x:v>
      </x:c>
      <x:c r="AF34" s="526">
        <x:f t="shared" si="19"/>
        <x:v>0</x:v>
      </x:c>
      <x:c r="AG34" s="526">
        <x:f t="shared" si="20"/>
        <x:v>0</x:v>
      </x:c>
      <x:c r="AH34" s="527">
        <x:f t="shared" si="21"/>
        <x:v>0</x:v>
      </x:c>
      <x:c r="AI34" s="528" t="b">
        <x:v>0</x:v>
      </x:c>
      <x:c r="AJ34" s="284">
        <x:f t="shared" si="110"/>
        <x:v>30</x:v>
      </x:c>
      <x:c r="AK34" s="284" t="str">
        <x:f t="shared" si="22"/>
        <x:v>K</x:v>
      </x:c>
      <x:c r="AL34" s="1202" t="str">
        <x:f t="shared" si="23"/>
        <x:v/>
      </x:c>
      <x:c r="AM34" s="284">
        <x:f t="shared" si="24"/>
        <x:v>310</x:v>
      </x:c>
      <x:c r="AN34" s="284">
        <x:f t="shared" si="25"/>
        <x:v>160</x:v>
      </x:c>
      <x:c r="AO34" s="284" t="str">
        <x:f t="shared" si="26"/>
        <x:v/>
      </x:c>
      <x:c r="AP34" s="1063" t="b">
        <x:f>IF(ISERROR(AJ34),FALSE,IF(OR(AJ34=0,ISERROR(AL34),ISERROR(AM34),ISERROR(AN34),ISERROR(AO34)),FALSE,IF(AL34&lt;&gt;"",IF(ISERROR(VLOOKUP(SUBSTITUTE(SUBSTITUTE(C34,"R",""),"A",""),TblJoistSize!$A:$A,1,FALSE)),FALSE,TRUE),TRUE)))</x:f>
        <x:v>1</x:v>
      </x:c>
      <x:c r="AQ34" s="1305">
        <x:f t="shared" si="27"/>
        <x:v>7.625</x:v>
      </x:c>
      <x:c r="AR34" s="1305" t="b">
        <x:f t="shared" si="28"/>
        <x:v>0</x:v>
      </x:c>
      <x:c r="AS34" s="1305">
        <x:f t="shared" si="29"/>
        <x:v>4</x:v>
      </x:c>
      <x:c r="AT34" s="1305" t="b">
        <x:f t="shared" si="30"/>
        <x:v>0</x:v>
      </x:c>
      <x:c r="AU34" s="1203" t="str">
        <x:f t="shared" si="31"/>
        <x:v>K</x:v>
      </x:c>
      <x:c r="AV34" s="1063" t="str">
        <x:f t="shared" si="32"/>
        <x:v>K</x:v>
      </x:c>
      <x:c r="AW34" s="1063" t="str">
        <x:f t="shared" si="90"/>
        <x:v/>
      </x:c>
      <x:c r="AX34" s="1063" t="str">
        <x:f t="shared" si="99"/>
        <x:v>J12</x:v>
      </x:c>
      <x:c r="AY34" s="554" t="b">
        <x:f t="shared" si="33"/>
        <x:v>0</x:v>
      </x:c>
      <x:c r="AZ34" s="1090" t="b">
        <x:f t="shared" si="91"/>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4"/>
        <x:v/>
      </x:c>
      <x:c r="CE34" s="935" t="str">
        <x:f t="shared" si="35"/>
        <x:v/>
      </x:c>
      <x:c r="CF34" s="1149"/>
      <x:c r="CG34" s="1150"/>
      <x:c r="CH34" s="792" t="str">
        <x:f t="shared" si="36"/>
        <x:v/>
      </x:c>
      <x:c r="CI34" s="793" t="str">
        <x:f t="shared" si="37"/>
        <x:v/>
      </x:c>
      <x:c r="CJ34" s="794" t="str">
        <x:f t="shared" si="108"/>
        <x:v/>
      </x:c>
      <x:c r="CK34" s="1086" t="str">
        <x:f t="shared" si="38"/>
        <x:v/>
      </x:c>
      <x:c r="CL34" s="1081" t="str">
        <x:f t="shared" si="100"/>
        <x:v/>
      </x:c>
      <x:c r="CM34" s="1082" t="str">
        <x:f t="shared" si="101"/>
        <x:v/>
      </x:c>
      <x:c r="CN34" s="758" t="str">
        <x:f t="shared" si="39"/>
        <x:v/>
      </x:c>
      <x:c r="CO34" s="759" t="str">
        <x:f t="shared" si="40"/>
        <x:v/>
      </x:c>
      <x:c r="CP34" s="762" t="str">
        <x:f t="shared" si="41"/>
        <x:v/>
      </x:c>
      <x:c r="CQ34" s="763" t="str">
        <x:f t="shared" si="42"/>
        <x:v/>
      </x:c>
      <x:c r="CR34" s="953">
        <x:f t="shared" si="43"/>
        <x:v>2.5</x:v>
      </x:c>
      <x:c r="CS34" s="954">
        <x:f t="shared" si="44"/>
        <x:v>2.5</x:v>
      </x:c>
      <x:c r="CU34" s="135" t="str">
        <x:f>IF(BG34="","",VLOOKUP(BG34,SectInfo!$B:$N,12,FALSE))</x:f>
        <x:v/>
      </x:c>
      <x:c r="CV34" s="136" t="str">
        <x:f>IF(BG34="","",IF(ISBLANK(BZ34),VLOOKUP(BG34,SectInfo!$B:$N,13,FALSE),BZ34))</x:f>
        <x:v/>
      </x:c>
      <x:c r="CW34" s="136" t="str">
        <x:f>IF(BG34="","",IF(VLOOKUP(BG34,SectInfo!$B:$N,5,FALSE)="","R",UPPER(VLOOKUP(BG34,SectInfo!$B:$N,5,FALSE))))</x:f>
        <x:v/>
      </x:c>
      <x:c r="CX34" s="1046" t="str">
        <x:f>IF(BG34="","",IF(ISBLANK(CF34),VLOOKUP(BG34,SectInfo!$B:$N,6,FALSE),CF34))</x:f>
        <x:v/>
      </x:c>
      <x:c r="CY34" s="136" t="str">
        <x:f>IF(BG34="","",IF(VLOOKUP(BG34,SectInfo!$B:$N,10,FALSE)="","",(VLOOKUP(BG34,SectInfo!$B:$N,10,FALSE)*-1)))</x:f>
        <x:v/>
      </x:c>
      <x:c r="CZ34" s="1443" t="str">
        <x:f>IF(BG34="","",IF(VLOOKUP(BG34,SectInfo!$B:$N,11,FALSE)="","2",(VLOOKUP(BG34,SectInfo!$B:$N,11,FALSE))))</x:f>
        <x:v/>
      </x:c>
      <x:c r="DA34" s="13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92"/>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27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93"/>
        <x:v>0</x:v>
      </x:c>
      <x:c r="DO34" s="1049">
        <x:f t="shared" si="45"/>
        <x:v>0</x:v>
      </x:c>
      <x:c r="DP34" s="1053" t="str">
        <x:f t="shared" si="46"/>
        <x:v/>
      </x:c>
      <x:c r="DQ34" s="1053" t="str">
        <x:f t="shared" si="47"/>
        <x:v/>
      </x:c>
      <x:c r="DR34" s="1053" t="str">
        <x:f t="shared" si="48"/>
        <x:v/>
      </x:c>
      <x:c r="DS34" s="1052">
        <x:f t="shared" si="49"/>
        <x:v>0</x:v>
      </x:c>
      <x:c r="DT34" s="1052">
        <x:f t="shared" si="105"/>
        <x:v>0</x:v>
      </x:c>
      <x:c r="DU34" s="1052" t="str">
        <x:f t="shared" si="106"/>
        <x:v/>
      </x:c>
      <x:c r="DV34" s="1053" t="str">
        <x:f t="shared" si="50"/>
        <x:v/>
      </x:c>
      <x:c r="DW34" s="1053" t="str">
        <x:f t="shared" si="51"/>
        <x:v/>
      </x:c>
      <x:c r="DX34" s="1269">
        <x:f t="shared" si="94"/>
        <x:v>0</x:v>
      </x:c>
      <x:c r="DY34" s="1053">
        <x:f t="shared" si="95"/>
        <x:v>0</x:v>
      </x:c>
      <x:c r="DZ34" s="1052">
        <x:f t="shared" si="107"/>
        <x:v>0</x:v>
      </x:c>
      <x:c r="EA34" s="1052" t="str">
        <x:f t="shared" si="96"/>
        <x:v/>
      </x:c>
      <x:c r="EB34" s="1053" t="str">
        <x:f t="shared" si="52"/>
        <x:v/>
      </x:c>
      <x:c r="EC34" s="1053" t="str">
        <x:f t="shared" si="53"/>
        <x:v/>
      </x:c>
      <x:c r="ED34" s="1269">
        <x:f t="shared" si="97"/>
        <x:v>0</x:v>
      </x:c>
      <x:c r="EE34" s="1090" t="str">
        <x:f t="shared" si="102"/>
        <x:v/>
      </x:c>
      <x:c r="EF34" s="1053" t="str">
        <x:f t="shared" si="54"/>
        <x:v/>
      </x:c>
      <x:c r="EG34" s="1053" t="str">
        <x:f t="shared" si="55"/>
        <x:v/>
      </x:c>
      <x:c r="EH34" s="1053" t="str">
        <x:f t="shared" si="56"/>
        <x:v>ERR</x:v>
      </x:c>
      <x:c r="EI34" s="1053" t="str">
        <x:f t="shared" si="57"/>
        <x:v>ERR</x:v>
      </x:c>
      <x:c r="EJ34" s="1053" t="str">
        <x:f t="shared" si="58"/>
        <x:v/>
      </x:c>
      <x:c r="EK34" s="1053" t="str">
        <x:f t="shared" si="58"/>
        <x:v/>
      </x:c>
      <x:c r="EL34" s="1090" t="str">
        <x:f t="shared" si="103"/>
        <x:v/>
      </x:c>
      <x:c r="EM34" s="1053" t="str">
        <x:f t="shared" si="59"/>
        <x:v/>
      </x:c>
      <x:c r="EN34" s="1053" t="str">
        <x:f t="shared" si="60"/>
        <x:v/>
      </x:c>
      <x:c r="EO34" s="1053" t="str">
        <x:f t="shared" si="61"/>
        <x:v>ERR</x:v>
      </x:c>
      <x:c r="EP34" s="1053" t="str">
        <x:f t="shared" si="62"/>
        <x:v>ERR</x:v>
      </x:c>
      <x:c r="EQ34" s="1053" t="str">
        <x:f t="shared" si="63"/>
        <x:v/>
      </x:c>
      <x:c r="ER34" s="1053" t="str">
        <x:f t="shared" si="63"/>
        <x:v/>
      </x:c>
      <x:c r="ES34" s="1053" t="str">
        <x:f t="shared" si="64"/>
        <x:v/>
      </x:c>
      <x:c r="ET34" s="1053" t="str">
        <x:f t="shared" si="65"/>
        <x:v/>
      </x:c>
      <x:c r="EU34" s="1061">
        <x:f t="shared" si="66"/>
        <x:v>3.5</x:v>
      </x:c>
      <x:c r="EV34" s="1055" t="str">
        <x:f t="shared" si="109"/>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6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68"/>
        <x:v/>
      </x:c>
      <x:c r="FD34" s="1053">
        <x:f t="shared" si="69"/>
        <x:v>0</x:v>
      </x:c>
      <x:c r="FE34" s="1053">
        <x:f t="shared" si="70"/>
        <x:v>0</x:v>
      </x:c>
      <x:c r="FF34" s="1052">
        <x:f t="shared" si="71"/>
        <x:v>0</x:v>
      </x:c>
      <x:c r="FG34" s="1052" t="str">
        <x:f t="shared" si="72"/>
        <x:v/>
      </x:c>
      <x:c r="FH34" s="1053" t="str">
        <x:f t="shared" si="73"/>
        <x:v/>
      </x:c>
      <x:c r="FI34" s="1053">
        <x:f t="shared" si="74"/>
        <x:v>0</x:v>
      </x:c>
      <x:c r="FJ34" s="1053">
        <x:f t="shared" si="75"/>
        <x:v>0</x:v>
      </x:c>
      <x:c r="FK34" s="1052">
        <x:f t="shared" si="76"/>
        <x:v>0</x:v>
      </x:c>
      <x:c r="FL34" s="1052" t="str">
        <x:f t="shared" si="77"/>
        <x:v/>
      </x:c>
      <x:c r="FM34" s="1053" t="str">
        <x:f t="shared" si="78"/>
        <x:v/>
      </x:c>
      <x:c r="FN34" s="1053" t="e">
        <x:f t="shared" si="98"/>
        <x:v>#VALUE!</x:v>
      </x:c>
      <x:c r="FO34" s="1062" t="e">
        <x:f t="shared" si="79"/>
        <x:v>#VALUE!</x:v>
      </x:c>
      <x:c r="FP34" s="1062" t="e">
        <x:f t="shared" si="80"/>
        <x:v>#VALUE!</x:v>
      </x:c>
      <x:c r="FQ34" s="1063" t="e">
        <x:f t="shared" si="81"/>
        <x:v>#VALUE!</x:v>
      </x:c>
      <x:c r="FR34" s="1064" t="e">
        <x:f t="shared" si="82"/>
        <x:v>#VALUE!</x:v>
      </x:c>
      <x:c r="FS34" s="1065" t="str">
        <x:f t="shared" si="83"/>
        <x:v/>
      </x:c>
      <x:c r="FT34" s="1066" t="str">
        <x:f t="shared" si="84"/>
        <x:v/>
      </x:c>
      <x:c r="FU34" s="1105">
        <x:f t="shared" si="85"/>
        <x:v>0</x:v>
      </x:c>
      <x:c r="FV34" s="1106">
        <x:f t="shared" si="86"/>
        <x:v>0</x:v>
      </x:c>
      <x:c r="GA34" s="1975">
        <x:v>29</x:v>
      </x:c>
      <x:c r="GB34" s="1976">
        <x:v>0.875</x:v>
      </x:c>
      <x:c r="GC34" s="1977">
        <x:v>2</x:v>
      </x:c>
      <x:c r="GD34" s="1978">
        <x:v>-0.5</x:v>
      </x:c>
      <x:c r="GE34" s="1979">
        <x:v>0.13011039787519901</x:v>
      </x:c>
      <x:c r="GF34" s="1980" t="str">
        <x:f t="shared" si="87"/>
        <x:v>J12</x:v>
      </x:c>
      <x:c r="GG34" s="1453"/>
      <x:c r="GH34" s="1454"/>
      <x:c r="GI34" s="1453"/>
      <x:c r="GJ34" s="1454"/>
      <x:c r="GK34" s="1407">
        <x:f t="shared" si="88"/>
        <x:v>350.375</x:v>
      </x:c>
      <x:c r="GL34" s="1407">
        <x:f t="shared" si="89"/>
        <x:v>350.39559452925818</x:v>
      </x:c>
      <x:c r="GM34" s="1408">
        <x:f>IF(ABS(GK34-GL34)&gt;='Job Info.'!$L$22,ABS(GK34-GL34),0)</x:f>
        <x:v>0</x:v>
      </x:c>
      <x:c r="GZ34" s="497"/>
      <x:c r="HA34" s="1640" t="s">
        <x:v>1336</x:v>
      </x:c>
      <x:c r="HB34" s="1641">
        <x:v>1</x:v>
      </x:c>
      <x:c r="HC34" s="1641" t="s">
        <x:v>1980</x:v>
      </x:c>
      <x:c r="HD34" s="1642">
        <x:v>29</x:v>
      </x:c>
      <x:c r="HE34" s="1643">
        <x:v>2.375</x:v>
      </x:c>
      <x:c r="HF34" s="1641">
        <x:v>0</x:v>
      </x:c>
      <x:c r="HG34" s="1641">
        <x:v>3.625</x:v>
      </x:c>
      <x:c r="HH34" s="1641" t="s">
        <x:v>114</x:v>
      </x:c>
      <x:c r="HI34" s="1644"/>
      <x:c r="HJ34" s="1641"/>
      <x:c r="HK34" s="1641"/>
      <x:c r="HL34" s="1641">
        <x:v>3</x:v>
      </x:c>
      <x:c r="HM34" s="1641">
        <x:v>3</x:v>
      </x:c>
      <x:c r="HN34" s="1641"/>
      <x:c r="HO34" s="1641"/>
      <x:c r="HP34" s="1641"/>
      <x:c r="HQ34" s="1644"/>
      <x:c r="HR34" s="1641"/>
      <x:c r="HS34" s="1641"/>
      <x:c r="HT34" s="1641"/>
      <x:c r="HU34" s="1641"/>
      <x:c r="HV34" s="1641"/>
      <x:c r="HW34" s="1643"/>
      <x:c r="HX34" s="1643">
        <x:v>0</x:v>
      </x:c>
      <x:c r="HY34" s="1643"/>
      <x:c r="HZ34" s="1643"/>
      <x:c r="IA34" s="1643" t="s">
        <x:v>2073</x:v>
      </x:c>
      <x:c r="IB34" s="1643"/>
      <x:c r="IC34" s="1643"/>
      <x:c r="ID34" s="1643"/>
      <x:c r="IE34" s="1643"/>
      <x:c r="IF34" s="1645"/>
      <x:c r="IG34" s="497"/>
      <x:c r="IH34" s="497"/>
      <x:c r="II34" s="497"/>
    </x:row>
    <x:row r="35" spans="1:243" ht="12.6" customHeight="1" x14ac:dyDescent="0.25">
      <x:c r="A35" s="1264" t="s">
        <x:v>1337</x:v>
      </x:c>
      <x:c r="B35" s="1265">
        <x:v>0</x:v>
      </x:c>
      <x:c r="C35" s="1265" t="s">
        <x:v>1980</x:v>
      </x:c>
      <x:c r="D35" s="1261">
        <x:v>24</x:v>
      </x:c>
      <x:c r="E35" s="1411">
        <x:v>2.375</x:v>
      </x:c>
      <x:c r="F35" s="1263">
        <x:v>0</x:v>
      </x:c>
      <x:c r="G35" s="1262">
        <x:v>3.625</x:v>
      </x:c>
      <x:c r="H35" s="1266" t="s">
        <x:v>114</x:v>
      </x:c>
      <x:c r="I35" s="1261" t="str">
        <x:f t="shared" si="1"/>
        <x:v/>
      </x:c>
      <x:c r="J35" s="1262" t="str">
        <x:f t="shared" si="2"/>
        <x:v/>
      </x:c>
      <x:c r="K35" s="1412" t="str">
        <x:f t="shared" si="3"/>
        <x:v/>
      </x:c>
      <x:c r="L35" s="1327">
        <x:v>3</x:v>
      </x:c>
      <x:c r="M35" s="1329">
        <x:v>3</x:v>
      </x:c>
      <x:c r="N35" s="1263" t="str">
        <x:f t="shared" si="4"/>
        <x:v/>
      </x:c>
      <x:c r="O35" s="1262" t="str">
        <x:f t="shared" si="5"/>
        <x:v/>
      </x:c>
      <x:c r="P35" s="1260" t="str">
        <x:f t="shared" si="6"/>
        <x:v/>
      </x:c>
      <x:c r="Q35" s="1261" t="str">
        <x:f t="shared" si="7"/>
        <x:v/>
      </x:c>
      <x:c r="R35" s="1262" t="str">
        <x:f t="shared" si="8"/>
        <x:v/>
      </x:c>
      <x:c r="S35" s="1410" t="str">
        <x:f t="shared" si="9"/>
        <x:v/>
      </x:c>
      <x:c r="T35" s="1263" t="str">
        <x:f t="shared" si="10"/>
        <x:v/>
      </x:c>
      <x:c r="U35" s="1262" t="str">
        <x:f t="shared" si="11"/>
        <x:v/>
      </x:c>
      <x:c r="V35" s="1261" t="str">
        <x:f t="shared" si="12"/>
        <x:v/>
      </x:c>
      <x:c r="W35" s="1262" t="str">
        <x:f t="shared" si="13"/>
        <x:v/>
      </x:c>
      <x:c r="X35" s="1409">
        <x:f t="shared" si="14"/>
        <x:v>0</x:v>
      </x:c>
      <x:c r="Y35" s="1377" t="str">
        <x:f t="shared" si="15"/>
        <x:v/>
      </x:c>
      <x:c r="Z35" s="1378" t="str">
        <x:f t="shared" si="16"/>
        <x:v/>
      </x:c>
      <x:c r="AA35" s="2159" t="s">
        <x:v>2074</x:v>
      </x:c>
      <x:c r="AC35" s="1226" t="b">
        <x:v>0</x:v>
      </x:c>
      <x:c r="AD35" s="525">
        <x:f t="shared" si="17"/>
        <x:v>0</x:v>
      </x:c>
      <x:c r="AE35" s="526">
        <x:f t="shared" si="18"/>
        <x:v>0</x:v>
      </x:c>
      <x:c r="AF35" s="526">
        <x:f t="shared" si="19"/>
        <x:v>0</x:v>
      </x:c>
      <x:c r="AG35" s="526">
        <x:f t="shared" si="20"/>
        <x:v>0</x:v>
      </x:c>
      <x:c r="AH35" s="527">
        <x:f t="shared" si="21"/>
        <x:v>0</x:v>
      </x:c>
      <x:c r="AI35" s="528" t="b">
        <x:v>0</x:v>
      </x:c>
      <x:c r="AJ35" s="284">
        <x:f t="shared" si="110"/>
        <x:v>30</x:v>
      </x:c>
      <x:c r="AK35" s="284" t="str">
        <x:f t="shared" si="22"/>
        <x:v>K</x:v>
      </x:c>
      <x:c r="AL35" s="1202" t="str">
        <x:f t="shared" si="23"/>
        <x:v/>
      </x:c>
      <x:c r="AM35" s="284">
        <x:f t="shared" si="24"/>
        <x:v>310</x:v>
      </x:c>
      <x:c r="AN35" s="284">
        <x:f t="shared" si="25"/>
        <x:v>160</x:v>
      </x:c>
      <x:c r="AO35" s="284" t="str">
        <x:f t="shared" si="26"/>
        <x:v/>
      </x:c>
      <x:c r="AP35" s="1063" t="b">
        <x:f>IF(ISERROR(AJ35),FALSE,IF(OR(AJ35=0,ISERROR(AL35),ISERROR(AM35),ISERROR(AN35),ISERROR(AO35)),FALSE,IF(AL35&lt;&gt;"",IF(ISERROR(VLOOKUP(SUBSTITUTE(SUBSTITUTE(C35,"R",""),"A",""),TblJoistSize!$A:$A,1,FALSE)),FALSE,TRUE),TRUE)))</x:f>
        <x:v>1</x:v>
      </x:c>
      <x:c r="AQ35" s="1305">
        <x:f t="shared" si="27"/>
        <x:v>7.625</x:v>
      </x:c>
      <x:c r="AR35" s="1305" t="b">
        <x:f t="shared" si="28"/>
        <x:v>0</x:v>
      </x:c>
      <x:c r="AS35" s="1305">
        <x:f t="shared" si="29"/>
        <x:v>4</x:v>
      </x:c>
      <x:c r="AT35" s="1305" t="b">
        <x:f t="shared" si="30"/>
        <x:v>0</x:v>
      </x:c>
      <x:c r="AU35" s="1203" t="str">
        <x:f t="shared" si="31"/>
        <x:v>K</x:v>
      </x:c>
      <x:c r="AV35" s="1063" t="str">
        <x:f t="shared" si="32"/>
        <x:v>K</x:v>
      </x:c>
      <x:c r="AW35" s="1063" t="str">
        <x:f t="shared" si="90"/>
        <x:v/>
      </x:c>
      <x:c r="AX35" s="1063" t="str">
        <x:f t="shared" si="99"/>
        <x:v>J13</x:v>
      </x:c>
      <x:c r="AY35" s="554" t="b">
        <x:f t="shared" si="33"/>
        <x:v>0</x:v>
      </x:c>
      <x:c r="AZ35" s="1090" t="b">
        <x:f t="shared" si="91"/>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4"/>
        <x:v/>
      </x:c>
      <x:c r="CE35" s="935" t="str">
        <x:f t="shared" si="35"/>
        <x:v/>
      </x:c>
      <x:c r="CF35" s="1149"/>
      <x:c r="CG35" s="1150"/>
      <x:c r="CH35" s="792" t="str">
        <x:f t="shared" si="36"/>
        <x:v/>
      </x:c>
      <x:c r="CI35" s="793" t="str">
        <x:f t="shared" si="37"/>
        <x:v/>
      </x:c>
      <x:c r="CJ35" s="794" t="str">
        <x:f t="shared" si="108"/>
        <x:v/>
      </x:c>
      <x:c r="CK35" s="1086" t="str">
        <x:f t="shared" si="38"/>
        <x:v/>
      </x:c>
      <x:c r="CL35" s="1081" t="str">
        <x:f t="shared" si="100"/>
        <x:v/>
      </x:c>
      <x:c r="CM35" s="1082" t="str">
        <x:f t="shared" si="101"/>
        <x:v/>
      </x:c>
      <x:c r="CN35" s="758" t="str">
        <x:f t="shared" si="39"/>
        <x:v/>
      </x:c>
      <x:c r="CO35" s="759" t="str">
        <x:f t="shared" si="40"/>
        <x:v/>
      </x:c>
      <x:c r="CP35" s="762" t="str">
        <x:f t="shared" si="41"/>
        <x:v/>
      </x:c>
      <x:c r="CQ35" s="763" t="str">
        <x:f t="shared" si="42"/>
        <x:v/>
      </x:c>
      <x:c r="CR35" s="953">
        <x:f t="shared" si="43"/>
        <x:v>2.5</x:v>
      </x:c>
      <x:c r="CS35" s="954">
        <x:f t="shared" si="44"/>
        <x:v>2.5</x:v>
      </x:c>
      <x:c r="CU35" s="135" t="str">
        <x:f>IF(BG35="","",VLOOKUP(BG35,SectInfo!$B:$N,12,FALSE))</x:f>
        <x:v/>
      </x:c>
      <x:c r="CV35" s="136" t="str">
        <x:f>IF(BG35="","",IF(ISBLANK(BZ35),VLOOKUP(BG35,SectInfo!$B:$N,13,FALSE),BZ35))</x:f>
        <x:v/>
      </x:c>
      <x:c r="CW35" s="136" t="str">
        <x:f>IF(BG35="","",IF(VLOOKUP(BG35,SectInfo!$B:$N,5,FALSE)="","R",UPPER(VLOOKUP(BG35,SectInfo!$B:$N,5,FALSE))))</x:f>
        <x:v/>
      </x:c>
      <x:c r="CX35" s="1046" t="str">
        <x:f>IF(BG35="","",IF(ISBLANK(CF35),VLOOKUP(BG35,SectInfo!$B:$N,6,FALSE),CF35))</x:f>
        <x:v/>
      </x:c>
      <x:c r="CY35" s="136" t="str">
        <x:f>IF(BG35="","",IF(VLOOKUP(BG35,SectInfo!$B:$N,10,FALSE)="","",(VLOOKUP(BG35,SectInfo!$B:$N,10,FALSE)*-1)))</x:f>
        <x:v/>
      </x:c>
      <x:c r="CZ35" s="1443" t="str">
        <x:f>IF(BG35="","",IF(VLOOKUP(BG35,SectInfo!$B:$N,11,FALSE)="","2",(VLOOKUP(BG35,SectInfo!$B:$N,11,FALSE))))</x:f>
        <x:v/>
      </x:c>
      <x:c r="DA35" s="13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92"/>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27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93"/>
        <x:v>0</x:v>
      </x:c>
      <x:c r="DO35" s="1049">
        <x:f t="shared" si="45"/>
        <x:v>0</x:v>
      </x:c>
      <x:c r="DP35" s="1053" t="str">
        <x:f t="shared" si="46"/>
        <x:v/>
      </x:c>
      <x:c r="DQ35" s="1053" t="str">
        <x:f t="shared" si="47"/>
        <x:v/>
      </x:c>
      <x:c r="DR35" s="1053" t="str">
        <x:f t="shared" si="48"/>
        <x:v/>
      </x:c>
      <x:c r="DS35" s="1052">
        <x:f t="shared" si="49"/>
        <x:v>0</x:v>
      </x:c>
      <x:c r="DT35" s="1052">
        <x:f t="shared" si="105"/>
        <x:v>0</x:v>
      </x:c>
      <x:c r="DU35" s="1052" t="str">
        <x:f t="shared" si="106"/>
        <x:v/>
      </x:c>
      <x:c r="DV35" s="1053" t="str">
        <x:f t="shared" si="50"/>
        <x:v/>
      </x:c>
      <x:c r="DW35" s="1053" t="str">
        <x:f t="shared" si="51"/>
        <x:v/>
      </x:c>
      <x:c r="DX35" s="1269">
        <x:f t="shared" si="94"/>
        <x:v>0</x:v>
      </x:c>
      <x:c r="DY35" s="1053">
        <x:f t="shared" si="95"/>
        <x:v>0</x:v>
      </x:c>
      <x:c r="DZ35" s="1052">
        <x:f t="shared" si="107"/>
        <x:v>0</x:v>
      </x:c>
      <x:c r="EA35" s="1052" t="str">
        <x:f t="shared" si="96"/>
        <x:v/>
      </x:c>
      <x:c r="EB35" s="1053" t="str">
        <x:f t="shared" si="52"/>
        <x:v/>
      </x:c>
      <x:c r="EC35" s="1053" t="str">
        <x:f t="shared" si="53"/>
        <x:v/>
      </x:c>
      <x:c r="ED35" s="1269">
        <x:f t="shared" si="97"/>
        <x:v>0</x:v>
      </x:c>
      <x:c r="EE35" s="1090" t="str">
        <x:f t="shared" si="102"/>
        <x:v/>
      </x:c>
      <x:c r="EF35" s="1053" t="str">
        <x:f t="shared" si="54"/>
        <x:v/>
      </x:c>
      <x:c r="EG35" s="1053" t="str">
        <x:f t="shared" si="55"/>
        <x:v/>
      </x:c>
      <x:c r="EH35" s="1053" t="str">
        <x:f t="shared" si="56"/>
        <x:v>ERR</x:v>
      </x:c>
      <x:c r="EI35" s="1053" t="str">
        <x:f t="shared" si="57"/>
        <x:v>ERR</x:v>
      </x:c>
      <x:c r="EJ35" s="1053" t="str">
        <x:f t="shared" si="58"/>
        <x:v/>
      </x:c>
      <x:c r="EK35" s="1053" t="str">
        <x:f t="shared" si="58"/>
        <x:v/>
      </x:c>
      <x:c r="EL35" s="1090" t="str">
        <x:f t="shared" si="103"/>
        <x:v/>
      </x:c>
      <x:c r="EM35" s="1053" t="str">
        <x:f t="shared" si="59"/>
        <x:v/>
      </x:c>
      <x:c r="EN35" s="1053" t="str">
        <x:f t="shared" si="60"/>
        <x:v/>
      </x:c>
      <x:c r="EO35" s="1053" t="str">
        <x:f t="shared" si="61"/>
        <x:v>ERR</x:v>
      </x:c>
      <x:c r="EP35" s="1053" t="str">
        <x:f t="shared" si="62"/>
        <x:v>ERR</x:v>
      </x:c>
      <x:c r="EQ35" s="1053" t="str">
        <x:f t="shared" si="63"/>
        <x:v/>
      </x:c>
      <x:c r="ER35" s="1053" t="str">
        <x:f t="shared" si="63"/>
        <x:v/>
      </x:c>
      <x:c r="ES35" s="1053" t="str">
        <x:f t="shared" si="64"/>
        <x:v/>
      </x:c>
      <x:c r="ET35" s="1053" t="str">
        <x:f t="shared" si="65"/>
        <x:v/>
      </x:c>
      <x:c r="EU35" s="1061">
        <x:f t="shared" si="66"/>
        <x:v>3.5</x:v>
      </x:c>
      <x:c r="EV35" s="1055" t="str">
        <x:f t="shared" si="109"/>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6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68"/>
        <x:v/>
      </x:c>
      <x:c r="FD35" s="1053">
        <x:f t="shared" si="69"/>
        <x:v>0</x:v>
      </x:c>
      <x:c r="FE35" s="1053">
        <x:f t="shared" si="70"/>
        <x:v>0</x:v>
      </x:c>
      <x:c r="FF35" s="1052">
        <x:f t="shared" si="71"/>
        <x:v>0</x:v>
      </x:c>
      <x:c r="FG35" s="1052" t="str">
        <x:f t="shared" si="72"/>
        <x:v/>
      </x:c>
      <x:c r="FH35" s="1053" t="str">
        <x:f t="shared" si="73"/>
        <x:v/>
      </x:c>
      <x:c r="FI35" s="1053">
        <x:f t="shared" si="74"/>
        <x:v>0</x:v>
      </x:c>
      <x:c r="FJ35" s="1053">
        <x:f t="shared" si="75"/>
        <x:v>0</x:v>
      </x:c>
      <x:c r="FK35" s="1052">
        <x:f t="shared" si="76"/>
        <x:v>0</x:v>
      </x:c>
      <x:c r="FL35" s="1052" t="str">
        <x:f t="shared" si="77"/>
        <x:v/>
      </x:c>
      <x:c r="FM35" s="1053" t="str">
        <x:f t="shared" si="78"/>
        <x:v/>
      </x:c>
      <x:c r="FN35" s="1053" t="e">
        <x:f t="shared" si="98"/>
        <x:v>#VALUE!</x:v>
      </x:c>
      <x:c r="FO35" s="1062" t="e">
        <x:f t="shared" si="79"/>
        <x:v>#VALUE!</x:v>
      </x:c>
      <x:c r="FP35" s="1062" t="e">
        <x:f t="shared" si="80"/>
        <x:v>#VALUE!</x:v>
      </x:c>
      <x:c r="FQ35" s="1063" t="e">
        <x:f t="shared" si="81"/>
        <x:v>#VALUE!</x:v>
      </x:c>
      <x:c r="FR35" s="1064" t="e">
        <x:f t="shared" si="82"/>
        <x:v>#VALUE!</x:v>
      </x:c>
      <x:c r="FS35" s="1065" t="str">
        <x:f t="shared" si="83"/>
        <x:v/>
      </x:c>
      <x:c r="FT35" s="1066" t="str">
        <x:f t="shared" si="84"/>
        <x:v/>
      </x:c>
      <x:c r="FU35" s="1105">
        <x:f t="shared" si="85"/>
        <x:v>0</x:v>
      </x:c>
      <x:c r="FV35" s="1106">
        <x:f t="shared" si="86"/>
        <x:v>0</x:v>
      </x:c>
      <x:c r="GA35" s="1975">
        <x:v>24</x:v>
      </x:c>
      <x:c r="GB35" s="1976">
        <x:v>0.875</x:v>
      </x:c>
      <x:c r="GC35" s="1977">
        <x:v>2</x:v>
      </x:c>
      <x:c r="GD35" s="1978">
        <x:v>-0.5</x:v>
      </x:c>
      <x:c r="GE35" s="1979">
        <x:v>0.18378481854214801</x:v>
      </x:c>
      <x:c r="GF35" s="1980" t="str">
        <x:f t="shared" si="87"/>
        <x:v>J13</x:v>
      </x:c>
      <x:c r="GG35" s="1453"/>
      <x:c r="GH35" s="1454"/>
      <x:c r="GI35" s="1453"/>
      <x:c r="GJ35" s="1454"/>
      <x:c r="GK35" s="1407">
        <x:f t="shared" si="88"/>
        <x:v>290.375</x:v>
      </x:c>
      <x:c r="GL35" s="1407">
        <x:f t="shared" si="89"/>
        <x:v>290.40905340454935</x:v>
      </x:c>
      <x:c r="GM35" s="1408">
        <x:f>IF(ABS(GK35-GL35)&gt;='Job Info.'!$L$22,ABS(GK35-GL35),0)</x:f>
        <x:v>0</x:v>
      </x:c>
      <x:c r="GZ35" s="497"/>
      <x:c r="HA35" s="1640" t="s">
        <x:v>1337</x:v>
      </x:c>
      <x:c r="HB35" s="1641">
        <x:v>1</x:v>
      </x:c>
      <x:c r="HC35" s="1641" t="s">
        <x:v>1980</x:v>
      </x:c>
      <x:c r="HD35" s="1642">
        <x:v>24</x:v>
      </x:c>
      <x:c r="HE35" s="1643">
        <x:v>2.375</x:v>
      </x:c>
      <x:c r="HF35" s="1641">
        <x:v>0</x:v>
      </x:c>
      <x:c r="HG35" s="1641">
        <x:v>3.625</x:v>
      </x:c>
      <x:c r="HH35" s="1641" t="s">
        <x:v>114</x:v>
      </x:c>
      <x:c r="HI35" s="1644"/>
      <x:c r="HJ35" s="1641"/>
      <x:c r="HK35" s="1641"/>
      <x:c r="HL35" s="1641">
        <x:v>3</x:v>
      </x:c>
      <x:c r="HM35" s="1641">
        <x:v>3</x:v>
      </x:c>
      <x:c r="HN35" s="1641"/>
      <x:c r="HO35" s="1641"/>
      <x:c r="HP35" s="1641"/>
      <x:c r="HQ35" s="1644"/>
      <x:c r="HR35" s="1641"/>
      <x:c r="HS35" s="1641"/>
      <x:c r="HT35" s="1641"/>
      <x:c r="HU35" s="1641"/>
      <x:c r="HV35" s="1641"/>
      <x:c r="HW35" s="1643"/>
      <x:c r="HX35" s="1643">
        <x:v>0</x:v>
      </x:c>
      <x:c r="HY35" s="1643"/>
      <x:c r="HZ35" s="1643"/>
      <x:c r="IA35" s="1643" t="s">
        <x:v>2074</x:v>
      </x:c>
      <x:c r="IB35" s="1643"/>
      <x:c r="IC35" s="1643"/>
      <x:c r="ID35" s="1643"/>
      <x:c r="IE35" s="1643"/>
      <x:c r="IF35" s="1645"/>
      <x:c r="IG35" s="497"/>
      <x:c r="IH35" s="497"/>
      <x:c r="II35" s="497"/>
    </x:row>
    <x:row r="36" spans="1:243" ht="12.6" customHeight="1" x14ac:dyDescent="0.25">
      <x:c r="A36" s="1264" t="s">
        <x:v>1338</x:v>
      </x:c>
      <x:c r="B36" s="1265">
        <x:v>0</x:v>
      </x:c>
      <x:c r="C36" s="1265" t="s">
        <x:v>1978</x:v>
      </x:c>
      <x:c r="D36" s="1261">
        <x:v>59</x:v>
      </x:c>
      <x:c r="E36" s="1411">
        <x:v>0.625</x:v>
      </x:c>
      <x:c r="F36" s="1263" t="str">
        <x:f t="shared" ref="F36:F39" si="111">IF(DX36=0,"",TRUNC(DX36/12))</x:f>
        <x:v/>
      </x:c>
      <x:c r="G36" s="1262" t="str">
        <x:f t="shared" ref="G36:G39" si="112">IF(DX36=0,"",DX36-(F36*12))</x:f>
        <x:v/>
      </x:c>
      <x:c r="H36" s="1266" t="str">
        <x:f t="shared" ref="H36:H39" si="113">IF(DX36=0,"",CW36)</x:f>
        <x:v/>
      </x:c>
      <x:c r="I36" s="1261">
        <x:v>0</x:v>
      </x:c>
      <x:c r="J36" s="1262">
        <x:v>1.375</x:v>
      </x:c>
      <x:c r="K36" s="1412" t="s">
        <x:v>114</x:v>
      </x:c>
      <x:c r="L36" s="1327">
        <x:v>3</x:v>
      </x:c>
      <x:c r="M36" s="1329">
        <x:v>3</x:v>
      </x:c>
      <x:c r="N36" s="1263" t="str">
        <x:f t="shared" si="4"/>
        <x:v/>
      </x:c>
      <x:c r="O36" s="1262" t="str">
        <x:f t="shared" si="5"/>
        <x:v/>
      </x:c>
      <x:c r="P36" s="1260" t="str">
        <x:f t="shared" si="6"/>
        <x:v/>
      </x:c>
      <x:c r="Q36" s="1261" t="str">
        <x:f t="shared" si="7"/>
        <x:v/>
      </x:c>
      <x:c r="R36" s="1262" t="str">
        <x:f t="shared" si="8"/>
        <x:v/>
      </x:c>
      <x:c r="S36" s="1410" t="str">
        <x:f t="shared" si="9"/>
        <x:v/>
      </x:c>
      <x:c r="T36" s="1263" t="str">
        <x:f t="shared" si="10"/>
        <x:v/>
      </x:c>
      <x:c r="U36" s="1262" t="str">
        <x:f t="shared" si="11"/>
        <x:v/>
      </x:c>
      <x:c r="V36" s="1261" t="str">
        <x:f t="shared" si="12"/>
        <x:v/>
      </x:c>
      <x:c r="W36" s="1262" t="str">
        <x:f t="shared" si="13"/>
        <x:v/>
      </x:c>
      <x:c r="X36" s="1409">
        <x:f t="shared" si="14"/>
        <x:v>0</x:v>
      </x:c>
      <x:c r="Y36" s="1377" t="str">
        <x:f t="shared" si="15"/>
        <x:v/>
      </x:c>
      <x:c r="Z36" s="1378" t="str">
        <x:f t="shared" si="16"/>
        <x:v/>
      </x:c>
      <x:c r="AA36" s="2159" t="s">
        <x:v>2075</x:v>
      </x:c>
      <x:c r="AC36" s="1226" t="b">
        <x:v>0</x:v>
      </x:c>
      <x:c r="AD36" s="525">
        <x:f t="shared" si="17"/>
        <x:v>0</x:v>
      </x:c>
      <x:c r="AE36" s="526">
        <x:f t="shared" si="18"/>
        <x:v>0</x:v>
      </x:c>
      <x:c r="AF36" s="526">
        <x:f t="shared" si="19"/>
        <x:v>0</x:v>
      </x:c>
      <x:c r="AG36" s="526">
        <x:f t="shared" si="20"/>
        <x:v>0</x:v>
      </x:c>
      <x:c r="AH36" s="527">
        <x:f t="shared" si="21"/>
        <x:v>0</x:v>
      </x:c>
      <x:c r="AI36" s="528" t="b">
        <x:v>0</x:v>
      </x:c>
      <x:c r="AJ36" s="284">
        <x:f t="shared" si="110"/>
        <x:v>36</x:v>
      </x:c>
      <x:c r="AK36" s="284" t="str">
        <x:f t="shared" si="22"/>
        <x:v>LH</x:v>
      </x:c>
      <x:c r="AL36" s="1202" t="str">
        <x:f t="shared" si="23"/>
        <x:v/>
      </x:c>
      <x:c r="AM36" s="284">
        <x:f t="shared" si="24"/>
        <x:v>270</x:v>
      </x:c>
      <x:c r="AN36" s="284">
        <x:f t="shared" si="25"/>
        <x:v>120</x:v>
      </x:c>
      <x:c r="AO36" s="284" t="str">
        <x:f t="shared" si="26"/>
        <x:v/>
      </x:c>
      <x:c r="AP36" s="1063" t="b">
        <x:f>IF(ISERROR(AJ36),FALSE,IF(OR(AJ36=0,ISERROR(AL36),ISERROR(AM36),ISERROR(AN36),ISERROR(AO36)),FALSE,IF(AL36&lt;&gt;"",IF(ISERROR(VLOOKUP(SUBSTITUTE(SUBSTITUTE(C36,"R",""),"A",""),TblJoistSize!$A:$A,1,FALSE)),FALSE,TRUE),TRUE)))</x:f>
        <x:v>1</x:v>
      </x:c>
      <x:c r="AQ36" s="1305">
        <x:f t="shared" si="27"/>
        <x:v>6</x:v>
      </x:c>
      <x:c r="AR36" s="1305" t="b">
        <x:f t="shared" si="28"/>
        <x:v>0</x:v>
      </x:c>
      <x:c r="AS36" s="1305">
        <x:f t="shared" si="29"/>
        <x:v>7.375</x:v>
      </x:c>
      <x:c r="AT36" s="1305" t="b">
        <x:f t="shared" si="30"/>
        <x:v>0</x:v>
      </x:c>
      <x:c r="AU36" s="1203" t="str">
        <x:f t="shared" si="31"/>
        <x:v>LH</x:v>
      </x:c>
      <x:c r="AV36" s="1063" t="str">
        <x:f t="shared" si="32"/>
        <x:v/>
      </x:c>
      <x:c r="AW36" s="1063" t="str">
        <x:f t="shared" si="90"/>
        <x:v>LH</x:v>
      </x:c>
      <x:c r="AX36" s="1063" t="str">
        <x:f t="shared" si="99"/>
        <x:v>J14</x:v>
      </x:c>
      <x:c r="AY36" s="554" t="b">
        <x:f t="shared" si="33"/>
        <x:v>0</x:v>
      </x:c>
      <x:c r="AZ36" s="1090" t="b">
        <x:f t="shared" si="91"/>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4"/>
        <x:v/>
      </x:c>
      <x:c r="CE36" s="935" t="str">
        <x:f t="shared" si="35"/>
        <x:v/>
      </x:c>
      <x:c r="CF36" s="1149"/>
      <x:c r="CG36" s="1150"/>
      <x:c r="CH36" s="792" t="str">
        <x:f t="shared" si="36"/>
        <x:v/>
      </x:c>
      <x:c r="CI36" s="793" t="str">
        <x:f t="shared" si="37"/>
        <x:v/>
      </x:c>
      <x:c r="CJ36" s="794" t="str">
        <x:f t="shared" si="108"/>
        <x:v/>
      </x:c>
      <x:c r="CK36" s="1086" t="str">
        <x:f t="shared" si="38"/>
        <x:v/>
      </x:c>
      <x:c r="CL36" s="1081" t="str">
        <x:f t="shared" si="100"/>
        <x:v/>
      </x:c>
      <x:c r="CM36" s="1082" t="str">
        <x:f t="shared" si="101"/>
        <x:v/>
      </x:c>
      <x:c r="CN36" s="758" t="str">
        <x:f t="shared" si="39"/>
        <x:v/>
      </x:c>
      <x:c r="CO36" s="759" t="str">
        <x:f t="shared" si="40"/>
        <x:v/>
      </x:c>
      <x:c r="CP36" s="762" t="str">
        <x:f t="shared" si="41"/>
        <x:v/>
      </x:c>
      <x:c r="CQ36" s="763" t="str">
        <x:f t="shared" si="42"/>
        <x:v/>
      </x:c>
      <x:c r="CR36" s="953">
        <x:f t="shared" si="43"/>
        <x:v>5</x:v>
      </x:c>
      <x:c r="CS36" s="954">
        <x:f t="shared" si="44"/>
        <x:v>5</x:v>
      </x:c>
      <x:c r="CU36" s="135" t="str">
        <x:f>IF(BG36="","",VLOOKUP(BG36,SectInfo!$B:$N,12,FALSE))</x:f>
        <x:v/>
      </x:c>
      <x:c r="CV36" s="136" t="str">
        <x:f>IF(BG36="","",IF(ISBLANK(BZ36),VLOOKUP(BG36,SectInfo!$B:$N,13,FALSE),BZ36))</x:f>
        <x:v/>
      </x:c>
      <x:c r="CW36" s="136" t="str">
        <x:f>IF(BG36="","",IF(VLOOKUP(BG36,SectInfo!$B:$N,5,FALSE)="","R",UPPER(VLOOKUP(BG36,SectInfo!$B:$N,5,FALSE))))</x:f>
        <x:v/>
      </x:c>
      <x:c r="CX36" s="1046" t="str">
        <x:f>IF(BG36="","",IF(ISBLANK(CF36),VLOOKUP(BG36,SectInfo!$B:$N,6,FALSE),CF36))</x:f>
        <x:v/>
      </x:c>
      <x:c r="CY36" s="136" t="str">
        <x:f>IF(BG36="","",IF(VLOOKUP(BG36,SectInfo!$B:$N,10,FALSE)="","",(VLOOKUP(BG36,SectInfo!$B:$N,10,FALSE)*-1)))</x:f>
        <x:v/>
      </x:c>
      <x:c r="CZ36" s="1443" t="str">
        <x:f>IF(BG36="","",IF(VLOOKUP(BG36,SectInfo!$B:$N,11,FALSE)="","2",(VLOOKUP(BG36,SectInfo!$B:$N,11,FALSE))))</x:f>
        <x:v/>
      </x:c>
      <x:c r="DA36" s="13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92"/>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27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93"/>
        <x:v>0</x:v>
      </x:c>
      <x:c r="DO36" s="1049">
        <x:f t="shared" si="45"/>
        <x:v>0</x:v>
      </x:c>
      <x:c r="DP36" s="1053" t="str">
        <x:f t="shared" si="46"/>
        <x:v/>
      </x:c>
      <x:c r="DQ36" s="1053" t="str">
        <x:f t="shared" si="47"/>
        <x:v/>
      </x:c>
      <x:c r="DR36" s="1053" t="str">
        <x:f t="shared" si="48"/>
        <x:v/>
      </x:c>
      <x:c r="DS36" s="1052">
        <x:f t="shared" si="49"/>
        <x:v>0</x:v>
      </x:c>
      <x:c r="DT36" s="1052">
        <x:f t="shared" si="105"/>
        <x:v>0</x:v>
      </x:c>
      <x:c r="DU36" s="1052" t="str">
        <x:f t="shared" si="106"/>
        <x:v/>
      </x:c>
      <x:c r="DV36" s="1053" t="str">
        <x:f t="shared" si="50"/>
        <x:v/>
      </x:c>
      <x:c r="DW36" s="1053" t="str">
        <x:f t="shared" si="51"/>
        <x:v/>
      </x:c>
      <x:c r="DX36" s="1269">
        <x:f t="shared" si="94"/>
        <x:v>0</x:v>
      </x:c>
      <x:c r="DY36" s="1053">
        <x:f t="shared" si="95"/>
        <x:v>0</x:v>
      </x:c>
      <x:c r="DZ36" s="1052">
        <x:f t="shared" si="107"/>
        <x:v>0</x:v>
      </x:c>
      <x:c r="EA36" s="1052" t="str">
        <x:f t="shared" si="96"/>
        <x:v/>
      </x:c>
      <x:c r="EB36" s="1053" t="str">
        <x:f t="shared" si="52"/>
        <x:v/>
      </x:c>
      <x:c r="EC36" s="1053" t="str">
        <x:f t="shared" si="53"/>
        <x:v/>
      </x:c>
      <x:c r="ED36" s="1269">
        <x:f t="shared" si="97"/>
        <x:v>0</x:v>
      </x:c>
      <x:c r="EE36" s="1090" t="str">
        <x:f t="shared" si="102"/>
        <x:v/>
      </x:c>
      <x:c r="EF36" s="1053" t="str">
        <x:f t="shared" si="54"/>
        <x:v/>
      </x:c>
      <x:c r="EG36" s="1053" t="str">
        <x:f t="shared" si="55"/>
        <x:v/>
      </x:c>
      <x:c r="EH36" s="1053" t="str">
        <x:f t="shared" si="56"/>
        <x:v>ERR</x:v>
      </x:c>
      <x:c r="EI36" s="1053" t="str">
        <x:f t="shared" si="57"/>
        <x:v>ERR</x:v>
      </x:c>
      <x:c r="EJ36" s="1053" t="str">
        <x:f t="shared" si="58"/>
        <x:v/>
      </x:c>
      <x:c r="EK36" s="1053" t="str">
        <x:f t="shared" si="58"/>
        <x:v/>
      </x:c>
      <x:c r="EL36" s="1090" t="str">
        <x:f t="shared" si="103"/>
        <x:v/>
      </x:c>
      <x:c r="EM36" s="1053" t="str">
        <x:f t="shared" si="59"/>
        <x:v/>
      </x:c>
      <x:c r="EN36" s="1053" t="str">
        <x:f t="shared" si="60"/>
        <x:v/>
      </x:c>
      <x:c r="EO36" s="1053" t="str">
        <x:f t="shared" si="61"/>
        <x:v>ERR</x:v>
      </x:c>
      <x:c r="EP36" s="1053" t="str">
        <x:f t="shared" si="62"/>
        <x:v>ERR</x:v>
      </x:c>
      <x:c r="EQ36" s="1053" t="str">
        <x:f t="shared" si="63"/>
        <x:v/>
      </x:c>
      <x:c r="ER36" s="1053" t="str">
        <x:f t="shared" si="63"/>
        <x:v/>
      </x:c>
      <x:c r="ES36" s="1053" t="str">
        <x:f t="shared" si="64"/>
        <x:v/>
      </x:c>
      <x:c r="ET36" s="1053" t="str">
        <x:f t="shared" si="65"/>
        <x:v/>
      </x:c>
      <x:c r="EU36" s="1061">
        <x:f t="shared" si="66"/>
        <x:v>4</x:v>
      </x:c>
      <x:c r="EV36" s="1055" t="str">
        <x:f t="shared" si="109"/>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6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68"/>
        <x:v/>
      </x:c>
      <x:c r="FD36" s="1053">
        <x:f t="shared" si="69"/>
        <x:v>0</x:v>
      </x:c>
      <x:c r="FE36" s="1053">
        <x:f t="shared" si="70"/>
        <x:v>0</x:v>
      </x:c>
      <x:c r="FF36" s="1052">
        <x:f t="shared" si="71"/>
        <x:v>0</x:v>
      </x:c>
      <x:c r="FG36" s="1052" t="str">
        <x:f t="shared" si="72"/>
        <x:v/>
      </x:c>
      <x:c r="FH36" s="1053" t="str">
        <x:f t="shared" si="73"/>
        <x:v/>
      </x:c>
      <x:c r="FI36" s="1053">
        <x:f t="shared" si="74"/>
        <x:v>0</x:v>
      </x:c>
      <x:c r="FJ36" s="1053">
        <x:f t="shared" si="75"/>
        <x:v>0</x:v>
      </x:c>
      <x:c r="FK36" s="1052">
        <x:f t="shared" si="76"/>
        <x:v>0</x:v>
      </x:c>
      <x:c r="FL36" s="1052" t="str">
        <x:f t="shared" si="77"/>
        <x:v/>
      </x:c>
      <x:c r="FM36" s="1053" t="str">
        <x:f t="shared" si="78"/>
        <x:v/>
      </x:c>
      <x:c r="FN36" s="1053" t="e">
        <x:f t="shared" si="98"/>
        <x:v>#VALUE!</x:v>
      </x:c>
      <x:c r="FO36" s="1062" t="e">
        <x:f t="shared" si="79"/>
        <x:v>#VALUE!</x:v>
      </x:c>
      <x:c r="FP36" s="1062" t="e">
        <x:f t="shared" si="80"/>
        <x:v>#VALUE!</x:v>
      </x:c>
      <x:c r="FQ36" s="1063" t="e">
        <x:f t="shared" si="81"/>
        <x:v>#VALUE!</x:v>
      </x:c>
      <x:c r="FR36" s="1064" t="e">
        <x:f t="shared" si="82"/>
        <x:v>#VALUE!</x:v>
      </x:c>
      <x:c r="FS36" s="1065" t="str">
        <x:f t="shared" si="83"/>
        <x:v/>
      </x:c>
      <x:c r="FT36" s="1066" t="str">
        <x:f t="shared" si="84"/>
        <x:v/>
      </x:c>
      <x:c r="FU36" s="1105">
        <x:f t="shared" si="85"/>
        <x:v>0</x:v>
      </x:c>
      <x:c r="FV36" s="1106">
        <x:f t="shared" si="86"/>
        <x:v>0</x:v>
      </x:c>
      <x:c r="GA36" s="1975">
        <x:v>59</x:v>
      </x:c>
      <x:c r="GB36" s="1976">
        <x:v>2.75</x:v>
      </x:c>
      <x:c r="GC36" s="1977">
        <x:v>-1.875</x:v>
      </x:c>
      <x:c r="GD36" s="1978">
        <x:v>-0.25</x:v>
      </x:c>
      <x:c r="GE36" s="1979">
        <x:v>0.26169539219134702</x:v>
      </x:c>
      <x:c r="GF36" s="1980" t="str">
        <x:f t="shared" si="87"/>
        <x:v>J14</x:v>
      </x:c>
      <x:c r="GG36" s="1453"/>
      <x:c r="GH36" s="1454"/>
      <x:c r="GI36" s="1453"/>
      <x:c r="GJ36" s="1454"/>
      <x:c r="GK36" s="1407">
        <x:f t="shared" si="88"/>
        <x:v>708.625</x:v>
      </x:c>
      <x:c r="GL36" s="1407">
        <x:f t="shared" si="89"/>
        <x:v>708.79348626656247</x:v>
      </x:c>
      <x:c r="GM36" s="1408">
        <x:f>IF(ABS(GK36-GL36)&gt;='Job Info.'!$L$22,ABS(GK36-GL36),0)</x:f>
        <x:v>0</x:v>
      </x:c>
      <x:c r="GZ36" s="497"/>
      <x:c r="HA36" s="1640" t="s">
        <x:v>1338</x:v>
      </x:c>
      <x:c r="HB36" s="1641">
        <x:v>1</x:v>
      </x:c>
      <x:c r="HC36" s="1641" t="s">
        <x:v>1978</x:v>
      </x:c>
      <x:c r="HD36" s="1642">
        <x:v>59</x:v>
      </x:c>
      <x:c r="HE36" s="1643">
        <x:v>0.625</x:v>
      </x:c>
      <x:c r="HF36" s="1641"/>
      <x:c r="HG36" s="1641"/>
      <x:c r="HH36" s="1641"/>
      <x:c r="HI36" s="1644">
        <x:v>0</x:v>
      </x:c>
      <x:c r="HJ36" s="1641">
        <x:v>1.375</x:v>
      </x:c>
      <x:c r="HK36" s="1641" t="s">
        <x:v>114</x:v>
      </x:c>
      <x:c r="HL36" s="1641">
        <x:v>3</x:v>
      </x:c>
      <x:c r="HM36" s="1641">
        <x:v>3</x:v>
      </x:c>
      <x:c r="HN36" s="1641"/>
      <x:c r="HO36" s="1641"/>
      <x:c r="HP36" s="1641"/>
      <x:c r="HQ36" s="1644"/>
      <x:c r="HR36" s="1641"/>
      <x:c r="HS36" s="1641"/>
      <x:c r="HT36" s="1641"/>
      <x:c r="HU36" s="1641"/>
      <x:c r="HV36" s="1641"/>
      <x:c r="HW36" s="1643"/>
      <x:c r="HX36" s="1643">
        <x:v>0</x:v>
      </x:c>
      <x:c r="HY36" s="1643"/>
      <x:c r="HZ36" s="1643"/>
      <x:c r="IA36" s="1643" t="s">
        <x:v>2075</x:v>
      </x:c>
      <x:c r="IB36" s="1643"/>
      <x:c r="IC36" s="1643"/>
      <x:c r="ID36" s="1643"/>
      <x:c r="IE36" s="1643"/>
      <x:c r="IF36" s="1645"/>
      <x:c r="IG36" s="497"/>
      <x:c r="IH36" s="497"/>
      <x:c r="II36" s="497"/>
    </x:row>
    <x:row r="37" spans="1:243" ht="12.6" customHeight="1" x14ac:dyDescent="0.25">
      <x:c r="A37" s="1264" t="s">
        <x:v>1339</x:v>
      </x:c>
      <x:c r="B37" s="1265">
        <x:v>0</x:v>
      </x:c>
      <x:c r="C37" s="1265" t="s">
        <x:v>1978</x:v>
      </x:c>
      <x:c r="D37" s="1261">
        <x:v>59</x:v>
      </x:c>
      <x:c r="E37" s="1411">
        <x:v>0.625</x:v>
      </x:c>
      <x:c r="F37" s="1263" t="str">
        <x:f t="shared" si="111"/>
        <x:v/>
      </x:c>
      <x:c r="G37" s="1262" t="str">
        <x:f t="shared" si="112"/>
        <x:v/>
      </x:c>
      <x:c r="H37" s="1266" t="str">
        <x:f t="shared" si="113"/>
        <x:v/>
      </x:c>
      <x:c r="I37" s="1261">
        <x:v>0</x:v>
      </x:c>
      <x:c r="J37" s="1262">
        <x:v>1.375</x:v>
      </x:c>
      <x:c r="K37" s="1412" t="s">
        <x:v>114</x:v>
      </x:c>
      <x:c r="L37" s="1327">
        <x:v>3</x:v>
      </x:c>
      <x:c r="M37" s="1329">
        <x:v>3</x:v>
      </x:c>
      <x:c r="N37" s="1263" t="str">
        <x:f t="shared" si="4"/>
        <x:v/>
      </x:c>
      <x:c r="O37" s="1262" t="str">
        <x:f t="shared" si="5"/>
        <x:v/>
      </x:c>
      <x:c r="P37" s="1260" t="str">
        <x:f t="shared" si="6"/>
        <x:v/>
      </x:c>
      <x:c r="Q37" s="1261" t="str">
        <x:f t="shared" si="7"/>
        <x:v/>
      </x:c>
      <x:c r="R37" s="1262" t="str">
        <x:f t="shared" si="8"/>
        <x:v/>
      </x:c>
      <x:c r="S37" s="1410" t="str">
        <x:f t="shared" si="9"/>
        <x:v/>
      </x:c>
      <x:c r="T37" s="1263" t="str">
        <x:f t="shared" si="10"/>
        <x:v/>
      </x:c>
      <x:c r="U37" s="1262" t="str">
        <x:f t="shared" si="11"/>
        <x:v/>
      </x:c>
      <x:c r="V37" s="1261" t="str">
        <x:f t="shared" si="12"/>
        <x:v/>
      </x:c>
      <x:c r="W37" s="1262" t="str">
        <x:f t="shared" si="13"/>
        <x:v/>
      </x:c>
      <x:c r="X37" s="1409">
        <x:f t="shared" si="14"/>
        <x:v>0</x:v>
      </x:c>
      <x:c r="Y37" s="1377" t="str">
        <x:f t="shared" si="15"/>
        <x:v/>
      </x:c>
      <x:c r="Z37" s="1378" t="str">
        <x:f t="shared" si="16"/>
        <x:v/>
      </x:c>
      <x:c r="AA37" s="2159" t="s">
        <x:v>2076</x:v>
      </x:c>
      <x:c r="AC37" s="1226" t="b">
        <x:v>0</x:v>
      </x:c>
      <x:c r="AD37" s="525">
        <x:f t="shared" si="17"/>
        <x:v>0</x:v>
      </x:c>
      <x:c r="AE37" s="526">
        <x:f t="shared" si="18"/>
        <x:v>0</x:v>
      </x:c>
      <x:c r="AF37" s="526">
        <x:f t="shared" si="19"/>
        <x:v>0</x:v>
      </x:c>
      <x:c r="AG37" s="526">
        <x:f t="shared" si="20"/>
        <x:v>0</x:v>
      </x:c>
      <x:c r="AH37" s="527">
        <x:f t="shared" si="21"/>
        <x:v>0</x:v>
      </x:c>
      <x:c r="AI37" s="528" t="b">
        <x:v>0</x:v>
      </x:c>
      <x:c r="AJ37" s="284">
        <x:f t="shared" si="110"/>
        <x:v>36</x:v>
      </x:c>
      <x:c r="AK37" s="284" t="str">
        <x:f t="shared" si="22"/>
        <x:v>LH</x:v>
      </x:c>
      <x:c r="AL37" s="1202" t="str">
        <x:f t="shared" si="23"/>
        <x:v/>
      </x:c>
      <x:c r="AM37" s="284">
        <x:f t="shared" si="24"/>
        <x:v>270</x:v>
      </x:c>
      <x:c r="AN37" s="284">
        <x:f t="shared" si="25"/>
        <x:v>120</x:v>
      </x:c>
      <x:c r="AO37" s="284" t="str">
        <x:f t="shared" si="26"/>
        <x:v/>
      </x:c>
      <x:c r="AP37" s="1063" t="b">
        <x:f>IF(ISERROR(AJ37),FALSE,IF(OR(AJ37=0,ISERROR(AL37),ISERROR(AM37),ISERROR(AN37),ISERROR(AO37)),FALSE,IF(AL37&lt;&gt;"",IF(ISERROR(VLOOKUP(SUBSTITUTE(SUBSTITUTE(C37,"R",""),"A",""),TblJoistSize!$A:$A,1,FALSE)),FALSE,TRUE),TRUE)))</x:f>
        <x:v>1</x:v>
      </x:c>
      <x:c r="AQ37" s="1305">
        <x:f t="shared" si="27"/>
        <x:v>6</x:v>
      </x:c>
      <x:c r="AR37" s="1305" t="b">
        <x:f t="shared" si="28"/>
        <x:v>0</x:v>
      </x:c>
      <x:c r="AS37" s="1305">
        <x:f t="shared" si="29"/>
        <x:v>7.375</x:v>
      </x:c>
      <x:c r="AT37" s="1305" t="b">
        <x:f t="shared" si="30"/>
        <x:v>0</x:v>
      </x:c>
      <x:c r="AU37" s="1203" t="str">
        <x:f t="shared" si="31"/>
        <x:v>LH</x:v>
      </x:c>
      <x:c r="AV37" s="1063" t="str">
        <x:f t="shared" si="32"/>
        <x:v/>
      </x:c>
      <x:c r="AW37" s="1063" t="str">
        <x:f t="shared" si="90"/>
        <x:v>LH</x:v>
      </x:c>
      <x:c r="AX37" s="1063" t="str">
        <x:f t="shared" si="99"/>
        <x:v>J15</x:v>
      </x:c>
      <x:c r="AY37" s="554" t="b">
        <x:f t="shared" si="33"/>
        <x:v>0</x:v>
      </x:c>
      <x:c r="AZ37" s="1090" t="b">
        <x:f t="shared" si="91"/>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4"/>
        <x:v/>
      </x:c>
      <x:c r="CE37" s="935" t="str">
        <x:f t="shared" si="35"/>
        <x:v/>
      </x:c>
      <x:c r="CF37" s="1149"/>
      <x:c r="CG37" s="1150"/>
      <x:c r="CH37" s="792" t="str">
        <x:f t="shared" si="36"/>
        <x:v/>
      </x:c>
      <x:c r="CI37" s="793" t="str">
        <x:f t="shared" si="37"/>
        <x:v/>
      </x:c>
      <x:c r="CJ37" s="794" t="str">
        <x:f t="shared" si="108"/>
        <x:v/>
      </x:c>
      <x:c r="CK37" s="1086" t="str">
        <x:f t="shared" si="38"/>
        <x:v/>
      </x:c>
      <x:c r="CL37" s="1081" t="str">
        <x:f t="shared" si="100"/>
        <x:v/>
      </x:c>
      <x:c r="CM37" s="1082" t="str">
        <x:f t="shared" si="101"/>
        <x:v/>
      </x:c>
      <x:c r="CN37" s="758" t="str">
        <x:f t="shared" si="39"/>
        <x:v/>
      </x:c>
      <x:c r="CO37" s="759" t="str">
        <x:f t="shared" si="40"/>
        <x:v/>
      </x:c>
      <x:c r="CP37" s="762" t="str">
        <x:f t="shared" si="41"/>
        <x:v/>
      </x:c>
      <x:c r="CQ37" s="763" t="str">
        <x:f t="shared" si="42"/>
        <x:v/>
      </x:c>
      <x:c r="CR37" s="953">
        <x:f t="shared" si="43"/>
        <x:v>5</x:v>
      </x:c>
      <x:c r="CS37" s="954">
        <x:f t="shared" si="44"/>
        <x:v>5</x:v>
      </x:c>
      <x:c r="CU37" s="135" t="str">
        <x:f>IF(BG37="","",VLOOKUP(BG37,SectInfo!$B:$N,12,FALSE))</x:f>
        <x:v/>
      </x:c>
      <x:c r="CV37" s="136" t="str">
        <x:f>IF(BG37="","",IF(ISBLANK(BZ37),VLOOKUP(BG37,SectInfo!$B:$N,13,FALSE),BZ37))</x:f>
        <x:v/>
      </x:c>
      <x:c r="CW37" s="136" t="str">
        <x:f>IF(BG37="","",IF(VLOOKUP(BG37,SectInfo!$B:$N,5,FALSE)="","R",UPPER(VLOOKUP(BG37,SectInfo!$B:$N,5,FALSE))))</x:f>
        <x:v/>
      </x:c>
      <x:c r="CX37" s="1046" t="str">
        <x:f>IF(BG37="","",IF(ISBLANK(CF37),VLOOKUP(BG37,SectInfo!$B:$N,6,FALSE),CF37))</x:f>
        <x:v/>
      </x:c>
      <x:c r="CY37" s="136" t="str">
        <x:f>IF(BG37="","",IF(VLOOKUP(BG37,SectInfo!$B:$N,10,FALSE)="","",(VLOOKUP(BG37,SectInfo!$B:$N,10,FALSE)*-1)))</x:f>
        <x:v/>
      </x:c>
      <x:c r="CZ37" s="1443" t="str">
        <x:f>IF(BG37="","",IF(VLOOKUP(BG37,SectInfo!$B:$N,11,FALSE)="","2",(VLOOKUP(BG37,SectInfo!$B:$N,11,FALSE))))</x:f>
        <x:v/>
      </x:c>
      <x:c r="DA37" s="13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92"/>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27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93"/>
        <x:v>0</x:v>
      </x:c>
      <x:c r="DO37" s="1049">
        <x:f t="shared" si="45"/>
        <x:v>0</x:v>
      </x:c>
      <x:c r="DP37" s="1053" t="str">
        <x:f t="shared" si="46"/>
        <x:v/>
      </x:c>
      <x:c r="DQ37" s="1053" t="str">
        <x:f t="shared" si="47"/>
        <x:v/>
      </x:c>
      <x:c r="DR37" s="1053" t="str">
        <x:f t="shared" si="48"/>
        <x:v/>
      </x:c>
      <x:c r="DS37" s="1052">
        <x:f t="shared" si="49"/>
        <x:v>0</x:v>
      </x:c>
      <x:c r="DT37" s="1052">
        <x:f t="shared" si="105"/>
        <x:v>0</x:v>
      </x:c>
      <x:c r="DU37" s="1052" t="str">
        <x:f t="shared" si="106"/>
        <x:v/>
      </x:c>
      <x:c r="DV37" s="1053" t="str">
        <x:f t="shared" si="50"/>
        <x:v/>
      </x:c>
      <x:c r="DW37" s="1053" t="str">
        <x:f t="shared" si="51"/>
        <x:v/>
      </x:c>
      <x:c r="DX37" s="1269">
        <x:f t="shared" si="94"/>
        <x:v>0</x:v>
      </x:c>
      <x:c r="DY37" s="1053">
        <x:f t="shared" si="95"/>
        <x:v>0</x:v>
      </x:c>
      <x:c r="DZ37" s="1052">
        <x:f t="shared" si="107"/>
        <x:v>0</x:v>
      </x:c>
      <x:c r="EA37" s="1052" t="str">
        <x:f t="shared" si="96"/>
        <x:v/>
      </x:c>
      <x:c r="EB37" s="1053" t="str">
        <x:f t="shared" si="52"/>
        <x:v/>
      </x:c>
      <x:c r="EC37" s="1053" t="str">
        <x:f t="shared" si="53"/>
        <x:v/>
      </x:c>
      <x:c r="ED37" s="1269">
        <x:f t="shared" si="97"/>
        <x:v>0</x:v>
      </x:c>
      <x:c r="EE37" s="1090" t="str">
        <x:f t="shared" si="102"/>
        <x:v/>
      </x:c>
      <x:c r="EF37" s="1053" t="str">
        <x:f t="shared" si="54"/>
        <x:v/>
      </x:c>
      <x:c r="EG37" s="1053" t="str">
        <x:f t="shared" si="55"/>
        <x:v/>
      </x:c>
      <x:c r="EH37" s="1053" t="str">
        <x:f t="shared" si="56"/>
        <x:v>ERR</x:v>
      </x:c>
      <x:c r="EI37" s="1053" t="str">
        <x:f t="shared" si="57"/>
        <x:v>ERR</x:v>
      </x:c>
      <x:c r="EJ37" s="1053" t="str">
        <x:f t="shared" si="58"/>
        <x:v/>
      </x:c>
      <x:c r="EK37" s="1053" t="str">
        <x:f t="shared" si="58"/>
        <x:v/>
      </x:c>
      <x:c r="EL37" s="1090" t="str">
        <x:f t="shared" si="103"/>
        <x:v/>
      </x:c>
      <x:c r="EM37" s="1053" t="str">
        <x:f t="shared" si="59"/>
        <x:v/>
      </x:c>
      <x:c r="EN37" s="1053" t="str">
        <x:f t="shared" si="60"/>
        <x:v/>
      </x:c>
      <x:c r="EO37" s="1053" t="str">
        <x:f t="shared" si="61"/>
        <x:v>ERR</x:v>
      </x:c>
      <x:c r="EP37" s="1053" t="str">
        <x:f t="shared" si="62"/>
        <x:v>ERR</x:v>
      </x:c>
      <x:c r="EQ37" s="1053" t="str">
        <x:f t="shared" si="63"/>
        <x:v/>
      </x:c>
      <x:c r="ER37" s="1053" t="str">
        <x:f t="shared" si="63"/>
        <x:v/>
      </x:c>
      <x:c r="ES37" s="1053" t="str">
        <x:f t="shared" si="64"/>
        <x:v/>
      </x:c>
      <x:c r="ET37" s="1053" t="str">
        <x:f t="shared" si="65"/>
        <x:v/>
      </x:c>
      <x:c r="EU37" s="1061">
        <x:f t="shared" si="66"/>
        <x:v>4</x:v>
      </x:c>
      <x:c r="EV37" s="1055" t="str">
        <x:f t="shared" si="109"/>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6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68"/>
        <x:v/>
      </x:c>
      <x:c r="FD37" s="1053">
        <x:f t="shared" si="69"/>
        <x:v>0</x:v>
      </x:c>
      <x:c r="FE37" s="1053">
        <x:f t="shared" si="70"/>
        <x:v>0</x:v>
      </x:c>
      <x:c r="FF37" s="1052">
        <x:f t="shared" si="71"/>
        <x:v>0</x:v>
      </x:c>
      <x:c r="FG37" s="1052" t="str">
        <x:f t="shared" si="72"/>
        <x:v/>
      </x:c>
      <x:c r="FH37" s="1053" t="str">
        <x:f t="shared" si="73"/>
        <x:v/>
      </x:c>
      <x:c r="FI37" s="1053">
        <x:f t="shared" si="74"/>
        <x:v>0</x:v>
      </x:c>
      <x:c r="FJ37" s="1053">
        <x:f t="shared" si="75"/>
        <x:v>0</x:v>
      </x:c>
      <x:c r="FK37" s="1052">
        <x:f t="shared" si="76"/>
        <x:v>0</x:v>
      </x:c>
      <x:c r="FL37" s="1052" t="str">
        <x:f t="shared" si="77"/>
        <x:v/>
      </x:c>
      <x:c r="FM37" s="1053" t="str">
        <x:f t="shared" si="78"/>
        <x:v/>
      </x:c>
      <x:c r="FN37" s="1053" t="e">
        <x:f t="shared" si="98"/>
        <x:v>#VALUE!</x:v>
      </x:c>
      <x:c r="FO37" s="1062" t="e">
        <x:f t="shared" si="79"/>
        <x:v>#VALUE!</x:v>
      </x:c>
      <x:c r="FP37" s="1062" t="e">
        <x:f t="shared" si="80"/>
        <x:v>#VALUE!</x:v>
      </x:c>
      <x:c r="FQ37" s="1063" t="e">
        <x:f t="shared" si="81"/>
        <x:v>#VALUE!</x:v>
      </x:c>
      <x:c r="FR37" s="1064" t="e">
        <x:f t="shared" si="82"/>
        <x:v>#VALUE!</x:v>
      </x:c>
      <x:c r="FS37" s="1065" t="str">
        <x:f t="shared" si="83"/>
        <x:v/>
      </x:c>
      <x:c r="FT37" s="1066" t="str">
        <x:f t="shared" si="84"/>
        <x:v/>
      </x:c>
      <x:c r="FU37" s="1105">
        <x:f t="shared" si="85"/>
        <x:v>0</x:v>
      </x:c>
      <x:c r="FV37" s="1106">
        <x:f t="shared" si="86"/>
        <x:v>0</x:v>
      </x:c>
      <x:c r="GA37" s="1975">
        <x:v>59</x:v>
      </x:c>
      <x:c r="GB37" s="1976">
        <x:v>2.75</x:v>
      </x:c>
      <x:c r="GC37" s="1977">
        <x:v>-1.875</x:v>
      </x:c>
      <x:c r="GD37" s="1978">
        <x:v>-0.25</x:v>
      </x:c>
      <x:c r="GE37" s="1979">
        <x:v>0.26169539219134702</x:v>
      </x:c>
      <x:c r="GF37" s="1980" t="str">
        <x:f t="shared" si="87"/>
        <x:v>J15</x:v>
      </x:c>
      <x:c r="GG37" s="1453"/>
      <x:c r="GH37" s="1454"/>
      <x:c r="GI37" s="1453"/>
      <x:c r="GJ37" s="1454"/>
      <x:c r="GK37" s="1407">
        <x:f t="shared" si="88"/>
        <x:v>708.625</x:v>
      </x:c>
      <x:c r="GL37" s="1407">
        <x:f t="shared" si="89"/>
        <x:v>708.79348626656247</x:v>
      </x:c>
      <x:c r="GM37" s="1408">
        <x:f>IF(ABS(GK37-GL37)&gt;='Job Info.'!$L$22,ABS(GK37-GL37),0)</x:f>
        <x:v>0</x:v>
      </x:c>
      <x:c r="GZ37" s="497"/>
      <x:c r="HA37" s="1640" t="s">
        <x:v>1339</x:v>
      </x:c>
      <x:c r="HB37" s="1641">
        <x:v>1</x:v>
      </x:c>
      <x:c r="HC37" s="1641" t="s">
        <x:v>1978</x:v>
      </x:c>
      <x:c r="HD37" s="1642">
        <x:v>59</x:v>
      </x:c>
      <x:c r="HE37" s="1643">
        <x:v>0.625</x:v>
      </x:c>
      <x:c r="HF37" s="1641"/>
      <x:c r="HG37" s="1641"/>
      <x:c r="HH37" s="1641"/>
      <x:c r="HI37" s="1644">
        <x:v>0</x:v>
      </x:c>
      <x:c r="HJ37" s="1641">
        <x:v>1.375</x:v>
      </x:c>
      <x:c r="HK37" s="1641" t="s">
        <x:v>114</x:v>
      </x:c>
      <x:c r="HL37" s="1641">
        <x:v>3</x:v>
      </x:c>
      <x:c r="HM37" s="1641">
        <x:v>3</x:v>
      </x:c>
      <x:c r="HN37" s="1641"/>
      <x:c r="HO37" s="1641"/>
      <x:c r="HP37" s="1641"/>
      <x:c r="HQ37" s="1644"/>
      <x:c r="HR37" s="1641"/>
      <x:c r="HS37" s="1641"/>
      <x:c r="HT37" s="1641"/>
      <x:c r="HU37" s="1641"/>
      <x:c r="HV37" s="1641"/>
      <x:c r="HW37" s="1643"/>
      <x:c r="HX37" s="1643">
        <x:v>0</x:v>
      </x:c>
      <x:c r="HY37" s="1643"/>
      <x:c r="HZ37" s="1643"/>
      <x:c r="IA37" s="1643" t="s">
        <x:v>2076</x:v>
      </x:c>
      <x:c r="IB37" s="1643"/>
      <x:c r="IC37" s="1643"/>
      <x:c r="ID37" s="1643"/>
      <x:c r="IE37" s="1643"/>
      <x:c r="IF37" s="1645"/>
      <x:c r="IG37" s="497"/>
      <x:c r="IH37" s="497"/>
      <x:c r="II37" s="497"/>
    </x:row>
    <x:row r="38" spans="1:243" ht="12.6" customHeight="1" x14ac:dyDescent="0.25">
      <x:c r="A38" s="1264" t="s">
        <x:v>1340</x:v>
      </x:c>
      <x:c r="B38" s="1265">
        <x:v>0</x:v>
      </x:c>
      <x:c r="C38" s="1265" t="s">
        <x:v>1978</x:v>
      </x:c>
      <x:c r="D38" s="1261">
        <x:v>59</x:v>
      </x:c>
      <x:c r="E38" s="1411">
        <x:v>0.625</x:v>
      </x:c>
      <x:c r="F38" s="1263" t="str">
        <x:f t="shared" si="111"/>
        <x:v/>
      </x:c>
      <x:c r="G38" s="1262" t="str">
        <x:f t="shared" si="112"/>
        <x:v/>
      </x:c>
      <x:c r="H38" s="1266" t="str">
        <x:f t="shared" si="113"/>
        <x:v/>
      </x:c>
      <x:c r="I38" s="1261">
        <x:v>0</x:v>
      </x:c>
      <x:c r="J38" s="1262">
        <x:v>1.375</x:v>
      </x:c>
      <x:c r="K38" s="1412" t="s">
        <x:v>114</x:v>
      </x:c>
      <x:c r="L38" s="1327">
        <x:v>3</x:v>
      </x:c>
      <x:c r="M38" s="1329">
        <x:v>3</x:v>
      </x:c>
      <x:c r="N38" s="1263" t="str">
        <x:f t="shared" si="4"/>
        <x:v/>
      </x:c>
      <x:c r="O38" s="1262" t="str">
        <x:f t="shared" si="5"/>
        <x:v/>
      </x:c>
      <x:c r="P38" s="1260" t="str">
        <x:f t="shared" si="6"/>
        <x:v/>
      </x:c>
      <x:c r="Q38" s="1261" t="str">
        <x:f t="shared" si="7"/>
        <x:v/>
      </x:c>
      <x:c r="R38" s="1262" t="str">
        <x:f t="shared" si="8"/>
        <x:v/>
      </x:c>
      <x:c r="S38" s="1410" t="str">
        <x:f t="shared" si="9"/>
        <x:v/>
      </x:c>
      <x:c r="T38" s="1263" t="str">
        <x:f t="shared" si="10"/>
        <x:v/>
      </x:c>
      <x:c r="U38" s="1262" t="str">
        <x:f t="shared" si="11"/>
        <x:v/>
      </x:c>
      <x:c r="V38" s="1261" t="str">
        <x:f t="shared" si="12"/>
        <x:v/>
      </x:c>
      <x:c r="W38" s="1262" t="str">
        <x:f t="shared" si="13"/>
        <x:v/>
      </x:c>
      <x:c r="X38" s="1409">
        <x:f t="shared" si="14"/>
        <x:v>0</x:v>
      </x:c>
      <x:c r="Y38" s="1377" t="str">
        <x:f t="shared" si="15"/>
        <x:v/>
      </x:c>
      <x:c r="Z38" s="1378" t="str">
        <x:f t="shared" si="16"/>
        <x:v/>
      </x:c>
      <x:c r="AA38" s="2159" t="s">
        <x:v>2077</x:v>
      </x:c>
      <x:c r="AC38" s="1226" t="b">
        <x:v>0</x:v>
      </x:c>
      <x:c r="AD38" s="525">
        <x:f t="shared" si="17"/>
        <x:v>0</x:v>
      </x:c>
      <x:c r="AE38" s="526">
        <x:f t="shared" si="18"/>
        <x:v>0</x:v>
      </x:c>
      <x:c r="AF38" s="526">
        <x:f t="shared" si="19"/>
        <x:v>0</x:v>
      </x:c>
      <x:c r="AG38" s="526">
        <x:f t="shared" si="20"/>
        <x:v>0</x:v>
      </x:c>
      <x:c r="AH38" s="527">
        <x:f t="shared" si="21"/>
        <x:v>0</x:v>
      </x:c>
      <x:c r="AI38" s="528" t="b">
        <x:v>0</x:v>
      </x:c>
      <x:c r="AJ38" s="284">
        <x:f t="shared" si="110"/>
        <x:v>36</x:v>
      </x:c>
      <x:c r="AK38" s="284" t="str">
        <x:f t="shared" si="22"/>
        <x:v>LH</x:v>
      </x:c>
      <x:c r="AL38" s="1202" t="str">
        <x:f t="shared" si="23"/>
        <x:v/>
      </x:c>
      <x:c r="AM38" s="284">
        <x:f t="shared" si="24"/>
        <x:v>270</x:v>
      </x:c>
      <x:c r="AN38" s="284">
        <x:f t="shared" si="25"/>
        <x:v>120</x:v>
      </x:c>
      <x:c r="AO38" s="284" t="str">
        <x:f t="shared" si="26"/>
        <x:v/>
      </x:c>
      <x:c r="AP38" s="1063" t="b">
        <x:f>IF(ISERROR(AJ38),FALSE,IF(OR(AJ38=0,ISERROR(AL38),ISERROR(AM38),ISERROR(AN38),ISERROR(AO38)),FALSE,IF(AL38&lt;&gt;"",IF(ISERROR(VLOOKUP(SUBSTITUTE(SUBSTITUTE(C38,"R",""),"A",""),TblJoistSize!$A:$A,1,FALSE)),FALSE,TRUE),TRUE)))</x:f>
        <x:v>1</x:v>
      </x:c>
      <x:c r="AQ38" s="1305">
        <x:f t="shared" si="27"/>
        <x:v>6</x:v>
      </x:c>
      <x:c r="AR38" s="1305" t="b">
        <x:f t="shared" si="28"/>
        <x:v>0</x:v>
      </x:c>
      <x:c r="AS38" s="1305">
        <x:f t="shared" si="29"/>
        <x:v>7.375</x:v>
      </x:c>
      <x:c r="AT38" s="1305" t="b">
        <x:f t="shared" si="30"/>
        <x:v>0</x:v>
      </x:c>
      <x:c r="AU38" s="1203" t="str">
        <x:f t="shared" si="31"/>
        <x:v>LH</x:v>
      </x:c>
      <x:c r="AV38" s="1063" t="str">
        <x:f t="shared" si="32"/>
        <x:v/>
      </x:c>
      <x:c r="AW38" s="1063" t="str">
        <x:f t="shared" si="90"/>
        <x:v>LH</x:v>
      </x:c>
      <x:c r="AX38" s="1063" t="str">
        <x:f t="shared" si="99"/>
        <x:v>J16</x:v>
      </x:c>
      <x:c r="AY38" s="554" t="b">
        <x:f t="shared" si="33"/>
        <x:v>0</x:v>
      </x:c>
      <x:c r="AZ38" s="1090" t="b">
        <x:f t="shared" si="91"/>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4"/>
        <x:v/>
      </x:c>
      <x:c r="CE38" s="935" t="str">
        <x:f t="shared" si="35"/>
        <x:v/>
      </x:c>
      <x:c r="CF38" s="1149"/>
      <x:c r="CG38" s="1150"/>
      <x:c r="CH38" s="792" t="str">
        <x:f t="shared" si="36"/>
        <x:v/>
      </x:c>
      <x:c r="CI38" s="793" t="str">
        <x:f t="shared" si="37"/>
        <x:v/>
      </x:c>
      <x:c r="CJ38" s="794" t="str">
        <x:f t="shared" si="108"/>
        <x:v/>
      </x:c>
      <x:c r="CK38" s="1086" t="str">
        <x:f t="shared" si="38"/>
        <x:v/>
      </x:c>
      <x:c r="CL38" s="1081" t="str">
        <x:f t="shared" si="100"/>
        <x:v/>
      </x:c>
      <x:c r="CM38" s="1082" t="str">
        <x:f t="shared" si="101"/>
        <x:v/>
      </x:c>
      <x:c r="CN38" s="758" t="str">
        <x:f t="shared" si="39"/>
        <x:v/>
      </x:c>
      <x:c r="CO38" s="759" t="str">
        <x:f t="shared" si="40"/>
        <x:v/>
      </x:c>
      <x:c r="CP38" s="762" t="str">
        <x:f t="shared" si="41"/>
        <x:v/>
      </x:c>
      <x:c r="CQ38" s="763" t="str">
        <x:f t="shared" si="42"/>
        <x:v/>
      </x:c>
      <x:c r="CR38" s="953">
        <x:f t="shared" si="43"/>
        <x:v>5</x:v>
      </x:c>
      <x:c r="CS38" s="954">
        <x:f t="shared" si="44"/>
        <x:v>5</x:v>
      </x:c>
      <x:c r="CU38" s="135" t="str">
        <x:f>IF(BG38="","",VLOOKUP(BG38,SectInfo!$B:$N,12,FALSE))</x:f>
        <x:v/>
      </x:c>
      <x:c r="CV38" s="136" t="str">
        <x:f>IF(BG38="","",IF(ISBLANK(BZ38),VLOOKUP(BG38,SectInfo!$B:$N,13,FALSE),BZ38))</x:f>
        <x:v/>
      </x:c>
      <x:c r="CW38" s="136" t="str">
        <x:f>IF(BG38="","",IF(VLOOKUP(BG38,SectInfo!$B:$N,5,FALSE)="","R",UPPER(VLOOKUP(BG38,SectInfo!$B:$N,5,FALSE))))</x:f>
        <x:v/>
      </x:c>
      <x:c r="CX38" s="1046" t="str">
        <x:f>IF(BG38="","",IF(ISBLANK(CF38),VLOOKUP(BG38,SectInfo!$B:$N,6,FALSE),CF38))</x:f>
        <x:v/>
      </x:c>
      <x:c r="CY38" s="136" t="str">
        <x:f>IF(BG38="","",IF(VLOOKUP(BG38,SectInfo!$B:$N,10,FALSE)="","",(VLOOKUP(BG38,SectInfo!$B:$N,10,FALSE)*-1)))</x:f>
        <x:v/>
      </x:c>
      <x:c r="CZ38" s="1443" t="str">
        <x:f>IF(BG38="","",IF(VLOOKUP(BG38,SectInfo!$B:$N,11,FALSE)="","2",(VLOOKUP(BG38,SectInfo!$B:$N,11,FALSE))))</x:f>
        <x:v/>
      </x:c>
      <x:c r="DA38" s="13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92"/>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27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93"/>
        <x:v>0</x:v>
      </x:c>
      <x:c r="DO38" s="1049">
        <x:f t="shared" si="45"/>
        <x:v>0</x:v>
      </x:c>
      <x:c r="DP38" s="1053" t="str">
        <x:f t="shared" si="46"/>
        <x:v/>
      </x:c>
      <x:c r="DQ38" s="1053" t="str">
        <x:f t="shared" si="47"/>
        <x:v/>
      </x:c>
      <x:c r="DR38" s="1053" t="str">
        <x:f t="shared" si="48"/>
        <x:v/>
      </x:c>
      <x:c r="DS38" s="1052">
        <x:f t="shared" si="49"/>
        <x:v>0</x:v>
      </x:c>
      <x:c r="DT38" s="1052">
        <x:f t="shared" si="105"/>
        <x:v>0</x:v>
      </x:c>
      <x:c r="DU38" s="1052" t="str">
        <x:f t="shared" si="106"/>
        <x:v/>
      </x:c>
      <x:c r="DV38" s="1053" t="str">
        <x:f t="shared" si="50"/>
        <x:v/>
      </x:c>
      <x:c r="DW38" s="1053" t="str">
        <x:f t="shared" si="51"/>
        <x:v/>
      </x:c>
      <x:c r="DX38" s="1269">
        <x:f t="shared" si="94"/>
        <x:v>0</x:v>
      </x:c>
      <x:c r="DY38" s="1053">
        <x:f t="shared" si="95"/>
        <x:v>0</x:v>
      </x:c>
      <x:c r="DZ38" s="1052">
        <x:f t="shared" si="107"/>
        <x:v>0</x:v>
      </x:c>
      <x:c r="EA38" s="1052" t="str">
        <x:f t="shared" si="96"/>
        <x:v/>
      </x:c>
      <x:c r="EB38" s="1053" t="str">
        <x:f t="shared" si="52"/>
        <x:v/>
      </x:c>
      <x:c r="EC38" s="1053" t="str">
        <x:f t="shared" si="53"/>
        <x:v/>
      </x:c>
      <x:c r="ED38" s="1269">
        <x:f t="shared" si="97"/>
        <x:v>0</x:v>
      </x:c>
      <x:c r="EE38" s="1090" t="str">
        <x:f t="shared" si="102"/>
        <x:v/>
      </x:c>
      <x:c r="EF38" s="1053" t="str">
        <x:f t="shared" si="54"/>
        <x:v/>
      </x:c>
      <x:c r="EG38" s="1053" t="str">
        <x:f t="shared" si="55"/>
        <x:v/>
      </x:c>
      <x:c r="EH38" s="1053" t="str">
        <x:f t="shared" si="56"/>
        <x:v>ERR</x:v>
      </x:c>
      <x:c r="EI38" s="1053" t="str">
        <x:f t="shared" si="57"/>
        <x:v>ERR</x:v>
      </x:c>
      <x:c r="EJ38" s="1053" t="str">
        <x:f t="shared" si="58"/>
        <x:v/>
      </x:c>
      <x:c r="EK38" s="1053" t="str">
        <x:f t="shared" si="58"/>
        <x:v/>
      </x:c>
      <x:c r="EL38" s="1090" t="str">
        <x:f t="shared" si="103"/>
        <x:v/>
      </x:c>
      <x:c r="EM38" s="1053" t="str">
        <x:f t="shared" si="59"/>
        <x:v/>
      </x:c>
      <x:c r="EN38" s="1053" t="str">
        <x:f t="shared" si="60"/>
        <x:v/>
      </x:c>
      <x:c r="EO38" s="1053" t="str">
        <x:f t="shared" si="61"/>
        <x:v>ERR</x:v>
      </x:c>
      <x:c r="EP38" s="1053" t="str">
        <x:f t="shared" si="62"/>
        <x:v>ERR</x:v>
      </x:c>
      <x:c r="EQ38" s="1053" t="str">
        <x:f t="shared" si="63"/>
        <x:v/>
      </x:c>
      <x:c r="ER38" s="1053" t="str">
        <x:f t="shared" si="63"/>
        <x:v/>
      </x:c>
      <x:c r="ES38" s="1053" t="str">
        <x:f t="shared" si="64"/>
        <x:v/>
      </x:c>
      <x:c r="ET38" s="1053" t="str">
        <x:f t="shared" si="65"/>
        <x:v/>
      </x:c>
      <x:c r="EU38" s="1061">
        <x:f t="shared" si="66"/>
        <x:v>4</x:v>
      </x:c>
      <x:c r="EV38" s="1055" t="str">
        <x:f t="shared" si="109"/>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6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68"/>
        <x:v/>
      </x:c>
      <x:c r="FD38" s="1053">
        <x:f t="shared" si="69"/>
        <x:v>0</x:v>
      </x:c>
      <x:c r="FE38" s="1053">
        <x:f t="shared" si="70"/>
        <x:v>0</x:v>
      </x:c>
      <x:c r="FF38" s="1052">
        <x:f t="shared" si="71"/>
        <x:v>0</x:v>
      </x:c>
      <x:c r="FG38" s="1052" t="str">
        <x:f t="shared" si="72"/>
        <x:v/>
      </x:c>
      <x:c r="FH38" s="1053" t="str">
        <x:f t="shared" si="73"/>
        <x:v/>
      </x:c>
      <x:c r="FI38" s="1053">
        <x:f t="shared" si="74"/>
        <x:v>0</x:v>
      </x:c>
      <x:c r="FJ38" s="1053">
        <x:f t="shared" si="75"/>
        <x:v>0</x:v>
      </x:c>
      <x:c r="FK38" s="1052">
        <x:f t="shared" si="76"/>
        <x:v>0</x:v>
      </x:c>
      <x:c r="FL38" s="1052" t="str">
        <x:f t="shared" si="77"/>
        <x:v/>
      </x:c>
      <x:c r="FM38" s="1053" t="str">
        <x:f t="shared" si="78"/>
        <x:v/>
      </x:c>
      <x:c r="FN38" s="1053" t="e">
        <x:f t="shared" si="98"/>
        <x:v>#VALUE!</x:v>
      </x:c>
      <x:c r="FO38" s="1062" t="e">
        <x:f t="shared" si="79"/>
        <x:v>#VALUE!</x:v>
      </x:c>
      <x:c r="FP38" s="1062" t="e">
        <x:f t="shared" si="80"/>
        <x:v>#VALUE!</x:v>
      </x:c>
      <x:c r="FQ38" s="1063" t="e">
        <x:f t="shared" si="81"/>
        <x:v>#VALUE!</x:v>
      </x:c>
      <x:c r="FR38" s="1064" t="e">
        <x:f t="shared" si="82"/>
        <x:v>#VALUE!</x:v>
      </x:c>
      <x:c r="FS38" s="1065" t="str">
        <x:f t="shared" si="83"/>
        <x:v/>
      </x:c>
      <x:c r="FT38" s="1066" t="str">
        <x:f t="shared" si="84"/>
        <x:v/>
      </x:c>
      <x:c r="FU38" s="1105">
        <x:f t="shared" si="85"/>
        <x:v>0</x:v>
      </x:c>
      <x:c r="FV38" s="1106">
        <x:f t="shared" si="86"/>
        <x:v>0</x:v>
      </x:c>
      <x:c r="GA38" s="1975">
        <x:v>59</x:v>
      </x:c>
      <x:c r="GB38" s="1976">
        <x:v>2.75</x:v>
      </x:c>
      <x:c r="GC38" s="1977">
        <x:v>-1.875</x:v>
      </x:c>
      <x:c r="GD38" s="1978">
        <x:v>-0.25</x:v>
      </x:c>
      <x:c r="GE38" s="1979">
        <x:v>0.26169539219134702</x:v>
      </x:c>
      <x:c r="GF38" s="1980" t="str">
        <x:f t="shared" si="87"/>
        <x:v>J16</x:v>
      </x:c>
      <x:c r="GG38" s="1453"/>
      <x:c r="GH38" s="1454"/>
      <x:c r="GI38" s="1453"/>
      <x:c r="GJ38" s="1454"/>
      <x:c r="GK38" s="1407">
        <x:f t="shared" si="88"/>
        <x:v>708.625</x:v>
      </x:c>
      <x:c r="GL38" s="1407">
        <x:f t="shared" si="89"/>
        <x:v>708.79348626656247</x:v>
      </x:c>
      <x:c r="GM38" s="1408">
        <x:f>IF(ABS(GK38-GL38)&gt;='Job Info.'!$L$22,ABS(GK38-GL38),0)</x:f>
        <x:v>0</x:v>
      </x:c>
      <x:c r="GZ38" s="497"/>
      <x:c r="HA38" s="1640" t="s">
        <x:v>1340</x:v>
      </x:c>
      <x:c r="HB38" s="1641">
        <x:v>2</x:v>
      </x:c>
      <x:c r="HC38" s="1641" t="s">
        <x:v>1978</x:v>
      </x:c>
      <x:c r="HD38" s="1642">
        <x:v>59</x:v>
      </x:c>
      <x:c r="HE38" s="1643">
        <x:v>0.625</x:v>
      </x:c>
      <x:c r="HF38" s="1641"/>
      <x:c r="HG38" s="1641"/>
      <x:c r="HH38" s="1641"/>
      <x:c r="HI38" s="1644">
        <x:v>0</x:v>
      </x:c>
      <x:c r="HJ38" s="1641">
        <x:v>1.375</x:v>
      </x:c>
      <x:c r="HK38" s="1641" t="s">
        <x:v>114</x:v>
      </x:c>
      <x:c r="HL38" s="1641">
        <x:v>3</x:v>
      </x:c>
      <x:c r="HM38" s="1641">
        <x:v>3</x:v>
      </x:c>
      <x:c r="HN38" s="1641"/>
      <x:c r="HO38" s="1641"/>
      <x:c r="HP38" s="1641"/>
      <x:c r="HQ38" s="1644"/>
      <x:c r="HR38" s="1641"/>
      <x:c r="HS38" s="1641"/>
      <x:c r="HT38" s="1641"/>
      <x:c r="HU38" s="1641"/>
      <x:c r="HV38" s="1641"/>
      <x:c r="HW38" s="1643"/>
      <x:c r="HX38" s="1643">
        <x:v>0</x:v>
      </x:c>
      <x:c r="HY38" s="1643"/>
      <x:c r="HZ38" s="1643"/>
      <x:c r="IA38" s="1643" t="s">
        <x:v>2077</x:v>
      </x:c>
      <x:c r="IB38" s="1643"/>
      <x:c r="IC38" s="1643"/>
      <x:c r="ID38" s="1643"/>
      <x:c r="IE38" s="1643"/>
      <x:c r="IF38" s="1645"/>
      <x:c r="IG38" s="497"/>
      <x:c r="IH38" s="497"/>
      <x:c r="II38" s="497"/>
    </x:row>
    <x:row r="39" spans="1:243" ht="12.6" customHeight="1" x14ac:dyDescent="0.25">
      <x:c r="A39" s="1264" t="str">
        <x:f t="shared" ref="A39" si="114">IF(BB39="","",UPPER(BB39))</x:f>
        <x:v/>
      </x:c>
      <x:c r="B39" s="1265"/>
      <x:c r="C39" s="1265" t="str">
        <x:f t="shared" ref="C39" si="115">IF(BD39="","",UPPER(BD39))</x:f>
        <x:v/>
      </x:c>
      <x:c r="D39" s="1261" t="str">
        <x:f t="shared" ref="D39" si="116">IF(DP39="","",TRUNC(DP39/12))</x:f>
        <x:v/>
      </x:c>
      <x:c r="E39" s="1411" t="str">
        <x:f t="shared" ref="E39" si="117">IF(DP39="","",DP39-(D39*12))</x:f>
        <x:v/>
      </x:c>
      <x:c r="F39" s="1263" t="str">
        <x:f t="shared" si="111"/>
        <x:v/>
      </x:c>
      <x:c r="G39" s="1262" t="str">
        <x:f t="shared" si="112"/>
        <x:v/>
      </x:c>
      <x:c r="H39" s="1266" t="str">
        <x:f t="shared" si="113"/>
        <x:v/>
      </x:c>
      <x:c r="I39" s="1261" t="str">
        <x:f t="shared" si="1"/>
        <x:v/>
      </x:c>
      <x:c r="J39" s="1262" t="str">
        <x:f t="shared" si="2"/>
        <x:v/>
      </x:c>
      <x:c r="K39" s="1412" t="str">
        <x:f t="shared" si="3"/>
        <x:v/>
      </x:c>
      <x:c r="L39" s="1327" t="str">
        <x:f t="shared" ref="L39:M39" si="118">DQ39</x:f>
        <x:v/>
      </x:c>
      <x:c r="M39" s="1329" t="str">
        <x:f t="shared" si="118"/>
        <x:v/>
      </x:c>
      <x:c r="N39" s="1263" t="str">
        <x:f t="shared" si="4"/>
        <x:v/>
      </x:c>
      <x:c r="O39" s="1262" t="str">
        <x:f t="shared" si="5"/>
        <x:v/>
      </x:c>
      <x:c r="P39" s="1260" t="str">
        <x:f t="shared" si="6"/>
        <x:v/>
      </x:c>
      <x:c r="Q39" s="1261" t="str">
        <x:f t="shared" si="7"/>
        <x:v/>
      </x:c>
      <x:c r="R39" s="1262" t="str">
        <x:f t="shared" si="8"/>
        <x:v/>
      </x:c>
      <x:c r="S39" s="1410" t="str">
        <x:f t="shared" si="9"/>
        <x:v/>
      </x:c>
      <x:c r="T39" s="1263" t="str">
        <x:f t="shared" si="10"/>
        <x:v/>
      </x:c>
      <x:c r="U39" s="1262" t="str">
        <x:f t="shared" si="11"/>
        <x:v/>
      </x:c>
      <x:c r="V39" s="1261" t="str">
        <x:f t="shared" si="12"/>
        <x:v/>
      </x:c>
      <x:c r="W39" s="1262" t="str">
        <x:f t="shared" si="13"/>
        <x:v/>
      </x:c>
      <x:c r="X39" s="1409">
        <x:f t="shared" si="14"/>
        <x:v>0</x:v>
      </x:c>
      <x:c r="Y39" s="1377" t="str">
        <x:f t="shared" si="15"/>
        <x:v/>
      </x:c>
      <x:c r="Z39" s="1378" t="str">
        <x:f t="shared" si="16"/>
        <x:v/>
      </x:c>
      <x:c r="AA39" s="2159"/>
      <x:c r="AC39" s="1226" t="b">
        <x:v>0</x:v>
      </x:c>
      <x:c r="AD39" s="525">
        <x:f t="shared" si="17"/>
        <x:v>0</x:v>
      </x:c>
      <x:c r="AE39" s="526">
        <x:f t="shared" si="18"/>
        <x:v>0</x:v>
      </x:c>
      <x:c r="AF39" s="526">
        <x:f t="shared" si="19"/>
        <x:v>0</x:v>
      </x:c>
      <x:c r="AG39" s="526">
        <x:f t="shared" si="20"/>
        <x:v>0</x:v>
      </x:c>
      <x:c r="AH39" s="527">
        <x:f t="shared" si="21"/>
        <x:v>0</x:v>
      </x:c>
      <x:c r="AI39" s="528" t="b">
        <x:v>0</x:v>
      </x:c>
      <x:c r="AJ39" s="284">
        <x:f t="shared" si="110"/>
        <x:v>0</x:v>
      </x:c>
      <x:c r="AK39" s="284" t="str">
        <x:f t="shared" si="22"/>
        <x:v/>
      </x:c>
      <x:c r="AL39" s="1202" t="str">
        <x:f t="shared" si="23"/>
        <x:v/>
      </x:c>
      <x:c r="AM39" s="284" t="str">
        <x:f t="shared" si="24"/>
        <x:v/>
      </x:c>
      <x:c r="AN39" s="284" t="str">
        <x:f t="shared" si="25"/>
        <x:v/>
      </x:c>
      <x:c r="AO39" s="284" t="str">
        <x:f t="shared" si="26"/>
        <x:v/>
      </x:c>
      <x:c r="AP39" s="1063" t="b">
        <x:f>IF(ISERROR(AJ39),FALSE,IF(OR(AJ39=0,ISERROR(AL39),ISERROR(AM39),ISERROR(AN39),ISERROR(AO39)),FALSE,IF(AL39&lt;&gt;"",IF(ISERROR(VLOOKUP(SUBSTITUTE(SUBSTITUTE(C39,"R",""),"A",""),TblJoistSize!$A:$A,1,FALSE)),FALSE,TRUE),TRUE)))</x:f>
        <x:v>0</x:v>
      </x:c>
      <x:c r="AQ39" s="1305" t="e">
        <x:f t="shared" si="27"/>
        <x:v>#N/A</x:v>
      </x:c>
      <x:c r="AR39" s="1305" t="b">
        <x:f t="shared" si="28"/>
        <x:v>0</x:v>
      </x:c>
      <x:c r="AS39" s="1305" t="e">
        <x:f t="shared" si="29"/>
        <x:v>#N/A</x:v>
      </x:c>
      <x:c r="AT39" s="1305" t="b">
        <x:f t="shared" si="30"/>
        <x:v>0</x:v>
      </x:c>
      <x:c r="AU39" s="1203" t="str">
        <x:f t="shared" si="31"/>
        <x:v/>
      </x:c>
      <x:c r="AV39" s="1063" t="str">
        <x:f t="shared" si="32"/>
        <x:v/>
      </x:c>
      <x:c r="AW39" s="1063" t="str">
        <x:f t="shared" si="90"/>
        <x:v/>
      </x:c>
      <x:c r="AX39" s="1063" t="str">
        <x:f t="shared" si="99"/>
        <x:v/>
      </x:c>
      <x:c r="AY39" s="554" t="b">
        <x:f t="shared" si="33"/>
        <x:v>0</x:v>
      </x:c>
      <x:c r="AZ39" s="1090" t="str">
        <x:f t="shared" si="91"/>
        <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IF(CY39="","","X")</x:f>
        <x:v/>
      </x:c>
      <x:c r="CE39" s="935" t="str">
        <x:f>IF(DI39="","","X")</x:f>
        <x:v/>
      </x:c>
      <x:c r="CF39" s="1149"/>
      <x:c r="CG39" s="1150"/>
      <x:c r="CH39" s="792" t="str">
        <x:f t="shared" si="36"/>
        <x:v/>
      </x:c>
      <x:c r="CI39" s="793" t="str">
        <x:f t="shared" si="37"/>
        <x:v/>
      </x:c>
      <x:c r="CJ39" s="794" t="str">
        <x:f t="shared" si="108"/>
        <x:v/>
      </x:c>
      <x:c r="CK39" s="1086" t="str">
        <x:f t="shared" si="38"/>
        <x:v/>
      </x:c>
      <x:c r="CL39" s="1081" t="str">
        <x:f t="shared" si="100"/>
        <x:v/>
      </x:c>
      <x:c r="CM39" s="1082" t="str">
        <x:f t="shared" si="101"/>
        <x:v/>
      </x:c>
      <x:c r="CN39" s="758" t="str">
        <x:f t="shared" si="39"/>
        <x:v/>
      </x:c>
      <x:c r="CO39" s="759" t="str">
        <x:f t="shared" si="40"/>
        <x:v/>
      </x:c>
      <x:c r="CP39" s="762" t="str">
        <x:f t="shared" si="41"/>
        <x:v/>
      </x:c>
      <x:c r="CQ39" s="763" t="str">
        <x:f t="shared" si="42"/>
        <x:v/>
      </x:c>
      <x:c r="CR39" s="953" t="str">
        <x:f t="shared" si="43"/>
        <x:v/>
      </x:c>
      <x:c r="CS39" s="954" t="str">
        <x:f t="shared" si="44"/>
        <x:v/>
      </x:c>
      <x:c r="CU39" s="135" t="str">
        <x:f>IF(BG39="","",VLOOKUP(BG39,SectInfo!$B:$N,12,FALSE))</x:f>
        <x:v/>
      </x:c>
      <x:c r="CV39" s="136" t="str">
        <x:f>IF(BG39="","",IF(ISBLANK(BZ39),VLOOKUP(BG39,SectInfo!$B:$N,13,FALSE),BZ39))</x:f>
        <x:v/>
      </x:c>
      <x:c r="CW39" s="136" t="str">
        <x:f>IF(BG39="","",IF(VLOOKUP(BG39,SectInfo!$B:$N,5,FALSE)="","R",UPPER(VLOOKUP(BG39,SectInfo!$B:$N,5,FALSE))))</x:f>
        <x:v/>
      </x:c>
      <x:c r="CX39" s="1046" t="str">
        <x:f>IF(BG39="","",IF(ISBLANK(CF39),VLOOKUP(BG39,SectInfo!$B:$N,6,FALSE),CF39))</x:f>
        <x:v/>
      </x:c>
      <x:c r="CY39" s="136" t="str">
        <x:f>IF(BG39="","",IF(VLOOKUP(BG39,SectInfo!$B:$N,10,FALSE)="","",(VLOOKUP(BG39,SectInfo!$B:$N,10,FALSE)*-1)))</x:f>
        <x:v/>
      </x:c>
      <x:c r="CZ39" s="1443" t="str">
        <x:f>IF(BG39="","",IF(VLOOKUP(BG39,SectInfo!$B:$N,11,FALSE)="","2",(VLOOKUP(BG39,SectInfo!$B:$N,11,FALSE))))</x:f>
        <x:v/>
      </x:c>
      <x:c r="DA39" s="13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92"/>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27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93"/>
        <x:v>0</x:v>
      </x:c>
      <x:c r="DO39" s="1049">
        <x:f t="shared" si="45"/>
        <x:v>0</x:v>
      </x:c>
      <x:c r="DP39" s="1053" t="str">
        <x:f t="shared" si="46"/>
        <x:v/>
      </x:c>
      <x:c r="DQ39" s="1053" t="str">
        <x:f t="shared" si="47"/>
        <x:v/>
      </x:c>
      <x:c r="DR39" s="1053" t="str">
        <x:f t="shared" si="48"/>
        <x:v/>
      </x:c>
      <x:c r="DS39" s="1052">
        <x:f t="shared" si="49"/>
        <x:v>0</x:v>
      </x:c>
      <x:c r="DT39" s="1052">
        <x:f t="shared" si="105"/>
        <x:v>0</x:v>
      </x:c>
      <x:c r="DU39" s="1052" t="str">
        <x:f t="shared" si="106"/>
        <x:v/>
      </x:c>
      <x:c r="DV39" s="1053" t="str">
        <x:f t="shared" si="50"/>
        <x:v/>
      </x:c>
      <x:c r="DW39" s="1053" t="str">
        <x:f t="shared" si="51"/>
        <x:v/>
      </x:c>
      <x:c r="DX39" s="1269">
        <x:f t="shared" si="94"/>
        <x:v>0</x:v>
      </x:c>
      <x:c r="DY39" s="1053">
        <x:f t="shared" si="95"/>
        <x:v>0</x:v>
      </x:c>
      <x:c r="DZ39" s="1052">
        <x:f t="shared" si="107"/>
        <x:v>0</x:v>
      </x:c>
      <x:c r="EA39" s="1052" t="str">
        <x:f t="shared" si="96"/>
        <x:v/>
      </x:c>
      <x:c r="EB39" s="1053" t="str">
        <x:f t="shared" si="52"/>
        <x:v/>
      </x:c>
      <x:c r="EC39" s="1053" t="str">
        <x:f t="shared" si="53"/>
        <x:v/>
      </x:c>
      <x:c r="ED39" s="1269">
        <x:f t="shared" si="97"/>
        <x:v>0</x:v>
      </x:c>
      <x:c r="EE39" s="1090" t="str">
        <x:f t="shared" si="102"/>
        <x:v/>
      </x:c>
      <x:c r="EF39" s="1053" t="str">
        <x:f t="shared" si="54"/>
        <x:v/>
      </x:c>
      <x:c r="EG39" s="1053" t="str">
        <x:f t="shared" si="55"/>
        <x:v/>
      </x:c>
      <x:c r="EH39" s="1053" t="e">
        <x:f t="shared" si="56"/>
        <x:v>#N/A</x:v>
      </x:c>
      <x:c r="EI39" s="1053" t="e">
        <x:f t="shared" si="57"/>
        <x:v>#N/A</x:v>
      </x:c>
      <x:c r="EJ39" s="1053" t="str">
        <x:f t="shared" si="58"/>
        <x:v/>
      </x:c>
      <x:c r="EK39" s="1053" t="str">
        <x:f t="shared" si="58"/>
        <x:v/>
      </x:c>
      <x:c r="EL39" s="1090" t="str">
        <x:f t="shared" si="103"/>
        <x:v/>
      </x:c>
      <x:c r="EM39" s="1053" t="str">
        <x:f t="shared" si="59"/>
        <x:v/>
      </x:c>
      <x:c r="EN39" s="1053" t="str">
        <x:f t="shared" si="60"/>
        <x:v/>
      </x:c>
      <x:c r="EO39" s="1053" t="e">
        <x:f t="shared" si="61"/>
        <x:v>#N/A</x:v>
      </x:c>
      <x:c r="EP39" s="1053" t="e">
        <x:f t="shared" si="62"/>
        <x:v>#N/A</x:v>
      </x:c>
      <x:c r="EQ39" s="1053" t="str">
        <x:f t="shared" si="63"/>
        <x:v/>
      </x:c>
      <x:c r="ER39" s="1053" t="str">
        <x:f t="shared" si="63"/>
        <x:v/>
      </x:c>
      <x:c r="ES39" s="1053" t="str">
        <x:f t="shared" si="64"/>
        <x:v/>
      </x:c>
      <x:c r="ET39" s="1053" t="str">
        <x:f t="shared" si="65"/>
        <x:v/>
      </x:c>
      <x:c r="EU39" s="1061" t="str">
        <x:f t="shared" si="66"/>
        <x:v/>
      </x:c>
      <x:c r="EV39" s="1055" t="str">
        <x:f t="shared" si="109"/>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6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68"/>
        <x:v/>
      </x:c>
      <x:c r="FD39" s="1053">
        <x:f t="shared" si="69"/>
        <x:v>0</x:v>
      </x:c>
      <x:c r="FE39" s="1053">
        <x:f t="shared" si="70"/>
        <x:v>0</x:v>
      </x:c>
      <x:c r="FF39" s="1052">
        <x:f t="shared" si="71"/>
        <x:v>0</x:v>
      </x:c>
      <x:c r="FG39" s="1052" t="str">
        <x:f t="shared" si="72"/>
        <x:v/>
      </x:c>
      <x:c r="FH39" s="1053" t="str">
        <x:f t="shared" si="73"/>
        <x:v/>
      </x:c>
      <x:c r="FI39" s="1053">
        <x:f t="shared" si="74"/>
        <x:v>0</x:v>
      </x:c>
      <x:c r="FJ39" s="1053">
        <x:f t="shared" si="75"/>
        <x:v>0</x:v>
      </x:c>
      <x:c r="FK39" s="1052">
        <x:f t="shared" si="76"/>
        <x:v>0</x:v>
      </x:c>
      <x:c r="FL39" s="1052" t="str">
        <x:f t="shared" si="77"/>
        <x:v/>
      </x:c>
      <x:c r="FM39" s="1053" t="str">
        <x:f t="shared" si="78"/>
        <x:v/>
      </x:c>
      <x:c r="FN39" s="1053" t="e">
        <x:f t="shared" si="98"/>
        <x:v>#VALUE!</x:v>
      </x:c>
      <x:c r="FO39" s="1062" t="e">
        <x:f t="shared" si="79"/>
        <x:v>#VALUE!</x:v>
      </x:c>
      <x:c r="FP39" s="1062" t="e">
        <x:f t="shared" si="80"/>
        <x:v>#VALUE!</x:v>
      </x:c>
      <x:c r="FQ39" s="1063" t="e">
        <x:f t="shared" si="81"/>
        <x:v>#VALUE!</x:v>
      </x:c>
      <x:c r="FR39" s="1064" t="e">
        <x:f t="shared" si="82"/>
        <x:v>#VALUE!</x:v>
      </x:c>
      <x:c r="FS39" s="1065" t="str">
        <x:f t="shared" si="83"/>
        <x:v/>
      </x:c>
      <x:c r="FT39" s="1066" t="str">
        <x:f t="shared" si="84"/>
        <x:v/>
      </x:c>
      <x:c r="FU39" s="1105">
        <x:f t="shared" si="85"/>
        <x:v>0</x:v>
      </x:c>
      <x:c r="FV39" s="1106">
        <x:f t="shared" si="86"/>
        <x:v>0</x:v>
      </x:c>
      <x:c r="GA39" s="1975" t="str">
        <x:f t="shared" ref="GA39:GA40" si="119">IF(GF39="","",BE39)</x:f>
        <x:v/>
      </x:c>
      <x:c r="GB39" s="1976" t="str">
        <x:f t="shared" ref="GB39:GB40" si="120">IF(GF39="","",BF39)</x:f>
        <x:v/>
      </x:c>
      <x:c r="GC39" s="1977" t="str">
        <x:f t="shared" ref="GC39:GC40" si="121">IF(GF39="","",IF(CV39="",0,CV39))</x:f>
        <x:v/>
      </x:c>
      <x:c r="GD39" s="1978" t="str">
        <x:f t="shared" ref="GD39:GD40" si="122">IF(GF39="","",IF(DF39="",0,DF39))</x:f>
        <x:v/>
      </x:c>
      <x:c r="GE39" s="1979" t="str">
        <x:f t="shared" si="104"/>
        <x:v/>
      </x:c>
      <x:c r="GF39" s="1980" t="str">
        <x:f t="shared" si="87"/>
        <x:v/>
      </x:c>
      <x:c r="GG39" s="1453"/>
      <x:c r="GH39" s="1454"/>
      <x:c r="GI39" s="1453"/>
      <x:c r="GJ39" s="1454"/>
      <x:c r="GK39" s="1407">
        <x:f t="shared" si="88"/>
        <x:v>0</x:v>
      </x:c>
      <x:c r="GL39" s="1407" t="e">
        <x:f t="shared" si="89"/>
        <x:v>#VALUE!</x:v>
      </x:c>
      <x:c r="GM39" s="1408" t="e">
        <x:f>IF(ABS(GK39-GL39)&gt;='Job Info.'!$L$22,ABS(GK39-GL39),0)</x:f>
        <x:v>#VALUE!</x:v>
      </x:c>
      <x:c r="GZ39" s="497"/>
      <x:c r="HA39" s="1640"/>
      <x:c r="HB39" s="1641"/>
      <x:c r="HC39" s="1641"/>
      <x:c r="HD39" s="1642"/>
      <x:c r="HE39" s="1643"/>
      <x:c r="HF39" s="1641"/>
      <x:c r="HG39" s="1641"/>
      <x:c r="HH39" s="1641"/>
      <x:c r="HI39" s="1644"/>
      <x:c r="HJ39" s="1641"/>
      <x:c r="HK39" s="1641"/>
      <x:c r="HL39" s="1641"/>
      <x:c r="HM39" s="1641"/>
      <x:c r="HN39" s="1641"/>
      <x:c r="HO39" s="1641"/>
      <x:c r="HP39" s="1641"/>
      <x:c r="HQ39" s="1644"/>
      <x:c r="HR39" s="1641"/>
      <x:c r="HS39" s="1641"/>
      <x:c r="HT39" s="1641"/>
      <x:c r="HU39" s="1641"/>
      <x:c r="HV39" s="1641"/>
      <x:c r="HW39" s="1643"/>
      <x:c r="HX39" s="1643"/>
      <x:c r="HY39" s="1643"/>
      <x:c r="HZ39" s="1643"/>
      <x:c r="IA39" s="1643"/>
      <x:c r="IB39" s="1643"/>
      <x:c r="IC39" s="1643"/>
      <x:c r="ID39" s="1643"/>
      <x:c r="IE39" s="1643"/>
      <x:c r="IF39" s="1645"/>
      <x:c r="IG39" s="497"/>
      <x:c r="IH39" s="497"/>
      <x:c r="II39" s="497"/>
    </x:row>
    <x:row r="40" spans="1:243" ht="12.6" customHeight="1" thickBot="1" x14ac:dyDescent="0.3">
      <x:c r="A40" s="2124" t="str">
        <x:f>IF(BB40="","",UPPER(BB40))</x:f>
        <x:v/>
      </x:c>
      <x:c r="B40" s="2160"/>
      <x:c r="C40" s="2160" t="str">
        <x:f>IF(BD40="","",UPPER(BD40))</x:f>
        <x:v/>
      </x:c>
      <x:c r="D40" s="2126" t="str">
        <x:f>IF(DP40="","",TRUNC(DP40/12))</x:f>
        <x:v/>
      </x:c>
      <x:c r="E40" s="2161" t="str">
        <x:f>IF(DP40="","",DP40-(D40*12))</x:f>
        <x:v/>
      </x:c>
      <x:c r="F40" s="2134" t="str">
        <x:f>IF(DX40=0,"",TRUNC(DX40/12))</x:f>
        <x:v/>
      </x:c>
      <x:c r="G40" s="2127" t="str">
        <x:f>IF(DX40=0,"",DX40-(F40*12))</x:f>
        <x:v/>
      </x:c>
      <x:c r="H40" s="2162" t="str">
        <x:f>IF(DX40=0,"",CW40)</x:f>
        <x:v/>
      </x:c>
      <x:c r="I40" s="2126" t="str">
        <x:f>IF(ED40=0,"",TRUNC(ED40/12))</x:f>
        <x:v/>
      </x:c>
      <x:c r="J40" s="2127" t="str">
        <x:f>IF(ED40=0,"",ED40-(I40*12))</x:f>
        <x:v/>
      </x:c>
      <x:c r="K40" s="2163" t="str">
        <x:f>IF(ED40=0,"",DG40)</x:f>
        <x:v/>
      </x:c>
      <x:c r="L40" s="2132" t="str">
        <x:f>DQ40</x:f>
        <x:v/>
      </x:c>
      <x:c r="M40" s="2158" t="str">
        <x:f>DR40</x:f>
        <x:v/>
      </x:c>
      <x:c r="N40" s="2134" t="str">
        <x:f>IF(ES40="","",IF(AND(ES40&lt;0,ES40&gt;-12),TRUNC(ES40/12)-0.0000001,TRUNC(ES40/12)))</x:f>
        <x:v/>
      </x:c>
      <x:c r="O40" s="2127" t="str">
        <x:f>IF(ES40="","",IF(AND(ES40-(N40*12)=0,ES40&lt;0),-0.000001,ES40-(N40*12)))</x:f>
        <x:v/>
      </x:c>
      <x:c r="P40" s="2125" t="str">
        <x:f>IF(ES40="","",CZ40)</x:f>
        <x:v/>
      </x:c>
      <x:c r="Q40" s="2126" t="str">
        <x:f>IF(ET40="","",IF(AND(ET40&lt;0,ET40&gt;-12),TRUNC(ET40/12)-0.0000001,TRUNC(ET40/12)))</x:f>
        <x:v/>
      </x:c>
      <x:c r="R40" s="2127" t="str">
        <x:f>IF(ET40="","",IF(AND(ET40-(Q40*12)=0,ET40&lt;0),-0.000001,ET40-(Q40*12)))</x:f>
        <x:v/>
      </x:c>
      <x:c r="S40" s="2136" t="str">
        <x:f>IF(ET40="","",DJ40)</x:f>
        <x:v/>
      </x:c>
      <x:c r="T40" s="2134" t="str">
        <x:f>IF(CH40="ERR","",IF(EK40="","",IF(EK40="ERR",TRUNC(EJ40/12),TRUNC(EK40/12))))</x:f>
        <x:v/>
      </x:c>
      <x:c r="U40" s="2127" t="str">
        <x:f>IF(CH40="ERR","",IF(EK40="","",IF(EK40="ERR",EJ40-(T40*12),EK40-(T40*12))))</x:f>
        <x:v/>
      </x:c>
      <x:c r="V40" s="2126" t="str">
        <x:f>IF(CI40="ERR","",IF(ER40="","",IF(ER40="ERR",TRUNC(EQ40/12),TRUNC(ER40/12))))</x:f>
        <x:v/>
      </x:c>
      <x:c r="W40" s="2127" t="str">
        <x:f>IF(CI40="ERR","",IF(ER40="","",IF(ER40="ERR",EQ40-(V40*12),ER40-(V40*12))))</x:f>
        <x:v/>
      </x:c>
      <x:c r="X40" s="2131">
        <x:f>IF(EV40="",0,EV40)</x:f>
        <x:v>0</x:v>
      </x:c>
      <x:c r="Y40" s="2164" t="str">
        <x:f>FG40</x:f>
        <x:v/>
      </x:c>
      <x:c r="Z40" s="2165" t="str">
        <x:f>FL40</x:f>
        <x:v/>
      </x:c>
      <x:c r="AA40" s="2159"/>
      <x:c r="AC40" s="1226" t="b">
        <x:v>0</x:v>
      </x:c>
      <x:c r="AD40" s="525">
        <x:f t="shared" si="17"/>
        <x:v>0</x:v>
      </x:c>
      <x:c r="AE40" s="526">
        <x:f t="shared" si="18"/>
        <x:v>0</x:v>
      </x:c>
      <x:c r="AF40" s="526">
        <x:f t="shared" si="19"/>
        <x:v>0</x:v>
      </x:c>
      <x:c r="AG40" s="526">
        <x:f t="shared" si="20"/>
        <x:v>0</x:v>
      </x:c>
      <x:c r="AH40" s="527">
        <x:f t="shared" si="21"/>
        <x:v>0</x:v>
      </x:c>
      <x:c r="AI40" s="528" t="b">
        <x:v>0</x:v>
      </x:c>
      <x:c r="AJ40" s="284">
        <x:f t="shared" si="110"/>
        <x:v>0</x:v>
      </x:c>
      <x:c r="AK40" s="284" t="str">
        <x:f t="shared" si="22"/>
        <x:v/>
      </x:c>
      <x:c r="AL40" s="1202" t="str">
        <x:f t="shared" si="23"/>
        <x:v/>
      </x:c>
      <x:c r="AM40" s="284" t="str">
        <x:f t="shared" si="24"/>
        <x:v/>
      </x:c>
      <x:c r="AN40" s="284" t="str">
        <x:f t="shared" si="25"/>
        <x:v/>
      </x:c>
      <x:c r="AO40" s="284" t="str">
        <x:f t="shared" si="26"/>
        <x:v/>
      </x:c>
      <x:c r="AP40" s="1063" t="b">
        <x:f>IF(ISERROR(AJ40),FALSE,IF(OR(AJ40=0,ISERROR(AL40),ISERROR(AM40),ISERROR(AN40),ISERROR(AO40)),FALSE,IF(AL40&lt;&gt;"",IF(ISERROR(VLOOKUP(SUBSTITUTE(SUBSTITUTE(C40,"R",""),"A",""),TblJoistSize!$A:$A,1,FALSE)),FALSE,TRUE),TRUE)))</x:f>
        <x:v>0</x:v>
      </x:c>
      <x:c r="AQ40" s="1305" t="e">
        <x:f t="shared" si="27"/>
        <x:v>#N/A</x:v>
      </x:c>
      <x:c r="AR40" s="1305" t="b">
        <x:f t="shared" si="28"/>
        <x:v>0</x:v>
      </x:c>
      <x:c r="AS40" s="1305" t="e">
        <x:f t="shared" si="29"/>
        <x:v>#N/A</x:v>
      </x:c>
      <x:c r="AT40" s="1305" t="b">
        <x:f t="shared" si="30"/>
        <x:v>0</x:v>
      </x:c>
      <x:c r="AU40" s="1203" t="str">
        <x:f t="shared" si="31"/>
        <x:v/>
      </x:c>
      <x:c r="AV40" s="1063" t="str">
        <x:f t="shared" si="32"/>
        <x:v/>
      </x:c>
      <x:c r="AW40" s="1063" t="str">
        <x:f t="shared" si="90"/>
        <x:v/>
      </x:c>
      <x:c r="AX40" s="1063" t="str">
        <x:f t="shared" si="99"/>
        <x:v/>
      </x:c>
      <x:c r="AY40" s="554" t="b">
        <x:f t="shared" si="33"/>
        <x:v>0</x:v>
      </x:c>
      <x:c r="AZ40" s="1090" t="str">
        <x:f t="shared" si="91"/>
        <x:v/>
      </x:c>
      <x:c r="BA40" s="674"/>
      <x:c r="BB40" s="854"/>
      <x:c r="BC40" s="895"/>
      <x:c r="BD40" s="1038"/>
      <x:c r="BE40" s="1039"/>
      <x:c r="BF40" s="1040"/>
      <x:c r="BG40" s="907"/>
      <x:c r="BH40" s="1247"/>
      <x:c r="BI40" s="1248"/>
      <x:c r="BJ40" s="936"/>
      <x:c r="BK40" s="908"/>
      <x:c r="BL40" s="909"/>
      <x:c r="BM40" s="910"/>
      <x:c r="BN40" s="911"/>
      <x:c r="BO40" s="907"/>
      <x:c r="BP40" s="908"/>
      <x:c r="BQ40" s="909"/>
      <x:c r="BR40" s="936"/>
      <x:c r="BS40" s="908"/>
      <x:c r="BT40" s="909"/>
      <x:c r="BU40" s="910"/>
      <x:c r="BV40" s="911"/>
      <x:c r="BW40" s="912"/>
      <x:c r="BX40" s="937"/>
      <x:c r="BY40" s="938"/>
      <x:c r="BZ40" s="939"/>
      <x:c r="CA40" s="940"/>
      <x:c r="CB40" s="939"/>
      <x:c r="CC40" s="940"/>
      <x:c r="CD40" s="941" t="str">
        <x:f>IF(CY40="","","X")</x:f>
        <x:v/>
      </x:c>
      <x:c r="CE40" s="942" t="str">
        <x:f>IF(DI40="","","X")</x:f>
        <x:v/>
      </x:c>
      <x:c r="CF40" s="1151"/>
      <x:c r="CG40" s="1152"/>
      <x:c r="CH40" s="1032" t="str">
        <x:f t="shared" si="36"/>
        <x:v/>
      </x:c>
      <x:c r="CI40" s="1033" t="str">
        <x:f t="shared" si="37"/>
        <x:v/>
      </x:c>
      <x:c r="CJ40" s="1034" t="str">
        <x:f t="shared" si="108"/>
        <x:v/>
      </x:c>
      <x:c r="CK40" s="1087" t="str">
        <x:f t="shared" si="38"/>
        <x:v/>
      </x:c>
      <x:c r="CL40" s="1083" t="str">
        <x:f t="shared" si="100"/>
        <x:v/>
      </x:c>
      <x:c r="CM40" s="1084" t="str">
        <x:f t="shared" si="101"/>
        <x:v/>
      </x:c>
      <x:c r="CN40" s="1035" t="str">
        <x:f t="shared" si="39"/>
        <x:v/>
      </x:c>
      <x:c r="CO40" s="1036" t="str">
        <x:f t="shared" si="40"/>
        <x:v/>
      </x:c>
      <x:c r="CP40" s="764" t="str">
        <x:f t="shared" si="41"/>
        <x:v/>
      </x:c>
      <x:c r="CQ40" s="765" t="str">
        <x:f t="shared" si="42"/>
        <x:v/>
      </x:c>
      <x:c r="CR40" s="955" t="str">
        <x:f t="shared" si="43"/>
        <x:v/>
      </x:c>
      <x:c r="CS40" s="956" t="str">
        <x:f t="shared" si="44"/>
        <x:v/>
      </x:c>
      <x:c r="CU40" s="251" t="str">
        <x:f>IF(BG40="","",VLOOKUP(BG40,SectInfo!$B:$N,12,FALSE))</x:f>
        <x:v/>
      </x:c>
      <x:c r="CV40" s="252" t="str">
        <x:f>IF(BG40="","",IF(ISBLANK(BZ40),VLOOKUP(BG40,SectInfo!$B:$N,13,FALSE),BZ40))</x:f>
        <x:v/>
      </x:c>
      <x:c r="CW40" s="252" t="str">
        <x:f>IF(BG40="","",IF(VLOOKUP(BG40,SectInfo!$B:$N,5,FALSE)="","R",UPPER(VLOOKUP(BG40,SectInfo!$B:$N,5,FALSE))))</x:f>
        <x:v/>
      </x:c>
      <x:c r="CX40" s="1067" t="str">
        <x:f>IF(BG40="","",IF(ISBLANK(CF40),VLOOKUP(BG40,SectInfo!$B:$N,6,FALSE),CF40))</x:f>
        <x:v/>
      </x:c>
      <x:c r="CY40" s="252" t="str">
        <x:f>IF(BG40="","",IF(VLOOKUP(BG40,SectInfo!$B:$N,10,FALSE)="","",(VLOOKUP(BG40,SectInfo!$B:$N,10,FALSE)*-1)))</x:f>
        <x:v/>
      </x:c>
      <x:c r="CZ40" s="1444" t="str">
        <x:f>IF(BG40="","",IF(VLOOKUP(BG40,SectInfo!$B:$N,11,FALSE)="","2",(VLOOKUP(BG40,SectInfo!$B:$N,11,FALSE))))</x:f>
        <x:v/>
      </x:c>
      <x:c r="DA40" s="252" t="str">
        <x:f>IF(BG40="","",IF(VLOOKUP(BG40,SectInfo!$B:$N,7,FALSE)="","",(VLOOKUP(BG40,SectInfo!$B:$N,7,FALSE)*-1)))</x:f>
        <x:v/>
      </x:c>
      <x:c r="DB40" s="1067" t="str">
        <x:f>IF(BG40="","",IF(VLOOKUP(BG40,SectInfo!$B:$N,8,FALSE)="",VLOOKUP(AU40,$DF$2:$DN$9,6,FALSE),(VLOOKUP(BG40,SectInfo!$B:$N,8,FALSE))))</x:f>
        <x:v/>
      </x:c>
      <x:c r="DC40" s="1067" t="str">
        <x:f>IF(BG40="","",VLOOKUP(BG40,SectInfo!$B:$N,9,FALSE))</x:f>
        <x:v/>
      </x:c>
      <x:c r="DD40" s="1068">
        <x:f t="shared" si="92"/>
        <x:v>0</x:v>
      </x:c>
      <x:c r="DE40" s="1069" t="str">
        <x:f>IF(BO40="","",VLOOKUP(BO40,SectInfo!$B:$N,12,FALSE))</x:f>
        <x:v/>
      </x:c>
      <x:c r="DF40" s="1067" t="str">
        <x:f>IF(BO40="","",IF(ISBLANK(CA40),VLOOKUP(BO40,SectInfo!$B:$N,13,FALSE),CA40))</x:f>
        <x:v/>
      </x:c>
      <x:c r="DG40" s="1067" t="str">
        <x:f>IF(BO40="","",IF(VLOOKUP(BO40,SectInfo!$B:$N,5,FALSE)="","R",UPPER(VLOOKUP(BO40,SectInfo!$B:$N,5,FALSE))))</x:f>
        <x:v/>
      </x:c>
      <x:c r="DH40" s="1067" t="str">
        <x:f>IF(BO40="","",IF(ISBLANK(CG40),VLOOKUP(BO40,SectInfo!$B:$N,6,FALSE),CG40))</x:f>
        <x:v/>
      </x:c>
      <x:c r="DI40" s="1277" t="str">
        <x:f>IF(BO40="","",IF(VLOOKUP(BO40,SectInfo!$B:$N,10,FALSE)="","",(VLOOKUP(BO40,SectInfo!$B:$N,10,FALSE)*-1)))</x:f>
        <x:v/>
      </x:c>
      <x:c r="DJ40" s="1444" t="str">
        <x:f>IF(BO40="","",IF(VLOOKUP(BO40,SectInfo!$B:$N,11,FALSE)="","2",(VLOOKUP(BO40,SectInfo!$B:$N,11,FALSE))))</x:f>
        <x:v/>
      </x:c>
      <x:c r="DK40" s="1067" t="str">
        <x:f>IF(BO40="","",IF(VLOOKUP(BO40,SectInfo!$B:$N,7,FALSE)="","",(VLOOKUP(BO40,SectInfo!$B:$N,7,FALSE)*-1)))</x:f>
        <x:v/>
      </x:c>
      <x:c r="DL40" s="1067" t="str">
        <x:f>IF(BO40="","",IF(VLOOKUP(BO40,SectInfo!$B:$N,8,FALSE)="",VLOOKUP(AU40,$DF$2:$DN$9,6,FALSE),(VLOOKUP(BO40,SectInfo!$B:$N,8,FALSE))))</x:f>
        <x:v/>
      </x:c>
      <x:c r="DM40" s="1067" t="str">
        <x:f>IF(BO40="","",VLOOKUP(BO40,SectInfo!$B:$N,9,FALSE))</x:f>
        <x:v/>
      </x:c>
      <x:c r="DN40" s="1068">
        <x:f t="shared" si="93"/>
        <x:v>0</x:v>
      </x:c>
      <x:c r="DO40" s="1070">
        <x:f t="shared" si="45"/>
        <x:v>0</x:v>
      </x:c>
      <x:c r="DP40" s="1071" t="str">
        <x:f t="shared" si="46"/>
        <x:v/>
      </x:c>
      <x:c r="DQ40" s="1071" t="str">
        <x:f t="shared" si="47"/>
        <x:v/>
      </x:c>
      <x:c r="DR40" s="1071" t="str">
        <x:f t="shared" si="48"/>
        <x:v/>
      </x:c>
      <x:c r="DS40" s="1072">
        <x:f t="shared" si="49"/>
        <x:v>0</x:v>
      </x:c>
      <x:c r="DT40" s="1072">
        <x:f t="shared" si="105"/>
        <x:v>0</x:v>
      </x:c>
      <x:c r="DU40" s="1072" t="str">
        <x:f t="shared" si="106"/>
        <x:v/>
      </x:c>
      <x:c r="DV40" s="1071" t="str">
        <x:f t="shared" si="50"/>
        <x:v/>
      </x:c>
      <x:c r="DW40" s="1071" t="str">
        <x:f t="shared" si="51"/>
        <x:v/>
      </x:c>
      <x:c r="DX40" s="1270">
        <x:f t="shared" si="94"/>
        <x:v>0</x:v>
      </x:c>
      <x:c r="DY40" s="1071">
        <x:f t="shared" si="95"/>
        <x:v>0</x:v>
      </x:c>
      <x:c r="DZ40" s="1072">
        <x:f t="shared" si="107"/>
        <x:v>0</x:v>
      </x:c>
      <x:c r="EA40" s="1072" t="str">
        <x:f t="shared" si="96"/>
        <x:v/>
      </x:c>
      <x:c r="EB40" s="1071" t="str">
        <x:f t="shared" si="52"/>
        <x:v/>
      </x:c>
      <x:c r="EC40" s="1071" t="str">
        <x:f t="shared" si="53"/>
        <x:v/>
      </x:c>
      <x:c r="ED40" s="1270">
        <x:f t="shared" si="97"/>
        <x:v>0</x:v>
      </x:c>
      <x:c r="EE40" s="1450" t="str">
        <x:f t="shared" si="102"/>
        <x:v/>
      </x:c>
      <x:c r="EF40" s="1071" t="str">
        <x:f t="shared" si="54"/>
        <x:v/>
      </x:c>
      <x:c r="EG40" s="1071" t="str">
        <x:f t="shared" si="55"/>
        <x:v/>
      </x:c>
      <x:c r="EH40" s="1071" t="e">
        <x:f t="shared" si="56"/>
        <x:v>#N/A</x:v>
      </x:c>
      <x:c r="EI40" s="1071" t="e">
        <x:f t="shared" si="57"/>
        <x:v>#N/A</x:v>
      </x:c>
      <x:c r="EJ40" s="1071" t="str">
        <x:f t="shared" si="58"/>
        <x:v/>
      </x:c>
      <x:c r="EK40" s="1071" t="str">
        <x:f t="shared" si="58"/>
        <x:v/>
      </x:c>
      <x:c r="EL40" s="1450" t="str">
        <x:f t="shared" si="103"/>
        <x:v/>
      </x:c>
      <x:c r="EM40" s="1071" t="str">
        <x:f t="shared" si="59"/>
        <x:v/>
      </x:c>
      <x:c r="EN40" s="1071" t="str">
        <x:f t="shared" si="60"/>
        <x:v/>
      </x:c>
      <x:c r="EO40" s="1071" t="e">
        <x:f t="shared" si="61"/>
        <x:v>#N/A</x:v>
      </x:c>
      <x:c r="EP40" s="1071" t="e">
        <x:f t="shared" si="62"/>
        <x:v>#N/A</x:v>
      </x:c>
      <x:c r="EQ40" s="1071" t="str">
        <x:f t="shared" si="63"/>
        <x:v/>
      </x:c>
      <x:c r="ER40" s="1071" t="str">
        <x:f t="shared" si="63"/>
        <x:v/>
      </x:c>
      <x:c r="ES40" s="1071" t="str">
        <x:f t="shared" si="64"/>
        <x:v/>
      </x:c>
      <x:c r="ET40" s="1071" t="str">
        <x:f t="shared" si="65"/>
        <x:v/>
      </x:c>
      <x:c r="EU40" s="1073" t="str">
        <x:f t="shared" si="66"/>
        <x:v/>
      </x:c>
      <x:c r="EV40" s="1214" t="str">
        <x:f t="shared" si="109"/>
        <x:v/>
      </x:c>
      <x:c r="EW40" s="1073"/>
      <x:c r="EX40" s="1073" t="str">
        <x:f>IF(AND(CU40="G", ISBLANK(BK40), ISBLANK(BL40)),VLOOKUP(MIN(BH40:BI40),TblJoistSize!$M$3:$N$10,2),IF(OR(CU40="B",CU40="G"),MIN(BK40:BL40),""))</x:f>
        <x:v/>
      </x:c>
      <x:c r="EY40" s="1073" t="str">
        <x:f>IF(AND(CU40="G", ISBLANK(BK40), ISBLANK(BL40)),VLOOKUP(MAX(BH40:BI40),TblJoistSize!$M$3:$N$10,2),IF(OR(CU40="B",CU40="G"),MAX(BK40:BL40),""))</x:f>
        <x:v/>
      </x:c>
      <x:c r="EZ40" s="1073" t="str">
        <x:f t="shared" si="67"/>
        <x:v/>
      </x:c>
      <x:c r="FA40" s="1073" t="str">
        <x:f>IF(AND(DE40="G", ISBLANK(BS40), ISBLANK(BT40)),VLOOKUP(MIN(BP40:BQ40),TblJoistSize!$M$3:$N$10,2),IF(OR(DE40="B", DE40="G"),MIN(BS40:BT40),""))</x:f>
        <x:v/>
      </x:c>
      <x:c r="FB40" s="1073" t="str">
        <x:f>IF(AND(DE40="G", ISBLANK(BS40), ISBLANK(BT40)),VLOOKUP(MAX(BP40:BQ40),TblJoistSize!$M$3:$N$10,2),IF(OR(DE40="B", DE40="G"),MAX(BS40:BT40),""))</x:f>
        <x:v/>
      </x:c>
      <x:c r="FC40" s="1073" t="str">
        <x:f t="shared" si="68"/>
        <x:v/>
      </x:c>
      <x:c r="FD40" s="1071">
        <x:f t="shared" si="69"/>
        <x:v>0</x:v>
      </x:c>
      <x:c r="FE40" s="1071">
        <x:f t="shared" si="70"/>
        <x:v>0</x:v>
      </x:c>
      <x:c r="FF40" s="1072">
        <x:f t="shared" si="71"/>
        <x:v>0</x:v>
      </x:c>
      <x:c r="FG40" s="1072" t="str">
        <x:f t="shared" si="72"/>
        <x:v/>
      </x:c>
      <x:c r="FH40" s="1071" t="str">
        <x:f t="shared" si="73"/>
        <x:v/>
      </x:c>
      <x:c r="FI40" s="1071">
        <x:f t="shared" si="74"/>
        <x:v>0</x:v>
      </x:c>
      <x:c r="FJ40" s="1071">
        <x:f t="shared" si="75"/>
        <x:v>0</x:v>
      </x:c>
      <x:c r="FK40" s="1072">
        <x:f t="shared" si="76"/>
        <x:v>0</x:v>
      </x:c>
      <x:c r="FL40" s="1072" t="str">
        <x:f t="shared" si="77"/>
        <x:v/>
      </x:c>
      <x:c r="FM40" s="1071" t="str">
        <x:f t="shared" si="78"/>
        <x:v/>
      </x:c>
      <x:c r="FN40" s="1071" t="e">
        <x:f t="shared" si="98"/>
        <x:v>#VALUE!</x:v>
      </x:c>
      <x:c r="FO40" s="1074" t="e">
        <x:f t="shared" si="79"/>
        <x:v>#VALUE!</x:v>
      </x:c>
      <x:c r="FP40" s="1074" t="e">
        <x:f t="shared" si="80"/>
        <x:v>#VALUE!</x:v>
      </x:c>
      <x:c r="FQ40" s="1075" t="e">
        <x:f t="shared" si="81"/>
        <x:v>#VALUE!</x:v>
      </x:c>
      <x:c r="FR40" s="1076" t="e">
        <x:f t="shared" si="82"/>
        <x:v>#VALUE!</x:v>
      </x:c>
      <x:c r="FS40" s="1077" t="str">
        <x:f t="shared" si="83"/>
        <x:v/>
      </x:c>
      <x:c r="FT40" s="1078" t="str">
        <x:f t="shared" si="84"/>
        <x:v/>
      </x:c>
      <x:c r="FU40" s="1274">
        <x:f t="shared" si="85"/>
        <x:v>0</x:v>
      </x:c>
      <x:c r="FV40" s="1275">
        <x:f t="shared" si="86"/>
        <x:v>0</x:v>
      </x:c>
      <x:c r="GA40" s="1975" t="str">
        <x:f t="shared" si="119"/>
        <x:v/>
      </x:c>
      <x:c r="GB40" s="1976" t="str">
        <x:f t="shared" si="120"/>
        <x:v/>
      </x:c>
      <x:c r="GC40" s="1977" t="str">
        <x:f t="shared" si="121"/>
        <x:v/>
      </x:c>
      <x:c r="GD40" s="1978" t="str">
        <x:f t="shared" si="122"/>
        <x:v/>
      </x:c>
      <x:c r="GE40" s="1979" t="str">
        <x:f t="shared" si="104"/>
        <x:v/>
      </x:c>
      <x:c r="GF40" s="1980" t="str">
        <x:f t="shared" si="87"/>
        <x:v/>
      </x:c>
      <x:c r="GG40" s="1455"/>
      <x:c r="GH40" s="1456"/>
      <x:c r="GI40" s="1455"/>
      <x:c r="GJ40" s="1456"/>
      <x:c r="GK40" s="1407">
        <x:f t="shared" si="88"/>
        <x:v>0</x:v>
      </x:c>
      <x:c r="GL40" s="1407" t="e">
        <x:f t="shared" si="89"/>
        <x:v>#VALUE!</x:v>
      </x:c>
      <x:c r="GM40" s="1408" t="e">
        <x:f>IF(ABS(GK40-GL40)&gt;='Job Info.'!$L$22,ABS(GK40-GL40),0)</x:f>
        <x:v>#VALUE!</x:v>
      </x:c>
      <x:c r="GZ40" s="497"/>
      <x:c r="HA40" s="1646"/>
      <x:c r="HB40" s="1647"/>
      <x:c r="HC40" s="1647"/>
      <x:c r="HD40" s="1648"/>
      <x:c r="HE40" s="1649"/>
      <x:c r="HF40" s="1647"/>
      <x:c r="HG40" s="1647"/>
      <x:c r="HH40" s="1647"/>
      <x:c r="HI40" s="1650"/>
      <x:c r="HJ40" s="1647"/>
      <x:c r="HK40" s="1647"/>
      <x:c r="HL40" s="1647"/>
      <x:c r="HM40" s="1647"/>
      <x:c r="HN40" s="1647"/>
      <x:c r="HO40" s="1647"/>
      <x:c r="HP40" s="1647"/>
      <x:c r="HQ40" s="1650"/>
      <x:c r="HR40" s="1647"/>
      <x:c r="HS40" s="1647"/>
      <x:c r="HT40" s="1647"/>
      <x:c r="HU40" s="1647"/>
      <x:c r="HV40" s="1647"/>
      <x:c r="HW40" s="1649"/>
      <x:c r="HX40" s="1649"/>
      <x:c r="HY40" s="1649"/>
      <x:c r="HZ40" s="1649"/>
      <x:c r="IA40" s="1649"/>
      <x:c r="IB40" s="1649"/>
      <x:c r="IC40" s="1649"/>
      <x:c r="ID40" s="1649"/>
      <x:c r="IE40" s="1649"/>
      <x:c r="IF40" s="1651"/>
      <x:c r="IG40" s="497"/>
      <x:c r="IH40" s="497"/>
      <x:c r="II40" s="497"/>
    </x:row>
    <x:row r="41" spans="1:243" ht="15" customHeight="1" thickTop="1" thickBot="1" x14ac:dyDescent="0.25">
      <x:c r="A41" s="552"/>
      <x:c r="B41" s="552"/>
      <x:c r="C41" s="552"/>
      <x:c r="D41" s="552"/>
      <x:c r="E41" s="552"/>
      <x:c r="F41" s="552"/>
      <x:c r="G41" s="552"/>
      <x:c r="H41" s="552"/>
      <x:c r="I41" s="552"/>
      <x:c r="J41" s="552"/>
      <x:c r="K41" s="552"/>
      <x:c r="L41" s="552"/>
      <x:c r="M41" s="552"/>
      <x:c r="N41" s="552"/>
      <x:c r="O41" s="552"/>
      <x:c r="P41" s="552"/>
      <x:c r="Q41" s="552"/>
      <x:c r="R41" s="552"/>
      <x:c r="S41" s="552"/>
      <x:c r="T41" s="552"/>
      <x:c r="U41" s="552"/>
      <x:c r="V41" s="552"/>
      <x:c r="W41" s="552"/>
      <x:c r="X41" s="552"/>
      <x:c r="Y41" s="552"/>
      <x:c r="Z41" s="552"/>
      <x:c r="AA41" s="1467"/>
      <x:c r="AD41" s="539">
        <x:f>SUM(AD23:AD40)</x:f>
        <x:v>0</x:v>
      </x:c>
      <x:c r="AE41" s="540">
        <x:f>SUM(AE23:AE40)</x:f>
        <x:v>0</x:v>
      </x:c>
      <x:c r="AF41" s="540">
        <x:f>SUM(AF23:AF40)</x:f>
        <x:v>0</x:v>
      </x:c>
      <x:c r="AG41" s="540">
        <x:f>SUM(AG23:AG40)</x:f>
        <x:v>0</x:v>
      </x:c>
      <x:c r="AH41" s="541">
        <x:f>SUM(AH23:AH40)</x:f>
        <x:v>0</x:v>
      </x:c>
      <x:c r="BA41" s="449"/>
      <x:c r="BB41" s="449"/>
      <x:c r="BC41" s="449"/>
      <x:c r="BD41" s="449"/>
      <x:c r="BE41" s="449"/>
      <x:c r="BF41" s="449"/>
      <x:c r="BG41" s="449"/>
      <x:c r="BH41" s="449"/>
      <x:c r="BI41" s="449"/>
      <x:c r="BJ41" s="449"/>
      <x:c r="BK41" s="449"/>
      <x:c r="BL41" s="449"/>
      <x:c r="BM41" s="449"/>
      <x:c r="BN41" s="449"/>
      <x:c r="BO41" s="449"/>
      <x:c r="BP41" s="449"/>
      <x:c r="BQ41" s="449"/>
      <x:c r="BR41" s="449"/>
      <x:c r="BS41" s="449"/>
      <x:c r="BT41" s="449"/>
      <x:c r="BU41" s="449"/>
      <x:c r="BV41" s="449"/>
      <x:c r="BW41" s="449"/>
      <x:c r="BX41" s="449"/>
      <x:c r="BY41" s="449"/>
      <x:c r="BZ41" s="449"/>
      <x:c r="CA41" s="449"/>
      <x:c r="CB41" s="449"/>
      <x:c r="CC41" s="449"/>
      <x:c r="CD41" s="449"/>
      <x:c r="CE41" s="449"/>
      <x:c r="CF41" s="449"/>
      <x:c r="CG41" s="449"/>
      <x:c r="CH41" s="449"/>
      <x:c r="CI41" s="449"/>
      <x:c r="CJ41" s="449"/>
      <x:c r="CK41" s="449"/>
      <x:c r="CL41" s="449"/>
      <x:c r="CM41" s="449"/>
      <x:c r="CN41" s="296"/>
      <x:c r="CO41" s="296"/>
      <x:c r="CP41" s="449"/>
      <x:c r="DK41" s="542"/>
      <x:c r="EO41" s="1271"/>
      <x:c r="EP41" s="1271"/>
      <x:c r="FU41" s="542"/>
      <x:c r="FV41" s="542"/>
      <x:c r="GA41" s="542"/>
      <x:c r="GB41" s="542"/>
      <x:c r="GC41" s="542"/>
      <x:c r="GD41" s="542"/>
      <x:c r="GE41" s="542"/>
      <x:c r="GF41" s="542"/>
      <x:c r="HA41" s="289"/>
      <x:c r="HB41" s="289"/>
      <x:c r="HC41" s="289"/>
      <x:c r="HD41" s="290"/>
      <x:c r="HE41" s="299"/>
      <x:c r="HF41" s="289"/>
      <x:c r="HG41" s="289"/>
      <x:c r="HH41" s="289"/>
      <x:c r="HI41" s="289"/>
      <x:c r="HJ41" s="289"/>
      <x:c r="HK41" s="289"/>
      <x:c r="HL41" s="289"/>
      <x:c r="HM41" s="289"/>
      <x:c r="HN41" s="289"/>
      <x:c r="HO41" s="289"/>
      <x:c r="HP41" s="289"/>
      <x:c r="HQ41" s="289"/>
      <x:c r="HR41" s="289"/>
      <x:c r="HS41" s="289"/>
      <x:c r="HT41" s="289"/>
      <x:c r="HU41" s="289"/>
      <x:c r="HV41" s="289"/>
      <x:c r="HW41" s="289"/>
      <x:c r="HX41" s="289"/>
    </x:row>
    <x:row r="42" spans="1:243" ht="15" customHeight="1" x14ac:dyDescent="0.2">
      <x:c r="EB42" s="1294"/>
    </x:row>
    <x:row r="43" spans="1:243" ht="15" customHeight="1" x14ac:dyDescent="0.2">
      <x:c r="AZ43" s="973"/>
      <x:c r="CH43" s="602"/>
      <x:c r="EB43" s="1294"/>
    </x:row>
    <x:row r="44" spans="1:243" ht="15" customHeight="1" x14ac:dyDescent="0.2">
      <x:c r="BP44" s="1294"/>
      <x:c r="DP44" s="297"/>
      <x:c r="DQ44" s="689"/>
      <x:c r="DR44" s="475"/>
      <x:c r="DS44" s="475"/>
    </x:row>
    <x:row r="45" spans="1:243" ht="15" customHeight="1" x14ac:dyDescent="0.2">
      <x:c r="BI45" s="1294"/>
      <x:c r="BP45" s="1294"/>
      <x:c r="BQ45" s="973"/>
    </x:row>
    <x:row r="46" spans="1:243" ht="15" customHeight="1" x14ac:dyDescent="0.2">
      <x:c r="BI46" s="1294"/>
      <x:c r="BP46" s="1294"/>
    </x:row>
    <x:row r="47" spans="1:243" ht="15" customHeight="1" thickBot="1" x14ac:dyDescent="0.25">
      <x:c r="A47" s="1145" t="s">
        <x:v>761</x:v>
      </x:c>
      <x:c r="AD47" s="1144">
        <x:f>SUM(AD41:AH41)</x:f>
        <x:v>0</x:v>
      </x:c>
      <x:c r="BI47" s="1294"/>
      <x:c r="BP47" s="1294"/>
      <x:c r="EK47" s="2734" t="s">
        <x:v>1106</x:v>
      </x:c>
      <x:c r="EL47" s="2735"/>
      <x:c r="EM47" s="2735"/>
      <x:c r="EN47" s="2735"/>
      <x:c r="EO47" s="2735"/>
    </x:row>
    <x:row r="48" spans="1:243" s="1271" customFormat="1" ht="15" hidden="1" customHeight="1" x14ac:dyDescent="0.2">
      <x:c r="AA48" s="1546"/>
      <x:c r="AI48" s="1547"/>
      <x:c r="HD48" s="1548"/>
      <x:c r="HE48" s="1549"/>
    </x:row>
    <x:row r="49" spans="1:192" ht="15" hidden="1" customHeight="1" x14ac:dyDescent="0.2"/>
    <x:row r="50" spans="1:192" ht="11.25" hidden="1" customHeight="1" x14ac:dyDescent="0.2"/>
    <x:row r="51" spans="1:192" ht="11.25" hidden="1" customHeight="1" x14ac:dyDescent="0.2"/>
    <x:row r="52" spans="1:192" ht="15" hidden="1" customHeight="1" x14ac:dyDescent="0.2"/>
    <x:row r="53" spans="1:192" ht="15" hidden="1" customHeight="1" x14ac:dyDescent="0.2"/>
    <x:row r="54" spans="1:192" ht="15" hidden="1" customHeight="1" x14ac:dyDescent="0.2"/>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411" t="str">
        <x:f>IF(DP57="","",DP57-(D57*12))</x:f>
        <x:v/>
      </x:c>
      <x:c r="F57" s="1263" t="str">
        <x:f>IF(DX57=0,"",TRUNC(DX57/12))</x:f>
        <x:v/>
      </x:c>
      <x:c r="G57" s="1262" t="str">
        <x:f>IF(DX57=0,"",DX57-(F57*12))</x:f>
        <x:v/>
      </x:c>
      <x:c r="H57" s="1266" t="str">
        <x:f>IF(DX57=0,"",CW57)</x:f>
        <x:v/>
      </x:c>
      <x:c r="I57" s="1261" t="str">
        <x:f>IF(ED57=0,"",TRUNC(ED57/12))</x:f>
        <x:v/>
      </x:c>
      <x:c r="J57" s="1262" t="str">
        <x:f>IF(ED57=0,"",ED57-(I57*12))</x:f>
        <x:v/>
      </x:c>
      <x:c r="K57" s="1412"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410" t="str">
        <x:f>IF(ET57="","",DJ57)</x:f>
        <x:v/>
      </x:c>
      <x:c r="T57" s="1263"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409">
        <x:f>IF(EV57="",0,EV57)</x:f>
        <x:v>0</x:v>
      </x:c>
      <x:c r="Y57" s="1377">
        <x:f>FG57</x:f>
        <x:v>0</x:v>
      </x:c>
      <x:c r="Z57" s="1378">
        <x:f>FL57</x:f>
        <x:v>0</x:v>
      </x:c>
      <x:c r="AA57" s="1376" t="str">
        <x:f>CONCATENATE(IF(BY57="","",CONCATENATE("[",SUBSTITUTE(BY57," ",""),"]")),IF(BX57="","",CONCATENATE("(",SUBSTITUTE(BX57," ",""),") ")))</x:f>
        <x:v/>
      </x:c>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1224</x:v>
      </x:c>
    </x:row>
    <x:row r="61" spans="1:192" ht="15" hidden="1" customHeight="1" x14ac:dyDescent="0.2">
      <x:c r="A61" s="1130" t="s">
        <x:v>2061</x:v>
      </x:c>
    </x:row>
    <x:row r="62" spans="1:192" ht="15" hidden="1" customHeight="1" x14ac:dyDescent="0.2"/>
    <x:row r="63" spans="1:192" ht="15" hidden="1" customHeight="1" x14ac:dyDescent="0.2"/>
    <x:row r="64" spans="1:192" ht="15" hidden="1" customHeight="1" x14ac:dyDescent="0.2"/>
    <x:row r="65" spans="1:213" ht="15" hidden="1" customHeight="1" x14ac:dyDescent="0.2"/>
    <x:row r="66" spans="1:213" ht="15" hidden="1" customHeight="1" x14ac:dyDescent="0.2"/>
    <x:row r="67" spans="1:213" ht="15" hidden="1" customHeight="1" x14ac:dyDescent="0.2">
      <x:c r="CB67" s="295" t="s">
        <x:v>841</x:v>
      </x:c>
    </x:row>
    <x:row r="68" spans="1:213" ht="15" hidden="1" customHeight="1" x14ac:dyDescent="0.2">
      <x:c r="CA68" s="295" t="s">
        <x:v>842</x:v>
      </x:c>
      <x:c r="CB68" s="694">
        <x:f>IF(ISBLANK(BD68),0,IF(CX68&gt;VLOOKUP($DF$2:$DN$9,AU68,3,FALSE),"X",0))</x:f>
        <x:v>0</x:v>
      </x:c>
      <x:c r="CC68" s="695">
        <x:f>IF(FV68&gt;0.0625,CEILING(FV68-0.0625,0.125),FV68)</x:f>
        <x:v>0</x:v>
      </x:c>
    </x:row>
    <x:row r="69" spans="1:213" ht="15" hidden="1" customHeight="1" x14ac:dyDescent="0.25">
      <x:c r="CA69" s="295" t="s">
        <x:v>843</x:v>
      </x:c>
      <x:c r="CB69" s="696">
        <x:f>IF(FU69&gt;0.0625,CEILING(FU69-0.0625,0.125),FU69)</x:f>
        <x:v>0</x:v>
      </x:c>
      <x:c r="CC69" s="697">
        <x:f>IF(FV69&gt;0.0625,CEILING(FV69-0.0625,0.125),FV69)</x:f>
        <x:v>0</x:v>
      </x:c>
      <x:c r="CS69" s="2747">
        <x:v>40961</x:v>
      </x:c>
      <x:c r="CT69" s="2748"/>
      <x:c r="CU69" s="136" t="str">
        <x:f>IF(BH62="","",IF(VLOOKUP(BH62,SectInfo!$B:$N,5,FALSE)="","R",UPPER(VLOOKUP(BH62,SectInfo!$B:$N,5,FALSE))))</x:f>
        <x:v/>
      </x:c>
      <x:c r="CV69" s="136" t="str">
        <x:f>IF(BH62="","",VLOOKUP(BH62,SectInfo!$B:$N,6,FALSE))</x:f>
        <x:v/>
      </x:c>
      <x:c r="CW69" s="136" t="str">
        <x:f>IF(BH62="","",IF(VLOOKUP(BH62,SectInfo!$B:$N,10,FALSE)="","",(VLOOKUP(BH62,SectInfo!$B:$N,10,FALSE)*-1)))</x:f>
        <x:v/>
      </x:c>
      <x:c r="CX69" s="140" t="str">
        <x:f>IF(BH62="","",IF(VLOOKUP(BH62,SectInfo!$B:$N,11,FALSE)="","",(VLOOKUP(BH62,SectInfo!$B:$N,11,FALSE))))</x:f>
        <x:v/>
      </x:c>
      <x:c r="CY69" s="136" t="str">
        <x:f>IF(BH62="","",IF(VLOOKUP(BH62,SectInfo!$B:$N,7,FALSE)="","",(VLOOKUP(BH62,SectInfo!$B:$N,7,FALSE)*-1)))</x:f>
        <x:v/>
      </x:c>
      <x:c r="CZ69" s="136" t="str">
        <x:f>IF(BH62="","",IF(VLOOKUP(BH62,SectInfo!$B:$N,8,FALSE)="",IF(OR(DM69="K",DM69="KCS",DM69="JS"),$CZ$4,$CZ$5),(VLOOKUP(BH62,SectInfo!$B:$N,8,FALSE))))</x:f>
        <x:v/>
      </x:c>
      <x:c r="DA69" s="136" t="str">
        <x:f>IF(BH62="","",VLOOKUP(BH62,SectInfo!$B:$N,9,FALSE))</x:f>
        <x:v/>
      </x:c>
      <x:c r="DB69" s="128">
        <x:f>BO62</x:f>
        <x:v>0</x:v>
      </x:c>
      <x:c r="DC69" s="135" t="str">
        <x:f>IF(BP62="","",VLOOKUP(BP62,SectInfo!$B:$N,12,FALSE))</x:f>
        <x:v/>
      </x:c>
      <x:c r="DD69" s="136" t="str">
        <x:f>IF(BP62="","",IF(ISBLANK(CB62),VLOOKUP(BP62,SectInfo!$B:$N,13,FALSE),CB62))</x:f>
        <x:v/>
      </x:c>
      <x:c r="DE69" s="136" t="str">
        <x:f>IF(BP62="","",IF(VLOOKUP(BP62,SectInfo!$B:$N,5,FALSE)="","R",UPPER(VLOOKUP(BP62,SectInfo!$B:$N,5,FALSE))))</x:f>
        <x:v/>
      </x:c>
      <x:c r="DF69" s="136" t="str">
        <x:f>IF(BP62="","",VLOOKUP(BP62,SectInfo!$B:$N,6,FALSE))</x:f>
        <x:v/>
      </x:c>
      <x:c r="DG69" s="136" t="str">
        <x:f>IF(BP62="","",IF(VLOOKUP(BP62,SectInfo!$B:$N,10,FALSE)="","",(VLOOKUP(BP62,SectInfo!$B:$N,10,FALSE)*-1)))</x:f>
        <x:v/>
      </x:c>
      <x:c r="DH69" s="140" t="str">
        <x:f>IF(BP62="","",IF(VLOOKUP(BP62,SectInfo!$B:$N,11,FALSE)="","",(VLOOKUP(BP62,SectInfo!$B:$N,11,FALSE))))</x:f>
        <x:v/>
      </x:c>
      <x:c r="DI69" s="136" t="str">
        <x:f>IF(BP62="","",IF(VLOOKUP(BP62,SectInfo!$B:$N,7,FALSE)="","",(VLOOKUP(BP62,SectInfo!$B:$N,7,FALSE)*-1)))</x:f>
        <x:v/>
      </x:c>
      <x:c r="DJ69" s="136" t="str">
        <x:f>IF(BP62="","",IF(VLOOKUP(BP62,SectInfo!$B:$N,8,FALSE)="",IF(OR(DM69="K",DM69="KCS",DM69="JS"),$CZ$4,$CZ$5),(VLOOKUP(BP62,SectInfo!$B:$N,8,FALSE))))</x:f>
        <x:v/>
      </x:c>
      <x:c r="DK69" s="136" t="str">
        <x:f>IF(BP62="","",VLOOKUP(BP62,SectInfo!$B:$N,9,FALSE))</x:f>
        <x:v/>
      </x:c>
      <x:c r="DL69" s="128">
        <x:f>BW62</x:f>
        <x:v>0</x:v>
      </x:c>
      <x:c r="DM69" s="137">
        <x:f>IF(IF(AX62="",AW62,AX62)="SLH","DLH",IF(IF(AX62="",AW62,AX62)="CJ","LH",IF(AX62="",AW62,AX62)))</x:f>
        <x:v>0</x:v>
      </x:c>
      <x:c r="DN69" s="156">
        <x:f>IF(BX62="",0,ATAN(BX62/12))</x:f>
        <x:v>0</x:v>
      </x:c>
      <x:c r="DO69" s="130" t="str">
        <x:f>IF(OR(CT69="",BF62="",DD69=""),"",CEILING(IF(AND(BF62="",BG62=""),"",((BF62*12+BG62)+CT69+DD69)/COS(FO69))-0.0625,0.125))</x:f>
        <x:v/>
      </x:c>
      <x:c r="DP69" s="130" t="str">
        <x:f>IF(OR(CV69="",BE54="",DF69=""),"",CEILING(IF(AND(BE54="",BF54=""),"",((BE54*12+BF54)+CV69+DF69)/COS(FN69))-0.0625,0.125))</x:f>
        <x:v/>
      </x:c>
      <x:c r="DQ69" s="130" t="str">
        <x:f>IF(AU54="","",IF(ABS(FF69)&lt;ABS($CX$2),CX69,IF(FF69=0,CX69,CEILING((CX69+((DW69-CV69)/12)*FF69)-0.0625,0.125))))</x:f>
        <x:v/>
      </x:c>
      <x:c r="DR69" s="130" t="str">
        <x:f>IF(AU54="","",IF(ABS(FK69)&lt;ABS($CX$2),DH69,IF(FK69=0,DH69,CEILING((DH69+((EC69-DF69)/12)*FK69)-0.0625,0.125))))</x:f>
        <x:v/>
      </x:c>
      <x:c r="DS69" s="131">
        <x:f>IF(BM54="",0,RADIANS(ABS(BM54)))</x:f>
        <x:v>0</x:v>
      </x:c>
      <x:c r="DT69" s="131">
        <x:f>MIN(IF(BH54&gt;0,BH54/2,MAX(BI54/2,DC69)),IF(BI54&gt;0,BI54/2,MAX(BH54/2,DC69)),IF(DC69&gt;0,DC69,MAX(BI54/2,BH54/2)))/COS(DS69)</x:f>
        <x:v>0</x:v>
      </x:c>
      <x:c r="DU69" s="131" t="str">
        <x:f>IF(CV69="","",IF(DC69&gt;=0,MAX(BH54/2,BI54/2,DC69),DC69)/COS(DS69))</x:f>
        <x:v/>
      </x:c>
      <x:c r="DV69" s="130" t="str">
        <x:f>IF(CV69="","",CV69+DU69+IF(OR(AU54="K",AU54="KCS"),$CV$4/2,$CV$5/2)*TAN(DS69))</x:f>
        <x:v/>
      </x:c>
      <x:c r="DW69" s="599" t="str">
        <x: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x:f>
        <x:v/>
      </x:c>
      <x:c r="DX69" s="132">
        <x:f>IF(CV69="",0,IF(DW69/COS(FN69)&lt;0.0625,0,CEILING(DW69/COS(FN69)-0.0625,0.125)))</x:f>
        <x:v>0</x:v>
      </x:c>
      <x:c r="DY69" s="130">
        <x:f>RADIANS(ABS(BU54))</x:f>
        <x:v>0</x:v>
      </x:c>
      <x:c r="DZ69" s="131">
        <x:f>MIN(IF(BP54&gt;0,BP54/2,MAX(BQ54/2,DM69)),IF(BQ54&gt;0,BQ54/2,MAX(BP54/2,DM69)),IF(DM69&gt;0,DM69,MAX(BQ54/2,BP54/2)))/COS(DY69)</x:f>
        <x:v>0</x:v>
      </x:c>
      <x:c r="EA69" s="131" t="str">
        <x:f>IF(DF69="","",IF(DM69&gt;=0,MAX(BP54/2,BQ54/2,DM69),DM69)/COS(DY69))</x:f>
        <x:v/>
      </x:c>
      <x:c r="EB69" s="130" t="str">
        <x:f>IF(DF69="","",DF69+EA69+IF(OR(AU54="K",AU54="KCS"),$CV$4/2,$CV$5/2)*TAN(DY69))</x:f>
        <x:v/>
      </x:c>
      <x:c r="EC69" s="599" t="str">
        <x: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x:f>
        <x:v/>
      </x:c>
      <x:c r="ED69" s="132">
        <x:f>IF(DF69="",0,IF(EC69/COS(FN69)&lt;0.0625,0,CEILING(EC69/COS(FN69)-0.0625,0.125)))</x:f>
        <x:v>0</x:v>
      </x:c>
      <x:c r="EE69" s="130" t="str">
        <x:f>IF(AND(EZ69="",DA69=""),"",IF(EZ69="ERR","ERR",IF(ISNUMBER(EZ69),(EZ69/2)*-1,DA69)))</x:f>
        <x:v/>
      </x:c>
      <x:c r="EF69" s="130" t="str">
        <x:f>IF(EE69="ERR","ERR",IF(EE69="","",IF(OR(AND(OR(AU54="K",AU54="KCS"),(DB69*TAN(DS69)&lt;=($DB$4-($DA$4-0.0625)))),AND(OR(AU54="LH",AU54="DLH"),(DB69*TAN(DS69)&lt;=($DB$5-($DA$5-0.0625))))),CV69-(EE69-FH69)/COS(DS69)-IF(MID(CW69,1,1)="R",0,DW69),(ABS(EE69-FH69)/COS(DS69)+CV69)-((DB69/2)*TAN(DS69))-IF(MID(CW69,1,1)="R",0,DW69))))</x:f>
        <x:v/>
      </x:c>
      <x:c r="EG69" s="130" t="str">
        <x:f>IF(EE69="ERR","ERR",IF(EE69="","",IF(OR(AND(OR(AU54="K",AU54="KCS"),(DB69*TAN(DS69)&lt;=($DB$4-($DA$4-0.0625)))),AND(OR(AU54="LH",AU54="DLH"),(DB69*TAN(DS69)&lt;=($DB$5-($DA$5-0.0625))))),CV69-(EE69-FH69)/COS(DS69)-IF(MID(CW69,1,1)="R",0,DW69),(ABS(EE69-FH69)/COS(DS69)+CV69)+((DB69/2)*TAN(DS69))-IF(MID(CW69,1,1)="R",0,DW69))))</x:f>
        <x:v/>
      </x:c>
      <x:c r="EH69" s="130" t="str">
        <x: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x:f>
        <x:v>ERR</x:v>
      </x:c>
      <x:c r="EI69" s="130" t="str">
        <x: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x:f>
        <x:v>ERR</x:v>
      </x:c>
      <x:c r="EJ69" s="130" t="str">
        <x:f>IF(ISERROR(EF69),"ERR",IF(EF69="","",IF(EH69="ERR","ERR",CEILING(EH69-0.0625,0.125))))</x:f>
        <x:v/>
      </x:c>
      <x:c r="EK69" s="130" t="str">
        <x:f>IF(ISERROR(EG69),"ERR",IF(EG69="","",IF(EI69="ERR","ERR",CEILING(EI69-0.0625,0.125))))</x:f>
        <x:v/>
      </x:c>
      <x:c r="EL69" s="130" t="str">
        <x:f>IF(AND(FC69="",DK69=""),"",IF(FC69="ERR","ERR",IF(ISNUMBER(FC69),(FC69/2)*-1,DK69)))</x:f>
        <x:v/>
      </x:c>
      <x:c r="EM69" s="130" t="str">
        <x:f>IF(EL69="ERR","ERR",IF(EL69="","",IF(OR(AND(OR(AU54="K",AU54="KCS"),(DL69*TAN(DY69)&lt;=($DB$4-($DA$4-0.0625)))),AND(OR(AU54="LH",AU54="DLH"),(DL69*TAN(DY69)&lt;=($DB$5-($DA$5-0.0625))))),DF69-(EL69-FM69)/COS(DY69)-IF(MID(DG69,1,1)="R",0,EC69),(ABS(EL69-FM69)/COS(DY69)+DF69)-((DL69/2)*TAN(DY69))-IF(MID(DG69,1,1)="R",0,EC69))))</x:f>
        <x:v/>
      </x:c>
      <x:c r="EN69" s="130" t="str">
        <x:f>IF(EL69="ERR","ERR",IF(EL69="","",IF(OR(AND(OR(AU54="K",AU54="KCS"),(DL69*TAN(DY69)&lt;=($DB$4-($DA$4-0.0625)))),AND(OR(AU54="LH",AU54="DLH"),(DL69*TAN(DY69)&lt;=($DB$5-($DA$5-0.0625))))),DF69-(EL69-FM69)/COS(DY69)-IF(MID(DG69,1,1)="R",0,EC69),(ABS(EL69-FM69)/COS(DY69)+DF69)+((DL69/2)*TAN(DY69))-IF(MID(DG69,1,1)="R",0,EC69))))</x:f>
        <x:v/>
      </x:c>
      <x:c r="EO69" s="130" t="str">
        <x: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x:f>
        <x:v>ERR</x:v>
      </x:c>
      <x:c r="EP69" s="130" t="str">
        <x: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x:f>
        <x:v>ERR</x:v>
      </x:c>
      <x:c r="EQ69" s="130" t="str">
        <x:f>IF(ISERROR(EM69),"ERR",IF(EM69="","",IF(EO69="ERR","ERR",CEILING(EO69-0.0625,0.125))))</x:f>
        <x:v/>
      </x:c>
      <x:c r="ER69" s="130" t="str">
        <x:f>IF(ISERROR(EN69),"ERR",IF(EN69="","",IF(EP69="ERR","ERR",CEILING(EP69-0.0625,0.125))))</x:f>
        <x:v/>
      </x:c>
      <x:c r="ES69" s="599" t="str">
        <x:f>IF(OR(CY69="",AU54="JS",AU54="HDR",CD54=""),"",IF((CV69-CY69)/COS(DO69)-FS69&lt;=-0.0625,CEILING((CV69-CY69)/COS(DO69)-FS69+0.0625,-0.125),IF((CV69-CY69)/COS(DO69)-FS69&gt;=0.0625,CEILING((CV69-CY69)/COS(DO69)-FS69-0.0625,0.125),0)))</x:f>
        <x:v/>
      </x:c>
      <x:c r="ET69" s="599" t="str">
        <x:f>IF(OR(DI69="",AU54="JS",AU54="HDR",CE54=""),"",IF((DF69-DI69)/COS(DO69)-FT69&lt;=-0.0625,CEILING((DF69-DI69)/COS(DO69)-FT69+0.0625,-0.125),IF((DF69-DI69)/COS(DO69)-FT69&gt;=0.0625,CEILING((DF69-DI69)/COS(DO69)-FT69-0.0625,0.125),0)))</x:f>
        <x:v/>
      </x:c>
      <x:c r="EU69" s="133" t="str">
        <x:f>IF(AU54="","",IF(OR(AU54="K",AU54="KCS",AU54="JS"),$CZ$4,$CZ$5))</x:f>
        <x:v/>
      </x:c>
      <x:c r="EV69" s="134" t="str">
        <x:f>IF(AND(EK69="",ER69=""),"",IF(OR(IF(ISBLANK(BJ54),FALSE,DB69=EU69),IF(ISBLANK(BR54),FALSE,DL69=EU69)),EU69,DB69))</x:f>
        <x:v/>
      </x:c>
      <x:c r="EW69" s="133" t="str">
        <x:f>IF(BW54="","",CEILING(IF(OR(AU54="K",AU54="KCS"),2.5/COS(DO69)+$CX$4/12*ABS(BW54)+0.5,IF(OR(AU54="LH",AU54="DLH"),5/COS(DO69)+$CX$5/12*ABS(BW54)+0.5,0)),0.125))</x:f>
        <x:v/>
      </x:c>
      <x:c r="EX69" s="133" t="str">
        <x:f>(IF(CU69="G",VLOOKUP(MIN(BH54:BI54),TblJoistSize!$M$3:$N$10,2),IF(CU69="B",MIN(BK54:BL54),"")))</x:f>
        <x:v/>
      </x:c>
      <x:c r="EY69" s="133" t="str">
        <x:f>(IF(CU69="G",VLOOKUP(MAX(BH54:BI54),TblJoistSize!$M$3:$N$10,2),IF(CU69="B",MAX(BK54:BL54),"")))</x:f>
        <x:v/>
      </x:c>
      <x:c r="EZ69" s="133" t="str">
        <x:f>IF(BJ54="X",IF((EY69-EX69)/2&lt;=IF(OR(AU54="K",AU54="KCS",AU54="JS"),($DB$4-($DA$4-0.0625)),($DB$5-($DA$5-0.0625))),(EX69+EY69)/2,"ERR"),"")</x:f>
        <x:v/>
      </x:c>
      <x:c r="FA69" s="133" t="str">
        <x:f>(IF(DE69="G",VLOOKUP(MIN(BP54:BQ54),TblJoistSize!$M$3:$N$10,2),IF(DE69="B",MIN(BS54:BT54),"")))</x:f>
        <x:v/>
      </x:c>
      <x:c r="FB69" s="133" t="str">
        <x:f>(IF(DE69="G",VLOOKUP(MAX(BP54:BQ54),TblJoistSize!$M$3:$N$10,2),IF(DE69="B",MAX(BS54:BT54),"")))</x:f>
        <x:v/>
      </x:c>
      <x:c r="FC69" s="133" t="str">
        <x:f>IF(BR54="X",IF((FB69-FA69)/2&lt;=IF(OR(AU54="K",AU54="KCS",AU54="JS"),($DB$4-($DA$4-0.0625)),($DB$5-($DA$5-0.0625))),(FA69+FB69)/2,"ERR"),"")</x:f>
        <x:v/>
      </x:c>
      <x:c r="FD69" s="131">
        <x:f>IF(DD69="",0,ATAN(DD69/12))</x:f>
        <x:v>0</x:v>
      </x:c>
      <x:c r="FE69" s="131" t="e">
        <x:f>DO69-FD69</x:f>
        <x:v>#VALUE!</x:v>
      </x:c>
      <x:c r="FF69" s="131" t="e">
        <x:f>TAN(FE69)*12</x:f>
        <x:v>#VALUE!</x:v>
      </x:c>
      <x:c r="FG69" s="131" t="e">
        <x:f>IF(FF69=0,"",IF(ABS(FF69)&lt;$CX$2,IF(AND(ABS(MIN(DV69,FQ69)/12*FF69)&gt;$DD$2,FF69&gt;0),IF(FF69&gt;0,CEILING(FF69-0.0625,0.125),CEILING(FF69+0.0625,-0.125)),""),IF(FF69&gt;0,CEILING(FF69-0.0625,0.125),CEILING(FF69+0.0625,-0.125))))</x:f>
        <x:v>#VALUE!</x:v>
      </x:c>
      <x:c r="FH69" s="130" t="str">
        <x:f>IF(CX69="","",CX69*TAN(FD69))</x:f>
        <x:v/>
      </x:c>
      <x:c r="FI69" s="131">
        <x:f>IF(DN69="",0,ATAN(DN69/12))</x:f>
        <x:v>0</x:v>
      </x:c>
      <x:c r="FJ69" s="131" t="e">
        <x:f>DO69+FI69</x:f>
        <x:v>#VALUE!</x:v>
      </x:c>
      <x:c r="FK69" s="131" t="e">
        <x:f>TAN(FJ69)*-12</x:f>
        <x:v>#VALUE!</x:v>
      </x:c>
      <x:c r="FL69" s="131" t="e">
        <x:f>IF(FK69=0,"",IF(ABS(FK69)&lt;$CX$2,IF(AND(ABS(MIN(EB69,FR69)/12*FK69)&gt;$DD$2,FK69&gt;0),IF(FK69&gt;0,CEILING(FK69-0.0625,0.125),CEILING(FK69+0.0625,-0.125)),""),IF(FK69&gt;0,CEILING(FK69-0.0625,0.125),CEILING(FK69+0.0625,-0.125))))</x:f>
        <x:v>#VALUE!</x:v>
      </x:c>
      <x:c r="FM69" s="130" t="str">
        <x:f>IF(DH69="","",DH69*TAN(FI69))</x:f>
        <x:v/>
      </x:c>
      <x:c r="FN69" s="130" t="e">
        <x:f>IF((BE54*12+BF54)/COS(DO69)-(BE54*12+BF54)&lt;$DB$2,0,DO69)</x:f>
        <x:v>#VALUE!</x:v>
      </x:c>
      <x:c r="FO69" s="165" t="e">
        <x:f>CEILING(MIN(IF(BH54&gt;0,BH54/2,MAX(BI54/2,DC69)),IF(BI54&gt;0,BI54/2,MAX(BH54/2,DC69)),IF(DC69&gt;0,DC69,MAX(BI54/2,BH54/2)))/COS(DS69)+CV69-DW69-0.0625,0.125)</x:f>
        <x:v>#VALUE!</x:v>
      </x:c>
      <x:c r="FP69" s="165" t="e">
        <x:f>CEILING(MIN(IF(BP54&gt;0,BP54/2,MAX(BQ54/2,DM69)),IF(BQ54&gt;0,BQ54/2,MAX(BP54/2,DM69)),IF(DM69&gt;0,DM69,MAX(BQ54/2,BP54/2)))/COS(DY69)+DF69-EC69-0.0625,0.125)</x:f>
        <x:v>#VALUE!</x:v>
      </x:c>
      <x:c r="FQ69" s="284" t="e">
        <x:f>IF(OR(CU69="M", CU69="B",CU69="G"),MAX(BH54,BI54),DC69+CY69)</x:f>
        <x:v>#VALUE!</x:v>
      </x:c>
      <x:c r="FR69" s="536" t="e">
        <x:f>IF(OR(DE69="M", DE69="B",DE69="G"),MAX(BP54,BQ54),DM69+DI69)</x:f>
        <x:v>#VALUE!</x:v>
      </x:c>
      <x:c r="FS69" s="685" t="str">
        <x:f>IF(CY69="","",IF(ABS(BW54*((AJ54-IF(BW54&gt;0,VLOOKUP(AU54,$DF$2:$DN$9,9,FALSE),0))/12))&gt;$CZ$2,BW54*((AJ54-IF(BW54&gt;0,VLOOKUP(AU54,$DF$2:$DN$9,9,FALSE),0))/12),0))</x:f>
        <x:v/>
      </x:c>
      <x:c r="FT69" s="686" t="str">
        <x:f>IF(DI69="","",IF(ABS(BW54*((AJ54-IF(BW54&lt;0,VLOOKUP(AU54,$DF$2:$DN$9,9,FALSE),0))/12))&gt;$CZ$2,BW54*((AJ54-IF(BW54&lt;0,VLOOKUP(AU54,$DF$2:$DN$9,9,FALSE),0))/12)*-1,0))</x:f>
        <x:v/>
      </x:c>
      <x:c r="FU69" s="687">
        <x:f>IF(CX69="",0,MAX(0,MIN(DV69-VLOOKUP(AU54,DF$2:DN$9,4,FALSE),(MAX(0,CX69-VLOOKUP(AU54,DF$2:DN$9,3,FALSE))+VLOOKUP(AU54,DF$2:DN$9,4,FALSE))*COS(DO69)+((MAX(0,CX69-VLOOKUP(AU54,DF$2:DN$9,3,FALSE))+VLOOKUP(AU54,DF$2:DN$9,4,FALSE))*COS(PI()/2-DO69))/TAN(PI()/2-(DO69+PI()/4))-VLOOKUP(AU54,DF$2:DN$9,4,FALSE))))</x:f>
        <x:v>0</x:v>
      </x:c>
      <x:c r="FV69" s="688">
        <x:f>IF(DH69="",0,MAX(0,MIN(EB69-VLOOKUP(AU54,DF$2:DN$9,4,FALSE),(MAX(0,DH69-VLOOKUP(AU54,DF$2:DN$9,3,FALSE))+VLOOKUP(AU54,DF$2:DN$9,4,FALSE))*COS(DO69)+((MAX(0,DH69-VLOOKUP(AU54,DF$2:DN$9,3,FALSE))+VLOOKUP(AU54,DF$2:DN$9,4,FALSE))*COS(PI()/2-DO69))/TAN(PI()/2-(DO69+PI()/4))-VLOOKUP(AU54,DF$2:DN$9,4,FALSE))))</x:f>
        <x:v>0</x:v>
      </x:c>
    </x:row>
    <x:row r="70" spans="1:213" s="1271" customFormat="1" ht="15" hidden="1" customHeight="1" thickBot="1" x14ac:dyDescent="0.25">
      <x:c r="AI70" s="1547"/>
      <x:c r="HD70" s="1548"/>
      <x:c r="HE70" s="1549"/>
    </x:row>
    <x:row r="71" spans="1:213" ht="15" customHeight="1" x14ac:dyDescent="0.2">
      <x:c r="A71" s="1145" t="s">
        <x:v>762</x:v>
      </x:c>
      <x:c r="EL71" s="2707" t="s">
        <x:v>561</x:v>
      </x:c>
      <x:c r="EM71" s="2708"/>
      <x:c r="EN71" s="2708"/>
      <x:c r="EO71" s="2709"/>
    </x:row>
  </x:sheetData>
  <x:sheetProtection algorithmName="SHA-512" hashValue="ljiMd/bgJ3DxNMldxVr3X1LkFOm0sv4NjPdJxAHCYVV7yz7k7/mKVtjxna9yUXUiEFnwVN1syQg2JifH4ID8zA==" saltValue="/JIqzvH/4lctwm8iY+EqiA==" spinCount="100000" sheet="1" objects="1" scenarios="1" selectLockedCells="1"/>
  <x:dataConsolidate/>
  <x:mergeCells count="192">
    <x:mergeCell ref="M7:S7"/>
    <x:mergeCell ref="C9:O9"/>
    <x:mergeCell ref="S9:AA9"/>
    <x:mergeCell ref="C10:O10"/>
    <x:mergeCell ref="S10:W10"/>
    <x:mergeCell ref="Z10:AA10"/>
    <x:mergeCell ref="P1:S1"/>
    <x:mergeCell ref="P2:S3"/>
    <x:mergeCell ref="P4:S4"/>
    <x:mergeCell ref="A5:M5"/>
    <x:mergeCell ref="M6:T6"/>
    <x:mergeCell ref="Y6:Z6"/>
    <x:mergeCell ref="EQ13:EQ14"/>
    <x:mergeCell ref="EU13:EU14"/>
    <x:mergeCell ref="EV13:EV14"/>
    <x:mergeCell ref="EW13:EW14"/>
    <x:mergeCell ref="GZ17:GZ18"/>
    <x:mergeCell ref="BB18:BY19"/>
    <x:mergeCell ref="CC18:CF18"/>
    <x:mergeCell ref="BZ19:CA20"/>
    <x:mergeCell ref="CN19:CO21"/>
    <x:mergeCell ref="CP19:CQ21"/>
    <x:mergeCell ref="GA20:GJ20"/>
    <x:mergeCell ref="GZ20:GZ22"/>
    <x:mergeCell ref="BK21:BL22"/>
    <x:mergeCell ref="BM21:BM22"/>
    <x:mergeCell ref="BN21:BN22"/>
    <x:mergeCell ref="BO21:BO22"/>
    <x:mergeCell ref="CF21:CG21"/>
    <x:mergeCell ref="CH21:CJ21"/>
    <x:mergeCell ref="CK21:CK22"/>
    <x:mergeCell ref="DD21:DD22"/>
    <x:mergeCell ref="DE21:DE22"/>
    <x:mergeCell ref="DF21:DF22"/>
    <x:mergeCell ref="DG21:DG22"/>
    <x:mergeCell ref="DH21:DH22"/>
    <x:mergeCell ref="HA19:IF20"/>
    <x:mergeCell ref="AU20:AU22"/>
    <x:mergeCell ref="AV20:AW22"/>
    <x:mergeCell ref="BG20:BN20"/>
    <x:mergeCell ref="BO20:BV20"/>
    <x:mergeCell ref="BW20:BW22"/>
    <x:mergeCell ref="FF19:FF22"/>
    <x:mergeCell ref="FG19:FG22"/>
    <x:mergeCell ref="FH19:FH22"/>
    <x:mergeCell ref="FI19:FI22"/>
    <x:mergeCell ref="FJ19:FJ22"/>
    <x:mergeCell ref="FK19:FK22"/>
    <x:mergeCell ref="EZ19:EZ22"/>
    <x:mergeCell ref="FA19:FA22"/>
    <x:mergeCell ref="FB19:FB22"/>
    <x:mergeCell ref="FC19:FC22"/>
    <x:mergeCell ref="FD19:FD22"/>
    <x:mergeCell ref="FE19:FE22"/>
    <x:mergeCell ref="CR19:CR22"/>
    <x:mergeCell ref="CS19:CS22"/>
    <x:mergeCell ref="EV19:EV22"/>
    <x:mergeCell ref="EW19:EW22"/>
    <x:mergeCell ref="EX19:EX22"/>
    <x:mergeCell ref="EY19:EY22"/>
    <x:mergeCell ref="A21:A22"/>
    <x:mergeCell ref="B21:B22"/>
    <x:mergeCell ref="C21:C22"/>
    <x:mergeCell ref="D21:E22"/>
    <x:mergeCell ref="F21:H21"/>
    <x:mergeCell ref="FL19:FL22"/>
    <x:mergeCell ref="FM19:FM22"/>
    <x:mergeCell ref="FN19:FN22"/>
    <x:mergeCell ref="FQ19:FR20"/>
    <x:mergeCell ref="CZ21:CZ22"/>
    <x:mergeCell ref="DA21:DA22"/>
    <x:mergeCell ref="DB21:DB22"/>
    <x:mergeCell ref="DC21:DC22"/>
    <x:mergeCell ref="I21:K21"/>
    <x:mergeCell ref="L21:M21"/>
    <x:mergeCell ref="N21:P21"/>
    <x:mergeCell ref="Q21:S21"/>
    <x:mergeCell ref="T21:X21"/>
    <x:mergeCell ref="Y21:Z21"/>
    <x:mergeCell ref="BX20:BY21"/>
    <x:mergeCell ref="CU20:DD20"/>
    <x:mergeCell ref="DE20:DN20"/>
    <x:mergeCell ref="BH21:BI22"/>
    <x:mergeCell ref="BJ21:BJ22"/>
    <x:mergeCell ref="AZ21:AZ22"/>
    <x:mergeCell ref="BB21:BB22"/>
    <x:mergeCell ref="BC21:BC22"/>
    <x:mergeCell ref="BD21:BD22"/>
    <x:mergeCell ref="BE21:BF22"/>
    <x:mergeCell ref="BG21:BG22"/>
    <x:mergeCell ref="CA21:CA22"/>
    <x:mergeCell ref="CB21:CC21"/>
    <x:mergeCell ref="CD21:CE21"/>
    <x:mergeCell ref="BP21:BQ22"/>
    <x:mergeCell ref="BR21:BR22"/>
    <x:mergeCell ref="BS21:BT22"/>
    <x:mergeCell ref="BU21:BU22"/>
    <x:mergeCell ref="BV21:BV22"/>
    <x:mergeCell ref="BZ21:BZ22"/>
    <x:mergeCell ref="DI21:DI22"/>
    <x:mergeCell ref="CL21:CM21"/>
    <x:mergeCell ref="CU21:CU22"/>
    <x:mergeCell ref="CV21:CV22"/>
    <x:mergeCell ref="CW21:CW22"/>
    <x:mergeCell ref="CX21:CX22"/>
    <x:mergeCell ref="CY21:CY22"/>
    <x:mergeCell ref="DP21:DP22"/>
    <x:mergeCell ref="DQ21:DQ22"/>
    <x:mergeCell ref="DR21:DR22"/>
    <x:mergeCell ref="DS21:DS22"/>
    <x:mergeCell ref="DT21:DU21"/>
    <x:mergeCell ref="DV21:DV22"/>
    <x:mergeCell ref="DJ21:DJ22"/>
    <x:mergeCell ref="DK21:DK22"/>
    <x:mergeCell ref="DL21:DL22"/>
    <x:mergeCell ref="DM21:DM22"/>
    <x:mergeCell ref="DN21:DN22"/>
    <x:mergeCell ref="DO21:DO22"/>
    <x:mergeCell ref="ED21:ED22"/>
    <x:mergeCell ref="EE21:EE22"/>
    <x:mergeCell ref="EF21:EG21"/>
    <x:mergeCell ref="EH21:EI21"/>
    <x:mergeCell ref="EJ21:EK21"/>
    <x:mergeCell ref="EL21:EL22"/>
    <x:mergeCell ref="DW21:DW22"/>
    <x:mergeCell ref="DX21:DX22"/>
    <x:mergeCell ref="DY21:DY22"/>
    <x:mergeCell ref="DZ21:EA21"/>
    <x:mergeCell ref="EB21:EB22"/>
    <x:mergeCell ref="EC21:EC22"/>
    <x:mergeCell ref="GF21:GF22"/>
    <x:mergeCell ref="GG21:GH21"/>
    <x:mergeCell ref="FO21:FO22"/>
    <x:mergeCell ref="FP21:FP22"/>
    <x:mergeCell ref="FQ21:FQ22"/>
    <x:mergeCell ref="FR21:FR22"/>
    <x:mergeCell ref="FS21:FS22"/>
    <x:mergeCell ref="FT21:FT22"/>
    <x:mergeCell ref="EM21:EN21"/>
    <x:mergeCell ref="EO21:EP21"/>
    <x:mergeCell ref="EQ21:ER21"/>
    <x:mergeCell ref="ES21:ES22"/>
    <x:mergeCell ref="ET21:ET22"/>
    <x:mergeCell ref="EU21:EU22"/>
    <x:mergeCell ref="F22:G22"/>
    <x:mergeCell ref="I22:J22"/>
    <x:mergeCell ref="N22:O22"/>
    <x:mergeCell ref="Q22:R22"/>
    <x:mergeCell ref="T22:U22"/>
    <x:mergeCell ref="HV21:HV22"/>
    <x:mergeCell ref="HW21:HW22"/>
    <x:mergeCell ref="HX21:HX22"/>
    <x:mergeCell ref="HY21:HY22"/>
    <x:mergeCell ref="HP21:HP22"/>
    <x:mergeCell ref="HQ21:HQ22"/>
    <x:mergeCell ref="HR21:HR22"/>
    <x:mergeCell ref="HS21:HS22"/>
    <x:mergeCell ref="HT21:HT22"/>
    <x:mergeCell ref="HU21:HU22"/>
    <x:mergeCell ref="HJ21:HJ22"/>
    <x:mergeCell ref="HK21:HK22"/>
    <x:mergeCell ref="HL21:HL22"/>
    <x:mergeCell ref="HM21:HM22"/>
    <x:mergeCell ref="HN21:HN22"/>
    <x:mergeCell ref="HO21:HO22"/>
    <x:mergeCell ref="HC21:HC22"/>
    <x:mergeCell ref="HD21:HE22"/>
    <x:mergeCell ref="HF21:HF22"/>
    <x:mergeCell ref="V22:W22"/>
    <x:mergeCell ref="EK47:EO47"/>
    <x:mergeCell ref="CS69:CT69"/>
    <x:mergeCell ref="EL71:EO71"/>
    <x:mergeCell ref="IB21:IB22"/>
    <x:mergeCell ref="IC21:IC22"/>
    <x:mergeCell ref="ID21:ID22"/>
    <x:mergeCell ref="IE21:IE22"/>
    <x:mergeCell ref="IF21:IF22"/>
    <x:mergeCell ref="HZ21:HZ22"/>
    <x:mergeCell ref="IA21:IA22"/>
    <x:mergeCell ref="HG21:HG22"/>
    <x:mergeCell ref="HH21:HH22"/>
    <x:mergeCell ref="HI21:HI22"/>
    <x:mergeCell ref="GI21:GJ21"/>
    <x:mergeCell ref="GK21:GK22"/>
    <x:mergeCell ref="GL21:GL22"/>
    <x:mergeCell ref="GM21:GM22"/>
    <x:mergeCell ref="HA21:HA22"/>
    <x:mergeCell ref="HB21:HB22"/>
    <x:mergeCell ref="FU21:FV21"/>
    <x:mergeCell ref="GA21:GB21"/>
    <x:mergeCell ref="GC21:GD21"/>
    <x:mergeCell ref="GE21:GE22"/>
  </x:mergeCells>
  <x:conditionalFormatting sqref="BV23:BV40 BN23:BN40">
    <x:cfRule type="expression" dxfId="1028" priority="33">
      <x:formula>AND(NOT($AY23),AND(ISBLANK(BN23),AND(NOT(ISBLANK(BM23)),$BW23&lt;&gt;0)))</x:formula>
    </x:cfRule>
  </x:conditionalFormatting>
  <x:conditionalFormatting sqref="BD23:BD40">
    <x:cfRule type="expression" dxfId="1027" priority="34">
      <x:formula>AND(NOT($AY23),NOT($AP23))</x:formula>
    </x:cfRule>
  </x:conditionalFormatting>
  <x:conditionalFormatting sqref="GA57:GB57">
    <x:cfRule type="expression" dxfId="1026" priority="36" stopIfTrue="1">
      <x:formula>GM57&gt;=0.125</x:formula>
    </x:cfRule>
  </x:conditionalFormatting>
  <x:conditionalFormatting sqref="EF69 EF23:EF40">
    <x:cfRule type="cellIs" dxfId="1025" priority="37" stopIfTrue="1" operator="notEqual">
      <x:formula>$EG23</x:formula>
    </x:cfRule>
  </x:conditionalFormatting>
  <x:conditionalFormatting sqref="EM69 EM23:EM40">
    <x:cfRule type="cellIs" dxfId="1024" priority="38" stopIfTrue="1" operator="notEqual">
      <x:formula>$EN23</x:formula>
    </x:cfRule>
  </x:conditionalFormatting>
  <x:conditionalFormatting sqref="CB69:CC69">
    <x:cfRule type="cellIs" dxfId="1023" priority="60" stopIfTrue="1" operator="equal">
      <x:formula>0</x:formula>
    </x:cfRule>
    <x:cfRule type="expression" dxfId="1022" priority="61" stopIfTrue="1">
      <x:formula>OR(CB69&lt;0,CB69&gt;FU69)</x:formula>
    </x:cfRule>
  </x:conditionalFormatting>
  <x:conditionalFormatting sqref="P2:S4">
    <x:cfRule type="cellIs" dxfId="1021" priority="62" stopIfTrue="1" operator="equal">
      <x:formula>""</x:formula>
    </x:cfRule>
  </x:conditionalFormatting>
  <x:conditionalFormatting sqref="CC19">
    <x:cfRule type="expression" dxfId="1020" priority="63" stopIfTrue="1">
      <x:formula>ISBLANK($CC$19)</x:formula>
    </x:cfRule>
  </x:conditionalFormatting>
  <x:conditionalFormatting sqref="CC18">
    <x:cfRule type="expression" dxfId="1019" priority="64" stopIfTrue="1">
      <x:formula>ISBLANK($CC$18)</x:formula>
    </x:cfRule>
  </x:conditionalFormatting>
  <x:conditionalFormatting sqref="M7">
    <x:cfRule type="expression" dxfId="1018" priority="65" stopIfTrue="1">
      <x:formula>AND(LOWER($M$7)&lt;&gt;"std gray primer: one shop coat",LOWER($M$7)&lt;&gt;"gray",$M$7&lt;&gt;"")</x:formula>
    </x:cfRule>
  </x:conditionalFormatting>
  <x:conditionalFormatting sqref="BO23:BO40">
    <x:cfRule type="expression" dxfId="1017" priority="20">
      <x:formula>AND(NOT($AY23),ISERROR(DE23))</x:formula>
    </x:cfRule>
    <x:cfRule type="expression" dxfId="1016" priority="69">
      <x:formula>AND(NOT($AY23),OR(DE23="", CQ23&lt;&gt;""))</x:formula>
    </x:cfRule>
  </x:conditionalFormatting>
  <x:conditionalFormatting sqref="U23:U40">
    <x:cfRule type="expression" dxfId="1015" priority="30">
      <x:formula>AND(NOT($AY23),NOT(AR23))</x:formula>
    </x:cfRule>
  </x:conditionalFormatting>
  <x:conditionalFormatting sqref="W23:W40">
    <x:cfRule type="expression" dxfId="1014" priority="32">
      <x:formula>AND(NOT($AY23),NOT(AT23))</x:formula>
    </x:cfRule>
  </x:conditionalFormatting>
  <x:conditionalFormatting sqref="A23:B40 BB23:BC40">
    <x:cfRule type="expression" dxfId="1013" priority="15">
      <x:formula>AND(NOT($AE$1),$B23=0,$AD$1="M")</x:formula>
    </x:cfRule>
  </x:conditionalFormatting>
  <x:conditionalFormatting sqref="T23:T40">
    <x:cfRule type="expression" dxfId="1012" priority="29">
      <x:formula>AND(NOT($AY23),NOT(AR23))</x:formula>
    </x:cfRule>
  </x:conditionalFormatting>
  <x:conditionalFormatting sqref="V23:V40">
    <x:cfRule type="expression" dxfId="1011" priority="31">
      <x:formula>AND(NOT($AY23),NOT(AT23))</x:formula>
    </x:cfRule>
  </x:conditionalFormatting>
  <x:conditionalFormatting sqref="C23:C40">
    <x:cfRule type="expression" dxfId="1010" priority="18">
      <x:formula>AND(NOT($AY23),NOT($AP23))</x:formula>
    </x:cfRule>
  </x:conditionalFormatting>
  <x:conditionalFormatting sqref="M7:S7">
    <x:cfRule type="expression" dxfId="1009" priority="27">
      <x:formula>OR(ISBLANK($M$7),$M$7="")</x:formula>
    </x:cfRule>
  </x:conditionalFormatting>
  <x:conditionalFormatting sqref="X23:X40">
    <x:cfRule type="expression" dxfId="1008" priority="14">
      <x:formula>$X23=0</x:formula>
    </x:cfRule>
  </x:conditionalFormatting>
  <x:conditionalFormatting sqref="BG23:BG40">
    <x:cfRule type="expression" dxfId="1007" priority="19">
      <x:formula>AND(NOT($AY23),ISERROR(CU23))</x:formula>
    </x:cfRule>
    <x:cfRule type="expression" dxfId="1006" priority="68">
      <x:formula>AND(NOT($AY23),OR(CP23&lt;&gt;"", CU23=""))</x:formula>
    </x:cfRule>
  </x:conditionalFormatting>
  <x:conditionalFormatting sqref="BH23:BH40">
    <x:cfRule type="expression" dxfId="1005" priority="50">
      <x:formula>AND(NOT($AY23),OR($CU23="M",$CU23="C",AND($CU23="B",$DC23&gt;0)))</x:formula>
    </x:cfRule>
    <x:cfRule type="expression" dxfId="1004" priority="51">
      <x:formula>AND(NOT($AY23),AND(BH23="",BI23="",OR($CU23="B",$CU23="G")))</x:formula>
    </x:cfRule>
    <x:cfRule type="expression" dxfId="1003" priority="52">
      <x:formula>AND(NOT($AY23),(BH23/2)/COS(RADIANS(BM23))+CV23-DW23&lt;VLOOKUP(AU23,$DF$2:$DJ$9,5,FALSE))</x:formula>
    </x:cfRule>
  </x:conditionalFormatting>
  <x:conditionalFormatting sqref="BI23:BI40">
    <x:cfRule type="expression" dxfId="1002" priority="59">
      <x:formula>AND(NOT($AY23),OR($CU23="M",$CU23="C",AND($CU23="B",$DC23&gt;0)))</x:formula>
    </x:cfRule>
    <x:cfRule type="expression" dxfId="1001" priority="66">
      <x:formula>AND(NOT($AY23),AND(BH23="",BI23="",OR($CU23="B",$CU23="G")))</x:formula>
    </x:cfRule>
    <x:cfRule type="expression" dxfId="1000" priority="67">
      <x:formula>AND(NOT($AY23),(BI23/2)/COS(RADIANS(BM23))+CV23-DW23&lt;VLOOKUP(AU23,$DF$2:$DJ$9,5,FALSE))</x:formula>
    </x:cfRule>
  </x:conditionalFormatting>
  <x:conditionalFormatting sqref="BK23:BK40">
    <x:cfRule type="expression" dxfId="999" priority="35">
      <x:formula>AND(NOT($AY23),OR($CU23="M",$CU23="C",AND($CU23="B",$DA23&lt;&gt;"")))</x:formula>
    </x:cfRule>
    <x:cfRule type="expression" dxfId="998" priority="39">
      <x:formula>AND(NOT($AY23),AND(BJ23="X",BK23="",BL23=""))</x:formula>
    </x:cfRule>
    <x:cfRule type="expression" dxfId="997" priority="40">
      <x:formula>AND(NOT($AY23),EZ23="ERR")</x:formula>
    </x:cfRule>
  </x:conditionalFormatting>
  <x:conditionalFormatting sqref="BL23:BL40">
    <x:cfRule type="expression" dxfId="996" priority="41">
      <x:formula>AND(NOT($AY23),OR($CU23="M",$CU23="C",AND($CU23="B",$DA23&lt;&gt;"")))</x:formula>
    </x:cfRule>
    <x:cfRule type="expression" dxfId="995" priority="42">
      <x:formula>AND(NOT($AY23),AND(BJ23="X",BK23="",BL23=""))</x:formula>
    </x:cfRule>
    <x:cfRule type="expression" dxfId="994" priority="43">
      <x:formula>AND(NOT($AY23),EZ23="ERR")</x:formula>
    </x:cfRule>
  </x:conditionalFormatting>
  <x:conditionalFormatting sqref="BS23:BS40">
    <x:cfRule type="expression" dxfId="993" priority="44">
      <x:formula>AND(NOT($AY23),OR($DE23="M",$DE23="C",AND($DE23="B",$DK23&lt;&gt;"")))</x:formula>
    </x:cfRule>
    <x:cfRule type="expression" dxfId="992" priority="45">
      <x:formula>AND(NOT($AY23),AND(BR23="X",BS23="",BT23=""))</x:formula>
    </x:cfRule>
    <x:cfRule type="expression" dxfId="991" priority="46">
      <x:formula>AND(NOT($AY23),FC23="ERR")</x:formula>
    </x:cfRule>
  </x:conditionalFormatting>
  <x:conditionalFormatting sqref="BT23:BT40">
    <x:cfRule type="expression" dxfId="990" priority="47">
      <x:formula>AND(NOT($AY23),OR($DE23="M",$DE23="C",AND($DE23="B",$DK23&lt;&gt;"")))</x:formula>
    </x:cfRule>
    <x:cfRule type="expression" dxfId="989" priority="48">
      <x:formula>AND(NOT($AY23),AND(BR23="X",BS23="",BT23=""))</x:formula>
    </x:cfRule>
    <x:cfRule type="expression" dxfId="988" priority="49">
      <x:formula>AND(NOT($AY23),FC23="ERR")</x:formula>
    </x:cfRule>
  </x:conditionalFormatting>
  <x:conditionalFormatting sqref="BP23:BP40">
    <x:cfRule type="expression" dxfId="987" priority="53">
      <x:formula>AND(NOT($AY23),OR($DE23="M",$DE23="C",AND($DE23="B",$DM23&gt;0)))</x:formula>
    </x:cfRule>
    <x:cfRule type="expression" dxfId="986" priority="54">
      <x:formula>AND(NOT($AY23),AND(BP23="",BQ23="",OR($DE23="B",$DE23="G")))</x:formula>
    </x:cfRule>
    <x:cfRule type="expression" dxfId="985" priority="55">
      <x:formula>AND(NOT($AY23),(BP23/2)/COS(RADIANS(BU23))+DF23-EC23&lt;VLOOKUP(AU23,$DF$2:$DJ$9,5,FALSE))</x:formula>
    </x:cfRule>
  </x:conditionalFormatting>
  <x:conditionalFormatting sqref="BQ23:BQ40">
    <x:cfRule type="expression" dxfId="984" priority="56">
      <x:formula>AND(NOT($AY23),OR($DE23="M",$DE23="C",AND($DE23="B",$DM23&gt;0)))</x:formula>
    </x:cfRule>
    <x:cfRule type="expression" dxfId="983" priority="57">
      <x:formula>AND(NOT($AY23),AND(BP23="",BQ23="",OR($DE23="B",$DE23="G")))</x:formula>
    </x:cfRule>
    <x:cfRule type="expression" dxfId="982" priority="58">
      <x:formula>AND(NOT($AY23),(BQ23/2)/COS(RADIANS(BU23))+DF23-EC23&lt;VLOOKUP(AU23,$DF$2:$DJ$9,5,FALSE))</x:formula>
    </x:cfRule>
  </x:conditionalFormatting>
  <x:conditionalFormatting sqref="CD23:CD40">
    <x:cfRule type="expression" dxfId="981" priority="23">
      <x:formula>AND(CD23="X",CY23="")</x:formula>
    </x:cfRule>
    <x:cfRule type="expression" dxfId="980" priority="24">
      <x:formula>AND(CD23="",CY23&lt;&gt;"")</x:formula>
    </x:cfRule>
  </x:conditionalFormatting>
  <x:conditionalFormatting sqref="CE23:CE40">
    <x:cfRule type="expression" dxfId="979" priority="25">
      <x:formula>AND(CE23="X",DI23="")</x:formula>
    </x:cfRule>
    <x:cfRule type="expression" dxfId="978" priority="26">
      <x:formula>AND(CE23="",DI23&lt;&gt;"")</x:formula>
    </x:cfRule>
  </x:conditionalFormatting>
  <x:conditionalFormatting sqref="CB23:CB40">
    <x:cfRule type="expression" dxfId="977" priority="22">
      <x:formula>OR(CB23&gt;CV23,CB23&lt;0)</x:formula>
    </x:cfRule>
  </x:conditionalFormatting>
  <x:conditionalFormatting sqref="CC23:CC40">
    <x:cfRule type="expression" dxfId="976" priority="21">
      <x:formula>OR(CC23&gt;DF23,CC23&lt;0)</x:formula>
    </x:cfRule>
  </x:conditionalFormatting>
  <x:conditionalFormatting sqref="BJ23:BJ40">
    <x:cfRule type="expression" dxfId="975" priority="70">
      <x:formula>AND(NOT($AY23),OR($CU23="C",AND($CU23="M",$DA23&gt;0)))</x:formula>
    </x:cfRule>
    <x:cfRule type="expression" dxfId="974" priority="71">
      <x:formula>AND(NOT($AY23),OR(NOT(IF(AND(OR(MID($BB23,1,1)="T",($BE23+$BF23/12)/IF(ABS($BW23)&gt;$DQ$1,COS($DO23),1)&gt;=40),OR($CU23="B",$CU23="G")),"X","")="X"),$EZ23="ERR"))</x:formula>
    </x:cfRule>
    <x:cfRule type="expression" dxfId="973" priority="72">
      <x:formula>AND(NOT($AY23),$BJ23&lt;&gt;"X",$BJ23&lt;&gt;IF(AND(OR(MID(BB23,1,1)="T",($BE23+$BF23/12)/IF(ABS($BW23)&gt;$DQ$1,COS($DO23),1)&gt;=40),OR($CU23="B",$CU23="G")),"X",""))</x:formula>
    </x:cfRule>
  </x:conditionalFormatting>
  <x:conditionalFormatting sqref="BR23:BR40">
    <x:cfRule type="expression" dxfId="972" priority="73">
      <x:formula>AND(NOT($AY23),OR($DE23="C",AND($DE23="M",$DK23&gt;0)))</x:formula>
    </x:cfRule>
    <x:cfRule type="expression" dxfId="971" priority="74">
      <x:formula>AND(NOT($AY23),OR(NOT(IF(AND(OR(MID($BB23,1,1)="T",($BE23+$BF23/12)/IF(ABS($BW23)&gt;$DQ$1,COS($DO23),1)&gt;=40),OR($DE23="B",$DE23="G")),"X","")="X"),$FC23="ERR"))</x:formula>
    </x:cfRule>
    <x:cfRule type="expression" dxfId="970" priority="75">
      <x:formula>AND(NOT($AY23),$BR23&lt;&gt;"X",$BR23&lt;&gt;IF(AND(OR(MID(BB23,1,1)="T",($BE23+$BF23/12)/IF(ABS($BW23)&gt;$DQ$1,COS($DO23),1)&gt;=40),OR($DE23="B",$DE23="G")),"X",""))</x:formula>
    </x:cfRule>
  </x:conditionalFormatting>
  <x:conditionalFormatting sqref="BY23:BY40">
    <x:cfRule type="expression" dxfId="969" priority="76">
      <x:formula>OR(CH23&lt;&gt;"",CI23&lt;&gt;"",CJ23&lt;&gt;"",CK23&lt;&gt;"",CL23&lt;&gt;"",CM23&lt;&gt;"")</x:formula>
    </x:cfRule>
  </x:conditionalFormatting>
  <x:conditionalFormatting sqref="BE23:BF40">
    <x:cfRule type="expression" dxfId="968" priority="77">
      <x:formula>AND(NOT($AY23),AND($AZ23,AND($AK23&lt;&gt;"HDR",$AK23&lt;&gt;"JS",$AJ23&gt;=8)))</x:formula>
    </x:cfRule>
  </x:conditionalFormatting>
  <x:conditionalFormatting sqref="D23:E40">
    <x:cfRule type="expression" dxfId="967" priority="28">
      <x:formula>AND(NOT($AY23),AND($AZ23,AND($AK23&lt;&gt;"HDR",$AK23&lt;&gt;"JS",$AJ23&gt;=8)))</x:formula>
    </x:cfRule>
  </x:conditionalFormatting>
  <x:conditionalFormatting sqref="BX23:BY40">
    <x:cfRule type="expression" dxfId="966" priority="17">
      <x:formula>LEN(AA$23)&gt;31</x:formula>
    </x:cfRule>
  </x:conditionalFormatting>
  <x:conditionalFormatting sqref="AA12">
    <x:cfRule type="expression" dxfId="965" priority="16">
      <x:formula>OR(ISBLANK(AA12),AA12="")</x:formula>
    </x:cfRule>
  </x:conditionalFormatting>
  <x:conditionalFormatting sqref="A23:Z40 BB23:CG40">
    <x:cfRule type="expression" dxfId="964" priority="78">
      <x:formula>$AC23</x:formula>
    </x:cfRule>
  </x:conditionalFormatting>
  <x:conditionalFormatting sqref="U57">
    <x:cfRule type="expression" dxfId="963" priority="11" stopIfTrue="1">
      <x:formula>AND(NOT($AY57),NOT(AR57))</x:formula>
    </x:cfRule>
  </x:conditionalFormatting>
  <x:conditionalFormatting sqref="W57">
    <x:cfRule type="expression" dxfId="962" priority="13" stopIfTrue="1">
      <x:formula>AND(NOT($AY57),NOT(AT57))</x:formula>
    </x:cfRule>
  </x:conditionalFormatting>
  <x:conditionalFormatting sqref="A57:B57">
    <x:cfRule type="expression" dxfId="961" priority="7">
      <x:formula>AND(NOT($AE$1),$B57=0,$AD$1="M")</x:formula>
    </x:cfRule>
  </x:conditionalFormatting>
  <x:conditionalFormatting sqref="T57">
    <x:cfRule type="expression" dxfId="960" priority="10" stopIfTrue="1">
      <x:formula>AND(NOT($AY57),NOT(AR57))</x:formula>
    </x:cfRule>
  </x:conditionalFormatting>
  <x:conditionalFormatting sqref="V57">
    <x:cfRule type="expression" dxfId="959" priority="12" stopIfTrue="1">
      <x:formula>AND(NOT($AY57),NOT(AT57))</x:formula>
    </x:cfRule>
  </x:conditionalFormatting>
  <x:conditionalFormatting sqref="C57">
    <x:cfRule type="expression" dxfId="958" priority="8" stopIfTrue="1">
      <x:formula>AND(NOT($AY57),NOT($AP57))</x:formula>
    </x:cfRule>
  </x:conditionalFormatting>
  <x:conditionalFormatting sqref="X57">
    <x:cfRule type="expression" dxfId="957" priority="4">
      <x:formula>$X57=0</x:formula>
    </x:cfRule>
  </x:conditionalFormatting>
  <x:conditionalFormatting sqref="D57:E57">
    <x:cfRule type="expression" dxfId="956" priority="9" stopIfTrue="1">
      <x:formula>AND(NOT($AY57),AND($AZ57,AND($AK57&lt;&gt;"HDR",$AK57&lt;&gt;"JS",$AJ57&gt;=8)))</x:formula>
    </x:cfRule>
  </x:conditionalFormatting>
  <x:conditionalFormatting sqref="AA57">
    <x:cfRule type="expression" dxfId="955" priority="6">
      <x:formula>AND(NOT($AY57),LEN(AA57)&gt;31)</x:formula>
    </x:cfRule>
  </x:conditionalFormatting>
  <x:conditionalFormatting sqref="A57:AA57">
    <x:cfRule type="expression" dxfId="954" priority="5">
      <x:formula>$AC57</x:formula>
    </x:cfRule>
  </x:conditionalFormatting>
  <x:conditionalFormatting sqref="AA23:AA40">
    <x:cfRule type="expression" dxfId="953" priority="3">
      <x:formula>AND(NOT($AY23),LEN(AA23)&gt;31)</x:formula>
    </x:cfRule>
  </x:conditionalFormatting>
  <x:conditionalFormatting sqref="AA23:AA40">
    <x:cfRule type="expression" dxfId="952" priority="2">
      <x:formula>$AC23</x:formula>
    </x:cfRule>
  </x:conditionalFormatting>
  <x:conditionalFormatting sqref="GA23:GB40">
    <x:cfRule type="expression" dxfId="951" priority="1" stopIfTrue="1">
      <x:formula>GM23&gt;=0.125</x:formula>
    </x:cfRule>
  </x:conditionalFormatting>
  <x:dataValidations count="7">
    <x:dataValidation type="decimal" operator="greaterThan" allowBlank="1" showInputMessage="1" showErrorMessage="1" errorTitle="Dimensional Error" error="Only positive numeric values permitted here." sqref="L23:M40 L57:M57">
      <x:formula1>0</x:formula1>
    </x:dataValidation>
    <x:dataValidation type="whole" operator="greaterThanOrEqual" allowBlank="1" showInputMessage="1" showErrorMessage="1" sqref="B23:B40 B57">
      <x:formula1>0</x:formula1>
    </x:dataValidation>
    <x:dataValidation type="decimal" operator="notEqual" allowBlank="1" showInputMessage="1" showErrorMessage="1" errorTitle="Input Error" error="Enter + or - Numbers Only._x000a_Do NOT use &quot;&lt;&quot; or &quot;&gt;&quot;." sqref="Y23:Z40 Y57:Z57">
      <x:formula1>0</x:formula1>
    </x:dataValidation>
    <x:dataValidation type="decimal" operator="greaterThanOrEqual" allowBlank="1" showInputMessage="1" showErrorMessage="1" errorTitle="Dimensional Error" error="&quot;Inches&quot; must be a number." sqref="BH23:BI40 BK23:BL40 BP23:BQ40 BS23:BT40">
      <x:formula1>0</x:formula1>
    </x:dataValidation>
    <x:dataValidation type="decimal" allowBlank="1" showInputMessage="1" showErrorMessage="1" errorTitle="Dimensional Error" error="&quot;Inches&quot; must be a number from 0 to 11.875." sqref="BF23:BF40 E23:E40 W23:W40 G23:G40 J23:J40 U23:U40 E57 W57 G57 J57 U57">
      <x:formula1>0</x:formula1>
      <x:formula2>11.875</x:formula2>
    </x:dataValidation>
    <x:dataValidation type="whole" operator="greaterThanOrEqual" allowBlank="1" showErrorMessage="1" errorTitle="Dimensional Error" error="&quot;Feet&quot; can only be whole numbers." sqref="D23:D40 F23:F40 I23:I40 T23:T40 V23:V40 BE23:BE40 D57 F57 I57 T57 V57">
      <x:formula1>0</x:formula1>
    </x:dataValidation>
    <x:dataValidation type="list" allowBlank="1" showInputMessage="1" sqref="M7:S7 CC18:CF18">
      <x:formula1>"Std Gray Primer: One Shop Coat,NO Shop Primer,NO Shop Primer - GALV,Std Gray Primer: xx Shop Coats"</x:formula1>
    </x:dataValidation>
  </x:dataValidations>
  <x:printOptions horizontalCentered="1"/>
  <x:pageMargins left="0.3" right="0.3" top="0.5" bottom="0.5" header="0" footer="0.25"/>
  <x:pageSetup fitToWidth="2" pageOrder="overThenDown" orientation="landscape" r:id="rId1"/>
  <x:headerFooter alignWithMargins="0">
    <x:oddFooter>&amp;R&amp;7Printed: &amp;D &amp;T&amp;L&amp;7Version: 18.1019
File: &amp;F</x:oddFooter>
  </x:headerFooter>
  <x:colBreaks count="1" manualBreakCount="1">
    <x:brk id="77" max="39" man="1"/>
  </x:colBreaks>
  <x:drawing r:id="rId2"/>
  <x:legacyDrawing r:id="rId3"/>
</x:worksheet>
</file>

<file path=xl/worksheets/sheet5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7">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31 of 42</x:v>
      </x:c>
      <x:c r="Z7" s="822"/>
      <x:c r="AA7" s="444"/>
      <x:c r="AB7" s="449"/>
      <x:c r="AC7" s="1393">
        <x:v>31</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1341</x:v>
      </x:c>
      <x:c r="B16" s="1265">
        <x:v>0</x:v>
      </x:c>
      <x:c r="C16" s="1265" t="s">
        <x:v>1978</x:v>
      </x:c>
      <x:c r="D16" s="1261">
        <x:v>59</x:v>
      </x:c>
      <x:c r="E16" s="1366">
        <x:v>0.625</x:v>
      </x:c>
      <x:c r="F16" s="1328" t="str">
        <x:f t="shared" ref="F16:F44" si="1">IF(DX16=0,"",TRUNC(DX16/12))</x:f>
        <x:v/>
      </x:c>
      <x:c r="G16" s="1262" t="str">
        <x:f t="shared" ref="G16:G44" si="2">IF(DX16=0,"",DX16-(F16*12))</x:f>
        <x:v/>
      </x:c>
      <x:c r="H16" s="1266" t="str">
        <x:f t="shared" ref="H16:H44" si="3">IF(DX16=0,"",CW16)</x:f>
        <x:v/>
      </x:c>
      <x:c r="I16" s="1261">
        <x:v>0</x:v>
      </x:c>
      <x:c r="J16" s="1262">
        <x:v>1.375</x:v>
      </x:c>
      <x:c r="K16" s="1370" t="s">
        <x:v>114</x:v>
      </x:c>
      <x:c r="L16" s="1327">
        <x:v>3</x:v>
      </x:c>
      <x:c r="M16" s="1329">
        <x:v>3</x:v>
      </x:c>
      <x:c r="N16" s="1263" t="str">
        <x:f t="shared" ref="N16:N44" si="4">IF(ES16="","",IF(AND(ES16&lt;0,ES16&gt;-12),TRUNC(ES16/12)-0.0000001,TRUNC(ES16/12)))</x:f>
        <x:v/>
      </x:c>
      <x:c r="O16" s="1262" t="str">
        <x:f t="shared" ref="O16:O44" si="5">IF(ES16="","",IF(AND(ES16-(N16*12)=0,ES16&lt;0),-0.000001,ES16-(N16*12)))</x:f>
        <x:v/>
      </x:c>
      <x:c r="P16" s="1260" t="str">
        <x:f t="shared" ref="P16:P44" si="6">IF(ES16="","",CZ16)</x:f>
        <x:v/>
      </x:c>
      <x:c r="Q16" s="1261" t="str">
        <x:f t="shared" ref="Q16:Q44" si="7">IF(ET16="","",IF(AND(ET16&lt;0,ET16&gt;-12),TRUNC(ET16/12)-0.0000001,TRUNC(ET16/12)))</x:f>
        <x:v/>
      </x:c>
      <x:c r="R16" s="1262" t="str">
        <x:f t="shared" ref="R16:R44" si="8">IF(ET16="","",IF(AND(ET16-(Q16*12)=0,ET16&lt;0),-0.000001,ET16-(Q16*12)))</x:f>
        <x:v/>
      </x:c>
      <x:c r="S16" s="1375" t="str">
        <x:f t="shared" ref="S16:S44" si="9">IF(ET16="","",DJ16)</x:f>
        <x:v/>
      </x:c>
      <x:c r="T16" s="1328" t="str">
        <x:f t="shared" ref="T16:T44" si="10">IF(CH16="ERR","",IF(EK16="","",IF(EK16="ERR",TRUNC(EJ16/12),TRUNC(EK16/12))))</x:f>
        <x:v/>
      </x:c>
      <x:c r="U16" s="1262" t="str">
        <x:f t="shared" ref="U16:U44" si="11">IF(CH16="ERR","",IF(EK16="","",IF(EK16="ERR",EJ16-(T16*12),EK16-(T16*12))))</x:f>
        <x:v/>
      </x:c>
      <x:c r="V16" s="1261" t="str">
        <x:f t="shared" ref="V16:V44" si="12">IF(CI16="ERR","",IF(ER16="","",IF(ER16="ERR",TRUNC(EQ16/12),TRUNC(ER16/12))))</x:f>
        <x:v/>
      </x:c>
      <x:c r="W16" s="1262" t="str">
        <x:f t="shared" ref="W16:W44" si="13">IF(CI16="ERR","",IF(ER16="","",IF(ER16="ERR",EQ16-(V16*12),ER16-(V16*12))))</x:f>
        <x:v/>
      </x:c>
      <x:c r="X16" s="1329">
        <x:f t="shared" ref="X16:X44" si="14">IF(EV16="",0,EV16)</x:f>
        <x:v>0</x:v>
      </x:c>
      <x:c r="Y16" s="1377" t="str">
        <x:f t="shared" ref="Y16:Y44" si="15">FG16</x:f>
        <x:v/>
      </x:c>
      <x:c r="Z16" s="1378" t="str">
        <x:f t="shared" ref="Z16:Z44" si="16">FL16</x:f>
        <x:v/>
      </x:c>
      <x:c r="AA16" s="2159" t="s">
        <x:v>2079</x:v>
      </x:c>
      <x:c r="AC16" s="1226" t="b">
        <x:v>0</x:v>
      </x:c>
      <x:c r="AD16" s="525">
        <x:f t="shared" ref="AD16:AD45" si="17">IF($C16="",0,IF(SUM(AE16:AG16)&gt;0,0,IF(ISERROR(SEARCH("K",$C16,1))=TRUE,0,$B16)))</x:f>
        <x:v>0</x:v>
      </x:c>
      <x:c r="AE16" s="526">
        <x:f t="shared" ref="AE16:AE45" si="18">IF(ISERROR(SEARCH("LH",$C16,1))=TRUE,0,$B16)</x:f>
        <x:v>0</x:v>
      </x:c>
      <x:c r="AF16" s="526">
        <x:f t="shared" ref="AF16:AF45" si="19">IF(ISERROR(SEARCH("JS",$C16))=TRUE,IF(ISERROR(SEARCH("2.5K",$C16))=TRUE,0,$B16),$B16)</x:f>
        <x:v>0</x:v>
      </x:c>
      <x:c r="AG16" s="526">
        <x:f t="shared" ref="AG16:AG45" si="20">IF(ISERROR(SEARCH("HDR",$C16,1))=TRUE,0,$B16)</x:f>
        <x:v>0</x:v>
      </x:c>
      <x:c r="AH16" s="527">
        <x:f t="shared" ref="AH16:AH45" si="21">IF(ISERROR(SEARCH("CJ",$C16,1))=TRUE,0,$B16)</x:f>
        <x:v>0</x:v>
      </x:c>
      <x:c r="AI16" s="528" t="b">
        <x:v>0</x:v>
      </x:c>
      <x:c r="AJ16" s="284">
        <x:f t="shared" ref="AJ16:AJ45" si="22">IF(OR(ISERROR(VALUE(LEFT(C16,SEARCH(AK16,C16)-1))),AK16=""),0,VALUE(LEFT(C16,SEARCH(AK16,C16)-1)))</x:f>
        <x:v>36</x:v>
      </x:c>
      <x:c r="AK16" s="1063" t="str">
        <x:f t="shared" ref="AK16:AK45" si="23">IF(AV16="",AW16,AV16)</x:f>
        <x:v>LH</x:v>
      </x:c>
      <x:c r="AL16" s="1202" t="str">
        <x:f t="shared" ref="AL16:AL45" si="24">IF(AK16="","",IF(ISERROR(SEARCH("/",C16)),IF(VALUE(MID(C16,SEARCH(AK16,C16)+LEN(AK16),LEN(C16)))&gt;25,"",VALUE(MID(C16,SEARCH(AK16,C16)+LEN(AK16),LEN(C16)))),""))</x:f>
        <x:v/>
      </x:c>
      <x:c r="AM16" s="1063">
        <x:f t="shared" ref="AM16:AM45" si="25">IF(AK16="","",IF(ISERROR(SEARCH("/",C16)),IF(VALUE(MID(C16,SEARCH(AK16,C16)+LEN(AK16),LEN(C16)))&lt;26,"",VALUE(MID(C16,SEARCH(AK16,C16)+LEN(AK16),LEN(C16)))),VALUE(MID(C16,SEARCH(AK16,C16)+LEN(AK16),SEARCH("/",C16)-SEARCH(AK16,C16)-LEN(AK16)))))</x:f>
        <x:v>270</x:v>
      </x:c>
      <x:c r="AN16" s="1063">
        <x:f t="shared" ref="AN16:AN45" si="26">IF(AK16="","",IF(AK16="CJ",MID(MID(C16,SEARCH("/",C16)+1,LEN(C16)),1,SEARCH("/",MID(C16,SEARCH("/",C16)+1,LEN(C16)))-1),IF(ISERROR(SEARCH("/",C16)),"",VALUE(MID(C16,SEARCH("/",C16)+1,LEN(C16))))))</x:f>
        <x:v>120</x:v>
      </x:c>
      <x:c r="AO16" s="1063" t="str">
        <x:f t="shared" ref="AO16:AO45" si="27">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8">VLOOKUP(AK16,$DF$2:$DN$9,4,FALSE)+IF(LEFT(H16,1)="R",IF(ISNUMBER(F16),F16*12,0)+IF(ISNUMBER(G16),G16,0),0)</x:f>
        <x:v>6</x:v>
      </x:c>
      <x:c r="AR16" s="1305" t="b">
        <x:f t="shared" ref="AR16:AR45" si="29">IF(IF(ISNUMBER(T16),T16*12,0)+IF(ISNUMBER(U16),U16,0)&gt;0,IF(AND((IF(ISNUMBER(T16),T16*12,0)+IF(ISNUMBER(U16),U16,0))&gt;=1,(IF(ISNUMBER(T16),T16*12,0)+IF(ISNUMBER(U16),U16,0))&lt;=(AQ16-1)+IF(H16="X",2,0)),TRUE,FALSE),FALSE)</x:f>
        <x:v>0</x:v>
      </x:c>
      <x:c r="AS16" s="1305">
        <x:f t="shared" ref="AS16:AS45" si="30">VLOOKUP(AK16,$DF$2:$DN$9,4,FALSE)+IF(LEFT(K16,1)="R",(IF(ISNUMBER(I16),I16*12,0)+IF(ISNUMBER(J16),J16,0)),0)</x:f>
        <x:v>7.375</x:v>
      </x:c>
      <x:c r="AT16" s="1305" t="b">
        <x:f t="shared" ref="AT16:AT45" si="31">IF(IF(ISNUMBER(V16),V16*12,0)+IF(ISNUMBER(W16),W16,0)&gt;0,IF(AND((IF(ISNUMBER(V16),V16*12,0)+IF(ISNUMBER(W16),W16,0))&gt;=1,(IF(ISNUMBER(V16),V16*12,0)+IF(ISNUMBER(W16),W16,0))&lt;=(AS16-1)+IF(K16="X",2,0)),TRUE,FALSE),FALSE)</x:f>
        <x:v>0</x:v>
      </x:c>
      <x:c r="AU16" s="1203" t="str">
        <x: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33">IF(NOT(ISERROR(SEARCH("KCSR",C16))),"KCSR",IF(NOT(ISERROR(SEARCH("KCSA",C16))),"KCSA",IF(NOT(ISERROR(SEARCH("KCS",C16))),"KCS",IF(NOT(ISERROR(SEARCH("KR",C16))),"KR",IF(NOT(ISERROR(SEARCH("KA",C16))),"KA",IF(NOT(ISERROR(SEARCH("K",C16))),"K",IF(NOT(ISERROR(SEARCH("CJ",C16))),"CJ","")))))))</x:f>
        <x:v/>
      </x:c>
      <x:c r="AW16" s="1063" t="str">
        <x:f t="shared" ref="AW16:AW45" si="34">IF(NOT(ISERROR(SEARCH("HDR",C16))),"HDR",IF(NOT(ISERROR(SEARCH("JS",C16))),"JS",IF(NOT(ISERROR(SEARCH("SLH",C16))),"SLH",IF(NOT(ISERROR(SEARCH("DLH",C16))),"DLH",IF(NOT(ISERROR(SEARCH("LH",C16))),"LH","")))))</x:f>
        <x:v>LH</x:v>
      </x:c>
      <x:c r="AX16" s="1063" t="str">
        <x:f>IF(OR(ISBLANK(A16),A16=""),"",A16)</x:f>
        <x:v>J17</x:v>
      </x:c>
      <x:c r="AY16" s="1306" t="b">
        <x:f t="shared" ref="AY16:AY45" si="35">IF($AE$1,IF(AX16=AX15,AY15,IF(AND(AX16&lt;&gt;"",OR(B16=0,B16="")),TRUE,FALSE)),FALSE)</x:f>
        <x:v>0</x:v>
      </x:c>
      <x:c r="AZ16" s="1090" t="b">
        <x:f t="shared" ref="AZ16:AZ45" si="36">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7">IF(CY16="","","X")</x:f>
        <x:v/>
      </x:c>
      <x:c r="CE16" s="925" t="str">
        <x:f t="shared" ref="CE16:CE45" si="38">IF(DI16="","","X")</x:f>
        <x:v/>
      </x:c>
      <x:c r="CF16" s="1147"/>
      <x:c r="CG16" s="1148"/>
      <x:c r="CH16" s="730" t="str">
        <x:f t="shared" ref="CH16:CH45" si="39">IF(EJ16=EK16,IF(EK16="ERR","ERR",""),CONCATENATE(IF(BM16&lt;0,"NS ","FS "),IF(EK16="ERR","Slot Only",CONCATENATE("Slot @ ",EJ16))))</x:f>
        <x:v/>
      </x:c>
      <x:c r="CI16" s="731" t="str">
        <x:f t="shared" ref="CI16:CI45" si="40">IF(EQ16=ER16,IF(ER16="ERR","ERR",""),CONCATENATE(IF(BU16&lt;0,"FS ","NS "),IF(ER16="ERR","Slot Only",CONCATENATE("Slot @ ",EQ16))))</x:f>
        <x:v/>
      </x:c>
      <x:c r="CJ16" s="732" t="str">
        <x:f t="shared" ref="CJ16:CJ45" si="41">IF(EV16="","",IF(AND(DB16&lt;&gt;EV16,OR(NOT(ISBLANK(BJ16)),CU16="C")),CONCATENATE("LE slots @ ",DB16," Ga."),IF(AND(DL16&lt;&gt;EV16,OR(NOT(ISBLANK(BR16)),DE16="C")),CONCATENATE("RE slots @ ",DL16," Ga."),"")))</x:f>
        <x:v/>
      </x:c>
      <x:c r="CK16" s="733" t="str">
        <x:f t="shared" ref="CK16:CK45" si="42">IF(AND(CP16&lt;&gt;"",BM16&lt;&gt;"",CQ16&lt;&gt;"",BU16&lt;&gt;""),"BE",IF(AND(CP16&lt;&gt;"",BM16&lt;&gt;""),"LE",IF(AND(CQ16&lt;&gt;"",BU16&lt;&gt;""),"RE","")))</x:f>
        <x:v/>
      </x:c>
      <x:c r="CL16" s="734" t="str">
        <x:f t="shared" ref="CL16:CL45" si="43">IF(ISBLANK(CB16),"",CEILING(DV16,0.125))</x:f>
        <x:v/>
      </x:c>
      <x:c r="CM16" s="735" t="str">
        <x:f t="shared" ref="CM16:CM45" si="44">IF(ISBLANK(CC16),"",CEILING(EB16,0.125))</x:f>
        <x:v/>
      </x:c>
      <x:c r="CN16" s="736" t="str">
        <x:f t="shared" ref="CN16:CN45" si="45">IF(AND(BW16&lt;&gt;0,BM16&lt;&gt;0),BW16*COS(RADIANS(90-BM16))/(1/COS(RADIANS(90-BM16)))*-1,"")</x:f>
        <x:v/>
      </x:c>
      <x:c r="CO16" s="737" t="str">
        <x:f t="shared" ref="CO16:CO45" si="46">IF(AND(BW16&lt;&gt;0,BU16&lt;&gt;0),BW16*COS(RADIANS(90-BU16))/(1/COS(RADIANS(90-BU16))),"")</x:f>
        <x:v/>
      </x:c>
      <x:c r="CP16" s="760" t="str">
        <x:f t="shared" ref="CP16:CP45" si="47">IF(BG16="","",IF(AU16="JS","",IF(VLOOKUP(AU16,$DF$2:$DN$9,5,FALSE)&gt;FO16,IF(FO16&gt;=0.0625,CEILING(FO16-0.0625,0.125),FO16),"")))</x:f>
        <x:v/>
      </x:c>
      <x:c r="CQ16" s="761" t="str">
        <x:f t="shared" ref="CQ16:CQ45" si="48">IF(BO16="","",IF(AU16="JS","",IF(VLOOKUP(AU16,$DF$2:$DN$9,5,FALSE)&gt;FP16,IF(FP16&gt;=0.0625,CEILING(FP16-0.0625,0.125),FP16),"")))</x:f>
        <x:v/>
      </x:c>
      <x:c r="CR16" s="951">
        <x:f t="shared" ref="CR16:CR45" si="49">IF(AU16="","",IF(ABS(FF16)&lt;ABS($CX$2),VLOOKUP(AU16,$DF$2:$DN$9,3,FALSE),CEILING(VLOOKUP(AU16,$DF$2:$DN$9,3,FALSE)/COS(FE16)+0.375+IF(CU16="M",IF(FE16&gt;0,(DV16-DW16)/12,0),IF(FE16&gt;0,0,(DV16-CV16)/12))*ABS(FF16),0.125)))</x:f>
        <x:v>5</x:v>
      </x:c>
      <x:c r="CS16" s="952">
        <x:f t="shared" ref="CS16:CS45" si="50">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51">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52">BV16*-1</x:f>
        <x:v>0</x:v>
      </x:c>
      <x:c r="DO16" s="1094">
        <x:f t="shared" ref="DO16:DO45" si="53">IF(BW16="",0,ATAN(BW16/12))</x:f>
        <x:v>0</x:v>
      </x:c>
      <x:c r="DP16" s="1095" t="str">
        <x:f t="shared" ref="DP16:DP45" si="54">IF(OR(CV16="",BE16="",DF16=""),"",CEILING(IF(AND(BE16="",BF16=""),"",((BE16*12+BF16)+CV16+DF16)/COS(FN16))-0.0625,0.125))</x:f>
        <x:v/>
      </x:c>
      <x:c r="DQ16" s="1095" t="str">
        <x:f t="shared" ref="DQ16:DQ45" si="55">IF(AU16="","",IF(ABS(FF16)&lt;ABS($CX$2),CX16,IF(FF16=0,CX16,CEILING((CX16+((DW16-CV16)/12)*FF16)-0.0625,0.125))))</x:f>
        <x:v/>
      </x:c>
      <x:c r="DR16" s="1095" t="str">
        <x:f t="shared" ref="DR16:DR45" si="56">IF(AU16="","",IF(ABS(FK16)&lt;ABS($CX$2),DH16,IF(FK16=0,DH16,CEILING((DH16+((EC16-DF16)/12)*FK16)-0.0625,0.125))))</x:f>
        <x:v/>
      </x:c>
      <x:c r="DS16" s="1096">
        <x:f t="shared" ref="DS16:DS45" si="57">IF(BM16="",0,RADIANS(ABS(BM16)))</x:f>
        <x:v>0</x:v>
      </x:c>
      <x:c r="DT16" s="1052">
        <x:f t="shared" ref="DT16:DT45" si="58">MIN(IF(BH16&gt;0,BH16/2,MAX(BI16/2,DC16)),IF(BI16&gt;0,BI16/2,MAX(BH16/2,DC16)),IF(DC16&gt;0,DC16,MAX(BI16/2,BH16/2)))/IF(OR(CU16="C",AND(CU16="M",$DD$1="N")),1,COS(DS16))</x:f>
        <x:v>0</x:v>
      </x:c>
      <x:c r="DU16" s="1052" t="str">
        <x:f t="shared" ref="DU16:DU45" si="59">IF(CV16="","",IF(DC16&gt;=0,MAX(BH16/2,BI16/2,DC16),DC16)/IF(OR(CU16="C",AND(CU16="M",$DD$1="N")),1,COS(DS16)))</x:f>
        <x:v/>
      </x:c>
      <x:c r="DV16" s="1095" t="str">
        <x:f t="shared" ref="DV16:DV45" si="60">IF(CV16="","",(CV16+DU16+(VLOOKUP(IF(AU16="HDR","K",AU16),$DF$2:$DN$9,2,FALSE))*TAN(DS16))/COS(FD16)-FH16)</x:f>
        <x:v/>
      </x:c>
      <x:c r="DW16" s="1095" t="str">
        <x:f t="shared" ref="DW16:DW45" si="61">IF(CV16="","",MAX(0,IF(NOT(ISBLANK(CB16)),CV16-CB16,DV16-VLOOKUP(IF(AU16="HDR","K",AU16),$DF$2:$DN$9,4,FALSE))))</x:f>
        <x:v/>
      </x:c>
      <x:c r="DX16" s="1451">
        <x:f t="shared" ref="DX16:DX45" si="62">IF(CV16="",0,IF(DW16/COS(FN16-FD16)&lt;0.0625,0,CEILING(DW16/COS(FN16-FD16)-0.03125,0.125)))</x:f>
        <x:v>0</x:v>
      </x:c>
      <x:c r="DY16" s="1095">
        <x:f t="shared" ref="DY16:DY45" si="63">RADIANS(ABS(BU16))</x:f>
        <x:v>0</x:v>
      </x:c>
      <x:c r="DZ16" s="1052">
        <x:f t="shared" ref="DZ16:DZ45" si="64">MIN(IF(BP16&gt;0,BP16/2,MAX(BQ16/2,DM16)),IF(BQ16&gt;0,BQ16/2,MAX(BP16/2,DM16)),IF(DM16&gt;0,DM16,MAX(BQ16/2,BP16/2)))/IF(OR(DE16="C",AND(DE16="M",$DD$1="N")),1,COS(DY16))</x:f>
        <x:v>0</x:v>
      </x:c>
      <x:c r="EA16" s="1052" t="str">
        <x:f t="shared" ref="EA16:EA45" si="65">IF(DF16="","",IF(DM16&gt;=0,MAX(BP16/2,BQ16/2,DM16),DM16)/IF(OR(DE16="C",AND(DE16="M",$DD$1="N")),1,COS(DY16)))</x:f>
        <x:v/>
      </x:c>
      <x:c r="EB16" s="1095" t="str">
        <x:f t="shared" ref="EB16:EB45" si="66">IF(DF16="","",(DF16+EA16+(VLOOKUP(IF(AU16="HDR","K",AU16),$DF$2:$DN$9,2,FALSE))*TAN(DY16))/COS(FI16)-FM16)</x:f>
        <x:v/>
      </x:c>
      <x:c r="EC16" s="1095" t="str">
        <x:f t="shared" ref="EC16:EC45" si="67">IF(DF16="","",MAX(0,IF(NOT(ISBLANK(CC16)),DF16-CC16,EB16-VLOOKUP(IF(AU16="HDR","K",AU16),$DF$2:$DN$9,4,FALSE))))</x:f>
        <x:v/>
      </x:c>
      <x:c r="ED16" s="1451">
        <x:f t="shared" ref="ED16:ED45" si="68">IF(DF16="",0,IF(EC16/COS(FN16+FI16)&lt;0.0625,0,CEILING(EC16/COS(FN16+FI16)-0.03125,0.125)))</x:f>
        <x:v>0</x:v>
      </x:c>
      <x:c r="EE16" s="1107" t="str">
        <x:f t="shared" ref="EE16:EE45" si="69">IF(AND(EZ16="",DA16=""),"",IF(EZ16="ERR","ERR",IF(CU16="C",DA16,IF(BJ16="","",IF(DA16="",(EZ16/2)*-1,DA16)))))</x:f>
        <x:v/>
      </x:c>
      <x:c r="EF16" s="1095" t="str">
        <x:f t="shared" ref="EF16:EF45" si="70">IF(EE16="ERR","ERR",IF(EE16="","",IF(DB16*TAN(DS16)&lt;=(VLOOKUP(AU16,$DF$2:$DN$9,8,FALSE)-(VLOOKUP(AU16,$DF$2:$DN$9,7,FALSE)-0.0625)),CV16-(EE16-FH16)/IF(OR(CU16="C",AND(CU16="M",$DD$1="N")),1,COS(DS16))-IF(MID(CW16,1,1)="R",0,DW16),(ABS(EE16-FH16)/IF(OR(CU16="C",AND(CU16="M",$DD$1="N")),1,COS(DS16))+CV16)-((DB16/2)*TAN(DS16))-IF(MID(CW16,1,1)="R",0,DW16))))</x:f>
        <x:v/>
      </x:c>
      <x:c r="EG16" s="1095" t="str">
        <x:f t="shared" ref="EG16:EG45" si="71">IF(EE16="ERR","ERR",IF(EE16="","",IF(DB16*TAN(DS16)&lt;=(VLOOKUP(AU16,$DF$2:$DN$9,8,FALSE)-(VLOOKUP(AU16,$DF$2:$DN$9,7,FALSE)-0.0625)),CV16-(EE16-FH16)/IF(OR(CU16="C",AND(CU16="M",$DD$1="N")),1,COS(DS16))-IF(MID(CW16,1,1)="R",0,DW16),(ABS(EE16-FH16)/IF(OR(CU16="C",AND(CU16="M",$DD$1="N")),1,COS(DS16))+CV16)+((DB16/2)*TAN(DS16))-IF(MID(CW16,1,1)="R",0,DW16))))</x:f>
        <x:v/>
      </x:c>
      <x:c r="EH16" s="1095" t="str">
        <x:f t="shared" ref="EH16:EH45" si="7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4">IF(ISERROR(EF16),"ERR",IF(EF16="","",IF(EH16="ERR","ERR",CEILING(EH16-0.0625,0.125))))</x:f>
        <x:v/>
      </x:c>
      <x:c r="EK16" s="1095" t="str">
        <x:f t="shared" si="74"/>
        <x:v/>
      </x:c>
      <x:c r="EL16" s="1107" t="str">
        <x:f t="shared" ref="EL16:EL45" si="75">IF(AND(FC16="",DK16=""),"",IF(FC16="ERR","ERR",IF(DE16="C",DK16,IF(BR16="","",IF(DK16="",(FC16/2)*-1,DK16)))))</x:f>
        <x:v/>
      </x:c>
      <x:c r="EM16" s="1095" t="str">
        <x:f t="shared" ref="EM16:EM45" si="76">IF(EL16="ERR","ERR",IF(EL16="","",IF(DL16*TAN(DY16)&lt;=(VLOOKUP(AU16,$DF$2:$DN$9,8,FALSE)-(VLOOKUP(AU16,$DF$2:$DN$9,7,FALSE)-0.0625)),DF16-(EL16-FM16)/IF(OR(DE16="C",AND(DE16="M",$DD$1="N")),1,COS(DY16))-IF(MID(DG16,1,1)="R",0,EC16),(ABS(EL16-FM16)/IF(OR(DE16="C",AND(DE16="M",$DD$1="N")),1,COS(DY16))+DF16)-((DL16/2)*TAN(DY16))-IF(MID(DG16,1,1)="R",0,EC16))))</x:f>
        <x:v/>
      </x:c>
      <x:c r="EN16" s="1095" t="str">
        <x:f t="shared" ref="EN16:EN45" si="77">IF(EL16="ERR","ERR",IF(EL16="","",IF(DL16*TAN(DY16)&lt;=(VLOOKUP(AU16,$DF$2:$DN$9,8,FALSE)-(VLOOKUP(AU16,$DF$2:$DN$9,7,FALSE)-0.0625)),DF16-(EL16-FM16)/IF(OR(DE16="C",AND(DE16="M",$DD$1="N")),1,COS(DY16))-IF(MID(DG16,1,1)="R",0,EC16),(ABS(EL16-FM16)/IF(OR(DE16="C",AND(DE16="M",$DD$1="N")),1,COS(DY16))+DF16)+((DL16/2)*TAN(DY16))-IF(MID(DG16,1,1)="R",0,EC16))))</x:f>
        <x:v/>
      </x:c>
      <x:c r="EO16" s="1095" t="str">
        <x:f t="shared" ref="EO16:EO45" si="7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80">IF(ISERROR(EM16),"ERR",IF(EM16="","",IF(EO16="ERR","ERR",CEILING(EO16-0.0625,0.125))))</x:f>
        <x:v/>
      </x:c>
      <x:c r="ER16" s="1095" t="str">
        <x:f t="shared" si="80"/>
        <x:v/>
      </x:c>
      <x:c r="ES16" s="1053" t="str">
        <x:f t="shared" ref="ES16:ES45" si="81">IF(OR(CY16="",AU16="JS",AU16="HDR",CD16=""),"",IF((CV16-CY16)/COS(DO16)-FS16&lt;=-0.0625,CEILING((CV16-CY16)/COS(DO16)-FS16+0.0625,-0.125),IF((CV16-CY16)/COS(DO16)-FS16&gt;=0.0625,CEILING((CV16-CY16)/COS(DO16)-FS16-0.0625,0.125),0)))</x:f>
        <x:v/>
      </x:c>
      <x:c r="ET16" s="1053" t="str">
        <x:f t="shared" ref="ET16:ET45" si="82">IF(OR(DI16="",AU16="JS",AU16="HDR",CE16=""),"",IF((DF16-DI16)/COS(DO16)-FT16&lt;=-0.0625,CEILING((DF16-DI16)/COS(DO16)-FT16+0.0625,-0.125),IF((DF16-DI16)/COS(DO16)-FT16&gt;=0.0625,CEILING((DF16-DI16)/COS(DO16)-FT16-0.0625,0.125),0)))</x:f>
        <x:v/>
      </x:c>
      <x:c r="EU16" s="1097">
        <x:f t="shared" ref="EU16:EU45" si="83">IF(AU16="","",VLOOKUP(AU16,$DF$2:$DN$9,6,FALSE))</x:f>
        <x:v>4</x:v>
      </x:c>
      <x:c r="EV16" s="1055" t="str">
        <x:f t="shared" ref="EV16:EV45" si="84">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5">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6">IF(BR16="X",IF(OR(DE16="M",DE16="C"),"",IF((FB16-FA16)/2&lt;=(VLOOKUP(AU16,$DF$2:$DN$9,8,FALSE)-(VLOOKUP(AU16,$DF$2:$DN$9,7,FALSE)-0.0625)),(FA16+FB16)/2,"ERR")),"")</x:f>
        <x:v/>
      </x:c>
      <x:c r="FD16" s="1096">
        <x:f>IF(DD16="",0,ATAN(DD16/12))</x:f>
        <x:v>0</x:v>
      </x:c>
      <x:c r="FE16" s="1096">
        <x:f t="shared" ref="FE16:FE45" si="87">DO16-FD16</x:f>
        <x:v>0</x:v>
      </x:c>
      <x:c r="FF16" s="1096">
        <x:f t="shared" ref="FF16:FF45" si="88">TAN(FE16)*12</x:f>
        <x:v>0</x:v>
      </x:c>
      <x:c r="FG16" s="1096" t="str">
        <x:f t="shared" ref="FG16:FG45" si="89">IF(FF16=0,"",IF(ABS(FF16)&lt;$CX$2,IF(AND(ABS(MIN(DV16,FQ16)/12*FF16)&gt;$DD$2,FF16&gt;0),IF(FF16&gt;0,CEILING(FF16-0.0625,0.125),CEILING(FF16+0.0625,-0.125)),""),IF(FF16&gt;0,CEILING(FF16-0.0625,0.125),CEILING(FF16+0.0625,-0.125))))</x:f>
        <x:v/>
      </x:c>
      <x:c r="FH16" s="1095" t="str">
        <x:f t="shared" ref="FH16:FH45" si="90">IF(CX16="","",CX16*TAN(FD16))</x:f>
        <x:v/>
      </x:c>
      <x:c r="FI16" s="1096">
        <x:f>IF(DN16="",0,ATAN(DN16/12))</x:f>
        <x:v>0</x:v>
      </x:c>
      <x:c r="FJ16" s="1096">
        <x:f t="shared" ref="FJ16:FJ45" si="91">DO16+FI16</x:f>
        <x:v>0</x:v>
      </x:c>
      <x:c r="FK16" s="1096">
        <x:f t="shared" ref="FK16:FK45" si="92">TAN(FJ16)*-12</x:f>
        <x:v>0</x:v>
      </x:c>
      <x:c r="FL16" s="1096" t="str">
        <x:f t="shared" ref="FL16:FL45" si="93">IF(FK16=0,"",IF(ABS(FK16)&lt;$CX$2,IF(AND(ABS(MIN(EB16,FR16)/12*FK16)&gt;$DD$2,FK16&gt;0),IF(FK16&gt;0,CEILING(FK16-0.0625,0.125),CEILING(FK16+0.0625,-0.125)),""),IF(FK16&gt;0,CEILING(FK16-0.0625,0.125),CEILING(FK16+0.0625,-0.125))))</x:f>
        <x:v/>
      </x:c>
      <x:c r="FM16" s="1095" t="str">
        <x:f t="shared" ref="FM16:FM45" si="94">IF(DH16="","",DH16*TAN(FI16))</x:f>
        <x:v/>
      </x:c>
      <x:c r="FN16" s="1095" t="e">
        <x:f t="shared" ref="FN16:FN45" si="95">IF(((BE16*12+BF16)+CV16+DF16)/COS(DO16)-((BE16*12+BF16)+CV16+DF16)&lt;$DB$2,0,DO16)</x:f>
        <x:v>#VALUE!</x:v>
      </x:c>
      <x:c r="FO16" s="1098" t="e">
        <x:f t="shared" ref="FO16:FO45" si="96">MIN(IF(BH16&gt;0,BH16/2,MAX(BI16/2,DC16)),IF(BI16&gt;0,BI16/2,MAX(BH16/2,DC16)),IF(DC16&gt;0,DC16,MAX(BI16/2,BH16/2)))/COS(DS16)+CV16-DW16</x:f>
        <x:v>#VALUE!</x:v>
      </x:c>
      <x:c r="FP16" s="1098" t="e">
        <x:f t="shared" ref="FP16:FP45" si="97">MIN(IF(BP16&gt;0,BP16/2,MAX(BQ16/2,DM16)),IF(BQ16&gt;0,BQ16/2,MAX(BP16/2,DM16)),IF(DM16&gt;0,DM16,MAX(BQ16/2,BP16/2)))/COS(DY16)+DF16-EC16</x:f>
        <x:v>#VALUE!</x:v>
      </x:c>
      <x:c r="FQ16" s="1099" t="e">
        <x:f t="shared" ref="FQ16:FQ45" si="98">IF(OR(CU16="M", CU16="B",CU16="G"),MAX(BH16,BI16),DC16+CV16)</x:f>
        <x:v>#VALUE!</x:v>
      </x:c>
      <x:c r="FR16" s="1100" t="e">
        <x:f t="shared" ref="FR16:FR45" si="99">IF(OR(DE16="M", DE16="B",DE16="G"),MAX(BP16,BQ16),DM16+DF16)</x:f>
        <x:v>#VALUE!</x:v>
      </x:c>
      <x:c r="FS16" s="1101" t="str">
        <x:f t="shared" ref="FS16:FS45" si="100">IF(CY16="","",IF(ABS(BW16*((AJ16-IF(BW16&gt;0,VLOOKUP(AU16,$DF$2:$DN$9,9,FALSE),0))/12))&gt;$CZ$2,BW16*((AJ16-IF(BW16&gt;0,VLOOKUP(AU16,$DF$2:$DN$9,9,FALSE),0))/12),0))</x:f>
        <x:v/>
      </x:c>
      <x:c r="FT16" s="1102" t="str">
        <x:f t="shared" ref="FT16:FT45" si="101">IF(DI16="","",IF(ABS(BW16*((AJ16-IF(BW16&lt;0,VLOOKUP(AU16,$DF$2:$DN$9,9,FALSE),0))/12))&gt;$CZ$2,BW16*((AJ16-IF(BW16&lt;0,VLOOKUP(AU16,$DF$2:$DN$9,9,FALSE),0))/12)*-1,0))</x:f>
        <x:v/>
      </x:c>
      <x:c r="FU16" s="1103">
        <x:f t="shared" ref="FU16:FU45" si="102">IF(CX16="",0,MAX(0,MIN(DV16-VLOOKUP(AU16,DF$2:DN$9,4,FALSE),(MAX(0,CX16-VLOOKUP(AU16,DF$2:DN$9,3,FALSE))+VLOOKUP(AU16,DF$2:DN$9,4,FALSE))*COS(DO16)+((MAX(0,CX16-VLOOKUP(AU16,DF$2:DN$9,3,FALSE))+VLOOKUP(AU16,DF$2:DN$9,4,FALSE))*COS(PI()/2-DO16))/TAN(PI()/2-(DO16+PI()/4))-VLOOKUP(AU16,DF$2:DN$9,4,FALSE))))</x:f>
        <x:v>0</x:v>
      </x:c>
      <x:c r="FV16" s="1104">
        <x:f t="shared" ref="FV16:FV45" si="103">IF(DH16="",0,MAX(0,MIN(EB16-VLOOKUP(AU16,DF$2:DN$9,4,FALSE),(MAX(0,DH16-VLOOKUP(AU16,DF$2:DN$9,3,FALSE))+VLOOKUP(AU16,DF$2:DN$9,4,FALSE))*COS(DO16)+((MAX(0,DH16-VLOOKUP(AU16,DF$2:DN$9,3,FALSE))+VLOOKUP(AU16,DF$2:DN$9,4,FALSE))*COS(PI()/2-DO16))/TAN(PI()/2-(DO16+PI()/4))-VLOOKUP(AU16,DF$2:DN$9,4,FALSE))))</x:f>
        <x:v>0</x:v>
      </x:c>
      <x:c r="GA16" s="1975">
        <x:v>59</x:v>
      </x:c>
      <x:c r="GB16" s="1976">
        <x:v>2.75</x:v>
      </x:c>
      <x:c r="GC16" s="1977">
        <x:v>-1.875</x:v>
      </x:c>
      <x:c r="GD16" s="1978">
        <x:v>-0.25</x:v>
      </x:c>
      <x:c r="GE16" s="1979">
        <x:v>0.26169539219134702</x:v>
      </x:c>
      <x:c r="GF16" s="1980" t="str">
        <x:f t="shared" ref="GF16:GF45" si="104">IF(A16=0,"",A16)</x:f>
        <x:v>J17</x:v>
      </x:c>
      <x:c r="GG16" s="1453"/>
      <x:c r="GH16" s="1454"/>
      <x:c r="GI16" s="1453"/>
      <x:c r="GJ16" s="1454"/>
      <x:c r="GK16" s="533">
        <x:f t="shared" ref="GK16:GK45" si="105">IF(D16="",0,D16*12+E16)</x:f>
        <x:v>708.625</x:v>
      </x:c>
      <x:c r="GL16" s="534">
        <x:f t="shared" ref="GL16:GL45" si="106">(GA16*12+GB16+GC16+GD16)/COS(ATAN(ABS(GE16/12)))</x:f>
        <x:v>708.79348626656247</x:v>
      </x:c>
      <x:c r="GM16" s="535">
        <x:f>IF(ABS(GK16-GL16)&gt;='Job Info.'!$L$22,ABS(GK16-GL16),0)</x:f>
        <x:v>0</x:v>
      </x:c>
      <x:c r="HA16" s="1652" t="s">
        <x:v>1341</x:v>
      </x:c>
      <x:c r="HB16" s="1653">
        <x:v>18</x:v>
      </x:c>
      <x:c r="HC16" s="1653" t="s">
        <x:v>1978</x:v>
      </x:c>
      <x:c r="HD16" s="1654">
        <x:v>59</x:v>
      </x:c>
      <x:c r="HE16" s="1655">
        <x:v>0.625</x:v>
      </x:c>
      <x:c r="HF16" s="1653" t="s">
        <x:v>117</x:v>
      </x:c>
      <x:c r="HG16" s="1653" t="s">
        <x:v>117</x:v>
      </x:c>
      <x:c r="HH16" s="1653" t="s">
        <x:v>117</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2079</x:v>
      </x:c>
      <x:c r="IB16" s="1655"/>
      <x:c r="IC16" s="1655"/>
      <x:c r="ID16" s="1655"/>
      <x:c r="IE16" s="1655"/>
      <x:c r="IF16" s="1657"/>
    </x:row>
    <x:row r="17" spans="1:240" ht="12.6" customHeight="1" x14ac:dyDescent="0.25">
      <x:c r="A17" s="1264" t="s">
        <x:v>1342</x:v>
      </x:c>
      <x:c r="B17" s="1265">
        <x:v>0</x:v>
      </x:c>
      <x:c r="C17" s="1265" t="s">
        <x:v>1978</x:v>
      </x:c>
      <x:c r="D17" s="1261">
        <x:v>59</x:v>
      </x:c>
      <x:c r="E17" s="1366">
        <x:v>0.625</x:v>
      </x:c>
      <x:c r="F17" s="1328" t="str">
        <x:f t="shared" si="1"/>
        <x:v/>
      </x:c>
      <x:c r="G17" s="1262" t="str">
        <x:f t="shared" si="2"/>
        <x:v/>
      </x:c>
      <x:c r="H17" s="1266" t="str">
        <x:f t="shared" si="3"/>
        <x:v/>
      </x:c>
      <x:c r="I17" s="1261">
        <x:v>0</x:v>
      </x:c>
      <x:c r="J17" s="1262">
        <x:v>1.375</x:v>
      </x:c>
      <x:c r="K17" s="1370" t="s">
        <x:v>114</x:v>
      </x:c>
      <x:c r="L17" s="1327">
        <x:v>3</x:v>
      </x:c>
      <x:c r="M17" s="1329">
        <x:v>3</x:v>
      </x:c>
      <x:c r="N17" s="1263" t="str">
        <x:f t="shared" si="4"/>
        <x:v/>
      </x:c>
      <x:c r="O17" s="1262" t="str">
        <x:f t="shared" si="5"/>
        <x:v/>
      </x:c>
      <x:c r="P17" s="1260" t="str">
        <x:f t="shared" si="6"/>
        <x:v/>
      </x:c>
      <x:c r="Q17" s="1261" t="str">
        <x:f t="shared" si="7"/>
        <x:v/>
      </x:c>
      <x:c r="R17" s="1262" t="str">
        <x:f t="shared" si="8"/>
        <x:v/>
      </x:c>
      <x:c r="S17" s="1375" t="str">
        <x:f t="shared" si="9"/>
        <x:v/>
      </x:c>
      <x:c r="T17" s="1328">
        <x:v>0</x:v>
      </x:c>
      <x:c r="U17" s="1262">
        <x:v>1.125</x:v>
      </x:c>
      <x:c r="V17" s="1261">
        <x:v>0</x:v>
      </x:c>
      <x:c r="W17" s="1262">
        <x:v>2.25</x:v>
      </x:c>
      <x:c r="X17" s="1329">
        <x:v>4</x:v>
      </x:c>
      <x:c r="Y17" s="1377" t="str">
        <x:f t="shared" si="15"/>
        <x:v/>
      </x:c>
      <x:c r="Z17" s="1378" t="str">
        <x:f t="shared" si="16"/>
        <x:v/>
      </x:c>
      <x:c r="AA17" s="2159" t="s">
        <x:v>2079</x:v>
      </x:c>
      <x:c r="AC17" s="1226" t="b">
        <x:v>0</x:v>
      </x:c>
      <x:c r="AD17" s="525">
        <x:f t="shared" si="17"/>
        <x:v>0</x:v>
      </x:c>
      <x:c r="AE17" s="526">
        <x:f t="shared" si="18"/>
        <x:v>0</x:v>
      </x:c>
      <x:c r="AF17" s="526">
        <x:f t="shared" si="19"/>
        <x:v>0</x:v>
      </x:c>
      <x:c r="AG17" s="526">
        <x:f t="shared" si="20"/>
        <x:v>0</x:v>
      </x:c>
      <x:c r="AH17" s="527">
        <x:f t="shared" si="21"/>
        <x:v>0</x:v>
      </x:c>
      <x:c r="AI17" s="528" t="b">
        <x:v>0</x:v>
      </x:c>
      <x:c r="AJ17" s="284">
        <x:f t="shared" si="22"/>
        <x:v>36</x:v>
      </x:c>
      <x:c r="AK17" s="1063" t="str">
        <x:f t="shared" si="23"/>
        <x:v>LH</x:v>
      </x:c>
      <x:c r="AL17" s="1202" t="str">
        <x:f t="shared" si="24"/>
        <x:v/>
      </x:c>
      <x:c r="AM17" s="1063">
        <x:f t="shared" si="25"/>
        <x:v>270</x:v>
      </x:c>
      <x:c r="AN17" s="1063">
        <x:f t="shared" si="26"/>
        <x:v>120</x:v>
      </x:c>
      <x:c r="AO17" s="1063" t="str">
        <x:f t="shared" si="27"/>
        <x:v/>
      </x:c>
      <x:c r="AP17" s="1063" t="b">
        <x:f>IF(ISERROR(AJ17),FALSE,IF(OR(AJ17=0,ISERROR(AL17),ISERROR(AM17),ISERROR(AN17),ISERROR(AO17)),FALSE,IF(AL17&lt;&gt;"",IF(ISERROR(VLOOKUP(SUBSTITUTE(SUBSTITUTE(C17,"R",""),"A",""),TblJoistSize!$A:$A,1,FALSE)),FALSE,TRUE),TRUE)))</x:f>
        <x:v>1</x:v>
      </x:c>
      <x:c r="AQ17" s="1305">
        <x:f t="shared" si="28"/>
        <x:v>6</x:v>
      </x:c>
      <x:c r="AR17" s="1305" t="b">
        <x:f t="shared" si="29"/>
        <x:v>1</x:v>
      </x:c>
      <x:c r="AS17" s="1305">
        <x:f t="shared" si="30"/>
        <x:v>7.375</x:v>
      </x:c>
      <x:c r="AT17" s="1305" t="b">
        <x:f t="shared" si="31"/>
        <x:v>1</x:v>
      </x:c>
      <x:c r="AU17" s="1203" t="str">
        <x:f t="shared" si="32"/>
        <x:v>LH</x:v>
      </x:c>
      <x:c r="AV17" s="1063" t="str">
        <x:f t="shared" si="33"/>
        <x:v/>
      </x:c>
      <x:c r="AW17" s="1063" t="str">
        <x:f t="shared" si="34"/>
        <x:v>LH</x:v>
      </x:c>
      <x:c r="AX17" s="1063" t="str">
        <x:f t="shared" ref="AX17:AX45" si="107">IF(AND(OR(ISBLANK(A17),A17=""),AA17&lt;&gt;""),AX16,IF(OR(ISBLANK(A17),A17=""),"",A17))</x:f>
        <x:v>TJ18</x:v>
      </x:c>
      <x:c r="AY17" s="1306" t="b">
        <x:f t="shared" si="35"/>
        <x:v>0</x:v>
      </x:c>
      <x:c r="AZ17" s="1090" t="b">
        <x:f t="shared" si="36"/>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7"/>
        <x:v/>
      </x:c>
      <x:c r="CE17" s="935" t="str">
        <x:f t="shared" si="38"/>
        <x:v/>
      </x:c>
      <x:c r="CF17" s="1149"/>
      <x:c r="CG17" s="1150"/>
      <x:c r="CH17" s="738" t="str">
        <x:f t="shared" si="39"/>
        <x:v/>
      </x:c>
      <x:c r="CI17" s="739" t="str">
        <x:f t="shared" si="40"/>
        <x:v/>
      </x:c>
      <x:c r="CJ17" s="740" t="str">
        <x:f t="shared" si="41"/>
        <x:v/>
      </x:c>
      <x:c r="CK17" s="741" t="str">
        <x:f t="shared" si="42"/>
        <x:v/>
      </x:c>
      <x:c r="CL17" s="742" t="str">
        <x:f t="shared" si="43"/>
        <x:v/>
      </x:c>
      <x:c r="CM17" s="743" t="str">
        <x:f t="shared" si="44"/>
        <x:v/>
      </x:c>
      <x:c r="CN17" s="744" t="str">
        <x:f t="shared" si="45"/>
        <x:v/>
      </x:c>
      <x:c r="CO17" s="745" t="str">
        <x:f t="shared" si="46"/>
        <x:v/>
      </x:c>
      <x:c r="CP17" s="762" t="str">
        <x:f t="shared" si="47"/>
        <x:v/>
      </x:c>
      <x:c r="CQ17" s="763" t="str">
        <x:f t="shared" si="48"/>
        <x:v/>
      </x:c>
      <x:c r="CR17" s="953">
        <x:f t="shared" si="49"/>
        <x:v>5</x:v>
      </x:c>
      <x:c r="CS17" s="954">
        <x:f t="shared" si="50"/>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51"/>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52"/>
        <x:v>0</x:v>
      </x:c>
      <x:c r="DO17" s="1049">
        <x:f t="shared" si="53"/>
        <x:v>0</x:v>
      </x:c>
      <x:c r="DP17" s="1053" t="str">
        <x:f t="shared" si="54"/>
        <x:v/>
      </x:c>
      <x:c r="DQ17" s="1053" t="str">
        <x:f t="shared" si="55"/>
        <x:v/>
      </x:c>
      <x:c r="DR17" s="1053" t="str">
        <x:f t="shared" si="56"/>
        <x:v/>
      </x:c>
      <x:c r="DS17" s="1052">
        <x:f t="shared" si="57"/>
        <x:v>0</x:v>
      </x:c>
      <x:c r="DT17" s="1052">
        <x:f t="shared" si="58"/>
        <x:v>0</x:v>
      </x:c>
      <x:c r="DU17" s="1052" t="str">
        <x:f t="shared" si="59"/>
        <x:v/>
      </x:c>
      <x:c r="DV17" s="1053" t="str">
        <x:f t="shared" si="60"/>
        <x:v/>
      </x:c>
      <x:c r="DW17" s="1053" t="str">
        <x:f t="shared" si="61"/>
        <x:v/>
      </x:c>
      <x:c r="DX17" s="1269">
        <x:f t="shared" si="62"/>
        <x:v>0</x:v>
      </x:c>
      <x:c r="DY17" s="1053">
        <x:f t="shared" si="63"/>
        <x:v>0</x:v>
      </x:c>
      <x:c r="DZ17" s="1052">
        <x:f t="shared" si="64"/>
        <x:v>0</x:v>
      </x:c>
      <x:c r="EA17" s="1052" t="str">
        <x:f t="shared" si="65"/>
        <x:v/>
      </x:c>
      <x:c r="EB17" s="1053" t="str">
        <x:f t="shared" si="66"/>
        <x:v/>
      </x:c>
      <x:c r="EC17" s="1053" t="str">
        <x:f t="shared" si="67"/>
        <x:v/>
      </x:c>
      <x:c r="ED17" s="1269">
        <x:f t="shared" si="68"/>
        <x:v>0</x:v>
      </x:c>
      <x:c r="EE17" s="1090" t="str">
        <x:f t="shared" si="69"/>
        <x:v/>
      </x:c>
      <x:c r="EF17" s="1053" t="str">
        <x:f t="shared" si="70"/>
        <x:v/>
      </x:c>
      <x:c r="EG17" s="1053" t="str">
        <x:f t="shared" si="71"/>
        <x:v/>
      </x:c>
      <x:c r="EH17" s="1053" t="str">
        <x:f t="shared" si="72"/>
        <x:v>ERR</x:v>
      </x:c>
      <x:c r="EI17" s="1053" t="str">
        <x:f t="shared" si="73"/>
        <x:v>ERR</x:v>
      </x:c>
      <x:c r="EJ17" s="1053" t="str">
        <x:f t="shared" si="74"/>
        <x:v/>
      </x:c>
      <x:c r="EK17" s="1053" t="str">
        <x:f t="shared" si="74"/>
        <x:v/>
      </x:c>
      <x:c r="EL17" s="1090" t="str">
        <x:f t="shared" si="75"/>
        <x:v/>
      </x:c>
      <x:c r="EM17" s="1053" t="str">
        <x:f t="shared" si="76"/>
        <x:v/>
      </x:c>
      <x:c r="EN17" s="1053" t="str">
        <x:f t="shared" si="77"/>
        <x:v/>
      </x:c>
      <x:c r="EO17" s="1053" t="str">
        <x:f t="shared" si="78"/>
        <x:v>ERR</x:v>
      </x:c>
      <x:c r="EP17" s="1053" t="str">
        <x:f t="shared" si="79"/>
        <x:v>ERR</x:v>
      </x:c>
      <x:c r="EQ17" s="1053" t="str">
        <x:f t="shared" si="80"/>
        <x:v/>
      </x:c>
      <x:c r="ER17" s="1053" t="str">
        <x:f t="shared" si="80"/>
        <x:v/>
      </x:c>
      <x:c r="ES17" s="1053" t="str">
        <x:f t="shared" si="81"/>
        <x:v/>
      </x:c>
      <x:c r="ET17" s="1053" t="str">
        <x:f t="shared" si="82"/>
        <x:v/>
      </x:c>
      <x:c r="EU17" s="1061">
        <x:f t="shared" si="83"/>
        <x:v>4</x:v>
      </x:c>
      <x:c r="EV17" s="1055" t="str">
        <x:f t="shared" si="84"/>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5"/>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6"/>
        <x:v/>
      </x:c>
      <x:c r="FD17" s="1052">
        <x:f t="shared" ref="FD17:FD45" si="108">IF(DD17="",0,ATAN(DD17/12))</x:f>
        <x:v>0</x:v>
      </x:c>
      <x:c r="FE17" s="1052">
        <x:f t="shared" si="87"/>
        <x:v>0</x:v>
      </x:c>
      <x:c r="FF17" s="1052">
        <x:f t="shared" si="88"/>
        <x:v>0</x:v>
      </x:c>
      <x:c r="FG17" s="1052" t="str">
        <x:f t="shared" si="89"/>
        <x:v/>
      </x:c>
      <x:c r="FH17" s="1053" t="str">
        <x:f t="shared" si="90"/>
        <x:v/>
      </x:c>
      <x:c r="FI17" s="1052">
        <x:f t="shared" ref="FI17:FI45" si="109">IF(DN17="",0,ATAN(DN17/12))</x:f>
        <x:v>0</x:v>
      </x:c>
      <x:c r="FJ17" s="1052">
        <x:f t="shared" si="91"/>
        <x:v>0</x:v>
      </x:c>
      <x:c r="FK17" s="1052">
        <x:f t="shared" si="92"/>
        <x:v>0</x:v>
      </x:c>
      <x:c r="FL17" s="1052" t="str">
        <x:f t="shared" si="93"/>
        <x:v/>
      </x:c>
      <x:c r="FM17" s="1053" t="str">
        <x:f t="shared" si="94"/>
        <x:v/>
      </x:c>
      <x:c r="FN17" s="1053" t="e">
        <x:f t="shared" si="95"/>
        <x:v>#VALUE!</x:v>
      </x:c>
      <x:c r="FO17" s="1062" t="e">
        <x:f t="shared" si="96"/>
        <x:v>#VALUE!</x:v>
      </x:c>
      <x:c r="FP17" s="1062" t="e">
        <x:f t="shared" si="97"/>
        <x:v>#VALUE!</x:v>
      </x:c>
      <x:c r="FQ17" s="1063" t="e">
        <x:f t="shared" si="98"/>
        <x:v>#VALUE!</x:v>
      </x:c>
      <x:c r="FR17" s="1064" t="e">
        <x:f t="shared" si="99"/>
        <x:v>#VALUE!</x:v>
      </x:c>
      <x:c r="FS17" s="1065" t="str">
        <x:f t="shared" si="100"/>
        <x:v/>
      </x:c>
      <x:c r="FT17" s="1066" t="str">
        <x:f t="shared" si="101"/>
        <x:v/>
      </x:c>
      <x:c r="FU17" s="1105">
        <x:f t="shared" si="102"/>
        <x:v>0</x:v>
      </x:c>
      <x:c r="FV17" s="1106">
        <x:f t="shared" si="103"/>
        <x:v>0</x:v>
      </x:c>
      <x:c r="GA17" s="1975">
        <x:v>59</x:v>
      </x:c>
      <x:c r="GB17" s="1976">
        <x:v>2.75</x:v>
      </x:c>
      <x:c r="GC17" s="1977">
        <x:v>-1.875</x:v>
      </x:c>
      <x:c r="GD17" s="1978">
        <x:v>-0.25</x:v>
      </x:c>
      <x:c r="GE17" s="1979">
        <x:v>0.26169539219134702</x:v>
      </x:c>
      <x:c r="GF17" s="1980" t="str">
        <x:f t="shared" si="104"/>
        <x:v>TJ18</x:v>
      </x:c>
      <x:c r="GG17" s="1453"/>
      <x:c r="GH17" s="1454"/>
      <x:c r="GI17" s="1453"/>
      <x:c r="GJ17" s="1454"/>
      <x:c r="GK17" s="533">
        <x:f t="shared" si="105"/>
        <x:v>708.625</x:v>
      </x:c>
      <x:c r="GL17" s="534">
        <x:f t="shared" si="106"/>
        <x:v>708.79348626656247</x:v>
      </x:c>
      <x:c r="GM17" s="535">
        <x:f>IF(ABS(GK17-GL17)&gt;='Job Info.'!$L$22,ABS(GK17-GL17),0)</x:f>
        <x:v>0</x:v>
      </x:c>
      <x:c r="HA17" s="1658" t="s">
        <x:v>1342</x:v>
      </x:c>
      <x:c r="HB17" s="1659">
        <x:v>5</x:v>
      </x:c>
      <x:c r="HC17" s="1659" t="s">
        <x:v>1978</x:v>
      </x:c>
      <x:c r="HD17" s="1660">
        <x:v>59</x:v>
      </x:c>
      <x:c r="HE17" s="1661">
        <x:v>0.625</x:v>
      </x:c>
      <x:c r="HF17" s="1659" t="s">
        <x:v>117</x:v>
      </x:c>
      <x:c r="HG17" s="1659" t="s">
        <x:v>117</x:v>
      </x:c>
      <x:c r="HH17" s="1659" t="s">
        <x:v>117</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1.125</x:v>
      </x:c>
      <x:c r="HV17" s="1659">
        <x:v>0</x:v>
      </x:c>
      <x:c r="HW17" s="1661">
        <x:v>2.25</x:v>
      </x:c>
      <x:c r="HX17" s="1661">
        <x:v>4</x:v>
      </x:c>
      <x:c r="HY17" s="1661" t="s">
        <x:v>117</x:v>
      </x:c>
      <x:c r="HZ17" s="1661" t="s">
        <x:v>117</x:v>
      </x:c>
      <x:c r="IA17" s="1661" t="s">
        <x:v>2079</x:v>
      </x:c>
      <x:c r="IB17" s="1661"/>
      <x:c r="IC17" s="1661"/>
      <x:c r="ID17" s="1661"/>
      <x:c r="IE17" s="1661"/>
      <x:c r="IF17" s="1663"/>
    </x:row>
    <x:row r="18" spans="1:240" ht="12.6" customHeight="1" x14ac:dyDescent="0.25">
      <x:c r="A18" s="1264" t="s">
        <x:v>1343</x:v>
      </x:c>
      <x:c r="B18" s="1265">
        <x:v>0</x:v>
      </x:c>
      <x:c r="C18" s="1265" t="s">
        <x:v>1978</x:v>
      </x:c>
      <x:c r="D18" s="1261">
        <x:v>59</x:v>
      </x:c>
      <x:c r="E18" s="1366">
        <x:v>0.625</x:v>
      </x:c>
      <x:c r="F18" s="1328" t="str">
        <x:f t="shared" si="1"/>
        <x:v/>
      </x:c>
      <x:c r="G18" s="1262" t="str">
        <x:f t="shared" si="2"/>
        <x:v/>
      </x:c>
      <x:c r="H18" s="1266" t="str">
        <x:f t="shared" si="3"/>
        <x:v/>
      </x:c>
      <x:c r="I18" s="1261">
        <x:v>0</x:v>
      </x:c>
      <x:c r="J18" s="1262">
        <x:v>1.375</x:v>
      </x:c>
      <x:c r="K18" s="1370" t="s">
        <x:v>114</x:v>
      </x:c>
      <x:c r="L18" s="1327">
        <x:v>3</x:v>
      </x:c>
      <x:c r="M18" s="1329">
        <x:v>3</x:v>
      </x:c>
      <x:c r="N18" s="1263" t="str">
        <x:f t="shared" si="4"/>
        <x:v/>
      </x:c>
      <x:c r="O18" s="1262" t="str">
        <x:f t="shared" si="5"/>
        <x:v/>
      </x:c>
      <x:c r="P18" s="1260" t="str">
        <x:f t="shared" si="6"/>
        <x:v/>
      </x:c>
      <x:c r="Q18" s="1261" t="str">
        <x:f t="shared" si="7"/>
        <x:v/>
      </x:c>
      <x:c r="R18" s="1262" t="str">
        <x:f t="shared" si="8"/>
        <x:v/>
      </x:c>
      <x:c r="S18" s="1375" t="str">
        <x:f t="shared" si="9"/>
        <x:v/>
      </x:c>
      <x:c r="T18" s="1328" t="str">
        <x:f t="shared" si="10"/>
        <x:v/>
      </x:c>
      <x:c r="U18" s="1262" t="str">
        <x:f t="shared" si="11"/>
        <x:v/>
      </x:c>
      <x:c r="V18" s="1261" t="str">
        <x:f t="shared" si="12"/>
        <x:v/>
      </x:c>
      <x:c r="W18" s="1262" t="str">
        <x:f t="shared" si="13"/>
        <x:v/>
      </x:c>
      <x:c r="X18" s="1329">
        <x:f t="shared" si="14"/>
        <x:v>0</x:v>
      </x:c>
      <x:c r="Y18" s="1377" t="str">
        <x:f t="shared" si="15"/>
        <x:v/>
      </x:c>
      <x:c r="Z18" s="1378" t="str">
        <x:f t="shared" si="16"/>
        <x:v/>
      </x:c>
      <x:c r="AA18" s="2159" t="s">
        <x:v>2080</x:v>
      </x:c>
      <x:c r="AC18" s="1226" t="b">
        <x:v>0</x:v>
      </x:c>
      <x:c r="AD18" s="525">
        <x:f t="shared" si="17"/>
        <x:v>0</x:v>
      </x:c>
      <x:c r="AE18" s="526">
        <x:f t="shared" si="18"/>
        <x:v>0</x:v>
      </x:c>
      <x:c r="AF18" s="526">
        <x:f t="shared" si="19"/>
        <x:v>0</x:v>
      </x:c>
      <x:c r="AG18" s="526">
        <x:f t="shared" si="20"/>
        <x:v>0</x:v>
      </x:c>
      <x:c r="AH18" s="527">
        <x:f t="shared" si="21"/>
        <x:v>0</x:v>
      </x:c>
      <x:c r="AI18" s="528" t="b">
        <x:v>0</x:v>
      </x:c>
      <x:c r="AJ18" s="284">
        <x:f t="shared" si="22"/>
        <x:v>36</x:v>
      </x:c>
      <x:c r="AK18" s="1063" t="str">
        <x:f t="shared" si="23"/>
        <x:v>LH</x:v>
      </x:c>
      <x:c r="AL18" s="1202" t="str">
        <x:f t="shared" si="24"/>
        <x:v/>
      </x:c>
      <x:c r="AM18" s="1063">
        <x:f t="shared" si="25"/>
        <x:v>270</x:v>
      </x:c>
      <x:c r="AN18" s="1063">
        <x:f t="shared" si="26"/>
        <x:v>120</x:v>
      </x:c>
      <x:c r="AO18" s="1063" t="str">
        <x:f t="shared" si="27"/>
        <x:v/>
      </x:c>
      <x:c r="AP18" s="1063" t="b">
        <x:f>IF(ISERROR(AJ18),FALSE,IF(OR(AJ18=0,ISERROR(AL18),ISERROR(AM18),ISERROR(AN18),ISERROR(AO18)),FALSE,IF(AL18&lt;&gt;"",IF(ISERROR(VLOOKUP(SUBSTITUTE(SUBSTITUTE(C18,"R",""),"A",""),TblJoistSize!$A:$A,1,FALSE)),FALSE,TRUE),TRUE)))</x:f>
        <x:v>1</x:v>
      </x:c>
      <x:c r="AQ18" s="1305">
        <x:f t="shared" si="28"/>
        <x:v>6</x:v>
      </x:c>
      <x:c r="AR18" s="1305" t="b">
        <x:f t="shared" si="29"/>
        <x:v>0</x:v>
      </x:c>
      <x:c r="AS18" s="1305">
        <x:f t="shared" si="30"/>
        <x:v>7.375</x:v>
      </x:c>
      <x:c r="AT18" s="1305" t="b">
        <x:f t="shared" si="31"/>
        <x:v>0</x:v>
      </x:c>
      <x:c r="AU18" s="1203" t="str">
        <x:f t="shared" si="32"/>
        <x:v>LH</x:v>
      </x:c>
      <x:c r="AV18" s="1063" t="str">
        <x:f t="shared" si="33"/>
        <x:v/>
      </x:c>
      <x:c r="AW18" s="1063" t="str">
        <x:f t="shared" si="34"/>
        <x:v>LH</x:v>
      </x:c>
      <x:c r="AX18" s="1063" t="str">
        <x:f t="shared" si="107"/>
        <x:v>J19</x:v>
      </x:c>
      <x:c r="AY18" s="1306" t="b">
        <x:f t="shared" si="35"/>
        <x:v>0</x:v>
      </x:c>
      <x:c r="AZ18" s="1090" t="b">
        <x:f t="shared" si="36"/>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7"/>
        <x:v/>
      </x:c>
      <x:c r="CE18" s="935" t="str">
        <x:f t="shared" si="38"/>
        <x:v/>
      </x:c>
      <x:c r="CF18" s="1149"/>
      <x:c r="CG18" s="1150"/>
      <x:c r="CH18" s="738" t="str">
        <x:f t="shared" si="39"/>
        <x:v/>
      </x:c>
      <x:c r="CI18" s="739" t="str">
        <x:f t="shared" si="40"/>
        <x:v/>
      </x:c>
      <x:c r="CJ18" s="740" t="str">
        <x:f t="shared" si="41"/>
        <x:v/>
      </x:c>
      <x:c r="CK18" s="741" t="str">
        <x:f t="shared" si="42"/>
        <x:v/>
      </x:c>
      <x:c r="CL18" s="742" t="str">
        <x:f t="shared" si="43"/>
        <x:v/>
      </x:c>
      <x:c r="CM18" s="743" t="str">
        <x:f t="shared" si="44"/>
        <x:v/>
      </x:c>
      <x:c r="CN18" s="744" t="str">
        <x:f t="shared" si="45"/>
        <x:v/>
      </x:c>
      <x:c r="CO18" s="745" t="str">
        <x:f t="shared" si="46"/>
        <x:v/>
      </x:c>
      <x:c r="CP18" s="762" t="str">
        <x:f t="shared" si="47"/>
        <x:v/>
      </x:c>
      <x:c r="CQ18" s="763" t="str">
        <x:f t="shared" si="48"/>
        <x:v/>
      </x:c>
      <x:c r="CR18" s="953">
        <x:f t="shared" si="49"/>
        <x:v>5</x:v>
      </x:c>
      <x:c r="CS18" s="954">
        <x:f t="shared" si="50"/>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51"/>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52"/>
        <x:v>0</x:v>
      </x:c>
      <x:c r="DO18" s="1049">
        <x:f t="shared" si="53"/>
        <x:v>0</x:v>
      </x:c>
      <x:c r="DP18" s="1053" t="str">
        <x:f t="shared" si="54"/>
        <x:v/>
      </x:c>
      <x:c r="DQ18" s="1053" t="str">
        <x:f t="shared" si="55"/>
        <x:v/>
      </x:c>
      <x:c r="DR18" s="1053" t="str">
        <x:f t="shared" si="56"/>
        <x:v/>
      </x:c>
      <x:c r="DS18" s="1052">
        <x:f t="shared" si="57"/>
        <x:v>0</x:v>
      </x:c>
      <x:c r="DT18" s="1052">
        <x:f t="shared" si="58"/>
        <x:v>0</x:v>
      </x:c>
      <x:c r="DU18" s="1052" t="str">
        <x:f t="shared" si="59"/>
        <x:v/>
      </x:c>
      <x:c r="DV18" s="1053" t="str">
        <x:f t="shared" si="60"/>
        <x:v/>
      </x:c>
      <x:c r="DW18" s="1053" t="str">
        <x:f t="shared" si="61"/>
        <x:v/>
      </x:c>
      <x:c r="DX18" s="1269">
        <x:f t="shared" si="62"/>
        <x:v>0</x:v>
      </x:c>
      <x:c r="DY18" s="1053">
        <x:f t="shared" si="63"/>
        <x:v>0</x:v>
      </x:c>
      <x:c r="DZ18" s="1052">
        <x:f t="shared" si="64"/>
        <x:v>0</x:v>
      </x:c>
      <x:c r="EA18" s="1052" t="str">
        <x:f t="shared" si="65"/>
        <x:v/>
      </x:c>
      <x:c r="EB18" s="1053" t="str">
        <x:f t="shared" si="66"/>
        <x:v/>
      </x:c>
      <x:c r="EC18" s="1053" t="str">
        <x:f t="shared" si="67"/>
        <x:v/>
      </x:c>
      <x:c r="ED18" s="1269">
        <x:f t="shared" si="68"/>
        <x:v>0</x:v>
      </x:c>
      <x:c r="EE18" s="1090" t="str">
        <x:f t="shared" si="69"/>
        <x:v/>
      </x:c>
      <x:c r="EF18" s="1053" t="str">
        <x:f t="shared" si="70"/>
        <x:v/>
      </x:c>
      <x:c r="EG18" s="1053" t="str">
        <x:f t="shared" si="71"/>
        <x:v/>
      </x:c>
      <x:c r="EH18" s="1053" t="str">
        <x:f t="shared" si="72"/>
        <x:v>ERR</x:v>
      </x:c>
      <x:c r="EI18" s="1053" t="str">
        <x:f t="shared" si="73"/>
        <x:v>ERR</x:v>
      </x:c>
      <x:c r="EJ18" s="1053" t="str">
        <x:f t="shared" si="74"/>
        <x:v/>
      </x:c>
      <x:c r="EK18" s="1053" t="str">
        <x:f t="shared" si="74"/>
        <x:v/>
      </x:c>
      <x:c r="EL18" s="1090" t="str">
        <x:f t="shared" si="75"/>
        <x:v/>
      </x:c>
      <x:c r="EM18" s="1053" t="str">
        <x:f t="shared" si="76"/>
        <x:v/>
      </x:c>
      <x:c r="EN18" s="1053" t="str">
        <x:f t="shared" si="77"/>
        <x:v/>
      </x:c>
      <x:c r="EO18" s="1053" t="str">
        <x:f t="shared" si="78"/>
        <x:v>ERR</x:v>
      </x:c>
      <x:c r="EP18" s="1053" t="str">
        <x:f t="shared" si="79"/>
        <x:v>ERR</x:v>
      </x:c>
      <x:c r="EQ18" s="1053" t="str">
        <x:f t="shared" si="80"/>
        <x:v/>
      </x:c>
      <x:c r="ER18" s="1053" t="str">
        <x:f t="shared" si="80"/>
        <x:v/>
      </x:c>
      <x:c r="ES18" s="1053" t="str">
        <x:f t="shared" si="81"/>
        <x:v/>
      </x:c>
      <x:c r="ET18" s="1053" t="str">
        <x:f t="shared" si="82"/>
        <x:v/>
      </x:c>
      <x:c r="EU18" s="1061">
        <x:f t="shared" si="83"/>
        <x:v>4</x:v>
      </x:c>
      <x:c r="EV18" s="1055" t="str">
        <x:f t="shared" si="84"/>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5"/>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6"/>
        <x:v/>
      </x:c>
      <x:c r="FD18" s="1052">
        <x:f t="shared" si="108"/>
        <x:v>0</x:v>
      </x:c>
      <x:c r="FE18" s="1052">
        <x:f t="shared" si="87"/>
        <x:v>0</x:v>
      </x:c>
      <x:c r="FF18" s="1052">
        <x:f t="shared" si="88"/>
        <x:v>0</x:v>
      </x:c>
      <x:c r="FG18" s="1052" t="str">
        <x:f t="shared" si="89"/>
        <x:v/>
      </x:c>
      <x:c r="FH18" s="1053" t="str">
        <x:f t="shared" si="90"/>
        <x:v/>
      </x:c>
      <x:c r="FI18" s="1052">
        <x:f t="shared" si="109"/>
        <x:v>0</x:v>
      </x:c>
      <x:c r="FJ18" s="1052">
        <x:f t="shared" si="91"/>
        <x:v>0</x:v>
      </x:c>
      <x:c r="FK18" s="1052">
        <x:f t="shared" si="92"/>
        <x:v>0</x:v>
      </x:c>
      <x:c r="FL18" s="1052" t="str">
        <x:f t="shared" si="93"/>
        <x:v/>
      </x:c>
      <x:c r="FM18" s="1053" t="str">
        <x:f t="shared" si="94"/>
        <x:v/>
      </x:c>
      <x:c r="FN18" s="1053" t="e">
        <x:f t="shared" si="95"/>
        <x:v>#VALUE!</x:v>
      </x:c>
      <x:c r="FO18" s="1062" t="e">
        <x:f t="shared" si="96"/>
        <x:v>#VALUE!</x:v>
      </x:c>
      <x:c r="FP18" s="1062" t="e">
        <x:f t="shared" si="97"/>
        <x:v>#VALUE!</x:v>
      </x:c>
      <x:c r="FQ18" s="1063" t="e">
        <x:f t="shared" si="98"/>
        <x:v>#VALUE!</x:v>
      </x:c>
      <x:c r="FR18" s="1064" t="e">
        <x:f t="shared" si="99"/>
        <x:v>#VALUE!</x:v>
      </x:c>
      <x:c r="FS18" s="1065" t="str">
        <x:f t="shared" si="100"/>
        <x:v/>
      </x:c>
      <x:c r="FT18" s="1066" t="str">
        <x:f t="shared" si="101"/>
        <x:v/>
      </x:c>
      <x:c r="FU18" s="1105">
        <x:f t="shared" si="102"/>
        <x:v>0</x:v>
      </x:c>
      <x:c r="FV18" s="1106">
        <x:f t="shared" si="103"/>
        <x:v>0</x:v>
      </x:c>
      <x:c r="GA18" s="1975">
        <x:v>59</x:v>
      </x:c>
      <x:c r="GB18" s="1976">
        <x:v>2.75</x:v>
      </x:c>
      <x:c r="GC18" s="1977">
        <x:v>-1.875</x:v>
      </x:c>
      <x:c r="GD18" s="1978">
        <x:v>-0.25</x:v>
      </x:c>
      <x:c r="GE18" s="1979">
        <x:v>0.26169539219134702</x:v>
      </x:c>
      <x:c r="GF18" s="1980" t="str">
        <x:f t="shared" si="104"/>
        <x:v>J19</x:v>
      </x:c>
      <x:c r="GG18" s="1453"/>
      <x:c r="GH18" s="1454"/>
      <x:c r="GI18" s="1453"/>
      <x:c r="GJ18" s="1454"/>
      <x:c r="GK18" s="533">
        <x:f t="shared" si="105"/>
        <x:v>708.625</x:v>
      </x:c>
      <x:c r="GL18" s="534">
        <x:f t="shared" si="106"/>
        <x:v>708.79348626656247</x:v>
      </x:c>
      <x:c r="GM18" s="535">
        <x:f>IF(ABS(GK18-GL18)&gt;='Job Info.'!$L$22,ABS(GK18-GL18),0)</x:f>
        <x:v>0</x:v>
      </x:c>
      <x:c r="HA18" s="1658" t="s">
        <x:v>1343</x:v>
      </x:c>
      <x:c r="HB18" s="1659">
        <x:v>4</x:v>
      </x:c>
      <x:c r="HC18" s="1659" t="s">
        <x:v>1978</x:v>
      </x:c>
      <x:c r="HD18" s="1660">
        <x:v>59</x:v>
      </x:c>
      <x:c r="HE18" s="1661">
        <x:v>0.625</x:v>
      </x:c>
      <x:c r="HF18" s="1659" t="s">
        <x:v>117</x:v>
      </x:c>
      <x:c r="HG18" s="1659" t="s">
        <x:v>117</x:v>
      </x:c>
      <x:c r="HH18" s="1659" t="s">
        <x:v>117</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2080</x:v>
      </x:c>
      <x:c r="IB18" s="1661"/>
      <x:c r="IC18" s="1661"/>
      <x:c r="ID18" s="1661"/>
      <x:c r="IE18" s="1661"/>
      <x:c r="IF18" s="1663"/>
    </x:row>
    <x:row r="19" spans="1:240" ht="12.6" customHeight="1" x14ac:dyDescent="0.25">
      <x:c r="A19" s="1264" t="s">
        <x:v>1344</x:v>
      </x:c>
      <x:c r="B19" s="1265">
        <x:v>0</x:v>
      </x:c>
      <x:c r="C19" s="1265" t="s">
        <x:v>1978</x:v>
      </x:c>
      <x:c r="D19" s="1261">
        <x:v>58</x:v>
      </x:c>
      <x:c r="E19" s="1366">
        <x:v>11.875</x:v>
      </x:c>
      <x:c r="F19" s="1328" t="str">
        <x:f t="shared" si="1"/>
        <x:v/>
      </x:c>
      <x:c r="G19" s="1262" t="str">
        <x:f t="shared" si="2"/>
        <x:v/>
      </x:c>
      <x:c r="H19" s="1266" t="str">
        <x:f t="shared" si="3"/>
        <x:v/>
      </x:c>
      <x:c r="I19" s="1261">
        <x:v>0</x:v>
      </x:c>
      <x:c r="J19" s="1262">
        <x:v>0.625</x:v>
      </x:c>
      <x:c r="K19" s="1370" t="s">
        <x:v>114</x:v>
      </x:c>
      <x:c r="L19" s="1327">
        <x:v>3</x:v>
      </x:c>
      <x:c r="M19" s="1329">
        <x:v>3</x:v>
      </x:c>
      <x:c r="N19" s="1263" t="str">
        <x:f t="shared" si="4"/>
        <x:v/>
      </x:c>
      <x:c r="O19" s="1262" t="str">
        <x:f t="shared" si="5"/>
        <x:v/>
      </x:c>
      <x:c r="P19" s="1260" t="str">
        <x:f t="shared" si="6"/>
        <x:v/>
      </x:c>
      <x:c r="Q19" s="1261">
        <x:v>0</x:v>
      </x:c>
      <x:c r="R19" s="1262">
        <x:v>6.75</x:v>
      </x:c>
      <x:c r="S19" s="1375">
        <x:v>2</x:v>
      </x:c>
      <x:c r="T19" s="1328">
        <x:v>0</x:v>
      </x:c>
      <x:c r="U19" s="1262">
        <x:v>1.125</x:v>
      </x:c>
      <x:c r="V19" s="1261">
        <x:v>0</x:v>
      </x:c>
      <x:c r="W19" s="1262">
        <x:v>1.5</x:v>
      </x:c>
      <x:c r="X19" s="1329">
        <x:v>4</x:v>
      </x:c>
      <x:c r="Y19" s="1377" t="str">
        <x:f t="shared" si="15"/>
        <x:v/>
      </x:c>
      <x:c r="Z19" s="1378" t="str">
        <x:f t="shared" si="16"/>
        <x:v/>
      </x:c>
      <x:c r="AA19" s="2159" t="s">
        <x:v>2079</x:v>
      </x:c>
      <x:c r="AC19" s="1226" t="b">
        <x:v>0</x:v>
      </x:c>
      <x:c r="AD19" s="525">
        <x:f t="shared" si="17"/>
        <x:v>0</x:v>
      </x:c>
      <x:c r="AE19" s="526">
        <x:f t="shared" si="18"/>
        <x:v>0</x:v>
      </x:c>
      <x:c r="AF19" s="526">
        <x:f t="shared" si="19"/>
        <x:v>0</x:v>
      </x:c>
      <x:c r="AG19" s="526">
        <x:f t="shared" si="20"/>
        <x:v>0</x:v>
      </x:c>
      <x:c r="AH19" s="527">
        <x:f t="shared" si="21"/>
        <x:v>0</x:v>
      </x:c>
      <x:c r="AI19" s="528" t="b">
        <x:v>0</x:v>
      </x:c>
      <x:c r="AJ19" s="284">
        <x:f t="shared" si="22"/>
        <x:v>36</x:v>
      </x:c>
      <x:c r="AK19" s="1063" t="str">
        <x:f t="shared" si="23"/>
        <x:v>LH</x:v>
      </x:c>
      <x:c r="AL19" s="1202" t="str">
        <x:f t="shared" si="24"/>
        <x:v/>
      </x:c>
      <x:c r="AM19" s="1063">
        <x:f t="shared" si="25"/>
        <x:v>270</x:v>
      </x:c>
      <x:c r="AN19" s="1063">
        <x:f t="shared" si="26"/>
        <x:v>120</x:v>
      </x:c>
      <x:c r="AO19" s="1063" t="str">
        <x:f t="shared" si="27"/>
        <x:v/>
      </x:c>
      <x:c r="AP19" s="1063" t="b">
        <x:f>IF(ISERROR(AJ19),FALSE,IF(OR(AJ19=0,ISERROR(AL19),ISERROR(AM19),ISERROR(AN19),ISERROR(AO19)),FALSE,IF(AL19&lt;&gt;"",IF(ISERROR(VLOOKUP(SUBSTITUTE(SUBSTITUTE(C19,"R",""),"A",""),TblJoistSize!$A:$A,1,FALSE)),FALSE,TRUE),TRUE)))</x:f>
        <x:v>1</x:v>
      </x:c>
      <x:c r="AQ19" s="1305">
        <x:f t="shared" si="28"/>
        <x:v>6</x:v>
      </x:c>
      <x:c r="AR19" s="1305" t="b">
        <x:f t="shared" si="29"/>
        <x:v>1</x:v>
      </x:c>
      <x:c r="AS19" s="1305">
        <x:f t="shared" si="30"/>
        <x:v>6.625</x:v>
      </x:c>
      <x:c r="AT19" s="1305" t="b">
        <x:f t="shared" si="31"/>
        <x:v>1</x:v>
      </x:c>
      <x:c r="AU19" s="1203" t="str">
        <x:f t="shared" si="32"/>
        <x:v>LH</x:v>
      </x:c>
      <x:c r="AV19" s="1063" t="str">
        <x:f t="shared" si="33"/>
        <x:v/>
      </x:c>
      <x:c r="AW19" s="1063" t="str">
        <x:f t="shared" si="34"/>
        <x:v>LH</x:v>
      </x:c>
      <x:c r="AX19" s="1063" t="str">
        <x:f t="shared" si="107"/>
        <x:v>TJ20</x:v>
      </x:c>
      <x:c r="AY19" s="1306" t="b">
        <x:f t="shared" si="35"/>
        <x:v>0</x:v>
      </x:c>
      <x:c r="AZ19" s="1090" t="b">
        <x:f t="shared" si="36"/>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7"/>
        <x:v/>
      </x:c>
      <x:c r="CE19" s="935" t="str">
        <x:f t="shared" si="38"/>
        <x:v/>
      </x:c>
      <x:c r="CF19" s="1149"/>
      <x:c r="CG19" s="1150"/>
      <x:c r="CH19" s="738" t="str">
        <x:f t="shared" si="39"/>
        <x:v/>
      </x:c>
      <x:c r="CI19" s="739" t="str">
        <x:f t="shared" si="40"/>
        <x:v/>
      </x:c>
      <x:c r="CJ19" s="740" t="str">
        <x:f t="shared" si="41"/>
        <x:v/>
      </x:c>
      <x:c r="CK19" s="741" t="str">
        <x:f t="shared" si="42"/>
        <x:v/>
      </x:c>
      <x:c r="CL19" s="742" t="str">
        <x:f t="shared" si="43"/>
        <x:v/>
      </x:c>
      <x:c r="CM19" s="743" t="str">
        <x:f t="shared" si="44"/>
        <x:v/>
      </x:c>
      <x:c r="CN19" s="744" t="str">
        <x:f t="shared" si="45"/>
        <x:v/>
      </x:c>
      <x:c r="CO19" s="745" t="str">
        <x:f t="shared" si="46"/>
        <x:v/>
      </x:c>
      <x:c r="CP19" s="762" t="str">
        <x:f t="shared" si="47"/>
        <x:v/>
      </x:c>
      <x:c r="CQ19" s="763" t="str">
        <x:f t="shared" si="48"/>
        <x:v/>
      </x:c>
      <x:c r="CR19" s="953">
        <x:f t="shared" si="49"/>
        <x:v>5</x:v>
      </x:c>
      <x:c r="CS19" s="954">
        <x:f t="shared" si="50"/>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51"/>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52"/>
        <x:v>0</x:v>
      </x:c>
      <x:c r="DO19" s="1049">
        <x:f t="shared" si="53"/>
        <x:v>0</x:v>
      </x:c>
      <x:c r="DP19" s="1053" t="str">
        <x:f t="shared" si="54"/>
        <x:v/>
      </x:c>
      <x:c r="DQ19" s="1053" t="str">
        <x:f t="shared" si="55"/>
        <x:v/>
      </x:c>
      <x:c r="DR19" s="1053" t="str">
        <x:f t="shared" si="56"/>
        <x:v/>
      </x:c>
      <x:c r="DS19" s="1052">
        <x:f t="shared" si="57"/>
        <x:v>0</x:v>
      </x:c>
      <x:c r="DT19" s="1052">
        <x:f t="shared" si="58"/>
        <x:v>0</x:v>
      </x:c>
      <x:c r="DU19" s="1052" t="str">
        <x:f t="shared" si="59"/>
        <x:v/>
      </x:c>
      <x:c r="DV19" s="1053" t="str">
        <x:f t="shared" si="60"/>
        <x:v/>
      </x:c>
      <x:c r="DW19" s="1053" t="str">
        <x:f t="shared" si="61"/>
        <x:v/>
      </x:c>
      <x:c r="DX19" s="1269">
        <x:f t="shared" si="62"/>
        <x:v>0</x:v>
      </x:c>
      <x:c r="DY19" s="1053">
        <x:f t="shared" si="63"/>
        <x:v>0</x:v>
      </x:c>
      <x:c r="DZ19" s="1052">
        <x:f t="shared" si="64"/>
        <x:v>0</x:v>
      </x:c>
      <x:c r="EA19" s="1052" t="str">
        <x:f t="shared" si="65"/>
        <x:v/>
      </x:c>
      <x:c r="EB19" s="1053" t="str">
        <x:f t="shared" si="66"/>
        <x:v/>
      </x:c>
      <x:c r="EC19" s="1053" t="str">
        <x:f t="shared" si="67"/>
        <x:v/>
      </x:c>
      <x:c r="ED19" s="1269">
        <x:f t="shared" si="68"/>
        <x:v>0</x:v>
      </x:c>
      <x:c r="EE19" s="1090" t="str">
        <x:f t="shared" si="69"/>
        <x:v/>
      </x:c>
      <x:c r="EF19" s="1053" t="str">
        <x:f t="shared" si="70"/>
        <x:v/>
      </x:c>
      <x:c r="EG19" s="1053" t="str">
        <x:f t="shared" si="71"/>
        <x:v/>
      </x:c>
      <x:c r="EH19" s="1053" t="str">
        <x:f t="shared" si="72"/>
        <x:v>ERR</x:v>
      </x:c>
      <x:c r="EI19" s="1053" t="str">
        <x:f t="shared" si="73"/>
        <x:v>ERR</x:v>
      </x:c>
      <x:c r="EJ19" s="1053" t="str">
        <x:f t="shared" si="74"/>
        <x:v/>
      </x:c>
      <x:c r="EK19" s="1053" t="str">
        <x:f t="shared" si="74"/>
        <x:v/>
      </x:c>
      <x:c r="EL19" s="1090" t="str">
        <x:f t="shared" si="75"/>
        <x:v/>
      </x:c>
      <x:c r="EM19" s="1053" t="str">
        <x:f t="shared" si="76"/>
        <x:v/>
      </x:c>
      <x:c r="EN19" s="1053" t="str">
        <x:f t="shared" si="77"/>
        <x:v/>
      </x:c>
      <x:c r="EO19" s="1053" t="str">
        <x:f t="shared" si="78"/>
        <x:v>ERR</x:v>
      </x:c>
      <x:c r="EP19" s="1053" t="str">
        <x:f t="shared" si="79"/>
        <x:v>ERR</x:v>
      </x:c>
      <x:c r="EQ19" s="1053" t="str">
        <x:f t="shared" si="80"/>
        <x:v/>
      </x:c>
      <x:c r="ER19" s="1053" t="str">
        <x:f t="shared" si="80"/>
        <x:v/>
      </x:c>
      <x:c r="ES19" s="1053" t="str">
        <x:f t="shared" si="81"/>
        <x:v/>
      </x:c>
      <x:c r="ET19" s="1053" t="str">
        <x:f t="shared" si="82"/>
        <x:v/>
      </x:c>
      <x:c r="EU19" s="1061">
        <x:f t="shared" si="83"/>
        <x:v>4</x:v>
      </x:c>
      <x:c r="EV19" s="1055" t="str">
        <x:f t="shared" si="84"/>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5"/>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6"/>
        <x:v/>
      </x:c>
      <x:c r="FD19" s="1052">
        <x:f t="shared" si="108"/>
        <x:v>0</x:v>
      </x:c>
      <x:c r="FE19" s="1052">
        <x:f t="shared" si="87"/>
        <x:v>0</x:v>
      </x:c>
      <x:c r="FF19" s="1052">
        <x:f t="shared" si="88"/>
        <x:v>0</x:v>
      </x:c>
      <x:c r="FG19" s="1052" t="str">
        <x:f t="shared" si="89"/>
        <x:v/>
      </x:c>
      <x:c r="FH19" s="1053" t="str">
        <x:f t="shared" si="90"/>
        <x:v/>
      </x:c>
      <x:c r="FI19" s="1052">
        <x:f t="shared" si="109"/>
        <x:v>0</x:v>
      </x:c>
      <x:c r="FJ19" s="1052">
        <x:f t="shared" si="91"/>
        <x:v>0</x:v>
      </x:c>
      <x:c r="FK19" s="1052">
        <x:f t="shared" si="92"/>
        <x:v>0</x:v>
      </x:c>
      <x:c r="FL19" s="1052" t="str">
        <x:f t="shared" si="93"/>
        <x:v/>
      </x:c>
      <x:c r="FM19" s="1053" t="str">
        <x:f t="shared" si="94"/>
        <x:v/>
      </x:c>
      <x:c r="FN19" s="1053" t="e">
        <x:f t="shared" si="95"/>
        <x:v>#VALUE!</x:v>
      </x:c>
      <x:c r="FO19" s="1062" t="e">
        <x:f t="shared" si="96"/>
        <x:v>#VALUE!</x:v>
      </x:c>
      <x:c r="FP19" s="1062" t="e">
        <x:f t="shared" si="97"/>
        <x:v>#VALUE!</x:v>
      </x:c>
      <x:c r="FQ19" s="1063" t="e">
        <x:f t="shared" si="98"/>
        <x:v>#VALUE!</x:v>
      </x:c>
      <x:c r="FR19" s="1064" t="e">
        <x:f t="shared" si="99"/>
        <x:v>#VALUE!</x:v>
      </x:c>
      <x:c r="FS19" s="1065" t="str">
        <x:f t="shared" si="100"/>
        <x:v/>
      </x:c>
      <x:c r="FT19" s="1066" t="str">
        <x:f t="shared" si="101"/>
        <x:v/>
      </x:c>
      <x:c r="FU19" s="1105">
        <x:f t="shared" si="102"/>
        <x:v>0</x:v>
      </x:c>
      <x:c r="FV19" s="1106">
        <x:f t="shared" si="103"/>
        <x:v>0</x:v>
      </x:c>
      <x:c r="GA19" s="1975">
        <x:v>59</x:v>
      </x:c>
      <x:c r="GB19" s="1976">
        <x:v>2.75</x:v>
      </x:c>
      <x:c r="GC19" s="1977">
        <x:v>-1.875</x:v>
      </x:c>
      <x:c r="GD19" s="1978">
        <x:v>-1</x:v>
      </x:c>
      <x:c r="GE19" s="1979">
        <x:v>0.26169539219134702</x:v>
      </x:c>
      <x:c r="GF19" s="1980" t="str">
        <x:f t="shared" si="104"/>
        <x:v>TJ20</x:v>
      </x:c>
      <x:c r="GG19" s="1453"/>
      <x:c r="GH19" s="1454"/>
      <x:c r="GI19" s="1453"/>
      <x:c r="GJ19" s="1454"/>
      <x:c r="GK19" s="533">
        <x:f t="shared" si="105"/>
        <x:v>707.875</x:v>
      </x:c>
      <x:c r="GL19" s="534">
        <x:f t="shared" si="106"/>
        <x:v>708.04330794276643</x:v>
      </x:c>
      <x:c r="GM19" s="535">
        <x:f>IF(ABS(GK19-GL19)&gt;='Job Info.'!$L$22,ABS(GK19-GL19),0)</x:f>
        <x:v>0</x:v>
      </x:c>
      <x:c r="HA19" s="1658" t="s">
        <x:v>1344</x:v>
      </x:c>
      <x:c r="HB19" s="1659">
        <x:v>2</x:v>
      </x:c>
      <x:c r="HC19" s="1659" t="s">
        <x:v>1978</x:v>
      </x:c>
      <x:c r="HD19" s="1660">
        <x:v>58</x:v>
      </x:c>
      <x:c r="HE19" s="1661">
        <x:v>11.875</x:v>
      </x:c>
      <x:c r="HF19" s="1659" t="s">
        <x:v>117</x:v>
      </x:c>
      <x:c r="HG19" s="1659" t="s">
        <x:v>117</x:v>
      </x:c>
      <x:c r="HH19" s="1659" t="s">
        <x:v>117</x:v>
      </x:c>
      <x:c r="HI19" s="1662">
        <x:v>0</x:v>
      </x:c>
      <x:c r="HJ19" s="1659">
        <x:v>0.625</x:v>
      </x:c>
      <x:c r="HK19" s="1659" t="s">
        <x:v>114</x:v>
      </x:c>
      <x:c r="HL19" s="1659">
        <x:v>3</x:v>
      </x:c>
      <x:c r="HM19" s="1659">
        <x:v>3</x:v>
      </x:c>
      <x:c r="HN19" s="1659" t="s">
        <x:v>117</x:v>
      </x:c>
      <x:c r="HO19" s="1659" t="s">
        <x:v>117</x:v>
      </x:c>
      <x:c r="HP19" s="1659" t="s">
        <x:v>117</x:v>
      </x:c>
      <x:c r="HQ19" s="1662">
        <x:v>0</x:v>
      </x:c>
      <x:c r="HR19" s="1659">
        <x:v>6.75</x:v>
      </x:c>
      <x:c r="HS19" s="1659">
        <x:v>2</x:v>
      </x:c>
      <x:c r="HT19" s="1659">
        <x:v>0</x:v>
      </x:c>
      <x:c r="HU19" s="1659">
        <x:v>1.125</x:v>
      </x:c>
      <x:c r="HV19" s="1659">
        <x:v>0</x:v>
      </x:c>
      <x:c r="HW19" s="1661">
        <x:v>1.5</x:v>
      </x:c>
      <x:c r="HX19" s="1661">
        <x:v>4</x:v>
      </x:c>
      <x:c r="HY19" s="1661" t="s">
        <x:v>117</x:v>
      </x:c>
      <x:c r="HZ19" s="1661" t="s">
        <x:v>117</x:v>
      </x:c>
      <x:c r="IA19" s="1661" t="s">
        <x:v>2079</x:v>
      </x:c>
      <x:c r="IB19" s="1661"/>
      <x:c r="IC19" s="1661"/>
      <x:c r="ID19" s="1661"/>
      <x:c r="IE19" s="1661"/>
      <x:c r="IF19" s="1663"/>
    </x:row>
    <x:row r="20" spans="1:240" ht="12.6" customHeight="1" x14ac:dyDescent="0.25">
      <x:c r="A20" s="1264" t="s">
        <x:v>1345</x:v>
      </x:c>
      <x:c r="B20" s="1265">
        <x:v>0</x:v>
      </x:c>
      <x:c r="C20" s="1265" t="s">
        <x:v>1978</x:v>
      </x:c>
      <x:c r="D20" s="1261">
        <x:v>59</x:v>
      </x:c>
      <x:c r="E20" s="1366">
        <x:v>0.625</x:v>
      </x:c>
      <x:c r="F20" s="1328" t="str">
        <x:f t="shared" si="1"/>
        <x:v/>
      </x:c>
      <x:c r="G20" s="1262" t="str">
        <x:f t="shared" si="2"/>
        <x:v/>
      </x:c>
      <x:c r="H20" s="1266" t="str">
        <x:f t="shared" si="3"/>
        <x:v/>
      </x:c>
      <x:c r="I20" s="1261">
        <x:v>0</x:v>
      </x:c>
      <x:c r="J20" s="1262">
        <x:v>1.375</x:v>
      </x:c>
      <x:c r="K20" s="1370" t="s">
        <x:v>114</x:v>
      </x:c>
      <x:c r="L20" s="1327">
        <x:v>3</x:v>
      </x:c>
      <x:c r="M20" s="1329">
        <x:v>3</x:v>
      </x:c>
      <x:c r="N20" s="1263" t="str">
        <x:f t="shared" si="4"/>
        <x:v/>
      </x:c>
      <x:c r="O20" s="1262" t="str">
        <x:f t="shared" si="5"/>
        <x:v/>
      </x:c>
      <x:c r="P20" s="1260" t="str">
        <x:f t="shared" si="6"/>
        <x:v/>
      </x:c>
      <x:c r="Q20" s="1261" t="str">
        <x:f t="shared" si="7"/>
        <x:v/>
      </x:c>
      <x:c r="R20" s="1262" t="str">
        <x:f t="shared" si="8"/>
        <x:v/>
      </x:c>
      <x:c r="S20" s="1375" t="str">
        <x:f t="shared" si="9"/>
        <x:v/>
      </x:c>
      <x:c r="T20" s="1328" t="str">
        <x:f t="shared" si="10"/>
        <x:v/>
      </x:c>
      <x:c r="U20" s="1262" t="str">
        <x:f t="shared" si="11"/>
        <x:v/>
      </x:c>
      <x:c r="V20" s="1261" t="str">
        <x:f t="shared" si="12"/>
        <x:v/>
      </x:c>
      <x:c r="W20" s="1262" t="str">
        <x:f t="shared" si="13"/>
        <x:v/>
      </x:c>
      <x:c r="X20" s="1329">
        <x:f t="shared" si="14"/>
        <x:v>0</x:v>
      </x:c>
      <x:c r="Y20" s="1377" t="str">
        <x:f t="shared" si="15"/>
        <x:v/>
      </x:c>
      <x:c r="Z20" s="1378" t="str">
        <x:f t="shared" si="16"/>
        <x:v/>
      </x:c>
      <x:c r="AA20" s="2159" t="s">
        <x:v>2081</x:v>
      </x:c>
      <x:c r="AC20" s="1226" t="b">
        <x:v>0</x:v>
      </x:c>
      <x:c r="AD20" s="525">
        <x:f t="shared" si="17"/>
        <x:v>0</x:v>
      </x:c>
      <x:c r="AE20" s="526">
        <x:f t="shared" si="18"/>
        <x:v>0</x:v>
      </x:c>
      <x:c r="AF20" s="526">
        <x:f t="shared" si="19"/>
        <x:v>0</x:v>
      </x:c>
      <x:c r="AG20" s="526">
        <x:f t="shared" si="20"/>
        <x:v>0</x:v>
      </x:c>
      <x:c r="AH20" s="527">
        <x:f t="shared" si="21"/>
        <x:v>0</x:v>
      </x:c>
      <x:c r="AI20" s="528" t="b">
        <x:v>0</x:v>
      </x:c>
      <x:c r="AJ20" s="284">
        <x:f t="shared" si="22"/>
        <x:v>36</x:v>
      </x:c>
      <x:c r="AK20" s="1063" t="str">
        <x:f t="shared" si="23"/>
        <x:v>LH</x:v>
      </x:c>
      <x:c r="AL20" s="1202" t="str">
        <x:f t="shared" si="24"/>
        <x:v/>
      </x:c>
      <x:c r="AM20" s="1063">
        <x:f t="shared" si="25"/>
        <x:v>270</x:v>
      </x:c>
      <x:c r="AN20" s="1063">
        <x:f t="shared" si="26"/>
        <x:v>120</x:v>
      </x:c>
      <x:c r="AO20" s="1063" t="str">
        <x:f t="shared" si="27"/>
        <x:v/>
      </x:c>
      <x:c r="AP20" s="1063" t="b">
        <x:f>IF(ISERROR(AJ20),FALSE,IF(OR(AJ20=0,ISERROR(AL20),ISERROR(AM20),ISERROR(AN20),ISERROR(AO20)),FALSE,IF(AL20&lt;&gt;"",IF(ISERROR(VLOOKUP(SUBSTITUTE(SUBSTITUTE(C20,"R",""),"A",""),TblJoistSize!$A:$A,1,FALSE)),FALSE,TRUE),TRUE)))</x:f>
        <x:v>1</x:v>
      </x:c>
      <x:c r="AQ20" s="1305">
        <x:f t="shared" si="28"/>
        <x:v>6</x:v>
      </x:c>
      <x:c r="AR20" s="1305" t="b">
        <x:f t="shared" si="29"/>
        <x:v>0</x:v>
      </x:c>
      <x:c r="AS20" s="1305">
        <x:f t="shared" si="30"/>
        <x:v>7.375</x:v>
      </x:c>
      <x:c r="AT20" s="1305" t="b">
        <x:f t="shared" si="31"/>
        <x:v>0</x:v>
      </x:c>
      <x:c r="AU20" s="1203" t="str">
        <x:f t="shared" si="32"/>
        <x:v>LH</x:v>
      </x:c>
      <x:c r="AV20" s="1063" t="str">
        <x:f t="shared" si="33"/>
        <x:v/>
      </x:c>
      <x:c r="AW20" s="1063" t="str">
        <x:f t="shared" si="34"/>
        <x:v>LH</x:v>
      </x:c>
      <x:c r="AX20" s="1063" t="str">
        <x:f t="shared" si="107"/>
        <x:v>J21</x:v>
      </x:c>
      <x:c r="AY20" s="1306" t="b">
        <x:f t="shared" si="35"/>
        <x:v>0</x:v>
      </x:c>
      <x:c r="AZ20" s="1090" t="b">
        <x:f t="shared" si="36"/>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7"/>
        <x:v/>
      </x:c>
      <x:c r="CE20" s="935" t="str">
        <x:f t="shared" si="38"/>
        <x:v/>
      </x:c>
      <x:c r="CF20" s="1149"/>
      <x:c r="CG20" s="1150"/>
      <x:c r="CH20" s="738" t="str">
        <x:f t="shared" si="39"/>
        <x:v/>
      </x:c>
      <x:c r="CI20" s="739" t="str">
        <x:f t="shared" si="40"/>
        <x:v/>
      </x:c>
      <x:c r="CJ20" s="740" t="str">
        <x:f t="shared" si="41"/>
        <x:v/>
      </x:c>
      <x:c r="CK20" s="741" t="str">
        <x:f t="shared" si="42"/>
        <x:v/>
      </x:c>
      <x:c r="CL20" s="742" t="str">
        <x:f t="shared" si="43"/>
        <x:v/>
      </x:c>
      <x:c r="CM20" s="743" t="str">
        <x:f t="shared" si="44"/>
        <x:v/>
      </x:c>
      <x:c r="CN20" s="744" t="str">
        <x:f t="shared" si="45"/>
        <x:v/>
      </x:c>
      <x:c r="CO20" s="745" t="str">
        <x:f t="shared" si="46"/>
        <x:v/>
      </x:c>
      <x:c r="CP20" s="762" t="str">
        <x:f t="shared" si="47"/>
        <x:v/>
      </x:c>
      <x:c r="CQ20" s="763" t="str">
        <x:f t="shared" si="48"/>
        <x:v/>
      </x:c>
      <x:c r="CR20" s="953">
        <x:f t="shared" si="49"/>
        <x:v>5</x:v>
      </x:c>
      <x:c r="CS20" s="954">
        <x:f t="shared" si="50"/>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51"/>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52"/>
        <x:v>0</x:v>
      </x:c>
      <x:c r="DO20" s="1049">
        <x:f t="shared" si="53"/>
        <x:v>0</x:v>
      </x:c>
      <x:c r="DP20" s="1053" t="str">
        <x:f t="shared" si="54"/>
        <x:v/>
      </x:c>
      <x:c r="DQ20" s="1053" t="str">
        <x:f t="shared" si="55"/>
        <x:v/>
      </x:c>
      <x:c r="DR20" s="1053" t="str">
        <x:f t="shared" si="56"/>
        <x:v/>
      </x:c>
      <x:c r="DS20" s="1052">
        <x:f t="shared" si="57"/>
        <x:v>0</x:v>
      </x:c>
      <x:c r="DT20" s="1052">
        <x:f t="shared" si="58"/>
        <x:v>0</x:v>
      </x:c>
      <x:c r="DU20" s="1052" t="str">
        <x:f t="shared" si="59"/>
        <x:v/>
      </x:c>
      <x:c r="DV20" s="1053" t="str">
        <x:f t="shared" si="60"/>
        <x:v/>
      </x:c>
      <x:c r="DW20" s="1053" t="str">
        <x:f t="shared" si="61"/>
        <x:v/>
      </x:c>
      <x:c r="DX20" s="1269">
        <x:f t="shared" si="62"/>
        <x:v>0</x:v>
      </x:c>
      <x:c r="DY20" s="1053">
        <x:f t="shared" si="63"/>
        <x:v>0</x:v>
      </x:c>
      <x:c r="DZ20" s="1052">
        <x:f t="shared" si="64"/>
        <x:v>0</x:v>
      </x:c>
      <x:c r="EA20" s="1052" t="str">
        <x:f t="shared" si="65"/>
        <x:v/>
      </x:c>
      <x:c r="EB20" s="1053" t="str">
        <x:f t="shared" si="66"/>
        <x:v/>
      </x:c>
      <x:c r="EC20" s="1053" t="str">
        <x:f t="shared" si="67"/>
        <x:v/>
      </x:c>
      <x:c r="ED20" s="1269">
        <x:f t="shared" si="68"/>
        <x:v>0</x:v>
      </x:c>
      <x:c r="EE20" s="1090" t="str">
        <x:f t="shared" si="69"/>
        <x:v/>
      </x:c>
      <x:c r="EF20" s="1053" t="str">
        <x:f t="shared" si="70"/>
        <x:v/>
      </x:c>
      <x:c r="EG20" s="1053" t="str">
        <x:f t="shared" si="71"/>
        <x:v/>
      </x:c>
      <x:c r="EH20" s="1053" t="str">
        <x:f t="shared" si="72"/>
        <x:v>ERR</x:v>
      </x:c>
      <x:c r="EI20" s="1053" t="str">
        <x:f t="shared" si="73"/>
        <x:v>ERR</x:v>
      </x:c>
      <x:c r="EJ20" s="1053" t="str">
        <x:f t="shared" si="74"/>
        <x:v/>
      </x:c>
      <x:c r="EK20" s="1053" t="str">
        <x:f t="shared" si="74"/>
        <x:v/>
      </x:c>
      <x:c r="EL20" s="1090" t="str">
        <x:f t="shared" si="75"/>
        <x:v/>
      </x:c>
      <x:c r="EM20" s="1053" t="str">
        <x:f t="shared" si="76"/>
        <x:v/>
      </x:c>
      <x:c r="EN20" s="1053" t="str">
        <x:f t="shared" si="77"/>
        <x:v/>
      </x:c>
      <x:c r="EO20" s="1053" t="str">
        <x:f t="shared" si="78"/>
        <x:v>ERR</x:v>
      </x:c>
      <x:c r="EP20" s="1053" t="str">
        <x:f t="shared" si="79"/>
        <x:v>ERR</x:v>
      </x:c>
      <x:c r="EQ20" s="1053" t="str">
        <x:f t="shared" si="80"/>
        <x:v/>
      </x:c>
      <x:c r="ER20" s="1053" t="str">
        <x:f t="shared" si="80"/>
        <x:v/>
      </x:c>
      <x:c r="ES20" s="1053" t="str">
        <x:f t="shared" si="81"/>
        <x:v/>
      </x:c>
      <x:c r="ET20" s="1053" t="str">
        <x:f t="shared" si="82"/>
        <x:v/>
      </x:c>
      <x:c r="EU20" s="1061">
        <x:f t="shared" si="83"/>
        <x:v>4</x:v>
      </x:c>
      <x:c r="EV20" s="1055" t="str">
        <x:f t="shared" si="84"/>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5"/>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6"/>
        <x:v/>
      </x:c>
      <x:c r="FD20" s="1052">
        <x:f t="shared" si="108"/>
        <x:v>0</x:v>
      </x:c>
      <x:c r="FE20" s="1052">
        <x:f t="shared" si="87"/>
        <x:v>0</x:v>
      </x:c>
      <x:c r="FF20" s="1052">
        <x:f t="shared" si="88"/>
        <x:v>0</x:v>
      </x:c>
      <x:c r="FG20" s="1052" t="str">
        <x:f t="shared" si="89"/>
        <x:v/>
      </x:c>
      <x:c r="FH20" s="1053" t="str">
        <x:f t="shared" si="90"/>
        <x:v/>
      </x:c>
      <x:c r="FI20" s="1052">
        <x:f t="shared" si="109"/>
        <x:v>0</x:v>
      </x:c>
      <x:c r="FJ20" s="1052">
        <x:f t="shared" si="91"/>
        <x:v>0</x:v>
      </x:c>
      <x:c r="FK20" s="1052">
        <x:f t="shared" si="92"/>
        <x:v>0</x:v>
      </x:c>
      <x:c r="FL20" s="1052" t="str">
        <x:f t="shared" si="93"/>
        <x:v/>
      </x:c>
      <x:c r="FM20" s="1053" t="str">
        <x:f t="shared" si="94"/>
        <x:v/>
      </x:c>
      <x:c r="FN20" s="1053" t="e">
        <x:f t="shared" si="95"/>
        <x:v>#VALUE!</x:v>
      </x:c>
      <x:c r="FO20" s="1062" t="e">
        <x:f t="shared" si="96"/>
        <x:v>#VALUE!</x:v>
      </x:c>
      <x:c r="FP20" s="1062" t="e">
        <x:f t="shared" si="97"/>
        <x:v>#VALUE!</x:v>
      </x:c>
      <x:c r="FQ20" s="1063" t="e">
        <x:f t="shared" si="98"/>
        <x:v>#VALUE!</x:v>
      </x:c>
      <x:c r="FR20" s="1064" t="e">
        <x:f t="shared" si="99"/>
        <x:v>#VALUE!</x:v>
      </x:c>
      <x:c r="FS20" s="1065" t="str">
        <x:f t="shared" si="100"/>
        <x:v/>
      </x:c>
      <x:c r="FT20" s="1066" t="str">
        <x:f t="shared" si="101"/>
        <x:v/>
      </x:c>
      <x:c r="FU20" s="1105">
        <x:f t="shared" si="102"/>
        <x:v>0</x:v>
      </x:c>
      <x:c r="FV20" s="1106">
        <x:f t="shared" si="103"/>
        <x:v>0</x:v>
      </x:c>
      <x:c r="GA20" s="1975">
        <x:v>59</x:v>
      </x:c>
      <x:c r="GB20" s="1976">
        <x:v>2.75</x:v>
      </x:c>
      <x:c r="GC20" s="1977">
        <x:v>-1.875</x:v>
      </x:c>
      <x:c r="GD20" s="1978">
        <x:v>-0.25</x:v>
      </x:c>
      <x:c r="GE20" s="1979">
        <x:v>0.26169539219134702</x:v>
      </x:c>
      <x:c r="GF20" s="1980" t="str">
        <x:f t="shared" si="104"/>
        <x:v>J21</x:v>
      </x:c>
      <x:c r="GG20" s="1453"/>
      <x:c r="GH20" s="1454"/>
      <x:c r="GI20" s="1453"/>
      <x:c r="GJ20" s="1454"/>
      <x:c r="GK20" s="533">
        <x:f t="shared" si="105"/>
        <x:v>708.625</x:v>
      </x:c>
      <x:c r="GL20" s="534">
        <x:f t="shared" si="106"/>
        <x:v>708.79348626656247</x:v>
      </x:c>
      <x:c r="GM20" s="535">
        <x:f>IF(ABS(GK20-GL20)&gt;='Job Info.'!$L$22,ABS(GK20-GL20),0)</x:f>
        <x:v>0</x:v>
      </x:c>
      <x:c r="HA20" s="1658" t="s">
        <x:v>1345</x:v>
      </x:c>
      <x:c r="HB20" s="1659">
        <x:v>1</x:v>
      </x:c>
      <x:c r="HC20" s="1659" t="s">
        <x:v>1978</x:v>
      </x:c>
      <x:c r="HD20" s="1660">
        <x:v>59</x:v>
      </x:c>
      <x:c r="HE20" s="1661">
        <x:v>0.625</x:v>
      </x:c>
      <x:c r="HF20" s="1659" t="s">
        <x:v>117</x:v>
      </x:c>
      <x:c r="HG20" s="1659" t="s">
        <x:v>117</x:v>
      </x:c>
      <x:c r="HH20" s="1659" t="s">
        <x:v>117</x:v>
      </x:c>
      <x:c r="HI20" s="1662">
        <x:v>0</x:v>
      </x:c>
      <x:c r="HJ20" s="1659">
        <x:v>1.375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2081</x:v>
      </x:c>
      <x:c r="IB20" s="1661"/>
      <x:c r="IC20" s="1661"/>
      <x:c r="ID20" s="1661"/>
      <x:c r="IE20" s="1661"/>
      <x:c r="IF20" s="1663"/>
    </x:row>
    <x:row r="21" spans="1:240" ht="12.6" customHeight="1" x14ac:dyDescent="0.25">
      <x:c r="A21" s="1264" t="s">
        <x:v>1346</x:v>
      </x:c>
      <x:c r="B21" s="1265">
        <x:v>0</x:v>
      </x:c>
      <x:c r="C21" s="1265" t="s">
        <x:v>1978</x:v>
      </x:c>
      <x:c r="D21" s="1261">
        <x:v>59</x:v>
      </x:c>
      <x:c r="E21" s="1366">
        <x:v>0.625</x:v>
      </x:c>
      <x:c r="F21" s="1328" t="str">
        <x:f t="shared" si="1"/>
        <x:v/>
      </x:c>
      <x:c r="G21" s="1262" t="str">
        <x:f t="shared" si="2"/>
        <x:v/>
      </x:c>
      <x:c r="H21" s="1266" t="str">
        <x:f t="shared" si="3"/>
        <x:v/>
      </x:c>
      <x:c r="I21" s="1261">
        <x:v>0</x:v>
      </x:c>
      <x:c r="J21" s="1262">
        <x:v>1.375</x:v>
      </x:c>
      <x:c r="K21" s="1370" t="s">
        <x:v>114</x:v>
      </x:c>
      <x:c r="L21" s="1327">
        <x:v>3</x:v>
      </x:c>
      <x:c r="M21" s="1329">
        <x:v>3</x:v>
      </x:c>
      <x:c r="N21" s="1263" t="str">
        <x:f t="shared" si="4"/>
        <x:v/>
      </x:c>
      <x:c r="O21" s="1262" t="str">
        <x:f t="shared" si="5"/>
        <x:v/>
      </x:c>
      <x:c r="P21" s="1260" t="str">
        <x:f t="shared" si="6"/>
        <x:v/>
      </x:c>
      <x:c r="Q21" s="1261" t="str">
        <x:f t="shared" si="7"/>
        <x:v/>
      </x:c>
      <x:c r="R21" s="1262" t="str">
        <x:f t="shared" si="8"/>
        <x:v/>
      </x:c>
      <x:c r="S21" s="1375" t="str">
        <x:f t="shared" si="9"/>
        <x:v/>
      </x:c>
      <x:c r="T21" s="1328" t="str">
        <x:f t="shared" si="10"/>
        <x:v/>
      </x:c>
      <x:c r="U21" s="1262" t="str">
        <x:f t="shared" si="11"/>
        <x:v/>
      </x:c>
      <x:c r="V21" s="1261" t="str">
        <x:f t="shared" si="12"/>
        <x:v/>
      </x:c>
      <x:c r="W21" s="1262" t="str">
        <x:f t="shared" si="13"/>
        <x:v/>
      </x:c>
      <x:c r="X21" s="1329">
        <x:f t="shared" si="14"/>
        <x:v>0</x:v>
      </x:c>
      <x:c r="Y21" s="1377" t="str">
        <x:f t="shared" si="15"/>
        <x:v/>
      </x:c>
      <x:c r="Z21" s="1378" t="str">
        <x:f t="shared" si="16"/>
        <x:v/>
      </x:c>
      <x:c r="AA21" s="2159" t="s">
        <x:v>2082</x:v>
      </x:c>
      <x:c r="AC21" s="1226" t="b">
        <x:v>0</x:v>
      </x:c>
      <x:c r="AD21" s="525">
        <x:f t="shared" si="17"/>
        <x:v>0</x:v>
      </x:c>
      <x:c r="AE21" s="526">
        <x:f t="shared" si="18"/>
        <x:v>0</x:v>
      </x:c>
      <x:c r="AF21" s="526">
        <x:f t="shared" si="19"/>
        <x:v>0</x:v>
      </x:c>
      <x:c r="AG21" s="526">
        <x:f t="shared" si="20"/>
        <x:v>0</x:v>
      </x:c>
      <x:c r="AH21" s="527">
        <x:f t="shared" si="21"/>
        <x:v>0</x:v>
      </x:c>
      <x:c r="AI21" s="528" t="b">
        <x:v>0</x:v>
      </x:c>
      <x:c r="AJ21" s="284">
        <x:f t="shared" si="22"/>
        <x:v>36</x:v>
      </x:c>
      <x:c r="AK21" s="1063" t="str">
        <x:f t="shared" si="23"/>
        <x:v>LH</x:v>
      </x:c>
      <x:c r="AL21" s="1202" t="str">
        <x:f t="shared" si="24"/>
        <x:v/>
      </x:c>
      <x:c r="AM21" s="1063">
        <x:f t="shared" si="25"/>
        <x:v>270</x:v>
      </x:c>
      <x:c r="AN21" s="1063">
        <x:f t="shared" si="26"/>
        <x:v>120</x:v>
      </x:c>
      <x:c r="AO21" s="1063" t="str">
        <x:f t="shared" si="27"/>
        <x:v/>
      </x:c>
      <x:c r="AP21" s="1063" t="b">
        <x:f>IF(ISERROR(AJ21),FALSE,IF(OR(AJ21=0,ISERROR(AL21),ISERROR(AM21),ISERROR(AN21),ISERROR(AO21)),FALSE,IF(AL21&lt;&gt;"",IF(ISERROR(VLOOKUP(SUBSTITUTE(SUBSTITUTE(C21,"R",""),"A",""),TblJoistSize!$A:$A,1,FALSE)),FALSE,TRUE),TRUE)))</x:f>
        <x:v>1</x:v>
      </x:c>
      <x:c r="AQ21" s="1305">
        <x:f t="shared" si="28"/>
        <x:v>6</x:v>
      </x:c>
      <x:c r="AR21" s="1305" t="b">
        <x:f t="shared" si="29"/>
        <x:v>0</x:v>
      </x:c>
      <x:c r="AS21" s="1305">
        <x:f t="shared" si="30"/>
        <x:v>7.375</x:v>
      </x:c>
      <x:c r="AT21" s="1305" t="b">
        <x:f t="shared" si="31"/>
        <x:v>0</x:v>
      </x:c>
      <x:c r="AU21" s="1203" t="str">
        <x:f t="shared" si="32"/>
        <x:v>LH</x:v>
      </x:c>
      <x:c r="AV21" s="1063" t="str">
        <x:f t="shared" si="33"/>
        <x:v/>
      </x:c>
      <x:c r="AW21" s="1063" t="str">
        <x:f t="shared" si="34"/>
        <x:v>LH</x:v>
      </x:c>
      <x:c r="AX21" s="1063" t="str">
        <x:f t="shared" si="107"/>
        <x:v>J22</x:v>
      </x:c>
      <x:c r="AY21" s="1306" t="b">
        <x:f t="shared" si="35"/>
        <x:v>0</x:v>
      </x:c>
      <x:c r="AZ21" s="1090" t="b">
        <x:f t="shared" si="36"/>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7"/>
        <x:v/>
      </x:c>
      <x:c r="CE21" s="1812" t="str">
        <x:f t="shared" si="38"/>
        <x:v/>
      </x:c>
      <x:c r="CF21" s="1813"/>
      <x:c r="CG21" s="1814"/>
      <x:c r="CH21" s="738" t="str">
        <x:f t="shared" si="39"/>
        <x:v/>
      </x:c>
      <x:c r="CI21" s="739" t="str">
        <x:f t="shared" si="40"/>
        <x:v/>
      </x:c>
      <x:c r="CJ21" s="740" t="str">
        <x:f t="shared" si="41"/>
        <x:v/>
      </x:c>
      <x:c r="CK21" s="741" t="str">
        <x:f t="shared" si="42"/>
        <x:v/>
      </x:c>
      <x:c r="CL21" s="742" t="str">
        <x:f t="shared" si="43"/>
        <x:v/>
      </x:c>
      <x:c r="CM21" s="743" t="str">
        <x:f t="shared" si="44"/>
        <x:v/>
      </x:c>
      <x:c r="CN21" s="744" t="str">
        <x:f t="shared" si="45"/>
        <x:v/>
      </x:c>
      <x:c r="CO21" s="745" t="str">
        <x:f t="shared" si="46"/>
        <x:v/>
      </x:c>
      <x:c r="CP21" s="762" t="str">
        <x:f t="shared" si="47"/>
        <x:v/>
      </x:c>
      <x:c r="CQ21" s="763" t="str">
        <x:f t="shared" si="48"/>
        <x:v/>
      </x:c>
      <x:c r="CR21" s="953">
        <x:f t="shared" si="49"/>
        <x:v>5</x:v>
      </x:c>
      <x:c r="CS21" s="954">
        <x:f t="shared" si="50"/>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51"/>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52"/>
        <x:v>0</x:v>
      </x:c>
      <x:c r="DO21" s="1049">
        <x:f t="shared" si="53"/>
        <x:v>0</x:v>
      </x:c>
      <x:c r="DP21" s="1053" t="str">
        <x:f t="shared" si="54"/>
        <x:v/>
      </x:c>
      <x:c r="DQ21" s="1053" t="str">
        <x:f t="shared" si="55"/>
        <x:v/>
      </x:c>
      <x:c r="DR21" s="1053" t="str">
        <x:f t="shared" si="56"/>
        <x:v/>
      </x:c>
      <x:c r="DS21" s="1052">
        <x:f t="shared" si="57"/>
        <x:v>0</x:v>
      </x:c>
      <x:c r="DT21" s="1052">
        <x:f t="shared" si="58"/>
        <x:v>0</x:v>
      </x:c>
      <x:c r="DU21" s="1052" t="str">
        <x:f t="shared" si="59"/>
        <x:v/>
      </x:c>
      <x:c r="DV21" s="1053" t="str">
        <x:f t="shared" si="60"/>
        <x:v/>
      </x:c>
      <x:c r="DW21" s="1053" t="str">
        <x:f t="shared" si="61"/>
        <x:v/>
      </x:c>
      <x:c r="DX21" s="1269">
        <x:f t="shared" si="62"/>
        <x:v>0</x:v>
      </x:c>
      <x:c r="DY21" s="1053">
        <x:f t="shared" si="63"/>
        <x:v>0</x:v>
      </x:c>
      <x:c r="DZ21" s="1052">
        <x:f t="shared" si="64"/>
        <x:v>0</x:v>
      </x:c>
      <x:c r="EA21" s="1052" t="str">
        <x:f t="shared" si="65"/>
        <x:v/>
      </x:c>
      <x:c r="EB21" s="1053" t="str">
        <x:f t="shared" si="66"/>
        <x:v/>
      </x:c>
      <x:c r="EC21" s="1053" t="str">
        <x:f t="shared" si="67"/>
        <x:v/>
      </x:c>
      <x:c r="ED21" s="1269">
        <x:f t="shared" si="68"/>
        <x:v>0</x:v>
      </x:c>
      <x:c r="EE21" s="1090" t="str">
        <x:f t="shared" si="69"/>
        <x:v/>
      </x:c>
      <x:c r="EF21" s="1053" t="str">
        <x:f t="shared" si="70"/>
        <x:v/>
      </x:c>
      <x:c r="EG21" s="1053" t="str">
        <x:f t="shared" si="71"/>
        <x:v/>
      </x:c>
      <x:c r="EH21" s="1053" t="str">
        <x:f t="shared" si="72"/>
        <x:v>ERR</x:v>
      </x:c>
      <x:c r="EI21" s="1053" t="str">
        <x:f t="shared" si="73"/>
        <x:v>ERR</x:v>
      </x:c>
      <x:c r="EJ21" s="1053" t="str">
        <x:f t="shared" si="74"/>
        <x:v/>
      </x:c>
      <x:c r="EK21" s="1053" t="str">
        <x:f t="shared" si="74"/>
        <x:v/>
      </x:c>
      <x:c r="EL21" s="1090" t="str">
        <x:f t="shared" si="75"/>
        <x:v/>
      </x:c>
      <x:c r="EM21" s="1053" t="str">
        <x:f t="shared" si="76"/>
        <x:v/>
      </x:c>
      <x:c r="EN21" s="1053" t="str">
        <x:f t="shared" si="77"/>
        <x:v/>
      </x:c>
      <x:c r="EO21" s="1053" t="str">
        <x:f t="shared" si="78"/>
        <x:v>ERR</x:v>
      </x:c>
      <x:c r="EP21" s="1053" t="str">
        <x:f t="shared" si="79"/>
        <x:v>ERR</x:v>
      </x:c>
      <x:c r="EQ21" s="1053" t="str">
        <x:f t="shared" si="80"/>
        <x:v/>
      </x:c>
      <x:c r="ER21" s="1053" t="str">
        <x:f t="shared" si="80"/>
        <x:v/>
      </x:c>
      <x:c r="ES21" s="1053" t="str">
        <x:f t="shared" si="81"/>
        <x:v/>
      </x:c>
      <x:c r="ET21" s="1053" t="str">
        <x:f t="shared" si="82"/>
        <x:v/>
      </x:c>
      <x:c r="EU21" s="1061">
        <x:f t="shared" si="83"/>
        <x:v>4</x:v>
      </x:c>
      <x:c r="EV21" s="1055" t="str">
        <x:f t="shared" si="84"/>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5"/>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6"/>
        <x:v/>
      </x:c>
      <x:c r="FD21" s="1052">
        <x:f t="shared" si="108"/>
        <x:v>0</x:v>
      </x:c>
      <x:c r="FE21" s="1052">
        <x:f t="shared" si="87"/>
        <x:v>0</x:v>
      </x:c>
      <x:c r="FF21" s="1052">
        <x:f t="shared" si="88"/>
        <x:v>0</x:v>
      </x:c>
      <x:c r="FG21" s="1052" t="str">
        <x:f t="shared" si="89"/>
        <x:v/>
      </x:c>
      <x:c r="FH21" s="1053" t="str">
        <x:f t="shared" si="90"/>
        <x:v/>
      </x:c>
      <x:c r="FI21" s="1052">
        <x:f t="shared" si="109"/>
        <x:v>0</x:v>
      </x:c>
      <x:c r="FJ21" s="1052">
        <x:f t="shared" si="91"/>
        <x:v>0</x:v>
      </x:c>
      <x:c r="FK21" s="1052">
        <x:f t="shared" si="92"/>
        <x:v>0</x:v>
      </x:c>
      <x:c r="FL21" s="1052" t="str">
        <x:f t="shared" si="93"/>
        <x:v/>
      </x:c>
      <x:c r="FM21" s="1053" t="str">
        <x:f t="shared" si="94"/>
        <x:v/>
      </x:c>
      <x:c r="FN21" s="1053" t="e">
        <x:f t="shared" si="95"/>
        <x:v>#VALUE!</x:v>
      </x:c>
      <x:c r="FO21" s="1062" t="e">
        <x:f t="shared" si="96"/>
        <x:v>#VALUE!</x:v>
      </x:c>
      <x:c r="FP21" s="1062" t="e">
        <x:f t="shared" si="97"/>
        <x:v>#VALUE!</x:v>
      </x:c>
      <x:c r="FQ21" s="1063" t="e">
        <x:f t="shared" si="98"/>
        <x:v>#VALUE!</x:v>
      </x:c>
      <x:c r="FR21" s="1064" t="e">
        <x:f t="shared" si="99"/>
        <x:v>#VALUE!</x:v>
      </x:c>
      <x:c r="FS21" s="1065" t="str">
        <x:f t="shared" si="100"/>
        <x:v/>
      </x:c>
      <x:c r="FT21" s="1066" t="str">
        <x:f t="shared" si="101"/>
        <x:v/>
      </x:c>
      <x:c r="FU21" s="1105">
        <x:f t="shared" si="102"/>
        <x:v>0</x:v>
      </x:c>
      <x:c r="FV21" s="1106">
        <x:f t="shared" si="103"/>
        <x:v>0</x:v>
      </x:c>
      <x:c r="GA21" s="1975">
        <x:v>59</x:v>
      </x:c>
      <x:c r="GB21" s="1976">
        <x:v>2.75</x:v>
      </x:c>
      <x:c r="GC21" s="1977">
        <x:v>-1.875</x:v>
      </x:c>
      <x:c r="GD21" s="1978">
        <x:v>-0.25</x:v>
      </x:c>
      <x:c r="GE21" s="1979">
        <x:v>0.26169539219134702</x:v>
      </x:c>
      <x:c r="GF21" s="1980" t="str">
        <x:f t="shared" si="104"/>
        <x:v>J22</x:v>
      </x:c>
      <x:c r="GG21" s="1453"/>
      <x:c r="GH21" s="1454"/>
      <x:c r="GI21" s="1453"/>
      <x:c r="GJ21" s="1454"/>
      <x:c r="GK21" s="533">
        <x:f t="shared" si="105"/>
        <x:v>708.625</x:v>
      </x:c>
      <x:c r="GL21" s="534">
        <x:f t="shared" si="106"/>
        <x:v>708.79348626656247</x:v>
      </x:c>
      <x:c r="GM21" s="535">
        <x:f>IF(ABS(GK21-GL21)&gt;='Job Info.'!$L$22,ABS(GK21-GL21),0)</x:f>
        <x:v>0</x:v>
      </x:c>
      <x:c r="HA21" s="1658" t="s">
        <x:v>1346</x:v>
      </x:c>
      <x:c r="HB21" s="1659">
        <x:v>1</x:v>
      </x:c>
      <x:c r="HC21" s="1659" t="s">
        <x:v>1978</x:v>
      </x:c>
      <x:c r="HD21" s="1660">
        <x:v>59</x:v>
      </x:c>
      <x:c r="HE21" s="1661">
        <x:v>0.625</x:v>
      </x:c>
      <x:c r="HF21" s="1659" t="s">
        <x:v>117</x:v>
      </x:c>
      <x:c r="HG21" s="1659" t="s">
        <x:v>117</x:v>
      </x:c>
      <x:c r="HH21" s="1659" t="s">
        <x:v>117</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2082</x:v>
      </x:c>
      <x:c r="IB21" s="1661"/>
      <x:c r="IC21" s="1661"/>
      <x:c r="ID21" s="1661"/>
      <x:c r="IE21" s="1661"/>
      <x:c r="IF21" s="1663"/>
    </x:row>
    <x:row r="22" spans="1:240" ht="12.6" customHeight="1" x14ac:dyDescent="0.25">
      <x:c r="A22" s="1264" t="s">
        <x:v>1347</x:v>
      </x:c>
      <x:c r="B22" s="1265">
        <x:v>0</x:v>
      </x:c>
      <x:c r="C22" s="1265" t="s">
        <x:v>1978</x:v>
      </x:c>
      <x:c r="D22" s="1261">
        <x:v>59</x:v>
      </x:c>
      <x:c r="E22" s="1366">
        <x:v>0.625</x:v>
      </x:c>
      <x:c r="F22" s="1328" t="str">
        <x:f t="shared" si="1"/>
        <x:v/>
      </x:c>
      <x:c r="G22" s="1262" t="str">
        <x:f t="shared" si="2"/>
        <x:v/>
      </x:c>
      <x:c r="H22" s="1266" t="str">
        <x:f t="shared" si="3"/>
        <x:v/>
      </x:c>
      <x:c r="I22" s="1261">
        <x:v>0</x:v>
      </x:c>
      <x:c r="J22" s="1262">
        <x:v>1.375</x:v>
      </x:c>
      <x:c r="K22" s="1370" t="s">
        <x:v>114</x:v>
      </x:c>
      <x:c r="L22" s="1327">
        <x:v>3</x:v>
      </x:c>
      <x:c r="M22" s="1329">
        <x:v>3</x:v>
      </x:c>
      <x:c r="N22" s="1263" t="str">
        <x:f t="shared" si="4"/>
        <x:v/>
      </x:c>
      <x:c r="O22" s="1262" t="str">
        <x:f t="shared" si="5"/>
        <x:v/>
      </x:c>
      <x:c r="P22" s="1260" t="str">
        <x:f t="shared" si="6"/>
        <x:v/>
      </x:c>
      <x:c r="Q22" s="1261" t="str">
        <x:f t="shared" si="7"/>
        <x:v/>
      </x:c>
      <x:c r="R22" s="1262" t="str">
        <x:f t="shared" si="8"/>
        <x:v/>
      </x:c>
      <x:c r="S22" s="1375" t="str">
        <x:f t="shared" si="9"/>
        <x:v/>
      </x:c>
      <x:c r="T22" s="1328">
        <x:v>0</x:v>
      </x:c>
      <x:c r="U22" s="1262">
        <x:v>1.125</x:v>
      </x:c>
      <x:c r="V22" s="1261">
        <x:v>0</x:v>
      </x:c>
      <x:c r="W22" s="1262">
        <x:v>2.25</x:v>
      </x:c>
      <x:c r="X22" s="1329">
        <x:v>4</x:v>
      </x:c>
      <x:c r="Y22" s="1377" t="str">
        <x:f t="shared" si="15"/>
        <x:v/>
      </x:c>
      <x:c r="Z22" s="1378" t="str">
        <x:f t="shared" si="16"/>
        <x:v/>
      </x:c>
      <x:c r="AA22" s="2159" t="s">
        <x:v>2083</x:v>
      </x:c>
      <x:c r="AC22" s="1226" t="b">
        <x:v>0</x:v>
      </x:c>
      <x:c r="AD22" s="525">
        <x:f t="shared" si="17"/>
        <x:v>0</x:v>
      </x:c>
      <x:c r="AE22" s="526">
        <x:f t="shared" si="18"/>
        <x:v>0</x:v>
      </x:c>
      <x:c r="AF22" s="526">
        <x:f t="shared" si="19"/>
        <x:v>0</x:v>
      </x:c>
      <x:c r="AG22" s="526">
        <x:f t="shared" si="20"/>
        <x:v>0</x:v>
      </x:c>
      <x:c r="AH22" s="527">
        <x:f t="shared" si="21"/>
        <x:v>0</x:v>
      </x:c>
      <x:c r="AI22" s="528" t="b">
        <x:v>0</x:v>
      </x:c>
      <x:c r="AJ22" s="284">
        <x:f t="shared" si="22"/>
        <x:v>36</x:v>
      </x:c>
      <x:c r="AK22" s="1063" t="str">
        <x:f t="shared" si="23"/>
        <x:v>LH</x:v>
      </x:c>
      <x:c r="AL22" s="1202" t="str">
        <x:f t="shared" si="24"/>
        <x:v/>
      </x:c>
      <x:c r="AM22" s="1063">
        <x:f t="shared" si="25"/>
        <x:v>270</x:v>
      </x:c>
      <x:c r="AN22" s="1063">
        <x:f t="shared" si="26"/>
        <x:v>120</x:v>
      </x:c>
      <x:c r="AO22" s="1063" t="str">
        <x:f t="shared" si="27"/>
        <x:v/>
      </x:c>
      <x:c r="AP22" s="1063" t="b">
        <x:f>IF(ISERROR(AJ22),FALSE,IF(OR(AJ22=0,ISERROR(AL22),ISERROR(AM22),ISERROR(AN22),ISERROR(AO22)),FALSE,IF(AL22&lt;&gt;"",IF(ISERROR(VLOOKUP(SUBSTITUTE(SUBSTITUTE(C22,"R",""),"A",""),TblJoistSize!$A:$A,1,FALSE)),FALSE,TRUE),TRUE)))</x:f>
        <x:v>1</x:v>
      </x:c>
      <x:c r="AQ22" s="1305">
        <x:f t="shared" si="28"/>
        <x:v>6</x:v>
      </x:c>
      <x:c r="AR22" s="1305" t="b">
        <x:f t="shared" si="29"/>
        <x:v>1</x:v>
      </x:c>
      <x:c r="AS22" s="1305">
        <x:f t="shared" si="30"/>
        <x:v>7.375</x:v>
      </x:c>
      <x:c r="AT22" s="1305" t="b">
        <x:f t="shared" si="31"/>
        <x:v>1</x:v>
      </x:c>
      <x:c r="AU22" s="1203" t="str">
        <x:f t="shared" si="32"/>
        <x:v>LH</x:v>
      </x:c>
      <x:c r="AV22" s="1063" t="str">
        <x:f t="shared" si="33"/>
        <x:v/>
      </x:c>
      <x:c r="AW22" s="1063" t="str">
        <x:f t="shared" si="34"/>
        <x:v>LH</x:v>
      </x:c>
      <x:c r="AX22" s="1063" t="str">
        <x:f t="shared" si="107"/>
        <x:v>TJ23</x:v>
      </x:c>
      <x:c r="AY22" s="1306" t="b">
        <x:f t="shared" si="35"/>
        <x:v>0</x:v>
      </x:c>
      <x:c r="AZ22" s="1090" t="b">
        <x:f t="shared" si="36"/>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7"/>
        <x:v/>
      </x:c>
      <x:c r="CE22" s="935" t="str">
        <x:f t="shared" si="38"/>
        <x:v/>
      </x:c>
      <x:c r="CF22" s="1149"/>
      <x:c r="CG22" s="1150"/>
      <x:c r="CH22" s="738" t="str">
        <x:f t="shared" si="39"/>
        <x:v/>
      </x:c>
      <x:c r="CI22" s="739" t="str">
        <x:f t="shared" si="40"/>
        <x:v/>
      </x:c>
      <x:c r="CJ22" s="740" t="str">
        <x:f t="shared" si="41"/>
        <x:v/>
      </x:c>
      <x:c r="CK22" s="741" t="str">
        <x:f t="shared" si="42"/>
        <x:v/>
      </x:c>
      <x:c r="CL22" s="742" t="str">
        <x:f t="shared" si="43"/>
        <x:v/>
      </x:c>
      <x:c r="CM22" s="743" t="str">
        <x:f t="shared" si="44"/>
        <x:v/>
      </x:c>
      <x:c r="CN22" s="744" t="str">
        <x:f t="shared" si="45"/>
        <x:v/>
      </x:c>
      <x:c r="CO22" s="745" t="str">
        <x:f t="shared" si="46"/>
        <x:v/>
      </x:c>
      <x:c r="CP22" s="762" t="str">
        <x:f t="shared" si="47"/>
        <x:v/>
      </x:c>
      <x:c r="CQ22" s="763" t="str">
        <x:f t="shared" si="48"/>
        <x:v/>
      </x:c>
      <x:c r="CR22" s="953">
        <x:f t="shared" si="49"/>
        <x:v>5</x:v>
      </x:c>
      <x:c r="CS22" s="954">
        <x:f t="shared" si="50"/>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51"/>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52"/>
        <x:v>0</x:v>
      </x:c>
      <x:c r="DO22" s="1049">
        <x:f t="shared" si="53"/>
        <x:v>0</x:v>
      </x:c>
      <x:c r="DP22" s="1053" t="str">
        <x:f t="shared" si="54"/>
        <x:v/>
      </x:c>
      <x:c r="DQ22" s="1053" t="str">
        <x:f t="shared" si="55"/>
        <x:v/>
      </x:c>
      <x:c r="DR22" s="1053" t="str">
        <x:f t="shared" si="56"/>
        <x:v/>
      </x:c>
      <x:c r="DS22" s="1052">
        <x:f t="shared" si="57"/>
        <x:v>0</x:v>
      </x:c>
      <x:c r="DT22" s="1052">
        <x:f t="shared" si="58"/>
        <x:v>0</x:v>
      </x:c>
      <x:c r="DU22" s="1052" t="str">
        <x:f t="shared" si="59"/>
        <x:v/>
      </x:c>
      <x:c r="DV22" s="1053" t="str">
        <x:f t="shared" si="60"/>
        <x:v/>
      </x:c>
      <x:c r="DW22" s="1053" t="str">
        <x:f t="shared" si="61"/>
        <x:v/>
      </x:c>
      <x:c r="DX22" s="1269">
        <x:f t="shared" si="62"/>
        <x:v>0</x:v>
      </x:c>
      <x:c r="DY22" s="1053">
        <x:f t="shared" si="63"/>
        <x:v>0</x:v>
      </x:c>
      <x:c r="DZ22" s="1052">
        <x:f t="shared" si="64"/>
        <x:v>0</x:v>
      </x:c>
      <x:c r="EA22" s="1052" t="str">
        <x:f t="shared" si="65"/>
        <x:v/>
      </x:c>
      <x:c r="EB22" s="1053" t="str">
        <x:f t="shared" si="66"/>
        <x:v/>
      </x:c>
      <x:c r="EC22" s="1053" t="str">
        <x:f t="shared" si="67"/>
        <x:v/>
      </x:c>
      <x:c r="ED22" s="1269">
        <x:f t="shared" si="68"/>
        <x:v>0</x:v>
      </x:c>
      <x:c r="EE22" s="1090" t="str">
        <x:f t="shared" si="69"/>
        <x:v/>
      </x:c>
      <x:c r="EF22" s="1053" t="str">
        <x:f t="shared" si="70"/>
        <x:v/>
      </x:c>
      <x:c r="EG22" s="1053" t="str">
        <x:f t="shared" si="71"/>
        <x:v/>
      </x:c>
      <x:c r="EH22" s="1053" t="str">
        <x:f t="shared" si="72"/>
        <x:v>ERR</x:v>
      </x:c>
      <x:c r="EI22" s="1053" t="str">
        <x:f t="shared" si="73"/>
        <x:v>ERR</x:v>
      </x:c>
      <x:c r="EJ22" s="1053" t="str">
        <x:f t="shared" si="74"/>
        <x:v/>
      </x:c>
      <x:c r="EK22" s="1053" t="str">
        <x:f t="shared" si="74"/>
        <x:v/>
      </x:c>
      <x:c r="EL22" s="1090" t="str">
        <x:f t="shared" si="75"/>
        <x:v/>
      </x:c>
      <x:c r="EM22" s="1053" t="str">
        <x:f t="shared" si="76"/>
        <x:v/>
      </x:c>
      <x:c r="EN22" s="1053" t="str">
        <x:f t="shared" si="77"/>
        <x:v/>
      </x:c>
      <x:c r="EO22" s="1053" t="str">
        <x:f t="shared" si="78"/>
        <x:v>ERR</x:v>
      </x:c>
      <x:c r="EP22" s="1053" t="str">
        <x:f t="shared" si="79"/>
        <x:v>ERR</x:v>
      </x:c>
      <x:c r="EQ22" s="1053" t="str">
        <x:f t="shared" si="80"/>
        <x:v/>
      </x:c>
      <x:c r="ER22" s="1053" t="str">
        <x:f t="shared" si="80"/>
        <x:v/>
      </x:c>
      <x:c r="ES22" s="1053" t="str">
        <x:f t="shared" si="81"/>
        <x:v/>
      </x:c>
      <x:c r="ET22" s="1053" t="str">
        <x:f t="shared" si="82"/>
        <x:v/>
      </x:c>
      <x:c r="EU22" s="1061">
        <x:f t="shared" si="83"/>
        <x:v>4</x:v>
      </x:c>
      <x:c r="EV22" s="1055" t="str">
        <x:f t="shared" si="84"/>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5"/>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6"/>
        <x:v/>
      </x:c>
      <x:c r="FD22" s="1052">
        <x:f t="shared" si="108"/>
        <x:v>0</x:v>
      </x:c>
      <x:c r="FE22" s="1052">
        <x:f t="shared" si="87"/>
        <x:v>0</x:v>
      </x:c>
      <x:c r="FF22" s="1052">
        <x:f t="shared" si="88"/>
        <x:v>0</x:v>
      </x:c>
      <x:c r="FG22" s="1052" t="str">
        <x:f t="shared" si="89"/>
        <x:v/>
      </x:c>
      <x:c r="FH22" s="1053" t="str">
        <x:f t="shared" si="90"/>
        <x:v/>
      </x:c>
      <x:c r="FI22" s="1052">
        <x:f t="shared" si="109"/>
        <x:v>0</x:v>
      </x:c>
      <x:c r="FJ22" s="1052">
        <x:f t="shared" si="91"/>
        <x:v>0</x:v>
      </x:c>
      <x:c r="FK22" s="1052">
        <x:f t="shared" si="92"/>
        <x:v>0</x:v>
      </x:c>
      <x:c r="FL22" s="1052" t="str">
        <x:f t="shared" si="93"/>
        <x:v/>
      </x:c>
      <x:c r="FM22" s="1053" t="str">
        <x:f t="shared" si="94"/>
        <x:v/>
      </x:c>
      <x:c r="FN22" s="1053" t="e">
        <x:f t="shared" si="95"/>
        <x:v>#VALUE!</x:v>
      </x:c>
      <x:c r="FO22" s="1062" t="e">
        <x:f t="shared" si="96"/>
        <x:v>#VALUE!</x:v>
      </x:c>
      <x:c r="FP22" s="1062" t="e">
        <x:f t="shared" si="97"/>
        <x:v>#VALUE!</x:v>
      </x:c>
      <x:c r="FQ22" s="1063" t="e">
        <x:f t="shared" si="98"/>
        <x:v>#VALUE!</x:v>
      </x:c>
      <x:c r="FR22" s="1064" t="e">
        <x:f t="shared" si="99"/>
        <x:v>#VALUE!</x:v>
      </x:c>
      <x:c r="FS22" s="1065" t="str">
        <x:f t="shared" si="100"/>
        <x:v/>
      </x:c>
      <x:c r="FT22" s="1066" t="str">
        <x:f t="shared" si="101"/>
        <x:v/>
      </x:c>
      <x:c r="FU22" s="1105">
        <x:f t="shared" si="102"/>
        <x:v>0</x:v>
      </x:c>
      <x:c r="FV22" s="1106">
        <x:f t="shared" si="103"/>
        <x:v>0</x:v>
      </x:c>
      <x:c r="GA22" s="1975">
        <x:v>59</x:v>
      </x:c>
      <x:c r="GB22" s="1976">
        <x:v>2.75</x:v>
      </x:c>
      <x:c r="GC22" s="1977">
        <x:v>-1.875</x:v>
      </x:c>
      <x:c r="GD22" s="1978">
        <x:v>-0.25</x:v>
      </x:c>
      <x:c r="GE22" s="1979">
        <x:v>0.26169539219134702</x:v>
      </x:c>
      <x:c r="GF22" s="1980" t="str">
        <x:f t="shared" si="104"/>
        <x:v>TJ23</x:v>
      </x:c>
      <x:c r="GG22" s="1453"/>
      <x:c r="GH22" s="1454"/>
      <x:c r="GI22" s="1453"/>
      <x:c r="GJ22" s="1454"/>
      <x:c r="GK22" s="533">
        <x:f t="shared" si="105"/>
        <x:v>708.625</x:v>
      </x:c>
      <x:c r="GL22" s="534">
        <x:f t="shared" si="106"/>
        <x:v>708.79348626656247</x:v>
      </x:c>
      <x:c r="GM22" s="535">
        <x:f>IF(ABS(GK22-GL22)&gt;='Job Info.'!$L$22,ABS(GK22-GL22),0)</x:f>
        <x:v>0</x:v>
      </x:c>
      <x:c r="HA22" s="1658" t="s">
        <x:v>1347</x:v>
      </x:c>
      <x:c r="HB22" s="1659">
        <x:v>1</x:v>
      </x:c>
      <x:c r="HC22" s="1659" t="s">
        <x:v>1978</x:v>
      </x:c>
      <x:c r="HD22" s="1660">
        <x:v>59</x:v>
      </x:c>
      <x:c r="HE22" s="1661">
        <x:v>0.625</x:v>
      </x:c>
      <x:c r="HF22" s="1659" t="s">
        <x:v>117</x:v>
      </x:c>
      <x:c r="HG22" s="1659" t="s">
        <x:v>117</x:v>
      </x:c>
      <x:c r="HH22" s="1659" t="s">
        <x:v>117</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x:v>0</x:v>
      </x:c>
      <x:c r="HU22" s="1659">
        <x:v>1.125</x:v>
      </x:c>
      <x:c r="HV22" s="1659">
        <x:v>0</x:v>
      </x:c>
      <x:c r="HW22" s="1661">
        <x:v>2.25</x:v>
      </x:c>
      <x:c r="HX22" s="1661">
        <x:v>4</x:v>
      </x:c>
      <x:c r="HY22" s="1661" t="s">
        <x:v>117</x:v>
      </x:c>
      <x:c r="HZ22" s="1661" t="s">
        <x:v>117</x:v>
      </x:c>
      <x:c r="IA22" s="1661" t="s">
        <x:v>2083</x:v>
      </x:c>
      <x:c r="IB22" s="1661"/>
      <x:c r="IC22" s="1661"/>
      <x:c r="ID22" s="1661"/>
      <x:c r="IE22" s="1661"/>
      <x:c r="IF22" s="1663"/>
    </x:row>
    <x:row r="23" spans="1:240" ht="12.6" customHeight="1" x14ac:dyDescent="0.25">
      <x:c r="A23" s="1264" t="s">
        <x:v>1348</x:v>
      </x:c>
      <x:c r="B23" s="1265">
        <x:v>0</x:v>
      </x:c>
      <x:c r="C23" s="1265" t="s">
        <x:v>1978</x:v>
      </x:c>
      <x:c r="D23" s="1261">
        <x:v>59</x:v>
      </x:c>
      <x:c r="E23" s="1366">
        <x:v>0.625</x:v>
      </x:c>
      <x:c r="F23" s="1328" t="str">
        <x:f t="shared" si="1"/>
        <x:v/>
      </x:c>
      <x:c r="G23" s="1262" t="str">
        <x:f t="shared" si="2"/>
        <x:v/>
      </x:c>
      <x:c r="H23" s="1266" t="str">
        <x:f t="shared" si="3"/>
        <x:v/>
      </x:c>
      <x:c r="I23" s="1261">
        <x:v>0</x:v>
      </x:c>
      <x:c r="J23" s="1262">
        <x:v>1.375</x:v>
      </x:c>
      <x:c r="K23" s="1370" t="s">
        <x:v>114</x:v>
      </x:c>
      <x:c r="L23" s="1327">
        <x:v>3</x:v>
      </x:c>
      <x:c r="M23" s="1329">
        <x:v>3</x:v>
      </x:c>
      <x:c r="N23" s="1263" t="str">
        <x:f t="shared" si="4"/>
        <x:v/>
      </x:c>
      <x:c r="O23" s="1262" t="str">
        <x:f t="shared" si="5"/>
        <x:v/>
      </x:c>
      <x:c r="P23" s="1260" t="str">
        <x:f t="shared" si="6"/>
        <x:v/>
      </x:c>
      <x:c r="Q23" s="1261" t="str">
        <x:f t="shared" si="7"/>
        <x:v/>
      </x:c>
      <x:c r="R23" s="1262" t="str">
        <x:f t="shared" si="8"/>
        <x:v/>
      </x:c>
      <x:c r="S23" s="1375" t="str">
        <x:f t="shared" si="9"/>
        <x:v/>
      </x:c>
      <x:c r="T23" s="1328">
        <x:v>0</x:v>
      </x:c>
      <x:c r="U23" s="1262">
        <x:v>1.125</x:v>
      </x:c>
      <x:c r="V23" s="1261">
        <x:v>0</x:v>
      </x:c>
      <x:c r="W23" s="1262">
        <x:v>2.25</x:v>
      </x:c>
      <x:c r="X23" s="1329">
        <x:v>4</x:v>
      </x:c>
      <x:c r="Y23" s="1377" t="str">
        <x:f t="shared" si="15"/>
        <x:v/>
      </x:c>
      <x:c r="Z23" s="1378" t="str">
        <x:f t="shared" si="16"/>
        <x:v/>
      </x:c>
      <x:c r="AA23" s="2159" t="s">
        <x:v>2084</x:v>
      </x:c>
      <x:c r="AC23" s="1226" t="b">
        <x:v>0</x:v>
      </x:c>
      <x:c r="AD23" s="525">
        <x:f t="shared" si="17"/>
        <x:v>0</x:v>
      </x:c>
      <x:c r="AE23" s="526">
        <x:f t="shared" si="18"/>
        <x:v>0</x:v>
      </x:c>
      <x:c r="AF23" s="526">
        <x:f t="shared" si="19"/>
        <x:v>0</x:v>
      </x:c>
      <x:c r="AG23" s="526">
        <x:f t="shared" si="20"/>
        <x:v>0</x:v>
      </x:c>
      <x:c r="AH23" s="527">
        <x:f t="shared" si="21"/>
        <x:v>0</x:v>
      </x:c>
      <x:c r="AI23" s="528" t="b">
        <x:v>0</x:v>
      </x:c>
      <x:c r="AJ23" s="284">
        <x:f t="shared" si="22"/>
        <x:v>36</x:v>
      </x:c>
      <x:c r="AK23" s="1063" t="str">
        <x:f t="shared" si="23"/>
        <x:v>LH</x:v>
      </x:c>
      <x:c r="AL23" s="1202" t="str">
        <x:f t="shared" si="24"/>
        <x:v/>
      </x:c>
      <x:c r="AM23" s="1063">
        <x:f t="shared" si="25"/>
        <x:v>270</x:v>
      </x:c>
      <x:c r="AN23" s="1063">
        <x:f t="shared" si="26"/>
        <x:v>120</x:v>
      </x:c>
      <x:c r="AO23" s="1063" t="str">
        <x:f t="shared" si="27"/>
        <x:v/>
      </x:c>
      <x:c r="AP23" s="1063" t="b">
        <x:f>IF(ISERROR(AJ23),FALSE,IF(OR(AJ23=0,ISERROR(AL23),ISERROR(AM23),ISERROR(AN23),ISERROR(AO23)),FALSE,IF(AL23&lt;&gt;"",IF(ISERROR(VLOOKUP(SUBSTITUTE(SUBSTITUTE(C23,"R",""),"A",""),TblJoistSize!$A:$A,1,FALSE)),FALSE,TRUE),TRUE)))</x:f>
        <x:v>1</x:v>
      </x:c>
      <x:c r="AQ23" s="1305">
        <x:f t="shared" si="28"/>
        <x:v>6</x:v>
      </x:c>
      <x:c r="AR23" s="1305" t="b">
        <x:f t="shared" si="29"/>
        <x:v>1</x:v>
      </x:c>
      <x:c r="AS23" s="1305">
        <x:f t="shared" si="30"/>
        <x:v>7.375</x:v>
      </x:c>
      <x:c r="AT23" s="1305" t="b">
        <x:f t="shared" si="31"/>
        <x:v>1</x:v>
      </x:c>
      <x:c r="AU23" s="1203" t="str">
        <x:f t="shared" si="32"/>
        <x:v>LH</x:v>
      </x:c>
      <x:c r="AV23" s="1063" t="str">
        <x:f t="shared" si="33"/>
        <x:v/>
      </x:c>
      <x:c r="AW23" s="1063" t="str">
        <x:f t="shared" si="34"/>
        <x:v>LH</x:v>
      </x:c>
      <x:c r="AX23" s="1063" t="str">
        <x:f t="shared" si="107"/>
        <x:v>TJ24</x:v>
      </x:c>
      <x:c r="AY23" s="1306" t="b">
        <x:f t="shared" si="35"/>
        <x:v>0</x:v>
      </x:c>
      <x:c r="AZ23" s="1090" t="b">
        <x:f t="shared" si="36"/>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7"/>
        <x:v/>
      </x:c>
      <x:c r="CE23" s="935" t="str">
        <x:f t="shared" si="38"/>
        <x:v/>
      </x:c>
      <x:c r="CF23" s="1149"/>
      <x:c r="CG23" s="1150"/>
      <x:c r="CH23" s="738" t="str">
        <x:f t="shared" si="39"/>
        <x:v/>
      </x:c>
      <x:c r="CI23" s="739" t="str">
        <x:f t="shared" si="40"/>
        <x:v/>
      </x:c>
      <x:c r="CJ23" s="740" t="str">
        <x:f t="shared" si="41"/>
        <x:v/>
      </x:c>
      <x:c r="CK23" s="741" t="str">
        <x:f t="shared" si="42"/>
        <x:v/>
      </x:c>
      <x:c r="CL23" s="742" t="str">
        <x:f t="shared" si="43"/>
        <x:v/>
      </x:c>
      <x:c r="CM23" s="743" t="str">
        <x:f t="shared" si="44"/>
        <x:v/>
      </x:c>
      <x:c r="CN23" s="744" t="str">
        <x:f t="shared" si="45"/>
        <x:v/>
      </x:c>
      <x:c r="CO23" s="745" t="str">
        <x:f t="shared" si="46"/>
        <x:v/>
      </x:c>
      <x:c r="CP23" s="762" t="str">
        <x:f t="shared" si="47"/>
        <x:v/>
      </x:c>
      <x:c r="CQ23" s="763" t="str">
        <x:f t="shared" si="48"/>
        <x:v/>
      </x:c>
      <x:c r="CR23" s="953">
        <x:f t="shared" si="49"/>
        <x:v>5</x:v>
      </x:c>
      <x:c r="CS23" s="954">
        <x:f t="shared" si="50"/>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51"/>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52"/>
        <x:v>0</x:v>
      </x:c>
      <x:c r="DO23" s="1049">
        <x:f t="shared" si="53"/>
        <x:v>0</x:v>
      </x:c>
      <x:c r="DP23" s="1053" t="str">
        <x:f t="shared" si="54"/>
        <x:v/>
      </x:c>
      <x:c r="DQ23" s="1053" t="str">
        <x:f t="shared" si="55"/>
        <x:v/>
      </x:c>
      <x:c r="DR23" s="1053" t="str">
        <x:f t="shared" si="56"/>
        <x:v/>
      </x:c>
      <x:c r="DS23" s="1052">
        <x:f t="shared" si="57"/>
        <x:v>0</x:v>
      </x:c>
      <x:c r="DT23" s="1052">
        <x:f t="shared" si="58"/>
        <x:v>0</x:v>
      </x:c>
      <x:c r="DU23" s="1052" t="str">
        <x:f t="shared" si="59"/>
        <x:v/>
      </x:c>
      <x:c r="DV23" s="1053" t="str">
        <x:f t="shared" si="60"/>
        <x:v/>
      </x:c>
      <x:c r="DW23" s="1053" t="str">
        <x:f t="shared" si="61"/>
        <x:v/>
      </x:c>
      <x:c r="DX23" s="1269">
        <x:f t="shared" si="62"/>
        <x:v>0</x:v>
      </x:c>
      <x:c r="DY23" s="1053">
        <x:f t="shared" si="63"/>
        <x:v>0</x:v>
      </x:c>
      <x:c r="DZ23" s="1052">
        <x:f t="shared" si="64"/>
        <x:v>0</x:v>
      </x:c>
      <x:c r="EA23" s="1052" t="str">
        <x:f t="shared" si="65"/>
        <x:v/>
      </x:c>
      <x:c r="EB23" s="1053" t="str">
        <x:f t="shared" si="66"/>
        <x:v/>
      </x:c>
      <x:c r="EC23" s="1053" t="str">
        <x:f t="shared" si="67"/>
        <x:v/>
      </x:c>
      <x:c r="ED23" s="1269">
        <x:f t="shared" si="68"/>
        <x:v>0</x:v>
      </x:c>
      <x:c r="EE23" s="1090" t="str">
        <x:f t="shared" si="69"/>
        <x:v/>
      </x:c>
      <x:c r="EF23" s="1053" t="str">
        <x:f t="shared" si="70"/>
        <x:v/>
      </x:c>
      <x:c r="EG23" s="1053" t="str">
        <x:f t="shared" si="71"/>
        <x:v/>
      </x:c>
      <x:c r="EH23" s="1053" t="str">
        <x:f t="shared" si="72"/>
        <x:v>ERR</x:v>
      </x:c>
      <x:c r="EI23" s="1053" t="str">
        <x:f t="shared" si="73"/>
        <x:v>ERR</x:v>
      </x:c>
      <x:c r="EJ23" s="1053" t="str">
        <x:f t="shared" si="74"/>
        <x:v/>
      </x:c>
      <x:c r="EK23" s="1053" t="str">
        <x:f t="shared" si="74"/>
        <x:v/>
      </x:c>
      <x:c r="EL23" s="1090" t="str">
        <x:f t="shared" si="75"/>
        <x:v/>
      </x:c>
      <x:c r="EM23" s="1053" t="str">
        <x:f t="shared" si="76"/>
        <x:v/>
      </x:c>
      <x:c r="EN23" s="1053" t="str">
        <x:f t="shared" si="77"/>
        <x:v/>
      </x:c>
      <x:c r="EO23" s="1053" t="str">
        <x:f t="shared" si="78"/>
        <x:v>ERR</x:v>
      </x:c>
      <x:c r="EP23" s="1053" t="str">
        <x:f t="shared" si="79"/>
        <x:v>ERR</x:v>
      </x:c>
      <x:c r="EQ23" s="1053" t="str">
        <x:f t="shared" si="80"/>
        <x:v/>
      </x:c>
      <x:c r="ER23" s="1053" t="str">
        <x:f t="shared" si="80"/>
        <x:v/>
      </x:c>
      <x:c r="ES23" s="1053" t="str">
        <x:f t="shared" si="81"/>
        <x:v/>
      </x:c>
      <x:c r="ET23" s="1053" t="str">
        <x:f t="shared" si="82"/>
        <x:v/>
      </x:c>
      <x:c r="EU23" s="1061">
        <x:f t="shared" si="83"/>
        <x:v>4</x:v>
      </x:c>
      <x:c r="EV23" s="1055" t="str">
        <x:f t="shared" si="84"/>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5"/>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6"/>
        <x:v/>
      </x:c>
      <x:c r="FD23" s="1052">
        <x:f t="shared" si="108"/>
        <x:v>0</x:v>
      </x:c>
      <x:c r="FE23" s="1052">
        <x:f t="shared" si="87"/>
        <x:v>0</x:v>
      </x:c>
      <x:c r="FF23" s="1052">
        <x:f t="shared" si="88"/>
        <x:v>0</x:v>
      </x:c>
      <x:c r="FG23" s="1052" t="str">
        <x:f t="shared" si="89"/>
        <x:v/>
      </x:c>
      <x:c r="FH23" s="1053" t="str">
        <x:f t="shared" si="90"/>
        <x:v/>
      </x:c>
      <x:c r="FI23" s="1052">
        <x:f t="shared" si="109"/>
        <x:v>0</x:v>
      </x:c>
      <x:c r="FJ23" s="1052">
        <x:f t="shared" si="91"/>
        <x:v>0</x:v>
      </x:c>
      <x:c r="FK23" s="1052">
        <x:f t="shared" si="92"/>
        <x:v>0</x:v>
      </x:c>
      <x:c r="FL23" s="1052" t="str">
        <x:f t="shared" si="93"/>
        <x:v/>
      </x:c>
      <x:c r="FM23" s="1053" t="str">
        <x:f t="shared" si="94"/>
        <x:v/>
      </x:c>
      <x:c r="FN23" s="1053" t="e">
        <x:f t="shared" si="95"/>
        <x:v>#VALUE!</x:v>
      </x:c>
      <x:c r="FO23" s="1062" t="e">
        <x:f t="shared" si="96"/>
        <x:v>#VALUE!</x:v>
      </x:c>
      <x:c r="FP23" s="1062" t="e">
        <x:f t="shared" si="97"/>
        <x:v>#VALUE!</x:v>
      </x:c>
      <x:c r="FQ23" s="1063" t="e">
        <x:f t="shared" si="98"/>
        <x:v>#VALUE!</x:v>
      </x:c>
      <x:c r="FR23" s="1064" t="e">
        <x:f t="shared" si="99"/>
        <x:v>#VALUE!</x:v>
      </x:c>
      <x:c r="FS23" s="1065" t="str">
        <x:f t="shared" si="100"/>
        <x:v/>
      </x:c>
      <x:c r="FT23" s="1066" t="str">
        <x:f t="shared" si="101"/>
        <x:v/>
      </x:c>
      <x:c r="FU23" s="1105">
        <x:f t="shared" si="102"/>
        <x:v>0</x:v>
      </x:c>
      <x:c r="FV23" s="1106">
        <x:f t="shared" si="103"/>
        <x:v>0</x:v>
      </x:c>
      <x:c r="GA23" s="1975">
        <x:v>59</x:v>
      </x:c>
      <x:c r="GB23" s="1976">
        <x:v>2.75</x:v>
      </x:c>
      <x:c r="GC23" s="1977">
        <x:v>-1.875</x:v>
      </x:c>
      <x:c r="GD23" s="1978">
        <x:v>-0.25</x:v>
      </x:c>
      <x:c r="GE23" s="1979">
        <x:v>0.26169539219134702</x:v>
      </x:c>
      <x:c r="GF23" s="1980" t="str">
        <x:f t="shared" si="104"/>
        <x:v>TJ24</x:v>
      </x:c>
      <x:c r="GG23" s="1453"/>
      <x:c r="GH23" s="1454"/>
      <x:c r="GI23" s="1453"/>
      <x:c r="GJ23" s="1454"/>
      <x:c r="GK23" s="533">
        <x:f t="shared" si="105"/>
        <x:v>708.625</x:v>
      </x:c>
      <x:c r="GL23" s="534">
        <x:f t="shared" si="106"/>
        <x:v>708.79348626656247</x:v>
      </x:c>
      <x:c r="GM23" s="535">
        <x:f>IF(ABS(GK23-GL23)&gt;='Job Info.'!$L$22,ABS(GK23-GL23),0)</x:f>
        <x:v>0</x:v>
      </x:c>
      <x:c r="HA23" s="1658" t="s">
        <x:v>1348</x:v>
      </x:c>
      <x:c r="HB23" s="1659">
        <x:v>1</x:v>
      </x:c>
      <x:c r="HC23" s="1659" t="s">
        <x:v>1978</x:v>
      </x:c>
      <x:c r="HD23" s="1660">
        <x:v>59</x:v>
      </x:c>
      <x:c r="HE23" s="1661">
        <x:v>0.625</x:v>
      </x:c>
      <x:c r="HF23" s="1659" t="s">
        <x:v>117</x:v>
      </x:c>
      <x:c r="HG23" s="1659" t="s">
        <x:v>117</x:v>
      </x:c>
      <x:c r="HH23" s="1659" t="s">
        <x:v>117</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x:v>0</x:v>
      </x:c>
      <x:c r="HU23" s="1659">
        <x:v>1.125</x:v>
      </x:c>
      <x:c r="HV23" s="1659">
        <x:v>0</x:v>
      </x:c>
      <x:c r="HW23" s="1661">
        <x:v>2.25</x:v>
      </x:c>
      <x:c r="HX23" s="1661">
        <x:v>4</x:v>
      </x:c>
      <x:c r="HY23" s="1661" t="s">
        <x:v>117</x:v>
      </x:c>
      <x:c r="HZ23" s="1661" t="s">
        <x:v>117</x:v>
      </x:c>
      <x:c r="IA23" s="1661" t="s">
        <x:v>2084</x:v>
      </x:c>
      <x:c r="IB23" s="1661"/>
      <x:c r="IC23" s="1661"/>
      <x:c r="ID23" s="1661"/>
      <x:c r="IE23" s="1661"/>
      <x:c r="IF23" s="1663"/>
    </x:row>
    <x:row r="24" spans="1:240" ht="12.6" customHeight="1" x14ac:dyDescent="0.25">
      <x:c r="A24" s="1264" t="s">
        <x:v>1349</x:v>
      </x:c>
      <x:c r="B24" s="1265">
        <x:v>0</x:v>
      </x:c>
      <x:c r="C24" s="1265" t="s">
        <x:v>1978</x:v>
      </x:c>
      <x:c r="D24" s="1261">
        <x:v>59</x:v>
      </x:c>
      <x:c r="E24" s="1366">
        <x:v>0.625</x:v>
      </x:c>
      <x:c r="F24" s="1328" t="str">
        <x:f t="shared" si="1"/>
        <x:v/>
      </x:c>
      <x:c r="G24" s="1262" t="str">
        <x:f t="shared" si="2"/>
        <x:v/>
      </x:c>
      <x:c r="H24" s="1266" t="str">
        <x:f t="shared" si="3"/>
        <x:v/>
      </x:c>
      <x:c r="I24" s="1261">
        <x:v>0</x:v>
      </x:c>
      <x:c r="J24" s="1262">
        <x:v>1.375</x:v>
      </x:c>
      <x:c r="K24" s="1370" t="s">
        <x:v>114</x:v>
      </x:c>
      <x:c r="L24" s="1327">
        <x:v>3</x:v>
      </x:c>
      <x:c r="M24" s="1329">
        <x:v>3</x:v>
      </x:c>
      <x:c r="N24" s="1263" t="str">
        <x:f t="shared" si="4"/>
        <x:v/>
      </x:c>
      <x:c r="O24" s="1262" t="str">
        <x:f t="shared" si="5"/>
        <x:v/>
      </x:c>
      <x:c r="P24" s="1260" t="str">
        <x:f t="shared" si="6"/>
        <x:v/>
      </x:c>
      <x:c r="Q24" s="1261" t="str">
        <x:f t="shared" si="7"/>
        <x:v/>
      </x:c>
      <x:c r="R24" s="1262" t="str">
        <x:f t="shared" si="8"/>
        <x:v/>
      </x:c>
      <x:c r="S24" s="1375" t="str">
        <x:f t="shared" si="9"/>
        <x:v/>
      </x:c>
      <x:c r="T24" s="1328" t="str">
        <x:f t="shared" si="10"/>
        <x:v/>
      </x:c>
      <x:c r="U24" s="1262" t="str">
        <x:f t="shared" si="11"/>
        <x:v/>
      </x:c>
      <x:c r="V24" s="1261" t="str">
        <x:f t="shared" si="12"/>
        <x:v/>
      </x:c>
      <x:c r="W24" s="1262" t="str">
        <x:f t="shared" si="13"/>
        <x:v/>
      </x:c>
      <x:c r="X24" s="1329">
        <x:f t="shared" si="14"/>
        <x:v>0</x:v>
      </x:c>
      <x:c r="Y24" s="1377" t="str">
        <x:f t="shared" si="15"/>
        <x:v/>
      </x:c>
      <x:c r="Z24" s="1378" t="str">
        <x:f t="shared" si="16"/>
        <x:v/>
      </x:c>
      <x:c r="AA24" s="2159" t="s">
        <x:v>2085</x:v>
      </x:c>
      <x:c r="AC24" s="1226" t="b">
        <x:v>0</x:v>
      </x:c>
      <x:c r="AD24" s="525">
        <x:f t="shared" si="17"/>
        <x:v>0</x:v>
      </x:c>
      <x:c r="AE24" s="526">
        <x:f t="shared" si="18"/>
        <x:v>0</x:v>
      </x:c>
      <x:c r="AF24" s="526">
        <x:f t="shared" si="19"/>
        <x:v>0</x:v>
      </x:c>
      <x:c r="AG24" s="526">
        <x:f t="shared" si="20"/>
        <x:v>0</x:v>
      </x:c>
      <x:c r="AH24" s="527">
        <x:f t="shared" si="21"/>
        <x:v>0</x:v>
      </x:c>
      <x:c r="AI24" s="528" t="b">
        <x:v>0</x:v>
      </x:c>
      <x:c r="AJ24" s="284">
        <x:f t="shared" si="22"/>
        <x:v>36</x:v>
      </x:c>
      <x:c r="AK24" s="1063" t="str">
        <x:f t="shared" si="23"/>
        <x:v>LH</x:v>
      </x:c>
      <x:c r="AL24" s="1202" t="str">
        <x:f t="shared" si="24"/>
        <x:v/>
      </x:c>
      <x:c r="AM24" s="1063">
        <x:f t="shared" si="25"/>
        <x:v>270</x:v>
      </x:c>
      <x:c r="AN24" s="1063">
        <x:f t="shared" si="26"/>
        <x:v>120</x:v>
      </x:c>
      <x:c r="AO24" s="1063" t="str">
        <x:f t="shared" si="27"/>
        <x:v/>
      </x:c>
      <x:c r="AP24" s="1063" t="b">
        <x:f>IF(ISERROR(AJ24),FALSE,IF(OR(AJ24=0,ISERROR(AL24),ISERROR(AM24),ISERROR(AN24),ISERROR(AO24)),FALSE,IF(AL24&lt;&gt;"",IF(ISERROR(VLOOKUP(SUBSTITUTE(SUBSTITUTE(C24,"R",""),"A",""),TblJoistSize!$A:$A,1,FALSE)),FALSE,TRUE),TRUE)))</x:f>
        <x:v>1</x:v>
      </x:c>
      <x:c r="AQ24" s="1305">
        <x:f t="shared" si="28"/>
        <x:v>6</x:v>
      </x:c>
      <x:c r="AR24" s="1305" t="b">
        <x:f t="shared" si="29"/>
        <x:v>0</x:v>
      </x:c>
      <x:c r="AS24" s="1305">
        <x:f t="shared" si="30"/>
        <x:v>7.375</x:v>
      </x:c>
      <x:c r="AT24" s="1305" t="b">
        <x:f t="shared" si="31"/>
        <x:v>0</x:v>
      </x:c>
      <x:c r="AU24" s="1203" t="str">
        <x:f t="shared" si="32"/>
        <x:v>LH</x:v>
      </x:c>
      <x:c r="AV24" s="1063" t="str">
        <x:f t="shared" si="33"/>
        <x:v/>
      </x:c>
      <x:c r="AW24" s="1063" t="str">
        <x:f t="shared" si="34"/>
        <x:v>LH</x:v>
      </x:c>
      <x:c r="AX24" s="1063" t="str">
        <x:f t="shared" si="107"/>
        <x:v>J25</x:v>
      </x:c>
      <x:c r="AY24" s="1306" t="b">
        <x:f t="shared" si="35"/>
        <x:v>0</x:v>
      </x:c>
      <x:c r="AZ24" s="1090" t="b">
        <x:f t="shared" si="36"/>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7"/>
        <x:v/>
      </x:c>
      <x:c r="CE24" s="935" t="str">
        <x:f t="shared" si="38"/>
        <x:v/>
      </x:c>
      <x:c r="CF24" s="1149"/>
      <x:c r="CG24" s="1150"/>
      <x:c r="CH24" s="738" t="str">
        <x:f t="shared" si="39"/>
        <x:v/>
      </x:c>
      <x:c r="CI24" s="739" t="str">
        <x:f t="shared" si="40"/>
        <x:v/>
      </x:c>
      <x:c r="CJ24" s="740" t="str">
        <x:f t="shared" si="41"/>
        <x:v/>
      </x:c>
      <x:c r="CK24" s="741" t="str">
        <x:f t="shared" si="42"/>
        <x:v/>
      </x:c>
      <x:c r="CL24" s="742" t="str">
        <x:f t="shared" si="43"/>
        <x:v/>
      </x:c>
      <x:c r="CM24" s="743" t="str">
        <x:f t="shared" si="44"/>
        <x:v/>
      </x:c>
      <x:c r="CN24" s="744" t="str">
        <x:f t="shared" si="45"/>
        <x:v/>
      </x:c>
      <x:c r="CO24" s="745" t="str">
        <x:f t="shared" si="46"/>
        <x:v/>
      </x:c>
      <x:c r="CP24" s="762" t="str">
        <x:f t="shared" si="47"/>
        <x:v/>
      </x:c>
      <x:c r="CQ24" s="763" t="str">
        <x:f t="shared" si="48"/>
        <x:v/>
      </x:c>
      <x:c r="CR24" s="953">
        <x:f t="shared" si="49"/>
        <x:v>5</x:v>
      </x:c>
      <x:c r="CS24" s="954">
        <x:f t="shared" si="50"/>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51"/>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52"/>
        <x:v>0</x:v>
      </x:c>
      <x:c r="DO24" s="1049">
        <x:f t="shared" si="53"/>
        <x:v>0</x:v>
      </x:c>
      <x:c r="DP24" s="1053" t="str">
        <x:f t="shared" si="54"/>
        <x:v/>
      </x:c>
      <x:c r="DQ24" s="1053" t="str">
        <x:f t="shared" si="55"/>
        <x:v/>
      </x:c>
      <x:c r="DR24" s="1053" t="str">
        <x:f t="shared" si="56"/>
        <x:v/>
      </x:c>
      <x:c r="DS24" s="1052">
        <x:f t="shared" si="57"/>
        <x:v>0</x:v>
      </x:c>
      <x:c r="DT24" s="1052">
        <x:f t="shared" si="58"/>
        <x:v>0</x:v>
      </x:c>
      <x:c r="DU24" s="1052" t="str">
        <x:f t="shared" si="59"/>
        <x:v/>
      </x:c>
      <x:c r="DV24" s="1053" t="str">
        <x:f t="shared" si="60"/>
        <x:v/>
      </x:c>
      <x:c r="DW24" s="1053" t="str">
        <x:f t="shared" si="61"/>
        <x:v/>
      </x:c>
      <x:c r="DX24" s="1269">
        <x:f t="shared" si="62"/>
        <x:v>0</x:v>
      </x:c>
      <x:c r="DY24" s="1053">
        <x:f t="shared" si="63"/>
        <x:v>0</x:v>
      </x:c>
      <x:c r="DZ24" s="1052">
        <x:f t="shared" si="64"/>
        <x:v>0</x:v>
      </x:c>
      <x:c r="EA24" s="1052" t="str">
        <x:f t="shared" si="65"/>
        <x:v/>
      </x:c>
      <x:c r="EB24" s="1053" t="str">
        <x:f t="shared" si="66"/>
        <x:v/>
      </x:c>
      <x:c r="EC24" s="1053" t="str">
        <x:f t="shared" si="67"/>
        <x:v/>
      </x:c>
      <x:c r="ED24" s="1269">
        <x:f t="shared" si="68"/>
        <x:v>0</x:v>
      </x:c>
      <x:c r="EE24" s="1090" t="str">
        <x:f t="shared" si="69"/>
        <x:v/>
      </x:c>
      <x:c r="EF24" s="1053" t="str">
        <x:f t="shared" si="70"/>
        <x:v/>
      </x:c>
      <x:c r="EG24" s="1053" t="str">
        <x:f t="shared" si="71"/>
        <x:v/>
      </x:c>
      <x:c r="EH24" s="1053" t="str">
        <x:f t="shared" si="72"/>
        <x:v>ERR</x:v>
      </x:c>
      <x:c r="EI24" s="1053" t="str">
        <x:f t="shared" si="73"/>
        <x:v>ERR</x:v>
      </x:c>
      <x:c r="EJ24" s="1053" t="str">
        <x:f t="shared" si="74"/>
        <x:v/>
      </x:c>
      <x:c r="EK24" s="1053" t="str">
        <x:f t="shared" si="74"/>
        <x:v/>
      </x:c>
      <x:c r="EL24" s="1090" t="str">
        <x:f t="shared" si="75"/>
        <x:v/>
      </x:c>
      <x:c r="EM24" s="1053" t="str">
        <x:f t="shared" si="76"/>
        <x:v/>
      </x:c>
      <x:c r="EN24" s="1053" t="str">
        <x:f t="shared" si="77"/>
        <x:v/>
      </x:c>
      <x:c r="EO24" s="1053" t="str">
        <x:f t="shared" si="78"/>
        <x:v>ERR</x:v>
      </x:c>
      <x:c r="EP24" s="1053" t="str">
        <x:f t="shared" si="79"/>
        <x:v>ERR</x:v>
      </x:c>
      <x:c r="EQ24" s="1053" t="str">
        <x:f t="shared" si="80"/>
        <x:v/>
      </x:c>
      <x:c r="ER24" s="1053" t="str">
        <x:f t="shared" si="80"/>
        <x:v/>
      </x:c>
      <x:c r="ES24" s="1053" t="str">
        <x:f t="shared" si="81"/>
        <x:v/>
      </x:c>
      <x:c r="ET24" s="1053" t="str">
        <x:f t="shared" si="82"/>
        <x:v/>
      </x:c>
      <x:c r="EU24" s="1061">
        <x:f t="shared" si="83"/>
        <x:v>4</x:v>
      </x:c>
      <x:c r="EV24" s="1055" t="str">
        <x:f t="shared" si="84"/>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5"/>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6"/>
        <x:v/>
      </x:c>
      <x:c r="FD24" s="1052">
        <x:f t="shared" si="108"/>
        <x:v>0</x:v>
      </x:c>
      <x:c r="FE24" s="1052">
        <x:f t="shared" si="87"/>
        <x:v>0</x:v>
      </x:c>
      <x:c r="FF24" s="1052">
        <x:f t="shared" si="88"/>
        <x:v>0</x:v>
      </x:c>
      <x:c r="FG24" s="1052" t="str">
        <x:f t="shared" si="89"/>
        <x:v/>
      </x:c>
      <x:c r="FH24" s="1053" t="str">
        <x:f t="shared" si="90"/>
        <x:v/>
      </x:c>
      <x:c r="FI24" s="1052">
        <x:f t="shared" si="109"/>
        <x:v>0</x:v>
      </x:c>
      <x:c r="FJ24" s="1052">
        <x:f t="shared" si="91"/>
        <x:v>0</x:v>
      </x:c>
      <x:c r="FK24" s="1052">
        <x:f t="shared" si="92"/>
        <x:v>0</x:v>
      </x:c>
      <x:c r="FL24" s="1052" t="str">
        <x:f t="shared" si="93"/>
        <x:v/>
      </x:c>
      <x:c r="FM24" s="1053" t="str">
        <x:f t="shared" si="94"/>
        <x:v/>
      </x:c>
      <x:c r="FN24" s="1053" t="e">
        <x:f t="shared" si="95"/>
        <x:v>#VALUE!</x:v>
      </x:c>
      <x:c r="FO24" s="1062" t="e">
        <x:f t="shared" si="96"/>
        <x:v>#VALUE!</x:v>
      </x:c>
      <x:c r="FP24" s="1062" t="e">
        <x:f t="shared" si="97"/>
        <x:v>#VALUE!</x:v>
      </x:c>
      <x:c r="FQ24" s="1063" t="e">
        <x:f t="shared" si="98"/>
        <x:v>#VALUE!</x:v>
      </x:c>
      <x:c r="FR24" s="1064" t="e">
        <x:f t="shared" si="99"/>
        <x:v>#VALUE!</x:v>
      </x:c>
      <x:c r="FS24" s="1065" t="str">
        <x:f t="shared" si="100"/>
        <x:v/>
      </x:c>
      <x:c r="FT24" s="1066" t="str">
        <x:f t="shared" si="101"/>
        <x:v/>
      </x:c>
      <x:c r="FU24" s="1105">
        <x:f t="shared" si="102"/>
        <x:v>0</x:v>
      </x:c>
      <x:c r="FV24" s="1106">
        <x:f t="shared" si="103"/>
        <x:v>0</x:v>
      </x:c>
      <x:c r="GA24" s="1975">
        <x:v>59</x:v>
      </x:c>
      <x:c r="GB24" s="1976">
        <x:v>2.75</x:v>
      </x:c>
      <x:c r="GC24" s="1977">
        <x:v>-1.875</x:v>
      </x:c>
      <x:c r="GD24" s="1978">
        <x:v>-0.25</x:v>
      </x:c>
      <x:c r="GE24" s="1979">
        <x:v>0.26169539219134702</x:v>
      </x:c>
      <x:c r="GF24" s="1980" t="str">
        <x:f t="shared" si="104"/>
        <x:v>J25</x:v>
      </x:c>
      <x:c r="GG24" s="1453"/>
      <x:c r="GH24" s="1454"/>
      <x:c r="GI24" s="1453"/>
      <x:c r="GJ24" s="1454"/>
      <x:c r="GK24" s="533">
        <x:f t="shared" si="105"/>
        <x:v>708.625</x:v>
      </x:c>
      <x:c r="GL24" s="534">
        <x:f t="shared" si="106"/>
        <x:v>708.79348626656247</x:v>
      </x:c>
      <x:c r="GM24" s="535">
        <x:f>IF(ABS(GK24-GL24)&gt;='Job Info.'!$L$22,ABS(GK24-GL24),0)</x:f>
        <x:v>0</x:v>
      </x:c>
      <x:c r="HA24" s="1658" t="s">
        <x:v>1349</x:v>
      </x:c>
      <x:c r="HB24" s="1659">
        <x:v>14</x:v>
      </x:c>
      <x:c r="HC24" s="1659" t="s">
        <x:v>1978</x:v>
      </x:c>
      <x:c r="HD24" s="1660">
        <x:v>59</x:v>
      </x:c>
      <x:c r="HE24" s="1661">
        <x:v>0.625</x:v>
      </x:c>
      <x:c r="HF24" s="1659" t="s">
        <x:v>117</x:v>
      </x:c>
      <x:c r="HG24" s="1659" t="s">
        <x:v>117</x:v>
      </x:c>
      <x:c r="HH24" s="1659" t="s">
        <x:v>117</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t="s">
        <x:v>117</x:v>
      </x:c>
      <x:c r="HZ24" s="1661" t="s">
        <x:v>117</x:v>
      </x:c>
      <x:c r="IA24" s="1661" t="s">
        <x:v>2085</x:v>
      </x:c>
      <x:c r="IB24" s="1661"/>
      <x:c r="IC24" s="1661"/>
      <x:c r="ID24" s="1661"/>
      <x:c r="IE24" s="1661"/>
      <x:c r="IF24" s="1663"/>
    </x:row>
    <x:row r="25" spans="1:240" ht="12.6" customHeight="1" x14ac:dyDescent="0.25">
      <x:c r="A25" s="1264" t="s">
        <x:v>1350</x:v>
      </x:c>
      <x:c r="B25" s="1265">
        <x:v>0</x:v>
      </x:c>
      <x:c r="C25" s="1265" t="s">
        <x:v>1978</x:v>
      </x:c>
      <x:c r="D25" s="1261">
        <x:v>59</x:v>
      </x:c>
      <x:c r="E25" s="1366">
        <x:v>0.625</x:v>
      </x:c>
      <x:c r="F25" s="1328" t="str">
        <x:f t="shared" si="1"/>
        <x:v/>
      </x:c>
      <x:c r="G25" s="1262" t="str">
        <x:f t="shared" si="2"/>
        <x:v/>
      </x:c>
      <x:c r="H25" s="1266" t="str">
        <x:f t="shared" si="3"/>
        <x:v/>
      </x:c>
      <x:c r="I25" s="1261">
        <x:v>0</x:v>
      </x:c>
      <x:c r="J25" s="1262">
        <x:v>1.375</x:v>
      </x:c>
      <x:c r="K25" s="1370" t="s">
        <x:v>114</x:v>
      </x:c>
      <x:c r="L25" s="1327">
        <x:v>3</x:v>
      </x:c>
      <x:c r="M25" s="1329">
        <x:v>3</x:v>
      </x:c>
      <x:c r="N25" s="1263" t="str">
        <x:f t="shared" si="4"/>
        <x:v/>
      </x:c>
      <x:c r="O25" s="1262" t="str">
        <x:f t="shared" si="5"/>
        <x:v/>
      </x:c>
      <x:c r="P25" s="1260" t="str">
        <x:f t="shared" si="6"/>
        <x:v/>
      </x:c>
      <x:c r="Q25" s="1261" t="str">
        <x:f t="shared" si="7"/>
        <x:v/>
      </x:c>
      <x:c r="R25" s="1262" t="str">
        <x:f t="shared" si="8"/>
        <x:v/>
      </x:c>
      <x:c r="S25" s="1375" t="str">
        <x:f t="shared" si="9"/>
        <x:v/>
      </x:c>
      <x:c r="T25" s="1328" t="str">
        <x:f t="shared" si="10"/>
        <x:v/>
      </x:c>
      <x:c r="U25" s="1262" t="str">
        <x:f t="shared" si="11"/>
        <x:v/>
      </x:c>
      <x:c r="V25" s="1261" t="str">
        <x:f t="shared" si="12"/>
        <x:v/>
      </x:c>
      <x:c r="W25" s="1262" t="str">
        <x:f t="shared" si="13"/>
        <x:v/>
      </x:c>
      <x:c r="X25" s="1329">
        <x:f t="shared" si="14"/>
        <x:v>0</x:v>
      </x:c>
      <x:c r="Y25" s="1377" t="str">
        <x:f t="shared" si="15"/>
        <x:v/>
      </x:c>
      <x:c r="Z25" s="1378" t="str">
        <x:f t="shared" si="16"/>
        <x:v/>
      </x:c>
      <x:c r="AA25" s="2159" t="s">
        <x:v>2086</x:v>
      </x:c>
      <x:c r="AC25" s="1226" t="b">
        <x:v>0</x:v>
      </x:c>
      <x:c r="AD25" s="525">
        <x:f t="shared" si="17"/>
        <x:v>0</x:v>
      </x:c>
      <x:c r="AE25" s="526">
        <x:f t="shared" si="18"/>
        <x:v>0</x:v>
      </x:c>
      <x:c r="AF25" s="526">
        <x:f t="shared" si="19"/>
        <x:v>0</x:v>
      </x:c>
      <x:c r="AG25" s="526">
        <x:f t="shared" si="20"/>
        <x:v>0</x:v>
      </x:c>
      <x:c r="AH25" s="527">
        <x:f t="shared" si="21"/>
        <x:v>0</x:v>
      </x:c>
      <x:c r="AI25" s="528" t="b">
        <x:v>0</x:v>
      </x:c>
      <x:c r="AJ25" s="284">
        <x:f t="shared" si="22"/>
        <x:v>36</x:v>
      </x:c>
      <x:c r="AK25" s="1063" t="str">
        <x:f t="shared" si="23"/>
        <x:v>LH</x:v>
      </x:c>
      <x:c r="AL25" s="1202" t="str">
        <x:f t="shared" si="24"/>
        <x:v/>
      </x:c>
      <x:c r="AM25" s="1063">
        <x:f t="shared" si="25"/>
        <x:v>270</x:v>
      </x:c>
      <x:c r="AN25" s="1063">
        <x:f t="shared" si="26"/>
        <x:v>120</x:v>
      </x:c>
      <x:c r="AO25" s="1063" t="str">
        <x:f t="shared" si="27"/>
        <x:v/>
      </x:c>
      <x:c r="AP25" s="1063" t="b">
        <x:f>IF(ISERROR(AJ25),FALSE,IF(OR(AJ25=0,ISERROR(AL25),ISERROR(AM25),ISERROR(AN25),ISERROR(AO25)),FALSE,IF(AL25&lt;&gt;"",IF(ISERROR(VLOOKUP(SUBSTITUTE(SUBSTITUTE(C25,"R",""),"A",""),TblJoistSize!$A:$A,1,FALSE)),FALSE,TRUE),TRUE)))</x:f>
        <x:v>1</x:v>
      </x:c>
      <x:c r="AQ25" s="1305">
        <x:f t="shared" si="28"/>
        <x:v>6</x:v>
      </x:c>
      <x:c r="AR25" s="1305" t="b">
        <x:f t="shared" si="29"/>
        <x:v>0</x:v>
      </x:c>
      <x:c r="AS25" s="1305">
        <x:f t="shared" si="30"/>
        <x:v>7.375</x:v>
      </x:c>
      <x:c r="AT25" s="1305" t="b">
        <x:f t="shared" si="31"/>
        <x:v>0</x:v>
      </x:c>
      <x:c r="AU25" s="1203" t="str">
        <x:f t="shared" si="32"/>
        <x:v>LH</x:v>
      </x:c>
      <x:c r="AV25" s="1063" t="str">
        <x:f t="shared" si="33"/>
        <x:v/>
      </x:c>
      <x:c r="AW25" s="1063" t="str">
        <x:f t="shared" si="34"/>
        <x:v>LH</x:v>
      </x:c>
      <x:c r="AX25" s="1063" t="str">
        <x:f t="shared" si="107"/>
        <x:v>J26</x:v>
      </x:c>
      <x:c r="AY25" s="1306" t="b">
        <x:f t="shared" si="35"/>
        <x:v>0</x:v>
      </x:c>
      <x:c r="AZ25" s="1090" t="b">
        <x:f t="shared" si="36"/>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7"/>
        <x:v/>
      </x:c>
      <x:c r="CE25" s="935" t="str">
        <x:f t="shared" si="38"/>
        <x:v/>
      </x:c>
      <x:c r="CF25" s="1149"/>
      <x:c r="CG25" s="1150"/>
      <x:c r="CH25" s="738" t="str">
        <x:f t="shared" si="39"/>
        <x:v/>
      </x:c>
      <x:c r="CI25" s="739" t="str">
        <x:f t="shared" si="40"/>
        <x:v/>
      </x:c>
      <x:c r="CJ25" s="740" t="str">
        <x:f t="shared" si="41"/>
        <x:v/>
      </x:c>
      <x:c r="CK25" s="741" t="str">
        <x:f t="shared" si="42"/>
        <x:v/>
      </x:c>
      <x:c r="CL25" s="742" t="str">
        <x:f t="shared" si="43"/>
        <x:v/>
      </x:c>
      <x:c r="CM25" s="743" t="str">
        <x:f t="shared" si="44"/>
        <x:v/>
      </x:c>
      <x:c r="CN25" s="744" t="str">
        <x:f t="shared" si="45"/>
        <x:v/>
      </x:c>
      <x:c r="CO25" s="745" t="str">
        <x:f t="shared" si="46"/>
        <x:v/>
      </x:c>
      <x:c r="CP25" s="762" t="str">
        <x:f t="shared" si="47"/>
        <x:v/>
      </x:c>
      <x:c r="CQ25" s="763" t="str">
        <x:f t="shared" si="48"/>
        <x:v/>
      </x:c>
      <x:c r="CR25" s="953">
        <x:f t="shared" si="49"/>
        <x:v>5</x:v>
      </x:c>
      <x:c r="CS25" s="954">
        <x:f t="shared" si="50"/>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51"/>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52"/>
        <x:v>0</x:v>
      </x:c>
      <x:c r="DO25" s="1049">
        <x:f t="shared" si="53"/>
        <x:v>0</x:v>
      </x:c>
      <x:c r="DP25" s="1053" t="str">
        <x:f t="shared" si="54"/>
        <x:v/>
      </x:c>
      <x:c r="DQ25" s="1053" t="str">
        <x:f t="shared" si="55"/>
        <x:v/>
      </x:c>
      <x:c r="DR25" s="1053" t="str">
        <x:f t="shared" si="56"/>
        <x:v/>
      </x:c>
      <x:c r="DS25" s="1052">
        <x:f t="shared" si="57"/>
        <x:v>0</x:v>
      </x:c>
      <x:c r="DT25" s="1052">
        <x:f t="shared" si="58"/>
        <x:v>0</x:v>
      </x:c>
      <x:c r="DU25" s="1052" t="str">
        <x:f t="shared" si="59"/>
        <x:v/>
      </x:c>
      <x:c r="DV25" s="1053" t="str">
        <x:f t="shared" si="60"/>
        <x:v/>
      </x:c>
      <x:c r="DW25" s="1053" t="str">
        <x:f t="shared" si="61"/>
        <x:v/>
      </x:c>
      <x:c r="DX25" s="1269">
        <x:f t="shared" si="62"/>
        <x:v>0</x:v>
      </x:c>
      <x:c r="DY25" s="1053">
        <x:f t="shared" si="63"/>
        <x:v>0</x:v>
      </x:c>
      <x:c r="DZ25" s="1052">
        <x:f t="shared" si="64"/>
        <x:v>0</x:v>
      </x:c>
      <x:c r="EA25" s="1052" t="str">
        <x:f t="shared" si="65"/>
        <x:v/>
      </x:c>
      <x:c r="EB25" s="1053" t="str">
        <x:f t="shared" si="66"/>
        <x:v/>
      </x:c>
      <x:c r="EC25" s="1053" t="str">
        <x:f t="shared" si="67"/>
        <x:v/>
      </x:c>
      <x:c r="ED25" s="1269">
        <x:f t="shared" si="68"/>
        <x:v>0</x:v>
      </x:c>
      <x:c r="EE25" s="1090" t="str">
        <x:f t="shared" si="69"/>
        <x:v/>
      </x:c>
      <x:c r="EF25" s="1053" t="str">
        <x:f t="shared" si="70"/>
        <x:v/>
      </x:c>
      <x:c r="EG25" s="1053" t="str">
        <x:f t="shared" si="71"/>
        <x:v/>
      </x:c>
      <x:c r="EH25" s="1053" t="str">
        <x:f t="shared" si="72"/>
        <x:v>ERR</x:v>
      </x:c>
      <x:c r="EI25" s="1053" t="str">
        <x:f t="shared" si="73"/>
        <x:v>ERR</x:v>
      </x:c>
      <x:c r="EJ25" s="1053" t="str">
        <x:f t="shared" si="74"/>
        <x:v/>
      </x:c>
      <x:c r="EK25" s="1053" t="str">
        <x:f t="shared" si="74"/>
        <x:v/>
      </x:c>
      <x:c r="EL25" s="1090" t="str">
        <x:f t="shared" si="75"/>
        <x:v/>
      </x:c>
      <x:c r="EM25" s="1053" t="str">
        <x:f t="shared" si="76"/>
        <x:v/>
      </x:c>
      <x:c r="EN25" s="1053" t="str">
        <x:f t="shared" si="77"/>
        <x:v/>
      </x:c>
      <x:c r="EO25" s="1053" t="str">
        <x:f t="shared" si="78"/>
        <x:v>ERR</x:v>
      </x:c>
      <x:c r="EP25" s="1053" t="str">
        <x:f t="shared" si="79"/>
        <x:v>ERR</x:v>
      </x:c>
      <x:c r="EQ25" s="1053" t="str">
        <x:f t="shared" si="80"/>
        <x:v/>
      </x:c>
      <x:c r="ER25" s="1053" t="str">
        <x:f t="shared" si="80"/>
        <x:v/>
      </x:c>
      <x:c r="ES25" s="1053" t="str">
        <x:f t="shared" si="81"/>
        <x:v/>
      </x:c>
      <x:c r="ET25" s="1053" t="str">
        <x:f t="shared" si="82"/>
        <x:v/>
      </x:c>
      <x:c r="EU25" s="1061">
        <x:f t="shared" si="83"/>
        <x:v>4</x:v>
      </x:c>
      <x:c r="EV25" s="1055" t="str">
        <x:f t="shared" si="84"/>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5"/>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6"/>
        <x:v/>
      </x:c>
      <x:c r="FD25" s="1052">
        <x:f t="shared" si="108"/>
        <x:v>0</x:v>
      </x:c>
      <x:c r="FE25" s="1052">
        <x:f t="shared" si="87"/>
        <x:v>0</x:v>
      </x:c>
      <x:c r="FF25" s="1052">
        <x:f t="shared" si="88"/>
        <x:v>0</x:v>
      </x:c>
      <x:c r="FG25" s="1052" t="str">
        <x:f t="shared" si="89"/>
        <x:v/>
      </x:c>
      <x:c r="FH25" s="1053" t="str">
        <x:f t="shared" si="90"/>
        <x:v/>
      </x:c>
      <x:c r="FI25" s="1052">
        <x:f t="shared" si="109"/>
        <x:v>0</x:v>
      </x:c>
      <x:c r="FJ25" s="1052">
        <x:f t="shared" si="91"/>
        <x:v>0</x:v>
      </x:c>
      <x:c r="FK25" s="1052">
        <x:f t="shared" si="92"/>
        <x:v>0</x:v>
      </x:c>
      <x:c r="FL25" s="1052" t="str">
        <x:f t="shared" si="93"/>
        <x:v/>
      </x:c>
      <x:c r="FM25" s="1053" t="str">
        <x:f t="shared" si="94"/>
        <x:v/>
      </x:c>
      <x:c r="FN25" s="1053" t="e">
        <x:f t="shared" si="95"/>
        <x:v>#VALUE!</x:v>
      </x:c>
      <x:c r="FO25" s="1062" t="e">
        <x:f t="shared" si="96"/>
        <x:v>#VALUE!</x:v>
      </x:c>
      <x:c r="FP25" s="1062" t="e">
        <x:f t="shared" si="97"/>
        <x:v>#VALUE!</x:v>
      </x:c>
      <x:c r="FQ25" s="1063" t="e">
        <x:f t="shared" si="98"/>
        <x:v>#VALUE!</x:v>
      </x:c>
      <x:c r="FR25" s="1064" t="e">
        <x:f t="shared" si="99"/>
        <x:v>#VALUE!</x:v>
      </x:c>
      <x:c r="FS25" s="1065" t="str">
        <x:f t="shared" si="100"/>
        <x:v/>
      </x:c>
      <x:c r="FT25" s="1066" t="str">
        <x:f t="shared" si="101"/>
        <x:v/>
      </x:c>
      <x:c r="FU25" s="1105">
        <x:f t="shared" si="102"/>
        <x:v>0</x:v>
      </x:c>
      <x:c r="FV25" s="1106">
        <x:f t="shared" si="103"/>
        <x:v>0</x:v>
      </x:c>
      <x:c r="GA25" s="1975">
        <x:v>59</x:v>
      </x:c>
      <x:c r="GB25" s="1976">
        <x:v>2.75</x:v>
      </x:c>
      <x:c r="GC25" s="1977">
        <x:v>-1.875</x:v>
      </x:c>
      <x:c r="GD25" s="1978">
        <x:v>-0.25</x:v>
      </x:c>
      <x:c r="GE25" s="1979">
        <x:v>0.26169539219134702</x:v>
      </x:c>
      <x:c r="GF25" s="1980" t="str">
        <x:f t="shared" si="104"/>
        <x:v>J26</x:v>
      </x:c>
      <x:c r="GG25" s="1453"/>
      <x:c r="GH25" s="1454"/>
      <x:c r="GI25" s="1453"/>
      <x:c r="GJ25" s="1454"/>
      <x:c r="GK25" s="533">
        <x:f t="shared" si="105"/>
        <x:v>708.625</x:v>
      </x:c>
      <x:c r="GL25" s="534">
        <x:f t="shared" si="106"/>
        <x:v>708.79348626656247</x:v>
      </x:c>
      <x:c r="GM25" s="535">
        <x:f>IF(ABS(GK25-GL25)&gt;='Job Info.'!$L$22,ABS(GK25-GL25),0)</x:f>
        <x:v>0</x:v>
      </x:c>
      <x:c r="HA25" s="1658" t="s">
        <x:v>1350</x:v>
      </x:c>
      <x:c r="HB25" s="1659">
        <x:v>1</x:v>
      </x:c>
      <x:c r="HC25" s="1659" t="s">
        <x:v>1978</x:v>
      </x:c>
      <x:c r="HD25" s="1660">
        <x:v>59</x:v>
      </x:c>
      <x:c r="HE25" s="1661">
        <x:v>0.625</x:v>
      </x:c>
      <x:c r="HF25" s="1659" t="s">
        <x:v>117</x:v>
      </x:c>
      <x:c r="HG25" s="1659" t="s">
        <x:v>117</x:v>
      </x:c>
      <x:c r="HH25" s="1659" t="s">
        <x:v>117</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2086</x:v>
      </x:c>
      <x:c r="IB25" s="1661"/>
      <x:c r="IC25" s="1661"/>
      <x:c r="ID25" s="1661"/>
      <x:c r="IE25" s="1661"/>
      <x:c r="IF25" s="1663"/>
    </x:row>
    <x:row r="26" spans="1:240" ht="12.6" customHeight="1" x14ac:dyDescent="0.25">
      <x:c r="A26" s="1264" t="s">
        <x:v>1351</x:v>
      </x:c>
      <x:c r="B26" s="1265">
        <x:v>0</x:v>
      </x:c>
      <x:c r="C26" s="1265" t="s">
        <x:v>1978</x:v>
      </x:c>
      <x:c r="D26" s="1261">
        <x:v>58</x:v>
      </x:c>
      <x:c r="E26" s="1366">
        <x:v>11.875</x:v>
      </x:c>
      <x:c r="F26" s="1328" t="str">
        <x:f t="shared" si="1"/>
        <x:v/>
      </x:c>
      <x:c r="G26" s="1262" t="str">
        <x:f t="shared" si="2"/>
        <x:v/>
      </x:c>
      <x:c r="H26" s="1266" t="str">
        <x:f t="shared" si="3"/>
        <x:v/>
      </x:c>
      <x:c r="I26" s="1261">
        <x:v>0</x:v>
      </x:c>
      <x:c r="J26" s="1262">
        <x:v>0.625</x:v>
      </x:c>
      <x:c r="K26" s="1370" t="s">
        <x:v>114</x:v>
      </x:c>
      <x:c r="L26" s="1327">
        <x:v>3</x:v>
      </x:c>
      <x:c r="M26" s="1329">
        <x:v>3</x:v>
      </x:c>
      <x:c r="N26" s="1263" t="str">
        <x:f t="shared" si="4"/>
        <x:v/>
      </x:c>
      <x:c r="O26" s="1262" t="str">
        <x:f t="shared" si="5"/>
        <x:v/>
      </x:c>
      <x:c r="P26" s="1260" t="str">
        <x:f t="shared" si="6"/>
        <x:v/>
      </x:c>
      <x:c r="Q26" s="1261">
        <x:v>0</x:v>
      </x:c>
      <x:c r="R26" s="1262">
        <x:v>6.75</x:v>
      </x:c>
      <x:c r="S26" s="1375">
        <x:v>2</x:v>
      </x:c>
      <x:c r="T26" s="1328">
        <x:v>0</x:v>
      </x:c>
      <x:c r="U26" s="1262">
        <x:v>1.125</x:v>
      </x:c>
      <x:c r="V26" s="1261">
        <x:v>0</x:v>
      </x:c>
      <x:c r="W26" s="1262">
        <x:v>1.5</x:v>
      </x:c>
      <x:c r="X26" s="1329">
        <x:v>4</x:v>
      </x:c>
      <x:c r="Y26" s="1377" t="str">
        <x:f t="shared" si="15"/>
        <x:v/>
      </x:c>
      <x:c r="Z26" s="1378" t="str">
        <x:f t="shared" si="16"/>
        <x:v/>
      </x:c>
      <x:c r="AA26" s="2159" t="s">
        <x:v>2087</x:v>
      </x:c>
      <x:c r="AC26" s="1226" t="b">
        <x:v>0</x:v>
      </x:c>
      <x:c r="AD26" s="525">
        <x:f t="shared" si="17"/>
        <x:v>0</x:v>
      </x:c>
      <x:c r="AE26" s="526">
        <x:f t="shared" si="18"/>
        <x:v>0</x:v>
      </x:c>
      <x:c r="AF26" s="526">
        <x:f t="shared" si="19"/>
        <x:v>0</x:v>
      </x:c>
      <x:c r="AG26" s="526">
        <x:f t="shared" si="20"/>
        <x:v>0</x:v>
      </x:c>
      <x:c r="AH26" s="527">
        <x:f t="shared" si="21"/>
        <x:v>0</x:v>
      </x:c>
      <x:c r="AI26" s="528" t="b">
        <x:v>0</x:v>
      </x:c>
      <x:c r="AJ26" s="284">
        <x:f t="shared" si="22"/>
        <x:v>36</x:v>
      </x:c>
      <x:c r="AK26" s="1063" t="str">
        <x:f t="shared" si="23"/>
        <x:v>LH</x:v>
      </x:c>
      <x:c r="AL26" s="1202" t="str">
        <x:f t="shared" si="24"/>
        <x:v/>
      </x:c>
      <x:c r="AM26" s="1063">
        <x:f t="shared" si="25"/>
        <x:v>270</x:v>
      </x:c>
      <x:c r="AN26" s="1063">
        <x:f t="shared" si="26"/>
        <x:v>120</x:v>
      </x:c>
      <x:c r="AO26" s="1063" t="str">
        <x:f t="shared" si="27"/>
        <x:v/>
      </x:c>
      <x:c r="AP26" s="1063" t="b">
        <x:f>IF(ISERROR(AJ26),FALSE,IF(OR(AJ26=0,ISERROR(AL26),ISERROR(AM26),ISERROR(AN26),ISERROR(AO26)),FALSE,IF(AL26&lt;&gt;"",IF(ISERROR(VLOOKUP(SUBSTITUTE(SUBSTITUTE(C26,"R",""),"A",""),TblJoistSize!$A:$A,1,FALSE)),FALSE,TRUE),TRUE)))</x:f>
        <x:v>1</x:v>
      </x:c>
      <x:c r="AQ26" s="1305">
        <x:f t="shared" si="28"/>
        <x:v>6</x:v>
      </x:c>
      <x:c r="AR26" s="1305" t="b">
        <x:f t="shared" si="29"/>
        <x:v>1</x:v>
      </x:c>
      <x:c r="AS26" s="1305">
        <x:f t="shared" si="30"/>
        <x:v>6.625</x:v>
      </x:c>
      <x:c r="AT26" s="1305" t="b">
        <x:f t="shared" si="31"/>
        <x:v>1</x:v>
      </x:c>
      <x:c r="AU26" s="1203" t="str">
        <x:f t="shared" si="32"/>
        <x:v>LH</x:v>
      </x:c>
      <x:c r="AV26" s="1063" t="str">
        <x:f t="shared" si="33"/>
        <x:v/>
      </x:c>
      <x:c r="AW26" s="1063" t="str">
        <x:f t="shared" si="34"/>
        <x:v>LH</x:v>
      </x:c>
      <x:c r="AX26" s="1063" t="str">
        <x:f t="shared" si="107"/>
        <x:v>TJ27</x:v>
      </x:c>
      <x:c r="AY26" s="1306" t="b">
        <x:f t="shared" si="35"/>
        <x:v>0</x:v>
      </x:c>
      <x:c r="AZ26" s="1090" t="b">
        <x:f t="shared" si="36"/>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7"/>
        <x:v/>
      </x:c>
      <x:c r="CE26" s="935" t="str">
        <x:f t="shared" si="38"/>
        <x:v/>
      </x:c>
      <x:c r="CF26" s="1149"/>
      <x:c r="CG26" s="1150"/>
      <x:c r="CH26" s="738" t="str">
        <x:f t="shared" si="39"/>
        <x:v/>
      </x:c>
      <x:c r="CI26" s="739" t="str">
        <x:f t="shared" si="40"/>
        <x:v/>
      </x:c>
      <x:c r="CJ26" s="740" t="str">
        <x:f t="shared" si="41"/>
        <x:v/>
      </x:c>
      <x:c r="CK26" s="741" t="str">
        <x:f t="shared" si="42"/>
        <x:v/>
      </x:c>
      <x:c r="CL26" s="742" t="str">
        <x:f t="shared" si="43"/>
        <x:v/>
      </x:c>
      <x:c r="CM26" s="743" t="str">
        <x:f t="shared" si="44"/>
        <x:v/>
      </x:c>
      <x:c r="CN26" s="744" t="str">
        <x:f t="shared" si="45"/>
        <x:v/>
      </x:c>
      <x:c r="CO26" s="745" t="str">
        <x:f t="shared" si="46"/>
        <x:v/>
      </x:c>
      <x:c r="CP26" s="762" t="str">
        <x:f t="shared" si="47"/>
        <x:v/>
      </x:c>
      <x:c r="CQ26" s="763" t="str">
        <x:f t="shared" si="48"/>
        <x:v/>
      </x:c>
      <x:c r="CR26" s="953">
        <x:f t="shared" si="49"/>
        <x:v>5</x:v>
      </x:c>
      <x:c r="CS26" s="954">
        <x:f t="shared" si="50"/>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51"/>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52"/>
        <x:v>0</x:v>
      </x:c>
      <x:c r="DO26" s="1049">
        <x:f t="shared" si="53"/>
        <x:v>0</x:v>
      </x:c>
      <x:c r="DP26" s="1053" t="str">
        <x:f t="shared" si="54"/>
        <x:v/>
      </x:c>
      <x:c r="DQ26" s="1053" t="str">
        <x:f t="shared" si="55"/>
        <x:v/>
      </x:c>
      <x:c r="DR26" s="1053" t="str">
        <x:f t="shared" si="56"/>
        <x:v/>
      </x:c>
      <x:c r="DS26" s="1052">
        <x:f t="shared" si="57"/>
        <x:v>0</x:v>
      </x:c>
      <x:c r="DT26" s="1052">
        <x:f t="shared" si="58"/>
        <x:v>0</x:v>
      </x:c>
      <x:c r="DU26" s="1052" t="str">
        <x:f t="shared" si="59"/>
        <x:v/>
      </x:c>
      <x:c r="DV26" s="1053" t="str">
        <x:f t="shared" si="60"/>
        <x:v/>
      </x:c>
      <x:c r="DW26" s="1053" t="str">
        <x:f t="shared" si="61"/>
        <x:v/>
      </x:c>
      <x:c r="DX26" s="1269">
        <x:f t="shared" si="62"/>
        <x:v>0</x:v>
      </x:c>
      <x:c r="DY26" s="1053">
        <x:f t="shared" si="63"/>
        <x:v>0</x:v>
      </x:c>
      <x:c r="DZ26" s="1052">
        <x:f t="shared" si="64"/>
        <x:v>0</x:v>
      </x:c>
      <x:c r="EA26" s="1052" t="str">
        <x:f t="shared" si="65"/>
        <x:v/>
      </x:c>
      <x:c r="EB26" s="1053" t="str">
        <x:f t="shared" si="66"/>
        <x:v/>
      </x:c>
      <x:c r="EC26" s="1053" t="str">
        <x:f t="shared" si="67"/>
        <x:v/>
      </x:c>
      <x:c r="ED26" s="1269">
        <x:f t="shared" si="68"/>
        <x:v>0</x:v>
      </x:c>
      <x:c r="EE26" s="1090" t="str">
        <x:f t="shared" si="69"/>
        <x:v/>
      </x:c>
      <x:c r="EF26" s="1053" t="str">
        <x:f t="shared" si="70"/>
        <x:v/>
      </x:c>
      <x:c r="EG26" s="1053" t="str">
        <x:f t="shared" si="71"/>
        <x:v/>
      </x:c>
      <x:c r="EH26" s="1053" t="str">
        <x:f t="shared" si="72"/>
        <x:v>ERR</x:v>
      </x:c>
      <x:c r="EI26" s="1053" t="str">
        <x:f t="shared" si="73"/>
        <x:v>ERR</x:v>
      </x:c>
      <x:c r="EJ26" s="1053" t="str">
        <x:f t="shared" si="74"/>
        <x:v/>
      </x:c>
      <x:c r="EK26" s="1053" t="str">
        <x:f t="shared" si="74"/>
        <x:v/>
      </x:c>
      <x:c r="EL26" s="1090" t="str">
        <x:f t="shared" si="75"/>
        <x:v/>
      </x:c>
      <x:c r="EM26" s="1053" t="str">
        <x:f t="shared" si="76"/>
        <x:v/>
      </x:c>
      <x:c r="EN26" s="1053" t="str">
        <x:f t="shared" si="77"/>
        <x:v/>
      </x:c>
      <x:c r="EO26" s="1053" t="str">
        <x:f t="shared" si="78"/>
        <x:v>ERR</x:v>
      </x:c>
      <x:c r="EP26" s="1053" t="str">
        <x:f t="shared" si="79"/>
        <x:v>ERR</x:v>
      </x:c>
      <x:c r="EQ26" s="1053" t="str">
        <x:f t="shared" si="80"/>
        <x:v/>
      </x:c>
      <x:c r="ER26" s="1053" t="str">
        <x:f t="shared" si="80"/>
        <x:v/>
      </x:c>
      <x:c r="ES26" s="1053" t="str">
        <x:f t="shared" si="81"/>
        <x:v/>
      </x:c>
      <x:c r="ET26" s="1053" t="str">
        <x:f t="shared" si="82"/>
        <x:v/>
      </x:c>
      <x:c r="EU26" s="1061">
        <x:f t="shared" si="83"/>
        <x:v>4</x:v>
      </x:c>
      <x:c r="EV26" s="1055" t="str">
        <x:f t="shared" si="84"/>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5"/>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6"/>
        <x:v/>
      </x:c>
      <x:c r="FD26" s="1052">
        <x:f t="shared" si="108"/>
        <x:v>0</x:v>
      </x:c>
      <x:c r="FE26" s="1052">
        <x:f t="shared" si="87"/>
        <x:v>0</x:v>
      </x:c>
      <x:c r="FF26" s="1052">
        <x:f t="shared" si="88"/>
        <x:v>0</x:v>
      </x:c>
      <x:c r="FG26" s="1052" t="str">
        <x:f t="shared" si="89"/>
        <x:v/>
      </x:c>
      <x:c r="FH26" s="1053" t="str">
        <x:f t="shared" si="90"/>
        <x:v/>
      </x:c>
      <x:c r="FI26" s="1052">
        <x:f t="shared" si="109"/>
        <x:v>0</x:v>
      </x:c>
      <x:c r="FJ26" s="1052">
        <x:f t="shared" si="91"/>
        <x:v>0</x:v>
      </x:c>
      <x:c r="FK26" s="1052">
        <x:f t="shared" si="92"/>
        <x:v>0</x:v>
      </x:c>
      <x:c r="FL26" s="1052" t="str">
        <x:f t="shared" si="93"/>
        <x:v/>
      </x:c>
      <x:c r="FM26" s="1053" t="str">
        <x:f t="shared" si="94"/>
        <x:v/>
      </x:c>
      <x:c r="FN26" s="1053" t="e">
        <x:f t="shared" si="95"/>
        <x:v>#VALUE!</x:v>
      </x:c>
      <x:c r="FO26" s="1062" t="e">
        <x:f t="shared" si="96"/>
        <x:v>#VALUE!</x:v>
      </x:c>
      <x:c r="FP26" s="1062" t="e">
        <x:f t="shared" si="97"/>
        <x:v>#VALUE!</x:v>
      </x:c>
      <x:c r="FQ26" s="1063" t="e">
        <x:f t="shared" si="98"/>
        <x:v>#VALUE!</x:v>
      </x:c>
      <x:c r="FR26" s="1064" t="e">
        <x:f t="shared" si="99"/>
        <x:v>#VALUE!</x:v>
      </x:c>
      <x:c r="FS26" s="1065" t="str">
        <x:f t="shared" si="100"/>
        <x:v/>
      </x:c>
      <x:c r="FT26" s="1066" t="str">
        <x:f t="shared" si="101"/>
        <x:v/>
      </x:c>
      <x:c r="FU26" s="1105">
        <x:f t="shared" si="102"/>
        <x:v>0</x:v>
      </x:c>
      <x:c r="FV26" s="1106">
        <x:f t="shared" si="103"/>
        <x:v>0</x:v>
      </x:c>
      <x:c r="GA26" s="1975">
        <x:v>59</x:v>
      </x:c>
      <x:c r="GB26" s="1976">
        <x:v>2.75</x:v>
      </x:c>
      <x:c r="GC26" s="1977">
        <x:v>-1.875</x:v>
      </x:c>
      <x:c r="GD26" s="1978">
        <x:v>-1</x:v>
      </x:c>
      <x:c r="GE26" s="1979">
        <x:v>0.26169539219134702</x:v>
      </x:c>
      <x:c r="GF26" s="1980" t="str">
        <x:f t="shared" si="104"/>
        <x:v>TJ27</x:v>
      </x:c>
      <x:c r="GG26" s="1453"/>
      <x:c r="GH26" s="1454"/>
      <x:c r="GI26" s="1453"/>
      <x:c r="GJ26" s="1454"/>
      <x:c r="GK26" s="533">
        <x:f t="shared" si="105"/>
        <x:v>707.875</x:v>
      </x:c>
      <x:c r="GL26" s="534">
        <x:f t="shared" si="106"/>
        <x:v>708.04330794276643</x:v>
      </x:c>
      <x:c r="GM26" s="535">
        <x:f>IF(ABS(GK26-GL26)&gt;='Job Info.'!$L$22,ABS(GK26-GL26),0)</x:f>
        <x:v>0</x:v>
      </x:c>
      <x:c r="HA26" s="1658" t="s">
        <x:v>1351</x:v>
      </x:c>
      <x:c r="HB26" s="1659">
        <x:v>1</x:v>
      </x:c>
      <x:c r="HC26" s="1659" t="s">
        <x:v>1978</x:v>
      </x:c>
      <x:c r="HD26" s="1660">
        <x:v>58</x:v>
      </x:c>
      <x:c r="HE26" s="1661">
        <x:v>11.875</x:v>
      </x:c>
      <x:c r="HF26" s="1659" t="s">
        <x:v>117</x:v>
      </x:c>
      <x:c r="HG26" s="1659" t="s">
        <x:v>117</x:v>
      </x:c>
      <x:c r="HH26" s="1659" t="s">
        <x:v>117</x:v>
      </x:c>
      <x:c r="HI26" s="1662">
        <x:v>0</x:v>
      </x:c>
      <x:c r="HJ26" s="1659">
        <x:v>0.625</x:v>
      </x:c>
      <x:c r="HK26" s="1659" t="s">
        <x:v>114</x:v>
      </x:c>
      <x:c r="HL26" s="1659">
        <x:v>3</x:v>
      </x:c>
      <x:c r="HM26" s="1659">
        <x:v>3</x:v>
      </x:c>
      <x:c r="HN26" s="1659" t="s">
        <x:v>117</x:v>
      </x:c>
      <x:c r="HO26" s="1659" t="s">
        <x:v>117</x:v>
      </x:c>
      <x:c r="HP26" s="1659" t="s">
        <x:v>117</x:v>
      </x:c>
      <x:c r="HQ26" s="1662">
        <x:v>0</x:v>
      </x:c>
      <x:c r="HR26" s="1659">
        <x:v>6.75</x:v>
      </x:c>
      <x:c r="HS26" s="1659">
        <x:v>2</x:v>
      </x:c>
      <x:c r="HT26" s="1659">
        <x:v>0</x:v>
      </x:c>
      <x:c r="HU26" s="1659">
        <x:v>1.125</x:v>
      </x:c>
      <x:c r="HV26" s="1659">
        <x:v>0</x:v>
      </x:c>
      <x:c r="HW26" s="1661">
        <x:v>1.5</x:v>
      </x:c>
      <x:c r="HX26" s="1661">
        <x:v>4</x:v>
      </x:c>
      <x:c r="HY26" s="1661" t="s">
        <x:v>117</x:v>
      </x:c>
      <x:c r="HZ26" s="1661" t="s">
        <x:v>117</x:v>
      </x:c>
      <x:c r="IA26" s="1661" t="s">
        <x:v>2087</x:v>
      </x:c>
      <x:c r="IB26" s="1661"/>
      <x:c r="IC26" s="1661"/>
      <x:c r="ID26" s="1661"/>
      <x:c r="IE26" s="1661"/>
      <x:c r="IF26" s="1663"/>
    </x:row>
    <x:row r="27" spans="1:240" ht="12.6" customHeight="1" x14ac:dyDescent="0.25">
      <x:c r="A27" s="1264" t="s">
        <x:v>1352</x:v>
      </x:c>
      <x:c r="B27" s="1265">
        <x:v>0</x:v>
      </x:c>
      <x:c r="C27" s="1265" t="s">
        <x:v>1978</x:v>
      </x:c>
      <x:c r="D27" s="1261">
        <x:v>59</x:v>
      </x:c>
      <x:c r="E27" s="1366">
        <x:v>0.625</x:v>
      </x:c>
      <x:c r="F27" s="1328" t="str">
        <x:f t="shared" si="1"/>
        <x:v/>
      </x:c>
      <x:c r="G27" s="1262" t="str">
        <x:f t="shared" si="2"/>
        <x:v/>
      </x:c>
      <x:c r="H27" s="1266" t="str">
        <x:f t="shared" si="3"/>
        <x:v/>
      </x:c>
      <x:c r="I27" s="1261">
        <x:v>0</x:v>
      </x:c>
      <x:c r="J27" s="1262">
        <x:v>1.375</x:v>
      </x:c>
      <x:c r="K27" s="1370" t="s">
        <x:v>114</x:v>
      </x:c>
      <x:c r="L27" s="1327">
        <x:v>3</x:v>
      </x:c>
      <x:c r="M27" s="1329">
        <x:v>3</x:v>
      </x:c>
      <x:c r="N27" s="1263" t="str">
        <x:f t="shared" si="4"/>
        <x:v/>
      </x:c>
      <x:c r="O27" s="1262" t="str">
        <x:f t="shared" si="5"/>
        <x:v/>
      </x:c>
      <x:c r="P27" s="1260" t="str">
        <x:f t="shared" si="6"/>
        <x:v/>
      </x:c>
      <x:c r="Q27" s="1261" t="str">
        <x:f t="shared" si="7"/>
        <x:v/>
      </x:c>
      <x:c r="R27" s="1262" t="str">
        <x:f t="shared" si="8"/>
        <x:v/>
      </x:c>
      <x:c r="S27" s="1375" t="str">
        <x:f t="shared" si="9"/>
        <x:v/>
      </x:c>
      <x:c r="T27" s="1328" t="str">
        <x:f t="shared" si="10"/>
        <x:v/>
      </x:c>
      <x:c r="U27" s="1262" t="str">
        <x:f t="shared" si="11"/>
        <x:v/>
      </x:c>
      <x:c r="V27" s="1261" t="str">
        <x:f t="shared" si="12"/>
        <x:v/>
      </x:c>
      <x:c r="W27" s="1262" t="str">
        <x:f t="shared" si="13"/>
        <x:v/>
      </x:c>
      <x:c r="X27" s="1329">
        <x:f t="shared" si="14"/>
        <x:v>0</x:v>
      </x:c>
      <x:c r="Y27" s="1377" t="str">
        <x:f t="shared" si="15"/>
        <x:v/>
      </x:c>
      <x:c r="Z27" s="1378" t="str">
        <x:f t="shared" si="16"/>
        <x:v/>
      </x:c>
      <x:c r="AA27" s="2159" t="s">
        <x:v>2088</x:v>
      </x:c>
      <x:c r="AC27" s="1226" t="b">
        <x:v>0</x:v>
      </x:c>
      <x:c r="AD27" s="525">
        <x:f t="shared" si="17"/>
        <x:v>0</x:v>
      </x:c>
      <x:c r="AE27" s="526">
        <x:f t="shared" si="18"/>
        <x:v>0</x:v>
      </x:c>
      <x:c r="AF27" s="526">
        <x:f t="shared" si="19"/>
        <x:v>0</x:v>
      </x:c>
      <x:c r="AG27" s="526">
        <x:f t="shared" si="20"/>
        <x:v>0</x:v>
      </x:c>
      <x:c r="AH27" s="527">
        <x:f t="shared" si="21"/>
        <x:v>0</x:v>
      </x:c>
      <x:c r="AI27" s="528" t="b">
        <x:v>0</x:v>
      </x:c>
      <x:c r="AJ27" s="284">
        <x:f t="shared" si="22"/>
        <x:v>36</x:v>
      </x:c>
      <x:c r="AK27" s="1063" t="str">
        <x:f t="shared" si="23"/>
        <x:v>LH</x:v>
      </x:c>
      <x:c r="AL27" s="1202" t="str">
        <x:f t="shared" si="24"/>
        <x:v/>
      </x:c>
      <x:c r="AM27" s="1063">
        <x:f t="shared" si="25"/>
        <x:v>270</x:v>
      </x:c>
      <x:c r="AN27" s="1063">
        <x:f t="shared" si="26"/>
        <x:v>120</x:v>
      </x:c>
      <x:c r="AO27" s="1063" t="str">
        <x:f t="shared" si="27"/>
        <x:v/>
      </x:c>
      <x:c r="AP27" s="1063" t="b">
        <x:f>IF(ISERROR(AJ27),FALSE,IF(OR(AJ27=0,ISERROR(AL27),ISERROR(AM27),ISERROR(AN27),ISERROR(AO27)),FALSE,IF(AL27&lt;&gt;"",IF(ISERROR(VLOOKUP(SUBSTITUTE(SUBSTITUTE(C27,"R",""),"A",""),TblJoistSize!$A:$A,1,FALSE)),FALSE,TRUE),TRUE)))</x:f>
        <x:v>1</x:v>
      </x:c>
      <x:c r="AQ27" s="1305">
        <x:f t="shared" si="28"/>
        <x:v>6</x:v>
      </x:c>
      <x:c r="AR27" s="1305" t="b">
        <x:f t="shared" si="29"/>
        <x:v>0</x:v>
      </x:c>
      <x:c r="AS27" s="1305">
        <x:f t="shared" si="30"/>
        <x:v>7.375</x:v>
      </x:c>
      <x:c r="AT27" s="1305" t="b">
        <x:f t="shared" si="31"/>
        <x:v>0</x:v>
      </x:c>
      <x:c r="AU27" s="1203" t="str">
        <x:f t="shared" si="32"/>
        <x:v>LH</x:v>
      </x:c>
      <x:c r="AV27" s="1063" t="str">
        <x:f t="shared" si="33"/>
        <x:v/>
      </x:c>
      <x:c r="AW27" s="1063" t="str">
        <x:f t="shared" si="34"/>
        <x:v>LH</x:v>
      </x:c>
      <x:c r="AX27" s="1063" t="str">
        <x:f t="shared" si="107"/>
        <x:v>J28</x:v>
      </x:c>
      <x:c r="AY27" s="1306" t="b">
        <x:f t="shared" si="35"/>
        <x:v>0</x:v>
      </x:c>
      <x:c r="AZ27" s="1090" t="b">
        <x:f t="shared" si="36"/>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7"/>
        <x:v/>
      </x:c>
      <x:c r="CE27" s="935" t="str">
        <x:f t="shared" si="38"/>
        <x:v/>
      </x:c>
      <x:c r="CF27" s="1149"/>
      <x:c r="CG27" s="1150"/>
      <x:c r="CH27" s="738" t="str">
        <x:f t="shared" si="39"/>
        <x:v/>
      </x:c>
      <x:c r="CI27" s="739" t="str">
        <x:f t="shared" si="40"/>
        <x:v/>
      </x:c>
      <x:c r="CJ27" s="740" t="str">
        <x:f t="shared" si="41"/>
        <x:v/>
      </x:c>
      <x:c r="CK27" s="741" t="str">
        <x:f t="shared" si="42"/>
        <x:v/>
      </x:c>
      <x:c r="CL27" s="742" t="str">
        <x:f t="shared" si="43"/>
        <x:v/>
      </x:c>
      <x:c r="CM27" s="743" t="str">
        <x:f t="shared" si="44"/>
        <x:v/>
      </x:c>
      <x:c r="CN27" s="744" t="str">
        <x:f t="shared" si="45"/>
        <x:v/>
      </x:c>
      <x:c r="CO27" s="745" t="str">
        <x:f t="shared" si="46"/>
        <x:v/>
      </x:c>
      <x:c r="CP27" s="762" t="str">
        <x:f t="shared" si="47"/>
        <x:v/>
      </x:c>
      <x:c r="CQ27" s="763" t="str">
        <x:f t="shared" si="48"/>
        <x:v/>
      </x:c>
      <x:c r="CR27" s="953">
        <x:f t="shared" si="49"/>
        <x:v>5</x:v>
      </x:c>
      <x:c r="CS27" s="954">
        <x:f t="shared" si="50"/>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51"/>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52"/>
        <x:v>0</x:v>
      </x:c>
      <x:c r="DO27" s="1049">
        <x:f t="shared" si="53"/>
        <x:v>0</x:v>
      </x:c>
      <x:c r="DP27" s="1053" t="str">
        <x:f t="shared" si="54"/>
        <x:v/>
      </x:c>
      <x:c r="DQ27" s="1053" t="str">
        <x:f t="shared" si="55"/>
        <x:v/>
      </x:c>
      <x:c r="DR27" s="1053" t="str">
        <x:f t="shared" si="56"/>
        <x:v/>
      </x:c>
      <x:c r="DS27" s="1052">
        <x:f t="shared" si="57"/>
        <x:v>0</x:v>
      </x:c>
      <x:c r="DT27" s="1052">
        <x:f t="shared" si="58"/>
        <x:v>0</x:v>
      </x:c>
      <x:c r="DU27" s="1052" t="str">
        <x:f t="shared" si="59"/>
        <x:v/>
      </x:c>
      <x:c r="DV27" s="1053" t="str">
        <x:f t="shared" si="60"/>
        <x:v/>
      </x:c>
      <x:c r="DW27" s="1053" t="str">
        <x:f t="shared" si="61"/>
        <x:v/>
      </x:c>
      <x:c r="DX27" s="1269">
        <x:f t="shared" si="62"/>
        <x:v>0</x:v>
      </x:c>
      <x:c r="DY27" s="1053">
        <x:f t="shared" si="63"/>
        <x:v>0</x:v>
      </x:c>
      <x:c r="DZ27" s="1052">
        <x:f t="shared" si="64"/>
        <x:v>0</x:v>
      </x:c>
      <x:c r="EA27" s="1052" t="str">
        <x:f t="shared" si="65"/>
        <x:v/>
      </x:c>
      <x:c r="EB27" s="1053" t="str">
        <x:f t="shared" si="66"/>
        <x:v/>
      </x:c>
      <x:c r="EC27" s="1053" t="str">
        <x:f t="shared" si="67"/>
        <x:v/>
      </x:c>
      <x:c r="ED27" s="1269">
        <x:f t="shared" si="68"/>
        <x:v>0</x:v>
      </x:c>
      <x:c r="EE27" s="1090" t="str">
        <x:f t="shared" si="69"/>
        <x:v/>
      </x:c>
      <x:c r="EF27" s="1053" t="str">
        <x:f t="shared" si="70"/>
        <x:v/>
      </x:c>
      <x:c r="EG27" s="1053" t="str">
        <x:f t="shared" si="71"/>
        <x:v/>
      </x:c>
      <x:c r="EH27" s="1053" t="str">
        <x:f t="shared" si="72"/>
        <x:v>ERR</x:v>
      </x:c>
      <x:c r="EI27" s="1053" t="str">
        <x:f t="shared" si="73"/>
        <x:v>ERR</x:v>
      </x:c>
      <x:c r="EJ27" s="1053" t="str">
        <x:f t="shared" si="74"/>
        <x:v/>
      </x:c>
      <x:c r="EK27" s="1053" t="str">
        <x:f t="shared" si="74"/>
        <x:v/>
      </x:c>
      <x:c r="EL27" s="1090" t="str">
        <x:f t="shared" si="75"/>
        <x:v/>
      </x:c>
      <x:c r="EM27" s="1053" t="str">
        <x:f t="shared" si="76"/>
        <x:v/>
      </x:c>
      <x:c r="EN27" s="1053" t="str">
        <x:f t="shared" si="77"/>
        <x:v/>
      </x:c>
      <x:c r="EO27" s="1053" t="str">
        <x:f t="shared" si="78"/>
        <x:v>ERR</x:v>
      </x:c>
      <x:c r="EP27" s="1053" t="str">
        <x:f t="shared" si="79"/>
        <x:v>ERR</x:v>
      </x:c>
      <x:c r="EQ27" s="1053" t="str">
        <x:f t="shared" si="80"/>
        <x:v/>
      </x:c>
      <x:c r="ER27" s="1053" t="str">
        <x:f t="shared" si="80"/>
        <x:v/>
      </x:c>
      <x:c r="ES27" s="1053" t="str">
        <x:f t="shared" si="81"/>
        <x:v/>
      </x:c>
      <x:c r="ET27" s="1053" t="str">
        <x:f t="shared" si="82"/>
        <x:v/>
      </x:c>
      <x:c r="EU27" s="1061">
        <x:f t="shared" si="83"/>
        <x:v>4</x:v>
      </x:c>
      <x:c r="EV27" s="1055" t="str">
        <x:f t="shared" si="84"/>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5"/>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6"/>
        <x:v/>
      </x:c>
      <x:c r="FD27" s="1052">
        <x:f t="shared" si="108"/>
        <x:v>0</x:v>
      </x:c>
      <x:c r="FE27" s="1052">
        <x:f t="shared" si="87"/>
        <x:v>0</x:v>
      </x:c>
      <x:c r="FF27" s="1052">
        <x:f t="shared" si="88"/>
        <x:v>0</x:v>
      </x:c>
      <x:c r="FG27" s="1052" t="str">
        <x:f t="shared" si="89"/>
        <x:v/>
      </x:c>
      <x:c r="FH27" s="1053" t="str">
        <x:f t="shared" si="90"/>
        <x:v/>
      </x:c>
      <x:c r="FI27" s="1052">
        <x:f t="shared" si="109"/>
        <x:v>0</x:v>
      </x:c>
      <x:c r="FJ27" s="1052">
        <x:f t="shared" si="91"/>
        <x:v>0</x:v>
      </x:c>
      <x:c r="FK27" s="1052">
        <x:f t="shared" si="92"/>
        <x:v>0</x:v>
      </x:c>
      <x:c r="FL27" s="1052" t="str">
        <x:f t="shared" si="93"/>
        <x:v/>
      </x:c>
      <x:c r="FM27" s="1053" t="str">
        <x:f t="shared" si="94"/>
        <x:v/>
      </x:c>
      <x:c r="FN27" s="1053" t="e">
        <x:f t="shared" si="95"/>
        <x:v>#VALUE!</x:v>
      </x:c>
      <x:c r="FO27" s="1062" t="e">
        <x:f t="shared" si="96"/>
        <x:v>#VALUE!</x:v>
      </x:c>
      <x:c r="FP27" s="1062" t="e">
        <x:f t="shared" si="97"/>
        <x:v>#VALUE!</x:v>
      </x:c>
      <x:c r="FQ27" s="1063" t="e">
        <x:f t="shared" si="98"/>
        <x:v>#VALUE!</x:v>
      </x:c>
      <x:c r="FR27" s="1064" t="e">
        <x:f t="shared" si="99"/>
        <x:v>#VALUE!</x:v>
      </x:c>
      <x:c r="FS27" s="1065" t="str">
        <x:f t="shared" si="100"/>
        <x:v/>
      </x:c>
      <x:c r="FT27" s="1066" t="str">
        <x:f t="shared" si="101"/>
        <x:v/>
      </x:c>
      <x:c r="FU27" s="1105">
        <x:f t="shared" si="102"/>
        <x:v>0</x:v>
      </x:c>
      <x:c r="FV27" s="1106">
        <x:f t="shared" si="103"/>
        <x:v>0</x:v>
      </x:c>
      <x:c r="GA27" s="1975">
        <x:v>59</x:v>
      </x:c>
      <x:c r="GB27" s="1976">
        <x:v>2.75</x:v>
      </x:c>
      <x:c r="GC27" s="1977">
        <x:v>-1.875</x:v>
      </x:c>
      <x:c r="GD27" s="1978">
        <x:v>-0.25</x:v>
      </x:c>
      <x:c r="GE27" s="1979">
        <x:v>0.26169539219134702</x:v>
      </x:c>
      <x:c r="GF27" s="1980" t="str">
        <x:f t="shared" si="104"/>
        <x:v>J28</x:v>
      </x:c>
      <x:c r="GG27" s="1453"/>
      <x:c r="GH27" s="1454"/>
      <x:c r="GI27" s="1453"/>
      <x:c r="GJ27" s="1454"/>
      <x:c r="GK27" s="533">
        <x:f t="shared" si="105"/>
        <x:v>708.625</x:v>
      </x:c>
      <x:c r="GL27" s="534">
        <x:f t="shared" si="106"/>
        <x:v>708.79348626656247</x:v>
      </x:c>
      <x:c r="GM27" s="535">
        <x:f>IF(ABS(GK27-GL27)&gt;='Job Info.'!$L$22,ABS(GK27-GL27),0)</x:f>
        <x:v>0</x:v>
      </x:c>
      <x:c r="HA27" s="1658" t="s">
        <x:v>1352</x:v>
      </x:c>
      <x:c r="HB27" s="1659">
        <x:v>5</x:v>
      </x:c>
      <x:c r="HC27" s="1659" t="s">
        <x:v>1978</x:v>
      </x:c>
      <x:c r="HD27" s="1660">
        <x:v>59</x:v>
      </x:c>
      <x:c r="HE27" s="1661">
        <x:v>0.625</x:v>
      </x:c>
      <x:c r="HF27" s="1659" t="s">
        <x:v>117</x:v>
      </x:c>
      <x:c r="HG27" s="1659" t="s">
        <x:v>117</x:v>
      </x:c>
      <x:c r="HH27" s="1659" t="s">
        <x:v>117</x:v>
      </x:c>
      <x:c r="HI27" s="1662">
        <x:v>0</x:v>
      </x:c>
      <x:c r="HJ27" s="1659">
        <x:v>1.375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2088</x:v>
      </x:c>
      <x:c r="IB27" s="1661"/>
      <x:c r="IC27" s="1661"/>
      <x:c r="ID27" s="1661"/>
      <x:c r="IE27" s="1661"/>
      <x:c r="IF27" s="1663"/>
    </x:row>
    <x:row r="28" spans="1:240" ht="12.6" customHeight="1" x14ac:dyDescent="0.25">
      <x:c r="A28" s="1264" t="s">
        <x:v>1353</x:v>
      </x:c>
      <x:c r="B28" s="1265">
        <x:v>0</x:v>
      </x:c>
      <x:c r="C28" s="1265" t="s">
        <x:v>1978</x:v>
      </x:c>
      <x:c r="D28" s="1261">
        <x:v>59</x:v>
      </x:c>
      <x:c r="E28" s="1366">
        <x:v>0.625</x:v>
      </x:c>
      <x:c r="F28" s="1328" t="str">
        <x:f t="shared" si="1"/>
        <x:v/>
      </x:c>
      <x:c r="G28" s="1262" t="str">
        <x:f t="shared" si="2"/>
        <x:v/>
      </x:c>
      <x:c r="H28" s="1266" t="str">
        <x:f t="shared" si="3"/>
        <x:v/>
      </x:c>
      <x:c r="I28" s="1261">
        <x:v>0</x:v>
      </x:c>
      <x:c r="J28" s="1262">
        <x:v>1.375</x:v>
      </x:c>
      <x:c r="K28" s="1370" t="s">
        <x:v>114</x:v>
      </x:c>
      <x:c r="L28" s="1327">
        <x:v>3</x:v>
      </x:c>
      <x:c r="M28" s="1329">
        <x:v>3</x:v>
      </x:c>
      <x:c r="N28" s="1263" t="str">
        <x:f t="shared" si="4"/>
        <x:v/>
      </x:c>
      <x:c r="O28" s="1262" t="str">
        <x:f t="shared" si="5"/>
        <x:v/>
      </x:c>
      <x:c r="P28" s="1260" t="str">
        <x:f t="shared" si="6"/>
        <x:v/>
      </x:c>
      <x:c r="Q28" s="1261" t="str">
        <x:f t="shared" si="7"/>
        <x:v/>
      </x:c>
      <x:c r="R28" s="1262" t="str">
        <x:f t="shared" si="8"/>
        <x:v/>
      </x:c>
      <x:c r="S28" s="1375" t="str">
        <x:f t="shared" si="9"/>
        <x:v/>
      </x:c>
      <x:c r="T28" s="1328">
        <x:v>0</x:v>
      </x:c>
      <x:c r="U28" s="1262">
        <x:v>1.125</x:v>
      </x:c>
      <x:c r="V28" s="1261">
        <x:v>0</x:v>
      </x:c>
      <x:c r="W28" s="1262">
        <x:v>2.25</x:v>
      </x:c>
      <x:c r="X28" s="1329">
        <x:v>4</x:v>
      </x:c>
      <x:c r="Y28" s="1377" t="str">
        <x:f t="shared" si="15"/>
        <x:v/>
      </x:c>
      <x:c r="Z28" s="1378" t="str">
        <x:f t="shared" si="16"/>
        <x:v/>
      </x:c>
      <x:c r="AA28" s="2159" t="s">
        <x:v>2089</x:v>
      </x:c>
      <x:c r="AC28" s="1226" t="b">
        <x:v>0</x:v>
      </x:c>
      <x:c r="AD28" s="525">
        <x:f t="shared" si="17"/>
        <x:v>0</x:v>
      </x:c>
      <x:c r="AE28" s="526">
        <x:f t="shared" si="18"/>
        <x:v>0</x:v>
      </x:c>
      <x:c r="AF28" s="526">
        <x:f t="shared" si="19"/>
        <x:v>0</x:v>
      </x:c>
      <x:c r="AG28" s="526">
        <x:f t="shared" si="20"/>
        <x:v>0</x:v>
      </x:c>
      <x:c r="AH28" s="527">
        <x:f t="shared" si="21"/>
        <x:v>0</x:v>
      </x:c>
      <x:c r="AI28" s="528" t="b">
        <x:v>0</x:v>
      </x:c>
      <x:c r="AJ28" s="284">
        <x:f t="shared" si="22"/>
        <x:v>36</x:v>
      </x:c>
      <x:c r="AK28" s="1063" t="str">
        <x:f t="shared" si="23"/>
        <x:v>LH</x:v>
      </x:c>
      <x:c r="AL28" s="1202" t="str">
        <x:f t="shared" si="24"/>
        <x:v/>
      </x:c>
      <x:c r="AM28" s="1063">
        <x:f t="shared" si="25"/>
        <x:v>270</x:v>
      </x:c>
      <x:c r="AN28" s="1063">
        <x:f t="shared" si="26"/>
        <x:v>120</x:v>
      </x:c>
      <x:c r="AO28" s="1063" t="str">
        <x:f t="shared" si="27"/>
        <x:v/>
      </x:c>
      <x:c r="AP28" s="1063" t="b">
        <x:f>IF(ISERROR(AJ28),FALSE,IF(OR(AJ28=0,ISERROR(AL28),ISERROR(AM28),ISERROR(AN28),ISERROR(AO28)),FALSE,IF(AL28&lt;&gt;"",IF(ISERROR(VLOOKUP(SUBSTITUTE(SUBSTITUTE(C28,"R",""),"A",""),TblJoistSize!$A:$A,1,FALSE)),FALSE,TRUE),TRUE)))</x:f>
        <x:v>1</x:v>
      </x:c>
      <x:c r="AQ28" s="1305">
        <x:f t="shared" si="28"/>
        <x:v>6</x:v>
      </x:c>
      <x:c r="AR28" s="1305" t="b">
        <x:f t="shared" si="29"/>
        <x:v>1</x:v>
      </x:c>
      <x:c r="AS28" s="1305">
        <x:f t="shared" si="30"/>
        <x:v>7.375</x:v>
      </x:c>
      <x:c r="AT28" s="1305" t="b">
        <x:f t="shared" si="31"/>
        <x:v>1</x:v>
      </x:c>
      <x:c r="AU28" s="1203" t="str">
        <x:f t="shared" si="32"/>
        <x:v>LH</x:v>
      </x:c>
      <x:c r="AV28" s="1063" t="str">
        <x:f t="shared" si="33"/>
        <x:v/>
      </x:c>
      <x:c r="AW28" s="1063" t="str">
        <x:f t="shared" si="34"/>
        <x:v>LH</x:v>
      </x:c>
      <x:c r="AX28" s="1063" t="str">
        <x:f t="shared" si="107"/>
        <x:v>TJ29</x:v>
      </x:c>
      <x:c r="AY28" s="1306" t="b">
        <x:f t="shared" si="35"/>
        <x:v>0</x:v>
      </x:c>
      <x:c r="AZ28" s="1090" t="b">
        <x:f t="shared" si="36"/>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7"/>
        <x:v/>
      </x:c>
      <x:c r="CE28" s="935" t="str">
        <x:f t="shared" si="38"/>
        <x:v/>
      </x:c>
      <x:c r="CF28" s="1149"/>
      <x:c r="CG28" s="1150"/>
      <x:c r="CH28" s="738" t="str">
        <x:f t="shared" si="39"/>
        <x:v/>
      </x:c>
      <x:c r="CI28" s="739" t="str">
        <x:f t="shared" si="40"/>
        <x:v/>
      </x:c>
      <x:c r="CJ28" s="740" t="str">
        <x:f t="shared" si="41"/>
        <x:v/>
      </x:c>
      <x:c r="CK28" s="741" t="str">
        <x:f t="shared" si="42"/>
        <x:v/>
      </x:c>
      <x:c r="CL28" s="742" t="str">
        <x:f t="shared" si="43"/>
        <x:v/>
      </x:c>
      <x:c r="CM28" s="743" t="str">
        <x:f t="shared" si="44"/>
        <x:v/>
      </x:c>
      <x:c r="CN28" s="744" t="str">
        <x:f t="shared" si="45"/>
        <x:v/>
      </x:c>
      <x:c r="CO28" s="745" t="str">
        <x:f t="shared" si="46"/>
        <x:v/>
      </x:c>
      <x:c r="CP28" s="762" t="str">
        <x:f t="shared" si="47"/>
        <x:v/>
      </x:c>
      <x:c r="CQ28" s="763" t="str">
        <x:f t="shared" si="48"/>
        <x:v/>
      </x:c>
      <x:c r="CR28" s="953">
        <x:f t="shared" si="49"/>
        <x:v>5</x:v>
      </x:c>
      <x:c r="CS28" s="954">
        <x:f t="shared" si="50"/>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51"/>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52"/>
        <x:v>0</x:v>
      </x:c>
      <x:c r="DO28" s="1049">
        <x:f t="shared" si="53"/>
        <x:v>0</x:v>
      </x:c>
      <x:c r="DP28" s="1053" t="str">
        <x:f t="shared" si="54"/>
        <x:v/>
      </x:c>
      <x:c r="DQ28" s="1053" t="str">
        <x:f t="shared" si="55"/>
        <x:v/>
      </x:c>
      <x:c r="DR28" s="1053" t="str">
        <x:f t="shared" si="56"/>
        <x:v/>
      </x:c>
      <x:c r="DS28" s="1052">
        <x:f t="shared" si="57"/>
        <x:v>0</x:v>
      </x:c>
      <x:c r="DT28" s="1052">
        <x:f t="shared" si="58"/>
        <x:v>0</x:v>
      </x:c>
      <x:c r="DU28" s="1052" t="str">
        <x:f t="shared" si="59"/>
        <x:v/>
      </x:c>
      <x:c r="DV28" s="1053" t="str">
        <x:f t="shared" si="60"/>
        <x:v/>
      </x:c>
      <x:c r="DW28" s="1053" t="str">
        <x:f t="shared" si="61"/>
        <x:v/>
      </x:c>
      <x:c r="DX28" s="1269">
        <x:f t="shared" si="62"/>
        <x:v>0</x:v>
      </x:c>
      <x:c r="DY28" s="1053">
        <x:f t="shared" si="63"/>
        <x:v>0</x:v>
      </x:c>
      <x:c r="DZ28" s="1052">
        <x:f t="shared" si="64"/>
        <x:v>0</x:v>
      </x:c>
      <x:c r="EA28" s="1052" t="str">
        <x:f t="shared" si="65"/>
        <x:v/>
      </x:c>
      <x:c r="EB28" s="1053" t="str">
        <x:f t="shared" si="66"/>
        <x:v/>
      </x:c>
      <x:c r="EC28" s="1053" t="str">
        <x:f t="shared" si="67"/>
        <x:v/>
      </x:c>
      <x:c r="ED28" s="1269">
        <x:f t="shared" si="68"/>
        <x:v>0</x:v>
      </x:c>
      <x:c r="EE28" s="1090" t="str">
        <x:f t="shared" si="69"/>
        <x:v/>
      </x:c>
      <x:c r="EF28" s="1053" t="str">
        <x:f t="shared" si="70"/>
        <x:v/>
      </x:c>
      <x:c r="EG28" s="1053" t="str">
        <x:f t="shared" si="71"/>
        <x:v/>
      </x:c>
      <x:c r="EH28" s="1053" t="str">
        <x:f t="shared" si="72"/>
        <x:v>ERR</x:v>
      </x:c>
      <x:c r="EI28" s="1053" t="str">
        <x:f t="shared" si="73"/>
        <x:v>ERR</x:v>
      </x:c>
      <x:c r="EJ28" s="1053" t="str">
        <x:f t="shared" si="74"/>
        <x:v/>
      </x:c>
      <x:c r="EK28" s="1053" t="str">
        <x:f t="shared" si="74"/>
        <x:v/>
      </x:c>
      <x:c r="EL28" s="1090" t="str">
        <x:f t="shared" si="75"/>
        <x:v/>
      </x:c>
      <x:c r="EM28" s="1053" t="str">
        <x:f t="shared" si="76"/>
        <x:v/>
      </x:c>
      <x:c r="EN28" s="1053" t="str">
        <x:f t="shared" si="77"/>
        <x:v/>
      </x:c>
      <x:c r="EO28" s="1053" t="str">
        <x:f t="shared" si="78"/>
        <x:v>ERR</x:v>
      </x:c>
      <x:c r="EP28" s="1053" t="str">
        <x:f t="shared" si="79"/>
        <x:v>ERR</x:v>
      </x:c>
      <x:c r="EQ28" s="1053" t="str">
        <x:f t="shared" si="80"/>
        <x:v/>
      </x:c>
      <x:c r="ER28" s="1053" t="str">
        <x:f t="shared" si="80"/>
        <x:v/>
      </x:c>
      <x:c r="ES28" s="1053" t="str">
        <x:f t="shared" si="81"/>
        <x:v/>
      </x:c>
      <x:c r="ET28" s="1053" t="str">
        <x:f t="shared" si="82"/>
        <x:v/>
      </x:c>
      <x:c r="EU28" s="1061">
        <x:f t="shared" si="83"/>
        <x:v>4</x:v>
      </x:c>
      <x:c r="EV28" s="1055" t="str">
        <x:f t="shared" si="84"/>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5"/>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6"/>
        <x:v/>
      </x:c>
      <x:c r="FD28" s="1052">
        <x:f t="shared" si="108"/>
        <x:v>0</x:v>
      </x:c>
      <x:c r="FE28" s="1052">
        <x:f t="shared" si="87"/>
        <x:v>0</x:v>
      </x:c>
      <x:c r="FF28" s="1052">
        <x:f t="shared" si="88"/>
        <x:v>0</x:v>
      </x:c>
      <x:c r="FG28" s="1052" t="str">
        <x:f t="shared" si="89"/>
        <x:v/>
      </x:c>
      <x:c r="FH28" s="1053" t="str">
        <x:f t="shared" si="90"/>
        <x:v/>
      </x:c>
      <x:c r="FI28" s="1052">
        <x:f t="shared" si="109"/>
        <x:v>0</x:v>
      </x:c>
      <x:c r="FJ28" s="1052">
        <x:f t="shared" si="91"/>
        <x:v>0</x:v>
      </x:c>
      <x:c r="FK28" s="1052">
        <x:f t="shared" si="92"/>
        <x:v>0</x:v>
      </x:c>
      <x:c r="FL28" s="1052" t="str">
        <x:f t="shared" si="93"/>
        <x:v/>
      </x:c>
      <x:c r="FM28" s="1053" t="str">
        <x:f t="shared" si="94"/>
        <x:v/>
      </x:c>
      <x:c r="FN28" s="1053" t="e">
        <x:f t="shared" si="95"/>
        <x:v>#VALUE!</x:v>
      </x:c>
      <x:c r="FO28" s="1062" t="e">
        <x:f t="shared" si="96"/>
        <x:v>#VALUE!</x:v>
      </x:c>
      <x:c r="FP28" s="1062" t="e">
        <x:f t="shared" si="97"/>
        <x:v>#VALUE!</x:v>
      </x:c>
      <x:c r="FQ28" s="1063" t="e">
        <x:f t="shared" si="98"/>
        <x:v>#VALUE!</x:v>
      </x:c>
      <x:c r="FR28" s="1064" t="e">
        <x:f t="shared" si="99"/>
        <x:v>#VALUE!</x:v>
      </x:c>
      <x:c r="FS28" s="1065" t="str">
        <x:f t="shared" si="100"/>
        <x:v/>
      </x:c>
      <x:c r="FT28" s="1066" t="str">
        <x:f t="shared" si="101"/>
        <x:v/>
      </x:c>
      <x:c r="FU28" s="1105">
        <x:f t="shared" si="102"/>
        <x:v>0</x:v>
      </x:c>
      <x:c r="FV28" s="1106">
        <x:f t="shared" si="103"/>
        <x:v>0</x:v>
      </x:c>
      <x:c r="GA28" s="1975">
        <x:v>59</x:v>
      </x:c>
      <x:c r="GB28" s="1976">
        <x:v>2.75</x:v>
      </x:c>
      <x:c r="GC28" s="1977">
        <x:v>-1.875</x:v>
      </x:c>
      <x:c r="GD28" s="1978">
        <x:v>-0.25</x:v>
      </x:c>
      <x:c r="GE28" s="1979">
        <x:v>0.26169539219134702</x:v>
      </x:c>
      <x:c r="GF28" s="1980" t="str">
        <x:f t="shared" si="104"/>
        <x:v>TJ29</x:v>
      </x:c>
      <x:c r="GG28" s="1453"/>
      <x:c r="GH28" s="1454"/>
      <x:c r="GI28" s="1453"/>
      <x:c r="GJ28" s="1454"/>
      <x:c r="GK28" s="533">
        <x:f t="shared" si="105"/>
        <x:v>708.625</x:v>
      </x:c>
      <x:c r="GL28" s="534">
        <x:f t="shared" si="106"/>
        <x:v>708.79348626656247</x:v>
      </x:c>
      <x:c r="GM28" s="535">
        <x:f>IF(ABS(GK28-GL28)&gt;='Job Info.'!$L$22,ABS(GK28-GL28),0)</x:f>
        <x:v>0</x:v>
      </x:c>
      <x:c r="HA28" s="1658" t="s">
        <x:v>1353</x:v>
      </x:c>
      <x:c r="HB28" s="1659">
        <x:v>1</x:v>
      </x:c>
      <x:c r="HC28" s="1659" t="s">
        <x:v>1978</x:v>
      </x:c>
      <x:c r="HD28" s="1660">
        <x:v>59</x:v>
      </x:c>
      <x:c r="HE28" s="1661">
        <x:v>0.625</x:v>
      </x:c>
      <x:c r="HF28" s="1659" t="s">
        <x:v>117</x:v>
      </x:c>
      <x:c r="HG28" s="1659" t="s">
        <x:v>117</x:v>
      </x:c>
      <x:c r="HH28" s="1659" t="s">
        <x:v>117</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x:v>0</x:v>
      </x:c>
      <x:c r="HU28" s="1659">
        <x:v>1.125</x:v>
      </x:c>
      <x:c r="HV28" s="1659">
        <x:v>0</x:v>
      </x:c>
      <x:c r="HW28" s="1661">
        <x:v>2.25</x:v>
      </x:c>
      <x:c r="HX28" s="1661">
        <x:v>4</x:v>
      </x:c>
      <x:c r="HY28" s="1661" t="s">
        <x:v>117</x:v>
      </x:c>
      <x:c r="HZ28" s="1661" t="s">
        <x:v>117</x:v>
      </x:c>
      <x:c r="IA28" s="1661" t="s">
        <x:v>2089</x:v>
      </x:c>
      <x:c r="IB28" s="1661"/>
      <x:c r="IC28" s="1661"/>
      <x:c r="ID28" s="1661"/>
      <x:c r="IE28" s="1661"/>
      <x:c r="IF28" s="1663"/>
    </x:row>
    <x:row r="29" spans="1:240" ht="12.6" customHeight="1" x14ac:dyDescent="0.25">
      <x:c r="A29" s="1264" t="s">
        <x:v>1354</x:v>
      </x:c>
      <x:c r="B29" s="1265">
        <x:v>0</x:v>
      </x:c>
      <x:c r="C29" s="1265" t="s">
        <x:v>1978</x:v>
      </x:c>
      <x:c r="D29" s="1261">
        <x:v>59</x:v>
      </x:c>
      <x:c r="E29" s="1366">
        <x:v>0.625</x:v>
      </x:c>
      <x:c r="F29" s="1328" t="str">
        <x:f t="shared" si="1"/>
        <x:v/>
      </x:c>
      <x:c r="G29" s="1262" t="str">
        <x:f t="shared" si="2"/>
        <x:v/>
      </x:c>
      <x:c r="H29" s="1266" t="str">
        <x:f t="shared" si="3"/>
        <x:v/>
      </x:c>
      <x:c r="I29" s="1261">
        <x:v>0</x:v>
      </x:c>
      <x:c r="J29" s="1262">
        <x:v>1.375</x:v>
      </x:c>
      <x:c r="K29" s="1370" t="s">
        <x:v>114</x:v>
      </x:c>
      <x:c r="L29" s="1327">
        <x:v>3</x:v>
      </x:c>
      <x:c r="M29" s="1329">
        <x:v>3</x:v>
      </x:c>
      <x:c r="N29" s="1263" t="str">
        <x:f t="shared" si="4"/>
        <x:v/>
      </x:c>
      <x:c r="O29" s="1262" t="str">
        <x:f t="shared" si="5"/>
        <x:v/>
      </x:c>
      <x:c r="P29" s="1260" t="str">
        <x:f t="shared" si="6"/>
        <x:v/>
      </x:c>
      <x:c r="Q29" s="1261" t="str">
        <x:f t="shared" si="7"/>
        <x:v/>
      </x:c>
      <x:c r="R29" s="1262" t="str">
        <x:f t="shared" si="8"/>
        <x:v/>
      </x:c>
      <x:c r="S29" s="1375" t="str">
        <x:f t="shared" si="9"/>
        <x:v/>
      </x:c>
      <x:c r="T29" s="1328">
        <x:v>0</x:v>
      </x:c>
      <x:c r="U29" s="1262">
        <x:v>1.125</x:v>
      </x:c>
      <x:c r="V29" s="1261">
        <x:v>0</x:v>
      </x:c>
      <x:c r="W29" s="1262">
        <x:v>2.25</x:v>
      </x:c>
      <x:c r="X29" s="1329">
        <x:v>4</x:v>
      </x:c>
      <x:c r="Y29" s="1377" t="str">
        <x:f t="shared" si="15"/>
        <x:v/>
      </x:c>
      <x:c r="Z29" s="1378" t="str">
        <x:f t="shared" si="16"/>
        <x:v/>
      </x:c>
      <x:c r="AA29" s="2159" t="s">
        <x:v>2090</x:v>
      </x:c>
      <x:c r="AC29" s="1226" t="b">
        <x:v>0</x:v>
      </x:c>
      <x:c r="AD29" s="525">
        <x:f t="shared" si="17"/>
        <x:v>0</x:v>
      </x:c>
      <x:c r="AE29" s="526">
        <x:f t="shared" si="18"/>
        <x:v>0</x:v>
      </x:c>
      <x:c r="AF29" s="526">
        <x:f t="shared" si="19"/>
        <x:v>0</x:v>
      </x:c>
      <x:c r="AG29" s="526">
        <x:f t="shared" si="20"/>
        <x:v>0</x:v>
      </x:c>
      <x:c r="AH29" s="527">
        <x:f t="shared" si="21"/>
        <x:v>0</x:v>
      </x:c>
      <x:c r="AI29" s="528" t="b">
        <x:v>0</x:v>
      </x:c>
      <x:c r="AJ29" s="284">
        <x:f t="shared" si="22"/>
        <x:v>36</x:v>
      </x:c>
      <x:c r="AK29" s="1063" t="str">
        <x:f t="shared" si="23"/>
        <x:v>LH</x:v>
      </x:c>
      <x:c r="AL29" s="1202" t="str">
        <x:f t="shared" si="24"/>
        <x:v/>
      </x:c>
      <x:c r="AM29" s="1063">
        <x:f t="shared" si="25"/>
        <x:v>270</x:v>
      </x:c>
      <x:c r="AN29" s="1063">
        <x:f t="shared" si="26"/>
        <x:v>120</x:v>
      </x:c>
      <x:c r="AO29" s="1063" t="str">
        <x:f t="shared" si="27"/>
        <x:v/>
      </x:c>
      <x:c r="AP29" s="1063" t="b">
        <x:f>IF(ISERROR(AJ29),FALSE,IF(OR(AJ29=0,ISERROR(AL29),ISERROR(AM29),ISERROR(AN29),ISERROR(AO29)),FALSE,IF(AL29&lt;&gt;"",IF(ISERROR(VLOOKUP(SUBSTITUTE(SUBSTITUTE(C29,"R",""),"A",""),TblJoistSize!$A:$A,1,FALSE)),FALSE,TRUE),TRUE)))</x:f>
        <x:v>1</x:v>
      </x:c>
      <x:c r="AQ29" s="1305">
        <x:f t="shared" si="28"/>
        <x:v>6</x:v>
      </x:c>
      <x:c r="AR29" s="1305" t="b">
        <x:f t="shared" si="29"/>
        <x:v>1</x:v>
      </x:c>
      <x:c r="AS29" s="1305">
        <x:f t="shared" si="30"/>
        <x:v>7.375</x:v>
      </x:c>
      <x:c r="AT29" s="1305" t="b">
        <x:f t="shared" si="31"/>
        <x:v>1</x:v>
      </x:c>
      <x:c r="AU29" s="1203" t="str">
        <x:f t="shared" si="32"/>
        <x:v>LH</x:v>
      </x:c>
      <x:c r="AV29" s="1063" t="str">
        <x:f t="shared" si="33"/>
        <x:v/>
      </x:c>
      <x:c r="AW29" s="1063" t="str">
        <x:f t="shared" si="34"/>
        <x:v>LH</x:v>
      </x:c>
      <x:c r="AX29" s="1063" t="str">
        <x:f t="shared" si="107"/>
        <x:v>TJ30</x:v>
      </x:c>
      <x:c r="AY29" s="1306" t="b">
        <x:f t="shared" si="35"/>
        <x:v>0</x:v>
      </x:c>
      <x:c r="AZ29" s="1090" t="b">
        <x:f t="shared" si="36"/>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7"/>
        <x:v/>
      </x:c>
      <x:c r="CE29" s="935" t="str">
        <x:f t="shared" si="38"/>
        <x:v/>
      </x:c>
      <x:c r="CF29" s="1149"/>
      <x:c r="CG29" s="1150"/>
      <x:c r="CH29" s="738" t="str">
        <x:f t="shared" si="39"/>
        <x:v/>
      </x:c>
      <x:c r="CI29" s="739" t="str">
        <x:f t="shared" si="40"/>
        <x:v/>
      </x:c>
      <x:c r="CJ29" s="740" t="str">
        <x:f t="shared" si="41"/>
        <x:v/>
      </x:c>
      <x:c r="CK29" s="741" t="str">
        <x:f t="shared" si="42"/>
        <x:v/>
      </x:c>
      <x:c r="CL29" s="742" t="str">
        <x:f t="shared" si="43"/>
        <x:v/>
      </x:c>
      <x:c r="CM29" s="743" t="str">
        <x:f t="shared" si="44"/>
        <x:v/>
      </x:c>
      <x:c r="CN29" s="744" t="str">
        <x:f t="shared" si="45"/>
        <x:v/>
      </x:c>
      <x:c r="CO29" s="745" t="str">
        <x:f t="shared" si="46"/>
        <x:v/>
      </x:c>
      <x:c r="CP29" s="762" t="str">
        <x:f t="shared" si="47"/>
        <x:v/>
      </x:c>
      <x:c r="CQ29" s="763" t="str">
        <x:f t="shared" si="48"/>
        <x:v/>
      </x:c>
      <x:c r="CR29" s="953">
        <x:f t="shared" si="49"/>
        <x:v>5</x:v>
      </x:c>
      <x:c r="CS29" s="954">
        <x:f t="shared" si="50"/>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51"/>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52"/>
        <x:v>0</x:v>
      </x:c>
      <x:c r="DO29" s="1049">
        <x:f t="shared" si="53"/>
        <x:v>0</x:v>
      </x:c>
      <x:c r="DP29" s="1053" t="str">
        <x:f t="shared" si="54"/>
        <x:v/>
      </x:c>
      <x:c r="DQ29" s="1053" t="str">
        <x:f t="shared" si="55"/>
        <x:v/>
      </x:c>
      <x:c r="DR29" s="1053" t="str">
        <x:f t="shared" si="56"/>
        <x:v/>
      </x:c>
      <x:c r="DS29" s="1052">
        <x:f t="shared" si="57"/>
        <x:v>0</x:v>
      </x:c>
      <x:c r="DT29" s="1052">
        <x:f t="shared" si="58"/>
        <x:v>0</x:v>
      </x:c>
      <x:c r="DU29" s="1052" t="str">
        <x:f t="shared" si="59"/>
        <x:v/>
      </x:c>
      <x:c r="DV29" s="1053" t="str">
        <x:f t="shared" si="60"/>
        <x:v/>
      </x:c>
      <x:c r="DW29" s="1053" t="str">
        <x:f t="shared" si="61"/>
        <x:v/>
      </x:c>
      <x:c r="DX29" s="1269">
        <x:f t="shared" si="62"/>
        <x:v>0</x:v>
      </x:c>
      <x:c r="DY29" s="1053">
        <x:f t="shared" si="63"/>
        <x:v>0</x:v>
      </x:c>
      <x:c r="DZ29" s="1052">
        <x:f t="shared" si="64"/>
        <x:v>0</x:v>
      </x:c>
      <x:c r="EA29" s="1052" t="str">
        <x:f t="shared" si="65"/>
        <x:v/>
      </x:c>
      <x:c r="EB29" s="1053" t="str">
        <x:f t="shared" si="66"/>
        <x:v/>
      </x:c>
      <x:c r="EC29" s="1053" t="str">
        <x:f t="shared" si="67"/>
        <x:v/>
      </x:c>
      <x:c r="ED29" s="1269">
        <x:f t="shared" si="68"/>
        <x:v>0</x:v>
      </x:c>
      <x:c r="EE29" s="1090" t="str">
        <x:f t="shared" si="69"/>
        <x:v/>
      </x:c>
      <x:c r="EF29" s="1053" t="str">
        <x:f t="shared" si="70"/>
        <x:v/>
      </x:c>
      <x:c r="EG29" s="1053" t="str">
        <x:f t="shared" si="71"/>
        <x:v/>
      </x:c>
      <x:c r="EH29" s="1053" t="str">
        <x:f t="shared" si="72"/>
        <x:v>ERR</x:v>
      </x:c>
      <x:c r="EI29" s="1053" t="str">
        <x:f t="shared" si="73"/>
        <x:v>ERR</x:v>
      </x:c>
      <x:c r="EJ29" s="1053" t="str">
        <x:f t="shared" si="74"/>
        <x:v/>
      </x:c>
      <x:c r="EK29" s="1053" t="str">
        <x:f t="shared" si="74"/>
        <x:v/>
      </x:c>
      <x:c r="EL29" s="1090" t="str">
        <x:f t="shared" si="75"/>
        <x:v/>
      </x:c>
      <x:c r="EM29" s="1053" t="str">
        <x:f t="shared" si="76"/>
        <x:v/>
      </x:c>
      <x:c r="EN29" s="1053" t="str">
        <x:f t="shared" si="77"/>
        <x:v/>
      </x:c>
      <x:c r="EO29" s="1053" t="str">
        <x:f t="shared" si="78"/>
        <x:v>ERR</x:v>
      </x:c>
      <x:c r="EP29" s="1053" t="str">
        <x:f t="shared" si="79"/>
        <x:v>ERR</x:v>
      </x:c>
      <x:c r="EQ29" s="1053" t="str">
        <x:f t="shared" si="80"/>
        <x:v/>
      </x:c>
      <x:c r="ER29" s="1053" t="str">
        <x:f t="shared" si="80"/>
        <x:v/>
      </x:c>
      <x:c r="ES29" s="1053" t="str">
        <x:f t="shared" si="81"/>
        <x:v/>
      </x:c>
      <x:c r="ET29" s="1053" t="str">
        <x:f t="shared" si="82"/>
        <x:v/>
      </x:c>
      <x:c r="EU29" s="1061">
        <x:f t="shared" si="83"/>
        <x:v>4</x:v>
      </x:c>
      <x:c r="EV29" s="1055" t="str">
        <x:f t="shared" si="84"/>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5"/>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6"/>
        <x:v/>
      </x:c>
      <x:c r="FD29" s="1052">
        <x:f t="shared" si="108"/>
        <x:v>0</x:v>
      </x:c>
      <x:c r="FE29" s="1052">
        <x:f t="shared" si="87"/>
        <x:v>0</x:v>
      </x:c>
      <x:c r="FF29" s="1052">
        <x:f t="shared" si="88"/>
        <x:v>0</x:v>
      </x:c>
      <x:c r="FG29" s="1052" t="str">
        <x:f t="shared" si="89"/>
        <x:v/>
      </x:c>
      <x:c r="FH29" s="1053" t="str">
        <x:f t="shared" si="90"/>
        <x:v/>
      </x:c>
      <x:c r="FI29" s="1052">
        <x:f t="shared" si="109"/>
        <x:v>0</x:v>
      </x:c>
      <x:c r="FJ29" s="1052">
        <x:f t="shared" si="91"/>
        <x:v>0</x:v>
      </x:c>
      <x:c r="FK29" s="1052">
        <x:f t="shared" si="92"/>
        <x:v>0</x:v>
      </x:c>
      <x:c r="FL29" s="1052" t="str">
        <x:f t="shared" si="93"/>
        <x:v/>
      </x:c>
      <x:c r="FM29" s="1053" t="str">
        <x:f t="shared" si="94"/>
        <x:v/>
      </x:c>
      <x:c r="FN29" s="1053" t="e">
        <x:f t="shared" si="95"/>
        <x:v>#VALUE!</x:v>
      </x:c>
      <x:c r="FO29" s="1062" t="e">
        <x:f t="shared" si="96"/>
        <x:v>#VALUE!</x:v>
      </x:c>
      <x:c r="FP29" s="1062" t="e">
        <x:f t="shared" si="97"/>
        <x:v>#VALUE!</x:v>
      </x:c>
      <x:c r="FQ29" s="1063" t="e">
        <x:f t="shared" si="98"/>
        <x:v>#VALUE!</x:v>
      </x:c>
      <x:c r="FR29" s="1064" t="e">
        <x:f t="shared" si="99"/>
        <x:v>#VALUE!</x:v>
      </x:c>
      <x:c r="FS29" s="1065" t="str">
        <x:f t="shared" si="100"/>
        <x:v/>
      </x:c>
      <x:c r="FT29" s="1066" t="str">
        <x:f t="shared" si="101"/>
        <x:v/>
      </x:c>
      <x:c r="FU29" s="1105">
        <x:f t="shared" si="102"/>
        <x:v>0</x:v>
      </x:c>
      <x:c r="FV29" s="1106">
        <x:f t="shared" si="103"/>
        <x:v>0</x:v>
      </x:c>
      <x:c r="GA29" s="1975">
        <x:v>59</x:v>
      </x:c>
      <x:c r="GB29" s="1976">
        <x:v>2.75</x:v>
      </x:c>
      <x:c r="GC29" s="1977">
        <x:v>-1.875</x:v>
      </x:c>
      <x:c r="GD29" s="1978">
        <x:v>-0.25</x:v>
      </x:c>
      <x:c r="GE29" s="1979">
        <x:v>0.26169539219134702</x:v>
      </x:c>
      <x:c r="GF29" s="1980" t="str">
        <x:f t="shared" si="104"/>
        <x:v>TJ30</x:v>
      </x:c>
      <x:c r="GG29" s="1453"/>
      <x:c r="GH29" s="1454"/>
      <x:c r="GI29" s="1453"/>
      <x:c r="GJ29" s="1454"/>
      <x:c r="GK29" s="533">
        <x:f t="shared" si="105"/>
        <x:v>708.625</x:v>
      </x:c>
      <x:c r="GL29" s="534">
        <x:f t="shared" si="106"/>
        <x:v>708.79348626656247</x:v>
      </x:c>
      <x:c r="GM29" s="535">
        <x:f>IF(ABS(GK29-GL29)&gt;='Job Info.'!$L$22,ABS(GK29-GL29),0)</x:f>
        <x:v>0</x:v>
      </x:c>
      <x:c r="HA29" s="1658" t="s">
        <x:v>1354</x:v>
      </x:c>
      <x:c r="HB29" s="1659">
        <x:v>1</x:v>
      </x:c>
      <x:c r="HC29" s="1659" t="s">
        <x:v>1978</x:v>
      </x:c>
      <x:c r="HD29" s="1660">
        <x:v>59</x:v>
      </x:c>
      <x:c r="HE29" s="1661">
        <x:v>0.625</x:v>
      </x:c>
      <x:c r="HF29" s="1659" t="s">
        <x:v>117</x:v>
      </x:c>
      <x:c r="HG29" s="1659" t="s">
        <x:v>117</x:v>
      </x:c>
      <x:c r="HH29" s="1659" t="s">
        <x:v>117</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x:v>0</x:v>
      </x:c>
      <x:c r="HU29" s="1659">
        <x:v>1.125</x:v>
      </x:c>
      <x:c r="HV29" s="1659">
        <x:v>0</x:v>
      </x:c>
      <x:c r="HW29" s="1661">
        <x:v>2.25</x:v>
      </x:c>
      <x:c r="HX29" s="1661">
        <x:v>4</x:v>
      </x:c>
      <x:c r="HY29" s="1661" t="s">
        <x:v>117</x:v>
      </x:c>
      <x:c r="HZ29" s="1661" t="s">
        <x:v>117</x:v>
      </x:c>
      <x:c r="IA29" s="1661" t="s">
        <x:v>2090</x:v>
      </x:c>
      <x:c r="IB29" s="1661"/>
      <x:c r="IC29" s="1661"/>
      <x:c r="ID29" s="1661"/>
      <x:c r="IE29" s="1661"/>
      <x:c r="IF29" s="1663"/>
    </x:row>
    <x:row r="30" spans="1:240" ht="12.6" customHeight="1" x14ac:dyDescent="0.25">
      <x:c r="A30" s="1264" t="s">
        <x:v>1355</x:v>
      </x:c>
      <x:c r="B30" s="1265">
        <x:v>0</x:v>
      </x:c>
      <x:c r="C30" s="1265" t="s">
        <x:v>1978</x:v>
      </x:c>
      <x:c r="D30" s="1261">
        <x:v>59</x:v>
      </x:c>
      <x:c r="E30" s="1366">
        <x:v>0.625</x:v>
      </x:c>
      <x:c r="F30" s="1328" t="str">
        <x:f t="shared" si="1"/>
        <x:v/>
      </x:c>
      <x:c r="G30" s="1262" t="str">
        <x:f t="shared" si="2"/>
        <x:v/>
      </x:c>
      <x:c r="H30" s="1266" t="str">
        <x:f t="shared" si="3"/>
        <x:v/>
      </x:c>
      <x:c r="I30" s="1261">
        <x:v>0</x:v>
      </x:c>
      <x:c r="J30" s="1262">
        <x:v>1.375</x:v>
      </x:c>
      <x:c r="K30" s="1370" t="s">
        <x:v>114</x:v>
      </x:c>
      <x:c r="L30" s="1327">
        <x:v>3</x:v>
      </x:c>
      <x:c r="M30" s="1329">
        <x:v>3</x:v>
      </x:c>
      <x:c r="N30" s="1263" t="str">
        <x:f t="shared" si="4"/>
        <x:v/>
      </x:c>
      <x:c r="O30" s="1262" t="str">
        <x:f t="shared" si="5"/>
        <x:v/>
      </x:c>
      <x:c r="P30" s="1260" t="str">
        <x:f t="shared" si="6"/>
        <x:v/>
      </x:c>
      <x:c r="Q30" s="1261" t="str">
        <x:f t="shared" si="7"/>
        <x:v/>
      </x:c>
      <x:c r="R30" s="1262" t="str">
        <x:f t="shared" si="8"/>
        <x:v/>
      </x:c>
      <x:c r="S30" s="1375" t="str">
        <x:f t="shared" si="9"/>
        <x:v/>
      </x:c>
      <x:c r="T30" s="1328" t="str">
        <x:f t="shared" si="10"/>
        <x:v/>
      </x:c>
      <x:c r="U30" s="1262" t="str">
        <x:f t="shared" si="11"/>
        <x:v/>
      </x:c>
      <x:c r="V30" s="1261" t="str">
        <x:f t="shared" si="12"/>
        <x:v/>
      </x:c>
      <x:c r="W30" s="1262" t="str">
        <x:f t="shared" si="13"/>
        <x:v/>
      </x:c>
      <x:c r="X30" s="1329">
        <x:f t="shared" si="14"/>
        <x:v>0</x:v>
      </x:c>
      <x:c r="Y30" s="1377" t="str">
        <x:f t="shared" si="15"/>
        <x:v/>
      </x:c>
      <x:c r="Z30" s="1378" t="str">
        <x:f t="shared" si="16"/>
        <x:v/>
      </x:c>
      <x:c r="AA30" s="2159" t="s">
        <x:v>2091</x:v>
      </x:c>
      <x:c r="AC30" s="1226" t="b">
        <x:v>0</x:v>
      </x:c>
      <x:c r="AD30" s="525">
        <x:f t="shared" si="17"/>
        <x:v>0</x:v>
      </x:c>
      <x:c r="AE30" s="526">
        <x:f t="shared" si="18"/>
        <x:v>0</x:v>
      </x:c>
      <x:c r="AF30" s="526">
        <x:f t="shared" si="19"/>
        <x:v>0</x:v>
      </x:c>
      <x:c r="AG30" s="526">
        <x:f t="shared" si="20"/>
        <x:v>0</x:v>
      </x:c>
      <x:c r="AH30" s="527">
        <x:f t="shared" si="21"/>
        <x:v>0</x:v>
      </x:c>
      <x:c r="AI30" s="528" t="b">
        <x:v>0</x:v>
      </x:c>
      <x:c r="AJ30" s="284">
        <x:f t="shared" si="22"/>
        <x:v>36</x:v>
      </x:c>
      <x:c r="AK30" s="1063" t="str">
        <x:f t="shared" si="23"/>
        <x:v>LH</x:v>
      </x:c>
      <x:c r="AL30" s="1202" t="str">
        <x:f t="shared" si="24"/>
        <x:v/>
      </x:c>
      <x:c r="AM30" s="1063">
        <x:f t="shared" si="25"/>
        <x:v>270</x:v>
      </x:c>
      <x:c r="AN30" s="1063">
        <x:f t="shared" si="26"/>
        <x:v>120</x:v>
      </x:c>
      <x:c r="AO30" s="1063" t="str">
        <x:f t="shared" si="27"/>
        <x:v/>
      </x:c>
      <x:c r="AP30" s="1063" t="b">
        <x:f>IF(ISERROR(AJ30),FALSE,IF(OR(AJ30=0,ISERROR(AL30),ISERROR(AM30),ISERROR(AN30),ISERROR(AO30)),FALSE,IF(AL30&lt;&gt;"",IF(ISERROR(VLOOKUP(SUBSTITUTE(SUBSTITUTE(C30,"R",""),"A",""),TblJoistSize!$A:$A,1,FALSE)),FALSE,TRUE),TRUE)))</x:f>
        <x:v>1</x:v>
      </x:c>
      <x:c r="AQ30" s="1305">
        <x:f t="shared" si="28"/>
        <x:v>6</x:v>
      </x:c>
      <x:c r="AR30" s="1305" t="b">
        <x:f t="shared" si="29"/>
        <x:v>0</x:v>
      </x:c>
      <x:c r="AS30" s="1305">
        <x:f t="shared" si="30"/>
        <x:v>7.375</x:v>
      </x:c>
      <x:c r="AT30" s="1305" t="b">
        <x:f t="shared" si="31"/>
        <x:v>0</x:v>
      </x:c>
      <x:c r="AU30" s="1203" t="str">
        <x:f t="shared" si="32"/>
        <x:v>LH</x:v>
      </x:c>
      <x:c r="AV30" s="1063" t="str">
        <x:f t="shared" si="33"/>
        <x:v/>
      </x:c>
      <x:c r="AW30" s="1063" t="str">
        <x:f t="shared" si="34"/>
        <x:v>LH</x:v>
      </x:c>
      <x:c r="AX30" s="1063" t="str">
        <x:f t="shared" si="107"/>
        <x:v>J31</x:v>
      </x:c>
      <x:c r="AY30" s="1306" t="b">
        <x:f t="shared" si="35"/>
        <x:v>0</x:v>
      </x:c>
      <x:c r="AZ30" s="1090" t="b">
        <x:f t="shared" si="36"/>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7"/>
        <x:v/>
      </x:c>
      <x:c r="CE30" s="935" t="str">
        <x:f t="shared" si="38"/>
        <x:v/>
      </x:c>
      <x:c r="CF30" s="1149"/>
      <x:c r="CG30" s="1150"/>
      <x:c r="CH30" s="738" t="str">
        <x:f t="shared" si="39"/>
        <x:v/>
      </x:c>
      <x:c r="CI30" s="739" t="str">
        <x:f t="shared" si="40"/>
        <x:v/>
      </x:c>
      <x:c r="CJ30" s="740" t="str">
        <x:f t="shared" si="41"/>
        <x:v/>
      </x:c>
      <x:c r="CK30" s="741" t="str">
        <x:f t="shared" si="42"/>
        <x:v/>
      </x:c>
      <x:c r="CL30" s="742" t="str">
        <x:f t="shared" si="43"/>
        <x:v/>
      </x:c>
      <x:c r="CM30" s="743" t="str">
        <x:f t="shared" si="44"/>
        <x:v/>
      </x:c>
      <x:c r="CN30" s="744" t="str">
        <x:f t="shared" si="45"/>
        <x:v/>
      </x:c>
      <x:c r="CO30" s="745" t="str">
        <x:f t="shared" si="46"/>
        <x:v/>
      </x:c>
      <x:c r="CP30" s="762" t="str">
        <x:f t="shared" si="47"/>
        <x:v/>
      </x:c>
      <x:c r="CQ30" s="763" t="str">
        <x:f t="shared" si="48"/>
        <x:v/>
      </x:c>
      <x:c r="CR30" s="953">
        <x:f t="shared" si="49"/>
        <x:v>5</x:v>
      </x:c>
      <x:c r="CS30" s="954">
        <x:f t="shared" si="50"/>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51"/>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52"/>
        <x:v>0</x:v>
      </x:c>
      <x:c r="DO30" s="1049">
        <x:f t="shared" si="53"/>
        <x:v>0</x:v>
      </x:c>
      <x:c r="DP30" s="1053" t="str">
        <x:f t="shared" si="54"/>
        <x:v/>
      </x:c>
      <x:c r="DQ30" s="1053" t="str">
        <x:f t="shared" si="55"/>
        <x:v/>
      </x:c>
      <x:c r="DR30" s="1053" t="str">
        <x:f t="shared" si="56"/>
        <x:v/>
      </x:c>
      <x:c r="DS30" s="1052">
        <x:f t="shared" si="57"/>
        <x:v>0</x:v>
      </x:c>
      <x:c r="DT30" s="1052">
        <x:f t="shared" si="58"/>
        <x:v>0</x:v>
      </x:c>
      <x:c r="DU30" s="1052" t="str">
        <x:f t="shared" si="59"/>
        <x:v/>
      </x:c>
      <x:c r="DV30" s="1053" t="str">
        <x:f t="shared" si="60"/>
        <x:v/>
      </x:c>
      <x:c r="DW30" s="1053" t="str">
        <x:f t="shared" si="61"/>
        <x:v/>
      </x:c>
      <x:c r="DX30" s="1269">
        <x:f t="shared" si="62"/>
        <x:v>0</x:v>
      </x:c>
      <x:c r="DY30" s="1053">
        <x:f t="shared" si="63"/>
        <x:v>0</x:v>
      </x:c>
      <x:c r="DZ30" s="1052">
        <x:f t="shared" si="64"/>
        <x:v>0</x:v>
      </x:c>
      <x:c r="EA30" s="1052" t="str">
        <x:f t="shared" si="65"/>
        <x:v/>
      </x:c>
      <x:c r="EB30" s="1053" t="str">
        <x:f t="shared" si="66"/>
        <x:v/>
      </x:c>
      <x:c r="EC30" s="1053" t="str">
        <x:f t="shared" si="67"/>
        <x:v/>
      </x:c>
      <x:c r="ED30" s="1269">
        <x:f t="shared" si="68"/>
        <x:v>0</x:v>
      </x:c>
      <x:c r="EE30" s="1090" t="str">
        <x:f t="shared" si="69"/>
        <x:v/>
      </x:c>
      <x:c r="EF30" s="1053" t="str">
        <x:f t="shared" si="70"/>
        <x:v/>
      </x:c>
      <x:c r="EG30" s="1053" t="str">
        <x:f t="shared" si="71"/>
        <x:v/>
      </x:c>
      <x:c r="EH30" s="1053" t="str">
        <x:f t="shared" si="72"/>
        <x:v>ERR</x:v>
      </x:c>
      <x:c r="EI30" s="1053" t="str">
        <x:f t="shared" si="73"/>
        <x:v>ERR</x:v>
      </x:c>
      <x:c r="EJ30" s="1053" t="str">
        <x:f t="shared" si="74"/>
        <x:v/>
      </x:c>
      <x:c r="EK30" s="1053" t="str">
        <x:f t="shared" si="74"/>
        <x:v/>
      </x:c>
      <x:c r="EL30" s="1090" t="str">
        <x:f t="shared" si="75"/>
        <x:v/>
      </x:c>
      <x:c r="EM30" s="1053" t="str">
        <x:f t="shared" si="76"/>
        <x:v/>
      </x:c>
      <x:c r="EN30" s="1053" t="str">
        <x:f t="shared" si="77"/>
        <x:v/>
      </x:c>
      <x:c r="EO30" s="1053" t="str">
        <x:f t="shared" si="78"/>
        <x:v>ERR</x:v>
      </x:c>
      <x:c r="EP30" s="1053" t="str">
        <x:f t="shared" si="79"/>
        <x:v>ERR</x:v>
      </x:c>
      <x:c r="EQ30" s="1053" t="str">
        <x:f t="shared" si="80"/>
        <x:v/>
      </x:c>
      <x:c r="ER30" s="1053" t="str">
        <x:f t="shared" si="80"/>
        <x:v/>
      </x:c>
      <x:c r="ES30" s="1053" t="str">
        <x:f t="shared" si="81"/>
        <x:v/>
      </x:c>
      <x:c r="ET30" s="1053" t="str">
        <x:f t="shared" si="82"/>
        <x:v/>
      </x:c>
      <x:c r="EU30" s="1061">
        <x:f t="shared" si="83"/>
        <x:v>4</x:v>
      </x:c>
      <x:c r="EV30" s="1055" t="str">
        <x:f t="shared" si="84"/>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5"/>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6"/>
        <x:v/>
      </x:c>
      <x:c r="FD30" s="1052">
        <x:f t="shared" si="108"/>
        <x:v>0</x:v>
      </x:c>
      <x:c r="FE30" s="1052">
        <x:f t="shared" si="87"/>
        <x:v>0</x:v>
      </x:c>
      <x:c r="FF30" s="1052">
        <x:f t="shared" si="88"/>
        <x:v>0</x:v>
      </x:c>
      <x:c r="FG30" s="1052" t="str">
        <x:f t="shared" si="89"/>
        <x:v/>
      </x:c>
      <x:c r="FH30" s="1053" t="str">
        <x:f t="shared" si="90"/>
        <x:v/>
      </x:c>
      <x:c r="FI30" s="1052">
        <x:f t="shared" si="109"/>
        <x:v>0</x:v>
      </x:c>
      <x:c r="FJ30" s="1052">
        <x:f t="shared" si="91"/>
        <x:v>0</x:v>
      </x:c>
      <x:c r="FK30" s="1052">
        <x:f t="shared" si="92"/>
        <x:v>0</x:v>
      </x:c>
      <x:c r="FL30" s="1052" t="str">
        <x:f t="shared" si="93"/>
        <x:v/>
      </x:c>
      <x:c r="FM30" s="1053" t="str">
        <x:f t="shared" si="94"/>
        <x:v/>
      </x:c>
      <x:c r="FN30" s="1053" t="e">
        <x:f t="shared" si="95"/>
        <x:v>#VALUE!</x:v>
      </x:c>
      <x:c r="FO30" s="1062" t="e">
        <x:f t="shared" si="96"/>
        <x:v>#VALUE!</x:v>
      </x:c>
      <x:c r="FP30" s="1062" t="e">
        <x:f t="shared" si="97"/>
        <x:v>#VALUE!</x:v>
      </x:c>
      <x:c r="FQ30" s="1063" t="e">
        <x:f t="shared" si="98"/>
        <x:v>#VALUE!</x:v>
      </x:c>
      <x:c r="FR30" s="1064" t="e">
        <x:f t="shared" si="99"/>
        <x:v>#VALUE!</x:v>
      </x:c>
      <x:c r="FS30" s="1065" t="str">
        <x:f t="shared" si="100"/>
        <x:v/>
      </x:c>
      <x:c r="FT30" s="1066" t="str">
        <x:f t="shared" si="101"/>
        <x:v/>
      </x:c>
      <x:c r="FU30" s="1105">
        <x:f t="shared" si="102"/>
        <x:v>0</x:v>
      </x:c>
      <x:c r="FV30" s="1106">
        <x:f t="shared" si="103"/>
        <x:v>0</x:v>
      </x:c>
      <x:c r="GA30" s="1975">
        <x:v>59</x:v>
      </x:c>
      <x:c r="GB30" s="1976">
        <x:v>2.75</x:v>
      </x:c>
      <x:c r="GC30" s="1977">
        <x:v>-1.875</x:v>
      </x:c>
      <x:c r="GD30" s="1978">
        <x:v>-0.25</x:v>
      </x:c>
      <x:c r="GE30" s="1979">
        <x:v>0.26169539219134702</x:v>
      </x:c>
      <x:c r="GF30" s="1980" t="str">
        <x:f t="shared" si="104"/>
        <x:v>J31</x:v>
      </x:c>
      <x:c r="GG30" s="1453"/>
      <x:c r="GH30" s="1454"/>
      <x:c r="GI30" s="1453"/>
      <x:c r="GJ30" s="1454"/>
      <x:c r="GK30" s="533">
        <x:f t="shared" si="105"/>
        <x:v>708.625</x:v>
      </x:c>
      <x:c r="GL30" s="534">
        <x:f t="shared" si="106"/>
        <x:v>708.79348626656247</x:v>
      </x:c>
      <x:c r="GM30" s="535">
        <x:f>IF(ABS(GK30-GL30)&gt;='Job Info.'!$L$22,ABS(GK30-GL30),0)</x:f>
        <x:v>0</x:v>
      </x:c>
      <x:c r="HA30" s="1658" t="s">
        <x:v>1355</x:v>
      </x:c>
      <x:c r="HB30" s="1659">
        <x:v>1</x:v>
      </x:c>
      <x:c r="HC30" s="1659" t="s">
        <x:v>1978</x:v>
      </x:c>
      <x:c r="HD30" s="1660">
        <x:v>59</x:v>
      </x:c>
      <x:c r="HE30" s="1661">
        <x:v>0.625</x:v>
      </x:c>
      <x:c r="HF30" s="1659" t="s">
        <x:v>117</x:v>
      </x:c>
      <x:c r="HG30" s="1659" t="s">
        <x:v>117</x:v>
      </x:c>
      <x:c r="HH30" s="1659" t="s">
        <x:v>117</x:v>
      </x:c>
      <x:c r="HI30" s="1662">
        <x:v>0</x:v>
      </x:c>
      <x:c r="HJ30" s="1659">
        <x:v>1.375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2091</x:v>
      </x:c>
      <x:c r="IB30" s="1661"/>
      <x:c r="IC30" s="1661"/>
      <x:c r="ID30" s="1661"/>
      <x:c r="IE30" s="1661"/>
      <x:c r="IF30" s="1663"/>
    </x:row>
    <x:row r="31" spans="1:240" ht="12.6" customHeight="1" x14ac:dyDescent="0.25">
      <x:c r="A31" s="1264" t="s">
        <x:v>1356</x:v>
      </x:c>
      <x:c r="B31" s="1265">
        <x:v>0</x:v>
      </x:c>
      <x:c r="C31" s="1265" t="s">
        <x:v>1978</x:v>
      </x:c>
      <x:c r="D31" s="1261">
        <x:v>59</x:v>
      </x:c>
      <x:c r="E31" s="1366">
        <x:v>0.625</x:v>
      </x:c>
      <x:c r="F31" s="1328" t="str">
        <x:f t="shared" si="1"/>
        <x:v/>
      </x:c>
      <x:c r="G31" s="1262" t="str">
        <x:f t="shared" si="2"/>
        <x:v/>
      </x:c>
      <x:c r="H31" s="1266" t="str">
        <x:f t="shared" si="3"/>
        <x:v/>
      </x:c>
      <x:c r="I31" s="1261">
        <x:v>0</x:v>
      </x:c>
      <x:c r="J31" s="1262">
        <x:v>1.375</x:v>
      </x:c>
      <x:c r="K31" s="1370" t="s">
        <x:v>114</x:v>
      </x:c>
      <x:c r="L31" s="1327">
        <x:v>3</x:v>
      </x:c>
      <x:c r="M31" s="1329">
        <x:v>3</x:v>
      </x:c>
      <x:c r="N31" s="1263" t="str">
        <x:f t="shared" si="4"/>
        <x:v/>
      </x:c>
      <x:c r="O31" s="1262" t="str">
        <x:f t="shared" si="5"/>
        <x:v/>
      </x:c>
      <x:c r="P31" s="1260" t="str">
        <x:f t="shared" si="6"/>
        <x:v/>
      </x:c>
      <x:c r="Q31" s="1261" t="str">
        <x:f t="shared" si="7"/>
        <x:v/>
      </x:c>
      <x:c r="R31" s="1262" t="str">
        <x:f t="shared" si="8"/>
        <x:v/>
      </x:c>
      <x:c r="S31" s="1375" t="str">
        <x:f t="shared" si="9"/>
        <x:v/>
      </x:c>
      <x:c r="T31" s="1328" t="str">
        <x:f t="shared" si="10"/>
        <x:v/>
      </x:c>
      <x:c r="U31" s="1262" t="str">
        <x:f t="shared" si="11"/>
        <x:v/>
      </x:c>
      <x:c r="V31" s="1261" t="str">
        <x:f t="shared" si="12"/>
        <x:v/>
      </x:c>
      <x:c r="W31" s="1262" t="str">
        <x:f t="shared" si="13"/>
        <x:v/>
      </x:c>
      <x:c r="X31" s="1329">
        <x:f t="shared" si="14"/>
        <x:v>0</x:v>
      </x:c>
      <x:c r="Y31" s="1377" t="str">
        <x:f t="shared" si="15"/>
        <x:v/>
      </x:c>
      <x:c r="Z31" s="1378" t="str">
        <x:f t="shared" si="16"/>
        <x:v/>
      </x:c>
      <x:c r="AA31" s="2159" t="s">
        <x:v>2092</x:v>
      </x:c>
      <x:c r="AC31" s="1226" t="b">
        <x:v>0</x:v>
      </x:c>
      <x:c r="AD31" s="525">
        <x:f t="shared" si="17"/>
        <x:v>0</x:v>
      </x:c>
      <x:c r="AE31" s="526">
        <x:f t="shared" si="18"/>
        <x:v>0</x:v>
      </x:c>
      <x:c r="AF31" s="526">
        <x:f t="shared" si="19"/>
        <x:v>0</x:v>
      </x:c>
      <x:c r="AG31" s="526">
        <x:f t="shared" si="20"/>
        <x:v>0</x:v>
      </x:c>
      <x:c r="AH31" s="527">
        <x:f t="shared" si="21"/>
        <x:v>0</x:v>
      </x:c>
      <x:c r="AI31" s="528" t="b">
        <x:v>0</x:v>
      </x:c>
      <x:c r="AJ31" s="284">
        <x:f t="shared" si="22"/>
        <x:v>36</x:v>
      </x:c>
      <x:c r="AK31" s="1063" t="str">
        <x:f t="shared" si="23"/>
        <x:v>LH</x:v>
      </x:c>
      <x:c r="AL31" s="1202" t="str">
        <x:f t="shared" si="24"/>
        <x:v/>
      </x:c>
      <x:c r="AM31" s="1063">
        <x:f t="shared" si="25"/>
        <x:v>270</x:v>
      </x:c>
      <x:c r="AN31" s="1063">
        <x:f t="shared" si="26"/>
        <x:v>120</x:v>
      </x:c>
      <x:c r="AO31" s="1063" t="str">
        <x:f t="shared" si="27"/>
        <x:v/>
      </x:c>
      <x:c r="AP31" s="1063" t="b">
        <x:f>IF(ISERROR(AJ31),FALSE,IF(OR(AJ31=0,ISERROR(AL31),ISERROR(AM31),ISERROR(AN31),ISERROR(AO31)),FALSE,IF(AL31&lt;&gt;"",IF(ISERROR(VLOOKUP(SUBSTITUTE(SUBSTITUTE(C31,"R",""),"A",""),TblJoistSize!$A:$A,1,FALSE)),FALSE,TRUE),TRUE)))</x:f>
        <x:v>1</x:v>
      </x:c>
      <x:c r="AQ31" s="1305">
        <x:f t="shared" si="28"/>
        <x:v>6</x:v>
      </x:c>
      <x:c r="AR31" s="1305" t="b">
        <x:f t="shared" si="29"/>
        <x:v>0</x:v>
      </x:c>
      <x:c r="AS31" s="1305">
        <x:f t="shared" si="30"/>
        <x:v>7.375</x:v>
      </x:c>
      <x:c r="AT31" s="1305" t="b">
        <x:f t="shared" si="31"/>
        <x:v>0</x:v>
      </x:c>
      <x:c r="AU31" s="1203" t="str">
        <x:f t="shared" si="32"/>
        <x:v>LH</x:v>
      </x:c>
      <x:c r="AV31" s="1063" t="str">
        <x:f t="shared" si="33"/>
        <x:v/>
      </x:c>
      <x:c r="AW31" s="1063" t="str">
        <x:f t="shared" si="34"/>
        <x:v>LH</x:v>
      </x:c>
      <x:c r="AX31" s="1063" t="str">
        <x:f t="shared" si="107"/>
        <x:v>J32</x:v>
      </x:c>
      <x:c r="AY31" s="1306" t="b">
        <x:f t="shared" si="35"/>
        <x:v>0</x:v>
      </x:c>
      <x:c r="AZ31" s="1090" t="b">
        <x:f t="shared" si="36"/>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7"/>
        <x:v/>
      </x:c>
      <x:c r="CE31" s="935" t="str">
        <x:f t="shared" si="38"/>
        <x:v/>
      </x:c>
      <x:c r="CF31" s="1149"/>
      <x:c r="CG31" s="1150"/>
      <x:c r="CH31" s="738" t="str">
        <x:f t="shared" si="39"/>
        <x:v/>
      </x:c>
      <x:c r="CI31" s="739" t="str">
        <x:f t="shared" si="40"/>
        <x:v/>
      </x:c>
      <x:c r="CJ31" s="740" t="str">
        <x:f t="shared" si="41"/>
        <x:v/>
      </x:c>
      <x:c r="CK31" s="741" t="str">
        <x:f t="shared" si="42"/>
        <x:v/>
      </x:c>
      <x:c r="CL31" s="742" t="str">
        <x:f t="shared" si="43"/>
        <x:v/>
      </x:c>
      <x:c r="CM31" s="743" t="str">
        <x:f t="shared" si="44"/>
        <x:v/>
      </x:c>
      <x:c r="CN31" s="744" t="str">
        <x:f t="shared" si="45"/>
        <x:v/>
      </x:c>
      <x:c r="CO31" s="745" t="str">
        <x:f t="shared" si="46"/>
        <x:v/>
      </x:c>
      <x:c r="CP31" s="762" t="str">
        <x:f t="shared" si="47"/>
        <x:v/>
      </x:c>
      <x:c r="CQ31" s="763" t="str">
        <x:f t="shared" si="48"/>
        <x:v/>
      </x:c>
      <x:c r="CR31" s="953">
        <x:f t="shared" si="49"/>
        <x:v>5</x:v>
      </x:c>
      <x:c r="CS31" s="954">
        <x:f t="shared" si="50"/>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51"/>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52"/>
        <x:v>0</x:v>
      </x:c>
      <x:c r="DO31" s="1049">
        <x:f t="shared" si="53"/>
        <x:v>0</x:v>
      </x:c>
      <x:c r="DP31" s="1053" t="str">
        <x:f t="shared" si="54"/>
        <x:v/>
      </x:c>
      <x:c r="DQ31" s="1053" t="str">
        <x:f t="shared" si="55"/>
        <x:v/>
      </x:c>
      <x:c r="DR31" s="1053" t="str">
        <x:f t="shared" si="56"/>
        <x:v/>
      </x:c>
      <x:c r="DS31" s="1052">
        <x:f t="shared" si="57"/>
        <x:v>0</x:v>
      </x:c>
      <x:c r="DT31" s="1052">
        <x:f t="shared" si="58"/>
        <x:v>0</x:v>
      </x:c>
      <x:c r="DU31" s="1052" t="str">
        <x:f t="shared" si="59"/>
        <x:v/>
      </x:c>
      <x:c r="DV31" s="1053" t="str">
        <x:f t="shared" si="60"/>
        <x:v/>
      </x:c>
      <x:c r="DW31" s="1053" t="str">
        <x:f t="shared" si="61"/>
        <x:v/>
      </x:c>
      <x:c r="DX31" s="1269">
        <x:f t="shared" si="62"/>
        <x:v>0</x:v>
      </x:c>
      <x:c r="DY31" s="1053">
        <x:f t="shared" si="63"/>
        <x:v>0</x:v>
      </x:c>
      <x:c r="DZ31" s="1052">
        <x:f t="shared" si="64"/>
        <x:v>0</x:v>
      </x:c>
      <x:c r="EA31" s="1052" t="str">
        <x:f t="shared" si="65"/>
        <x:v/>
      </x:c>
      <x:c r="EB31" s="1053" t="str">
        <x:f t="shared" si="66"/>
        <x:v/>
      </x:c>
      <x:c r="EC31" s="1053" t="str">
        <x:f t="shared" si="67"/>
        <x:v/>
      </x:c>
      <x:c r="ED31" s="1269">
        <x:f t="shared" si="68"/>
        <x:v>0</x:v>
      </x:c>
      <x:c r="EE31" s="1090" t="str">
        <x:f t="shared" si="69"/>
        <x:v/>
      </x:c>
      <x:c r="EF31" s="1053" t="str">
        <x:f t="shared" si="70"/>
        <x:v/>
      </x:c>
      <x:c r="EG31" s="1053" t="str">
        <x:f t="shared" si="71"/>
        <x:v/>
      </x:c>
      <x:c r="EH31" s="1053" t="str">
        <x:f t="shared" si="72"/>
        <x:v>ERR</x:v>
      </x:c>
      <x:c r="EI31" s="1053" t="str">
        <x:f t="shared" si="73"/>
        <x:v>ERR</x:v>
      </x:c>
      <x:c r="EJ31" s="1053" t="str">
        <x:f t="shared" si="74"/>
        <x:v/>
      </x:c>
      <x:c r="EK31" s="1053" t="str">
        <x:f t="shared" si="74"/>
        <x:v/>
      </x:c>
      <x:c r="EL31" s="1090" t="str">
        <x:f t="shared" si="75"/>
        <x:v/>
      </x:c>
      <x:c r="EM31" s="1053" t="str">
        <x:f t="shared" si="76"/>
        <x:v/>
      </x:c>
      <x:c r="EN31" s="1053" t="str">
        <x:f t="shared" si="77"/>
        <x:v/>
      </x:c>
      <x:c r="EO31" s="1053" t="str">
        <x:f t="shared" si="78"/>
        <x:v>ERR</x:v>
      </x:c>
      <x:c r="EP31" s="1053" t="str">
        <x:f t="shared" si="79"/>
        <x:v>ERR</x:v>
      </x:c>
      <x:c r="EQ31" s="1053" t="str">
        <x:f t="shared" si="80"/>
        <x:v/>
      </x:c>
      <x:c r="ER31" s="1053" t="str">
        <x:f t="shared" si="80"/>
        <x:v/>
      </x:c>
      <x:c r="ES31" s="1053" t="str">
        <x:f t="shared" si="81"/>
        <x:v/>
      </x:c>
      <x:c r="ET31" s="1053" t="str">
        <x:f t="shared" si="82"/>
        <x:v/>
      </x:c>
      <x:c r="EU31" s="1061">
        <x:f t="shared" si="83"/>
        <x:v>4</x:v>
      </x:c>
      <x:c r="EV31" s="1055" t="str">
        <x:f t="shared" si="84"/>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5"/>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6"/>
        <x:v/>
      </x:c>
      <x:c r="FD31" s="1052">
        <x:f t="shared" si="108"/>
        <x:v>0</x:v>
      </x:c>
      <x:c r="FE31" s="1052">
        <x:f t="shared" si="87"/>
        <x:v>0</x:v>
      </x:c>
      <x:c r="FF31" s="1052">
        <x:f t="shared" si="88"/>
        <x:v>0</x:v>
      </x:c>
      <x:c r="FG31" s="1052" t="str">
        <x:f t="shared" si="89"/>
        <x:v/>
      </x:c>
      <x:c r="FH31" s="1053" t="str">
        <x:f t="shared" si="90"/>
        <x:v/>
      </x:c>
      <x:c r="FI31" s="1052">
        <x:f t="shared" si="109"/>
        <x:v>0</x:v>
      </x:c>
      <x:c r="FJ31" s="1052">
        <x:f t="shared" si="91"/>
        <x:v>0</x:v>
      </x:c>
      <x:c r="FK31" s="1052">
        <x:f t="shared" si="92"/>
        <x:v>0</x:v>
      </x:c>
      <x:c r="FL31" s="1052" t="str">
        <x:f t="shared" si="93"/>
        <x:v/>
      </x:c>
      <x:c r="FM31" s="1053" t="str">
        <x:f t="shared" si="94"/>
        <x:v/>
      </x:c>
      <x:c r="FN31" s="1053" t="e">
        <x:f t="shared" si="95"/>
        <x:v>#VALUE!</x:v>
      </x:c>
      <x:c r="FO31" s="1062" t="e">
        <x:f t="shared" si="96"/>
        <x:v>#VALUE!</x:v>
      </x:c>
      <x:c r="FP31" s="1062" t="e">
        <x:f t="shared" si="97"/>
        <x:v>#VALUE!</x:v>
      </x:c>
      <x:c r="FQ31" s="1063" t="e">
        <x:f t="shared" si="98"/>
        <x:v>#VALUE!</x:v>
      </x:c>
      <x:c r="FR31" s="1064" t="e">
        <x:f t="shared" si="99"/>
        <x:v>#VALUE!</x:v>
      </x:c>
      <x:c r="FS31" s="1065" t="str">
        <x:f t="shared" si="100"/>
        <x:v/>
      </x:c>
      <x:c r="FT31" s="1066" t="str">
        <x:f t="shared" si="101"/>
        <x:v/>
      </x:c>
      <x:c r="FU31" s="1105">
        <x:f t="shared" si="102"/>
        <x:v>0</x:v>
      </x:c>
      <x:c r="FV31" s="1106">
        <x:f t="shared" si="103"/>
        <x:v>0</x:v>
      </x:c>
      <x:c r="GA31" s="1975">
        <x:v>59</x:v>
      </x:c>
      <x:c r="GB31" s="1976">
        <x:v>2.75</x:v>
      </x:c>
      <x:c r="GC31" s="1977">
        <x:v>-1.875</x:v>
      </x:c>
      <x:c r="GD31" s="1978">
        <x:v>-0.25</x:v>
      </x:c>
      <x:c r="GE31" s="1979">
        <x:v>0.26169539219134702</x:v>
      </x:c>
      <x:c r="GF31" s="1980" t="str">
        <x:f t="shared" si="104"/>
        <x:v>J32</x:v>
      </x:c>
      <x:c r="GG31" s="1453"/>
      <x:c r="GH31" s="1454"/>
      <x:c r="GI31" s="1453"/>
      <x:c r="GJ31" s="1454"/>
      <x:c r="GK31" s="533">
        <x:f t="shared" si="105"/>
        <x:v>708.625</x:v>
      </x:c>
      <x:c r="GL31" s="534">
        <x:f t="shared" si="106"/>
        <x:v>708.79348626656247</x:v>
      </x:c>
      <x:c r="GM31" s="535">
        <x:f>IF(ABS(GK31-GL31)&gt;='Job Info.'!$L$22,ABS(GK31-GL31),0)</x:f>
        <x:v>0</x:v>
      </x:c>
      <x:c r="HA31" s="1658" t="s">
        <x:v>1356</x:v>
      </x:c>
      <x:c r="HB31" s="1659">
        <x:v>1</x:v>
      </x:c>
      <x:c r="HC31" s="1659" t="s">
        <x:v>1978</x:v>
      </x:c>
      <x:c r="HD31" s="1660">
        <x:v>59</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2092</x:v>
      </x:c>
      <x:c r="IB31" s="1661"/>
      <x:c r="IC31" s="1661"/>
      <x:c r="ID31" s="1661"/>
      <x:c r="IE31" s="1661"/>
      <x:c r="IF31" s="1663"/>
    </x:row>
    <x:row r="32" spans="1:240" ht="12.6" customHeight="1" x14ac:dyDescent="0.25">
      <x:c r="A32" s="1264" t="s">
        <x:v>1357</x:v>
      </x:c>
      <x:c r="B32" s="1265">
        <x:v>0</x:v>
      </x:c>
      <x:c r="C32" s="1265" t="s">
        <x:v>1978</x:v>
      </x:c>
      <x:c r="D32" s="1261">
        <x:v>59</x:v>
      </x:c>
      <x:c r="E32" s="1366">
        <x:v>0.625</x:v>
      </x:c>
      <x:c r="F32" s="1328" t="str">
        <x:f t="shared" si="1"/>
        <x:v/>
      </x:c>
      <x:c r="G32" s="1262" t="str">
        <x:f t="shared" si="2"/>
        <x:v/>
      </x:c>
      <x:c r="H32" s="1266" t="str">
        <x:f t="shared" si="3"/>
        <x:v/>
      </x:c>
      <x:c r="I32" s="1261">
        <x:v>0</x:v>
      </x:c>
      <x:c r="J32" s="1262">
        <x:v>1.375</x:v>
      </x:c>
      <x:c r="K32" s="1370" t="s">
        <x:v>114</x:v>
      </x:c>
      <x:c r="L32" s="1327">
        <x:v>3</x:v>
      </x:c>
      <x:c r="M32" s="1329">
        <x:v>3</x:v>
      </x:c>
      <x:c r="N32" s="1263" t="str">
        <x:f t="shared" si="4"/>
        <x:v/>
      </x:c>
      <x:c r="O32" s="1262" t="str">
        <x:f t="shared" si="5"/>
        <x:v/>
      </x:c>
      <x:c r="P32" s="1260" t="str">
        <x:f t="shared" si="6"/>
        <x:v/>
      </x:c>
      <x:c r="Q32" s="1261" t="str">
        <x:f t="shared" si="7"/>
        <x:v/>
      </x:c>
      <x:c r="R32" s="1262" t="str">
        <x:f t="shared" si="8"/>
        <x:v/>
      </x:c>
      <x:c r="S32" s="1375" t="str">
        <x:f t="shared" si="9"/>
        <x:v/>
      </x:c>
      <x:c r="T32" s="1328" t="str">
        <x:f t="shared" si="10"/>
        <x:v/>
      </x:c>
      <x:c r="U32" s="1262" t="str">
        <x:f t="shared" si="11"/>
        <x:v/>
      </x:c>
      <x:c r="V32" s="1261" t="str">
        <x:f t="shared" si="12"/>
        <x:v/>
      </x:c>
      <x:c r="W32" s="1262" t="str">
        <x:f t="shared" si="13"/>
        <x:v/>
      </x:c>
      <x:c r="X32" s="1329">
        <x:f t="shared" si="14"/>
        <x:v>0</x:v>
      </x:c>
      <x:c r="Y32" s="1377" t="str">
        <x:f t="shared" si="15"/>
        <x:v/>
      </x:c>
      <x:c r="Z32" s="1378" t="str">
        <x:f t="shared" si="16"/>
        <x:v/>
      </x:c>
      <x:c r="AA32" s="2159" t="s">
        <x:v>2093</x:v>
      </x:c>
      <x:c r="AC32" s="1226" t="b">
        <x:v>0</x:v>
      </x:c>
      <x:c r="AD32" s="525">
        <x:f t="shared" si="17"/>
        <x:v>0</x:v>
      </x:c>
      <x:c r="AE32" s="526">
        <x:f t="shared" si="18"/>
        <x:v>0</x:v>
      </x:c>
      <x:c r="AF32" s="526">
        <x:f t="shared" si="19"/>
        <x:v>0</x:v>
      </x:c>
      <x:c r="AG32" s="526">
        <x:f t="shared" si="20"/>
        <x:v>0</x:v>
      </x:c>
      <x:c r="AH32" s="527">
        <x:f t="shared" si="21"/>
        <x:v>0</x:v>
      </x:c>
      <x:c r="AI32" s="528" t="b">
        <x:v>0</x:v>
      </x:c>
      <x:c r="AJ32" s="284">
        <x:f t="shared" si="22"/>
        <x:v>36</x:v>
      </x:c>
      <x:c r="AK32" s="1063" t="str">
        <x:f t="shared" si="23"/>
        <x:v>LH</x:v>
      </x:c>
      <x:c r="AL32" s="1202" t="str">
        <x:f t="shared" si="24"/>
        <x:v/>
      </x:c>
      <x:c r="AM32" s="1063">
        <x:f t="shared" si="25"/>
        <x:v>270</x:v>
      </x:c>
      <x:c r="AN32" s="1063">
        <x:f t="shared" si="26"/>
        <x:v>120</x:v>
      </x:c>
      <x:c r="AO32" s="1063" t="str">
        <x:f t="shared" si="27"/>
        <x:v/>
      </x:c>
      <x:c r="AP32" s="1063" t="b">
        <x:f>IF(ISERROR(AJ32),FALSE,IF(OR(AJ32=0,ISERROR(AL32),ISERROR(AM32),ISERROR(AN32),ISERROR(AO32)),FALSE,IF(AL32&lt;&gt;"",IF(ISERROR(VLOOKUP(SUBSTITUTE(SUBSTITUTE(C32,"R",""),"A",""),TblJoistSize!$A:$A,1,FALSE)),FALSE,TRUE),TRUE)))</x:f>
        <x:v>1</x:v>
      </x:c>
      <x:c r="AQ32" s="1305">
        <x:f t="shared" si="28"/>
        <x:v>6</x:v>
      </x:c>
      <x:c r="AR32" s="1305" t="b">
        <x:f t="shared" si="29"/>
        <x:v>0</x:v>
      </x:c>
      <x:c r="AS32" s="1305">
        <x:f t="shared" si="30"/>
        <x:v>7.375</x:v>
      </x:c>
      <x:c r="AT32" s="1305" t="b">
        <x:f t="shared" si="31"/>
        <x:v>0</x:v>
      </x:c>
      <x:c r="AU32" s="1203" t="str">
        <x:f t="shared" si="32"/>
        <x:v>LH</x:v>
      </x:c>
      <x:c r="AV32" s="1063" t="str">
        <x:f t="shared" si="33"/>
        <x:v/>
      </x:c>
      <x:c r="AW32" s="1063" t="str">
        <x:f t="shared" si="34"/>
        <x:v>LH</x:v>
      </x:c>
      <x:c r="AX32" s="1063" t="str">
        <x:f t="shared" si="107"/>
        <x:v>J33</x:v>
      </x:c>
      <x:c r="AY32" s="1306" t="b">
        <x:f t="shared" si="35"/>
        <x:v>0</x:v>
      </x:c>
      <x:c r="AZ32" s="1090" t="b">
        <x:f t="shared" si="36"/>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7"/>
        <x:v/>
      </x:c>
      <x:c r="CE32" s="935" t="str">
        <x:f t="shared" si="38"/>
        <x:v/>
      </x:c>
      <x:c r="CF32" s="1149"/>
      <x:c r="CG32" s="1150"/>
      <x:c r="CH32" s="738" t="str">
        <x:f t="shared" si="39"/>
        <x:v/>
      </x:c>
      <x:c r="CI32" s="739" t="str">
        <x:f t="shared" si="40"/>
        <x:v/>
      </x:c>
      <x:c r="CJ32" s="740" t="str">
        <x:f t="shared" si="41"/>
        <x:v/>
      </x:c>
      <x:c r="CK32" s="741" t="str">
        <x:f t="shared" si="42"/>
        <x:v/>
      </x:c>
      <x:c r="CL32" s="742" t="str">
        <x:f t="shared" si="43"/>
        <x:v/>
      </x:c>
      <x:c r="CM32" s="743" t="str">
        <x:f t="shared" si="44"/>
        <x:v/>
      </x:c>
      <x:c r="CN32" s="744" t="str">
        <x:f t="shared" si="45"/>
        <x:v/>
      </x:c>
      <x:c r="CO32" s="745" t="str">
        <x:f t="shared" si="46"/>
        <x:v/>
      </x:c>
      <x:c r="CP32" s="762" t="str">
        <x:f t="shared" si="47"/>
        <x:v/>
      </x:c>
      <x:c r="CQ32" s="763" t="str">
        <x:f t="shared" si="48"/>
        <x:v/>
      </x:c>
      <x:c r="CR32" s="953">
        <x:f t="shared" si="49"/>
        <x:v>5</x:v>
      </x:c>
      <x:c r="CS32" s="954">
        <x:f t="shared" si="50"/>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51"/>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52"/>
        <x:v>0</x:v>
      </x:c>
      <x:c r="DO32" s="1049">
        <x:f t="shared" si="53"/>
        <x:v>0</x:v>
      </x:c>
      <x:c r="DP32" s="1053" t="str">
        <x:f t="shared" si="54"/>
        <x:v/>
      </x:c>
      <x:c r="DQ32" s="1053" t="str">
        <x:f t="shared" si="55"/>
        <x:v/>
      </x:c>
      <x:c r="DR32" s="1053" t="str">
        <x:f t="shared" si="56"/>
        <x:v/>
      </x:c>
      <x:c r="DS32" s="1052">
        <x:f t="shared" si="57"/>
        <x:v>0</x:v>
      </x:c>
      <x:c r="DT32" s="1052">
        <x:f t="shared" si="58"/>
        <x:v>0</x:v>
      </x:c>
      <x:c r="DU32" s="1052" t="str">
        <x:f t="shared" si="59"/>
        <x:v/>
      </x:c>
      <x:c r="DV32" s="1053" t="str">
        <x:f t="shared" si="60"/>
        <x:v/>
      </x:c>
      <x:c r="DW32" s="1053" t="str">
        <x:f t="shared" si="61"/>
        <x:v/>
      </x:c>
      <x:c r="DX32" s="1269">
        <x:f t="shared" si="62"/>
        <x:v>0</x:v>
      </x:c>
      <x:c r="DY32" s="1053">
        <x:f t="shared" si="63"/>
        <x:v>0</x:v>
      </x:c>
      <x:c r="DZ32" s="1052">
        <x:f t="shared" si="64"/>
        <x:v>0</x:v>
      </x:c>
      <x:c r="EA32" s="1052" t="str">
        <x:f t="shared" si="65"/>
        <x:v/>
      </x:c>
      <x:c r="EB32" s="1053" t="str">
        <x:f t="shared" si="66"/>
        <x:v/>
      </x:c>
      <x:c r="EC32" s="1053" t="str">
        <x:f t="shared" si="67"/>
        <x:v/>
      </x:c>
      <x:c r="ED32" s="1269">
        <x:f t="shared" si="68"/>
        <x:v>0</x:v>
      </x:c>
      <x:c r="EE32" s="1090" t="str">
        <x:f t="shared" si="69"/>
        <x:v/>
      </x:c>
      <x:c r="EF32" s="1053" t="str">
        <x:f t="shared" si="70"/>
        <x:v/>
      </x:c>
      <x:c r="EG32" s="1053" t="str">
        <x:f t="shared" si="71"/>
        <x:v/>
      </x:c>
      <x:c r="EH32" s="1053" t="str">
        <x:f t="shared" si="72"/>
        <x:v>ERR</x:v>
      </x:c>
      <x:c r="EI32" s="1053" t="str">
        <x:f t="shared" si="73"/>
        <x:v>ERR</x:v>
      </x:c>
      <x:c r="EJ32" s="1053" t="str">
        <x:f t="shared" si="74"/>
        <x:v/>
      </x:c>
      <x:c r="EK32" s="1053" t="str">
        <x:f t="shared" si="74"/>
        <x:v/>
      </x:c>
      <x:c r="EL32" s="1090" t="str">
        <x:f t="shared" si="75"/>
        <x:v/>
      </x:c>
      <x:c r="EM32" s="1053" t="str">
        <x:f t="shared" si="76"/>
        <x:v/>
      </x:c>
      <x:c r="EN32" s="1053" t="str">
        <x:f t="shared" si="77"/>
        <x:v/>
      </x:c>
      <x:c r="EO32" s="1053" t="str">
        <x:f t="shared" si="78"/>
        <x:v>ERR</x:v>
      </x:c>
      <x:c r="EP32" s="1053" t="str">
        <x:f t="shared" si="79"/>
        <x:v>ERR</x:v>
      </x:c>
      <x:c r="EQ32" s="1053" t="str">
        <x:f t="shared" si="80"/>
        <x:v/>
      </x:c>
      <x:c r="ER32" s="1053" t="str">
        <x:f t="shared" si="80"/>
        <x:v/>
      </x:c>
      <x:c r="ES32" s="1053" t="str">
        <x:f t="shared" si="81"/>
        <x:v/>
      </x:c>
      <x:c r="ET32" s="1053" t="str">
        <x:f t="shared" si="82"/>
        <x:v/>
      </x:c>
      <x:c r="EU32" s="1061">
        <x:f t="shared" si="83"/>
        <x:v>4</x:v>
      </x:c>
      <x:c r="EV32" s="1055" t="str">
        <x:f t="shared" si="84"/>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5"/>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6"/>
        <x:v/>
      </x:c>
      <x:c r="FD32" s="1052">
        <x:f t="shared" si="108"/>
        <x:v>0</x:v>
      </x:c>
      <x:c r="FE32" s="1052">
        <x:f t="shared" si="87"/>
        <x:v>0</x:v>
      </x:c>
      <x:c r="FF32" s="1052">
        <x:f t="shared" si="88"/>
        <x:v>0</x:v>
      </x:c>
      <x:c r="FG32" s="1052" t="str">
        <x:f t="shared" si="89"/>
        <x:v/>
      </x:c>
      <x:c r="FH32" s="1053" t="str">
        <x:f t="shared" si="90"/>
        <x:v/>
      </x:c>
      <x:c r="FI32" s="1052">
        <x:f t="shared" si="109"/>
        <x:v>0</x:v>
      </x:c>
      <x:c r="FJ32" s="1052">
        <x:f t="shared" si="91"/>
        <x:v>0</x:v>
      </x:c>
      <x:c r="FK32" s="1052">
        <x:f t="shared" si="92"/>
        <x:v>0</x:v>
      </x:c>
      <x:c r="FL32" s="1052" t="str">
        <x:f t="shared" si="93"/>
        <x:v/>
      </x:c>
      <x:c r="FM32" s="1053" t="str">
        <x:f t="shared" si="94"/>
        <x:v/>
      </x:c>
      <x:c r="FN32" s="1053" t="e">
        <x:f t="shared" si="95"/>
        <x:v>#VALUE!</x:v>
      </x:c>
      <x:c r="FO32" s="1062" t="e">
        <x:f t="shared" si="96"/>
        <x:v>#VALUE!</x:v>
      </x:c>
      <x:c r="FP32" s="1062" t="e">
        <x:f t="shared" si="97"/>
        <x:v>#VALUE!</x:v>
      </x:c>
      <x:c r="FQ32" s="1063" t="e">
        <x:f t="shared" si="98"/>
        <x:v>#VALUE!</x:v>
      </x:c>
      <x:c r="FR32" s="1064" t="e">
        <x:f t="shared" si="99"/>
        <x:v>#VALUE!</x:v>
      </x:c>
      <x:c r="FS32" s="1065" t="str">
        <x:f t="shared" si="100"/>
        <x:v/>
      </x:c>
      <x:c r="FT32" s="1066" t="str">
        <x:f t="shared" si="101"/>
        <x:v/>
      </x:c>
      <x:c r="FU32" s="1105">
        <x:f t="shared" si="102"/>
        <x:v>0</x:v>
      </x:c>
      <x:c r="FV32" s="1106">
        <x:f t="shared" si="103"/>
        <x:v>0</x:v>
      </x:c>
      <x:c r="GA32" s="1975">
        <x:v>59</x:v>
      </x:c>
      <x:c r="GB32" s="1976">
        <x:v>2.75</x:v>
      </x:c>
      <x:c r="GC32" s="1977">
        <x:v>-1.875</x:v>
      </x:c>
      <x:c r="GD32" s="1978">
        <x:v>-0.25</x:v>
      </x:c>
      <x:c r="GE32" s="1979">
        <x:v>0.26169539219134702</x:v>
      </x:c>
      <x:c r="GF32" s="1980" t="str">
        <x:f t="shared" si="104"/>
        <x:v>J33</x:v>
      </x:c>
      <x:c r="GG32" s="1453"/>
      <x:c r="GH32" s="1454"/>
      <x:c r="GI32" s="1453"/>
      <x:c r="GJ32" s="1454"/>
      <x:c r="GK32" s="533">
        <x:f t="shared" si="105"/>
        <x:v>708.625</x:v>
      </x:c>
      <x:c r="GL32" s="534">
        <x:f t="shared" si="106"/>
        <x:v>708.79348626656247</x:v>
      </x:c>
      <x:c r="GM32" s="535">
        <x:f>IF(ABS(GK32-GL32)&gt;='Job Info.'!$L$22,ABS(GK32-GL32),0)</x:f>
        <x:v>0</x:v>
      </x:c>
      <x:c r="HA32" s="1658" t="s">
        <x:v>1357</x:v>
      </x:c>
      <x:c r="HB32" s="1659">
        <x:v>2</x:v>
      </x:c>
      <x:c r="HC32" s="1659" t="s">
        <x:v>1978</x:v>
      </x:c>
      <x:c r="HD32" s="1660">
        <x:v>59</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2093</x:v>
      </x:c>
      <x:c r="IB32" s="1661"/>
      <x:c r="IC32" s="1661"/>
      <x:c r="ID32" s="1661"/>
      <x:c r="IE32" s="1661"/>
      <x:c r="IF32" s="1663"/>
    </x:row>
    <x:row r="33" spans="1:240" ht="12.6" customHeight="1" x14ac:dyDescent="0.25">
      <x:c r="A33" s="1264" t="s">
        <x:v>1358</x:v>
      </x:c>
      <x:c r="B33" s="1265">
        <x:v>0</x:v>
      </x:c>
      <x:c r="C33" s="1265" t="s">
        <x:v>1978</x:v>
      </x:c>
      <x:c r="D33" s="1261">
        <x:v>59</x:v>
      </x:c>
      <x:c r="E33" s="1366">
        <x:v>0.625</x:v>
      </x:c>
      <x:c r="F33" s="1328" t="str">
        <x:f t="shared" si="1"/>
        <x:v/>
      </x:c>
      <x:c r="G33" s="1262" t="str">
        <x:f t="shared" si="2"/>
        <x:v/>
      </x:c>
      <x:c r="H33" s="1266" t="str">
        <x:f t="shared" si="3"/>
        <x:v/>
      </x:c>
      <x:c r="I33" s="1261">
        <x:v>0</x:v>
      </x:c>
      <x:c r="J33" s="1262">
        <x:v>1.375</x:v>
      </x:c>
      <x:c r="K33" s="1370" t="s">
        <x:v>114</x:v>
      </x:c>
      <x:c r="L33" s="1327">
        <x:v>3</x:v>
      </x:c>
      <x:c r="M33" s="1329">
        <x:v>3</x:v>
      </x:c>
      <x:c r="N33" s="1263" t="str">
        <x:f t="shared" si="4"/>
        <x:v/>
      </x:c>
      <x:c r="O33" s="1262" t="str">
        <x:f t="shared" si="5"/>
        <x:v/>
      </x:c>
      <x:c r="P33" s="1260" t="str">
        <x:f t="shared" si="6"/>
        <x:v/>
      </x:c>
      <x:c r="Q33" s="1261" t="str">
        <x:f t="shared" si="7"/>
        <x:v/>
      </x:c>
      <x:c r="R33" s="1262" t="str">
        <x:f t="shared" si="8"/>
        <x:v/>
      </x:c>
      <x:c r="S33" s="1375" t="str">
        <x:f t="shared" si="9"/>
        <x:v/>
      </x:c>
      <x:c r="T33" s="1328" t="str">
        <x:f t="shared" si="10"/>
        <x:v/>
      </x:c>
      <x:c r="U33" s="1262" t="str">
        <x:f t="shared" si="11"/>
        <x:v/>
      </x:c>
      <x:c r="V33" s="1261" t="str">
        <x:f t="shared" si="12"/>
        <x:v/>
      </x:c>
      <x:c r="W33" s="1262" t="str">
        <x:f t="shared" si="13"/>
        <x:v/>
      </x:c>
      <x:c r="X33" s="1329">
        <x:f t="shared" si="14"/>
        <x:v>0</x:v>
      </x:c>
      <x:c r="Y33" s="1377" t="str">
        <x:f t="shared" si="15"/>
        <x:v/>
      </x:c>
      <x:c r="Z33" s="1378" t="str">
        <x:f t="shared" si="16"/>
        <x:v/>
      </x:c>
      <x:c r="AA33" s="2159" t="s">
        <x:v>2094</x:v>
      </x:c>
      <x:c r="AC33" s="1226" t="b">
        <x:v>0</x:v>
      </x:c>
      <x:c r="AD33" s="525">
        <x:f t="shared" si="17"/>
        <x:v>0</x:v>
      </x:c>
      <x:c r="AE33" s="526">
        <x:f t="shared" si="18"/>
        <x:v>0</x:v>
      </x:c>
      <x:c r="AF33" s="526">
        <x:f t="shared" si="19"/>
        <x:v>0</x:v>
      </x:c>
      <x:c r="AG33" s="526">
        <x:f t="shared" si="20"/>
        <x:v>0</x:v>
      </x:c>
      <x:c r="AH33" s="527">
        <x:f t="shared" si="21"/>
        <x:v>0</x:v>
      </x:c>
      <x:c r="AI33" s="528" t="b">
        <x:v>0</x:v>
      </x:c>
      <x:c r="AJ33" s="284">
        <x:f t="shared" si="22"/>
        <x:v>36</x:v>
      </x:c>
      <x:c r="AK33" s="1063" t="str">
        <x:f t="shared" si="23"/>
        <x:v>LH</x:v>
      </x:c>
      <x:c r="AL33" s="1202" t="str">
        <x:f t="shared" si="24"/>
        <x:v/>
      </x:c>
      <x:c r="AM33" s="1063">
        <x:f t="shared" si="25"/>
        <x:v>270</x:v>
      </x:c>
      <x:c r="AN33" s="1063">
        <x:f t="shared" si="26"/>
        <x:v>120</x:v>
      </x:c>
      <x:c r="AO33" s="1063" t="str">
        <x:f t="shared" si="27"/>
        <x:v/>
      </x:c>
      <x:c r="AP33" s="1063" t="b">
        <x:f>IF(ISERROR(AJ33),FALSE,IF(OR(AJ33=0,ISERROR(AL33),ISERROR(AM33),ISERROR(AN33),ISERROR(AO33)),FALSE,IF(AL33&lt;&gt;"",IF(ISERROR(VLOOKUP(SUBSTITUTE(SUBSTITUTE(C33,"R",""),"A",""),TblJoistSize!$A:$A,1,FALSE)),FALSE,TRUE),TRUE)))</x:f>
        <x:v>1</x:v>
      </x:c>
      <x:c r="AQ33" s="1305">
        <x:f t="shared" si="28"/>
        <x:v>6</x:v>
      </x:c>
      <x:c r="AR33" s="1305" t="b">
        <x:f t="shared" si="29"/>
        <x:v>0</x:v>
      </x:c>
      <x:c r="AS33" s="1305">
        <x:f t="shared" si="30"/>
        <x:v>7.375</x:v>
      </x:c>
      <x:c r="AT33" s="1305" t="b">
        <x:f t="shared" si="31"/>
        <x:v>0</x:v>
      </x:c>
      <x:c r="AU33" s="1203" t="str">
        <x:f t="shared" si="32"/>
        <x:v>LH</x:v>
      </x:c>
      <x:c r="AV33" s="1063" t="str">
        <x:f t="shared" si="33"/>
        <x:v/>
      </x:c>
      <x:c r="AW33" s="1063" t="str">
        <x:f t="shared" si="34"/>
        <x:v>LH</x:v>
      </x:c>
      <x:c r="AX33" s="1063" t="str">
        <x:f t="shared" si="107"/>
        <x:v>J34</x:v>
      </x:c>
      <x:c r="AY33" s="1306" t="b">
        <x:f t="shared" si="35"/>
        <x:v>0</x:v>
      </x:c>
      <x:c r="AZ33" s="1090" t="b">
        <x:f t="shared" si="36"/>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7"/>
        <x:v/>
      </x:c>
      <x:c r="CE33" s="935" t="str">
        <x:f t="shared" si="38"/>
        <x:v/>
      </x:c>
      <x:c r="CF33" s="1149"/>
      <x:c r="CG33" s="1150"/>
      <x:c r="CH33" s="738" t="str">
        <x:f t="shared" si="39"/>
        <x:v/>
      </x:c>
      <x:c r="CI33" s="739" t="str">
        <x:f t="shared" si="40"/>
        <x:v/>
      </x:c>
      <x:c r="CJ33" s="740" t="str">
        <x:f t="shared" si="41"/>
        <x:v/>
      </x:c>
      <x:c r="CK33" s="741" t="str">
        <x:f t="shared" si="42"/>
        <x:v/>
      </x:c>
      <x:c r="CL33" s="742" t="str">
        <x:f t="shared" si="43"/>
        <x:v/>
      </x:c>
      <x:c r="CM33" s="743" t="str">
        <x:f t="shared" si="44"/>
        <x:v/>
      </x:c>
      <x:c r="CN33" s="744" t="str">
        <x:f t="shared" si="45"/>
        <x:v/>
      </x:c>
      <x:c r="CO33" s="745" t="str">
        <x:f t="shared" si="46"/>
        <x:v/>
      </x:c>
      <x:c r="CP33" s="762" t="str">
        <x:f t="shared" si="47"/>
        <x:v/>
      </x:c>
      <x:c r="CQ33" s="763" t="str">
        <x:f t="shared" si="48"/>
        <x:v/>
      </x:c>
      <x:c r="CR33" s="953">
        <x:f t="shared" si="49"/>
        <x:v>5</x:v>
      </x:c>
      <x:c r="CS33" s="954">
        <x:f t="shared" si="50"/>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51"/>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52"/>
        <x:v>0</x:v>
      </x:c>
      <x:c r="DO33" s="1049">
        <x:f t="shared" si="53"/>
        <x:v>0</x:v>
      </x:c>
      <x:c r="DP33" s="1053" t="str">
        <x:f t="shared" si="54"/>
        <x:v/>
      </x:c>
      <x:c r="DQ33" s="1053" t="str">
        <x:f t="shared" si="55"/>
        <x:v/>
      </x:c>
      <x:c r="DR33" s="1053" t="str">
        <x:f t="shared" si="56"/>
        <x:v/>
      </x:c>
      <x:c r="DS33" s="1052">
        <x:f t="shared" si="57"/>
        <x:v>0</x:v>
      </x:c>
      <x:c r="DT33" s="1052">
        <x:f t="shared" si="58"/>
        <x:v>0</x:v>
      </x:c>
      <x:c r="DU33" s="1052" t="str">
        <x:f t="shared" si="59"/>
        <x:v/>
      </x:c>
      <x:c r="DV33" s="1053" t="str">
        <x:f t="shared" si="60"/>
        <x:v/>
      </x:c>
      <x:c r="DW33" s="1053" t="str">
        <x:f t="shared" si="61"/>
        <x:v/>
      </x:c>
      <x:c r="DX33" s="1269">
        <x:f t="shared" si="62"/>
        <x:v>0</x:v>
      </x:c>
      <x:c r="DY33" s="1053">
        <x:f t="shared" si="63"/>
        <x:v>0</x:v>
      </x:c>
      <x:c r="DZ33" s="1052">
        <x:f t="shared" si="64"/>
        <x:v>0</x:v>
      </x:c>
      <x:c r="EA33" s="1052" t="str">
        <x:f t="shared" si="65"/>
        <x:v/>
      </x:c>
      <x:c r="EB33" s="1053" t="str">
        <x:f t="shared" si="66"/>
        <x:v/>
      </x:c>
      <x:c r="EC33" s="1053" t="str">
        <x:f t="shared" si="67"/>
        <x:v/>
      </x:c>
      <x:c r="ED33" s="1269">
        <x:f t="shared" si="68"/>
        <x:v>0</x:v>
      </x:c>
      <x:c r="EE33" s="1090" t="str">
        <x:f t="shared" si="69"/>
        <x:v/>
      </x:c>
      <x:c r="EF33" s="1053" t="str">
        <x:f t="shared" si="70"/>
        <x:v/>
      </x:c>
      <x:c r="EG33" s="1053" t="str">
        <x:f t="shared" si="71"/>
        <x:v/>
      </x:c>
      <x:c r="EH33" s="1053" t="str">
        <x:f t="shared" si="72"/>
        <x:v>ERR</x:v>
      </x:c>
      <x:c r="EI33" s="1053" t="str">
        <x:f t="shared" si="73"/>
        <x:v>ERR</x:v>
      </x:c>
      <x:c r="EJ33" s="1053" t="str">
        <x:f t="shared" si="74"/>
        <x:v/>
      </x:c>
      <x:c r="EK33" s="1053" t="str">
        <x:f t="shared" si="74"/>
        <x:v/>
      </x:c>
      <x:c r="EL33" s="1090" t="str">
        <x:f t="shared" si="75"/>
        <x:v/>
      </x:c>
      <x:c r="EM33" s="1053" t="str">
        <x:f t="shared" si="76"/>
        <x:v/>
      </x:c>
      <x:c r="EN33" s="1053" t="str">
        <x:f t="shared" si="77"/>
        <x:v/>
      </x:c>
      <x:c r="EO33" s="1053" t="str">
        <x:f t="shared" si="78"/>
        <x:v>ERR</x:v>
      </x:c>
      <x:c r="EP33" s="1053" t="str">
        <x:f t="shared" si="79"/>
        <x:v>ERR</x:v>
      </x:c>
      <x:c r="EQ33" s="1053" t="str">
        <x:f t="shared" si="80"/>
        <x:v/>
      </x:c>
      <x:c r="ER33" s="1053" t="str">
        <x:f t="shared" si="80"/>
        <x:v/>
      </x:c>
      <x:c r="ES33" s="1053" t="str">
        <x:f t="shared" si="81"/>
        <x:v/>
      </x:c>
      <x:c r="ET33" s="1053" t="str">
        <x:f t="shared" si="82"/>
        <x:v/>
      </x:c>
      <x:c r="EU33" s="1061">
        <x:f t="shared" si="83"/>
        <x:v>4</x:v>
      </x:c>
      <x:c r="EV33" s="1055" t="str">
        <x:f t="shared" si="84"/>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5"/>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6"/>
        <x:v/>
      </x:c>
      <x:c r="FD33" s="1052">
        <x:f t="shared" si="108"/>
        <x:v>0</x:v>
      </x:c>
      <x:c r="FE33" s="1052">
        <x:f t="shared" si="87"/>
        <x:v>0</x:v>
      </x:c>
      <x:c r="FF33" s="1052">
        <x:f t="shared" si="88"/>
        <x:v>0</x:v>
      </x:c>
      <x:c r="FG33" s="1052" t="str">
        <x:f t="shared" si="89"/>
        <x:v/>
      </x:c>
      <x:c r="FH33" s="1053" t="str">
        <x:f t="shared" si="90"/>
        <x:v/>
      </x:c>
      <x:c r="FI33" s="1052">
        <x:f t="shared" si="109"/>
        <x:v>0</x:v>
      </x:c>
      <x:c r="FJ33" s="1052">
        <x:f t="shared" si="91"/>
        <x:v>0</x:v>
      </x:c>
      <x:c r="FK33" s="1052">
        <x:f t="shared" si="92"/>
        <x:v>0</x:v>
      </x:c>
      <x:c r="FL33" s="1052" t="str">
        <x:f t="shared" si="93"/>
        <x:v/>
      </x:c>
      <x:c r="FM33" s="1053" t="str">
        <x:f t="shared" si="94"/>
        <x:v/>
      </x:c>
      <x:c r="FN33" s="1053" t="e">
        <x:f t="shared" si="95"/>
        <x:v>#VALUE!</x:v>
      </x:c>
      <x:c r="FO33" s="1062" t="e">
        <x:f t="shared" si="96"/>
        <x:v>#VALUE!</x:v>
      </x:c>
      <x:c r="FP33" s="1062" t="e">
        <x:f t="shared" si="97"/>
        <x:v>#VALUE!</x:v>
      </x:c>
      <x:c r="FQ33" s="1063" t="e">
        <x:f t="shared" si="98"/>
        <x:v>#VALUE!</x:v>
      </x:c>
      <x:c r="FR33" s="1064" t="e">
        <x:f t="shared" si="99"/>
        <x:v>#VALUE!</x:v>
      </x:c>
      <x:c r="FS33" s="1065" t="str">
        <x:f t="shared" si="100"/>
        <x:v/>
      </x:c>
      <x:c r="FT33" s="1066" t="str">
        <x:f t="shared" si="101"/>
        <x:v/>
      </x:c>
      <x:c r="FU33" s="1105">
        <x:f t="shared" si="102"/>
        <x:v>0</x:v>
      </x:c>
      <x:c r="FV33" s="1106">
        <x:f t="shared" si="103"/>
        <x:v>0</x:v>
      </x:c>
      <x:c r="GA33" s="1975">
        <x:v>59</x:v>
      </x:c>
      <x:c r="GB33" s="1976">
        <x:v>2.75</x:v>
      </x:c>
      <x:c r="GC33" s="1977">
        <x:v>-1.875</x:v>
      </x:c>
      <x:c r="GD33" s="1978">
        <x:v>-0.25</x:v>
      </x:c>
      <x:c r="GE33" s="1979">
        <x:v>0.26169539219134702</x:v>
      </x:c>
      <x:c r="GF33" s="1980" t="str">
        <x:f t="shared" si="104"/>
        <x:v>J34</x:v>
      </x:c>
      <x:c r="GG33" s="1453"/>
      <x:c r="GH33" s="1454"/>
      <x:c r="GI33" s="1453"/>
      <x:c r="GJ33" s="1454"/>
      <x:c r="GK33" s="533">
        <x:f t="shared" si="105"/>
        <x:v>708.625</x:v>
      </x:c>
      <x:c r="GL33" s="534">
        <x:f t="shared" si="106"/>
        <x:v>708.79348626656247</x:v>
      </x:c>
      <x:c r="GM33" s="535">
        <x:f>IF(ABS(GK33-GL33)&gt;='Job Info.'!$L$22,ABS(GK33-GL33),0)</x:f>
        <x:v>0</x:v>
      </x:c>
      <x:c r="HA33" s="1658" t="s">
        <x:v>1358</x:v>
      </x:c>
      <x:c r="HB33" s="1659">
        <x:v>1</x:v>
      </x:c>
      <x:c r="HC33" s="1659" t="s">
        <x:v>1978</x:v>
      </x:c>
      <x:c r="HD33" s="1660">
        <x:v>59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2094</x:v>
      </x:c>
      <x:c r="IB33" s="1661"/>
      <x:c r="IC33" s="1661"/>
      <x:c r="ID33" s="1661"/>
      <x:c r="IE33" s="1661"/>
      <x:c r="IF33" s="1663"/>
    </x:row>
    <x:row r="34" spans="1:240" ht="12.6" customHeight="1" x14ac:dyDescent="0.25">
      <x:c r="A34" s="1264" t="s">
        <x:v>1359</x:v>
      </x:c>
      <x:c r="B34" s="1265">
        <x:v>4</x:v>
      </x:c>
      <x:c r="C34" s="1265" t="s">
        <x:v>1978</x:v>
      </x:c>
      <x:c r="D34" s="1261">
        <x:v>60</x:v>
      </x:c>
      <x:c r="E34" s="1366">
        <x:v>0</x:v>
      </x:c>
      <x:c r="F34" s="1328">
        <x:v>0</x:v>
      </x:c>
      <x:c r="G34" s="1262">
        <x:v>1.375</x:v>
      </x:c>
      <x:c r="H34" s="1266" t="s">
        <x:v>114</x:v>
      </x:c>
      <x:c r="I34" s="1261">
        <x:v>0</x:v>
      </x:c>
      <x:c r="J34" s="1262">
        <x:v>1.375</x:v>
      </x:c>
      <x:c r="K34" s="1370" t="s">
        <x:v>114</x:v>
      </x:c>
      <x:c r="L34" s="1327">
        <x:v>3</x:v>
      </x:c>
      <x:c r="M34" s="1329">
        <x:v>3</x:v>
      </x:c>
      <x:c r="N34" s="1263" t="str">
        <x:f t="shared" si="4"/>
        <x:v/>
      </x:c>
      <x:c r="O34" s="1262" t="str">
        <x:f t="shared" si="5"/>
        <x:v/>
      </x:c>
      <x:c r="P34" s="1260" t="str">
        <x:f t="shared" si="6"/>
        <x:v/>
      </x:c>
      <x:c r="Q34" s="1261" t="str">
        <x:f t="shared" si="7"/>
        <x:v/>
      </x:c>
      <x:c r="R34" s="1262" t="str">
        <x:f t="shared" si="8"/>
        <x:v/>
      </x:c>
      <x:c r="S34" s="1375" t="str">
        <x:f t="shared" si="9"/>
        <x:v/>
      </x:c>
      <x:c r="T34" s="1328" t="str">
        <x:f t="shared" si="10"/>
        <x:v/>
      </x:c>
      <x:c r="U34" s="1262" t="str">
        <x:f t="shared" si="11"/>
        <x:v/>
      </x:c>
      <x:c r="V34" s="1261" t="str">
        <x:f t="shared" si="12"/>
        <x:v/>
      </x:c>
      <x:c r="W34" s="1262" t="str">
        <x:f t="shared" si="13"/>
        <x:v/>
      </x:c>
      <x:c r="X34" s="1329">
        <x:f t="shared" si="14"/>
        <x:v>0</x:v>
      </x:c>
      <x:c r="Y34" s="1377">
        <x:v>0.42999506612343696</x:v>
      </x:c>
      <x:c r="Z34" s="1378">
        <x:v>-0.42999506612343696</x:v>
      </x:c>
      <x:c r="AA34" s="2159" t="s">
        <x:v>2095</x:v>
      </x:c>
      <x:c r="AC34" s="1226" t="b">
        <x:v>0</x:v>
      </x:c>
      <x:c r="AD34" s="525">
        <x:f t="shared" si="17"/>
        <x:v>0</x:v>
      </x:c>
      <x:c r="AE34" s="526">
        <x:f t="shared" si="18"/>
        <x:v>4</x:v>
      </x:c>
      <x:c r="AF34" s="526">
        <x:f t="shared" si="19"/>
        <x:v>0</x:v>
      </x:c>
      <x:c r="AG34" s="526">
        <x:f t="shared" si="20"/>
        <x:v>0</x:v>
      </x:c>
      <x:c r="AH34" s="527">
        <x:f t="shared" si="21"/>
        <x:v>0</x:v>
      </x:c>
      <x:c r="AI34" s="528" t="b">
        <x:v>0</x:v>
      </x:c>
      <x:c r="AJ34" s="284">
        <x:f t="shared" si="22"/>
        <x:v>36</x:v>
      </x:c>
      <x:c r="AK34" s="1063" t="str">
        <x:f t="shared" si="23"/>
        <x:v>LH</x:v>
      </x:c>
      <x:c r="AL34" s="1202" t="str">
        <x:f t="shared" si="24"/>
        <x:v/>
      </x:c>
      <x:c r="AM34" s="1063">
        <x:f t="shared" si="25"/>
        <x:v>270</x:v>
      </x:c>
      <x:c r="AN34" s="1063">
        <x:f t="shared" si="26"/>
        <x:v>120</x:v>
      </x:c>
      <x:c r="AO34" s="1063" t="str">
        <x:f t="shared" si="27"/>
        <x:v/>
      </x:c>
      <x:c r="AP34" s="1063" t="b">
        <x:f>IF(ISERROR(AJ34),FALSE,IF(OR(AJ34=0,ISERROR(AL34),ISERROR(AM34),ISERROR(AN34),ISERROR(AO34)),FALSE,IF(AL34&lt;&gt;"",IF(ISERROR(VLOOKUP(SUBSTITUTE(SUBSTITUTE(C34,"R",""),"A",""),TblJoistSize!$A:$A,1,FALSE)),FALSE,TRUE),TRUE)))</x:f>
        <x:v>1</x:v>
      </x:c>
      <x:c r="AQ34" s="1305">
        <x:f t="shared" si="28"/>
        <x:v>7.375</x:v>
      </x:c>
      <x:c r="AR34" s="1305" t="b">
        <x:f t="shared" si="29"/>
        <x:v>0</x:v>
      </x:c>
      <x:c r="AS34" s="1305">
        <x:f t="shared" si="30"/>
        <x:v>7.375</x:v>
      </x:c>
      <x:c r="AT34" s="1305" t="b">
        <x:f t="shared" si="31"/>
        <x:v>0</x:v>
      </x:c>
      <x:c r="AU34" s="1203" t="str">
        <x:f t="shared" si="32"/>
        <x:v>LH</x:v>
      </x:c>
      <x:c r="AV34" s="1063" t="str">
        <x:f t="shared" si="33"/>
        <x:v/>
      </x:c>
      <x:c r="AW34" s="1063" t="str">
        <x:f t="shared" si="34"/>
        <x:v>LH</x:v>
      </x:c>
      <x:c r="AX34" s="1063" t="str">
        <x:f t="shared" si="107"/>
        <x:v>J35</x:v>
      </x:c>
      <x:c r="AY34" s="1306" t="b">
        <x:f t="shared" si="35"/>
        <x:v>0</x:v>
      </x:c>
      <x:c r="AZ34" s="1090" t="b">
        <x:f t="shared" si="36"/>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7"/>
        <x:v/>
      </x:c>
      <x:c r="CE34" s="935" t="str">
        <x:f t="shared" si="38"/>
        <x:v/>
      </x:c>
      <x:c r="CF34" s="1149"/>
      <x:c r="CG34" s="1150"/>
      <x:c r="CH34" s="738" t="str">
        <x:f t="shared" si="39"/>
        <x:v/>
      </x:c>
      <x:c r="CI34" s="739" t="str">
        <x:f t="shared" si="40"/>
        <x:v/>
      </x:c>
      <x:c r="CJ34" s="740" t="str">
        <x:f t="shared" si="41"/>
        <x:v/>
      </x:c>
      <x:c r="CK34" s="741" t="str">
        <x:f t="shared" si="42"/>
        <x:v/>
      </x:c>
      <x:c r="CL34" s="742" t="str">
        <x:f t="shared" si="43"/>
        <x:v/>
      </x:c>
      <x:c r="CM34" s="743" t="str">
        <x:f t="shared" si="44"/>
        <x:v/>
      </x:c>
      <x:c r="CN34" s="744" t="str">
        <x:f t="shared" si="45"/>
        <x:v/>
      </x:c>
      <x:c r="CO34" s="745" t="str">
        <x:f t="shared" si="46"/>
        <x:v/>
      </x:c>
      <x:c r="CP34" s="762" t="str">
        <x:f t="shared" si="47"/>
        <x:v/>
      </x:c>
      <x:c r="CQ34" s="763" t="str">
        <x:f t="shared" si="48"/>
        <x:v/>
      </x:c>
      <x:c r="CR34" s="953">
        <x:f t="shared" si="49"/>
        <x:v>5</x:v>
      </x:c>
      <x:c r="CS34" s="954">
        <x:f t="shared" si="50"/>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51"/>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52"/>
        <x:v>0</x:v>
      </x:c>
      <x:c r="DO34" s="1049">
        <x:f t="shared" si="53"/>
        <x:v>0</x:v>
      </x:c>
      <x:c r="DP34" s="1053" t="str">
        <x:f t="shared" si="54"/>
        <x:v/>
      </x:c>
      <x:c r="DQ34" s="1053" t="str">
        <x:f t="shared" si="55"/>
        <x:v/>
      </x:c>
      <x:c r="DR34" s="1053" t="str">
        <x:f t="shared" si="56"/>
        <x:v/>
      </x:c>
      <x:c r="DS34" s="1052">
        <x:f t="shared" si="57"/>
        <x:v>0</x:v>
      </x:c>
      <x:c r="DT34" s="1052">
        <x:f t="shared" si="58"/>
        <x:v>0</x:v>
      </x:c>
      <x:c r="DU34" s="1052" t="str">
        <x:f t="shared" si="59"/>
        <x:v/>
      </x:c>
      <x:c r="DV34" s="1053" t="str">
        <x:f t="shared" si="60"/>
        <x:v/>
      </x:c>
      <x:c r="DW34" s="1053" t="str">
        <x:f t="shared" si="61"/>
        <x:v/>
      </x:c>
      <x:c r="DX34" s="1269">
        <x:f t="shared" si="62"/>
        <x:v>0</x:v>
      </x:c>
      <x:c r="DY34" s="1053">
        <x:f t="shared" si="63"/>
        <x:v>0</x:v>
      </x:c>
      <x:c r="DZ34" s="1052">
        <x:f t="shared" si="64"/>
        <x:v>0</x:v>
      </x:c>
      <x:c r="EA34" s="1052" t="str">
        <x:f t="shared" si="65"/>
        <x:v/>
      </x:c>
      <x:c r="EB34" s="1053" t="str">
        <x:f t="shared" si="66"/>
        <x:v/>
      </x:c>
      <x:c r="EC34" s="1053" t="str">
        <x:f t="shared" si="67"/>
        <x:v/>
      </x:c>
      <x:c r="ED34" s="1269">
        <x:f t="shared" si="68"/>
        <x:v>0</x:v>
      </x:c>
      <x:c r="EE34" s="1090" t="str">
        <x:f t="shared" si="69"/>
        <x:v/>
      </x:c>
      <x:c r="EF34" s="1053" t="str">
        <x:f t="shared" si="70"/>
        <x:v/>
      </x:c>
      <x:c r="EG34" s="1053" t="str">
        <x:f t="shared" si="71"/>
        <x:v/>
      </x:c>
      <x:c r="EH34" s="1053" t="str">
        <x:f t="shared" si="72"/>
        <x:v>ERR</x:v>
      </x:c>
      <x:c r="EI34" s="1053" t="str">
        <x:f t="shared" si="73"/>
        <x:v>ERR</x:v>
      </x:c>
      <x:c r="EJ34" s="1053" t="str">
        <x:f t="shared" si="74"/>
        <x:v/>
      </x:c>
      <x:c r="EK34" s="1053" t="str">
        <x:f t="shared" si="74"/>
        <x:v/>
      </x:c>
      <x:c r="EL34" s="1090" t="str">
        <x:f t="shared" si="75"/>
        <x:v/>
      </x:c>
      <x:c r="EM34" s="1053" t="str">
        <x:f t="shared" si="76"/>
        <x:v/>
      </x:c>
      <x:c r="EN34" s="1053" t="str">
        <x:f t="shared" si="77"/>
        <x:v/>
      </x:c>
      <x:c r="EO34" s="1053" t="str">
        <x:f t="shared" si="78"/>
        <x:v>ERR</x:v>
      </x:c>
      <x:c r="EP34" s="1053" t="str">
        <x:f t="shared" si="79"/>
        <x:v>ERR</x:v>
      </x:c>
      <x:c r="EQ34" s="1053" t="str">
        <x:f t="shared" si="80"/>
        <x:v/>
      </x:c>
      <x:c r="ER34" s="1053" t="str">
        <x:f t="shared" si="80"/>
        <x:v/>
      </x:c>
      <x:c r="ES34" s="1053" t="str">
        <x:f t="shared" si="81"/>
        <x:v/>
      </x:c>
      <x:c r="ET34" s="1053" t="str">
        <x:f t="shared" si="82"/>
        <x:v/>
      </x:c>
      <x:c r="EU34" s="1061">
        <x:f t="shared" si="83"/>
        <x:v>4</x:v>
      </x:c>
      <x:c r="EV34" s="1055" t="str">
        <x:f t="shared" si="84"/>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5"/>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6"/>
        <x:v/>
      </x:c>
      <x:c r="FD34" s="1052">
        <x:f t="shared" si="108"/>
        <x:v>0</x:v>
      </x:c>
      <x:c r="FE34" s="1052">
        <x:f t="shared" si="87"/>
        <x:v>0</x:v>
      </x:c>
      <x:c r="FF34" s="1052">
        <x:f t="shared" si="88"/>
        <x:v>0</x:v>
      </x:c>
      <x:c r="FG34" s="1052" t="str">
        <x:f t="shared" si="89"/>
        <x:v/>
      </x:c>
      <x:c r="FH34" s="1053" t="str">
        <x:f t="shared" si="90"/>
        <x:v/>
      </x:c>
      <x:c r="FI34" s="1052">
        <x:f t="shared" si="109"/>
        <x:v>0</x:v>
      </x:c>
      <x:c r="FJ34" s="1052">
        <x:f t="shared" si="91"/>
        <x:v>0</x:v>
      </x:c>
      <x:c r="FK34" s="1052">
        <x:f t="shared" si="92"/>
        <x:v>0</x:v>
      </x:c>
      <x:c r="FL34" s="1052" t="str">
        <x:f t="shared" si="93"/>
        <x:v/>
      </x:c>
      <x:c r="FM34" s="1053" t="str">
        <x:f t="shared" si="94"/>
        <x:v/>
      </x:c>
      <x:c r="FN34" s="1053" t="e">
        <x:f t="shared" si="95"/>
        <x:v>#VALUE!</x:v>
      </x:c>
      <x:c r="FO34" s="1062" t="e">
        <x:f t="shared" si="96"/>
        <x:v>#VALUE!</x:v>
      </x:c>
      <x:c r="FP34" s="1062" t="e">
        <x:f t="shared" si="97"/>
        <x:v>#VALUE!</x:v>
      </x:c>
      <x:c r="FQ34" s="1063" t="e">
        <x:f t="shared" si="98"/>
        <x:v>#VALUE!</x:v>
      </x:c>
      <x:c r="FR34" s="1064" t="e">
        <x:f t="shared" si="99"/>
        <x:v>#VALUE!</x:v>
      </x:c>
      <x:c r="FS34" s="1065" t="str">
        <x:f t="shared" si="100"/>
        <x:v/>
      </x:c>
      <x:c r="FT34" s="1066" t="str">
        <x:f t="shared" si="101"/>
        <x:v/>
      </x:c>
      <x:c r="FU34" s="1105">
        <x:f t="shared" si="102"/>
        <x:v>0</x:v>
      </x:c>
      <x:c r="FV34" s="1106">
        <x:f t="shared" si="103"/>
        <x:v>0</x:v>
      </x:c>
      <x:c r="GA34" s="1975">
        <x:v>60</x:v>
      </x:c>
      <x:c r="GB34" s="1976">
        <x:v>0</x:v>
      </x:c>
      <x:c r="GC34" s="1977">
        <x:v>-0.25</x:v>
      </x:c>
      <x:c r="GD34" s="1978">
        <x:v>-0.25</x:v>
      </x:c>
      <x:c r="GE34" s="1979">
        <x:v>0.42999506612343696</x:v>
      </x:c>
      <x:c r="GF34" s="1980" t="str">
        <x:f t="shared" si="104"/>
        <x:v>J35</x:v>
      </x:c>
      <x:c r="GG34" s="1453"/>
      <x:c r="GH34" s="1454"/>
      <x:c r="GI34" s="1453"/>
      <x:c r="GJ34" s="1454"/>
      <x:c r="GK34" s="533">
        <x:f t="shared" si="105"/>
        <x:v>720</x:v>
      </x:c>
      <x:c r="GL34" s="534">
        <x:f t="shared" si="106"/>
        <x:v>719.96177021215567</x:v>
      </x:c>
      <x:c r="GM34" s="535">
        <x:f>IF(ABS(GK34-GL34)&gt;='Job Info.'!$L$22,ABS(GK34-GL34),0)</x:f>
        <x:v>0</x:v>
      </x:c>
      <x:c r="HA34" s="1658" t="s">
        <x:v>1359</x:v>
      </x:c>
      <x:c r="HB34" s="1659">
        <x:v>48</x:v>
      </x:c>
      <x:c r="HC34" s="1659" t="s">
        <x:v>1978</x:v>
      </x:c>
      <x:c r="HD34" s="1660">
        <x:v>60</x:v>
      </x:c>
      <x:c r="HE34" s="1661">
        <x:v>0</x:v>
      </x:c>
      <x:c r="HF34" s="1659">
        <x:v>0</x:v>
      </x:c>
      <x:c r="HG34" s="1659">
        <x:v>1.375</x:v>
      </x:c>
      <x:c r="HH34" s="1659" t="s">
        <x:v>114</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x:v>0.42999506612343696</x:v>
      </x:c>
      <x:c r="HZ34" s="1661">
        <x:v>-0.42999506612343696</x:v>
      </x:c>
      <x:c r="IA34" s="1661" t="s">
        <x:v>2095</x:v>
      </x:c>
      <x:c r="IB34" s="1661"/>
      <x:c r="IC34" s="1661"/>
      <x:c r="ID34" s="1661"/>
      <x:c r="IE34" s="1661"/>
      <x:c r="IF34" s="1663"/>
    </x:row>
    <x:row r="35" spans="1:240" ht="12.6" customHeight="1" x14ac:dyDescent="0.25">
      <x:c r="A35" s="1264" t="s">
        <x:v>1360</x:v>
      </x:c>
      <x:c r="B35" s="1265">
        <x:v>0</x:v>
      </x:c>
      <x:c r="C35" s="1265" t="s">
        <x:v>1978</x:v>
      </x:c>
      <x:c r="D35" s="1261">
        <x:v>60</x:v>
      </x:c>
      <x:c r="E35" s="1366">
        <x:v>0</x:v>
      </x:c>
      <x:c r="F35" s="1328">
        <x:v>0</x:v>
      </x:c>
      <x:c r="G35" s="1262">
        <x:v>1.375</x:v>
      </x:c>
      <x:c r="H35" s="1266" t="s">
        <x:v>114</x:v>
      </x:c>
      <x:c r="I35" s="1261">
        <x:v>0</x:v>
      </x:c>
      <x:c r="J35" s="1262">
        <x:v>1.375</x:v>
      </x:c>
      <x:c r="K35" s="1370" t="s">
        <x:v>114</x:v>
      </x:c>
      <x:c r="L35" s="1327">
        <x:v>3</x:v>
      </x:c>
      <x:c r="M35" s="1329">
        <x:v>3</x:v>
      </x:c>
      <x:c r="N35" s="1263" t="str">
        <x:f t="shared" si="4"/>
        <x:v/>
      </x:c>
      <x:c r="O35" s="1262" t="str">
        <x:f t="shared" si="5"/>
        <x:v/>
      </x:c>
      <x:c r="P35" s="1260" t="str">
        <x:f t="shared" si="6"/>
        <x:v/>
      </x:c>
      <x:c r="Q35" s="1261" t="str">
        <x:f t="shared" si="7"/>
        <x:v/>
      </x:c>
      <x:c r="R35" s="1262" t="str">
        <x:f t="shared" si="8"/>
        <x:v/>
      </x:c>
      <x:c r="S35" s="1375" t="str">
        <x:f t="shared" si="9"/>
        <x:v/>
      </x:c>
      <x:c r="T35" s="1328" t="str">
        <x:f t="shared" si="10"/>
        <x:v/>
      </x:c>
      <x:c r="U35" s="1262" t="str">
        <x:f t="shared" si="11"/>
        <x:v/>
      </x:c>
      <x:c r="V35" s="1261" t="str">
        <x:f t="shared" si="12"/>
        <x:v/>
      </x:c>
      <x:c r="W35" s="1262" t="str">
        <x:f t="shared" si="13"/>
        <x:v/>
      </x:c>
      <x:c r="X35" s="1329">
        <x:f t="shared" si="14"/>
        <x:v>0</x:v>
      </x:c>
      <x:c r="Y35" s="1377">
        <x:v>0.46666666666666701</x:v>
      </x:c>
      <x:c r="Z35" s="1378">
        <x:v>-0.46666666666666701</x:v>
      </x:c>
      <x:c r="AA35" s="2159" t="s">
        <x:v>2096</x:v>
      </x:c>
      <x:c r="AC35" s="1226" t="b">
        <x:v>0</x:v>
      </x:c>
      <x:c r="AD35" s="525">
        <x:f t="shared" si="17"/>
        <x:v>0</x:v>
      </x:c>
      <x:c r="AE35" s="526">
        <x:f t="shared" si="18"/>
        <x:v>0</x:v>
      </x:c>
      <x:c r="AF35" s="526">
        <x:f t="shared" si="19"/>
        <x:v>0</x:v>
      </x:c>
      <x:c r="AG35" s="526">
        <x:f t="shared" si="20"/>
        <x:v>0</x:v>
      </x:c>
      <x:c r="AH35" s="527">
        <x:f t="shared" si="21"/>
        <x:v>0</x:v>
      </x:c>
      <x:c r="AI35" s="528" t="b">
        <x:v>0</x:v>
      </x:c>
      <x:c r="AJ35" s="284">
        <x:f t="shared" si="22"/>
        <x:v>36</x:v>
      </x:c>
      <x:c r="AK35" s="1063" t="str">
        <x:f t="shared" si="23"/>
        <x:v>LH</x:v>
      </x:c>
      <x:c r="AL35" s="1202" t="str">
        <x:f t="shared" si="24"/>
        <x:v/>
      </x:c>
      <x:c r="AM35" s="1063">
        <x:f t="shared" si="25"/>
        <x:v>270</x:v>
      </x:c>
      <x:c r="AN35" s="1063">
        <x:f t="shared" si="26"/>
        <x:v>120</x:v>
      </x:c>
      <x:c r="AO35" s="1063" t="str">
        <x:f t="shared" si="27"/>
        <x:v/>
      </x:c>
      <x:c r="AP35" s="1063" t="b">
        <x:f>IF(ISERROR(AJ35),FALSE,IF(OR(AJ35=0,ISERROR(AL35),ISERROR(AM35),ISERROR(AN35),ISERROR(AO35)),FALSE,IF(AL35&lt;&gt;"",IF(ISERROR(VLOOKUP(SUBSTITUTE(SUBSTITUTE(C35,"R",""),"A",""),TblJoistSize!$A:$A,1,FALSE)),FALSE,TRUE),TRUE)))</x:f>
        <x:v>1</x:v>
      </x:c>
      <x:c r="AQ35" s="1305">
        <x:f t="shared" si="28"/>
        <x:v>7.375</x:v>
      </x:c>
      <x:c r="AR35" s="1305" t="b">
        <x:f t="shared" si="29"/>
        <x:v>0</x:v>
      </x:c>
      <x:c r="AS35" s="1305">
        <x:f t="shared" si="30"/>
        <x:v>7.375</x:v>
      </x:c>
      <x:c r="AT35" s="1305" t="b">
        <x:f t="shared" si="31"/>
        <x:v>0</x:v>
      </x:c>
      <x:c r="AU35" s="1203" t="str">
        <x:f t="shared" si="32"/>
        <x:v>LH</x:v>
      </x:c>
      <x:c r="AV35" s="1063" t="str">
        <x:f t="shared" si="33"/>
        <x:v/>
      </x:c>
      <x:c r="AW35" s="1063" t="str">
        <x:f t="shared" si="34"/>
        <x:v>LH</x:v>
      </x:c>
      <x:c r="AX35" s="1063" t="str">
        <x:f t="shared" si="107"/>
        <x:v>J36</x:v>
      </x:c>
      <x:c r="AY35" s="1306" t="b">
        <x:f t="shared" si="35"/>
        <x:v>0</x:v>
      </x:c>
      <x:c r="AZ35" s="1090" t="b">
        <x:f t="shared" si="36"/>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7"/>
        <x:v/>
      </x:c>
      <x:c r="CE35" s="935" t="str">
        <x:f t="shared" si="38"/>
        <x:v/>
      </x:c>
      <x:c r="CF35" s="1149"/>
      <x:c r="CG35" s="1150"/>
      <x:c r="CH35" s="738" t="str">
        <x:f t="shared" si="39"/>
        <x:v/>
      </x:c>
      <x:c r="CI35" s="739" t="str">
        <x:f t="shared" si="40"/>
        <x:v/>
      </x:c>
      <x:c r="CJ35" s="740" t="str">
        <x:f t="shared" si="41"/>
        <x:v/>
      </x:c>
      <x:c r="CK35" s="741" t="str">
        <x:f t="shared" si="42"/>
        <x:v/>
      </x:c>
      <x:c r="CL35" s="742" t="str">
        <x:f t="shared" si="43"/>
        <x:v/>
      </x:c>
      <x:c r="CM35" s="743" t="str">
        <x:f t="shared" si="44"/>
        <x:v/>
      </x:c>
      <x:c r="CN35" s="744" t="str">
        <x:f t="shared" si="45"/>
        <x:v/>
      </x:c>
      <x:c r="CO35" s="745" t="str">
        <x:f t="shared" si="46"/>
        <x:v/>
      </x:c>
      <x:c r="CP35" s="762" t="str">
        <x:f t="shared" si="47"/>
        <x:v/>
      </x:c>
      <x:c r="CQ35" s="763" t="str">
        <x:f t="shared" si="48"/>
        <x:v/>
      </x:c>
      <x:c r="CR35" s="953">
        <x:f t="shared" si="49"/>
        <x:v>5</x:v>
      </x:c>
      <x:c r="CS35" s="954">
        <x:f t="shared" si="50"/>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51"/>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52"/>
        <x:v>0</x:v>
      </x:c>
      <x:c r="DO35" s="1049">
        <x:f t="shared" si="53"/>
        <x:v>0</x:v>
      </x:c>
      <x:c r="DP35" s="1053" t="str">
        <x:f t="shared" si="54"/>
        <x:v/>
      </x:c>
      <x:c r="DQ35" s="1053" t="str">
        <x:f t="shared" si="55"/>
        <x:v/>
      </x:c>
      <x:c r="DR35" s="1053" t="str">
        <x:f t="shared" si="56"/>
        <x:v/>
      </x:c>
      <x:c r="DS35" s="1052">
        <x:f t="shared" si="57"/>
        <x:v>0</x:v>
      </x:c>
      <x:c r="DT35" s="1052">
        <x:f t="shared" si="58"/>
        <x:v>0</x:v>
      </x:c>
      <x:c r="DU35" s="1052" t="str">
        <x:f t="shared" si="59"/>
        <x:v/>
      </x:c>
      <x:c r="DV35" s="1053" t="str">
        <x:f t="shared" si="60"/>
        <x:v/>
      </x:c>
      <x:c r="DW35" s="1053" t="str">
        <x:f t="shared" si="61"/>
        <x:v/>
      </x:c>
      <x:c r="DX35" s="1269">
        <x:f t="shared" si="62"/>
        <x:v>0</x:v>
      </x:c>
      <x:c r="DY35" s="1053">
        <x:f t="shared" si="63"/>
        <x:v>0</x:v>
      </x:c>
      <x:c r="DZ35" s="1052">
        <x:f t="shared" si="64"/>
        <x:v>0</x:v>
      </x:c>
      <x:c r="EA35" s="1052" t="str">
        <x:f t="shared" si="65"/>
        <x:v/>
      </x:c>
      <x:c r="EB35" s="1053" t="str">
        <x:f t="shared" si="66"/>
        <x:v/>
      </x:c>
      <x:c r="EC35" s="1053" t="str">
        <x:f t="shared" si="67"/>
        <x:v/>
      </x:c>
      <x:c r="ED35" s="1269">
        <x:f t="shared" si="68"/>
        <x:v>0</x:v>
      </x:c>
      <x:c r="EE35" s="1090" t="str">
        <x:f t="shared" si="69"/>
        <x:v/>
      </x:c>
      <x:c r="EF35" s="1053" t="str">
        <x:f t="shared" si="70"/>
        <x:v/>
      </x:c>
      <x:c r="EG35" s="1053" t="str">
        <x:f t="shared" si="71"/>
        <x:v/>
      </x:c>
      <x:c r="EH35" s="1053" t="str">
        <x:f t="shared" si="72"/>
        <x:v>ERR</x:v>
      </x:c>
      <x:c r="EI35" s="1053" t="str">
        <x:f t="shared" si="73"/>
        <x:v>ERR</x:v>
      </x:c>
      <x:c r="EJ35" s="1053" t="str">
        <x:f t="shared" si="74"/>
        <x:v/>
      </x:c>
      <x:c r="EK35" s="1053" t="str">
        <x:f t="shared" si="74"/>
        <x:v/>
      </x:c>
      <x:c r="EL35" s="1090" t="str">
        <x:f t="shared" si="75"/>
        <x:v/>
      </x:c>
      <x:c r="EM35" s="1053" t="str">
        <x:f t="shared" si="76"/>
        <x:v/>
      </x:c>
      <x:c r="EN35" s="1053" t="str">
        <x:f t="shared" si="77"/>
        <x:v/>
      </x:c>
      <x:c r="EO35" s="1053" t="str">
        <x:f t="shared" si="78"/>
        <x:v>ERR</x:v>
      </x:c>
      <x:c r="EP35" s="1053" t="str">
        <x:f t="shared" si="79"/>
        <x:v>ERR</x:v>
      </x:c>
      <x:c r="EQ35" s="1053" t="str">
        <x:f t="shared" si="80"/>
        <x:v/>
      </x:c>
      <x:c r="ER35" s="1053" t="str">
        <x:f t="shared" si="80"/>
        <x:v/>
      </x:c>
      <x:c r="ES35" s="1053" t="str">
        <x:f t="shared" si="81"/>
        <x:v/>
      </x:c>
      <x:c r="ET35" s="1053" t="str">
        <x:f t="shared" si="82"/>
        <x:v/>
      </x:c>
      <x:c r="EU35" s="1061">
        <x:f t="shared" si="83"/>
        <x:v>4</x:v>
      </x:c>
      <x:c r="EV35" s="1055" t="str">
        <x:f t="shared" si="84"/>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5"/>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6"/>
        <x:v/>
      </x:c>
      <x:c r="FD35" s="1052">
        <x:f t="shared" si="108"/>
        <x:v>0</x:v>
      </x:c>
      <x:c r="FE35" s="1052">
        <x:f t="shared" si="87"/>
        <x:v>0</x:v>
      </x:c>
      <x:c r="FF35" s="1052">
        <x:f t="shared" si="88"/>
        <x:v>0</x:v>
      </x:c>
      <x:c r="FG35" s="1052" t="str">
        <x:f t="shared" si="89"/>
        <x:v/>
      </x:c>
      <x:c r="FH35" s="1053" t="str">
        <x:f t="shared" si="90"/>
        <x:v/>
      </x:c>
      <x:c r="FI35" s="1052">
        <x:f t="shared" si="109"/>
        <x:v>0</x:v>
      </x:c>
      <x:c r="FJ35" s="1052">
        <x:f t="shared" si="91"/>
        <x:v>0</x:v>
      </x:c>
      <x:c r="FK35" s="1052">
        <x:f t="shared" si="92"/>
        <x:v>0</x:v>
      </x:c>
      <x:c r="FL35" s="1052" t="str">
        <x:f t="shared" si="93"/>
        <x:v/>
      </x:c>
      <x:c r="FM35" s="1053" t="str">
        <x:f t="shared" si="94"/>
        <x:v/>
      </x:c>
      <x:c r="FN35" s="1053" t="e">
        <x:f t="shared" si="95"/>
        <x:v>#VALUE!</x:v>
      </x:c>
      <x:c r="FO35" s="1062" t="e">
        <x:f t="shared" si="96"/>
        <x:v>#VALUE!</x:v>
      </x:c>
      <x:c r="FP35" s="1062" t="e">
        <x:f t="shared" si="97"/>
        <x:v>#VALUE!</x:v>
      </x:c>
      <x:c r="FQ35" s="1063" t="e">
        <x:f t="shared" si="98"/>
        <x:v>#VALUE!</x:v>
      </x:c>
      <x:c r="FR35" s="1064" t="e">
        <x:f t="shared" si="99"/>
        <x:v>#VALUE!</x:v>
      </x:c>
      <x:c r="FS35" s="1065" t="str">
        <x:f t="shared" si="100"/>
        <x:v/>
      </x:c>
      <x:c r="FT35" s="1066" t="str">
        <x:f t="shared" si="101"/>
        <x:v/>
      </x:c>
      <x:c r="FU35" s="1105">
        <x:f t="shared" si="102"/>
        <x:v>0</x:v>
      </x:c>
      <x:c r="FV35" s="1106">
        <x:f t="shared" si="103"/>
        <x:v>0</x:v>
      </x:c>
      <x:c r="GA35" s="1975">
        <x:v>60</x:v>
      </x:c>
      <x:c r="GB35" s="1976">
        <x:v>0</x:v>
      </x:c>
      <x:c r="GC35" s="1977">
        <x:v>-0.25</x:v>
      </x:c>
      <x:c r="GD35" s="1978">
        <x:v>-0.25</x:v>
      </x:c>
      <x:c r="GE35" s="1979">
        <x:v>0.46666666666666701</x:v>
      </x:c>
      <x:c r="GF35" s="1980" t="str">
        <x:f t="shared" si="104"/>
        <x:v>J36</x:v>
      </x:c>
      <x:c r="GG35" s="1453"/>
      <x:c r="GH35" s="1454"/>
      <x:c r="GI35" s="1453"/>
      <x:c r="GJ35" s="1454"/>
      <x:c r="GK35" s="533">
        <x:f t="shared" si="105"/>
        <x:v>720</x:v>
      </x:c>
      <x:c r="GL35" s="534">
        <x:f t="shared" si="106"/>
        <x:v>720.04386080932431</x:v>
      </x:c>
      <x:c r="GM35" s="535">
        <x:f>IF(ABS(GK35-GL35)&gt;='Job Info.'!$L$22,ABS(GK35-GL35),0)</x:f>
        <x:v>0</x:v>
      </x:c>
      <x:c r="HA35" s="1658" t="s">
        <x:v>1360</x:v>
      </x:c>
      <x:c r="HB35" s="1659">
        <x:v>9</x:v>
      </x:c>
      <x:c r="HC35" s="1659" t="s">
        <x:v>1978</x:v>
      </x:c>
      <x:c r="HD35" s="1660">
        <x:v>60</x:v>
      </x:c>
      <x:c r="HE35" s="1661">
        <x:v>0</x:v>
      </x:c>
      <x:c r="HF35" s="1659">
        <x:v>0</x:v>
      </x:c>
      <x:c r="HG35" s="1659">
        <x:v>1.375</x:v>
      </x:c>
      <x:c r="HH35" s="1659" t="s">
        <x:v>114</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x:v>0.46666666666666701</x:v>
      </x:c>
      <x:c r="HZ35" s="1661">
        <x:v>-0.46666666666666701</x:v>
      </x:c>
      <x:c r="IA35" s="1661" t="s">
        <x:v>2096</x:v>
      </x:c>
      <x:c r="IB35" s="1661"/>
      <x:c r="IC35" s="1661"/>
      <x:c r="ID35" s="1661"/>
      <x:c r="IE35" s="1661"/>
      <x:c r="IF35" s="1663"/>
    </x:row>
    <x:row r="36" spans="1:240" ht="12.6" customHeight="1" x14ac:dyDescent="0.25">
      <x:c r="A36" s="1264" t="s">
        <x:v>1361</x:v>
      </x:c>
      <x:c r="B36" s="1265">
        <x:v>0</x:v>
      </x:c>
      <x:c r="C36" s="1265" t="s">
        <x:v>1978</x:v>
      </x:c>
      <x:c r="D36" s="1261">
        <x:v>60</x:v>
      </x:c>
      <x:c r="E36" s="1366">
        <x:v>0</x:v>
      </x:c>
      <x:c r="F36" s="1328">
        <x:v>0</x:v>
      </x:c>
      <x:c r="G36" s="1262">
        <x:v>1.375</x:v>
      </x:c>
      <x:c r="H36" s="1266" t="s">
        <x:v>114</x:v>
      </x:c>
      <x:c r="I36" s="1261">
        <x:v>0</x:v>
      </x:c>
      <x:c r="J36" s="1262">
        <x:v>1.375</x:v>
      </x:c>
      <x:c r="K36" s="1370" t="s">
        <x:v>114</x:v>
      </x:c>
      <x:c r="L36" s="1327">
        <x:v>3</x:v>
      </x:c>
      <x:c r="M36" s="1329">
        <x:v>3</x:v>
      </x:c>
      <x:c r="N36" s="1263" t="str">
        <x:f t="shared" si="4"/>
        <x:v/>
      </x:c>
      <x:c r="O36" s="1262" t="str">
        <x:f t="shared" si="5"/>
        <x:v/>
      </x:c>
      <x:c r="P36" s="1260" t="str">
        <x:f t="shared" si="6"/>
        <x:v/>
      </x:c>
      <x:c r="Q36" s="1261" t="str">
        <x:f t="shared" si="7"/>
        <x:v/>
      </x:c>
      <x:c r="R36" s="1262" t="str">
        <x:f t="shared" si="8"/>
        <x:v/>
      </x:c>
      <x:c r="S36" s="1375" t="str">
        <x:f t="shared" si="9"/>
        <x:v/>
      </x:c>
      <x:c r="T36" s="1328">
        <x:v>0</x:v>
      </x:c>
      <x:c r="U36" s="1262">
        <x:v>2.25</x:v>
      </x:c>
      <x:c r="V36" s="1261">
        <x:v>0</x:v>
      </x:c>
      <x:c r="W36" s="1262">
        <x:v>2.25</x:v>
      </x:c>
      <x:c r="X36" s="1329">
        <x:v>4</x:v>
      </x:c>
      <x:c r="Y36" s="1377">
        <x:v>0.46666666666666701</x:v>
      </x:c>
      <x:c r="Z36" s="1378">
        <x:v>-0.46666666666666701</x:v>
      </x:c>
      <x:c r="AA36" s="2159" t="s">
        <x:v>2095</x:v>
      </x:c>
      <x:c r="AC36" s="1226" t="b">
        <x:v>0</x:v>
      </x:c>
      <x:c r="AD36" s="525">
        <x:f t="shared" si="17"/>
        <x:v>0</x:v>
      </x:c>
      <x:c r="AE36" s="526">
        <x:f t="shared" si="18"/>
        <x:v>0</x:v>
      </x:c>
      <x:c r="AF36" s="526">
        <x:f t="shared" si="19"/>
        <x:v>0</x:v>
      </x:c>
      <x:c r="AG36" s="526">
        <x:f t="shared" si="20"/>
        <x:v>0</x:v>
      </x:c>
      <x:c r="AH36" s="527">
        <x:f t="shared" si="21"/>
        <x:v>0</x:v>
      </x:c>
      <x:c r="AI36" s="528" t="b">
        <x:v>0</x:v>
      </x:c>
      <x:c r="AJ36" s="284">
        <x:f t="shared" si="22"/>
        <x:v>36</x:v>
      </x:c>
      <x:c r="AK36" s="1063" t="str">
        <x:f t="shared" si="23"/>
        <x:v>LH</x:v>
      </x:c>
      <x:c r="AL36" s="1202" t="str">
        <x:f t="shared" si="24"/>
        <x:v/>
      </x:c>
      <x:c r="AM36" s="1063">
        <x:f t="shared" si="25"/>
        <x:v>270</x:v>
      </x:c>
      <x:c r="AN36" s="1063">
        <x:f t="shared" si="26"/>
        <x:v>120</x:v>
      </x:c>
      <x:c r="AO36" s="1063" t="str">
        <x:f t="shared" si="27"/>
        <x:v/>
      </x:c>
      <x:c r="AP36" s="1063" t="b">
        <x:f>IF(ISERROR(AJ36),FALSE,IF(OR(AJ36=0,ISERROR(AL36),ISERROR(AM36),ISERROR(AN36),ISERROR(AO36)),FALSE,IF(AL36&lt;&gt;"",IF(ISERROR(VLOOKUP(SUBSTITUTE(SUBSTITUTE(C36,"R",""),"A",""),TblJoistSize!$A:$A,1,FALSE)),FALSE,TRUE),TRUE)))</x:f>
        <x:v>1</x:v>
      </x:c>
      <x:c r="AQ36" s="1305">
        <x:f t="shared" si="28"/>
        <x:v>7.375</x:v>
      </x:c>
      <x:c r="AR36" s="1305" t="b">
        <x:f t="shared" si="29"/>
        <x:v>1</x:v>
      </x:c>
      <x:c r="AS36" s="1305">
        <x:f t="shared" si="30"/>
        <x:v>7.375</x:v>
      </x:c>
      <x:c r="AT36" s="1305" t="b">
        <x:f t="shared" si="31"/>
        <x:v>1</x:v>
      </x:c>
      <x:c r="AU36" s="1203" t="str">
        <x:f t="shared" si="32"/>
        <x:v>LH</x:v>
      </x:c>
      <x:c r="AV36" s="1063" t="str">
        <x:f t="shared" si="33"/>
        <x:v/>
      </x:c>
      <x:c r="AW36" s="1063" t="str">
        <x:f t="shared" si="34"/>
        <x:v>LH</x:v>
      </x:c>
      <x:c r="AX36" s="1063" t="str">
        <x:f t="shared" si="107"/>
        <x:v>TJ37</x:v>
      </x:c>
      <x:c r="AY36" s="1306" t="b">
        <x:f t="shared" si="35"/>
        <x:v>0</x:v>
      </x:c>
      <x:c r="AZ36" s="1090" t="b">
        <x:f t="shared" si="36"/>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7"/>
        <x:v/>
      </x:c>
      <x:c r="CE36" s="935" t="str">
        <x:f t="shared" si="38"/>
        <x:v/>
      </x:c>
      <x:c r="CF36" s="1149"/>
      <x:c r="CG36" s="1150"/>
      <x:c r="CH36" s="738" t="str">
        <x:f t="shared" si="39"/>
        <x:v/>
      </x:c>
      <x:c r="CI36" s="739" t="str">
        <x:f t="shared" si="40"/>
        <x:v/>
      </x:c>
      <x:c r="CJ36" s="740" t="str">
        <x:f t="shared" si="41"/>
        <x:v/>
      </x:c>
      <x:c r="CK36" s="741" t="str">
        <x:f t="shared" si="42"/>
        <x:v/>
      </x:c>
      <x:c r="CL36" s="742" t="str">
        <x:f t="shared" si="43"/>
        <x:v/>
      </x:c>
      <x:c r="CM36" s="743" t="str">
        <x:f t="shared" si="44"/>
        <x:v/>
      </x:c>
      <x:c r="CN36" s="744" t="str">
        <x:f t="shared" si="45"/>
        <x:v/>
      </x:c>
      <x:c r="CO36" s="745" t="str">
        <x:f t="shared" si="46"/>
        <x:v/>
      </x:c>
      <x:c r="CP36" s="762" t="str">
        <x:f t="shared" si="47"/>
        <x:v/>
      </x:c>
      <x:c r="CQ36" s="763" t="str">
        <x:f t="shared" si="48"/>
        <x:v/>
      </x:c>
      <x:c r="CR36" s="953">
        <x:f t="shared" si="49"/>
        <x:v>5</x:v>
      </x:c>
      <x:c r="CS36" s="954">
        <x:f t="shared" si="50"/>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51"/>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52"/>
        <x:v>0</x:v>
      </x:c>
      <x:c r="DO36" s="1049">
        <x:f t="shared" si="53"/>
        <x:v>0</x:v>
      </x:c>
      <x:c r="DP36" s="1053" t="str">
        <x:f t="shared" si="54"/>
        <x:v/>
      </x:c>
      <x:c r="DQ36" s="1053" t="str">
        <x:f t="shared" si="55"/>
        <x:v/>
      </x:c>
      <x:c r="DR36" s="1053" t="str">
        <x:f t="shared" si="56"/>
        <x:v/>
      </x:c>
      <x:c r="DS36" s="1052">
        <x:f t="shared" si="57"/>
        <x:v>0</x:v>
      </x:c>
      <x:c r="DT36" s="1052">
        <x:f t="shared" si="58"/>
        <x:v>0</x:v>
      </x:c>
      <x:c r="DU36" s="1052" t="str">
        <x:f t="shared" si="59"/>
        <x:v/>
      </x:c>
      <x:c r="DV36" s="1053" t="str">
        <x:f t="shared" si="60"/>
        <x:v/>
      </x:c>
      <x:c r="DW36" s="1053" t="str">
        <x:f t="shared" si="61"/>
        <x:v/>
      </x:c>
      <x:c r="DX36" s="1269">
        <x:f t="shared" si="62"/>
        <x:v>0</x:v>
      </x:c>
      <x:c r="DY36" s="1053">
        <x:f t="shared" si="63"/>
        <x:v>0</x:v>
      </x:c>
      <x:c r="DZ36" s="1052">
        <x:f t="shared" si="64"/>
        <x:v>0</x:v>
      </x:c>
      <x:c r="EA36" s="1052" t="str">
        <x:f t="shared" si="65"/>
        <x:v/>
      </x:c>
      <x:c r="EB36" s="1053" t="str">
        <x:f t="shared" si="66"/>
        <x:v/>
      </x:c>
      <x:c r="EC36" s="1053" t="str">
        <x:f t="shared" si="67"/>
        <x:v/>
      </x:c>
      <x:c r="ED36" s="1269">
        <x:f t="shared" si="68"/>
        <x:v>0</x:v>
      </x:c>
      <x:c r="EE36" s="1090" t="str">
        <x:f t="shared" si="69"/>
        <x:v/>
      </x:c>
      <x:c r="EF36" s="1053" t="str">
        <x:f t="shared" si="70"/>
        <x:v/>
      </x:c>
      <x:c r="EG36" s="1053" t="str">
        <x:f t="shared" si="71"/>
        <x:v/>
      </x:c>
      <x:c r="EH36" s="1053" t="str">
        <x:f t="shared" si="72"/>
        <x:v>ERR</x:v>
      </x:c>
      <x:c r="EI36" s="1053" t="str">
        <x:f t="shared" si="73"/>
        <x:v>ERR</x:v>
      </x:c>
      <x:c r="EJ36" s="1053" t="str">
        <x:f t="shared" si="74"/>
        <x:v/>
      </x:c>
      <x:c r="EK36" s="1053" t="str">
        <x:f t="shared" si="74"/>
        <x:v/>
      </x:c>
      <x:c r="EL36" s="1090" t="str">
        <x:f t="shared" si="75"/>
        <x:v/>
      </x:c>
      <x:c r="EM36" s="1053" t="str">
        <x:f t="shared" si="76"/>
        <x:v/>
      </x:c>
      <x:c r="EN36" s="1053" t="str">
        <x:f t="shared" si="77"/>
        <x:v/>
      </x:c>
      <x:c r="EO36" s="1053" t="str">
        <x:f t="shared" si="78"/>
        <x:v>ERR</x:v>
      </x:c>
      <x:c r="EP36" s="1053" t="str">
        <x:f t="shared" si="79"/>
        <x:v>ERR</x:v>
      </x:c>
      <x:c r="EQ36" s="1053" t="str">
        <x:f t="shared" si="80"/>
        <x:v/>
      </x:c>
      <x:c r="ER36" s="1053" t="str">
        <x:f t="shared" si="80"/>
        <x:v/>
      </x:c>
      <x:c r="ES36" s="1053" t="str">
        <x:f t="shared" si="81"/>
        <x:v/>
      </x:c>
      <x:c r="ET36" s="1053" t="str">
        <x:f t="shared" si="82"/>
        <x:v/>
      </x:c>
      <x:c r="EU36" s="1061">
        <x:f t="shared" si="83"/>
        <x:v>4</x:v>
      </x:c>
      <x:c r="EV36" s="1055" t="str">
        <x:f t="shared" si="84"/>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5"/>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6"/>
        <x:v/>
      </x:c>
      <x:c r="FD36" s="1052">
        <x:f t="shared" si="108"/>
        <x:v>0</x:v>
      </x:c>
      <x:c r="FE36" s="1052">
        <x:f t="shared" si="87"/>
        <x:v>0</x:v>
      </x:c>
      <x:c r="FF36" s="1052">
        <x:f t="shared" si="88"/>
        <x:v>0</x:v>
      </x:c>
      <x:c r="FG36" s="1052" t="str">
        <x:f t="shared" si="89"/>
        <x:v/>
      </x:c>
      <x:c r="FH36" s="1053" t="str">
        <x:f t="shared" si="90"/>
        <x:v/>
      </x:c>
      <x:c r="FI36" s="1052">
        <x:f t="shared" si="109"/>
        <x:v>0</x:v>
      </x:c>
      <x:c r="FJ36" s="1052">
        <x:f t="shared" si="91"/>
        <x:v>0</x:v>
      </x:c>
      <x:c r="FK36" s="1052">
        <x:f t="shared" si="92"/>
        <x:v>0</x:v>
      </x:c>
      <x:c r="FL36" s="1052" t="str">
        <x:f t="shared" si="93"/>
        <x:v/>
      </x:c>
      <x:c r="FM36" s="1053" t="str">
        <x:f t="shared" si="94"/>
        <x:v/>
      </x:c>
      <x:c r="FN36" s="1053" t="e">
        <x:f t="shared" si="95"/>
        <x:v>#VALUE!</x:v>
      </x:c>
      <x:c r="FO36" s="1062" t="e">
        <x:f t="shared" si="96"/>
        <x:v>#VALUE!</x:v>
      </x:c>
      <x:c r="FP36" s="1062" t="e">
        <x:f t="shared" si="97"/>
        <x:v>#VALUE!</x:v>
      </x:c>
      <x:c r="FQ36" s="1063" t="e">
        <x:f t="shared" si="98"/>
        <x:v>#VALUE!</x:v>
      </x:c>
      <x:c r="FR36" s="1064" t="e">
        <x:f t="shared" si="99"/>
        <x:v>#VALUE!</x:v>
      </x:c>
      <x:c r="FS36" s="1065" t="str">
        <x:f t="shared" si="100"/>
        <x:v/>
      </x:c>
      <x:c r="FT36" s="1066" t="str">
        <x:f t="shared" si="101"/>
        <x:v/>
      </x:c>
      <x:c r="FU36" s="1105">
        <x:f t="shared" si="102"/>
        <x:v>0</x:v>
      </x:c>
      <x:c r="FV36" s="1106">
        <x:f t="shared" si="103"/>
        <x:v>0</x:v>
      </x:c>
      <x:c r="GA36" s="1975">
        <x:v>60</x:v>
      </x:c>
      <x:c r="GB36" s="1976">
        <x:v>0</x:v>
      </x:c>
      <x:c r="GC36" s="1977">
        <x:v>-0.25</x:v>
      </x:c>
      <x:c r="GD36" s="1978">
        <x:v>-0.25</x:v>
      </x:c>
      <x:c r="GE36" s="1979">
        <x:v>0.46666666666666701</x:v>
      </x:c>
      <x:c r="GF36" s="1980" t="str">
        <x:f t="shared" si="104"/>
        <x:v>TJ37</x:v>
      </x:c>
      <x:c r="GG36" s="1453"/>
      <x:c r="GH36" s="1454"/>
      <x:c r="GI36" s="1453"/>
      <x:c r="GJ36" s="1454"/>
      <x:c r="GK36" s="533">
        <x:f t="shared" si="105"/>
        <x:v>720</x:v>
      </x:c>
      <x:c r="GL36" s="534">
        <x:f t="shared" si="106"/>
        <x:v>720.04386080932431</x:v>
      </x:c>
      <x:c r="GM36" s="535">
        <x:f>IF(ABS(GK36-GL36)&gt;='Job Info.'!$L$22,ABS(GK36-GL36),0)</x:f>
        <x:v>0</x:v>
      </x:c>
      <x:c r="HA36" s="1658" t="s">
        <x:v>1361</x:v>
      </x:c>
      <x:c r="HB36" s="1659">
        <x:v>10</x:v>
      </x:c>
      <x:c r="HC36" s="1659" t="s">
        <x:v>1978</x:v>
      </x:c>
      <x:c r="HD36" s="1660">
        <x:v>60</x:v>
      </x:c>
      <x:c r="HE36" s="1661">
        <x:v>0</x:v>
      </x:c>
      <x:c r="HF36" s="1659">
        <x:v>0</x:v>
      </x:c>
      <x:c r="HG36" s="1659">
        <x:v>1.375</x:v>
      </x:c>
      <x:c r="HH36" s="1659" t="s">
        <x:v>114</x:v>
      </x:c>
      <x:c r="HI36" s="1662">
        <x:v>0</x:v>
      </x:c>
      <x:c r="HJ36" s="1659">
        <x:v>1.375</x:v>
      </x:c>
      <x:c r="HK36" s="1659" t="s">
        <x:v>114</x:v>
      </x:c>
      <x:c r="HL36" s="1659">
        <x:v>3</x:v>
      </x:c>
      <x:c r="HM36" s="1659">
        <x:v>3</x:v>
      </x:c>
      <x:c r="HN36" s="1659" t="s">
        <x:v>117</x:v>
      </x:c>
      <x:c r="HO36" s="1659" t="s">
        <x:v>117</x:v>
      </x:c>
      <x:c r="HP36" s="1659" t="s">
        <x:v>117</x:v>
      </x:c>
      <x:c r="HQ36" s="1662" t="s">
        <x:v>117</x:v>
      </x:c>
      <x:c r="HR36" s="1659" t="s">
        <x:v>117</x:v>
      </x:c>
      <x:c r="HS36" s="1659" t="s">
        <x:v>117</x:v>
      </x:c>
      <x:c r="HT36" s="1659">
        <x:v>0</x:v>
      </x:c>
      <x:c r="HU36" s="1659">
        <x:v>2.25</x:v>
      </x:c>
      <x:c r="HV36" s="1659">
        <x:v>0</x:v>
      </x:c>
      <x:c r="HW36" s="1661">
        <x:v>2.25</x:v>
      </x:c>
      <x:c r="HX36" s="1661">
        <x:v>4</x:v>
      </x:c>
      <x:c r="HY36" s="1661">
        <x:v>0.46666666666666701</x:v>
      </x:c>
      <x:c r="HZ36" s="1661">
        <x:v>-0.46666666666666701</x:v>
      </x:c>
      <x:c r="IA36" s="1661" t="s">
        <x:v>2095</x:v>
      </x:c>
      <x:c r="IB36" s="1661"/>
      <x:c r="IC36" s="1661"/>
      <x:c r="ID36" s="1661"/>
      <x:c r="IE36" s="1661"/>
      <x:c r="IF36" s="1663"/>
    </x:row>
    <x:row r="37" spans="1:240" ht="12.6" customHeight="1" x14ac:dyDescent="0.25">
      <x:c r="A37" s="1264" t="s">
        <x:v>1362</x:v>
      </x:c>
      <x:c r="B37" s="1265">
        <x:v>0</x:v>
      </x:c>
      <x:c r="C37" s="1265" t="s">
        <x:v>1978</x:v>
      </x:c>
      <x:c r="D37" s="1261">
        <x:v>60</x:v>
      </x:c>
      <x:c r="E37" s="1366">
        <x:v>0</x:v>
      </x:c>
      <x:c r="F37" s="1328">
        <x:v>0</x:v>
      </x:c>
      <x:c r="G37" s="1262">
        <x:v>1.375</x:v>
      </x:c>
      <x:c r="H37" s="1266" t="s">
        <x:v>114</x:v>
      </x:c>
      <x:c r="I37" s="1261">
        <x:v>0</x:v>
      </x:c>
      <x:c r="J37" s="1262">
        <x:v>1.375</x:v>
      </x:c>
      <x:c r="K37" s="1370" t="s">
        <x:v>114</x:v>
      </x:c>
      <x:c r="L37" s="1327">
        <x:v>3</x:v>
      </x:c>
      <x:c r="M37" s="1329">
        <x:v>3</x:v>
      </x:c>
      <x:c r="N37" s="1263" t="str">
        <x:f t="shared" si="4"/>
        <x:v/>
      </x:c>
      <x:c r="O37" s="1262" t="str">
        <x:f t="shared" si="5"/>
        <x:v/>
      </x:c>
      <x:c r="P37" s="1260" t="str">
        <x:f t="shared" si="6"/>
        <x:v/>
      </x:c>
      <x:c r="Q37" s="1261" t="str">
        <x:f t="shared" si="7"/>
        <x:v/>
      </x:c>
      <x:c r="R37" s="1262" t="str">
        <x:f t="shared" si="8"/>
        <x:v/>
      </x:c>
      <x:c r="S37" s="1375" t="str">
        <x:f t="shared" si="9"/>
        <x:v/>
      </x:c>
      <x:c r="T37" s="1328" t="str">
        <x:f t="shared" si="10"/>
        <x:v/>
      </x:c>
      <x:c r="U37" s="1262" t="str">
        <x:f t="shared" si="11"/>
        <x:v/>
      </x:c>
      <x:c r="V37" s="1261" t="str">
        <x:f t="shared" si="12"/>
        <x:v/>
      </x:c>
      <x:c r="W37" s="1262" t="str">
        <x:f t="shared" si="13"/>
        <x:v/>
      </x:c>
      <x:c r="X37" s="1329">
        <x:f t="shared" si="14"/>
        <x:v>0</x:v>
      </x:c>
      <x:c r="Y37" s="1377">
        <x:v>0.46666666666666701</x:v>
      </x:c>
      <x:c r="Z37" s="1378">
        <x:v>-0.46666666666666701</x:v>
      </x:c>
      <x:c r="AA37" s="2159" t="s">
        <x:v>2097</x:v>
      </x:c>
      <x:c r="AC37" s="1226" t="b">
        <x:v>0</x:v>
      </x:c>
      <x:c r="AD37" s="525">
        <x:f t="shared" si="17"/>
        <x:v>0</x:v>
      </x:c>
      <x:c r="AE37" s="526">
        <x:f t="shared" si="18"/>
        <x:v>0</x:v>
      </x:c>
      <x:c r="AF37" s="526">
        <x:f t="shared" si="19"/>
        <x:v>0</x:v>
      </x:c>
      <x:c r="AG37" s="526">
        <x:f t="shared" si="20"/>
        <x:v>0</x:v>
      </x:c>
      <x:c r="AH37" s="527">
        <x:f t="shared" si="21"/>
        <x:v>0</x:v>
      </x:c>
      <x:c r="AI37" s="528" t="b">
        <x:v>0</x:v>
      </x:c>
      <x:c r="AJ37" s="284">
        <x:f t="shared" si="22"/>
        <x:v>36</x:v>
      </x:c>
      <x:c r="AK37" s="1063" t="str">
        <x:f t="shared" si="23"/>
        <x:v>LH</x:v>
      </x:c>
      <x:c r="AL37" s="1202" t="str">
        <x:f t="shared" si="24"/>
        <x:v/>
      </x:c>
      <x:c r="AM37" s="1063">
        <x:f t="shared" si="25"/>
        <x:v>270</x:v>
      </x:c>
      <x:c r="AN37" s="1063">
        <x:f t="shared" si="26"/>
        <x:v>120</x:v>
      </x:c>
      <x:c r="AO37" s="1063" t="str">
        <x:f t="shared" si="27"/>
        <x:v/>
      </x:c>
      <x:c r="AP37" s="1063" t="b">
        <x:f>IF(ISERROR(AJ37),FALSE,IF(OR(AJ37=0,ISERROR(AL37),ISERROR(AM37),ISERROR(AN37),ISERROR(AO37)),FALSE,IF(AL37&lt;&gt;"",IF(ISERROR(VLOOKUP(SUBSTITUTE(SUBSTITUTE(C37,"R",""),"A",""),TblJoistSize!$A:$A,1,FALSE)),FALSE,TRUE),TRUE)))</x:f>
        <x:v>1</x:v>
      </x:c>
      <x:c r="AQ37" s="1305">
        <x:f t="shared" si="28"/>
        <x:v>7.375</x:v>
      </x:c>
      <x:c r="AR37" s="1305" t="b">
        <x:f t="shared" si="29"/>
        <x:v>0</x:v>
      </x:c>
      <x:c r="AS37" s="1305">
        <x:f t="shared" si="30"/>
        <x:v>7.375</x:v>
      </x:c>
      <x:c r="AT37" s="1305" t="b">
        <x:f t="shared" si="31"/>
        <x:v>0</x:v>
      </x:c>
      <x:c r="AU37" s="1203" t="str">
        <x:f t="shared" si="32"/>
        <x:v>LH</x:v>
      </x:c>
      <x:c r="AV37" s="1063" t="str">
        <x:f t="shared" si="33"/>
        <x:v/>
      </x:c>
      <x:c r="AW37" s="1063" t="str">
        <x:f t="shared" si="34"/>
        <x:v>LH</x:v>
      </x:c>
      <x:c r="AX37" s="1063" t="str">
        <x:f t="shared" si="107"/>
        <x:v>J38</x:v>
      </x:c>
      <x:c r="AY37" s="1306" t="b">
        <x:f t="shared" si="35"/>
        <x:v>0</x:v>
      </x:c>
      <x:c r="AZ37" s="1090" t="b">
        <x:f t="shared" si="36"/>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7"/>
        <x:v/>
      </x:c>
      <x:c r="CE37" s="935" t="str">
        <x:f t="shared" si="38"/>
        <x:v/>
      </x:c>
      <x:c r="CF37" s="1149"/>
      <x:c r="CG37" s="1150"/>
      <x:c r="CH37" s="738" t="str">
        <x:f t="shared" si="39"/>
        <x:v/>
      </x:c>
      <x:c r="CI37" s="739" t="str">
        <x:f t="shared" si="40"/>
        <x:v/>
      </x:c>
      <x:c r="CJ37" s="740" t="str">
        <x:f t="shared" si="41"/>
        <x:v/>
      </x:c>
      <x:c r="CK37" s="741" t="str">
        <x:f t="shared" si="42"/>
        <x:v/>
      </x:c>
      <x:c r="CL37" s="742" t="str">
        <x:f t="shared" si="43"/>
        <x:v/>
      </x:c>
      <x:c r="CM37" s="743" t="str">
        <x:f t="shared" si="44"/>
        <x:v/>
      </x:c>
      <x:c r="CN37" s="744" t="str">
        <x:f t="shared" si="45"/>
        <x:v/>
      </x:c>
      <x:c r="CO37" s="745" t="str">
        <x:f t="shared" si="46"/>
        <x:v/>
      </x:c>
      <x:c r="CP37" s="762" t="str">
        <x:f t="shared" si="47"/>
        <x:v/>
      </x:c>
      <x:c r="CQ37" s="763" t="str">
        <x:f t="shared" si="48"/>
        <x:v/>
      </x:c>
      <x:c r="CR37" s="953">
        <x:f t="shared" si="49"/>
        <x:v>5</x:v>
      </x:c>
      <x:c r="CS37" s="954">
        <x:f t="shared" si="50"/>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51"/>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52"/>
        <x:v>0</x:v>
      </x:c>
      <x:c r="DO37" s="1049">
        <x:f t="shared" si="53"/>
        <x:v>0</x:v>
      </x:c>
      <x:c r="DP37" s="1053" t="str">
        <x:f t="shared" si="54"/>
        <x:v/>
      </x:c>
      <x:c r="DQ37" s="1053" t="str">
        <x:f t="shared" si="55"/>
        <x:v/>
      </x:c>
      <x:c r="DR37" s="1053" t="str">
        <x:f t="shared" si="56"/>
        <x:v/>
      </x:c>
      <x:c r="DS37" s="1052">
        <x:f t="shared" si="57"/>
        <x:v>0</x:v>
      </x:c>
      <x:c r="DT37" s="1052">
        <x:f t="shared" si="58"/>
        <x:v>0</x:v>
      </x:c>
      <x:c r="DU37" s="1052" t="str">
        <x:f t="shared" si="59"/>
        <x:v/>
      </x:c>
      <x:c r="DV37" s="1053" t="str">
        <x:f t="shared" si="60"/>
        <x:v/>
      </x:c>
      <x:c r="DW37" s="1053" t="str">
        <x:f t="shared" si="61"/>
        <x:v/>
      </x:c>
      <x:c r="DX37" s="1269">
        <x:f t="shared" si="62"/>
        <x:v>0</x:v>
      </x:c>
      <x:c r="DY37" s="1053">
        <x:f t="shared" si="63"/>
        <x:v>0</x:v>
      </x:c>
      <x:c r="DZ37" s="1052">
        <x:f t="shared" si="64"/>
        <x:v>0</x:v>
      </x:c>
      <x:c r="EA37" s="1052" t="str">
        <x:f t="shared" si="65"/>
        <x:v/>
      </x:c>
      <x:c r="EB37" s="1053" t="str">
        <x:f t="shared" si="66"/>
        <x:v/>
      </x:c>
      <x:c r="EC37" s="1053" t="str">
        <x:f t="shared" si="67"/>
        <x:v/>
      </x:c>
      <x:c r="ED37" s="1269">
        <x:f t="shared" si="68"/>
        <x:v>0</x:v>
      </x:c>
      <x:c r="EE37" s="1090" t="str">
        <x:f t="shared" si="69"/>
        <x:v/>
      </x:c>
      <x:c r="EF37" s="1053" t="str">
        <x:f t="shared" si="70"/>
        <x:v/>
      </x:c>
      <x:c r="EG37" s="1053" t="str">
        <x:f t="shared" si="71"/>
        <x:v/>
      </x:c>
      <x:c r="EH37" s="1053" t="str">
        <x:f t="shared" si="72"/>
        <x:v>ERR</x:v>
      </x:c>
      <x:c r="EI37" s="1053" t="str">
        <x:f t="shared" si="73"/>
        <x:v>ERR</x:v>
      </x:c>
      <x:c r="EJ37" s="1053" t="str">
        <x:f t="shared" si="74"/>
        <x:v/>
      </x:c>
      <x:c r="EK37" s="1053" t="str">
        <x:f t="shared" si="74"/>
        <x:v/>
      </x:c>
      <x:c r="EL37" s="1090" t="str">
        <x:f t="shared" si="75"/>
        <x:v/>
      </x:c>
      <x:c r="EM37" s="1053" t="str">
        <x:f t="shared" si="76"/>
        <x:v/>
      </x:c>
      <x:c r="EN37" s="1053" t="str">
        <x:f t="shared" si="77"/>
        <x:v/>
      </x:c>
      <x:c r="EO37" s="1053" t="str">
        <x:f t="shared" si="78"/>
        <x:v>ERR</x:v>
      </x:c>
      <x:c r="EP37" s="1053" t="str">
        <x:f t="shared" si="79"/>
        <x:v>ERR</x:v>
      </x:c>
      <x:c r="EQ37" s="1053" t="str">
        <x:f t="shared" si="80"/>
        <x:v/>
      </x:c>
      <x:c r="ER37" s="1053" t="str">
        <x:f t="shared" si="80"/>
        <x:v/>
      </x:c>
      <x:c r="ES37" s="1053" t="str">
        <x:f t="shared" si="81"/>
        <x:v/>
      </x:c>
      <x:c r="ET37" s="1053" t="str">
        <x:f t="shared" si="82"/>
        <x:v/>
      </x:c>
      <x:c r="EU37" s="1061">
        <x:f t="shared" si="83"/>
        <x:v>4</x:v>
      </x:c>
      <x:c r="EV37" s="1055" t="str">
        <x:f t="shared" si="84"/>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5"/>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6"/>
        <x:v/>
      </x:c>
      <x:c r="FD37" s="1052">
        <x:f t="shared" si="108"/>
        <x:v>0</x:v>
      </x:c>
      <x:c r="FE37" s="1052">
        <x:f t="shared" si="87"/>
        <x:v>0</x:v>
      </x:c>
      <x:c r="FF37" s="1052">
        <x:f t="shared" si="88"/>
        <x:v>0</x:v>
      </x:c>
      <x:c r="FG37" s="1052" t="str">
        <x:f t="shared" si="89"/>
        <x:v/>
      </x:c>
      <x:c r="FH37" s="1053" t="str">
        <x:f t="shared" si="90"/>
        <x:v/>
      </x:c>
      <x:c r="FI37" s="1052">
        <x:f t="shared" si="109"/>
        <x:v>0</x:v>
      </x:c>
      <x:c r="FJ37" s="1052">
        <x:f t="shared" si="91"/>
        <x:v>0</x:v>
      </x:c>
      <x:c r="FK37" s="1052">
        <x:f t="shared" si="92"/>
        <x:v>0</x:v>
      </x:c>
      <x:c r="FL37" s="1052" t="str">
        <x:f t="shared" si="93"/>
        <x:v/>
      </x:c>
      <x:c r="FM37" s="1053" t="str">
        <x:f t="shared" si="94"/>
        <x:v/>
      </x:c>
      <x:c r="FN37" s="1053" t="e">
        <x:f t="shared" si="95"/>
        <x:v>#VALUE!</x:v>
      </x:c>
      <x:c r="FO37" s="1062" t="e">
        <x:f t="shared" si="96"/>
        <x:v>#VALUE!</x:v>
      </x:c>
      <x:c r="FP37" s="1062" t="e">
        <x:f t="shared" si="97"/>
        <x:v>#VALUE!</x:v>
      </x:c>
      <x:c r="FQ37" s="1063" t="e">
        <x:f t="shared" si="98"/>
        <x:v>#VALUE!</x:v>
      </x:c>
      <x:c r="FR37" s="1064" t="e">
        <x:f t="shared" si="99"/>
        <x:v>#VALUE!</x:v>
      </x:c>
      <x:c r="FS37" s="1065" t="str">
        <x:f t="shared" si="100"/>
        <x:v/>
      </x:c>
      <x:c r="FT37" s="1066" t="str">
        <x:f t="shared" si="101"/>
        <x:v/>
      </x:c>
      <x:c r="FU37" s="1105">
        <x:f t="shared" si="102"/>
        <x:v>0</x:v>
      </x:c>
      <x:c r="FV37" s="1106">
        <x:f t="shared" si="103"/>
        <x:v>0</x:v>
      </x:c>
      <x:c r="GA37" s="1975">
        <x:v>60</x:v>
      </x:c>
      <x:c r="GB37" s="1976">
        <x:v>0</x:v>
      </x:c>
      <x:c r="GC37" s="1977">
        <x:v>-0.25</x:v>
      </x:c>
      <x:c r="GD37" s="1978">
        <x:v>-0.25</x:v>
      </x:c>
      <x:c r="GE37" s="1979">
        <x:v>0.46666666666666701</x:v>
      </x:c>
      <x:c r="GF37" s="1980" t="str">
        <x:f t="shared" si="104"/>
        <x:v>J38</x:v>
      </x:c>
      <x:c r="GG37" s="1453"/>
      <x:c r="GH37" s="1454"/>
      <x:c r="GI37" s="1453"/>
      <x:c r="GJ37" s="1454"/>
      <x:c r="GK37" s="533">
        <x:f t="shared" si="105"/>
        <x:v>720</x:v>
      </x:c>
      <x:c r="GL37" s="534">
        <x:f t="shared" si="106"/>
        <x:v>720.04386080932431</x:v>
      </x:c>
      <x:c r="GM37" s="535">
        <x:f>IF(ABS(GK37-GL37)&gt;='Job Info.'!$L$22,ABS(GK37-GL37),0)</x:f>
        <x:v>0</x:v>
      </x:c>
      <x:c r="HA37" s="1658" t="s">
        <x:v>1362</x:v>
      </x:c>
      <x:c r="HB37" s="1659">
        <x:v>6</x:v>
      </x:c>
      <x:c r="HC37" s="1659" t="s">
        <x:v>1978</x:v>
      </x:c>
      <x:c r="HD37" s="1660">
        <x:v>60</x:v>
      </x:c>
      <x:c r="HE37" s="1661">
        <x:v>0</x:v>
      </x:c>
      <x:c r="HF37" s="1659">
        <x:v>0</x:v>
      </x:c>
      <x:c r="HG37" s="1659">
        <x:v>1.375</x:v>
      </x:c>
      <x:c r="HH37" s="1659" t="s">
        <x:v>114</x:v>
      </x:c>
      <x:c r="HI37" s="1662">
        <x:v>0</x:v>
      </x:c>
      <x:c r="HJ37" s="1659">
        <x:v>1.375</x:v>
      </x:c>
      <x:c r="HK37" s="1659" t="s">
        <x:v>114</x:v>
      </x:c>
      <x:c r="HL37" s="1659">
        <x:v>3</x:v>
      </x:c>
      <x:c r="HM37" s="1659">
        <x:v>3</x:v>
      </x:c>
      <x:c r="HN37" s="1659" t="s">
        <x:v>117</x:v>
      </x:c>
      <x:c r="HO37" s="1659" t="s">
        <x:v>117</x:v>
      </x:c>
      <x:c r="HP37" s="1659" t="s">
        <x:v>117</x:v>
      </x:c>
      <x:c r="HQ37" s="1662" t="s">
        <x:v>117</x:v>
      </x:c>
      <x:c r="HR37" s="1659" t="s">
        <x:v>117</x:v>
      </x:c>
      <x:c r="HS37" s="1659" t="s">
        <x:v>117</x:v>
      </x:c>
      <x:c r="HT37" s="1659" t="s">
        <x:v>117</x:v>
      </x:c>
      <x:c r="HU37" s="1659" t="s">
        <x:v>117</x:v>
      </x:c>
      <x:c r="HV37" s="1659" t="s">
        <x:v>117</x:v>
      </x:c>
      <x:c r="HW37" s="1661" t="s">
        <x:v>117</x:v>
      </x:c>
      <x:c r="HX37" s="1661">
        <x:v>0</x:v>
      </x:c>
      <x:c r="HY37" s="1661">
        <x:v>0.46666666666666701</x:v>
      </x:c>
      <x:c r="HZ37" s="1661">
        <x:v>-0.46666666666666701</x:v>
      </x:c>
      <x:c r="IA37" s="1661" t="s">
        <x:v>2097</x:v>
      </x:c>
      <x:c r="IB37" s="1661"/>
      <x:c r="IC37" s="1661"/>
      <x:c r="ID37" s="1661"/>
      <x:c r="IE37" s="1661"/>
      <x:c r="IF37" s="1663"/>
    </x:row>
    <x:row r="38" spans="1:240" ht="12.6" customHeight="1" x14ac:dyDescent="0.25">
      <x:c r="A38" s="1264" t="s">
        <x:v>1363</x:v>
      </x:c>
      <x:c r="B38" s="1265">
        <x:v>0</x:v>
      </x:c>
      <x:c r="C38" s="1265" t="s">
        <x:v>1978</x:v>
      </x:c>
      <x:c r="D38" s="1261">
        <x:v>59</x:v>
      </x:c>
      <x:c r="E38" s="1366">
        <x:v>10.5</x:v>
      </x:c>
      <x:c r="F38" s="1328">
        <x:v>0</x:v>
      </x:c>
      <x:c r="G38" s="1262">
        <x:v>0.625</x:v>
      </x:c>
      <x:c r="H38" s="1266" t="s">
        <x:v>114</x:v>
      </x:c>
      <x:c r="I38" s="1261">
        <x:v>0</x:v>
      </x:c>
      <x:c r="J38" s="1262">
        <x:v>0.625</x:v>
      </x:c>
      <x:c r="K38" s="1370" t="s">
        <x:v>114</x:v>
      </x:c>
      <x:c r="L38" s="1327">
        <x:v>3</x:v>
      </x:c>
      <x:c r="M38" s="1329">
        <x:v>3</x:v>
      </x:c>
      <x:c r="N38" s="1263">
        <x:v>0</x:v>
      </x:c>
      <x:c r="O38" s="1262">
        <x:v>4.75</x:v>
      </x:c>
      <x:c r="P38" s="1260">
        <x:v>2</x:v>
      </x:c>
      <x:c r="Q38" s="1261">
        <x:v>0</x:v>
      </x:c>
      <x:c r="R38" s="1262">
        <x:v>7.375</x:v>
      </x:c>
      <x:c r="S38" s="1375">
        <x:v>2</x:v>
      </x:c>
      <x:c r="T38" s="1328">
        <x:v>0</x:v>
      </x:c>
      <x:c r="U38" s="1262">
        <x:v>1.5</x:v>
      </x:c>
      <x:c r="V38" s="1261">
        <x:v>0</x:v>
      </x:c>
      <x:c r="W38" s="1262">
        <x:v>1.5</x:v>
      </x:c>
      <x:c r="X38" s="1329">
        <x:v>4</x:v>
      </x:c>
      <x:c r="Y38" s="1377">
        <x:v>0.46666666666666701</x:v>
      </x:c>
      <x:c r="Z38" s="1378">
        <x:v>-0.46666666666666701</x:v>
      </x:c>
      <x:c r="AA38" s="2159" t="s">
        <x:v>2098</x:v>
      </x:c>
      <x:c r="AC38" s="1226" t="b">
        <x:v>0</x:v>
      </x:c>
      <x:c r="AD38" s="525">
        <x:f t="shared" si="17"/>
        <x:v>0</x:v>
      </x:c>
      <x:c r="AE38" s="526">
        <x:f t="shared" si="18"/>
        <x:v>0</x:v>
      </x:c>
      <x:c r="AF38" s="526">
        <x:f t="shared" si="19"/>
        <x:v>0</x:v>
      </x:c>
      <x:c r="AG38" s="526">
        <x:f t="shared" si="20"/>
        <x:v>0</x:v>
      </x:c>
      <x:c r="AH38" s="527">
        <x:f t="shared" si="21"/>
        <x:v>0</x:v>
      </x:c>
      <x:c r="AI38" s="528" t="b">
        <x:v>0</x:v>
      </x:c>
      <x:c r="AJ38" s="284">
        <x:f t="shared" si="22"/>
        <x:v>36</x:v>
      </x:c>
      <x:c r="AK38" s="1063" t="str">
        <x:f t="shared" si="23"/>
        <x:v>LH</x:v>
      </x:c>
      <x:c r="AL38" s="1202" t="str">
        <x:f t="shared" si="24"/>
        <x:v/>
      </x:c>
      <x:c r="AM38" s="1063">
        <x:f t="shared" si="25"/>
        <x:v>270</x:v>
      </x:c>
      <x:c r="AN38" s="1063">
        <x:f t="shared" si="26"/>
        <x:v>120</x:v>
      </x:c>
      <x:c r="AO38" s="1063" t="str">
        <x:f t="shared" si="27"/>
        <x:v/>
      </x:c>
      <x:c r="AP38" s="1063" t="b">
        <x:f>IF(ISERROR(AJ38),FALSE,IF(OR(AJ38=0,ISERROR(AL38),ISERROR(AM38),ISERROR(AN38),ISERROR(AO38)),FALSE,IF(AL38&lt;&gt;"",IF(ISERROR(VLOOKUP(SUBSTITUTE(SUBSTITUTE(C38,"R",""),"A",""),TblJoistSize!$A:$A,1,FALSE)),FALSE,TRUE),TRUE)))</x:f>
        <x:v>1</x:v>
      </x:c>
      <x:c r="AQ38" s="1305">
        <x:f t="shared" si="28"/>
        <x:v>6.625</x:v>
      </x:c>
      <x:c r="AR38" s="1305" t="b">
        <x:f t="shared" si="29"/>
        <x:v>1</x:v>
      </x:c>
      <x:c r="AS38" s="1305">
        <x:f t="shared" si="30"/>
        <x:v>6.625</x:v>
      </x:c>
      <x:c r="AT38" s="1305" t="b">
        <x:f t="shared" si="31"/>
        <x:v>1</x:v>
      </x:c>
      <x:c r="AU38" s="1203" t="str">
        <x:f t="shared" si="32"/>
        <x:v>LH</x:v>
      </x:c>
      <x:c r="AV38" s="1063" t="str">
        <x:f t="shared" si="33"/>
        <x:v/>
      </x:c>
      <x:c r="AW38" s="1063" t="str">
        <x:f t="shared" si="34"/>
        <x:v>LH</x:v>
      </x:c>
      <x:c r="AX38" s="1063" t="str">
        <x:f t="shared" si="107"/>
        <x:v>TJ39</x:v>
      </x:c>
      <x:c r="AY38" s="1306" t="b">
        <x:f t="shared" si="35"/>
        <x:v>0</x:v>
      </x:c>
      <x:c r="AZ38" s="1090" t="b">
        <x:f t="shared" si="36"/>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7"/>
        <x:v/>
      </x:c>
      <x:c r="CE38" s="935" t="str">
        <x:f t="shared" si="38"/>
        <x:v/>
      </x:c>
      <x:c r="CF38" s="1149"/>
      <x:c r="CG38" s="1150"/>
      <x:c r="CH38" s="738" t="str">
        <x:f t="shared" si="39"/>
        <x:v/>
      </x:c>
      <x:c r="CI38" s="739" t="str">
        <x:f t="shared" si="40"/>
        <x:v/>
      </x:c>
      <x:c r="CJ38" s="740" t="str">
        <x:f t="shared" si="41"/>
        <x:v/>
      </x:c>
      <x:c r="CK38" s="741" t="str">
        <x:f t="shared" si="42"/>
        <x:v/>
      </x:c>
      <x:c r="CL38" s="742" t="str">
        <x:f t="shared" si="43"/>
        <x:v/>
      </x:c>
      <x:c r="CM38" s="743" t="str">
        <x:f t="shared" si="44"/>
        <x:v/>
      </x:c>
      <x:c r="CN38" s="744" t="str">
        <x:f t="shared" si="45"/>
        <x:v/>
      </x:c>
      <x:c r="CO38" s="745" t="str">
        <x:f t="shared" si="46"/>
        <x:v/>
      </x:c>
      <x:c r="CP38" s="762" t="str">
        <x:f t="shared" si="47"/>
        <x:v/>
      </x:c>
      <x:c r="CQ38" s="763" t="str">
        <x:f t="shared" si="48"/>
        <x:v/>
      </x:c>
      <x:c r="CR38" s="953">
        <x:f t="shared" si="49"/>
        <x:v>5</x:v>
      </x:c>
      <x:c r="CS38" s="954">
        <x:f t="shared" si="50"/>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51"/>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52"/>
        <x:v>0</x:v>
      </x:c>
      <x:c r="DO38" s="1049">
        <x:f t="shared" si="53"/>
        <x:v>0</x:v>
      </x:c>
      <x:c r="DP38" s="1053" t="str">
        <x:f t="shared" si="54"/>
        <x:v/>
      </x:c>
      <x:c r="DQ38" s="1053" t="str">
        <x:f t="shared" si="55"/>
        <x:v/>
      </x:c>
      <x:c r="DR38" s="1053" t="str">
        <x:f t="shared" si="56"/>
        <x:v/>
      </x:c>
      <x:c r="DS38" s="1052">
        <x:f t="shared" si="57"/>
        <x:v>0</x:v>
      </x:c>
      <x:c r="DT38" s="1052">
        <x:f t="shared" si="58"/>
        <x:v>0</x:v>
      </x:c>
      <x:c r="DU38" s="1052" t="str">
        <x:f t="shared" si="59"/>
        <x:v/>
      </x:c>
      <x:c r="DV38" s="1053" t="str">
        <x:f t="shared" si="60"/>
        <x:v/>
      </x:c>
      <x:c r="DW38" s="1053" t="str">
        <x:f t="shared" si="61"/>
        <x:v/>
      </x:c>
      <x:c r="DX38" s="1269">
        <x:f t="shared" si="62"/>
        <x:v>0</x:v>
      </x:c>
      <x:c r="DY38" s="1053">
        <x:f t="shared" si="63"/>
        <x:v>0</x:v>
      </x:c>
      <x:c r="DZ38" s="1052">
        <x:f t="shared" si="64"/>
        <x:v>0</x:v>
      </x:c>
      <x:c r="EA38" s="1052" t="str">
        <x:f t="shared" si="65"/>
        <x:v/>
      </x:c>
      <x:c r="EB38" s="1053" t="str">
        <x:f t="shared" si="66"/>
        <x:v/>
      </x:c>
      <x:c r="EC38" s="1053" t="str">
        <x:f t="shared" si="67"/>
        <x:v/>
      </x:c>
      <x:c r="ED38" s="1269">
        <x:f t="shared" si="68"/>
        <x:v>0</x:v>
      </x:c>
      <x:c r="EE38" s="1090" t="str">
        <x:f t="shared" si="69"/>
        <x:v/>
      </x:c>
      <x:c r="EF38" s="1053" t="str">
        <x:f t="shared" si="70"/>
        <x:v/>
      </x:c>
      <x:c r="EG38" s="1053" t="str">
        <x:f t="shared" si="71"/>
        <x:v/>
      </x:c>
      <x:c r="EH38" s="1053" t="str">
        <x:f t="shared" si="72"/>
        <x:v>ERR</x:v>
      </x:c>
      <x:c r="EI38" s="1053" t="str">
        <x:f t="shared" si="73"/>
        <x:v>ERR</x:v>
      </x:c>
      <x:c r="EJ38" s="1053" t="str">
        <x:f t="shared" si="74"/>
        <x:v/>
      </x:c>
      <x:c r="EK38" s="1053" t="str">
        <x:f t="shared" si="74"/>
        <x:v/>
      </x:c>
      <x:c r="EL38" s="1090" t="str">
        <x:f t="shared" si="75"/>
        <x:v/>
      </x:c>
      <x:c r="EM38" s="1053" t="str">
        <x:f t="shared" si="76"/>
        <x:v/>
      </x:c>
      <x:c r="EN38" s="1053" t="str">
        <x:f t="shared" si="77"/>
        <x:v/>
      </x:c>
      <x:c r="EO38" s="1053" t="str">
        <x:f t="shared" si="78"/>
        <x:v>ERR</x:v>
      </x:c>
      <x:c r="EP38" s="1053" t="str">
        <x:f t="shared" si="79"/>
        <x:v>ERR</x:v>
      </x:c>
      <x:c r="EQ38" s="1053" t="str">
        <x:f t="shared" si="80"/>
        <x:v/>
      </x:c>
      <x:c r="ER38" s="1053" t="str">
        <x:f t="shared" si="80"/>
        <x:v/>
      </x:c>
      <x:c r="ES38" s="1053" t="str">
        <x:f t="shared" si="81"/>
        <x:v/>
      </x:c>
      <x:c r="ET38" s="1053" t="str">
        <x:f t="shared" si="82"/>
        <x:v/>
      </x:c>
      <x:c r="EU38" s="1061">
        <x:f t="shared" si="83"/>
        <x:v>4</x:v>
      </x:c>
      <x:c r="EV38" s="1055" t="str">
        <x:f t="shared" si="84"/>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5"/>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6"/>
        <x:v/>
      </x:c>
      <x:c r="FD38" s="1052">
        <x:f t="shared" si="108"/>
        <x:v>0</x:v>
      </x:c>
      <x:c r="FE38" s="1052">
        <x:f t="shared" si="87"/>
        <x:v>0</x:v>
      </x:c>
      <x:c r="FF38" s="1052">
        <x:f t="shared" si="88"/>
        <x:v>0</x:v>
      </x:c>
      <x:c r="FG38" s="1052" t="str">
        <x:f t="shared" si="89"/>
        <x:v/>
      </x:c>
      <x:c r="FH38" s="1053" t="str">
        <x:f t="shared" si="90"/>
        <x:v/>
      </x:c>
      <x:c r="FI38" s="1052">
        <x:f t="shared" si="109"/>
        <x:v>0</x:v>
      </x:c>
      <x:c r="FJ38" s="1052">
        <x:f t="shared" si="91"/>
        <x:v>0</x:v>
      </x:c>
      <x:c r="FK38" s="1052">
        <x:f t="shared" si="92"/>
        <x:v>0</x:v>
      </x:c>
      <x:c r="FL38" s="1052" t="str">
        <x:f t="shared" si="93"/>
        <x:v/>
      </x:c>
      <x:c r="FM38" s="1053" t="str">
        <x:f t="shared" si="94"/>
        <x:v/>
      </x:c>
      <x:c r="FN38" s="1053" t="e">
        <x:f t="shared" si="95"/>
        <x:v>#VALUE!</x:v>
      </x:c>
      <x:c r="FO38" s="1062" t="e">
        <x:f t="shared" si="96"/>
        <x:v>#VALUE!</x:v>
      </x:c>
      <x:c r="FP38" s="1062" t="e">
        <x:f t="shared" si="97"/>
        <x:v>#VALUE!</x:v>
      </x:c>
      <x:c r="FQ38" s="1063" t="e">
        <x:f t="shared" si="98"/>
        <x:v>#VALUE!</x:v>
      </x:c>
      <x:c r="FR38" s="1064" t="e">
        <x:f t="shared" si="99"/>
        <x:v>#VALUE!</x:v>
      </x:c>
      <x:c r="FS38" s="1065" t="str">
        <x:f t="shared" si="100"/>
        <x:v/>
      </x:c>
      <x:c r="FT38" s="1066" t="str">
        <x:f t="shared" si="101"/>
        <x:v/>
      </x:c>
      <x:c r="FU38" s="1105">
        <x:f t="shared" si="102"/>
        <x:v>0</x:v>
      </x:c>
      <x:c r="FV38" s="1106">
        <x:f t="shared" si="103"/>
        <x:v>0</x:v>
      </x:c>
      <x:c r="GA38" s="1975">
        <x:v>60</x:v>
      </x:c>
      <x:c r="GB38" s="1976">
        <x:v>0</x:v>
      </x:c>
      <x:c r="GC38" s="1977">
        <x:v>-1</x:v>
      </x:c>
      <x:c r="GD38" s="1978">
        <x:v>-1</x:v>
      </x:c>
      <x:c r="GE38" s="1979">
        <x:v>0.46666666666666701</x:v>
      </x:c>
      <x:c r="GF38" s="1980" t="str">
        <x:f t="shared" si="104"/>
        <x:v>TJ39</x:v>
      </x:c>
      <x:c r="GG38" s="1453"/>
      <x:c r="GH38" s="1454"/>
      <x:c r="GI38" s="1453"/>
      <x:c r="GJ38" s="1454"/>
      <x:c r="GK38" s="533">
        <x:f t="shared" si="105"/>
        <x:v>718.5</x:v>
      </x:c>
      <x:c r="GL38" s="534">
        <x:f t="shared" si="106"/>
        <x:v>718.54272697858903</x:v>
      </x:c>
      <x:c r="GM38" s="535">
        <x:f>IF(ABS(GK38-GL38)&gt;='Job Info.'!$L$22,ABS(GK38-GL38),0)</x:f>
        <x:v>0</x:v>
      </x:c>
      <x:c r="HA38" s="1658" t="s">
        <x:v>1363</x:v>
      </x:c>
      <x:c r="HB38" s="1659">
        <x:v>3</x:v>
      </x:c>
      <x:c r="HC38" s="1659" t="s">
        <x:v>1978</x:v>
      </x:c>
      <x:c r="HD38" s="1660">
        <x:v>59</x:v>
      </x:c>
      <x:c r="HE38" s="1661">
        <x:v>10.5</x:v>
      </x:c>
      <x:c r="HF38" s="1659">
        <x:v>0</x:v>
      </x:c>
      <x:c r="HG38" s="1659">
        <x:v>0.625</x:v>
      </x:c>
      <x:c r="HH38" s="1659" t="s">
        <x:v>114</x:v>
      </x:c>
      <x:c r="HI38" s="1662">
        <x:v>0</x:v>
      </x:c>
      <x:c r="HJ38" s="1659">
        <x:v>0.625</x:v>
      </x:c>
      <x:c r="HK38" s="1659" t="s">
        <x:v>114</x:v>
      </x:c>
      <x:c r="HL38" s="1659">
        <x:v>3</x:v>
      </x:c>
      <x:c r="HM38" s="1659">
        <x:v>3</x:v>
      </x:c>
      <x:c r="HN38" s="1659">
        <x:v>0</x:v>
      </x:c>
      <x:c r="HO38" s="1659">
        <x:v>4.75</x:v>
      </x:c>
      <x:c r="HP38" s="1659">
        <x:v>2</x:v>
      </x:c>
      <x:c r="HQ38" s="1662">
        <x:v>0</x:v>
      </x:c>
      <x:c r="HR38" s="1659">
        <x:v>7.375</x:v>
      </x:c>
      <x:c r="HS38" s="1659">
        <x:v>2</x:v>
      </x:c>
      <x:c r="HT38" s="1659">
        <x:v>0</x:v>
      </x:c>
      <x:c r="HU38" s="1659">
        <x:v>1.5</x:v>
      </x:c>
      <x:c r="HV38" s="1659">
        <x:v>0</x:v>
      </x:c>
      <x:c r="HW38" s="1661">
        <x:v>1.5</x:v>
      </x:c>
      <x:c r="HX38" s="1661">
        <x:v>4</x:v>
      </x:c>
      <x:c r="HY38" s="1661">
        <x:v>0.46666666666666701</x:v>
      </x:c>
      <x:c r="HZ38" s="1661">
        <x:v>-0.46666666666666701</x:v>
      </x:c>
      <x:c r="IA38" s="1661" t="s">
        <x:v>2098</x:v>
      </x:c>
      <x:c r="IB38" s="1661"/>
      <x:c r="IC38" s="1661"/>
      <x:c r="ID38" s="1661"/>
      <x:c r="IE38" s="1661"/>
      <x:c r="IF38" s="1663"/>
    </x:row>
    <x:row r="39" spans="1:240" ht="12.6" customHeight="1" x14ac:dyDescent="0.25">
      <x:c r="A39" s="1264" t="s">
        <x:v>1364</x:v>
      </x:c>
      <x:c r="B39" s="1265">
        <x:v>0</x:v>
      </x:c>
      <x:c r="C39" s="1265" t="s">
        <x:v>1978</x:v>
      </x:c>
      <x:c r="D39" s="1261">
        <x:v>60</x:v>
      </x:c>
      <x:c r="E39" s="1366">
        <x:v>0</x:v>
      </x:c>
      <x:c r="F39" s="1328">
        <x:v>0</x:v>
      </x:c>
      <x:c r="G39" s="1262">
        <x:v>1.375</x:v>
      </x:c>
      <x:c r="H39" s="1266" t="s">
        <x:v>114</x:v>
      </x:c>
      <x:c r="I39" s="1261">
        <x:v>0</x:v>
      </x:c>
      <x:c r="J39" s="1262">
        <x:v>1.375</x:v>
      </x:c>
      <x:c r="K39" s="1370" t="s">
        <x:v>114</x:v>
      </x:c>
      <x:c r="L39" s="1327">
        <x:v>3</x:v>
      </x:c>
      <x:c r="M39" s="1329">
        <x:v>3</x:v>
      </x:c>
      <x:c r="N39" s="1263" t="str">
        <x:f t="shared" si="4"/>
        <x:v/>
      </x:c>
      <x:c r="O39" s="1262" t="str">
        <x:f t="shared" si="5"/>
        <x:v/>
      </x:c>
      <x:c r="P39" s="1260" t="str">
        <x:f t="shared" si="6"/>
        <x:v/>
      </x:c>
      <x:c r="Q39" s="1261" t="str">
        <x:f t="shared" si="7"/>
        <x:v/>
      </x:c>
      <x:c r="R39" s="1262" t="str">
        <x:f t="shared" si="8"/>
        <x:v/>
      </x:c>
      <x:c r="S39" s="1375" t="str">
        <x:f t="shared" si="9"/>
        <x:v/>
      </x:c>
      <x:c r="T39" s="1328">
        <x:v>0</x:v>
      </x:c>
      <x:c r="U39" s="1262">
        <x:v>2.25</x:v>
      </x:c>
      <x:c r="V39" s="1261">
        <x:v>0</x:v>
      </x:c>
      <x:c r="W39" s="1262">
        <x:v>2.25</x:v>
      </x:c>
      <x:c r="X39" s="1329">
        <x:v>4</x:v>
      </x:c>
      <x:c r="Y39" s="1377">
        <x:v>0.46666666666666701</x:v>
      </x:c>
      <x:c r="Z39" s="1378">
        <x:v>-0.46666666666666701</x:v>
      </x:c>
      <x:c r="AA39" s="2159" t="s">
        <x:v>2096</x:v>
      </x:c>
      <x:c r="AC39" s="1226" t="b">
        <x:v>0</x:v>
      </x:c>
      <x:c r="AD39" s="525">
        <x:f t="shared" si="17"/>
        <x:v>0</x:v>
      </x:c>
      <x:c r="AE39" s="526">
        <x:f t="shared" si="18"/>
        <x:v>0</x:v>
      </x:c>
      <x:c r="AF39" s="526">
        <x:f t="shared" si="19"/>
        <x:v>0</x:v>
      </x:c>
      <x:c r="AG39" s="526">
        <x:f t="shared" si="20"/>
        <x:v>0</x:v>
      </x:c>
      <x:c r="AH39" s="527">
        <x:f t="shared" si="21"/>
        <x:v>0</x:v>
      </x:c>
      <x:c r="AI39" s="528" t="b">
        <x:v>0</x:v>
      </x:c>
      <x:c r="AJ39" s="284">
        <x:f t="shared" si="22"/>
        <x:v>36</x:v>
      </x:c>
      <x:c r="AK39" s="1063" t="str">
        <x:f t="shared" si="23"/>
        <x:v>LH</x:v>
      </x:c>
      <x:c r="AL39" s="1202" t="str">
        <x:f t="shared" si="24"/>
        <x:v/>
      </x:c>
      <x:c r="AM39" s="1063">
        <x:f t="shared" si="25"/>
        <x:v>270</x:v>
      </x:c>
      <x:c r="AN39" s="1063">
        <x:f t="shared" si="26"/>
        <x:v>120</x:v>
      </x:c>
      <x:c r="AO39" s="1063" t="str">
        <x:f t="shared" si="27"/>
        <x:v/>
      </x:c>
      <x:c r="AP39" s="1063" t="b">
        <x:f>IF(ISERROR(AJ39),FALSE,IF(OR(AJ39=0,ISERROR(AL39),ISERROR(AM39),ISERROR(AN39),ISERROR(AO39)),FALSE,IF(AL39&lt;&gt;"",IF(ISERROR(VLOOKUP(SUBSTITUTE(SUBSTITUTE(C39,"R",""),"A",""),TblJoistSize!$A:$A,1,FALSE)),FALSE,TRUE),TRUE)))</x:f>
        <x:v>1</x:v>
      </x:c>
      <x:c r="AQ39" s="1305">
        <x:f t="shared" si="28"/>
        <x:v>7.375</x:v>
      </x:c>
      <x:c r="AR39" s="1305" t="b">
        <x:f t="shared" si="29"/>
        <x:v>1</x:v>
      </x:c>
      <x:c r="AS39" s="1305">
        <x:f t="shared" si="30"/>
        <x:v>7.375</x:v>
      </x:c>
      <x:c r="AT39" s="1305" t="b">
        <x:f t="shared" si="31"/>
        <x:v>1</x:v>
      </x:c>
      <x:c r="AU39" s="1203" t="str">
        <x:f t="shared" si="32"/>
        <x:v>LH</x:v>
      </x:c>
      <x:c r="AV39" s="1063" t="str">
        <x:f t="shared" si="33"/>
        <x:v/>
      </x:c>
      <x:c r="AW39" s="1063" t="str">
        <x:f t="shared" si="34"/>
        <x:v>LH</x:v>
      </x:c>
      <x:c r="AX39" s="1063" t="str">
        <x:f t="shared" si="107"/>
        <x:v>TJ40</x:v>
      </x:c>
      <x:c r="AY39" s="1306" t="b">
        <x:f t="shared" si="35"/>
        <x:v>0</x:v>
      </x:c>
      <x:c r="AZ39" s="1090" t="b">
        <x:f t="shared" si="36"/>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7"/>
        <x:v/>
      </x:c>
      <x:c r="CE39" s="935" t="str">
        <x:f t="shared" si="38"/>
        <x:v/>
      </x:c>
      <x:c r="CF39" s="1149"/>
      <x:c r="CG39" s="1150"/>
      <x:c r="CH39" s="738" t="str">
        <x:f t="shared" si="39"/>
        <x:v/>
      </x:c>
      <x:c r="CI39" s="739" t="str">
        <x:f t="shared" si="40"/>
        <x:v/>
      </x:c>
      <x:c r="CJ39" s="740" t="str">
        <x:f t="shared" si="41"/>
        <x:v/>
      </x:c>
      <x:c r="CK39" s="741" t="str">
        <x:f t="shared" si="42"/>
        <x:v/>
      </x:c>
      <x:c r="CL39" s="742" t="str">
        <x:f t="shared" si="43"/>
        <x:v/>
      </x:c>
      <x:c r="CM39" s="743" t="str">
        <x:f t="shared" si="44"/>
        <x:v/>
      </x:c>
      <x:c r="CN39" s="744" t="str">
        <x:f t="shared" si="45"/>
        <x:v/>
      </x:c>
      <x:c r="CO39" s="745" t="str">
        <x:f t="shared" si="46"/>
        <x:v/>
      </x:c>
      <x:c r="CP39" s="762" t="str">
        <x:f t="shared" si="47"/>
        <x:v/>
      </x:c>
      <x:c r="CQ39" s="763" t="str">
        <x:f t="shared" si="48"/>
        <x:v/>
      </x:c>
      <x:c r="CR39" s="953">
        <x:f t="shared" si="49"/>
        <x:v>5</x:v>
      </x:c>
      <x:c r="CS39" s="954">
        <x:f t="shared" si="50"/>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51"/>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52"/>
        <x:v>0</x:v>
      </x:c>
      <x:c r="DO39" s="1049">
        <x:f t="shared" si="53"/>
        <x:v>0</x:v>
      </x:c>
      <x:c r="DP39" s="1053" t="str">
        <x:f t="shared" si="54"/>
        <x:v/>
      </x:c>
      <x:c r="DQ39" s="1053" t="str">
        <x:f t="shared" si="55"/>
        <x:v/>
      </x:c>
      <x:c r="DR39" s="1053" t="str">
        <x:f t="shared" si="56"/>
        <x:v/>
      </x:c>
      <x:c r="DS39" s="1052">
        <x:f t="shared" si="57"/>
        <x:v>0</x:v>
      </x:c>
      <x:c r="DT39" s="1052">
        <x:f t="shared" si="58"/>
        <x:v>0</x:v>
      </x:c>
      <x:c r="DU39" s="1052" t="str">
        <x:f t="shared" si="59"/>
        <x:v/>
      </x:c>
      <x:c r="DV39" s="1053" t="str">
        <x:f t="shared" si="60"/>
        <x:v/>
      </x:c>
      <x:c r="DW39" s="1053" t="str">
        <x:f t="shared" si="61"/>
        <x:v/>
      </x:c>
      <x:c r="DX39" s="1269">
        <x:f t="shared" si="62"/>
        <x:v>0</x:v>
      </x:c>
      <x:c r="DY39" s="1053">
        <x:f t="shared" si="63"/>
        <x:v>0</x:v>
      </x:c>
      <x:c r="DZ39" s="1052">
        <x:f t="shared" si="64"/>
        <x:v>0</x:v>
      </x:c>
      <x:c r="EA39" s="1052" t="str">
        <x:f t="shared" si="65"/>
        <x:v/>
      </x:c>
      <x:c r="EB39" s="1053" t="str">
        <x:f t="shared" si="66"/>
        <x:v/>
      </x:c>
      <x:c r="EC39" s="1053" t="str">
        <x:f t="shared" si="67"/>
        <x:v/>
      </x:c>
      <x:c r="ED39" s="1269">
        <x:f t="shared" si="68"/>
        <x:v>0</x:v>
      </x:c>
      <x:c r="EE39" s="1090" t="str">
        <x:f t="shared" si="69"/>
        <x:v/>
      </x:c>
      <x:c r="EF39" s="1053" t="str">
        <x:f t="shared" si="70"/>
        <x:v/>
      </x:c>
      <x:c r="EG39" s="1053" t="str">
        <x:f t="shared" si="71"/>
        <x:v/>
      </x:c>
      <x:c r="EH39" s="1053" t="str">
        <x:f t="shared" si="72"/>
        <x:v>ERR</x:v>
      </x:c>
      <x:c r="EI39" s="1053" t="str">
        <x:f t="shared" si="73"/>
        <x:v>ERR</x:v>
      </x:c>
      <x:c r="EJ39" s="1053" t="str">
        <x:f t="shared" si="74"/>
        <x:v/>
      </x:c>
      <x:c r="EK39" s="1053" t="str">
        <x:f t="shared" si="74"/>
        <x:v/>
      </x:c>
      <x:c r="EL39" s="1090" t="str">
        <x:f t="shared" si="75"/>
        <x:v/>
      </x:c>
      <x:c r="EM39" s="1053" t="str">
        <x:f t="shared" si="76"/>
        <x:v/>
      </x:c>
      <x:c r="EN39" s="1053" t="str">
        <x:f t="shared" si="77"/>
        <x:v/>
      </x:c>
      <x:c r="EO39" s="1053" t="str">
        <x:f t="shared" si="78"/>
        <x:v>ERR</x:v>
      </x:c>
      <x:c r="EP39" s="1053" t="str">
        <x:f t="shared" si="79"/>
        <x:v>ERR</x:v>
      </x:c>
      <x:c r="EQ39" s="1053" t="str">
        <x:f t="shared" si="80"/>
        <x:v/>
      </x:c>
      <x:c r="ER39" s="1053" t="str">
        <x:f t="shared" si="80"/>
        <x:v/>
      </x:c>
      <x:c r="ES39" s="1053" t="str">
        <x:f t="shared" si="81"/>
        <x:v/>
      </x:c>
      <x:c r="ET39" s="1053" t="str">
        <x:f t="shared" si="82"/>
        <x:v/>
      </x:c>
      <x:c r="EU39" s="1061">
        <x:f t="shared" si="83"/>
        <x:v>4</x:v>
      </x:c>
      <x:c r="EV39" s="1055" t="str">
        <x:f t="shared" si="84"/>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5"/>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6"/>
        <x:v/>
      </x:c>
      <x:c r="FD39" s="1052">
        <x:f t="shared" si="108"/>
        <x:v>0</x:v>
      </x:c>
      <x:c r="FE39" s="1052">
        <x:f t="shared" si="87"/>
        <x:v>0</x:v>
      </x:c>
      <x:c r="FF39" s="1052">
        <x:f t="shared" si="88"/>
        <x:v>0</x:v>
      </x:c>
      <x:c r="FG39" s="1052" t="str">
        <x:f t="shared" si="89"/>
        <x:v/>
      </x:c>
      <x:c r="FH39" s="1053" t="str">
        <x:f t="shared" si="90"/>
        <x:v/>
      </x:c>
      <x:c r="FI39" s="1052">
        <x:f t="shared" si="109"/>
        <x:v>0</x:v>
      </x:c>
      <x:c r="FJ39" s="1052">
        <x:f t="shared" si="91"/>
        <x:v>0</x:v>
      </x:c>
      <x:c r="FK39" s="1052">
        <x:f t="shared" si="92"/>
        <x:v>0</x:v>
      </x:c>
      <x:c r="FL39" s="1052" t="str">
        <x:f t="shared" si="93"/>
        <x:v/>
      </x:c>
      <x:c r="FM39" s="1053" t="str">
        <x:f t="shared" si="94"/>
        <x:v/>
      </x:c>
      <x:c r="FN39" s="1053" t="e">
        <x:f t="shared" si="95"/>
        <x:v>#VALUE!</x:v>
      </x:c>
      <x:c r="FO39" s="1062" t="e">
        <x:f t="shared" si="96"/>
        <x:v>#VALUE!</x:v>
      </x:c>
      <x:c r="FP39" s="1062" t="e">
        <x:f t="shared" si="97"/>
        <x:v>#VALUE!</x:v>
      </x:c>
      <x:c r="FQ39" s="1063" t="e">
        <x:f t="shared" si="98"/>
        <x:v>#VALUE!</x:v>
      </x:c>
      <x:c r="FR39" s="1064" t="e">
        <x:f t="shared" si="99"/>
        <x:v>#VALUE!</x:v>
      </x:c>
      <x:c r="FS39" s="1065" t="str">
        <x:f t="shared" si="100"/>
        <x:v/>
      </x:c>
      <x:c r="FT39" s="1066" t="str">
        <x:f t="shared" si="101"/>
        <x:v/>
      </x:c>
      <x:c r="FU39" s="1105">
        <x:f t="shared" si="102"/>
        <x:v>0</x:v>
      </x:c>
      <x:c r="FV39" s="1106">
        <x:f t="shared" si="103"/>
        <x:v>0</x:v>
      </x:c>
      <x:c r="GA39" s="1975">
        <x:v>60</x:v>
      </x:c>
      <x:c r="GB39" s="1976">
        <x:v>0</x:v>
      </x:c>
      <x:c r="GC39" s="1977">
        <x:v>-0.25</x:v>
      </x:c>
      <x:c r="GD39" s="1978">
        <x:v>-0.25</x:v>
      </x:c>
      <x:c r="GE39" s="1979">
        <x:v>0.46666666666666701</x:v>
      </x:c>
      <x:c r="GF39" s="1980" t="str">
        <x:f t="shared" si="104"/>
        <x:v>TJ40</x:v>
      </x:c>
      <x:c r="GG39" s="1453"/>
      <x:c r="GH39" s="1454"/>
      <x:c r="GI39" s="1453"/>
      <x:c r="GJ39" s="1454"/>
      <x:c r="GK39" s="533">
        <x:f t="shared" si="105"/>
        <x:v>720</x:v>
      </x:c>
      <x:c r="GL39" s="534">
        <x:f t="shared" si="106"/>
        <x:v>720.04386080932431</x:v>
      </x:c>
      <x:c r="GM39" s="535">
        <x:f>IF(ABS(GK39-GL39)&gt;='Job Info.'!$L$22,ABS(GK39-GL39),0)</x:f>
        <x:v>0</x:v>
      </x:c>
      <x:c r="HA39" s="1658" t="s">
        <x:v>1364</x:v>
      </x:c>
      <x:c r="HB39" s="1659">
        <x:v>2</x:v>
      </x:c>
      <x:c r="HC39" s="1659" t="s">
        <x:v>1978</x:v>
      </x:c>
      <x:c r="HD39" s="1660">
        <x:v>60</x:v>
      </x:c>
      <x:c r="HE39" s="1661">
        <x:v>0</x:v>
      </x:c>
      <x:c r="HF39" s="1659">
        <x:v>0</x:v>
      </x:c>
      <x:c r="HG39" s="1659">
        <x:v>1.375</x:v>
      </x:c>
      <x:c r="HH39" s="1659" t="s">
        <x:v>114</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x:v>0</x:v>
      </x:c>
      <x:c r="HU39" s="1659">
        <x:v>2.25</x:v>
      </x:c>
      <x:c r="HV39" s="1659">
        <x:v>0</x:v>
      </x:c>
      <x:c r="HW39" s="1661">
        <x:v>2.25</x:v>
      </x:c>
      <x:c r="HX39" s="1661">
        <x:v>4</x:v>
      </x:c>
      <x:c r="HY39" s="1661">
        <x:v>0.46666666666666701</x:v>
      </x:c>
      <x:c r="HZ39" s="1661">
        <x:v>-0.46666666666666701</x:v>
      </x:c>
      <x:c r="IA39" s="1661" t="s">
        <x:v>2096</x:v>
      </x:c>
      <x:c r="IB39" s="1661"/>
      <x:c r="IC39" s="1661"/>
      <x:c r="ID39" s="1661"/>
      <x:c r="IE39" s="1661"/>
      <x:c r="IF39" s="1663"/>
    </x:row>
    <x:row r="40" spans="1:240" ht="12.6" customHeight="1" x14ac:dyDescent="0.25">
      <x:c r="A40" s="1264" t="s">
        <x:v>1365</x:v>
      </x:c>
      <x:c r="B40" s="1265">
        <x:v>0</x:v>
      </x:c>
      <x:c r="C40" s="1265" t="s">
        <x:v>1978</x:v>
      </x:c>
      <x:c r="D40" s="1261">
        <x:v>59</x:v>
      </x:c>
      <x:c r="E40" s="1366">
        <x:v>10.5</x:v>
      </x:c>
      <x:c r="F40" s="1328">
        <x:v>0</x:v>
      </x:c>
      <x:c r="G40" s="1262">
        <x:v>0.625</x:v>
      </x:c>
      <x:c r="H40" s="1266" t="s">
        <x:v>114</x:v>
      </x:c>
      <x:c r="I40" s="1261">
        <x:v>0</x:v>
      </x:c>
      <x:c r="J40" s="1262">
        <x:v>0.625</x:v>
      </x:c>
      <x:c r="K40" s="1370" t="s">
        <x:v>114</x:v>
      </x:c>
      <x:c r="L40" s="1327">
        <x:v>3</x:v>
      </x:c>
      <x:c r="M40" s="1329">
        <x:v>3</x:v>
      </x:c>
      <x:c r="N40" s="1263">
        <x:v>0</x:v>
      </x:c>
      <x:c r="O40" s="1262">
        <x:v>4.75</x:v>
      </x:c>
      <x:c r="P40" s="1260">
        <x:v>2</x:v>
      </x:c>
      <x:c r="Q40" s="1261">
        <x:v>0</x:v>
      </x:c>
      <x:c r="R40" s="1262">
        <x:v>7.375</x:v>
      </x:c>
      <x:c r="S40" s="1375">
        <x:v>2</x:v>
      </x:c>
      <x:c r="T40" s="1328">
        <x:v>0</x:v>
      </x:c>
      <x:c r="U40" s="1262">
        <x:v>1.5</x:v>
      </x:c>
      <x:c r="V40" s="1261">
        <x:v>0</x:v>
      </x:c>
      <x:c r="W40" s="1262">
        <x:v>1.5</x:v>
      </x:c>
      <x:c r="X40" s="1329">
        <x:v>4</x:v>
      </x:c>
      <x:c r="Y40" s="1377">
        <x:v>0.46666666666666701</x:v>
      </x:c>
      <x:c r="Z40" s="1378">
        <x:v>-0.46666666666666701</x:v>
      </x:c>
      <x:c r="AA40" s="2159" t="s">
        <x:v>2099</x:v>
      </x:c>
      <x:c r="AC40" s="1226" t="b">
        <x:v>0</x:v>
      </x:c>
      <x:c r="AD40" s="525">
        <x:f t="shared" si="17"/>
        <x:v>0</x:v>
      </x:c>
      <x:c r="AE40" s="526">
        <x:f t="shared" si="18"/>
        <x:v>0</x:v>
      </x:c>
      <x:c r="AF40" s="526">
        <x:f t="shared" si="19"/>
        <x:v>0</x:v>
      </x:c>
      <x:c r="AG40" s="526">
        <x:f t="shared" si="20"/>
        <x:v>0</x:v>
      </x:c>
      <x:c r="AH40" s="527">
        <x:f t="shared" si="21"/>
        <x:v>0</x:v>
      </x:c>
      <x:c r="AI40" s="528" t="b">
        <x:v>0</x:v>
      </x:c>
      <x:c r="AJ40" s="284">
        <x:f t="shared" si="22"/>
        <x:v>36</x:v>
      </x:c>
      <x:c r="AK40" s="1063" t="str">
        <x:f t="shared" si="23"/>
        <x:v>LH</x:v>
      </x:c>
      <x:c r="AL40" s="1202" t="str">
        <x:f t="shared" si="24"/>
        <x:v/>
      </x:c>
      <x:c r="AM40" s="1063">
        <x:f t="shared" si="25"/>
        <x:v>270</x:v>
      </x:c>
      <x:c r="AN40" s="1063">
        <x:f t="shared" si="26"/>
        <x:v>120</x:v>
      </x:c>
      <x:c r="AO40" s="1063" t="str">
        <x:f t="shared" si="27"/>
        <x:v/>
      </x:c>
      <x:c r="AP40" s="1063" t="b">
        <x:f>IF(ISERROR(AJ40),FALSE,IF(OR(AJ40=0,ISERROR(AL40),ISERROR(AM40),ISERROR(AN40),ISERROR(AO40)),FALSE,IF(AL40&lt;&gt;"",IF(ISERROR(VLOOKUP(SUBSTITUTE(SUBSTITUTE(C40,"R",""),"A",""),TblJoistSize!$A:$A,1,FALSE)),FALSE,TRUE),TRUE)))</x:f>
        <x:v>1</x:v>
      </x:c>
      <x:c r="AQ40" s="1305">
        <x:f t="shared" si="28"/>
        <x:v>6.625</x:v>
      </x:c>
      <x:c r="AR40" s="1305" t="b">
        <x:f t="shared" si="29"/>
        <x:v>1</x:v>
      </x:c>
      <x:c r="AS40" s="1305">
        <x:f t="shared" si="30"/>
        <x:v>6.625</x:v>
      </x:c>
      <x:c r="AT40" s="1305" t="b">
        <x:f t="shared" si="31"/>
        <x:v>1</x:v>
      </x:c>
      <x:c r="AU40" s="1203" t="str">
        <x:f t="shared" si="32"/>
        <x:v>LH</x:v>
      </x:c>
      <x:c r="AV40" s="1063" t="str">
        <x:f t="shared" si="33"/>
        <x:v/>
      </x:c>
      <x:c r="AW40" s="1063" t="str">
        <x:f t="shared" si="34"/>
        <x:v>LH</x:v>
      </x:c>
      <x:c r="AX40" s="1063" t="str">
        <x:f t="shared" si="107"/>
        <x:v>TJ41</x:v>
      </x:c>
      <x:c r="AY40" s="1306" t="b">
        <x:f t="shared" si="35"/>
        <x:v>0</x:v>
      </x:c>
      <x:c r="AZ40" s="1090" t="b">
        <x:f t="shared" si="36"/>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7"/>
        <x:v/>
      </x:c>
      <x:c r="CE40" s="935" t="str">
        <x:f t="shared" si="38"/>
        <x:v/>
      </x:c>
      <x:c r="CF40" s="1149"/>
      <x:c r="CG40" s="1150"/>
      <x:c r="CH40" s="738" t="str">
        <x:f t="shared" si="39"/>
        <x:v/>
      </x:c>
      <x:c r="CI40" s="739" t="str">
        <x:f t="shared" si="40"/>
        <x:v/>
      </x:c>
      <x:c r="CJ40" s="740" t="str">
        <x:f t="shared" si="41"/>
        <x:v/>
      </x:c>
      <x:c r="CK40" s="741" t="str">
        <x:f t="shared" si="42"/>
        <x:v/>
      </x:c>
      <x:c r="CL40" s="742" t="str">
        <x:f t="shared" si="43"/>
        <x:v/>
      </x:c>
      <x:c r="CM40" s="743" t="str">
        <x:f t="shared" si="44"/>
        <x:v/>
      </x:c>
      <x:c r="CN40" s="744" t="str">
        <x:f t="shared" si="45"/>
        <x:v/>
      </x:c>
      <x:c r="CO40" s="745" t="str">
        <x:f t="shared" si="46"/>
        <x:v/>
      </x:c>
      <x:c r="CP40" s="762" t="str">
        <x:f t="shared" si="47"/>
        <x:v/>
      </x:c>
      <x:c r="CQ40" s="763" t="str">
        <x:f t="shared" si="48"/>
        <x:v/>
      </x:c>
      <x:c r="CR40" s="953">
        <x:f t="shared" si="49"/>
        <x:v>5</x:v>
      </x:c>
      <x:c r="CS40" s="954">
        <x:f t="shared" si="50"/>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51"/>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52"/>
        <x:v>0</x:v>
      </x:c>
      <x:c r="DO40" s="1049">
        <x:f t="shared" si="53"/>
        <x:v>0</x:v>
      </x:c>
      <x:c r="DP40" s="1053" t="str">
        <x:f t="shared" si="54"/>
        <x:v/>
      </x:c>
      <x:c r="DQ40" s="1053" t="str">
        <x:f t="shared" si="55"/>
        <x:v/>
      </x:c>
      <x:c r="DR40" s="1053" t="str">
        <x:f t="shared" si="56"/>
        <x:v/>
      </x:c>
      <x:c r="DS40" s="1052">
        <x:f t="shared" si="57"/>
        <x:v>0</x:v>
      </x:c>
      <x:c r="DT40" s="1052">
        <x:f t="shared" si="58"/>
        <x:v>0</x:v>
      </x:c>
      <x:c r="DU40" s="1052" t="str">
        <x:f t="shared" si="59"/>
        <x:v/>
      </x:c>
      <x:c r="DV40" s="1053" t="str">
        <x:f t="shared" si="60"/>
        <x:v/>
      </x:c>
      <x:c r="DW40" s="1053" t="str">
        <x:f t="shared" si="61"/>
        <x:v/>
      </x:c>
      <x:c r="DX40" s="1269">
        <x:f t="shared" si="62"/>
        <x:v>0</x:v>
      </x:c>
      <x:c r="DY40" s="1053">
        <x:f t="shared" si="63"/>
        <x:v>0</x:v>
      </x:c>
      <x:c r="DZ40" s="1052">
        <x:f t="shared" si="64"/>
        <x:v>0</x:v>
      </x:c>
      <x:c r="EA40" s="1052" t="str">
        <x:f t="shared" si="65"/>
        <x:v/>
      </x:c>
      <x:c r="EB40" s="1053" t="str">
        <x:f t="shared" si="66"/>
        <x:v/>
      </x:c>
      <x:c r="EC40" s="1053" t="str">
        <x:f t="shared" si="67"/>
        <x:v/>
      </x:c>
      <x:c r="ED40" s="1269">
        <x:f t="shared" si="68"/>
        <x:v>0</x:v>
      </x:c>
      <x:c r="EE40" s="1090" t="str">
        <x:f t="shared" si="69"/>
        <x:v/>
      </x:c>
      <x:c r="EF40" s="1053" t="str">
        <x:f t="shared" si="70"/>
        <x:v/>
      </x:c>
      <x:c r="EG40" s="1053" t="str">
        <x:f t="shared" si="71"/>
        <x:v/>
      </x:c>
      <x:c r="EH40" s="1053" t="str">
        <x:f t="shared" si="72"/>
        <x:v>ERR</x:v>
      </x:c>
      <x:c r="EI40" s="1053" t="str">
        <x:f t="shared" si="73"/>
        <x:v>ERR</x:v>
      </x:c>
      <x:c r="EJ40" s="1053" t="str">
        <x:f t="shared" si="74"/>
        <x:v/>
      </x:c>
      <x:c r="EK40" s="1053" t="str">
        <x:f t="shared" si="74"/>
        <x:v/>
      </x:c>
      <x:c r="EL40" s="1090" t="str">
        <x:f t="shared" si="75"/>
        <x:v/>
      </x:c>
      <x:c r="EM40" s="1053" t="str">
        <x:f t="shared" si="76"/>
        <x:v/>
      </x:c>
      <x:c r="EN40" s="1053" t="str">
        <x:f t="shared" si="77"/>
        <x:v/>
      </x:c>
      <x:c r="EO40" s="1053" t="str">
        <x:f t="shared" si="78"/>
        <x:v>ERR</x:v>
      </x:c>
      <x:c r="EP40" s="1053" t="str">
        <x:f t="shared" si="79"/>
        <x:v>ERR</x:v>
      </x:c>
      <x:c r="EQ40" s="1053" t="str">
        <x:f t="shared" si="80"/>
        <x:v/>
      </x:c>
      <x:c r="ER40" s="1053" t="str">
        <x:f t="shared" si="80"/>
        <x:v/>
      </x:c>
      <x:c r="ES40" s="1053" t="str">
        <x:f t="shared" si="81"/>
        <x:v/>
      </x:c>
      <x:c r="ET40" s="1053" t="str">
        <x:f t="shared" si="82"/>
        <x:v/>
      </x:c>
      <x:c r="EU40" s="1061">
        <x:f t="shared" si="83"/>
        <x:v>4</x:v>
      </x:c>
      <x:c r="EV40" s="1055" t="str">
        <x:f t="shared" si="84"/>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5"/>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6"/>
        <x:v/>
      </x:c>
      <x:c r="FD40" s="1052">
        <x:f t="shared" si="108"/>
        <x:v>0</x:v>
      </x:c>
      <x:c r="FE40" s="1052">
        <x:f t="shared" si="87"/>
        <x:v>0</x:v>
      </x:c>
      <x:c r="FF40" s="1052">
        <x:f t="shared" si="88"/>
        <x:v>0</x:v>
      </x:c>
      <x:c r="FG40" s="1052" t="str">
        <x:f t="shared" si="89"/>
        <x:v/>
      </x:c>
      <x:c r="FH40" s="1053" t="str">
        <x:f t="shared" si="90"/>
        <x:v/>
      </x:c>
      <x:c r="FI40" s="1052">
        <x:f t="shared" si="109"/>
        <x:v>0</x:v>
      </x:c>
      <x:c r="FJ40" s="1052">
        <x:f t="shared" si="91"/>
        <x:v>0</x:v>
      </x:c>
      <x:c r="FK40" s="1052">
        <x:f t="shared" si="92"/>
        <x:v>0</x:v>
      </x:c>
      <x:c r="FL40" s="1052" t="str">
        <x:f t="shared" si="93"/>
        <x:v/>
      </x:c>
      <x:c r="FM40" s="1053" t="str">
        <x:f t="shared" si="94"/>
        <x:v/>
      </x:c>
      <x:c r="FN40" s="1053" t="e">
        <x:f t="shared" si="95"/>
        <x:v>#VALUE!</x:v>
      </x:c>
      <x:c r="FO40" s="1062" t="e">
        <x:f t="shared" si="96"/>
        <x:v>#VALUE!</x:v>
      </x:c>
      <x:c r="FP40" s="1062" t="e">
        <x:f t="shared" si="97"/>
        <x:v>#VALUE!</x:v>
      </x:c>
      <x:c r="FQ40" s="1063" t="e">
        <x:f t="shared" si="98"/>
        <x:v>#VALUE!</x:v>
      </x:c>
      <x:c r="FR40" s="1064" t="e">
        <x:f t="shared" si="99"/>
        <x:v>#VALUE!</x:v>
      </x:c>
      <x:c r="FS40" s="1065" t="str">
        <x:f t="shared" si="100"/>
        <x:v/>
      </x:c>
      <x:c r="FT40" s="1066" t="str">
        <x:f t="shared" si="101"/>
        <x:v/>
      </x:c>
      <x:c r="FU40" s="1105">
        <x:f t="shared" si="102"/>
        <x:v>0</x:v>
      </x:c>
      <x:c r="FV40" s="1106">
        <x:f t="shared" si="103"/>
        <x:v>0</x:v>
      </x:c>
      <x:c r="GA40" s="1975">
        <x:v>60</x:v>
      </x:c>
      <x:c r="GB40" s="1976">
        <x:v>0</x:v>
      </x:c>
      <x:c r="GC40" s="1977">
        <x:v>-1</x:v>
      </x:c>
      <x:c r="GD40" s="1978">
        <x:v>-1</x:v>
      </x:c>
      <x:c r="GE40" s="1979">
        <x:v>0.46666666666666701</x:v>
      </x:c>
      <x:c r="GF40" s="1980" t="str">
        <x:f t="shared" si="104"/>
        <x:v>TJ41</x:v>
      </x:c>
      <x:c r="GG40" s="1453"/>
      <x:c r="GH40" s="1454"/>
      <x:c r="GI40" s="1453"/>
      <x:c r="GJ40" s="1454"/>
      <x:c r="GK40" s="533">
        <x:f t="shared" si="105"/>
        <x:v>718.5</x:v>
      </x:c>
      <x:c r="GL40" s="534">
        <x:f t="shared" si="106"/>
        <x:v>718.54272697858903</x:v>
      </x:c>
      <x:c r="GM40" s="535">
        <x:f>IF(ABS(GK40-GL40)&gt;='Job Info.'!$L$22,ABS(GK40-GL40),0)</x:f>
        <x:v>0</x:v>
      </x:c>
      <x:c r="HA40" s="1658" t="s">
        <x:v>1365</x:v>
      </x:c>
      <x:c r="HB40" s="1659">
        <x:v>1</x:v>
      </x:c>
      <x:c r="HC40" s="1659" t="s">
        <x:v>1978</x:v>
      </x:c>
      <x:c r="HD40" s="1660">
        <x:v>59</x:v>
      </x:c>
      <x:c r="HE40" s="1661">
        <x:v>10.5</x:v>
      </x:c>
      <x:c r="HF40" s="1659">
        <x:v>0</x:v>
      </x:c>
      <x:c r="HG40" s="1659">
        <x:v>0.625</x:v>
      </x:c>
      <x:c r="HH40" s="1659" t="s">
        <x:v>114</x:v>
      </x:c>
      <x:c r="HI40" s="1662">
        <x:v>0</x:v>
      </x:c>
      <x:c r="HJ40" s="1659">
        <x:v>0.625</x:v>
      </x:c>
      <x:c r="HK40" s="1659" t="s">
        <x:v>114</x:v>
      </x:c>
      <x:c r="HL40" s="1659">
        <x:v>3</x:v>
      </x:c>
      <x:c r="HM40" s="1659">
        <x:v>3</x:v>
      </x:c>
      <x:c r="HN40" s="1659">
        <x:v>0</x:v>
      </x:c>
      <x:c r="HO40" s="1659">
        <x:v>4.75</x:v>
      </x:c>
      <x:c r="HP40" s="1659">
        <x:v>2</x:v>
      </x:c>
      <x:c r="HQ40" s="1662">
        <x:v>0</x:v>
      </x:c>
      <x:c r="HR40" s="1659">
        <x:v>7.375</x:v>
      </x:c>
      <x:c r="HS40" s="1659">
        <x:v>2</x:v>
      </x:c>
      <x:c r="HT40" s="1659">
        <x:v>0</x:v>
      </x:c>
      <x:c r="HU40" s="1659">
        <x:v>1.5</x:v>
      </x:c>
      <x:c r="HV40" s="1659">
        <x:v>0</x:v>
      </x:c>
      <x:c r="HW40" s="1661">
        <x:v>1.5</x:v>
      </x:c>
      <x:c r="HX40" s="1661">
        <x:v>4</x:v>
      </x:c>
      <x:c r="HY40" s="1661">
        <x:v>0.46666666666666701</x:v>
      </x:c>
      <x:c r="HZ40" s="1661">
        <x:v>-0.46666666666666701</x:v>
      </x:c>
      <x:c r="IA40" s="1661" t="s">
        <x:v>2099</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
        <x:v/>
      </x:c>
      <x:c r="G41" s="1262" t="str">
        <x:f t="shared" si="2"/>
        <x:v/>
      </x:c>
      <x:c r="H41" s="1266" t="str">
        <x:f t="shared" si="3"/>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4"/>
        <x:v/>
      </x:c>
      <x:c r="O41" s="1262" t="str">
        <x:f t="shared" si="5"/>
        <x:v/>
      </x:c>
      <x:c r="P41" s="1260" t="str">
        <x:f t="shared" si="6"/>
        <x:v/>
      </x:c>
      <x:c r="Q41" s="1261" t="str">
        <x:f t="shared" si="7"/>
        <x:v/>
      </x:c>
      <x:c r="R41" s="1262" t="str">
        <x:f t="shared" si="8"/>
        <x:v/>
      </x:c>
      <x:c r="S41" s="1375" t="str">
        <x:f t="shared" si="9"/>
        <x:v/>
      </x:c>
      <x:c r="T41" s="1328" t="str">
        <x:f t="shared" si="10"/>
        <x:v/>
      </x:c>
      <x:c r="U41" s="1262" t="str">
        <x:f t="shared" si="11"/>
        <x:v/>
      </x:c>
      <x:c r="V41" s="1261" t="str">
        <x:f t="shared" si="12"/>
        <x:v/>
      </x:c>
      <x:c r="W41" s="1262" t="str">
        <x:f t="shared" si="13"/>
        <x:v/>
      </x:c>
      <x:c r="X41" s="1329">
        <x:f t="shared" si="14"/>
        <x:v>0</x:v>
      </x:c>
      <x:c r="Y41" s="1377" t="str">
        <x:f t="shared" si="15"/>
        <x:v/>
      </x:c>
      <x:c r="Z41" s="1378" t="str">
        <x:f t="shared" si="16"/>
        <x:v/>
      </x:c>
      <x:c r="AA41" s="2159"/>
      <x:c r="AC41" s="1226" t="b">
        <x:v>0</x:v>
      </x:c>
      <x:c r="AD41" s="525">
        <x:f t="shared" si="17"/>
        <x:v>0</x:v>
      </x:c>
      <x:c r="AE41" s="526">
        <x:f t="shared" si="18"/>
        <x:v>0</x:v>
      </x:c>
      <x:c r="AF41" s="526">
        <x:f t="shared" si="19"/>
        <x:v>0</x:v>
      </x:c>
      <x:c r="AG41" s="526">
        <x:f t="shared" si="20"/>
        <x:v>0</x:v>
      </x:c>
      <x:c r="AH41" s="527">
        <x:f t="shared" si="21"/>
        <x:v>0</x:v>
      </x:c>
      <x:c r="AI41" s="528" t="b">
        <x:v>0</x:v>
      </x:c>
      <x:c r="AJ41" s="284">
        <x:f t="shared" si="22"/>
        <x:v>0</x:v>
      </x:c>
      <x:c r="AK41" s="1063" t="str">
        <x:f t="shared" si="23"/>
        <x:v/>
      </x:c>
      <x:c r="AL41" s="1202" t="str">
        <x:f t="shared" si="24"/>
        <x:v/>
      </x:c>
      <x:c r="AM41" s="1063" t="str">
        <x:f t="shared" si="25"/>
        <x:v/>
      </x:c>
      <x:c r="AN41" s="1063" t="str">
        <x:f t="shared" si="26"/>
        <x:v/>
      </x:c>
      <x:c r="AO41" s="1063" t="str">
        <x:f t="shared" si="27"/>
        <x:v/>
      </x:c>
      <x:c r="AP41" s="1063" t="b">
        <x:f>IF(ISERROR(AJ41),FALSE,IF(OR(AJ41=0,ISERROR(AL41),ISERROR(AM41),ISERROR(AN41),ISERROR(AO41)),FALSE,IF(AL41&lt;&gt;"",IF(ISERROR(VLOOKUP(SUBSTITUTE(SUBSTITUTE(C41,"R",""),"A",""),TblJoistSize!$A:$A,1,FALSE)),FALSE,TRUE),TRUE)))</x:f>
        <x:v>0</x:v>
      </x:c>
      <x:c r="AQ41" s="1305" t="e">
        <x:f t="shared" si="28"/>
        <x:v>#N/A</x:v>
      </x:c>
      <x:c r="AR41" s="1305" t="b">
        <x:f t="shared" si="29"/>
        <x:v>0</x:v>
      </x:c>
      <x:c r="AS41" s="1305" t="e">
        <x:f t="shared" si="30"/>
        <x:v>#N/A</x:v>
      </x:c>
      <x:c r="AT41" s="1305" t="b">
        <x:f t="shared" si="31"/>
        <x:v>0</x:v>
      </x:c>
      <x:c r="AU41" s="1203" t="str">
        <x:f t="shared" si="32"/>
        <x:v/>
      </x:c>
      <x:c r="AV41" s="1063" t="str">
        <x:f t="shared" si="33"/>
        <x:v/>
      </x:c>
      <x:c r="AW41" s="1063" t="str">
        <x:f t="shared" si="34"/>
        <x:v/>
      </x:c>
      <x:c r="AX41" s="1063" t="str">
        <x:f t="shared" si="107"/>
        <x:v/>
      </x:c>
      <x:c r="AY41" s="1306" t="b">
        <x:f t="shared" si="35"/>
        <x:v>0</x:v>
      </x:c>
      <x:c r="AZ41" s="1090" t="str">
        <x:f t="shared" si="36"/>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7"/>
        <x:v/>
      </x:c>
      <x:c r="CE41" s="935" t="str">
        <x:f t="shared" si="38"/>
        <x:v/>
      </x:c>
      <x:c r="CF41" s="1149"/>
      <x:c r="CG41" s="1150"/>
      <x:c r="CH41" s="738" t="str">
        <x:f t="shared" si="39"/>
        <x:v/>
      </x:c>
      <x:c r="CI41" s="739" t="str">
        <x:f t="shared" si="40"/>
        <x:v/>
      </x:c>
      <x:c r="CJ41" s="740" t="str">
        <x:f t="shared" si="41"/>
        <x:v/>
      </x:c>
      <x:c r="CK41" s="741" t="str">
        <x:f t="shared" si="42"/>
        <x:v/>
      </x:c>
      <x:c r="CL41" s="742" t="str">
        <x:f t="shared" si="43"/>
        <x:v/>
      </x:c>
      <x:c r="CM41" s="743" t="str">
        <x:f t="shared" si="44"/>
        <x:v/>
      </x:c>
      <x:c r="CN41" s="744" t="str">
        <x:f t="shared" si="45"/>
        <x:v/>
      </x:c>
      <x:c r="CO41" s="745" t="str">
        <x:f t="shared" si="46"/>
        <x:v/>
      </x:c>
      <x:c r="CP41" s="762" t="str">
        <x:f t="shared" si="47"/>
        <x:v/>
      </x:c>
      <x:c r="CQ41" s="763" t="str">
        <x:f t="shared" si="48"/>
        <x:v/>
      </x:c>
      <x:c r="CR41" s="953" t="str">
        <x:f t="shared" si="49"/>
        <x:v/>
      </x:c>
      <x:c r="CS41" s="954" t="str">
        <x:f t="shared" si="50"/>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51"/>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52"/>
        <x:v>0</x:v>
      </x:c>
      <x:c r="DO41" s="1049">
        <x:f t="shared" si="53"/>
        <x:v>0</x:v>
      </x:c>
      <x:c r="DP41" s="1053" t="str">
        <x:f t="shared" si="54"/>
        <x:v/>
      </x:c>
      <x:c r="DQ41" s="1053" t="str">
        <x:f t="shared" si="55"/>
        <x:v/>
      </x:c>
      <x:c r="DR41" s="1053" t="str">
        <x:f t="shared" si="56"/>
        <x:v/>
      </x:c>
      <x:c r="DS41" s="1052">
        <x:f t="shared" si="57"/>
        <x:v>0</x:v>
      </x:c>
      <x:c r="DT41" s="1052">
        <x:f t="shared" si="58"/>
        <x:v>0</x:v>
      </x:c>
      <x:c r="DU41" s="1052" t="str">
        <x:f t="shared" si="59"/>
        <x:v/>
      </x:c>
      <x:c r="DV41" s="1053" t="str">
        <x:f t="shared" si="60"/>
        <x:v/>
      </x:c>
      <x:c r="DW41" s="1053" t="str">
        <x:f t="shared" si="61"/>
        <x:v/>
      </x:c>
      <x:c r="DX41" s="1269">
        <x:f t="shared" si="62"/>
        <x:v>0</x:v>
      </x:c>
      <x:c r="DY41" s="1053">
        <x:f t="shared" si="63"/>
        <x:v>0</x:v>
      </x:c>
      <x:c r="DZ41" s="1052">
        <x:f t="shared" si="64"/>
        <x:v>0</x:v>
      </x:c>
      <x:c r="EA41" s="1052" t="str">
        <x:f t="shared" si="65"/>
        <x:v/>
      </x:c>
      <x:c r="EB41" s="1053" t="str">
        <x:f t="shared" si="66"/>
        <x:v/>
      </x:c>
      <x:c r="EC41" s="1053" t="str">
        <x:f t="shared" si="67"/>
        <x:v/>
      </x:c>
      <x:c r="ED41" s="1269">
        <x:f t="shared" si="68"/>
        <x:v>0</x:v>
      </x:c>
      <x:c r="EE41" s="1090" t="str">
        <x:f t="shared" si="69"/>
        <x:v/>
      </x:c>
      <x:c r="EF41" s="1053" t="str">
        <x:f t="shared" si="70"/>
        <x:v/>
      </x:c>
      <x:c r="EG41" s="1053" t="str">
        <x:f t="shared" si="71"/>
        <x:v/>
      </x:c>
      <x:c r="EH41" s="1053" t="e">
        <x:f t="shared" si="72"/>
        <x:v>#N/A</x:v>
      </x:c>
      <x:c r="EI41" s="1053" t="e">
        <x:f t="shared" si="73"/>
        <x:v>#N/A</x:v>
      </x:c>
      <x:c r="EJ41" s="1053" t="str">
        <x:f t="shared" si="74"/>
        <x:v/>
      </x:c>
      <x:c r="EK41" s="1053" t="str">
        <x:f t="shared" si="74"/>
        <x:v/>
      </x:c>
      <x:c r="EL41" s="1090" t="str">
        <x:f t="shared" si="75"/>
        <x:v/>
      </x:c>
      <x:c r="EM41" s="1053" t="str">
        <x:f t="shared" si="76"/>
        <x:v/>
      </x:c>
      <x:c r="EN41" s="1053" t="str">
        <x:f t="shared" si="77"/>
        <x:v/>
      </x:c>
      <x:c r="EO41" s="1053" t="e">
        <x:f t="shared" si="78"/>
        <x:v>#N/A</x:v>
      </x:c>
      <x:c r="EP41" s="1053" t="e">
        <x:f t="shared" si="79"/>
        <x:v>#N/A</x:v>
      </x:c>
      <x:c r="EQ41" s="1053" t="str">
        <x:f t="shared" si="80"/>
        <x:v/>
      </x:c>
      <x:c r="ER41" s="1053" t="str">
        <x:f t="shared" si="80"/>
        <x:v/>
      </x:c>
      <x:c r="ES41" s="1053" t="str">
        <x:f t="shared" si="81"/>
        <x:v/>
      </x:c>
      <x:c r="ET41" s="1053" t="str">
        <x:f t="shared" si="82"/>
        <x:v/>
      </x:c>
      <x:c r="EU41" s="1061" t="str">
        <x:f t="shared" si="83"/>
        <x:v/>
      </x:c>
      <x:c r="EV41" s="1055" t="str">
        <x:f t="shared" si="84"/>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5"/>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6"/>
        <x:v/>
      </x:c>
      <x:c r="FD41" s="1052">
        <x:f t="shared" si="108"/>
        <x:v>0</x:v>
      </x:c>
      <x:c r="FE41" s="1052">
        <x:f t="shared" si="87"/>
        <x:v>0</x:v>
      </x:c>
      <x:c r="FF41" s="1052">
        <x:f t="shared" si="88"/>
        <x:v>0</x:v>
      </x:c>
      <x:c r="FG41" s="1052" t="str">
        <x:f t="shared" si="89"/>
        <x:v/>
      </x:c>
      <x:c r="FH41" s="1053" t="str">
        <x:f t="shared" si="90"/>
        <x:v/>
      </x:c>
      <x:c r="FI41" s="1052">
        <x:f t="shared" si="109"/>
        <x:v>0</x:v>
      </x:c>
      <x:c r="FJ41" s="1052">
        <x:f t="shared" si="91"/>
        <x:v>0</x:v>
      </x:c>
      <x:c r="FK41" s="1052">
        <x:f t="shared" si="92"/>
        <x:v>0</x:v>
      </x:c>
      <x:c r="FL41" s="1052" t="str">
        <x:f t="shared" si="93"/>
        <x:v/>
      </x:c>
      <x:c r="FM41" s="1053" t="str">
        <x:f t="shared" si="94"/>
        <x:v/>
      </x:c>
      <x:c r="FN41" s="1053" t="e">
        <x:f t="shared" si="95"/>
        <x:v>#VALUE!</x:v>
      </x:c>
      <x:c r="FO41" s="1062" t="e">
        <x:f t="shared" si="96"/>
        <x:v>#VALUE!</x:v>
      </x:c>
      <x:c r="FP41" s="1062" t="e">
        <x:f t="shared" si="97"/>
        <x:v>#VALUE!</x:v>
      </x:c>
      <x:c r="FQ41" s="1063" t="e">
        <x:f t="shared" si="98"/>
        <x:v>#VALUE!</x:v>
      </x:c>
      <x:c r="FR41" s="1064" t="e">
        <x:f t="shared" si="99"/>
        <x:v>#VALUE!</x:v>
      </x:c>
      <x:c r="FS41" s="1065" t="str">
        <x:f t="shared" si="100"/>
        <x:v/>
      </x:c>
      <x:c r="FT41" s="1066" t="str">
        <x:f t="shared" si="101"/>
        <x:v/>
      </x:c>
      <x:c r="FU41" s="1105">
        <x:f t="shared" si="102"/>
        <x:v>0</x:v>
      </x:c>
      <x:c r="FV41" s="1106">
        <x:f t="shared" si="103"/>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104"/>
        <x:v/>
      </x:c>
      <x:c r="GG41" s="1453"/>
      <x:c r="GH41" s="1454"/>
      <x:c r="GI41" s="1453"/>
      <x:c r="GJ41" s="1454"/>
      <x:c r="GK41" s="533">
        <x:f t="shared" si="105"/>
        <x:v>0</x:v>
      </x:c>
      <x:c r="GL41" s="534" t="e">
        <x:f t="shared" si="106"/>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
        <x:v/>
      </x:c>
      <x:c r="G42" s="1262" t="str">
        <x:f t="shared" si="2"/>
        <x:v/>
      </x:c>
      <x:c r="H42" s="1266" t="str">
        <x:f t="shared" si="3"/>
        <x:v/>
      </x:c>
      <x:c r="I42" s="1261" t="str">
        <x:f t="shared" si="114"/>
        <x:v/>
      </x:c>
      <x:c r="J42" s="1262" t="str">
        <x:f t="shared" si="115"/>
        <x:v/>
      </x:c>
      <x:c r="K42" s="1370" t="str">
        <x:f t="shared" si="116"/>
        <x:v/>
      </x:c>
      <x:c r="L42" s="1327" t="str">
        <x:f t="shared" si="117"/>
        <x:v/>
      </x:c>
      <x:c r="M42" s="1329" t="str">
        <x:f t="shared" si="117"/>
        <x:v/>
      </x:c>
      <x:c r="N42" s="1263" t="str">
        <x:f t="shared" si="4"/>
        <x:v/>
      </x:c>
      <x:c r="O42" s="1262" t="str">
        <x:f t="shared" si="5"/>
        <x:v/>
      </x:c>
      <x:c r="P42" s="1260" t="str">
        <x:f t="shared" si="6"/>
        <x:v/>
      </x:c>
      <x:c r="Q42" s="1261" t="str">
        <x:f t="shared" si="7"/>
        <x:v/>
      </x:c>
      <x:c r="R42" s="1262" t="str">
        <x:f t="shared" si="8"/>
        <x:v/>
      </x:c>
      <x:c r="S42" s="1375" t="str">
        <x:f t="shared" si="9"/>
        <x:v/>
      </x:c>
      <x:c r="T42" s="1328" t="str">
        <x:f t="shared" si="10"/>
        <x:v/>
      </x:c>
      <x:c r="U42" s="1262" t="str">
        <x:f t="shared" si="11"/>
        <x:v/>
      </x:c>
      <x:c r="V42" s="1261" t="str">
        <x:f t="shared" si="12"/>
        <x:v/>
      </x:c>
      <x:c r="W42" s="1262" t="str">
        <x:f t="shared" si="13"/>
        <x:v/>
      </x:c>
      <x:c r="X42" s="1329">
        <x:f t="shared" si="14"/>
        <x:v>0</x:v>
      </x:c>
      <x:c r="Y42" s="1377" t="str">
        <x:f t="shared" si="15"/>
        <x:v/>
      </x:c>
      <x:c r="Z42" s="1378" t="str">
        <x:f t="shared" si="16"/>
        <x:v/>
      </x:c>
      <x:c r="AA42" s="2159"/>
      <x:c r="AC42" s="1226" t="b">
        <x:v>0</x:v>
      </x:c>
      <x:c r="AD42" s="525">
        <x:f t="shared" si="17"/>
        <x:v>0</x:v>
      </x:c>
      <x:c r="AE42" s="526">
        <x:f t="shared" si="18"/>
        <x:v>0</x:v>
      </x:c>
      <x:c r="AF42" s="526">
        <x:f t="shared" si="19"/>
        <x:v>0</x:v>
      </x:c>
      <x:c r="AG42" s="526">
        <x:f t="shared" si="20"/>
        <x:v>0</x:v>
      </x:c>
      <x:c r="AH42" s="527">
        <x:f t="shared" si="21"/>
        <x:v>0</x:v>
      </x:c>
      <x:c r="AI42" s="528" t="b">
        <x:v>0</x:v>
      </x:c>
      <x:c r="AJ42" s="284">
        <x:f t="shared" si="22"/>
        <x:v>0</x:v>
      </x:c>
      <x:c r="AK42" s="1063" t="str">
        <x:f t="shared" si="23"/>
        <x:v/>
      </x:c>
      <x:c r="AL42" s="1202" t="str">
        <x:f t="shared" si="24"/>
        <x:v/>
      </x:c>
      <x:c r="AM42" s="1063" t="str">
        <x:f t="shared" si="25"/>
        <x:v/>
      </x:c>
      <x:c r="AN42" s="1063" t="str">
        <x:f t="shared" si="26"/>
        <x:v/>
      </x:c>
      <x:c r="AO42" s="1063" t="str">
        <x:f t="shared" si="27"/>
        <x:v/>
      </x:c>
      <x:c r="AP42" s="1063" t="b">
        <x:f>IF(ISERROR(AJ42),FALSE,IF(OR(AJ42=0,ISERROR(AL42),ISERROR(AM42),ISERROR(AN42),ISERROR(AO42)),FALSE,IF(AL42&lt;&gt;"",IF(ISERROR(VLOOKUP(SUBSTITUTE(SUBSTITUTE(C42,"R",""),"A",""),TblJoistSize!$A:$A,1,FALSE)),FALSE,TRUE),TRUE)))</x:f>
        <x:v>0</x:v>
      </x:c>
      <x:c r="AQ42" s="1305" t="e">
        <x:f t="shared" si="28"/>
        <x:v>#N/A</x:v>
      </x:c>
      <x:c r="AR42" s="1305" t="b">
        <x:f t="shared" si="29"/>
        <x:v>0</x:v>
      </x:c>
      <x:c r="AS42" s="1305" t="e">
        <x:f t="shared" si="30"/>
        <x:v>#N/A</x:v>
      </x:c>
      <x:c r="AT42" s="1305" t="b">
        <x:f t="shared" si="31"/>
        <x:v>0</x:v>
      </x:c>
      <x:c r="AU42" s="1203" t="str">
        <x:f t="shared" si="32"/>
        <x:v/>
      </x:c>
      <x:c r="AV42" s="1063" t="str">
        <x:f t="shared" si="33"/>
        <x:v/>
      </x:c>
      <x:c r="AW42" s="1063" t="str">
        <x:f t="shared" si="34"/>
        <x:v/>
      </x:c>
      <x:c r="AX42" s="1063" t="str">
        <x:f t="shared" si="107"/>
        <x:v/>
      </x:c>
      <x:c r="AY42" s="1306" t="b">
        <x:f t="shared" si="35"/>
        <x:v>0</x:v>
      </x:c>
      <x:c r="AZ42" s="1090" t="str">
        <x:f t="shared" si="36"/>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7"/>
        <x:v/>
      </x:c>
      <x:c r="CE42" s="935" t="str">
        <x:f t="shared" si="38"/>
        <x:v/>
      </x:c>
      <x:c r="CF42" s="1149"/>
      <x:c r="CG42" s="1150"/>
      <x:c r="CH42" s="738" t="str">
        <x:f t="shared" si="39"/>
        <x:v/>
      </x:c>
      <x:c r="CI42" s="739" t="str">
        <x:f t="shared" si="40"/>
        <x:v/>
      </x:c>
      <x:c r="CJ42" s="740" t="str">
        <x:f t="shared" si="41"/>
        <x:v/>
      </x:c>
      <x:c r="CK42" s="741" t="str">
        <x:f t="shared" si="42"/>
        <x:v/>
      </x:c>
      <x:c r="CL42" s="742" t="str">
        <x:f t="shared" si="43"/>
        <x:v/>
      </x:c>
      <x:c r="CM42" s="743" t="str">
        <x:f t="shared" si="44"/>
        <x:v/>
      </x:c>
      <x:c r="CN42" s="744" t="str">
        <x:f t="shared" si="45"/>
        <x:v/>
      </x:c>
      <x:c r="CO42" s="745" t="str">
        <x:f t="shared" si="46"/>
        <x:v/>
      </x:c>
      <x:c r="CP42" s="762" t="str">
        <x:f t="shared" si="47"/>
        <x:v/>
      </x:c>
      <x:c r="CQ42" s="763" t="str">
        <x:f t="shared" si="48"/>
        <x:v/>
      </x:c>
      <x:c r="CR42" s="953" t="str">
        <x:f t="shared" si="49"/>
        <x:v/>
      </x:c>
      <x:c r="CS42" s="954" t="str">
        <x:f t="shared" si="50"/>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51"/>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52"/>
        <x:v>0</x:v>
      </x:c>
      <x:c r="DO42" s="1049">
        <x:f t="shared" si="53"/>
        <x:v>0</x:v>
      </x:c>
      <x:c r="DP42" s="1053" t="str">
        <x:f t="shared" si="54"/>
        <x:v/>
      </x:c>
      <x:c r="DQ42" s="1053" t="str">
        <x:f t="shared" si="55"/>
        <x:v/>
      </x:c>
      <x:c r="DR42" s="1053" t="str">
        <x:f t="shared" si="56"/>
        <x:v/>
      </x:c>
      <x:c r="DS42" s="1052">
        <x:f t="shared" si="57"/>
        <x:v>0</x:v>
      </x:c>
      <x:c r="DT42" s="1052">
        <x:f t="shared" si="58"/>
        <x:v>0</x:v>
      </x:c>
      <x:c r="DU42" s="1052" t="str">
        <x:f t="shared" si="59"/>
        <x:v/>
      </x:c>
      <x:c r="DV42" s="1053" t="str">
        <x:f t="shared" si="60"/>
        <x:v/>
      </x:c>
      <x:c r="DW42" s="1053" t="str">
        <x:f t="shared" si="61"/>
        <x:v/>
      </x:c>
      <x:c r="DX42" s="1269">
        <x:f t="shared" si="62"/>
        <x:v>0</x:v>
      </x:c>
      <x:c r="DY42" s="1053">
        <x:f t="shared" si="63"/>
        <x:v>0</x:v>
      </x:c>
      <x:c r="DZ42" s="1052">
        <x:f t="shared" si="64"/>
        <x:v>0</x:v>
      </x:c>
      <x:c r="EA42" s="1052" t="str">
        <x:f t="shared" si="65"/>
        <x:v/>
      </x:c>
      <x:c r="EB42" s="1053" t="str">
        <x:f t="shared" si="66"/>
        <x:v/>
      </x:c>
      <x:c r="EC42" s="1053" t="str">
        <x:f t="shared" si="67"/>
        <x:v/>
      </x:c>
      <x:c r="ED42" s="1269">
        <x:f t="shared" si="68"/>
        <x:v>0</x:v>
      </x:c>
      <x:c r="EE42" s="1090" t="str">
        <x:f t="shared" si="69"/>
        <x:v/>
      </x:c>
      <x:c r="EF42" s="1053" t="str">
        <x:f t="shared" si="70"/>
        <x:v/>
      </x:c>
      <x:c r="EG42" s="1053" t="str">
        <x:f t="shared" si="71"/>
        <x:v/>
      </x:c>
      <x:c r="EH42" s="1053" t="e">
        <x:f t="shared" si="72"/>
        <x:v>#N/A</x:v>
      </x:c>
      <x:c r="EI42" s="1053" t="e">
        <x:f t="shared" si="73"/>
        <x:v>#N/A</x:v>
      </x:c>
      <x:c r="EJ42" s="1053" t="str">
        <x:f t="shared" si="74"/>
        <x:v/>
      </x:c>
      <x:c r="EK42" s="1053" t="str">
        <x:f t="shared" si="74"/>
        <x:v/>
      </x:c>
      <x:c r="EL42" s="1090" t="str">
        <x:f t="shared" si="75"/>
        <x:v/>
      </x:c>
      <x:c r="EM42" s="1053" t="str">
        <x:f t="shared" si="76"/>
        <x:v/>
      </x:c>
      <x:c r="EN42" s="1053" t="str">
        <x:f t="shared" si="77"/>
        <x:v/>
      </x:c>
      <x:c r="EO42" s="1053" t="e">
        <x:f t="shared" si="78"/>
        <x:v>#N/A</x:v>
      </x:c>
      <x:c r="EP42" s="1053" t="e">
        <x:f t="shared" si="79"/>
        <x:v>#N/A</x:v>
      </x:c>
      <x:c r="EQ42" s="1053" t="str">
        <x:f t="shared" si="80"/>
        <x:v/>
      </x:c>
      <x:c r="ER42" s="1053" t="str">
        <x:f t="shared" si="80"/>
        <x:v/>
      </x:c>
      <x:c r="ES42" s="1053" t="str">
        <x:f t="shared" si="81"/>
        <x:v/>
      </x:c>
      <x:c r="ET42" s="1053" t="str">
        <x:f t="shared" si="82"/>
        <x:v/>
      </x:c>
      <x:c r="EU42" s="1061" t="str">
        <x:f t="shared" si="83"/>
        <x:v/>
      </x:c>
      <x:c r="EV42" s="1055" t="str">
        <x:f t="shared" si="84"/>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5"/>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6"/>
        <x:v/>
      </x:c>
      <x:c r="FD42" s="1052">
        <x:f t="shared" si="108"/>
        <x:v>0</x:v>
      </x:c>
      <x:c r="FE42" s="1052">
        <x:f t="shared" si="87"/>
        <x:v>0</x:v>
      </x:c>
      <x:c r="FF42" s="1052">
        <x:f t="shared" si="88"/>
        <x:v>0</x:v>
      </x:c>
      <x:c r="FG42" s="1052" t="str">
        <x:f t="shared" si="89"/>
        <x:v/>
      </x:c>
      <x:c r="FH42" s="1053" t="str">
        <x:f t="shared" si="90"/>
        <x:v/>
      </x:c>
      <x:c r="FI42" s="1052">
        <x:f t="shared" si="109"/>
        <x:v>0</x:v>
      </x:c>
      <x:c r="FJ42" s="1052">
        <x:f t="shared" si="91"/>
        <x:v>0</x:v>
      </x:c>
      <x:c r="FK42" s="1052">
        <x:f t="shared" si="92"/>
        <x:v>0</x:v>
      </x:c>
      <x:c r="FL42" s="1052" t="str">
        <x:f t="shared" si="93"/>
        <x:v/>
      </x:c>
      <x:c r="FM42" s="1053" t="str">
        <x:f t="shared" si="94"/>
        <x:v/>
      </x:c>
      <x:c r="FN42" s="1053" t="e">
        <x:f t="shared" si="95"/>
        <x:v>#VALUE!</x:v>
      </x:c>
      <x:c r="FO42" s="1062" t="e">
        <x:f t="shared" si="96"/>
        <x:v>#VALUE!</x:v>
      </x:c>
      <x:c r="FP42" s="1062" t="e">
        <x:f t="shared" si="97"/>
        <x:v>#VALUE!</x:v>
      </x:c>
      <x:c r="FQ42" s="1063" t="e">
        <x:f t="shared" si="98"/>
        <x:v>#VALUE!</x:v>
      </x:c>
      <x:c r="FR42" s="1064" t="e">
        <x:f t="shared" si="99"/>
        <x:v>#VALUE!</x:v>
      </x:c>
      <x:c r="FS42" s="1065" t="str">
        <x:f t="shared" si="100"/>
        <x:v/>
      </x:c>
      <x:c r="FT42" s="1066" t="str">
        <x:f t="shared" si="101"/>
        <x:v/>
      </x:c>
      <x:c r="FU42" s="1105">
        <x:f t="shared" si="102"/>
        <x:v>0</x:v>
      </x:c>
      <x:c r="FV42" s="1106">
        <x:f t="shared" si="103"/>
        <x:v>0</x:v>
      </x:c>
      <x:c r="GA42" s="1975" t="str">
        <x:f t="shared" si="118"/>
        <x:v/>
      </x:c>
      <x:c r="GB42" s="1976" t="str">
        <x:f t="shared" si="119"/>
        <x:v/>
      </x:c>
      <x:c r="GC42" s="1977" t="str">
        <x:f t="shared" si="120"/>
        <x:v/>
      </x:c>
      <x:c r="GD42" s="1978" t="str">
        <x:f t="shared" si="121"/>
        <x:v/>
      </x:c>
      <x:c r="GE42" s="1979" t="str">
        <x:f t="shared" si="122"/>
        <x:v/>
      </x:c>
      <x:c r="GF42" s="1980" t="str">
        <x:f t="shared" si="104"/>
        <x:v/>
      </x:c>
      <x:c r="GG42" s="1453"/>
      <x:c r="GH42" s="1454"/>
      <x:c r="GI42" s="1453"/>
      <x:c r="GJ42" s="1454"/>
      <x:c r="GK42" s="533">
        <x:f t="shared" si="105"/>
        <x:v>0</x:v>
      </x:c>
      <x:c r="GL42" s="534" t="e">
        <x:f t="shared" si="106"/>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
        <x:v/>
      </x:c>
      <x:c r="G43" s="1262" t="str">
        <x:f t="shared" si="2"/>
        <x:v/>
      </x:c>
      <x:c r="H43" s="1266" t="str">
        <x:f t="shared" si="3"/>
        <x:v/>
      </x:c>
      <x:c r="I43" s="1261" t="str">
        <x:f t="shared" si="114"/>
        <x:v/>
      </x:c>
      <x:c r="J43" s="1262" t="str">
        <x:f t="shared" si="115"/>
        <x:v/>
      </x:c>
      <x:c r="K43" s="1370" t="str">
        <x:f t="shared" si="116"/>
        <x:v/>
      </x:c>
      <x:c r="L43" s="1327" t="str">
        <x:f t="shared" si="117"/>
        <x:v/>
      </x:c>
      <x:c r="M43" s="1329" t="str">
        <x:f t="shared" si="117"/>
        <x:v/>
      </x:c>
      <x:c r="N43" s="1263" t="str">
        <x:f t="shared" si="4"/>
        <x:v/>
      </x:c>
      <x:c r="O43" s="1262" t="str">
        <x:f t="shared" si="5"/>
        <x:v/>
      </x:c>
      <x:c r="P43" s="1260" t="str">
        <x:f t="shared" si="6"/>
        <x:v/>
      </x:c>
      <x:c r="Q43" s="1261" t="str">
        <x:f t="shared" si="7"/>
        <x:v/>
      </x:c>
      <x:c r="R43" s="1262" t="str">
        <x:f t="shared" si="8"/>
        <x:v/>
      </x:c>
      <x:c r="S43" s="1375" t="str">
        <x:f t="shared" si="9"/>
        <x:v/>
      </x:c>
      <x:c r="T43" s="1328" t="str">
        <x:f t="shared" si="10"/>
        <x:v/>
      </x:c>
      <x:c r="U43" s="1262" t="str">
        <x:f t="shared" si="11"/>
        <x:v/>
      </x:c>
      <x:c r="V43" s="1261" t="str">
        <x:f t="shared" si="12"/>
        <x:v/>
      </x:c>
      <x:c r="W43" s="1262" t="str">
        <x:f t="shared" si="13"/>
        <x:v/>
      </x:c>
      <x:c r="X43" s="1329">
        <x:f t="shared" si="14"/>
        <x:v>0</x:v>
      </x:c>
      <x:c r="Y43" s="1377" t="str">
        <x:f t="shared" si="15"/>
        <x:v/>
      </x:c>
      <x:c r="Z43" s="1378" t="str">
        <x:f t="shared" si="16"/>
        <x:v/>
      </x:c>
      <x:c r="AA43" s="2159"/>
      <x:c r="AC43" s="1226" t="b">
        <x:v>0</x:v>
      </x:c>
      <x:c r="AD43" s="525">
        <x:f t="shared" si="17"/>
        <x:v>0</x:v>
      </x:c>
      <x:c r="AE43" s="526">
        <x:f t="shared" si="18"/>
        <x:v>0</x:v>
      </x:c>
      <x:c r="AF43" s="526">
        <x:f t="shared" si="19"/>
        <x:v>0</x:v>
      </x:c>
      <x:c r="AG43" s="526">
        <x:f t="shared" si="20"/>
        <x:v>0</x:v>
      </x:c>
      <x:c r="AH43" s="527">
        <x:f t="shared" si="21"/>
        <x:v>0</x:v>
      </x:c>
      <x:c r="AI43" s="528" t="b">
        <x:v>0</x:v>
      </x:c>
      <x:c r="AJ43" s="284">
        <x:f t="shared" si="22"/>
        <x:v>0</x:v>
      </x:c>
      <x:c r="AK43" s="1063" t="str">
        <x:f t="shared" si="23"/>
        <x:v/>
      </x:c>
      <x:c r="AL43" s="1202" t="str">
        <x:f t="shared" si="24"/>
        <x:v/>
      </x:c>
      <x:c r="AM43" s="1063" t="str">
        <x:f t="shared" si="25"/>
        <x:v/>
      </x:c>
      <x:c r="AN43" s="1063" t="str">
        <x:f t="shared" si="26"/>
        <x:v/>
      </x:c>
      <x:c r="AO43" s="1063" t="str">
        <x:f t="shared" si="27"/>
        <x:v/>
      </x:c>
      <x:c r="AP43" s="1063" t="b">
        <x:f>IF(ISERROR(AJ43),FALSE,IF(OR(AJ43=0,ISERROR(AL43),ISERROR(AM43),ISERROR(AN43),ISERROR(AO43)),FALSE,IF(AL43&lt;&gt;"",IF(ISERROR(VLOOKUP(SUBSTITUTE(SUBSTITUTE(C43,"R",""),"A",""),TblJoistSize!$A:$A,1,FALSE)),FALSE,TRUE),TRUE)))</x:f>
        <x:v>0</x:v>
      </x:c>
      <x:c r="AQ43" s="1305" t="e">
        <x:f t="shared" si="28"/>
        <x:v>#N/A</x:v>
      </x:c>
      <x:c r="AR43" s="1305" t="b">
        <x:f t="shared" si="29"/>
        <x:v>0</x:v>
      </x:c>
      <x:c r="AS43" s="1305" t="e">
        <x:f t="shared" si="30"/>
        <x:v>#N/A</x:v>
      </x:c>
      <x:c r="AT43" s="1305" t="b">
        <x:f t="shared" si="31"/>
        <x:v>0</x:v>
      </x:c>
      <x:c r="AU43" s="1203" t="str">
        <x:f t="shared" si="32"/>
        <x:v/>
      </x:c>
      <x:c r="AV43" s="1063" t="str">
        <x:f t="shared" si="33"/>
        <x:v/>
      </x:c>
      <x:c r="AW43" s="1063" t="str">
        <x:f t="shared" si="34"/>
        <x:v/>
      </x:c>
      <x:c r="AX43" s="1063" t="str">
        <x:f t="shared" si="107"/>
        <x:v/>
      </x:c>
      <x:c r="AY43" s="1306" t="b">
        <x:f t="shared" si="35"/>
        <x:v>0</x:v>
      </x:c>
      <x:c r="AZ43" s="1090" t="str">
        <x:f t="shared" si="36"/>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7"/>
        <x:v/>
      </x:c>
      <x:c r="CE43" s="935" t="str">
        <x:f t="shared" si="38"/>
        <x:v/>
      </x:c>
      <x:c r="CF43" s="1149"/>
      <x:c r="CG43" s="1150"/>
      <x:c r="CH43" s="738" t="str">
        <x:f t="shared" si="39"/>
        <x:v/>
      </x:c>
      <x:c r="CI43" s="739" t="str">
        <x:f t="shared" si="40"/>
        <x:v/>
      </x:c>
      <x:c r="CJ43" s="740" t="str">
        <x:f t="shared" si="41"/>
        <x:v/>
      </x:c>
      <x:c r="CK43" s="741" t="str">
        <x:f t="shared" si="42"/>
        <x:v/>
      </x:c>
      <x:c r="CL43" s="742" t="str">
        <x:f t="shared" si="43"/>
        <x:v/>
      </x:c>
      <x:c r="CM43" s="743" t="str">
        <x:f t="shared" si="44"/>
        <x:v/>
      </x:c>
      <x:c r="CN43" s="744" t="str">
        <x:f t="shared" si="45"/>
        <x:v/>
      </x:c>
      <x:c r="CO43" s="745" t="str">
        <x:f t="shared" si="46"/>
        <x:v/>
      </x:c>
      <x:c r="CP43" s="762" t="str">
        <x:f t="shared" si="47"/>
        <x:v/>
      </x:c>
      <x:c r="CQ43" s="763" t="str">
        <x:f t="shared" si="48"/>
        <x:v/>
      </x:c>
      <x:c r="CR43" s="953" t="str">
        <x:f t="shared" si="49"/>
        <x:v/>
      </x:c>
      <x:c r="CS43" s="954" t="str">
        <x:f t="shared" si="50"/>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51"/>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52"/>
        <x:v>0</x:v>
      </x:c>
      <x:c r="DO43" s="1049">
        <x:f t="shared" si="53"/>
        <x:v>0</x:v>
      </x:c>
      <x:c r="DP43" s="1053" t="str">
        <x:f t="shared" si="54"/>
        <x:v/>
      </x:c>
      <x:c r="DQ43" s="1053" t="str">
        <x:f t="shared" si="55"/>
        <x:v/>
      </x:c>
      <x:c r="DR43" s="1053" t="str">
        <x:f t="shared" si="56"/>
        <x:v/>
      </x:c>
      <x:c r="DS43" s="1052">
        <x:f t="shared" si="57"/>
        <x:v>0</x:v>
      </x:c>
      <x:c r="DT43" s="1052">
        <x:f t="shared" si="58"/>
        <x:v>0</x:v>
      </x:c>
      <x:c r="DU43" s="1052" t="str">
        <x:f t="shared" si="59"/>
        <x:v/>
      </x:c>
      <x:c r="DV43" s="1053" t="str">
        <x:f t="shared" si="60"/>
        <x:v/>
      </x:c>
      <x:c r="DW43" s="1053" t="str">
        <x:f t="shared" si="61"/>
        <x:v/>
      </x:c>
      <x:c r="DX43" s="1269">
        <x:f t="shared" si="62"/>
        <x:v>0</x:v>
      </x:c>
      <x:c r="DY43" s="1053">
        <x:f t="shared" si="63"/>
        <x:v>0</x:v>
      </x:c>
      <x:c r="DZ43" s="1052">
        <x:f t="shared" si="64"/>
        <x:v>0</x:v>
      </x:c>
      <x:c r="EA43" s="1052" t="str">
        <x:f t="shared" si="65"/>
        <x:v/>
      </x:c>
      <x:c r="EB43" s="1053" t="str">
        <x:f t="shared" si="66"/>
        <x:v/>
      </x:c>
      <x:c r="EC43" s="1053" t="str">
        <x:f t="shared" si="67"/>
        <x:v/>
      </x:c>
      <x:c r="ED43" s="1269">
        <x:f t="shared" si="68"/>
        <x:v>0</x:v>
      </x:c>
      <x:c r="EE43" s="1090" t="str">
        <x:f t="shared" si="69"/>
        <x:v/>
      </x:c>
      <x:c r="EF43" s="1053" t="str">
        <x:f t="shared" si="70"/>
        <x:v/>
      </x:c>
      <x:c r="EG43" s="1053" t="str">
        <x:f t="shared" si="71"/>
        <x:v/>
      </x:c>
      <x:c r="EH43" s="1053" t="e">
        <x:f t="shared" si="72"/>
        <x:v>#N/A</x:v>
      </x:c>
      <x:c r="EI43" s="1053" t="e">
        <x:f t="shared" si="73"/>
        <x:v>#N/A</x:v>
      </x:c>
      <x:c r="EJ43" s="1053" t="str">
        <x:f t="shared" si="74"/>
        <x:v/>
      </x:c>
      <x:c r="EK43" s="1053" t="str">
        <x:f t="shared" si="74"/>
        <x:v/>
      </x:c>
      <x:c r="EL43" s="1090" t="str">
        <x:f t="shared" si="75"/>
        <x:v/>
      </x:c>
      <x:c r="EM43" s="1053" t="str">
        <x:f t="shared" si="76"/>
        <x:v/>
      </x:c>
      <x:c r="EN43" s="1053" t="str">
        <x:f t="shared" si="77"/>
        <x:v/>
      </x:c>
      <x:c r="EO43" s="1053" t="e">
        <x:f t="shared" si="78"/>
        <x:v>#N/A</x:v>
      </x:c>
      <x:c r="EP43" s="1053" t="e">
        <x:f t="shared" si="79"/>
        <x:v>#N/A</x:v>
      </x:c>
      <x:c r="EQ43" s="1053" t="str">
        <x:f t="shared" si="80"/>
        <x:v/>
      </x:c>
      <x:c r="ER43" s="1053" t="str">
        <x:f t="shared" si="80"/>
        <x:v/>
      </x:c>
      <x:c r="ES43" s="1053" t="str">
        <x:f t="shared" si="81"/>
        <x:v/>
      </x:c>
      <x:c r="ET43" s="1053" t="str">
        <x:f t="shared" si="82"/>
        <x:v/>
      </x:c>
      <x:c r="EU43" s="1061" t="str">
        <x:f t="shared" si="83"/>
        <x:v/>
      </x:c>
      <x:c r="EV43" s="1055" t="str">
        <x:f t="shared" si="84"/>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5"/>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6"/>
        <x:v/>
      </x:c>
      <x:c r="FD43" s="1052">
        <x:f t="shared" si="108"/>
        <x:v>0</x:v>
      </x:c>
      <x:c r="FE43" s="1052">
        <x:f t="shared" si="87"/>
        <x:v>0</x:v>
      </x:c>
      <x:c r="FF43" s="1052">
        <x:f t="shared" si="88"/>
        <x:v>0</x:v>
      </x:c>
      <x:c r="FG43" s="1052" t="str">
        <x:f t="shared" si="89"/>
        <x:v/>
      </x:c>
      <x:c r="FH43" s="1053" t="str">
        <x:f t="shared" si="90"/>
        <x:v/>
      </x:c>
      <x:c r="FI43" s="1052">
        <x:f t="shared" si="109"/>
        <x:v>0</x:v>
      </x:c>
      <x:c r="FJ43" s="1052">
        <x:f t="shared" si="91"/>
        <x:v>0</x:v>
      </x:c>
      <x:c r="FK43" s="1052">
        <x:f t="shared" si="92"/>
        <x:v>0</x:v>
      </x:c>
      <x:c r="FL43" s="1052" t="str">
        <x:f t="shared" si="93"/>
        <x:v/>
      </x:c>
      <x:c r="FM43" s="1053" t="str">
        <x:f t="shared" si="94"/>
        <x:v/>
      </x:c>
      <x:c r="FN43" s="1053" t="e">
        <x:f t="shared" si="95"/>
        <x:v>#VALUE!</x:v>
      </x:c>
      <x:c r="FO43" s="1062" t="e">
        <x:f t="shared" si="96"/>
        <x:v>#VALUE!</x:v>
      </x:c>
      <x:c r="FP43" s="1062" t="e">
        <x:f t="shared" si="97"/>
        <x:v>#VALUE!</x:v>
      </x:c>
      <x:c r="FQ43" s="1063" t="e">
        <x:f t="shared" si="98"/>
        <x:v>#VALUE!</x:v>
      </x:c>
      <x:c r="FR43" s="1064" t="e">
        <x:f t="shared" si="99"/>
        <x:v>#VALUE!</x:v>
      </x:c>
      <x:c r="FS43" s="1065" t="str">
        <x:f t="shared" si="100"/>
        <x:v/>
      </x:c>
      <x:c r="FT43" s="1066" t="str">
        <x:f t="shared" si="101"/>
        <x:v/>
      </x:c>
      <x:c r="FU43" s="1105">
        <x:f t="shared" si="102"/>
        <x:v>0</x:v>
      </x:c>
      <x:c r="FV43" s="1106">
        <x:f t="shared" si="103"/>
        <x:v>0</x:v>
      </x:c>
      <x:c r="GA43" s="1975" t="str">
        <x:f t="shared" si="118"/>
        <x:v/>
      </x:c>
      <x:c r="GB43" s="1976" t="str">
        <x:f t="shared" si="119"/>
        <x:v/>
      </x:c>
      <x:c r="GC43" s="1977" t="str">
        <x:f t="shared" si="120"/>
        <x:v/>
      </x:c>
      <x:c r="GD43" s="1978" t="str">
        <x:f t="shared" si="121"/>
        <x:v/>
      </x:c>
      <x:c r="GE43" s="1979" t="str">
        <x:f t="shared" si="122"/>
        <x:v/>
      </x:c>
      <x:c r="GF43" s="1980" t="str">
        <x:f t="shared" si="104"/>
        <x:v/>
      </x:c>
      <x:c r="GG43" s="1453"/>
      <x:c r="GH43" s="1454"/>
      <x:c r="GI43" s="1453"/>
      <x:c r="GJ43" s="1454"/>
      <x:c r="GK43" s="533">
        <x:f t="shared" si="105"/>
        <x:v>0</x:v>
      </x:c>
      <x:c r="GL43" s="534" t="e">
        <x:f t="shared" si="106"/>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
        <x:v/>
      </x:c>
      <x:c r="G44" s="1262" t="str">
        <x:f t="shared" si="2"/>
        <x:v/>
      </x:c>
      <x:c r="H44" s="1266" t="str">
        <x:f t="shared" si="3"/>
        <x:v/>
      </x:c>
      <x:c r="I44" s="1261" t="str">
        <x:f t="shared" si="114"/>
        <x:v/>
      </x:c>
      <x:c r="J44" s="1262" t="str">
        <x:f t="shared" si="115"/>
        <x:v/>
      </x:c>
      <x:c r="K44" s="1370" t="str">
        <x:f t="shared" si="116"/>
        <x:v/>
      </x:c>
      <x:c r="L44" s="1327" t="str">
        <x:f t="shared" si="117"/>
        <x:v/>
      </x:c>
      <x:c r="M44" s="1329" t="str">
        <x:f t="shared" si="117"/>
        <x:v/>
      </x:c>
      <x:c r="N44" s="1263" t="str">
        <x:f t="shared" si="4"/>
        <x:v/>
      </x:c>
      <x:c r="O44" s="1262" t="str">
        <x:f t="shared" si="5"/>
        <x:v/>
      </x:c>
      <x:c r="P44" s="1260" t="str">
        <x:f t="shared" si="6"/>
        <x:v/>
      </x:c>
      <x:c r="Q44" s="1261" t="str">
        <x:f t="shared" si="7"/>
        <x:v/>
      </x:c>
      <x:c r="R44" s="1262" t="str">
        <x:f t="shared" si="8"/>
        <x:v/>
      </x:c>
      <x:c r="S44" s="1375" t="str">
        <x:f t="shared" si="9"/>
        <x:v/>
      </x:c>
      <x:c r="T44" s="1328" t="str">
        <x:f t="shared" si="10"/>
        <x:v/>
      </x:c>
      <x:c r="U44" s="1262" t="str">
        <x:f t="shared" si="11"/>
        <x:v/>
      </x:c>
      <x:c r="V44" s="1261" t="str">
        <x:f t="shared" si="12"/>
        <x:v/>
      </x:c>
      <x:c r="W44" s="1262" t="str">
        <x:f t="shared" si="13"/>
        <x:v/>
      </x:c>
      <x:c r="X44" s="1329">
        <x:f t="shared" si="14"/>
        <x:v>0</x:v>
      </x:c>
      <x:c r="Y44" s="1377" t="str">
        <x:f t="shared" si="15"/>
        <x:v/>
      </x:c>
      <x:c r="Z44" s="1378" t="str">
        <x:f t="shared" si="16"/>
        <x:v/>
      </x:c>
      <x:c r="AA44" s="2159"/>
      <x:c r="AC44" s="1226" t="b">
        <x:v>0</x:v>
      </x:c>
      <x:c r="AD44" s="525">
        <x:f t="shared" si="17"/>
        <x:v>0</x:v>
      </x:c>
      <x:c r="AE44" s="526">
        <x:f t="shared" si="18"/>
        <x:v>0</x:v>
      </x:c>
      <x:c r="AF44" s="526">
        <x:f t="shared" si="19"/>
        <x:v>0</x:v>
      </x:c>
      <x:c r="AG44" s="526">
        <x:f t="shared" si="20"/>
        <x:v>0</x:v>
      </x:c>
      <x:c r="AH44" s="527">
        <x:f t="shared" si="21"/>
        <x:v>0</x:v>
      </x:c>
      <x:c r="AI44" s="528" t="b">
        <x:v>0</x:v>
      </x:c>
      <x:c r="AJ44" s="284">
        <x:f t="shared" si="22"/>
        <x:v>0</x:v>
      </x:c>
      <x:c r="AK44" s="1063" t="str">
        <x:f t="shared" si="23"/>
        <x:v/>
      </x:c>
      <x:c r="AL44" s="1202" t="str">
        <x:f t="shared" si="24"/>
        <x:v/>
      </x:c>
      <x:c r="AM44" s="1063" t="str">
        <x:f t="shared" si="25"/>
        <x:v/>
      </x:c>
      <x:c r="AN44" s="1063" t="str">
        <x:f t="shared" si="26"/>
        <x:v/>
      </x:c>
      <x:c r="AO44" s="1063" t="str">
        <x:f t="shared" si="27"/>
        <x:v/>
      </x:c>
      <x:c r="AP44" s="1063" t="b">
        <x:f>IF(ISERROR(AJ44),FALSE,IF(OR(AJ44=0,ISERROR(AL44),ISERROR(AM44),ISERROR(AN44),ISERROR(AO44)),FALSE,IF(AL44&lt;&gt;"",IF(ISERROR(VLOOKUP(SUBSTITUTE(SUBSTITUTE(C44,"R",""),"A",""),TblJoistSize!$A:$A,1,FALSE)),FALSE,TRUE),TRUE)))</x:f>
        <x:v>0</x:v>
      </x:c>
      <x:c r="AQ44" s="1305" t="e">
        <x:f t="shared" si="28"/>
        <x:v>#N/A</x:v>
      </x:c>
      <x:c r="AR44" s="1305" t="b">
        <x:f t="shared" si="29"/>
        <x:v>0</x:v>
      </x:c>
      <x:c r="AS44" s="1305" t="e">
        <x:f t="shared" si="30"/>
        <x:v>#N/A</x:v>
      </x:c>
      <x:c r="AT44" s="1305" t="b">
        <x:f t="shared" si="31"/>
        <x:v>0</x:v>
      </x:c>
      <x:c r="AU44" s="1203" t="str">
        <x:f t="shared" si="32"/>
        <x:v/>
      </x:c>
      <x:c r="AV44" s="1063" t="str">
        <x:f t="shared" si="33"/>
        <x:v/>
      </x:c>
      <x:c r="AW44" s="1063" t="str">
        <x:f t="shared" si="34"/>
        <x:v/>
      </x:c>
      <x:c r="AX44" s="1063" t="str">
        <x:f t="shared" si="107"/>
        <x:v/>
      </x:c>
      <x:c r="AY44" s="1306" t="b">
        <x:f t="shared" si="35"/>
        <x:v>0</x:v>
      </x:c>
      <x:c r="AZ44" s="1090" t="str">
        <x:f t="shared" si="36"/>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7"/>
        <x:v/>
      </x:c>
      <x:c r="CE44" s="935" t="str">
        <x:f t="shared" si="38"/>
        <x:v/>
      </x:c>
      <x:c r="CF44" s="1149"/>
      <x:c r="CG44" s="1150"/>
      <x:c r="CH44" s="738" t="str">
        <x:f t="shared" si="39"/>
        <x:v/>
      </x:c>
      <x:c r="CI44" s="739" t="str">
        <x:f t="shared" si="40"/>
        <x:v/>
      </x:c>
      <x:c r="CJ44" s="740" t="str">
        <x:f t="shared" si="41"/>
        <x:v/>
      </x:c>
      <x:c r="CK44" s="741" t="str">
        <x:f t="shared" si="42"/>
        <x:v/>
      </x:c>
      <x:c r="CL44" s="742" t="str">
        <x:f t="shared" si="43"/>
        <x:v/>
      </x:c>
      <x:c r="CM44" s="743" t="str">
        <x:f t="shared" si="44"/>
        <x:v/>
      </x:c>
      <x:c r="CN44" s="744" t="str">
        <x:f t="shared" si="45"/>
        <x:v/>
      </x:c>
      <x:c r="CO44" s="745" t="str">
        <x:f t="shared" si="46"/>
        <x:v/>
      </x:c>
      <x:c r="CP44" s="762" t="str">
        <x:f t="shared" si="47"/>
        <x:v/>
      </x:c>
      <x:c r="CQ44" s="763" t="str">
        <x:f t="shared" si="48"/>
        <x:v/>
      </x:c>
      <x:c r="CR44" s="953" t="str">
        <x:f t="shared" si="49"/>
        <x:v/>
      </x:c>
      <x:c r="CS44" s="954" t="str">
        <x:f t="shared" si="50"/>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51"/>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52"/>
        <x:v>0</x:v>
      </x:c>
      <x:c r="DO44" s="1049">
        <x:f t="shared" si="53"/>
        <x:v>0</x:v>
      </x:c>
      <x:c r="DP44" s="1053" t="str">
        <x:f t="shared" si="54"/>
        <x:v/>
      </x:c>
      <x:c r="DQ44" s="1053" t="str">
        <x:f t="shared" si="55"/>
        <x:v/>
      </x:c>
      <x:c r="DR44" s="1053" t="str">
        <x:f t="shared" si="56"/>
        <x:v/>
      </x:c>
      <x:c r="DS44" s="1052">
        <x:f t="shared" si="57"/>
        <x:v>0</x:v>
      </x:c>
      <x:c r="DT44" s="1052">
        <x:f t="shared" si="58"/>
        <x:v>0</x:v>
      </x:c>
      <x:c r="DU44" s="1052" t="str">
        <x:f t="shared" si="59"/>
        <x:v/>
      </x:c>
      <x:c r="DV44" s="1053" t="str">
        <x:f t="shared" si="60"/>
        <x:v/>
      </x:c>
      <x:c r="DW44" s="1053" t="str">
        <x:f t="shared" si="61"/>
        <x:v/>
      </x:c>
      <x:c r="DX44" s="1269">
        <x:f t="shared" si="62"/>
        <x:v>0</x:v>
      </x:c>
      <x:c r="DY44" s="1053">
        <x:f t="shared" si="63"/>
        <x:v>0</x:v>
      </x:c>
      <x:c r="DZ44" s="1052">
        <x:f t="shared" si="64"/>
        <x:v>0</x:v>
      </x:c>
      <x:c r="EA44" s="1052" t="str">
        <x:f t="shared" si="65"/>
        <x:v/>
      </x:c>
      <x:c r="EB44" s="1053" t="str">
        <x:f t="shared" si="66"/>
        <x:v/>
      </x:c>
      <x:c r="EC44" s="1053" t="str">
        <x:f t="shared" si="67"/>
        <x:v/>
      </x:c>
      <x:c r="ED44" s="1269">
        <x:f t="shared" si="68"/>
        <x:v>0</x:v>
      </x:c>
      <x:c r="EE44" s="1090" t="str">
        <x:f t="shared" si="69"/>
        <x:v/>
      </x:c>
      <x:c r="EF44" s="1053" t="str">
        <x:f t="shared" si="70"/>
        <x:v/>
      </x:c>
      <x:c r="EG44" s="1053" t="str">
        <x:f t="shared" si="71"/>
        <x:v/>
      </x:c>
      <x:c r="EH44" s="1053" t="e">
        <x:f t="shared" si="72"/>
        <x:v>#N/A</x:v>
      </x:c>
      <x:c r="EI44" s="1053" t="e">
        <x:f t="shared" si="73"/>
        <x:v>#N/A</x:v>
      </x:c>
      <x:c r="EJ44" s="1053" t="str">
        <x:f t="shared" si="74"/>
        <x:v/>
      </x:c>
      <x:c r="EK44" s="1053" t="str">
        <x:f t="shared" si="74"/>
        <x:v/>
      </x:c>
      <x:c r="EL44" s="1090" t="str">
        <x:f t="shared" si="75"/>
        <x:v/>
      </x:c>
      <x:c r="EM44" s="1053" t="str">
        <x:f t="shared" si="76"/>
        <x:v/>
      </x:c>
      <x:c r="EN44" s="1053" t="str">
        <x:f t="shared" si="77"/>
        <x:v/>
      </x:c>
      <x:c r="EO44" s="1053" t="e">
        <x:f t="shared" si="78"/>
        <x:v>#N/A</x:v>
      </x:c>
      <x:c r="EP44" s="1053" t="e">
        <x:f t="shared" si="79"/>
        <x:v>#N/A</x:v>
      </x:c>
      <x:c r="EQ44" s="1053" t="str">
        <x:f t="shared" si="80"/>
        <x:v/>
      </x:c>
      <x:c r="ER44" s="1053" t="str">
        <x:f t="shared" si="80"/>
        <x:v/>
      </x:c>
      <x:c r="ES44" s="1053" t="str">
        <x:f t="shared" si="81"/>
        <x:v/>
      </x:c>
      <x:c r="ET44" s="1053" t="str">
        <x:f t="shared" si="82"/>
        <x:v/>
      </x:c>
      <x:c r="EU44" s="1061" t="str">
        <x:f t="shared" si="83"/>
        <x:v/>
      </x:c>
      <x:c r="EV44" s="1055" t="str">
        <x:f t="shared" si="84"/>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5"/>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6"/>
        <x:v/>
      </x:c>
      <x:c r="FD44" s="1052">
        <x:f t="shared" si="108"/>
        <x:v>0</x:v>
      </x:c>
      <x:c r="FE44" s="1052">
        <x:f t="shared" si="87"/>
        <x:v>0</x:v>
      </x:c>
      <x:c r="FF44" s="1052">
        <x:f t="shared" si="88"/>
        <x:v>0</x:v>
      </x:c>
      <x:c r="FG44" s="1052" t="str">
        <x:f t="shared" si="89"/>
        <x:v/>
      </x:c>
      <x:c r="FH44" s="1053" t="str">
        <x:f t="shared" si="90"/>
        <x:v/>
      </x:c>
      <x:c r="FI44" s="1052">
        <x:f t="shared" si="109"/>
        <x:v>0</x:v>
      </x:c>
      <x:c r="FJ44" s="1052">
        <x:f t="shared" si="91"/>
        <x:v>0</x:v>
      </x:c>
      <x:c r="FK44" s="1052">
        <x:f t="shared" si="92"/>
        <x:v>0</x:v>
      </x:c>
      <x:c r="FL44" s="1052" t="str">
        <x:f t="shared" si="93"/>
        <x:v/>
      </x:c>
      <x:c r="FM44" s="1053" t="str">
        <x:f t="shared" si="94"/>
        <x:v/>
      </x:c>
      <x:c r="FN44" s="1053" t="e">
        <x:f t="shared" si="95"/>
        <x:v>#VALUE!</x:v>
      </x:c>
      <x:c r="FO44" s="1062" t="e">
        <x:f t="shared" si="96"/>
        <x:v>#VALUE!</x:v>
      </x:c>
      <x:c r="FP44" s="1062" t="e">
        <x:f t="shared" si="97"/>
        <x:v>#VALUE!</x:v>
      </x:c>
      <x:c r="FQ44" s="1063" t="e">
        <x:f t="shared" si="98"/>
        <x:v>#VALUE!</x:v>
      </x:c>
      <x:c r="FR44" s="1064" t="e">
        <x:f t="shared" si="99"/>
        <x:v>#VALUE!</x:v>
      </x:c>
      <x:c r="FS44" s="1065" t="str">
        <x:f t="shared" si="100"/>
        <x:v/>
      </x:c>
      <x:c r="FT44" s="1066" t="str">
        <x:f t="shared" si="101"/>
        <x:v/>
      </x:c>
      <x:c r="FU44" s="1105">
        <x:f t="shared" si="102"/>
        <x:v>0</x:v>
      </x:c>
      <x:c r="FV44" s="1106">
        <x:f t="shared" si="103"/>
        <x:v>0</x:v>
      </x:c>
      <x:c r="GA44" s="1975" t="str">
        <x:f t="shared" si="118"/>
        <x:v/>
      </x:c>
      <x:c r="GB44" s="1976" t="str">
        <x:f t="shared" si="119"/>
        <x:v/>
      </x:c>
      <x:c r="GC44" s="1977" t="str">
        <x:f t="shared" si="120"/>
        <x:v/>
      </x:c>
      <x:c r="GD44" s="1978" t="str">
        <x:f t="shared" si="121"/>
        <x:v/>
      </x:c>
      <x:c r="GE44" s="1979" t="str">
        <x:f t="shared" si="122"/>
        <x:v/>
      </x:c>
      <x:c r="GF44" s="1980" t="str">
        <x:f t="shared" si="104"/>
        <x:v/>
      </x:c>
      <x:c r="GG44" s="1453"/>
      <x:c r="GH44" s="1454"/>
      <x:c r="GI44" s="1453"/>
      <x:c r="GJ44" s="1454"/>
      <x:c r="GK44" s="533">
        <x:f t="shared" si="105"/>
        <x:v>0</x:v>
      </x:c>
      <x:c r="GL44" s="534" t="e">
        <x:f t="shared" si="106"/>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7"/>
        <x:v>0</x:v>
      </x:c>
      <x:c r="AE45" s="526">
        <x:f t="shared" si="18"/>
        <x:v>0</x:v>
      </x:c>
      <x:c r="AF45" s="526">
        <x:f t="shared" si="19"/>
        <x:v>0</x:v>
      </x:c>
      <x:c r="AG45" s="526">
        <x:f t="shared" si="20"/>
        <x:v>0</x:v>
      </x:c>
      <x:c r="AH45" s="527">
        <x:f t="shared" si="21"/>
        <x:v>0</x:v>
      </x:c>
      <x:c r="AI45" s="528" t="b">
        <x:v>0</x:v>
      </x:c>
      <x:c r="AJ45" s="284">
        <x:f t="shared" si="22"/>
        <x:v>0</x:v>
      </x:c>
      <x:c r="AK45" s="1063" t="str">
        <x:f t="shared" si="23"/>
        <x:v/>
      </x:c>
      <x:c r="AL45" s="1202" t="str">
        <x:f t="shared" si="24"/>
        <x:v/>
      </x:c>
      <x:c r="AM45" s="1063" t="str">
        <x:f t="shared" si="25"/>
        <x:v/>
      </x:c>
      <x:c r="AN45" s="1063" t="str">
        <x:f t="shared" si="26"/>
        <x:v/>
      </x:c>
      <x:c r="AO45" s="1063" t="str">
        <x:f t="shared" si="27"/>
        <x:v/>
      </x:c>
      <x:c r="AP45" s="1063" t="b">
        <x:f>IF(ISERROR(AJ45),FALSE,IF(OR(AJ45=0,ISERROR(AL45),ISERROR(AM45),ISERROR(AN45),ISERROR(AO45)),FALSE,IF(AL45&lt;&gt;"",IF(ISERROR(VLOOKUP(SUBSTITUTE(SUBSTITUTE(C45,"R",""),"A",""),TblJoistSize!$A:$A,1,FALSE)),FALSE,TRUE),TRUE)))</x:f>
        <x:v>0</x:v>
      </x:c>
      <x:c r="AQ45" s="1305" t="e">
        <x:f t="shared" si="28"/>
        <x:v>#N/A</x:v>
      </x:c>
      <x:c r="AR45" s="1305" t="b">
        <x:f t="shared" si="29"/>
        <x:v>0</x:v>
      </x:c>
      <x:c r="AS45" s="1305" t="e">
        <x:f t="shared" si="30"/>
        <x:v>#N/A</x:v>
      </x:c>
      <x:c r="AT45" s="1305" t="b">
        <x:f t="shared" si="31"/>
        <x:v>0</x:v>
      </x:c>
      <x:c r="AU45" s="1203" t="str">
        <x:f t="shared" si="32"/>
        <x:v/>
      </x:c>
      <x:c r="AV45" s="1063" t="str">
        <x:f t="shared" si="33"/>
        <x:v/>
      </x:c>
      <x:c r="AW45" s="1063" t="str">
        <x:f t="shared" si="34"/>
        <x:v/>
      </x:c>
      <x:c r="AX45" s="1063" t="str">
        <x:f t="shared" si="107"/>
        <x:v/>
      </x:c>
      <x:c r="AY45" s="1306" t="b">
        <x:f t="shared" si="35"/>
        <x:v>0</x:v>
      </x:c>
      <x:c r="AZ45" s="1090" t="str">
        <x:f t="shared" si="36"/>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7"/>
        <x:v/>
      </x:c>
      <x:c r="CE45" s="942" t="str">
        <x:f t="shared" si="38"/>
        <x:v/>
      </x:c>
      <x:c r="CF45" s="1151"/>
      <x:c r="CG45" s="1152"/>
      <x:c r="CH45" s="748" t="str">
        <x:f t="shared" si="39"/>
        <x:v/>
      </x:c>
      <x:c r="CI45" s="749" t="str">
        <x:f t="shared" si="40"/>
        <x:v/>
      </x:c>
      <x:c r="CJ45" s="750" t="str">
        <x:f t="shared" si="41"/>
        <x:v/>
      </x:c>
      <x:c r="CK45" s="751" t="str">
        <x:f t="shared" si="42"/>
        <x:v/>
      </x:c>
      <x:c r="CL45" s="752" t="str">
        <x:f t="shared" si="43"/>
        <x:v/>
      </x:c>
      <x:c r="CM45" s="753" t="str">
        <x:f t="shared" si="44"/>
        <x:v/>
      </x:c>
      <x:c r="CN45" s="754" t="str">
        <x:f t="shared" si="45"/>
        <x:v/>
      </x:c>
      <x:c r="CO45" s="755" t="str">
        <x:f t="shared" si="46"/>
        <x:v/>
      </x:c>
      <x:c r="CP45" s="764" t="str">
        <x:f t="shared" si="47"/>
        <x:v/>
      </x:c>
      <x:c r="CQ45" s="765" t="str">
        <x:f t="shared" si="48"/>
        <x:v/>
      </x:c>
      <x:c r="CR45" s="955" t="str">
        <x:f t="shared" si="49"/>
        <x:v/>
      </x:c>
      <x:c r="CS45" s="956" t="str">
        <x:f t="shared" si="50"/>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51"/>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52"/>
        <x:v>0</x:v>
      </x:c>
      <x:c r="DO45" s="1049">
        <x:f t="shared" si="53"/>
        <x:v>0</x:v>
      </x:c>
      <x:c r="DP45" s="1053" t="str">
        <x:f t="shared" si="54"/>
        <x:v/>
      </x:c>
      <x:c r="DQ45" s="1053" t="str">
        <x:f t="shared" si="55"/>
        <x:v/>
      </x:c>
      <x:c r="DR45" s="1053" t="str">
        <x:f t="shared" si="56"/>
        <x:v/>
      </x:c>
      <x:c r="DS45" s="1052">
        <x:f t="shared" si="57"/>
        <x:v>0</x:v>
      </x:c>
      <x:c r="DT45" s="1052">
        <x:f t="shared" si="58"/>
        <x:v>0</x:v>
      </x:c>
      <x:c r="DU45" s="1052" t="str">
        <x:f t="shared" si="59"/>
        <x:v/>
      </x:c>
      <x:c r="DV45" s="1053" t="str">
        <x:f t="shared" si="60"/>
        <x:v/>
      </x:c>
      <x:c r="DW45" s="1053" t="str">
        <x:f t="shared" si="61"/>
        <x:v/>
      </x:c>
      <x:c r="DX45" s="1269">
        <x:f t="shared" si="62"/>
        <x:v>0</x:v>
      </x:c>
      <x:c r="DY45" s="1053">
        <x:f t="shared" si="63"/>
        <x:v>0</x:v>
      </x:c>
      <x:c r="DZ45" s="1052">
        <x:f t="shared" si="64"/>
        <x:v>0</x:v>
      </x:c>
      <x:c r="EA45" s="1052" t="str">
        <x:f t="shared" si="65"/>
        <x:v/>
      </x:c>
      <x:c r="EB45" s="1053" t="str">
        <x:f t="shared" si="66"/>
        <x:v/>
      </x:c>
      <x:c r="EC45" s="1053" t="str">
        <x:f t="shared" si="67"/>
        <x:v/>
      </x:c>
      <x:c r="ED45" s="1269">
        <x:f t="shared" si="68"/>
        <x:v>0</x:v>
      </x:c>
      <x:c r="EE45" s="1090" t="str">
        <x:f t="shared" si="69"/>
        <x:v/>
      </x:c>
      <x:c r="EF45" s="1053" t="str">
        <x:f t="shared" si="70"/>
        <x:v/>
      </x:c>
      <x:c r="EG45" s="1053" t="str">
        <x:f t="shared" si="71"/>
        <x:v/>
      </x:c>
      <x:c r="EH45" s="1053" t="e">
        <x:f t="shared" si="72"/>
        <x:v>#N/A</x:v>
      </x:c>
      <x:c r="EI45" s="1053" t="e">
        <x:f t="shared" si="73"/>
        <x:v>#N/A</x:v>
      </x:c>
      <x:c r="EJ45" s="1053" t="str">
        <x:f t="shared" si="74"/>
        <x:v/>
      </x:c>
      <x:c r="EK45" s="1053" t="str">
        <x:f t="shared" si="74"/>
        <x:v/>
      </x:c>
      <x:c r="EL45" s="1090" t="str">
        <x:f t="shared" si="75"/>
        <x:v/>
      </x:c>
      <x:c r="EM45" s="1053" t="str">
        <x:f t="shared" si="76"/>
        <x:v/>
      </x:c>
      <x:c r="EN45" s="1053" t="str">
        <x:f t="shared" si="77"/>
        <x:v/>
      </x:c>
      <x:c r="EO45" s="1053" t="e">
        <x:f t="shared" si="78"/>
        <x:v>#N/A</x:v>
      </x:c>
      <x:c r="EP45" s="1053" t="e">
        <x:f t="shared" si="79"/>
        <x:v>#N/A</x:v>
      </x:c>
      <x:c r="EQ45" s="1053" t="str">
        <x:f t="shared" si="80"/>
        <x:v/>
      </x:c>
      <x:c r="ER45" s="1053" t="str">
        <x:f t="shared" si="80"/>
        <x:v/>
      </x:c>
      <x:c r="ES45" s="1053" t="str">
        <x:f t="shared" si="81"/>
        <x:v/>
      </x:c>
      <x:c r="ET45" s="1053" t="str">
        <x:f t="shared" si="82"/>
        <x:v/>
      </x:c>
      <x:c r="EU45" s="1061" t="str">
        <x:f t="shared" si="83"/>
        <x:v/>
      </x:c>
      <x:c r="EV45" s="1055" t="str">
        <x:f t="shared" si="84"/>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5"/>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6"/>
        <x:v/>
      </x:c>
      <x:c r="FD45" s="1052">
        <x:f t="shared" si="108"/>
        <x:v>0</x:v>
      </x:c>
      <x:c r="FE45" s="1052">
        <x:f t="shared" si="87"/>
        <x:v>0</x:v>
      </x:c>
      <x:c r="FF45" s="1052">
        <x:f t="shared" si="88"/>
        <x:v>0</x:v>
      </x:c>
      <x:c r="FG45" s="1052" t="str">
        <x:f t="shared" si="89"/>
        <x:v/>
      </x:c>
      <x:c r="FH45" s="1053" t="str">
        <x:f t="shared" si="90"/>
        <x:v/>
      </x:c>
      <x:c r="FI45" s="1052">
        <x:f t="shared" si="109"/>
        <x:v>0</x:v>
      </x:c>
      <x:c r="FJ45" s="1052">
        <x:f t="shared" si="91"/>
        <x:v>0</x:v>
      </x:c>
      <x:c r="FK45" s="1052">
        <x:f t="shared" si="92"/>
        <x:v>0</x:v>
      </x:c>
      <x:c r="FL45" s="1052" t="str">
        <x:f t="shared" si="93"/>
        <x:v/>
      </x:c>
      <x:c r="FM45" s="1053" t="str">
        <x:f t="shared" si="94"/>
        <x:v/>
      </x:c>
      <x:c r="FN45" s="1053" t="e">
        <x:f t="shared" si="95"/>
        <x:v>#VALUE!</x:v>
      </x:c>
      <x:c r="FO45" s="1062" t="e">
        <x:f t="shared" si="96"/>
        <x:v>#VALUE!</x:v>
      </x:c>
      <x:c r="FP45" s="1062" t="e">
        <x:f t="shared" si="97"/>
        <x:v>#VALUE!</x:v>
      </x:c>
      <x:c r="FQ45" s="1063" t="e">
        <x:f t="shared" si="98"/>
        <x:v>#VALUE!</x:v>
      </x:c>
      <x:c r="FR45" s="1064" t="e">
        <x:f t="shared" si="99"/>
        <x:v>#VALUE!</x:v>
      </x:c>
      <x:c r="FS45" s="1065" t="str">
        <x:f t="shared" si="100"/>
        <x:v/>
      </x:c>
      <x:c r="FT45" s="1066" t="str">
        <x:f t="shared" si="101"/>
        <x:v/>
      </x:c>
      <x:c r="FU45" s="1105">
        <x:f t="shared" si="102"/>
        <x:v>0</x:v>
      </x:c>
      <x:c r="FV45" s="1106">
        <x:f t="shared" si="103"/>
        <x:v>0</x:v>
      </x:c>
      <x:c r="GA45" s="1975" t="str">
        <x:f t="shared" si="118"/>
        <x:v/>
      </x:c>
      <x:c r="GB45" s="1976" t="str">
        <x:f t="shared" si="119"/>
        <x:v/>
      </x:c>
      <x:c r="GC45" s="1977" t="str">
        <x:f t="shared" si="120"/>
        <x:v/>
      </x:c>
      <x:c r="GD45" s="1978" t="str">
        <x:f t="shared" si="121"/>
        <x:v/>
      </x:c>
      <x:c r="GE45" s="1979" t="str">
        <x:f t="shared" si="122"/>
        <x:v/>
      </x:c>
      <x:c r="GF45" s="1980" t="str">
        <x:f t="shared" si="104"/>
        <x:v/>
      </x:c>
      <x:c r="GG45" s="1455"/>
      <x:c r="GH45" s="1456"/>
      <x:c r="GI45" s="1455"/>
      <x:c r="GJ45" s="1456"/>
      <x:c r="GK45" s="533">
        <x:f t="shared" si="105"/>
        <x:v>0</x:v>
      </x:c>
      <x:c r="GL45" s="534" t="e">
        <x:f t="shared" si="106"/>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0</x:v>
      </x:c>
      <x:c r="AE46" s="540">
        <x:f>SUM(AE16:AE45)</x:f>
        <x:v>4</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4</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2078</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dW+AVC9MoJOMVSkMhQHWPRXJF6wkTg69mngxNlzblhUw4pWI/QoEtFFAjCtSU9G3qL7OfyTBs9yr4c+kk8WDNA==" saltValue="QqbJsCio86FML1nknvjUlg=="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950" priority="69" stopIfTrue="1">
      <x:formula>GM57&gt;=0.125</x:formula>
    </x:cfRule>
  </x:conditionalFormatting>
  <x:conditionalFormatting sqref="EF57">
    <x:cfRule type="cellIs" dxfId="949" priority="70" stopIfTrue="1" operator="notEqual">
      <x:formula>$EG57</x:formula>
    </x:cfRule>
  </x:conditionalFormatting>
  <x:conditionalFormatting sqref="EM57">
    <x:cfRule type="cellIs" dxfId="948" priority="71" stopIfTrue="1" operator="notEqual">
      <x:formula>$EN57</x:formula>
    </x:cfRule>
  </x:conditionalFormatting>
  <x:conditionalFormatting sqref="CD16:CD45">
    <x:cfRule type="expression" dxfId="947" priority="62">
      <x:formula>AND(CD16="X",CY16="")</x:formula>
    </x:cfRule>
    <x:cfRule type="expression" dxfId="946" priority="72">
      <x:formula>AND(CD16="",CY16&lt;&gt;"")</x:formula>
    </x:cfRule>
  </x:conditionalFormatting>
  <x:conditionalFormatting sqref="CE16:CE45">
    <x:cfRule type="expression" dxfId="945" priority="73">
      <x:formula>AND(CE16="X",DI16="")</x:formula>
    </x:cfRule>
    <x:cfRule type="expression" dxfId="944" priority="74">
      <x:formula>AND(CE16="",DI16&lt;&gt;"")</x:formula>
    </x:cfRule>
  </x:conditionalFormatting>
  <x:conditionalFormatting sqref="P2:S4">
    <x:cfRule type="cellIs" dxfId="943" priority="76" stopIfTrue="1" operator="equal">
      <x:formula>""</x:formula>
    </x:cfRule>
  </x:conditionalFormatting>
  <x:conditionalFormatting sqref="EF16:EF45">
    <x:cfRule type="cellIs" dxfId="942" priority="68" stopIfTrue="1" operator="notEqual">
      <x:formula>$EG16</x:formula>
    </x:cfRule>
  </x:conditionalFormatting>
  <x:conditionalFormatting sqref="EM16:EM45">
    <x:cfRule type="cellIs" dxfId="941" priority="67" stopIfTrue="1" operator="notEqual">
      <x:formula>$EN16</x:formula>
    </x:cfRule>
  </x:conditionalFormatting>
  <x:conditionalFormatting sqref="CC12">
    <x:cfRule type="expression" dxfId="940" priority="66" stopIfTrue="1">
      <x:formula>ISBLANK($CC$12)</x:formula>
    </x:cfRule>
  </x:conditionalFormatting>
  <x:conditionalFormatting sqref="CC11">
    <x:cfRule type="expression" dxfId="939" priority="65" stopIfTrue="1">
      <x:formula>ISBLANK($CC$11)</x:formula>
    </x:cfRule>
  </x:conditionalFormatting>
  <x:conditionalFormatting sqref="M7">
    <x:cfRule type="expression" dxfId="938" priority="63" stopIfTrue="1">
      <x:formula>OR(ISBLANK($M$7),$M$7="")</x:formula>
    </x:cfRule>
    <x:cfRule type="expression" dxfId="937" priority="64" stopIfTrue="1">
      <x:formula>AND(LOWER($M$7)&lt;&gt;"std gray primer: one shop coat",LOWER($M$7)&lt;&gt;"gray",$M$7&lt;&gt;"")</x:formula>
    </x:cfRule>
  </x:conditionalFormatting>
  <x:conditionalFormatting sqref="BV16:BV45">
    <x:cfRule type="expression" dxfId="936" priority="60">
      <x:formula>AND(NOT($AY16),AND(ISBLANK(BV16),AND(NOT(ISBLANK(BU16)),$BW16&lt;&gt;0)))</x:formula>
    </x:cfRule>
  </x:conditionalFormatting>
  <x:conditionalFormatting sqref="BD16:BD45">
    <x:cfRule type="expression" dxfId="935" priority="61">
      <x:formula>AND(NOT($AY16),NOT($AP16))</x:formula>
    </x:cfRule>
  </x:conditionalFormatting>
  <x:conditionalFormatting sqref="U16:U45">
    <x:cfRule type="expression" dxfId="934" priority="57">
      <x:formula>AND(NOT($AY16),NOT(AR16))</x:formula>
    </x:cfRule>
  </x:conditionalFormatting>
  <x:conditionalFormatting sqref="W16:W45">
    <x:cfRule type="expression" dxfId="933" priority="59">
      <x:formula>AND(NOT($AY16),NOT(AT16))</x:formula>
    </x:cfRule>
  </x:conditionalFormatting>
  <x:conditionalFormatting sqref="T16:T45">
    <x:cfRule type="expression" dxfId="932" priority="56">
      <x:formula>AND(NOT($AY16),NOT(AR16))</x:formula>
    </x:cfRule>
  </x:conditionalFormatting>
  <x:conditionalFormatting sqref="V16:V45">
    <x:cfRule type="expression" dxfId="931" priority="58">
      <x:formula>AND(NOT($AY16),NOT(AT16))</x:formula>
    </x:cfRule>
  </x:conditionalFormatting>
  <x:conditionalFormatting sqref="C16:C45">
    <x:cfRule type="expression" dxfId="930" priority="54">
      <x:formula>AND(NOT($AY16),NOT($AP16))</x:formula>
    </x:cfRule>
  </x:conditionalFormatting>
  <x:conditionalFormatting sqref="X16:X45">
    <x:cfRule type="expression" dxfId="929" priority="14">
      <x:formula>$X16=0</x:formula>
    </x:cfRule>
  </x:conditionalFormatting>
  <x:conditionalFormatting sqref="CB16:CB45">
    <x:cfRule type="expression" dxfId="928" priority="53">
      <x:formula>OR(CB16&gt;CV16,CB16&lt;0)</x:formula>
    </x:cfRule>
  </x:conditionalFormatting>
  <x:conditionalFormatting sqref="CC16:CC45">
    <x:cfRule type="expression" dxfId="927" priority="51">
      <x:formula>OR(CC16&gt;DF16,CC16&lt;0)</x:formula>
    </x:cfRule>
  </x:conditionalFormatting>
  <x:conditionalFormatting sqref="BY16:BY45">
    <x:cfRule type="expression" dxfId="926" priority="75">
      <x:formula>OR(CH16&lt;&gt;"",CI16&lt;&gt;"",CJ16&lt;&gt;"",CK16&lt;&gt;"",CL16&lt;&gt;"",CM16&lt;&gt;"")</x:formula>
    </x:cfRule>
  </x:conditionalFormatting>
  <x:conditionalFormatting sqref="BE16:BF45">
    <x:cfRule type="expression" dxfId="925" priority="77">
      <x:formula>AND(NOT($AY16),AND($AZ16,AND($AK16&lt;&gt;"HDR",$AK16&lt;&gt;"JS",$AJ16&gt;=8)))</x:formula>
    </x:cfRule>
  </x:conditionalFormatting>
  <x:conditionalFormatting sqref="D16:E45">
    <x:cfRule type="expression" dxfId="924" priority="55">
      <x:formula>AND(NOT($AY16),AND($AZ16,AND($AK16&lt;&gt;"HDR",$AK16&lt;&gt;"JS",$AJ16&gt;=8)))</x:formula>
    </x:cfRule>
  </x:conditionalFormatting>
  <x:conditionalFormatting sqref="AA12">
    <x:cfRule type="expression" dxfId="923" priority="52">
      <x:formula>OR(ISBLANK(AA12),AA12="")</x:formula>
    </x:cfRule>
  </x:conditionalFormatting>
  <x:conditionalFormatting sqref="A16:Z45 BB16:CG45">
    <x:cfRule type="expression" dxfId="922" priority="78">
      <x:formula>$AC16</x:formula>
    </x:cfRule>
  </x:conditionalFormatting>
  <x:conditionalFormatting sqref="BN16:BN45">
    <x:cfRule type="expression" dxfId="921" priority="17">
      <x:formula>AND(NOT($AY16),AND(ISBLANK(BN16),AND(NOT(ISBLANK(BM16)),$BW16&lt;&gt;0)))</x:formula>
    </x:cfRule>
  </x:conditionalFormatting>
  <x:conditionalFormatting sqref="BO16:BO45">
    <x:cfRule type="expression" dxfId="920" priority="16">
      <x:formula>AND(NOT($AY16),ISERROR(DE16))</x:formula>
    </x:cfRule>
    <x:cfRule type="expression" dxfId="919" priority="43">
      <x:formula>AND(NOT($AY16),OR(DE16="", CQ16&lt;&gt;""))</x:formula>
    </x:cfRule>
  </x:conditionalFormatting>
  <x:conditionalFormatting sqref="BG16:BG45">
    <x:cfRule type="expression" dxfId="918" priority="15">
      <x:formula>AND(NOT($AY16),ISERROR(CU16))</x:formula>
    </x:cfRule>
    <x:cfRule type="expression" dxfId="917" priority="42">
      <x:formula>AND(NOT($AY16),OR(CP16&lt;&gt;"", CU16=""))</x:formula>
    </x:cfRule>
  </x:conditionalFormatting>
  <x:conditionalFormatting sqref="BH16:BH45">
    <x:cfRule type="expression" dxfId="916" priority="30">
      <x:formula>AND(NOT($AY16),OR($CU16="M",$CU16="C",AND($CU16="B",$DC16&gt;0)))</x:formula>
    </x:cfRule>
    <x:cfRule type="expression" dxfId="915" priority="31">
      <x:formula>AND(NOT($AY16),AND(BH16="",BI16="",OR($CU16="B",$CU16="G")))</x:formula>
    </x:cfRule>
    <x:cfRule type="expression" dxfId="914" priority="32">
      <x:formula>AND(NOT($AY16),(BH16/2)/COS(RADIANS(BM16))+CV16-DW16&lt;VLOOKUP(AU16,$DF$2:$DJ$9,5,FALSE))</x:formula>
    </x:cfRule>
  </x:conditionalFormatting>
  <x:conditionalFormatting sqref="BI16:BI45">
    <x:cfRule type="expression" dxfId="913" priority="39">
      <x:formula>AND(NOT($AY16),OR($CU16="M",$CU16="C",AND($CU16="B",$DC16&gt;0)))</x:formula>
    </x:cfRule>
    <x:cfRule type="expression" dxfId="912" priority="40">
      <x:formula>AND(NOT($AY16),AND(BH16="",BI16="",OR($CU16="B",$CU16="G")))</x:formula>
    </x:cfRule>
    <x:cfRule type="expression" dxfId="911" priority="41">
      <x:formula>AND(NOT($AY16),(BI16/2)/COS(RADIANS(BM16))+CV16-DW16&lt;VLOOKUP(AU16,$DF$2:$DJ$9,5,FALSE))</x:formula>
    </x:cfRule>
  </x:conditionalFormatting>
  <x:conditionalFormatting sqref="BK16:BK45">
    <x:cfRule type="expression" dxfId="910" priority="18">
      <x:formula>AND(NOT($AY16),OR($CU16="M",$CU16="C",AND($CU16="B",$DA16&lt;&gt;"")))</x:formula>
    </x:cfRule>
    <x:cfRule type="expression" dxfId="909" priority="19">
      <x:formula>AND(NOT($AY16),AND(BJ16="X",BK16="",BL16=""))</x:formula>
    </x:cfRule>
    <x:cfRule type="expression" dxfId="908" priority="20">
      <x:formula>AND(NOT($AY16),EZ16="ERR")</x:formula>
    </x:cfRule>
  </x:conditionalFormatting>
  <x:conditionalFormatting sqref="BL16:BL45">
    <x:cfRule type="expression" dxfId="907" priority="21">
      <x:formula>AND(NOT($AY16),OR($CU16="M",$CU16="C",AND($CU16="B",$DA16&lt;&gt;"")))</x:formula>
    </x:cfRule>
    <x:cfRule type="expression" dxfId="906" priority="22">
      <x:formula>AND(NOT($AY16),AND(BJ16="X",BK16="",BL16=""))</x:formula>
    </x:cfRule>
    <x:cfRule type="expression" dxfId="905" priority="23">
      <x:formula>AND(NOT($AY16),EZ16="ERR")</x:formula>
    </x:cfRule>
  </x:conditionalFormatting>
  <x:conditionalFormatting sqref="BS16:BS45">
    <x:cfRule type="expression" dxfId="904" priority="24">
      <x:formula>AND(NOT($AY16),OR($DE16="M",$DE16="C",AND($DE16="B",$DK16&lt;&gt;"")))</x:formula>
    </x:cfRule>
    <x:cfRule type="expression" dxfId="903" priority="25">
      <x:formula>AND(NOT($AY16),AND(BR16="X",BS16="",BT16=""))</x:formula>
    </x:cfRule>
    <x:cfRule type="expression" dxfId="902" priority="26">
      <x:formula>AND(NOT($AY16),FC16="ERR")</x:formula>
    </x:cfRule>
  </x:conditionalFormatting>
  <x:conditionalFormatting sqref="BT16:BT45">
    <x:cfRule type="expression" dxfId="901" priority="27">
      <x:formula>AND(NOT($AY16),OR($DE16="M",$DE16="C",AND($DE16="B",$DK16&lt;&gt;"")))</x:formula>
    </x:cfRule>
    <x:cfRule type="expression" dxfId="900" priority="28">
      <x:formula>AND(NOT($AY16),AND(BR16="X",BS16="",BT16=""))</x:formula>
    </x:cfRule>
    <x:cfRule type="expression" dxfId="899" priority="29">
      <x:formula>AND(NOT($AY16),FC16="ERR")</x:formula>
    </x:cfRule>
  </x:conditionalFormatting>
  <x:conditionalFormatting sqref="BP16:BP45">
    <x:cfRule type="expression" dxfId="898" priority="33">
      <x:formula>AND(NOT($AY16),OR($DE16="M",$DE16="C",AND($DE16="B",$DM16&gt;0)))</x:formula>
    </x:cfRule>
    <x:cfRule type="expression" dxfId="897" priority="34">
      <x:formula>AND(NOT($AY16),AND(BP16="",BQ16="",OR($DE16="B",$DE16="G")))</x:formula>
    </x:cfRule>
    <x:cfRule type="expression" dxfId="896" priority="35">
      <x:formula>AND(NOT($AY16),(BP16/2)/COS(RADIANS(BU16))+DF16-EC16&lt;VLOOKUP(AU16,$DF$2:$DJ$9,5,FALSE))</x:formula>
    </x:cfRule>
  </x:conditionalFormatting>
  <x:conditionalFormatting sqref="BQ16:BQ45">
    <x:cfRule type="expression" dxfId="895" priority="36">
      <x:formula>AND(NOT($AY16),OR($DE16="M",$DE16="C",AND($DE16="B",$DM16&gt;0)))</x:formula>
    </x:cfRule>
    <x:cfRule type="expression" dxfId="894" priority="37">
      <x:formula>AND(NOT($AY16),AND(BP16="",BQ16="",OR($DE16="B",$DE16="G")))</x:formula>
    </x:cfRule>
    <x:cfRule type="expression" dxfId="893" priority="38">
      <x:formula>AND(NOT($AY16),(BQ16/2)/COS(RADIANS(BU16))+DF16-EC16&lt;VLOOKUP(AU16,$DF$2:$DJ$9,5,FALSE))</x:formula>
    </x:cfRule>
  </x:conditionalFormatting>
  <x:conditionalFormatting sqref="BJ16:BJ45">
    <x:cfRule type="expression" dxfId="892" priority="44">
      <x:formula>AND(NOT($AY16),OR($CU16="C",AND($CU16="M",$DA16&gt;0)))</x:formula>
    </x:cfRule>
    <x:cfRule type="expression" dxfId="891" priority="45">
      <x:formula>AND(NOT($AY16),OR(NOT(IF(AND(OR(MID($BB16,1,1)="T",($BE16+$BF16/12)/IF(ABS($BW16)&gt;$DQ$1,COS($DO16),1)&gt;=40),OR($CU16="B",$CU16="G")),"X","")="X"),$EZ16="ERR"))</x:formula>
    </x:cfRule>
    <x:cfRule type="expression" dxfId="890" priority="46">
      <x:formula>AND(NOT($AY16),$BJ16&lt;&gt;"X",$BJ16&lt;&gt;IF(AND(OR(MID(BB16,1,1)="T",($BE16+$BF16/12)/IF(ABS($BW16)&gt;$DQ$1,COS($DO16),1)&gt;=40),OR($CU16="B",$CU16="G")),"X",""))</x:formula>
    </x:cfRule>
  </x:conditionalFormatting>
  <x:conditionalFormatting sqref="BR16:BR45">
    <x:cfRule type="expression" dxfId="889" priority="47">
      <x:formula>AND(NOT($AY16),OR($DE16="C",AND($DE16="M",$DK16&gt;0)))</x:formula>
    </x:cfRule>
    <x:cfRule type="expression" dxfId="888" priority="48">
      <x:formula>AND(NOT($AY16),OR(NOT(IF(AND(OR(MID($BB16,1,1)="T",($BE16+$BF16/12)/IF(ABS($BW16)&gt;$DQ$1,COS($DO16),1)&gt;=40),OR($DE16="B",$DE16="G")),"X","")="X"),$FC16="ERR"))</x:formula>
    </x:cfRule>
    <x:cfRule type="expression" dxfId="887" priority="49">
      <x:formula>AND(NOT($AY16),$BR16&lt;&gt;"X",$BR16&lt;&gt;IF(AND(OR(MID(BB16,1,1)="T",($BE16+$BF16/12)/IF(ABS($BW16)&gt;$DQ$1,COS($DO16),1)&gt;=40),OR($DE16="B",$DE16="G")),"X",""))</x:formula>
    </x:cfRule>
  </x:conditionalFormatting>
  <x:conditionalFormatting sqref="A16:B45 BB16:BC45">
    <x:cfRule type="expression" dxfId="886" priority="50">
      <x:formula>AND(NOT($AE$1),$B16=0,$AD$1="M")</x:formula>
    </x:cfRule>
  </x:conditionalFormatting>
  <x:conditionalFormatting sqref="U57">
    <x:cfRule type="expression" dxfId="885" priority="11" stopIfTrue="1">
      <x:formula>AND(NOT($AY57),NOT(AR57))</x:formula>
    </x:cfRule>
  </x:conditionalFormatting>
  <x:conditionalFormatting sqref="W57">
    <x:cfRule type="expression" dxfId="884" priority="13" stopIfTrue="1">
      <x:formula>AND(NOT($AY57),NOT(AT57))</x:formula>
    </x:cfRule>
  </x:conditionalFormatting>
  <x:conditionalFormatting sqref="T57">
    <x:cfRule type="expression" dxfId="883" priority="10" stopIfTrue="1">
      <x:formula>AND(NOT($AY57),NOT(AR57))</x:formula>
    </x:cfRule>
  </x:conditionalFormatting>
  <x:conditionalFormatting sqref="V57">
    <x:cfRule type="expression" dxfId="882" priority="12" stopIfTrue="1">
      <x:formula>AND(NOT($AY57),NOT(AT57))</x:formula>
    </x:cfRule>
  </x:conditionalFormatting>
  <x:conditionalFormatting sqref="C57">
    <x:cfRule type="expression" dxfId="881" priority="8" stopIfTrue="1">
      <x:formula>AND(NOT($AY57),NOT($AP57))</x:formula>
    </x:cfRule>
  </x:conditionalFormatting>
  <x:conditionalFormatting sqref="X57">
    <x:cfRule type="expression" dxfId="880" priority="4">
      <x:formula>$X57=0</x:formula>
    </x:cfRule>
  </x:conditionalFormatting>
  <x:conditionalFormatting sqref="D57:E57">
    <x:cfRule type="expression" dxfId="879" priority="9" stopIfTrue="1">
      <x:formula>AND(NOT($AY57),AND($AZ57,AND($AK57&lt;&gt;"HDR",$AK57&lt;&gt;"JS",$AJ57&gt;=8)))</x:formula>
    </x:cfRule>
  </x:conditionalFormatting>
  <x:conditionalFormatting sqref="A57:AA57">
    <x:cfRule type="expression" dxfId="878" priority="5">
      <x:formula>$AC57</x:formula>
    </x:cfRule>
  </x:conditionalFormatting>
  <x:conditionalFormatting sqref="AA57">
    <x:cfRule type="expression" dxfId="877" priority="6" stopIfTrue="1">
      <x:formula>AND(NOT($AY57),LEN(AA57)&gt;31)</x:formula>
    </x:cfRule>
  </x:conditionalFormatting>
  <x:conditionalFormatting sqref="A57:B57">
    <x:cfRule type="expression" dxfId="876" priority="7">
      <x:formula>AND(NOT($AE$1),$B57=0,$AD$1="M")</x:formula>
    </x:cfRule>
  </x:conditionalFormatting>
  <x:conditionalFormatting sqref="AA16:AA45">
    <x:cfRule type="expression" dxfId="875" priority="2">
      <x:formula>$AC16</x:formula>
    </x:cfRule>
  </x:conditionalFormatting>
  <x:conditionalFormatting sqref="AA16:AA45">
    <x:cfRule type="expression" dxfId="874" priority="3" stopIfTrue="1">
      <x:formula>AND(NOT($AY16),LEN(AA16)&gt;31)</x:formula>
    </x:cfRule>
  </x:conditionalFormatting>
  <x:conditionalFormatting sqref="GA16:GB45">
    <x:cfRule type="expression" dxfId="873"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8">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32 of 42</x:v>
      </x:c>
      <x:c r="Z7" s="822"/>
      <x:c r="AA7" s="444"/>
      <x:c r="AB7" s="449"/>
      <x:c r="AC7" s="1393">
        <x:v>32</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1366</x:v>
      </x:c>
      <x:c r="B16" s="1265">
        <x:v>82</x:v>
      </x:c>
      <x:c r="C16" s="1265" t="s">
        <x:v>1978</x:v>
      </x:c>
      <x:c r="D16" s="1261">
        <x:v>59</x:v>
      </x:c>
      <x:c r="E16" s="1366">
        <x:v>11.5</x:v>
      </x:c>
      <x:c r="F16" s="1328">
        <x:v>0</x:v>
      </x:c>
      <x:c r="G16" s="1262">
        <x:v>1.375</x:v>
      </x:c>
      <x:c r="H16" s="1266" t="s">
        <x:v>114</x:v>
      </x:c>
      <x:c r="I16" s="1261">
        <x:v>0</x:v>
      </x:c>
      <x:c r="J16" s="1262">
        <x:v>1.375</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t="str">
        <x:f t="shared" ref="T16:T44" si="7">IF(CH16="ERR","",IF(EK16="","",IF(EK16="ERR",TRUNC(EJ16/12),TRUNC(EK16/12))))</x:f>
        <x:v/>
      </x:c>
      <x:c r="U16" s="1262" t="str">
        <x:f t="shared" ref="U16:U44" si="8">IF(CH16="ERR","",IF(EK16="","",IF(EK16="ERR",EJ16-(T16*12),EK16-(T16*12))))</x:f>
        <x:v/>
      </x:c>
      <x:c r="V16" s="1261" t="str">
        <x:f t="shared" ref="V16:V44" si="9">IF(CI16="ERR","",IF(ER16="","",IF(ER16="ERR",TRUNC(EQ16/12),TRUNC(ER16/12))))</x:f>
        <x:v/>
      </x:c>
      <x:c r="W16" s="1262" t="str">
        <x:f t="shared" ref="W16:W44" si="10">IF(CI16="ERR","",IF(ER16="","",IF(ER16="ERR",EQ16-(V16*12),ER16-(V16*12))))</x:f>
        <x:v/>
      </x:c>
      <x:c r="X16" s="1329">
        <x:f t="shared" ref="X16:X44" si="11">IF(EV16="",0,EV16)</x:f>
        <x:v>0</x:v>
      </x:c>
      <x:c r="Y16" s="1377" t="str">
        <x:f t="shared" ref="Y16:Y44" si="12">FG16</x:f>
        <x:v/>
      </x:c>
      <x:c r="Z16" s="1378" t="str">
        <x:f t="shared" ref="Z16:Z44" si="13">FL16</x:f>
        <x:v/>
      </x:c>
      <x:c r="AA16" s="2159" t="s">
        <x:v>2095</x:v>
      </x:c>
      <x:c r="AC16" s="1226" t="b">
        <x:v>0</x:v>
      </x:c>
      <x:c r="AD16" s="525">
        <x:f t="shared" ref="AD16:AD45" si="14">IF($C16="",0,IF(SUM(AE16:AG16)&gt;0,0,IF(ISERROR(SEARCH("K",$C16,1))=TRUE,0,$B16)))</x:f>
        <x:v>0</x:v>
      </x:c>
      <x:c r="AE16" s="526">
        <x:f t="shared" ref="AE16:AE45" si="15">IF(ISERROR(SEARCH("LH",$C16,1))=TRUE,0,$B16)</x:f>
        <x:v>82</x:v>
      </x:c>
      <x:c r="AF16" s="526">
        <x:f t="shared" ref="AF16:AF45" si="16">IF(ISERROR(SEARCH("JS",$C16))=TRUE,IF(ISERROR(SEARCH("2.5K",$C16))=TRUE,0,$B16),$B16)</x:f>
        <x:v>0</x:v>
      </x:c>
      <x:c r="AG16" s="526">
        <x:f t="shared" ref="AG16:AG45" si="17">IF(ISERROR(SEARCH("HDR",$C16,1))=TRUE,0,$B16)</x:f>
        <x:v>0</x:v>
      </x:c>
      <x:c r="AH16" s="527">
        <x:f t="shared" ref="AH16:AH45" si="18">IF(ISERROR(SEARCH("CJ",$C16,1))=TRUE,0,$B16)</x:f>
        <x:v>0</x:v>
      </x:c>
      <x:c r="AI16" s="528" t="b">
        <x:v>0</x:v>
      </x:c>
      <x:c r="AJ16" s="284">
        <x:f t="shared" ref="AJ16:AJ45" si="19">IF(OR(ISERROR(VALUE(LEFT(C16,SEARCH(AK16,C16)-1))),AK16=""),0,VALUE(LEFT(C16,SEARCH(AK16,C16)-1)))</x:f>
        <x:v>36</x:v>
      </x:c>
      <x:c r="AK16" s="1063" t="str">
        <x:f t="shared" ref="AK16:AK45" si="20">IF(AV16="",AW16,AV16)</x:f>
        <x:v>LH</x:v>
      </x:c>
      <x:c r="AL16" s="1202" t="str">
        <x:f t="shared" ref="AL16:AL45" si="21">IF(AK16="","",IF(ISERROR(SEARCH("/",C16)),IF(VALUE(MID(C16,SEARCH(AK16,C16)+LEN(AK16),LEN(C16)))&gt;25,"",VALUE(MID(C16,SEARCH(AK16,C16)+LEN(AK16),LEN(C16)))),""))</x:f>
        <x:v/>
      </x:c>
      <x:c r="AM16" s="1063">
        <x:f t="shared" ref="AM16:AM45" si="22">IF(AK16="","",IF(ISERROR(SEARCH("/",C16)),IF(VALUE(MID(C16,SEARCH(AK16,C16)+LEN(AK16),LEN(C16)))&lt;26,"",VALUE(MID(C16,SEARCH(AK16,C16)+LEN(AK16),LEN(C16)))),VALUE(MID(C16,SEARCH(AK16,C16)+LEN(AK16),SEARCH("/",C16)-SEARCH(AK16,C16)-LEN(AK16)))))</x:f>
        <x:v>270</x:v>
      </x:c>
      <x:c r="AN16" s="1063">
        <x:f t="shared" ref="AN16:AN45" si="23">IF(AK16="","",IF(AK16="CJ",MID(MID(C16,SEARCH("/",C16)+1,LEN(C16)),1,SEARCH("/",MID(C16,SEARCH("/",C16)+1,LEN(C16)))-1),IF(ISERROR(SEARCH("/",C16)),"",VALUE(MID(C16,SEARCH("/",C16)+1,LEN(C16))))))</x:f>
        <x:v>120</x:v>
      </x:c>
      <x:c r="AO16" s="1063" t="str">
        <x:f t="shared" ref="AO16:AO45" si="24">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5">VLOOKUP(AK16,$DF$2:$DN$9,4,FALSE)+IF(LEFT(H16,1)="R",IF(ISNUMBER(F16),F16*12,0)+IF(ISNUMBER(G16),G16,0),0)</x:f>
        <x:v>7.375</x:v>
      </x:c>
      <x:c r="AR16" s="1305" t="b">
        <x:f t="shared" ref="AR16:AR45" si="26">IF(IF(ISNUMBER(T16),T16*12,0)+IF(ISNUMBER(U16),U16,0)&gt;0,IF(AND((IF(ISNUMBER(T16),T16*12,0)+IF(ISNUMBER(U16),U16,0))&gt;=1,(IF(ISNUMBER(T16),T16*12,0)+IF(ISNUMBER(U16),U16,0))&lt;=(AQ16-1)+IF(H16="X",2,0)),TRUE,FALSE),FALSE)</x:f>
        <x:v>0</x:v>
      </x:c>
      <x:c r="AS16" s="1305">
        <x:f t="shared" ref="AS16:AS45" si="27">VLOOKUP(AK16,$DF$2:$DN$9,4,FALSE)+IF(LEFT(K16,1)="R",(IF(ISNUMBER(I16),I16*12,0)+IF(ISNUMBER(J16),J16,0)),0)</x:f>
        <x:v>7.375</x:v>
      </x:c>
      <x:c r="AT16" s="1305" t="b">
        <x:f t="shared" ref="AT16:AT45" si="28">IF(IF(ISNUMBER(V16),V16*12,0)+IF(ISNUMBER(W16),W16,0)&gt;0,IF(AND((IF(ISNUMBER(V16),V16*12,0)+IF(ISNUMBER(W16),W16,0))&gt;=1,(IF(ISNUMBER(V16),V16*12,0)+IF(ISNUMBER(W16),W16,0))&lt;=(AS16-1)+IF(K16="X",2,0)),TRUE,FALSE),FALSE)</x:f>
        <x:v>0</x:v>
      </x:c>
      <x:c r="AU16" s="1203" t="str">
        <x:f t="shared" ref="AU16:AU45" si="29">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30">IF(NOT(ISERROR(SEARCH("KCSR",C16))),"KCSR",IF(NOT(ISERROR(SEARCH("KCSA",C16))),"KCSA",IF(NOT(ISERROR(SEARCH("KCS",C16))),"KCS",IF(NOT(ISERROR(SEARCH("KR",C16))),"KR",IF(NOT(ISERROR(SEARCH("KA",C16))),"KA",IF(NOT(ISERROR(SEARCH("K",C16))),"K",IF(NOT(ISERROR(SEARCH("CJ",C16))),"CJ","")))))))</x:f>
        <x:v/>
      </x:c>
      <x:c r="AW16" s="1063" t="str">
        <x:f t="shared" ref="AW16:AW45" si="31">IF(NOT(ISERROR(SEARCH("HDR",C16))),"HDR",IF(NOT(ISERROR(SEARCH("JS",C16))),"JS",IF(NOT(ISERROR(SEARCH("SLH",C16))),"SLH",IF(NOT(ISERROR(SEARCH("DLH",C16))),"DLH",IF(NOT(ISERROR(SEARCH("LH",C16))),"LH","")))))</x:f>
        <x:v>LH</x:v>
      </x:c>
      <x:c r="AX16" s="1063" t="str">
        <x:f>IF(OR(ISBLANK(A16),A16=""),"",A16)</x:f>
        <x:v>J42</x:v>
      </x:c>
      <x:c r="AY16" s="1306" t="b">
        <x:f t="shared" ref="AY16:AY45" si="32">IF($AE$1,IF(AX16=AX15,AY15,IF(AND(AX16&lt;&gt;"",OR(B16=0,B16="")),TRUE,FALSE)),FALSE)</x:f>
        <x:v>0</x:v>
      </x:c>
      <x:c r="AZ16" s="1090" t="b">
        <x:f t="shared" ref="AZ16:AZ45" si="33">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4">IF(CY16="","","X")</x:f>
        <x:v/>
      </x:c>
      <x:c r="CE16" s="925" t="str">
        <x:f t="shared" ref="CE16:CE45" si="35">IF(DI16="","","X")</x:f>
        <x:v/>
      </x:c>
      <x:c r="CF16" s="1147"/>
      <x:c r="CG16" s="1148"/>
      <x:c r="CH16" s="730" t="str">
        <x:f t="shared" ref="CH16:CH45" si="36">IF(EJ16=EK16,IF(EK16="ERR","ERR",""),CONCATENATE(IF(BM16&lt;0,"NS ","FS "),IF(EK16="ERR","Slot Only",CONCATENATE("Slot @ ",EJ16))))</x:f>
        <x:v/>
      </x:c>
      <x:c r="CI16" s="731" t="str">
        <x:f t="shared" ref="CI16:CI45" si="37">IF(EQ16=ER16,IF(ER16="ERR","ERR",""),CONCATENATE(IF(BU16&lt;0,"FS ","NS "),IF(ER16="ERR","Slot Only",CONCATENATE("Slot @ ",EQ16))))</x:f>
        <x:v/>
      </x:c>
      <x:c r="CJ16" s="732" t="str">
        <x:f t="shared" ref="CJ16:CJ45" si="38">IF(EV16="","",IF(AND(DB16&lt;&gt;EV16,OR(NOT(ISBLANK(BJ16)),CU16="C")),CONCATENATE("LE slots @ ",DB16," Ga."),IF(AND(DL16&lt;&gt;EV16,OR(NOT(ISBLANK(BR16)),DE16="C")),CONCATENATE("RE slots @ ",DL16," Ga."),"")))</x:f>
        <x:v/>
      </x:c>
      <x:c r="CK16" s="733" t="str">
        <x:f t="shared" ref="CK16:CK45" si="39">IF(AND(CP16&lt;&gt;"",BM16&lt;&gt;"",CQ16&lt;&gt;"",BU16&lt;&gt;""),"BE",IF(AND(CP16&lt;&gt;"",BM16&lt;&gt;""),"LE",IF(AND(CQ16&lt;&gt;"",BU16&lt;&gt;""),"RE","")))</x:f>
        <x:v/>
      </x:c>
      <x:c r="CL16" s="734" t="str">
        <x:f t="shared" ref="CL16:CL45" si="40">IF(ISBLANK(CB16),"",CEILING(DV16,0.125))</x:f>
        <x:v/>
      </x:c>
      <x:c r="CM16" s="735" t="str">
        <x:f t="shared" ref="CM16:CM45" si="41">IF(ISBLANK(CC16),"",CEILING(EB16,0.125))</x:f>
        <x:v/>
      </x:c>
      <x:c r="CN16" s="736" t="str">
        <x:f t="shared" ref="CN16:CN45" si="42">IF(AND(BW16&lt;&gt;0,BM16&lt;&gt;0),BW16*COS(RADIANS(90-BM16))/(1/COS(RADIANS(90-BM16)))*-1,"")</x:f>
        <x:v/>
      </x:c>
      <x:c r="CO16" s="737" t="str">
        <x:f t="shared" ref="CO16:CO45" si="43">IF(AND(BW16&lt;&gt;0,BU16&lt;&gt;0),BW16*COS(RADIANS(90-BU16))/(1/COS(RADIANS(90-BU16))),"")</x:f>
        <x:v/>
      </x:c>
      <x:c r="CP16" s="760" t="str">
        <x:f t="shared" ref="CP16:CP45" si="44">IF(BG16="","",IF(AU16="JS","",IF(VLOOKUP(AU16,$DF$2:$DN$9,5,FALSE)&gt;FO16,IF(FO16&gt;=0.0625,CEILING(FO16-0.0625,0.125),FO16),"")))</x:f>
        <x:v/>
      </x:c>
      <x:c r="CQ16" s="761" t="str">
        <x:f t="shared" ref="CQ16:CQ45" si="45">IF(BO16="","",IF(AU16="JS","",IF(VLOOKUP(AU16,$DF$2:$DN$9,5,FALSE)&gt;FP16,IF(FP16&gt;=0.0625,CEILING(FP16-0.0625,0.125),FP16),"")))</x:f>
        <x:v/>
      </x:c>
      <x:c r="CR16" s="951">
        <x:f t="shared" ref="CR16:CR45" si="46">IF(AU16="","",IF(ABS(FF16)&lt;ABS($CX$2),VLOOKUP(AU16,$DF$2:$DN$9,3,FALSE),CEILING(VLOOKUP(AU16,$DF$2:$DN$9,3,FALSE)/COS(FE16)+0.375+IF(CU16="M",IF(FE16&gt;0,(DV16-DW16)/12,0),IF(FE16&gt;0,0,(DV16-CV16)/12))*ABS(FF16),0.125)))</x:f>
        <x:v>5</x:v>
      </x:c>
      <x:c r="CS16" s="952">
        <x:f t="shared" ref="CS16:CS45" si="47">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8">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9">BV16*-1</x:f>
        <x:v>0</x:v>
      </x:c>
      <x:c r="DO16" s="1094">
        <x:f t="shared" ref="DO16:DO45" si="50">IF(BW16="",0,ATAN(BW16/12))</x:f>
        <x:v>0</x:v>
      </x:c>
      <x:c r="DP16" s="1095" t="str">
        <x:f t="shared" ref="DP16:DP45" si="51">IF(OR(CV16="",BE16="",DF16=""),"",CEILING(IF(AND(BE16="",BF16=""),"",((BE16*12+BF16)+CV16+DF16)/COS(FN16))-0.0625,0.125))</x:f>
        <x:v/>
      </x:c>
      <x:c r="DQ16" s="1095" t="str">
        <x:f t="shared" ref="DQ16:DQ45" si="52">IF(AU16="","",IF(ABS(FF16)&lt;ABS($CX$2),CX16,IF(FF16=0,CX16,CEILING((CX16+((DW16-CV16)/12)*FF16)-0.0625,0.125))))</x:f>
        <x:v/>
      </x:c>
      <x:c r="DR16" s="1095" t="str">
        <x:f t="shared" ref="DR16:DR45" si="53">IF(AU16="","",IF(ABS(FK16)&lt;ABS($CX$2),DH16,IF(FK16=0,DH16,CEILING((DH16+((EC16-DF16)/12)*FK16)-0.0625,0.125))))</x:f>
        <x:v/>
      </x:c>
      <x:c r="DS16" s="1096">
        <x:f t="shared" ref="DS16:DS45" si="54">IF(BM16="",0,RADIANS(ABS(BM16)))</x:f>
        <x:v>0</x:v>
      </x:c>
      <x:c r="DT16" s="1052">
        <x:f t="shared" ref="DT16:DT45" si="55">MIN(IF(BH16&gt;0,BH16/2,MAX(BI16/2,DC16)),IF(BI16&gt;0,BI16/2,MAX(BH16/2,DC16)),IF(DC16&gt;0,DC16,MAX(BI16/2,BH16/2)))/IF(OR(CU16="C",AND(CU16="M",$DD$1="N")),1,COS(DS16))</x:f>
        <x:v>0</x:v>
      </x:c>
      <x:c r="DU16" s="1052" t="str">
        <x:f t="shared" ref="DU16:DU45" si="56">IF(CV16="","",IF(DC16&gt;=0,MAX(BH16/2,BI16/2,DC16),DC16)/IF(OR(CU16="C",AND(CU16="M",$DD$1="N")),1,COS(DS16)))</x:f>
        <x:v/>
      </x:c>
      <x:c r="DV16" s="1095" t="str">
        <x:f t="shared" ref="DV16:DV45" si="57">IF(CV16="","",(CV16+DU16+(VLOOKUP(IF(AU16="HDR","K",AU16),$DF$2:$DN$9,2,FALSE))*TAN(DS16))/COS(FD16)-FH16)</x:f>
        <x:v/>
      </x:c>
      <x:c r="DW16" s="1095" t="str">
        <x:f t="shared" ref="DW16:DW45" si="58">IF(CV16="","",MAX(0,IF(NOT(ISBLANK(CB16)),CV16-CB16,DV16-VLOOKUP(IF(AU16="HDR","K",AU16),$DF$2:$DN$9,4,FALSE))))</x:f>
        <x:v/>
      </x:c>
      <x:c r="DX16" s="1451">
        <x:f t="shared" ref="DX16:DX45" si="59">IF(CV16="",0,IF(DW16/COS(FN16-FD16)&lt;0.0625,0,CEILING(DW16/COS(FN16-FD16)-0.03125,0.125)))</x:f>
        <x:v>0</x:v>
      </x:c>
      <x:c r="DY16" s="1095">
        <x:f t="shared" ref="DY16:DY45" si="60">RADIANS(ABS(BU16))</x:f>
        <x:v>0</x:v>
      </x:c>
      <x:c r="DZ16" s="1052">
        <x:f t="shared" ref="DZ16:DZ45" si="61">MIN(IF(BP16&gt;0,BP16/2,MAX(BQ16/2,DM16)),IF(BQ16&gt;0,BQ16/2,MAX(BP16/2,DM16)),IF(DM16&gt;0,DM16,MAX(BQ16/2,BP16/2)))/IF(OR(DE16="C",AND(DE16="M",$DD$1="N")),1,COS(DY16))</x:f>
        <x:v>0</x:v>
      </x:c>
      <x:c r="EA16" s="1052" t="str">
        <x:f t="shared" ref="EA16:EA45" si="62">IF(DF16="","",IF(DM16&gt;=0,MAX(BP16/2,BQ16/2,DM16),DM16)/IF(OR(DE16="C",AND(DE16="M",$DD$1="N")),1,COS(DY16)))</x:f>
        <x:v/>
      </x:c>
      <x:c r="EB16" s="1095" t="str">
        <x:f t="shared" ref="EB16:EB45" si="63">IF(DF16="","",(DF16+EA16+(VLOOKUP(IF(AU16="HDR","K",AU16),$DF$2:$DN$9,2,FALSE))*TAN(DY16))/COS(FI16)-FM16)</x:f>
        <x:v/>
      </x:c>
      <x:c r="EC16" s="1095" t="str">
        <x:f t="shared" ref="EC16:EC45" si="64">IF(DF16="","",MAX(0,IF(NOT(ISBLANK(CC16)),DF16-CC16,EB16-VLOOKUP(IF(AU16="HDR","K",AU16),$DF$2:$DN$9,4,FALSE))))</x:f>
        <x:v/>
      </x:c>
      <x:c r="ED16" s="1451">
        <x:f t="shared" ref="ED16:ED45" si="65">IF(DF16="",0,IF(EC16/COS(FN16+FI16)&lt;0.0625,0,CEILING(EC16/COS(FN16+FI16)-0.03125,0.125)))</x:f>
        <x:v>0</x:v>
      </x:c>
      <x:c r="EE16" s="1107" t="str">
        <x:f t="shared" ref="EE16:EE45" si="66">IF(AND(EZ16="",DA16=""),"",IF(EZ16="ERR","ERR",IF(CU16="C",DA16,IF(BJ16="","",IF(DA16="",(EZ16/2)*-1,DA16)))))</x:f>
        <x:v/>
      </x:c>
      <x:c r="EF16" s="1095" t="str">
        <x:f t="shared" ref="EF16:EF45" si="67">IF(EE16="ERR","ERR",IF(EE16="","",IF(DB16*TAN(DS16)&lt;=(VLOOKUP(AU16,$DF$2:$DN$9,8,FALSE)-(VLOOKUP(AU16,$DF$2:$DN$9,7,FALSE)-0.0625)),CV16-(EE16-FH16)/IF(OR(CU16="C",AND(CU16="M",$DD$1="N")),1,COS(DS16))-IF(MID(CW16,1,1)="R",0,DW16),(ABS(EE16-FH16)/IF(OR(CU16="C",AND(CU16="M",$DD$1="N")),1,COS(DS16))+CV16)-((DB16/2)*TAN(DS16))-IF(MID(CW16,1,1)="R",0,DW16))))</x:f>
        <x:v/>
      </x:c>
      <x:c r="EG16" s="1095" t="str">
        <x:f t="shared" ref="EG16:EG45" si="68">IF(EE16="ERR","ERR",IF(EE16="","",IF(DB16*TAN(DS16)&lt;=(VLOOKUP(AU16,$DF$2:$DN$9,8,FALSE)-(VLOOKUP(AU16,$DF$2:$DN$9,7,FALSE)-0.0625)),CV16-(EE16-FH16)/IF(OR(CU16="C",AND(CU16="M",$DD$1="N")),1,COS(DS16))-IF(MID(CW16,1,1)="R",0,DW16),(ABS(EE16-FH16)/IF(OR(CU16="C",AND(CU16="M",$DD$1="N")),1,COS(DS16))+CV16)+((DB16/2)*TAN(DS16))-IF(MID(CW16,1,1)="R",0,DW16))))</x:f>
        <x:v/>
      </x:c>
      <x:c r="EH16" s="1095" t="str">
        <x:f t="shared" ref="EH16:EH45" si="69">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0">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1">IF(ISERROR(EF16),"ERR",IF(EF16="","",IF(EH16="ERR","ERR",CEILING(EH16-0.0625,0.125))))</x:f>
        <x:v/>
      </x:c>
      <x:c r="EK16" s="1095" t="str">
        <x:f t="shared" si="71"/>
        <x:v/>
      </x:c>
      <x:c r="EL16" s="1107" t="str">
        <x:f t="shared" ref="EL16:EL45" si="72">IF(AND(FC16="",DK16=""),"",IF(FC16="ERR","ERR",IF(DE16="C",DK16,IF(BR16="","",IF(DK16="",(FC16/2)*-1,DK16)))))</x:f>
        <x:v/>
      </x:c>
      <x:c r="EM16" s="1095" t="str">
        <x:f t="shared" ref="EM16:EM45" si="73">IF(EL16="ERR","ERR",IF(EL16="","",IF(DL16*TAN(DY16)&lt;=(VLOOKUP(AU16,$DF$2:$DN$9,8,FALSE)-(VLOOKUP(AU16,$DF$2:$DN$9,7,FALSE)-0.0625)),DF16-(EL16-FM16)/IF(OR(DE16="C",AND(DE16="M",$DD$1="N")),1,COS(DY16))-IF(MID(DG16,1,1)="R",0,EC16),(ABS(EL16-FM16)/IF(OR(DE16="C",AND(DE16="M",$DD$1="N")),1,COS(DY16))+DF16)-((DL16/2)*TAN(DY16))-IF(MID(DG16,1,1)="R",0,EC16))))</x:f>
        <x:v/>
      </x:c>
      <x:c r="EN16" s="1095" t="str">
        <x:f t="shared" ref="EN16:EN45" si="74">IF(EL16="ERR","ERR",IF(EL16="","",IF(DL16*TAN(DY16)&lt;=(VLOOKUP(AU16,$DF$2:$DN$9,8,FALSE)-(VLOOKUP(AU16,$DF$2:$DN$9,7,FALSE)-0.0625)),DF16-(EL16-FM16)/IF(OR(DE16="C",AND(DE16="M",$DD$1="N")),1,COS(DY16))-IF(MID(DG16,1,1)="R",0,EC16),(ABS(EL16-FM16)/IF(OR(DE16="C",AND(DE16="M",$DD$1="N")),1,COS(DY16))+DF16)+((DL16/2)*TAN(DY16))-IF(MID(DG16,1,1)="R",0,EC16))))</x:f>
        <x:v/>
      </x:c>
      <x:c r="EO16" s="1095" t="str">
        <x:f t="shared" ref="EO16:EO45" si="75">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6">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7">IF(ISERROR(EM16),"ERR",IF(EM16="","",IF(EO16="ERR","ERR",CEILING(EO16-0.0625,0.125))))</x:f>
        <x:v/>
      </x:c>
      <x:c r="ER16" s="1095" t="str">
        <x:f t="shared" si="77"/>
        <x:v/>
      </x:c>
      <x:c r="ES16" s="1053" t="str">
        <x:f t="shared" ref="ES16:ES45" si="78">IF(OR(CY16="",AU16="JS",AU16="HDR",CD16=""),"",IF((CV16-CY16)/COS(DO16)-FS16&lt;=-0.0625,CEILING((CV16-CY16)/COS(DO16)-FS16+0.0625,-0.125),IF((CV16-CY16)/COS(DO16)-FS16&gt;=0.0625,CEILING((CV16-CY16)/COS(DO16)-FS16-0.0625,0.125),0)))</x:f>
        <x:v/>
      </x:c>
      <x:c r="ET16" s="1053" t="str">
        <x:f t="shared" ref="ET16:ET45" si="79">IF(OR(DI16="",AU16="JS",AU16="HDR",CE16=""),"",IF((DF16-DI16)/COS(DO16)-FT16&lt;=-0.0625,CEILING((DF16-DI16)/COS(DO16)-FT16+0.0625,-0.125),IF((DF16-DI16)/COS(DO16)-FT16&gt;=0.0625,CEILING((DF16-DI16)/COS(DO16)-FT16-0.0625,0.125),0)))</x:f>
        <x:v/>
      </x:c>
      <x:c r="EU16" s="1097">
        <x:f t="shared" ref="EU16:EU45" si="80">IF(AU16="","",VLOOKUP(AU16,$DF$2:$DN$9,6,FALSE))</x:f>
        <x:v>4</x:v>
      </x:c>
      <x:c r="EV16" s="1055" t="str">
        <x:f t="shared" ref="EV16:EV45" si="81">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2">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3">IF(BR16="X",IF(OR(DE16="M",DE16="C"),"",IF((FB16-FA16)/2&lt;=(VLOOKUP(AU16,$DF$2:$DN$9,8,FALSE)-(VLOOKUP(AU16,$DF$2:$DN$9,7,FALSE)-0.0625)),(FA16+FB16)/2,"ERR")),"")</x:f>
        <x:v/>
      </x:c>
      <x:c r="FD16" s="1096">
        <x:f>IF(DD16="",0,ATAN(DD16/12))</x:f>
        <x:v>0</x:v>
      </x:c>
      <x:c r="FE16" s="1096">
        <x:f t="shared" ref="FE16:FE45" si="84">DO16-FD16</x:f>
        <x:v>0</x:v>
      </x:c>
      <x:c r="FF16" s="1096">
        <x:f t="shared" ref="FF16:FF45" si="85">TAN(FE16)*12</x:f>
        <x:v>0</x:v>
      </x:c>
      <x:c r="FG16" s="1096" t="str">
        <x:f t="shared" ref="FG16:FG45" si="86">IF(FF16=0,"",IF(ABS(FF16)&lt;$CX$2,IF(AND(ABS(MIN(DV16,FQ16)/12*FF16)&gt;$DD$2,FF16&gt;0),IF(FF16&gt;0,CEILING(FF16-0.0625,0.125),CEILING(FF16+0.0625,-0.125)),""),IF(FF16&gt;0,CEILING(FF16-0.0625,0.125),CEILING(FF16+0.0625,-0.125))))</x:f>
        <x:v/>
      </x:c>
      <x:c r="FH16" s="1095" t="str">
        <x:f t="shared" ref="FH16:FH45" si="87">IF(CX16="","",CX16*TAN(FD16))</x:f>
        <x:v/>
      </x:c>
      <x:c r="FI16" s="1096">
        <x:f>IF(DN16="",0,ATAN(DN16/12))</x:f>
        <x:v>0</x:v>
      </x:c>
      <x:c r="FJ16" s="1096">
        <x:f t="shared" ref="FJ16:FJ45" si="88">DO16+FI16</x:f>
        <x:v>0</x:v>
      </x:c>
      <x:c r="FK16" s="1096">
        <x:f t="shared" ref="FK16:FK45" si="89">TAN(FJ16)*-12</x:f>
        <x:v>0</x:v>
      </x:c>
      <x:c r="FL16" s="1096" t="str">
        <x:f t="shared" ref="FL16:FL45" si="90">IF(FK16=0,"",IF(ABS(FK16)&lt;$CX$2,IF(AND(ABS(MIN(EB16,FR16)/12*FK16)&gt;$DD$2,FK16&gt;0),IF(FK16&gt;0,CEILING(FK16-0.0625,0.125),CEILING(FK16+0.0625,-0.125)),""),IF(FK16&gt;0,CEILING(FK16-0.0625,0.125),CEILING(FK16+0.0625,-0.125))))</x:f>
        <x:v/>
      </x:c>
      <x:c r="FM16" s="1095" t="str">
        <x:f t="shared" ref="FM16:FM45" si="91">IF(DH16="","",DH16*TAN(FI16))</x:f>
        <x:v/>
      </x:c>
      <x:c r="FN16" s="1095" t="e">
        <x:f t="shared" ref="FN16:FN45" si="92">IF(((BE16*12+BF16)+CV16+DF16)/COS(DO16)-((BE16*12+BF16)+CV16+DF16)&lt;$DB$2,0,DO16)</x:f>
        <x:v>#VALUE!</x:v>
      </x:c>
      <x:c r="FO16" s="1098" t="e">
        <x:f t="shared" ref="FO16:FO45" si="93">MIN(IF(BH16&gt;0,BH16/2,MAX(BI16/2,DC16)),IF(BI16&gt;0,BI16/2,MAX(BH16/2,DC16)),IF(DC16&gt;0,DC16,MAX(BI16/2,BH16/2)))/COS(DS16)+CV16-DW16</x:f>
        <x:v>#VALUE!</x:v>
      </x:c>
      <x:c r="FP16" s="1098" t="e">
        <x:f t="shared" ref="FP16:FP45" si="94">MIN(IF(BP16&gt;0,BP16/2,MAX(BQ16/2,DM16)),IF(BQ16&gt;0,BQ16/2,MAX(BP16/2,DM16)),IF(DM16&gt;0,DM16,MAX(BQ16/2,BP16/2)))/COS(DY16)+DF16-EC16</x:f>
        <x:v>#VALUE!</x:v>
      </x:c>
      <x:c r="FQ16" s="1099" t="e">
        <x:f t="shared" ref="FQ16:FQ45" si="95">IF(OR(CU16="M", CU16="B",CU16="G"),MAX(BH16,BI16),DC16+CV16)</x:f>
        <x:v>#VALUE!</x:v>
      </x:c>
      <x:c r="FR16" s="1100" t="e">
        <x:f t="shared" ref="FR16:FR45" si="96">IF(OR(DE16="M", DE16="B",DE16="G"),MAX(BP16,BQ16),DM16+DF16)</x:f>
        <x:v>#VALUE!</x:v>
      </x:c>
      <x:c r="FS16" s="1101" t="str">
        <x:f t="shared" ref="FS16:FS45" si="97">IF(CY16="","",IF(ABS(BW16*((AJ16-IF(BW16&gt;0,VLOOKUP(AU16,$DF$2:$DN$9,9,FALSE),0))/12))&gt;$CZ$2,BW16*((AJ16-IF(BW16&gt;0,VLOOKUP(AU16,$DF$2:$DN$9,9,FALSE),0))/12),0))</x:f>
        <x:v/>
      </x:c>
      <x:c r="FT16" s="1102" t="str">
        <x:f t="shared" ref="FT16:FT45" si="98">IF(DI16="","",IF(ABS(BW16*((AJ16-IF(BW16&lt;0,VLOOKUP(AU16,$DF$2:$DN$9,9,FALSE),0))/12))&gt;$CZ$2,BW16*((AJ16-IF(BW16&lt;0,VLOOKUP(AU16,$DF$2:$DN$9,9,FALSE),0))/12)*-1,0))</x:f>
        <x:v/>
      </x:c>
      <x:c r="FU16" s="1103">
        <x:f t="shared" ref="FU16:FU45" si="99">IF(CX16="",0,MAX(0,MIN(DV16-VLOOKUP(AU16,DF$2:DN$9,4,FALSE),(MAX(0,CX16-VLOOKUP(AU16,DF$2:DN$9,3,FALSE))+VLOOKUP(AU16,DF$2:DN$9,4,FALSE))*COS(DO16)+((MAX(0,CX16-VLOOKUP(AU16,DF$2:DN$9,3,FALSE))+VLOOKUP(AU16,DF$2:DN$9,4,FALSE))*COS(PI()/2-DO16))/TAN(PI()/2-(DO16+PI()/4))-VLOOKUP(AU16,DF$2:DN$9,4,FALSE))))</x:f>
        <x:v>0</x:v>
      </x:c>
      <x:c r="FV16" s="1104">
        <x:f t="shared" ref="FV16:FV45" si="100">IF(DH16="",0,MAX(0,MIN(EB16-VLOOKUP(AU16,DF$2:DN$9,4,FALSE),(MAX(0,DH16-VLOOKUP(AU16,DF$2:DN$9,3,FALSE))+VLOOKUP(AU16,DF$2:DN$9,4,FALSE))*COS(DO16)+((MAX(0,DH16-VLOOKUP(AU16,DF$2:DN$9,3,FALSE))+VLOOKUP(AU16,DF$2:DN$9,4,FALSE))*COS(PI()/2-DO16))/TAN(PI()/2-(DO16+PI()/4))-VLOOKUP(AU16,DF$2:DN$9,4,FALSE))))</x:f>
        <x:v>0</x:v>
      </x:c>
      <x:c r="GA16" s="1975">
        <x:v>60</x:v>
      </x:c>
      <x:c r="GB16" s="1976">
        <x:v>0</x:v>
      </x:c>
      <x:c r="GC16" s="1977">
        <x:v>-0.25</x:v>
      </x:c>
      <x:c r="GD16" s="1978">
        <x:v>-0.25</x:v>
      </x:c>
      <x:c r="GE16" s="1979">
        <x:v>0.21923076923076951</x:v>
      </x:c>
      <x:c r="GF16" s="1980" t="str">
        <x:f t="shared" ref="GF16:GF45" si="101">IF(A16=0,"",A16)</x:f>
        <x:v>J42</x:v>
      </x:c>
      <x:c r="GG16" s="1453"/>
      <x:c r="GH16" s="1454"/>
      <x:c r="GI16" s="1453"/>
      <x:c r="GJ16" s="1454"/>
      <x:c r="GK16" s="533">
        <x:f t="shared" ref="GK16:GK45" si="102">IF(D16="",0,D16*12+E16)</x:f>
        <x:v>719.5</x:v>
      </x:c>
      <x:c r="GL16" s="534">
        <x:f t="shared" ref="GL16:GL45" si="103">(GA16*12+GB16+GC16+GD16)/COS(ATAN(ABS(GE16/12)))</x:f>
        <x:v>719.62006186697533</x:v>
      </x:c>
      <x:c r="GM16" s="535">
        <x:f>IF(ABS(GK16-GL16)&gt;='Job Info.'!$L$22,ABS(GK16-GL16),0)</x:f>
        <x:v>0</x:v>
      </x:c>
      <x:c r="HA16" s="1652" t="s">
        <x:v>1366</x:v>
      </x:c>
      <x:c r="HB16" s="1653">
        <x:v>126</x:v>
      </x:c>
      <x:c r="HC16" s="1653" t="s">
        <x:v>1978</x:v>
      </x:c>
      <x:c r="HD16" s="1654">
        <x:v>59</x:v>
      </x:c>
      <x:c r="HE16" s="1655">
        <x:v>11.5</x:v>
      </x:c>
      <x:c r="HF16" s="1653">
        <x:v>0</x:v>
      </x:c>
      <x:c r="HG16" s="1653">
        <x:v>1.375</x:v>
      </x:c>
      <x:c r="HH16" s="1653" t="s">
        <x:v>114</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2095</x:v>
      </x:c>
      <x:c r="IB16" s="1655"/>
      <x:c r="IC16" s="1655"/>
      <x:c r="ID16" s="1655"/>
      <x:c r="IE16" s="1655"/>
      <x:c r="IF16" s="1657"/>
    </x:row>
    <x:row r="17" spans="1:240" ht="12.6" customHeight="1" x14ac:dyDescent="0.25">
      <x:c r="A17" s="1264" t="s">
        <x:v>1367</x:v>
      </x:c>
      <x:c r="B17" s="1265">
        <x:v>14</x:v>
      </x:c>
      <x:c r="C17" s="1265" t="s">
        <x:v>1978</x:v>
      </x:c>
      <x:c r="D17" s="1261">
        <x:v>59</x:v>
      </x:c>
      <x:c r="E17" s="1366">
        <x:v>11.5</x:v>
      </x:c>
      <x:c r="F17" s="1328">
        <x:v>0</x:v>
      </x:c>
      <x:c r="G17" s="1262">
        <x:v>1.375</x:v>
      </x:c>
      <x:c r="H17" s="1266" t="s">
        <x:v>114</x:v>
      </x:c>
      <x:c r="I17" s="1261">
        <x:v>0</x:v>
      </x:c>
      <x:c r="J17" s="1262">
        <x:v>1.375</x:v>
      </x:c>
      <x:c r="K17" s="1370" t="s">
        <x:v>114</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t="str">
        <x:f t="shared" si="7"/>
        <x:v/>
      </x:c>
      <x:c r="U17" s="1262" t="str">
        <x:f t="shared" si="8"/>
        <x:v/>
      </x:c>
      <x:c r="V17" s="1261" t="str">
        <x:f t="shared" si="9"/>
        <x:v/>
      </x:c>
      <x:c r="W17" s="1262" t="str">
        <x:f t="shared" si="10"/>
        <x:v/>
      </x:c>
      <x:c r="X17" s="1329">
        <x:f t="shared" si="11"/>
        <x:v>0</x:v>
      </x:c>
      <x:c r="Y17" s="1377" t="str">
        <x:f t="shared" si="12"/>
        <x:v/>
      </x:c>
      <x:c r="Z17" s="1378" t="str">
        <x:f t="shared" si="13"/>
        <x:v/>
      </x:c>
      <x:c r="AA17" s="2159" t="s">
        <x:v>2096</x:v>
      </x:c>
      <x:c r="AC17" s="1226" t="b">
        <x:v>0</x:v>
      </x:c>
      <x:c r="AD17" s="525">
        <x:f t="shared" si="14"/>
        <x:v>0</x:v>
      </x:c>
      <x:c r="AE17" s="526">
        <x:f t="shared" si="15"/>
        <x:v>14</x:v>
      </x:c>
      <x:c r="AF17" s="526">
        <x:f t="shared" si="16"/>
        <x:v>0</x:v>
      </x:c>
      <x:c r="AG17" s="526">
        <x:f t="shared" si="17"/>
        <x:v>0</x:v>
      </x:c>
      <x:c r="AH17" s="527">
        <x:f t="shared" si="18"/>
        <x:v>0</x:v>
      </x:c>
      <x:c r="AI17" s="528" t="b">
        <x:v>0</x:v>
      </x:c>
      <x:c r="AJ17" s="284">
        <x:f t="shared" si="19"/>
        <x:v>36</x:v>
      </x:c>
      <x:c r="AK17" s="1063" t="str">
        <x:f t="shared" si="20"/>
        <x:v>LH</x:v>
      </x:c>
      <x:c r="AL17" s="1202" t="str">
        <x:f t="shared" si="21"/>
        <x:v/>
      </x:c>
      <x:c r="AM17" s="1063">
        <x:f t="shared" si="22"/>
        <x:v>270</x:v>
      </x:c>
      <x:c r="AN17" s="1063">
        <x:f t="shared" si="23"/>
        <x:v>120</x:v>
      </x:c>
      <x:c r="AO17" s="1063" t="str">
        <x:f t="shared" si="24"/>
        <x:v/>
      </x:c>
      <x:c r="AP17" s="1063" t="b">
        <x:f>IF(ISERROR(AJ17),FALSE,IF(OR(AJ17=0,ISERROR(AL17),ISERROR(AM17),ISERROR(AN17),ISERROR(AO17)),FALSE,IF(AL17&lt;&gt;"",IF(ISERROR(VLOOKUP(SUBSTITUTE(SUBSTITUTE(C17,"R",""),"A",""),TblJoistSize!$A:$A,1,FALSE)),FALSE,TRUE),TRUE)))</x:f>
        <x:v>1</x:v>
      </x:c>
      <x:c r="AQ17" s="1305">
        <x:f t="shared" si="25"/>
        <x:v>7.375</x:v>
      </x:c>
      <x:c r="AR17" s="1305" t="b">
        <x:f t="shared" si="26"/>
        <x:v>0</x:v>
      </x:c>
      <x:c r="AS17" s="1305">
        <x:f t="shared" si="27"/>
        <x:v>7.375</x:v>
      </x:c>
      <x:c r="AT17" s="1305" t="b">
        <x:f t="shared" si="28"/>
        <x:v>0</x:v>
      </x:c>
      <x:c r="AU17" s="1203" t="str">
        <x:f t="shared" si="29"/>
        <x:v>LH</x:v>
      </x:c>
      <x:c r="AV17" s="1063" t="str">
        <x:f t="shared" si="30"/>
        <x:v/>
      </x:c>
      <x:c r="AW17" s="1063" t="str">
        <x:f t="shared" si="31"/>
        <x:v>LH</x:v>
      </x:c>
      <x:c r="AX17" s="1063" t="str">
        <x:f t="shared" ref="AX17:AX45" si="104">IF(AND(OR(ISBLANK(A17),A17=""),AA17&lt;&gt;""),AX16,IF(OR(ISBLANK(A17),A17=""),"",A17))</x:f>
        <x:v>J43</x:v>
      </x:c>
      <x:c r="AY17" s="1306" t="b">
        <x:f t="shared" si="32"/>
        <x:v>0</x:v>
      </x:c>
      <x:c r="AZ17" s="1090" t="b">
        <x:f t="shared" si="33"/>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4"/>
        <x:v/>
      </x:c>
      <x:c r="CE17" s="935" t="str">
        <x:f t="shared" si="35"/>
        <x:v/>
      </x:c>
      <x:c r="CF17" s="1149"/>
      <x:c r="CG17" s="1150"/>
      <x:c r="CH17" s="738" t="str">
        <x:f t="shared" si="36"/>
        <x:v/>
      </x:c>
      <x:c r="CI17" s="739" t="str">
        <x:f t="shared" si="37"/>
        <x:v/>
      </x:c>
      <x:c r="CJ17" s="740" t="str">
        <x:f t="shared" si="38"/>
        <x:v/>
      </x:c>
      <x:c r="CK17" s="741" t="str">
        <x:f t="shared" si="39"/>
        <x:v/>
      </x:c>
      <x:c r="CL17" s="742" t="str">
        <x:f t="shared" si="40"/>
        <x:v/>
      </x:c>
      <x:c r="CM17" s="743" t="str">
        <x:f t="shared" si="41"/>
        <x:v/>
      </x:c>
      <x:c r="CN17" s="744" t="str">
        <x:f t="shared" si="42"/>
        <x:v/>
      </x:c>
      <x:c r="CO17" s="745" t="str">
        <x:f t="shared" si="43"/>
        <x:v/>
      </x:c>
      <x:c r="CP17" s="762" t="str">
        <x:f t="shared" si="44"/>
        <x:v/>
      </x:c>
      <x:c r="CQ17" s="763" t="str">
        <x:f t="shared" si="45"/>
        <x:v/>
      </x:c>
      <x:c r="CR17" s="953">
        <x:f t="shared" si="46"/>
        <x:v>5</x:v>
      </x:c>
      <x:c r="CS17" s="954">
        <x:f t="shared" si="47"/>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8"/>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9"/>
        <x:v>0</x:v>
      </x:c>
      <x:c r="DO17" s="1049">
        <x:f t="shared" si="50"/>
        <x:v>0</x:v>
      </x:c>
      <x:c r="DP17" s="1053" t="str">
        <x:f t="shared" si="51"/>
        <x:v/>
      </x:c>
      <x:c r="DQ17" s="1053" t="str">
        <x:f t="shared" si="52"/>
        <x:v/>
      </x:c>
      <x:c r="DR17" s="1053" t="str">
        <x:f t="shared" si="53"/>
        <x:v/>
      </x:c>
      <x:c r="DS17" s="1052">
        <x:f t="shared" si="54"/>
        <x:v>0</x:v>
      </x:c>
      <x:c r="DT17" s="1052">
        <x:f t="shared" si="55"/>
        <x:v>0</x:v>
      </x:c>
      <x:c r="DU17" s="1052" t="str">
        <x:f t="shared" si="56"/>
        <x:v/>
      </x:c>
      <x:c r="DV17" s="1053" t="str">
        <x:f t="shared" si="57"/>
        <x:v/>
      </x:c>
      <x:c r="DW17" s="1053" t="str">
        <x:f t="shared" si="58"/>
        <x:v/>
      </x:c>
      <x:c r="DX17" s="1269">
        <x:f t="shared" si="59"/>
        <x:v>0</x:v>
      </x:c>
      <x:c r="DY17" s="1053">
        <x:f t="shared" si="60"/>
        <x:v>0</x:v>
      </x:c>
      <x:c r="DZ17" s="1052">
        <x:f t="shared" si="61"/>
        <x:v>0</x:v>
      </x:c>
      <x:c r="EA17" s="1052" t="str">
        <x:f t="shared" si="62"/>
        <x:v/>
      </x:c>
      <x:c r="EB17" s="1053" t="str">
        <x:f t="shared" si="63"/>
        <x:v/>
      </x:c>
      <x:c r="EC17" s="1053" t="str">
        <x:f t="shared" si="64"/>
        <x:v/>
      </x:c>
      <x:c r="ED17" s="1269">
        <x:f t="shared" si="65"/>
        <x:v>0</x:v>
      </x:c>
      <x:c r="EE17" s="1090" t="str">
        <x:f t="shared" si="66"/>
        <x:v/>
      </x:c>
      <x:c r="EF17" s="1053" t="str">
        <x:f t="shared" si="67"/>
        <x:v/>
      </x:c>
      <x:c r="EG17" s="1053" t="str">
        <x:f t="shared" si="68"/>
        <x:v/>
      </x:c>
      <x:c r="EH17" s="1053" t="str">
        <x:f t="shared" si="69"/>
        <x:v>ERR</x:v>
      </x:c>
      <x:c r="EI17" s="1053" t="str">
        <x:f t="shared" si="70"/>
        <x:v>ERR</x:v>
      </x:c>
      <x:c r="EJ17" s="1053" t="str">
        <x:f t="shared" si="71"/>
        <x:v/>
      </x:c>
      <x:c r="EK17" s="1053" t="str">
        <x:f t="shared" si="71"/>
        <x:v/>
      </x:c>
      <x:c r="EL17" s="1090" t="str">
        <x:f t="shared" si="72"/>
        <x:v/>
      </x:c>
      <x:c r="EM17" s="1053" t="str">
        <x:f t="shared" si="73"/>
        <x:v/>
      </x:c>
      <x:c r="EN17" s="1053" t="str">
        <x:f t="shared" si="74"/>
        <x:v/>
      </x:c>
      <x:c r="EO17" s="1053" t="str">
        <x:f t="shared" si="75"/>
        <x:v>ERR</x:v>
      </x:c>
      <x:c r="EP17" s="1053" t="str">
        <x:f t="shared" si="76"/>
        <x:v>ERR</x:v>
      </x:c>
      <x:c r="EQ17" s="1053" t="str">
        <x:f t="shared" si="77"/>
        <x:v/>
      </x:c>
      <x:c r="ER17" s="1053" t="str">
        <x:f t="shared" si="77"/>
        <x:v/>
      </x:c>
      <x:c r="ES17" s="1053" t="str">
        <x:f t="shared" si="78"/>
        <x:v/>
      </x:c>
      <x:c r="ET17" s="1053" t="str">
        <x:f t="shared" si="79"/>
        <x:v/>
      </x:c>
      <x:c r="EU17" s="1061">
        <x:f t="shared" si="80"/>
        <x:v>4</x:v>
      </x:c>
      <x:c r="EV17" s="1055" t="str">
        <x:f t="shared" si="81"/>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2"/>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3"/>
        <x:v/>
      </x:c>
      <x:c r="FD17" s="1052">
        <x:f t="shared" ref="FD17:FD45" si="105">IF(DD17="",0,ATAN(DD17/12))</x:f>
        <x:v>0</x:v>
      </x:c>
      <x:c r="FE17" s="1052">
        <x:f t="shared" si="84"/>
        <x:v>0</x:v>
      </x:c>
      <x:c r="FF17" s="1052">
        <x:f t="shared" si="85"/>
        <x:v>0</x:v>
      </x:c>
      <x:c r="FG17" s="1052" t="str">
        <x:f t="shared" si="86"/>
        <x:v/>
      </x:c>
      <x:c r="FH17" s="1053" t="str">
        <x:f t="shared" si="87"/>
        <x:v/>
      </x:c>
      <x:c r="FI17" s="1052">
        <x:f t="shared" ref="FI17:FI45" si="106">IF(DN17="",0,ATAN(DN17/12))</x:f>
        <x:v>0</x:v>
      </x:c>
      <x:c r="FJ17" s="1052">
        <x:f t="shared" si="88"/>
        <x:v>0</x:v>
      </x:c>
      <x:c r="FK17" s="1052">
        <x:f t="shared" si="89"/>
        <x:v>0</x:v>
      </x:c>
      <x:c r="FL17" s="1052" t="str">
        <x:f t="shared" si="90"/>
        <x:v/>
      </x:c>
      <x:c r="FM17" s="1053" t="str">
        <x:f t="shared" si="91"/>
        <x:v/>
      </x:c>
      <x:c r="FN17" s="1053" t="e">
        <x:f t="shared" si="92"/>
        <x:v>#VALUE!</x:v>
      </x:c>
      <x:c r="FO17" s="1062" t="e">
        <x:f t="shared" si="93"/>
        <x:v>#VALUE!</x:v>
      </x:c>
      <x:c r="FP17" s="1062" t="e">
        <x:f t="shared" si="94"/>
        <x:v>#VALUE!</x:v>
      </x:c>
      <x:c r="FQ17" s="1063" t="e">
        <x:f t="shared" si="95"/>
        <x:v>#VALUE!</x:v>
      </x:c>
      <x:c r="FR17" s="1064" t="e">
        <x:f t="shared" si="96"/>
        <x:v>#VALUE!</x:v>
      </x:c>
      <x:c r="FS17" s="1065" t="str">
        <x:f t="shared" si="97"/>
        <x:v/>
      </x:c>
      <x:c r="FT17" s="1066" t="str">
        <x:f t="shared" si="98"/>
        <x:v/>
      </x:c>
      <x:c r="FU17" s="1105">
        <x:f t="shared" si="99"/>
        <x:v>0</x:v>
      </x:c>
      <x:c r="FV17" s="1106">
        <x:f t="shared" si="100"/>
        <x:v>0</x:v>
      </x:c>
      <x:c r="GA17" s="1975">
        <x:v>60</x:v>
      </x:c>
      <x:c r="GB17" s="1976">
        <x:v>0</x:v>
      </x:c>
      <x:c r="GC17" s="1977">
        <x:v>-0.25</x:v>
      </x:c>
      <x:c r="GD17" s="1978">
        <x:v>-0.25</x:v>
      </x:c>
      <x:c r="GE17" s="1979">
        <x:v>0.25</x:v>
      </x:c>
      <x:c r="GF17" s="1980" t="str">
        <x:f t="shared" si="101"/>
        <x:v>J43</x:v>
      </x:c>
      <x:c r="GG17" s="1453"/>
      <x:c r="GH17" s="1454"/>
      <x:c r="GI17" s="1453"/>
      <x:c r="GJ17" s="1454"/>
      <x:c r="GK17" s="533">
        <x:f t="shared" si="102"/>
        <x:v>719.5</x:v>
      </x:c>
      <x:c r="GL17" s="534">
        <x:f t="shared" si="103"/>
        <x:v>719.65612455429505</x:v>
      </x:c>
      <x:c r="GM17" s="535">
        <x:f>IF(ABS(GK17-GL17)&gt;='Job Info.'!$L$22,ABS(GK17-GL17),0)</x:f>
        <x:v>0</x:v>
      </x:c>
      <x:c r="HA17" s="1658" t="s">
        <x:v>1367</x:v>
      </x:c>
      <x:c r="HB17" s="1659">
        <x:v>23</x:v>
      </x:c>
      <x:c r="HC17" s="1659" t="s">
        <x:v>1978</x:v>
      </x:c>
      <x:c r="HD17" s="1660">
        <x:v>59</x:v>
      </x:c>
      <x:c r="HE17" s="1661">
        <x:v>11.5</x:v>
      </x:c>
      <x:c r="HF17" s="1659">
        <x:v>0</x:v>
      </x:c>
      <x:c r="HG17" s="1659">
        <x:v>1.375</x:v>
      </x:c>
      <x:c r="HH17" s="1659" t="s">
        <x:v>114</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t="s">
        <x:v>117</x:v>
      </x:c>
      <x:c r="HU17" s="1659" t="s">
        <x:v>117</x:v>
      </x:c>
      <x:c r="HV17" s="1659" t="s">
        <x:v>117</x:v>
      </x:c>
      <x:c r="HW17" s="1661" t="s">
        <x:v>117</x:v>
      </x:c>
      <x:c r="HX17" s="1661">
        <x:v>0</x:v>
      </x:c>
      <x:c r="HY17" s="1661" t="s">
        <x:v>117</x:v>
      </x:c>
      <x:c r="HZ17" s="1661" t="s">
        <x:v>117</x:v>
      </x:c>
      <x:c r="IA17" s="1661" t="s">
        <x:v>2096</x:v>
      </x:c>
      <x:c r="IB17" s="1661"/>
      <x:c r="IC17" s="1661"/>
      <x:c r="ID17" s="1661"/>
      <x:c r="IE17" s="1661"/>
      <x:c r="IF17" s="1663"/>
    </x:row>
    <x:row r="18" spans="1:240" ht="12.6" customHeight="1" x14ac:dyDescent="0.25">
      <x:c r="A18" s="1264" t="s">
        <x:v>1368</x:v>
      </x:c>
      <x:c r="B18" s="1265">
        <x:v>18</x:v>
      </x:c>
      <x:c r="C18" s="1265" t="s">
        <x:v>1978</x:v>
      </x:c>
      <x:c r="D18" s="1261">
        <x:v>59</x:v>
      </x:c>
      <x:c r="E18" s="1366">
        <x:v>11.5</x:v>
      </x:c>
      <x:c r="F18" s="1328">
        <x:v>0</x:v>
      </x:c>
      <x:c r="G18" s="1262">
        <x:v>1.375</x:v>
      </x:c>
      <x:c r="H18" s="1266" t="s">
        <x:v>114</x:v>
      </x:c>
      <x:c r="I18" s="1261">
        <x:v>0</x:v>
      </x:c>
      <x:c r="J18" s="1262">
        <x:v>1.375</x:v>
      </x:c>
      <x:c r="K18" s="1370" t="s">
        <x:v>114</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x:v>0</x:v>
      </x:c>
      <x:c r="U18" s="1262">
        <x:v>2.25</x:v>
      </x:c>
      <x:c r="V18" s="1261">
        <x:v>0</x:v>
      </x:c>
      <x:c r="W18" s="1262">
        <x:v>2.25</x:v>
      </x:c>
      <x:c r="X18" s="1329">
        <x:v>4</x:v>
      </x:c>
      <x:c r="Y18" s="1377" t="str">
        <x:f t="shared" si="12"/>
        <x:v/>
      </x:c>
      <x:c r="Z18" s="1378" t="str">
        <x:f t="shared" si="13"/>
        <x:v/>
      </x:c>
      <x:c r="AA18" s="2159" t="s">
        <x:v>2095</x:v>
      </x:c>
      <x:c r="AC18" s="1226" t="b">
        <x:v>0</x:v>
      </x:c>
      <x:c r="AD18" s="525">
        <x:f t="shared" si="14"/>
        <x:v>0</x:v>
      </x:c>
      <x:c r="AE18" s="526">
        <x:f t="shared" si="15"/>
        <x:v>18</x:v>
      </x:c>
      <x:c r="AF18" s="526">
        <x:f t="shared" si="16"/>
        <x:v>0</x:v>
      </x:c>
      <x:c r="AG18" s="526">
        <x:f t="shared" si="17"/>
        <x:v>0</x:v>
      </x:c>
      <x:c r="AH18" s="527">
        <x:f t="shared" si="18"/>
        <x:v>0</x:v>
      </x:c>
      <x:c r="AI18" s="528" t="b">
        <x:v>0</x:v>
      </x:c>
      <x:c r="AJ18" s="284">
        <x:f t="shared" si="19"/>
        <x:v>36</x:v>
      </x:c>
      <x:c r="AK18" s="1063" t="str">
        <x:f t="shared" si="20"/>
        <x:v>LH</x:v>
      </x:c>
      <x:c r="AL18" s="1202" t="str">
        <x:f t="shared" si="21"/>
        <x:v/>
      </x:c>
      <x:c r="AM18" s="1063">
        <x:f t="shared" si="22"/>
        <x:v>270</x:v>
      </x:c>
      <x:c r="AN18" s="1063">
        <x:f t="shared" si="23"/>
        <x:v>120</x:v>
      </x:c>
      <x:c r="AO18" s="1063" t="str">
        <x:f t="shared" si="24"/>
        <x:v/>
      </x:c>
      <x:c r="AP18" s="1063" t="b">
        <x:f>IF(ISERROR(AJ18),FALSE,IF(OR(AJ18=0,ISERROR(AL18),ISERROR(AM18),ISERROR(AN18),ISERROR(AO18)),FALSE,IF(AL18&lt;&gt;"",IF(ISERROR(VLOOKUP(SUBSTITUTE(SUBSTITUTE(C18,"R",""),"A",""),TblJoistSize!$A:$A,1,FALSE)),FALSE,TRUE),TRUE)))</x:f>
        <x:v>1</x:v>
      </x:c>
      <x:c r="AQ18" s="1305">
        <x:f t="shared" si="25"/>
        <x:v>7.375</x:v>
      </x:c>
      <x:c r="AR18" s="1305" t="b">
        <x:f t="shared" si="26"/>
        <x:v>1</x:v>
      </x:c>
      <x:c r="AS18" s="1305">
        <x:f t="shared" si="27"/>
        <x:v>7.375</x:v>
      </x:c>
      <x:c r="AT18" s="1305" t="b">
        <x:f t="shared" si="28"/>
        <x:v>1</x:v>
      </x:c>
      <x:c r="AU18" s="1203" t="str">
        <x:f t="shared" si="29"/>
        <x:v>LH</x:v>
      </x:c>
      <x:c r="AV18" s="1063" t="str">
        <x:f t="shared" si="30"/>
        <x:v/>
      </x:c>
      <x:c r="AW18" s="1063" t="str">
        <x:f t="shared" si="31"/>
        <x:v>LH</x:v>
      </x:c>
      <x:c r="AX18" s="1063" t="str">
        <x:f t="shared" si="104"/>
        <x:v>TJ44</x:v>
      </x:c>
      <x:c r="AY18" s="1306" t="b">
        <x:f t="shared" si="32"/>
        <x:v>0</x:v>
      </x:c>
      <x:c r="AZ18" s="1090" t="b">
        <x:f t="shared" si="33"/>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4"/>
        <x:v/>
      </x:c>
      <x:c r="CE18" s="935" t="str">
        <x:f t="shared" si="35"/>
        <x:v/>
      </x:c>
      <x:c r="CF18" s="1149"/>
      <x:c r="CG18" s="1150"/>
      <x:c r="CH18" s="738" t="str">
        <x:f t="shared" si="36"/>
        <x:v/>
      </x:c>
      <x:c r="CI18" s="739" t="str">
        <x:f t="shared" si="37"/>
        <x:v/>
      </x:c>
      <x:c r="CJ18" s="740" t="str">
        <x:f t="shared" si="38"/>
        <x:v/>
      </x:c>
      <x:c r="CK18" s="741" t="str">
        <x:f t="shared" si="39"/>
        <x:v/>
      </x:c>
      <x:c r="CL18" s="742" t="str">
        <x:f t="shared" si="40"/>
        <x:v/>
      </x:c>
      <x:c r="CM18" s="743" t="str">
        <x:f t="shared" si="41"/>
        <x:v/>
      </x:c>
      <x:c r="CN18" s="744" t="str">
        <x:f t="shared" si="42"/>
        <x:v/>
      </x:c>
      <x:c r="CO18" s="745" t="str">
        <x:f t="shared" si="43"/>
        <x:v/>
      </x:c>
      <x:c r="CP18" s="762" t="str">
        <x:f t="shared" si="44"/>
        <x:v/>
      </x:c>
      <x:c r="CQ18" s="763" t="str">
        <x:f t="shared" si="45"/>
        <x:v/>
      </x:c>
      <x:c r="CR18" s="953">
        <x:f t="shared" si="46"/>
        <x:v>5</x:v>
      </x:c>
      <x:c r="CS18" s="954">
        <x:f t="shared" si="47"/>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8"/>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9"/>
        <x:v>0</x:v>
      </x:c>
      <x:c r="DO18" s="1049">
        <x:f t="shared" si="50"/>
        <x:v>0</x:v>
      </x:c>
      <x:c r="DP18" s="1053" t="str">
        <x:f t="shared" si="51"/>
        <x:v/>
      </x:c>
      <x:c r="DQ18" s="1053" t="str">
        <x:f t="shared" si="52"/>
        <x:v/>
      </x:c>
      <x:c r="DR18" s="1053" t="str">
        <x:f t="shared" si="53"/>
        <x:v/>
      </x:c>
      <x:c r="DS18" s="1052">
        <x:f t="shared" si="54"/>
        <x:v>0</x:v>
      </x:c>
      <x:c r="DT18" s="1052">
        <x:f t="shared" si="55"/>
        <x:v>0</x:v>
      </x:c>
      <x:c r="DU18" s="1052" t="str">
        <x:f t="shared" si="56"/>
        <x:v/>
      </x:c>
      <x:c r="DV18" s="1053" t="str">
        <x:f t="shared" si="57"/>
        <x:v/>
      </x:c>
      <x:c r="DW18" s="1053" t="str">
        <x:f t="shared" si="58"/>
        <x:v/>
      </x:c>
      <x:c r="DX18" s="1269">
        <x:f t="shared" si="59"/>
        <x:v>0</x:v>
      </x:c>
      <x:c r="DY18" s="1053">
        <x:f t="shared" si="60"/>
        <x:v>0</x:v>
      </x:c>
      <x:c r="DZ18" s="1052">
        <x:f t="shared" si="61"/>
        <x:v>0</x:v>
      </x:c>
      <x:c r="EA18" s="1052" t="str">
        <x:f t="shared" si="62"/>
        <x:v/>
      </x:c>
      <x:c r="EB18" s="1053" t="str">
        <x:f t="shared" si="63"/>
        <x:v/>
      </x:c>
      <x:c r="EC18" s="1053" t="str">
        <x:f t="shared" si="64"/>
        <x:v/>
      </x:c>
      <x:c r="ED18" s="1269">
        <x:f t="shared" si="65"/>
        <x:v>0</x:v>
      </x:c>
      <x:c r="EE18" s="1090" t="str">
        <x:f t="shared" si="66"/>
        <x:v/>
      </x:c>
      <x:c r="EF18" s="1053" t="str">
        <x:f t="shared" si="67"/>
        <x:v/>
      </x:c>
      <x:c r="EG18" s="1053" t="str">
        <x:f t="shared" si="68"/>
        <x:v/>
      </x:c>
      <x:c r="EH18" s="1053" t="str">
        <x:f t="shared" si="69"/>
        <x:v>ERR</x:v>
      </x:c>
      <x:c r="EI18" s="1053" t="str">
        <x:f t="shared" si="70"/>
        <x:v>ERR</x:v>
      </x:c>
      <x:c r="EJ18" s="1053" t="str">
        <x:f t="shared" si="71"/>
        <x:v/>
      </x:c>
      <x:c r="EK18" s="1053" t="str">
        <x:f t="shared" si="71"/>
        <x:v/>
      </x:c>
      <x:c r="EL18" s="1090" t="str">
        <x:f t="shared" si="72"/>
        <x:v/>
      </x:c>
      <x:c r="EM18" s="1053" t="str">
        <x:f t="shared" si="73"/>
        <x:v/>
      </x:c>
      <x:c r="EN18" s="1053" t="str">
        <x:f t="shared" si="74"/>
        <x:v/>
      </x:c>
      <x:c r="EO18" s="1053" t="str">
        <x:f t="shared" si="75"/>
        <x:v>ERR</x:v>
      </x:c>
      <x:c r="EP18" s="1053" t="str">
        <x:f t="shared" si="76"/>
        <x:v>ERR</x:v>
      </x:c>
      <x:c r="EQ18" s="1053" t="str">
        <x:f t="shared" si="77"/>
        <x:v/>
      </x:c>
      <x:c r="ER18" s="1053" t="str">
        <x:f t="shared" si="77"/>
        <x:v/>
      </x:c>
      <x:c r="ES18" s="1053" t="str">
        <x:f t="shared" si="78"/>
        <x:v/>
      </x:c>
      <x:c r="ET18" s="1053" t="str">
        <x:f t="shared" si="79"/>
        <x:v/>
      </x:c>
      <x:c r="EU18" s="1061">
        <x:f t="shared" si="80"/>
        <x:v>4</x:v>
      </x:c>
      <x:c r="EV18" s="1055" t="str">
        <x:f t="shared" si="81"/>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2"/>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3"/>
        <x:v/>
      </x:c>
      <x:c r="FD18" s="1052">
        <x:f t="shared" si="105"/>
        <x:v>0</x:v>
      </x:c>
      <x:c r="FE18" s="1052">
        <x:f t="shared" si="84"/>
        <x:v>0</x:v>
      </x:c>
      <x:c r="FF18" s="1052">
        <x:f t="shared" si="85"/>
        <x:v>0</x:v>
      </x:c>
      <x:c r="FG18" s="1052" t="str">
        <x:f t="shared" si="86"/>
        <x:v/>
      </x:c>
      <x:c r="FH18" s="1053" t="str">
        <x:f t="shared" si="87"/>
        <x:v/>
      </x:c>
      <x:c r="FI18" s="1052">
        <x:f t="shared" si="106"/>
        <x:v>0</x:v>
      </x:c>
      <x:c r="FJ18" s="1052">
        <x:f t="shared" si="88"/>
        <x:v>0</x:v>
      </x:c>
      <x:c r="FK18" s="1052">
        <x:f t="shared" si="89"/>
        <x:v>0</x:v>
      </x:c>
      <x:c r="FL18" s="1052" t="str">
        <x:f t="shared" si="90"/>
        <x:v/>
      </x:c>
      <x:c r="FM18" s="1053" t="str">
        <x:f t="shared" si="91"/>
        <x:v/>
      </x:c>
      <x:c r="FN18" s="1053" t="e">
        <x:f t="shared" si="92"/>
        <x:v>#VALUE!</x:v>
      </x:c>
      <x:c r="FO18" s="1062" t="e">
        <x:f t="shared" si="93"/>
        <x:v>#VALUE!</x:v>
      </x:c>
      <x:c r="FP18" s="1062" t="e">
        <x:f t="shared" si="94"/>
        <x:v>#VALUE!</x:v>
      </x:c>
      <x:c r="FQ18" s="1063" t="e">
        <x:f t="shared" si="95"/>
        <x:v>#VALUE!</x:v>
      </x:c>
      <x:c r="FR18" s="1064" t="e">
        <x:f t="shared" si="96"/>
        <x:v>#VALUE!</x:v>
      </x:c>
      <x:c r="FS18" s="1065" t="str">
        <x:f t="shared" si="97"/>
        <x:v/>
      </x:c>
      <x:c r="FT18" s="1066" t="str">
        <x:f t="shared" si="98"/>
        <x:v/>
      </x:c>
      <x:c r="FU18" s="1105">
        <x:f t="shared" si="99"/>
        <x:v>0</x:v>
      </x:c>
      <x:c r="FV18" s="1106">
        <x:f t="shared" si="100"/>
        <x:v>0</x:v>
      </x:c>
      <x:c r="GA18" s="1975">
        <x:v>60</x:v>
      </x:c>
      <x:c r="GB18" s="1976">
        <x:v>0</x:v>
      </x:c>
      <x:c r="GC18" s="1977">
        <x:v>-0.25</x:v>
      </x:c>
      <x:c r="GD18" s="1978">
        <x:v>-0.25</x:v>
      </x:c>
      <x:c r="GE18" s="1979">
        <x:v>0.18846153846153901</x:v>
      </x:c>
      <x:c r="GF18" s="1980" t="str">
        <x:f t="shared" si="101"/>
        <x:v>TJ44</x:v>
      </x:c>
      <x:c r="GG18" s="1453"/>
      <x:c r="GH18" s="1454"/>
      <x:c r="GI18" s="1453"/>
      <x:c r="GJ18" s="1454"/>
      <x:c r="GK18" s="533">
        <x:f t="shared" si="102"/>
        <x:v>719.5</x:v>
      </x:c>
      <x:c r="GL18" s="534">
        <x:f t="shared" si="103"/>
        <x:v>719.58872724510547</x:v>
      </x:c>
      <x:c r="GM18" s="535">
        <x:f>IF(ABS(GK18-GL18)&gt;='Job Info.'!$L$22,ABS(GK18-GL18),0)</x:f>
        <x:v>0</x:v>
      </x:c>
      <x:c r="HA18" s="1658" t="s">
        <x:v>1368</x:v>
      </x:c>
      <x:c r="HB18" s="1659">
        <x:v>28</x:v>
      </x:c>
      <x:c r="HC18" s="1659" t="s">
        <x:v>1978</x:v>
      </x:c>
      <x:c r="HD18" s="1660">
        <x:v>59</x:v>
      </x:c>
      <x:c r="HE18" s="1661">
        <x:v>11.5</x:v>
      </x:c>
      <x:c r="HF18" s="1659">
        <x:v>0</x:v>
      </x:c>
      <x:c r="HG18" s="1659">
        <x:v>1.375</x:v>
      </x:c>
      <x:c r="HH18" s="1659" t="s">
        <x:v>114</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x:v>0</x:v>
      </x:c>
      <x:c r="HU18" s="1659">
        <x:v>2.25</x:v>
      </x:c>
      <x:c r="HV18" s="1659">
        <x:v>0</x:v>
      </x:c>
      <x:c r="HW18" s="1661">
        <x:v>2.25</x:v>
      </x:c>
      <x:c r="HX18" s="1661">
        <x:v>4</x:v>
      </x:c>
      <x:c r="HY18" s="1661" t="s">
        <x:v>117</x:v>
      </x:c>
      <x:c r="HZ18" s="1661" t="s">
        <x:v>117</x:v>
      </x:c>
      <x:c r="IA18" s="1661" t="s">
        <x:v>2095</x:v>
      </x:c>
      <x:c r="IB18" s="1661"/>
      <x:c r="IC18" s="1661"/>
      <x:c r="ID18" s="1661"/>
      <x:c r="IE18" s="1661"/>
      <x:c r="IF18" s="1663"/>
    </x:row>
    <x:row r="19" spans="1:240" ht="12.6" customHeight="1" x14ac:dyDescent="0.25">
      <x:c r="A19" s="1264" t="s">
        <x:v>1369</x:v>
      </x:c>
      <x:c r="B19" s="1265">
        <x:v>6</x:v>
      </x:c>
      <x:c r="C19" s="1265" t="s">
        <x:v>1978</x:v>
      </x:c>
      <x:c r="D19" s="1261">
        <x:v>59</x:v>
      </x:c>
      <x:c r="E19" s="1366">
        <x:v>11.5</x:v>
      </x:c>
      <x:c r="F19" s="1328">
        <x:v>0</x:v>
      </x:c>
      <x:c r="G19" s="1262">
        <x:v>1.375</x:v>
      </x:c>
      <x:c r="H19" s="1266" t="s">
        <x:v>114</x:v>
      </x:c>
      <x:c r="I19" s="1261">
        <x:v>0</x:v>
      </x:c>
      <x:c r="J19" s="1262">
        <x:v>1.375</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si="7"/>
        <x:v/>
      </x:c>
      <x:c r="U19" s="1262" t="str">
        <x:f t="shared" si="8"/>
        <x:v/>
      </x:c>
      <x:c r="V19" s="1261" t="str">
        <x:f t="shared" si="9"/>
        <x:v/>
      </x:c>
      <x:c r="W19" s="1262" t="str">
        <x:f t="shared" si="10"/>
        <x:v/>
      </x:c>
      <x:c r="X19" s="1329">
        <x:f t="shared" si="11"/>
        <x:v>0</x:v>
      </x:c>
      <x:c r="Y19" s="1377" t="str">
        <x:f t="shared" si="12"/>
        <x:v/>
      </x:c>
      <x:c r="Z19" s="1378" t="str">
        <x:f t="shared" si="13"/>
        <x:v/>
      </x:c>
      <x:c r="AA19" s="2159" t="s">
        <x:v>2097</x:v>
      </x:c>
      <x:c r="AC19" s="1226" t="b">
        <x:v>0</x:v>
      </x:c>
      <x:c r="AD19" s="525">
        <x:f t="shared" si="14"/>
        <x:v>0</x:v>
      </x:c>
      <x:c r="AE19" s="526">
        <x:f t="shared" si="15"/>
        <x:v>6</x:v>
      </x:c>
      <x:c r="AF19" s="526">
        <x:f t="shared" si="16"/>
        <x:v>0</x:v>
      </x:c>
      <x:c r="AG19" s="526">
        <x:f t="shared" si="17"/>
        <x:v>0</x:v>
      </x:c>
      <x:c r="AH19" s="527">
        <x:f t="shared" si="18"/>
        <x:v>0</x:v>
      </x:c>
      <x:c r="AI19" s="528" t="b">
        <x:v>0</x:v>
      </x:c>
      <x:c r="AJ19" s="284">
        <x:f t="shared" si="19"/>
        <x:v>36</x:v>
      </x:c>
      <x:c r="AK19" s="1063" t="str">
        <x:f t="shared" si="20"/>
        <x:v>LH</x:v>
      </x:c>
      <x:c r="AL19" s="1202" t="str">
        <x:f t="shared" si="21"/>
        <x:v/>
      </x:c>
      <x:c r="AM19" s="1063">
        <x:f t="shared" si="22"/>
        <x:v>270</x:v>
      </x:c>
      <x:c r="AN19" s="1063">
        <x:f t="shared" si="23"/>
        <x:v>120</x:v>
      </x:c>
      <x:c r="AO19" s="1063" t="str">
        <x:f t="shared" si="24"/>
        <x:v/>
      </x:c>
      <x:c r="AP19" s="1063" t="b">
        <x:f>IF(ISERROR(AJ19),FALSE,IF(OR(AJ19=0,ISERROR(AL19),ISERROR(AM19),ISERROR(AN19),ISERROR(AO19)),FALSE,IF(AL19&lt;&gt;"",IF(ISERROR(VLOOKUP(SUBSTITUTE(SUBSTITUTE(C19,"R",""),"A",""),TblJoistSize!$A:$A,1,FALSE)),FALSE,TRUE),TRUE)))</x:f>
        <x:v>1</x:v>
      </x:c>
      <x:c r="AQ19" s="1305">
        <x:f t="shared" si="25"/>
        <x:v>7.375</x:v>
      </x:c>
      <x:c r="AR19" s="1305" t="b">
        <x:f t="shared" si="26"/>
        <x:v>0</x:v>
      </x:c>
      <x:c r="AS19" s="1305">
        <x:f t="shared" si="27"/>
        <x:v>7.375</x:v>
      </x:c>
      <x:c r="AT19" s="1305" t="b">
        <x:f t="shared" si="28"/>
        <x:v>0</x:v>
      </x:c>
      <x:c r="AU19" s="1203" t="str">
        <x:f t="shared" si="29"/>
        <x:v>LH</x:v>
      </x:c>
      <x:c r="AV19" s="1063" t="str">
        <x:f t="shared" si="30"/>
        <x:v/>
      </x:c>
      <x:c r="AW19" s="1063" t="str">
        <x:f t="shared" si="31"/>
        <x:v>LH</x:v>
      </x:c>
      <x:c r="AX19" s="1063" t="str">
        <x:f t="shared" si="104"/>
        <x:v>J45</x:v>
      </x:c>
      <x:c r="AY19" s="1306" t="b">
        <x:f t="shared" si="32"/>
        <x:v>0</x:v>
      </x:c>
      <x:c r="AZ19" s="1090" t="b">
        <x:f t="shared" si="33"/>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4"/>
        <x:v/>
      </x:c>
      <x:c r="CE19" s="935" t="str">
        <x:f t="shared" si="35"/>
        <x:v/>
      </x:c>
      <x:c r="CF19" s="1149"/>
      <x:c r="CG19" s="1150"/>
      <x:c r="CH19" s="738" t="str">
        <x:f t="shared" si="36"/>
        <x:v/>
      </x:c>
      <x:c r="CI19" s="739" t="str">
        <x:f t="shared" si="37"/>
        <x:v/>
      </x:c>
      <x:c r="CJ19" s="740" t="str">
        <x:f t="shared" si="38"/>
        <x:v/>
      </x:c>
      <x:c r="CK19" s="741" t="str">
        <x:f t="shared" si="39"/>
        <x:v/>
      </x:c>
      <x:c r="CL19" s="742" t="str">
        <x:f t="shared" si="40"/>
        <x:v/>
      </x:c>
      <x:c r="CM19" s="743" t="str">
        <x:f t="shared" si="41"/>
        <x:v/>
      </x:c>
      <x:c r="CN19" s="744" t="str">
        <x:f t="shared" si="42"/>
        <x:v/>
      </x:c>
      <x:c r="CO19" s="745" t="str">
        <x:f t="shared" si="43"/>
        <x:v/>
      </x:c>
      <x:c r="CP19" s="762" t="str">
        <x:f t="shared" si="44"/>
        <x:v/>
      </x:c>
      <x:c r="CQ19" s="763" t="str">
        <x:f t="shared" si="45"/>
        <x:v/>
      </x:c>
      <x:c r="CR19" s="953">
        <x:f t="shared" si="46"/>
        <x:v>5</x:v>
      </x:c>
      <x:c r="CS19" s="954">
        <x:f t="shared" si="47"/>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8"/>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9"/>
        <x:v>0</x:v>
      </x:c>
      <x:c r="DO19" s="1049">
        <x:f t="shared" si="50"/>
        <x:v>0</x:v>
      </x:c>
      <x:c r="DP19" s="1053" t="str">
        <x:f t="shared" si="51"/>
        <x:v/>
      </x:c>
      <x:c r="DQ19" s="1053" t="str">
        <x:f t="shared" si="52"/>
        <x:v/>
      </x:c>
      <x:c r="DR19" s="1053" t="str">
        <x:f t="shared" si="53"/>
        <x:v/>
      </x:c>
      <x:c r="DS19" s="1052">
        <x:f t="shared" si="54"/>
        <x:v>0</x:v>
      </x:c>
      <x:c r="DT19" s="1052">
        <x:f t="shared" si="55"/>
        <x:v>0</x:v>
      </x:c>
      <x:c r="DU19" s="1052" t="str">
        <x:f t="shared" si="56"/>
        <x:v/>
      </x:c>
      <x:c r="DV19" s="1053" t="str">
        <x:f t="shared" si="57"/>
        <x:v/>
      </x:c>
      <x:c r="DW19" s="1053" t="str">
        <x:f t="shared" si="58"/>
        <x:v/>
      </x:c>
      <x:c r="DX19" s="1269">
        <x:f t="shared" si="59"/>
        <x:v>0</x:v>
      </x:c>
      <x:c r="DY19" s="1053">
        <x:f t="shared" si="60"/>
        <x:v>0</x:v>
      </x:c>
      <x:c r="DZ19" s="1052">
        <x:f t="shared" si="61"/>
        <x:v>0</x:v>
      </x:c>
      <x:c r="EA19" s="1052" t="str">
        <x:f t="shared" si="62"/>
        <x:v/>
      </x:c>
      <x:c r="EB19" s="1053" t="str">
        <x:f t="shared" si="63"/>
        <x:v/>
      </x:c>
      <x:c r="EC19" s="1053" t="str">
        <x:f t="shared" si="64"/>
        <x:v/>
      </x:c>
      <x:c r="ED19" s="1269">
        <x:f t="shared" si="65"/>
        <x:v>0</x:v>
      </x:c>
      <x:c r="EE19" s="1090" t="str">
        <x:f t="shared" si="66"/>
        <x:v/>
      </x:c>
      <x:c r="EF19" s="1053" t="str">
        <x:f t="shared" si="67"/>
        <x:v/>
      </x:c>
      <x:c r="EG19" s="1053" t="str">
        <x:f t="shared" si="68"/>
        <x:v/>
      </x:c>
      <x:c r="EH19" s="1053" t="str">
        <x:f t="shared" si="69"/>
        <x:v>ERR</x:v>
      </x:c>
      <x:c r="EI19" s="1053" t="str">
        <x:f t="shared" si="70"/>
        <x:v>ERR</x:v>
      </x:c>
      <x:c r="EJ19" s="1053" t="str">
        <x:f t="shared" si="71"/>
        <x:v/>
      </x:c>
      <x:c r="EK19" s="1053" t="str">
        <x:f t="shared" si="71"/>
        <x:v/>
      </x:c>
      <x:c r="EL19" s="1090" t="str">
        <x:f t="shared" si="72"/>
        <x:v/>
      </x:c>
      <x:c r="EM19" s="1053" t="str">
        <x:f t="shared" si="73"/>
        <x:v/>
      </x:c>
      <x:c r="EN19" s="1053" t="str">
        <x:f t="shared" si="74"/>
        <x:v/>
      </x:c>
      <x:c r="EO19" s="1053" t="str">
        <x:f t="shared" si="75"/>
        <x:v>ERR</x:v>
      </x:c>
      <x:c r="EP19" s="1053" t="str">
        <x:f t="shared" si="76"/>
        <x:v>ERR</x:v>
      </x:c>
      <x:c r="EQ19" s="1053" t="str">
        <x:f t="shared" si="77"/>
        <x:v/>
      </x:c>
      <x:c r="ER19" s="1053" t="str">
        <x:f t="shared" si="77"/>
        <x:v/>
      </x:c>
      <x:c r="ES19" s="1053" t="str">
        <x:f t="shared" si="78"/>
        <x:v/>
      </x:c>
      <x:c r="ET19" s="1053" t="str">
        <x:f t="shared" si="79"/>
        <x:v/>
      </x:c>
      <x:c r="EU19" s="1061">
        <x:f t="shared" si="80"/>
        <x:v>4</x:v>
      </x:c>
      <x:c r="EV19" s="1055" t="str">
        <x:f t="shared" si="81"/>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2"/>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3"/>
        <x:v/>
      </x:c>
      <x:c r="FD19" s="1052">
        <x:f t="shared" si="105"/>
        <x:v>0</x:v>
      </x:c>
      <x:c r="FE19" s="1052">
        <x:f t="shared" si="84"/>
        <x:v>0</x:v>
      </x:c>
      <x:c r="FF19" s="1052">
        <x:f t="shared" si="85"/>
        <x:v>0</x:v>
      </x:c>
      <x:c r="FG19" s="1052" t="str">
        <x:f t="shared" si="86"/>
        <x:v/>
      </x:c>
      <x:c r="FH19" s="1053" t="str">
        <x:f t="shared" si="87"/>
        <x:v/>
      </x:c>
      <x:c r="FI19" s="1052">
        <x:f t="shared" si="106"/>
        <x:v>0</x:v>
      </x:c>
      <x:c r="FJ19" s="1052">
        <x:f t="shared" si="88"/>
        <x:v>0</x:v>
      </x:c>
      <x:c r="FK19" s="1052">
        <x:f t="shared" si="89"/>
        <x:v>0</x:v>
      </x:c>
      <x:c r="FL19" s="1052" t="str">
        <x:f t="shared" si="90"/>
        <x:v/>
      </x:c>
      <x:c r="FM19" s="1053" t="str">
        <x:f t="shared" si="91"/>
        <x:v/>
      </x:c>
      <x:c r="FN19" s="1053" t="e">
        <x:f t="shared" si="92"/>
        <x:v>#VALUE!</x:v>
      </x:c>
      <x:c r="FO19" s="1062" t="e">
        <x:f t="shared" si="93"/>
        <x:v>#VALUE!</x:v>
      </x:c>
      <x:c r="FP19" s="1062" t="e">
        <x:f t="shared" si="94"/>
        <x:v>#VALUE!</x:v>
      </x:c>
      <x:c r="FQ19" s="1063" t="e">
        <x:f t="shared" si="95"/>
        <x:v>#VALUE!</x:v>
      </x:c>
      <x:c r="FR19" s="1064" t="e">
        <x:f t="shared" si="96"/>
        <x:v>#VALUE!</x:v>
      </x:c>
      <x:c r="FS19" s="1065" t="str">
        <x:f t="shared" si="97"/>
        <x:v/>
      </x:c>
      <x:c r="FT19" s="1066" t="str">
        <x:f t="shared" si="98"/>
        <x:v/>
      </x:c>
      <x:c r="FU19" s="1105">
        <x:f t="shared" si="99"/>
        <x:v>0</x:v>
      </x:c>
      <x:c r="FV19" s="1106">
        <x:f t="shared" si="100"/>
        <x:v>0</x:v>
      </x:c>
      <x:c r="GA19" s="1975">
        <x:v>60</x:v>
      </x:c>
      <x:c r="GB19" s="1976">
        <x:v>0</x:v>
      </x:c>
      <x:c r="GC19" s="1977">
        <x:v>-0.25</x:v>
      </x:c>
      <x:c r="GD19" s="1978">
        <x:v>-0.25</x:v>
      </x:c>
      <x:c r="GE19" s="1979">
        <x:v>0.25</x:v>
      </x:c>
      <x:c r="GF19" s="1980" t="str">
        <x:f t="shared" si="101"/>
        <x:v>J45</x:v>
      </x:c>
      <x:c r="GG19" s="1453"/>
      <x:c r="GH19" s="1454"/>
      <x:c r="GI19" s="1453"/>
      <x:c r="GJ19" s="1454"/>
      <x:c r="GK19" s="533">
        <x:f t="shared" si="102"/>
        <x:v>719.5</x:v>
      </x:c>
      <x:c r="GL19" s="534">
        <x:f t="shared" si="103"/>
        <x:v>719.65612455429505</x:v>
      </x:c>
      <x:c r="GM19" s="535">
        <x:f>IF(ABS(GK19-GL19)&gt;='Job Info.'!$L$22,ABS(GK19-GL19),0)</x:f>
        <x:v>0</x:v>
      </x:c>
      <x:c r="HA19" s="1658" t="s">
        <x:v>1369</x:v>
      </x:c>
      <x:c r="HB19" s="1659">
        <x:v>13</x:v>
      </x:c>
      <x:c r="HC19" s="1659" t="s">
        <x:v>1978</x:v>
      </x:c>
      <x:c r="HD19" s="1660">
        <x:v>59</x:v>
      </x:c>
      <x:c r="HE19" s="1661">
        <x:v>11.5</x:v>
      </x:c>
      <x:c r="HF19" s="1659">
        <x:v>0</x:v>
      </x:c>
      <x:c r="HG19" s="1659">
        <x:v>1.375</x:v>
      </x:c>
      <x:c r="HH19" s="1659" t="s">
        <x:v>114</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2097</x:v>
      </x:c>
      <x:c r="IB19" s="1661"/>
      <x:c r="IC19" s="1661"/>
      <x:c r="ID19" s="1661"/>
      <x:c r="IE19" s="1661"/>
      <x:c r="IF19" s="1663"/>
    </x:row>
    <x:row r="20" spans="1:240" ht="12.6" customHeight="1" x14ac:dyDescent="0.25">
      <x:c r="A20" s="1264" t="s">
        <x:v>1370</x:v>
      </x:c>
      <x:c r="B20" s="1265">
        <x:v>6</x:v>
      </x:c>
      <x:c r="C20" s="1265" t="s">
        <x:v>1978</x:v>
      </x:c>
      <x:c r="D20" s="1261">
        <x:v>59</x:v>
      </x:c>
      <x:c r="E20" s="1366">
        <x:v>10</x:v>
      </x:c>
      <x:c r="F20" s="1328">
        <x:v>0</x:v>
      </x:c>
      <x:c r="G20" s="1262">
        <x:v>0.625</x:v>
      </x:c>
      <x:c r="H20" s="1266" t="s">
        <x:v>114</x:v>
      </x:c>
      <x:c r="I20" s="1261">
        <x:v>0</x:v>
      </x:c>
      <x:c r="J20" s="1262">
        <x:v>0.625</x:v>
      </x:c>
      <x:c r="K20" s="1370" t="s">
        <x:v>114</x:v>
      </x:c>
      <x:c r="L20" s="1327">
        <x:v>3</x:v>
      </x:c>
      <x:c r="M20" s="1329">
        <x:v>3</x:v>
      </x:c>
      <x:c r="N20" s="1263">
        <x:v>0</x:v>
      </x:c>
      <x:c r="O20" s="1262">
        <x:v>5.375</x:v>
      </x:c>
      <x:c r="P20" s="1260">
        <x:v>2</x:v>
      </x:c>
      <x:c r="Q20" s="1261">
        <x:v>0</x:v>
      </x:c>
      <x:c r="R20" s="1262">
        <x:v>6.75</x:v>
      </x:c>
      <x:c r="S20" s="1375">
        <x:v>2</x:v>
      </x:c>
      <x:c r="T20" s="1328">
        <x:v>0</x:v>
      </x:c>
      <x:c r="U20" s="1262">
        <x:v>1.5</x:v>
      </x:c>
      <x:c r="V20" s="1261">
        <x:v>0</x:v>
      </x:c>
      <x:c r="W20" s="1262">
        <x:v>1.5</x:v>
      </x:c>
      <x:c r="X20" s="1329">
        <x:v>4</x:v>
      </x:c>
      <x:c r="Y20" s="1377" t="str">
        <x:f t="shared" si="12"/>
        <x:v/>
      </x:c>
      <x:c r="Z20" s="1378" t="str">
        <x:f t="shared" si="13"/>
        <x:v/>
      </x:c>
      <x:c r="AA20" s="2159" t="s">
        <x:v>2098</x:v>
      </x:c>
      <x:c r="AC20" s="1226" t="b">
        <x:v>0</x:v>
      </x:c>
      <x:c r="AD20" s="525">
        <x:f t="shared" si="14"/>
        <x:v>0</x:v>
      </x:c>
      <x:c r="AE20" s="526">
        <x:f t="shared" si="15"/>
        <x:v>6</x:v>
      </x:c>
      <x:c r="AF20" s="526">
        <x:f t="shared" si="16"/>
        <x:v>0</x:v>
      </x:c>
      <x:c r="AG20" s="526">
        <x:f t="shared" si="17"/>
        <x:v>0</x:v>
      </x:c>
      <x:c r="AH20" s="527">
        <x:f t="shared" si="18"/>
        <x:v>0</x:v>
      </x:c>
      <x:c r="AI20" s="528" t="b">
        <x:v>0</x:v>
      </x:c>
      <x:c r="AJ20" s="284">
        <x:f t="shared" si="19"/>
        <x:v>36</x:v>
      </x:c>
      <x:c r="AK20" s="1063" t="str">
        <x:f t="shared" si="20"/>
        <x:v>LH</x:v>
      </x:c>
      <x:c r="AL20" s="1202" t="str">
        <x:f t="shared" si="21"/>
        <x:v/>
      </x:c>
      <x:c r="AM20" s="1063">
        <x:f t="shared" si="22"/>
        <x:v>270</x:v>
      </x:c>
      <x:c r="AN20" s="1063">
        <x:f t="shared" si="23"/>
        <x:v>120</x:v>
      </x:c>
      <x:c r="AO20" s="1063" t="str">
        <x:f t="shared" si="24"/>
        <x:v/>
      </x:c>
      <x:c r="AP20" s="1063" t="b">
        <x:f>IF(ISERROR(AJ20),FALSE,IF(OR(AJ20=0,ISERROR(AL20),ISERROR(AM20),ISERROR(AN20),ISERROR(AO20)),FALSE,IF(AL20&lt;&gt;"",IF(ISERROR(VLOOKUP(SUBSTITUTE(SUBSTITUTE(C20,"R",""),"A",""),TblJoistSize!$A:$A,1,FALSE)),FALSE,TRUE),TRUE)))</x:f>
        <x:v>1</x:v>
      </x:c>
      <x:c r="AQ20" s="1305">
        <x:f t="shared" si="25"/>
        <x:v>6.625</x:v>
      </x:c>
      <x:c r="AR20" s="1305" t="b">
        <x:f t="shared" si="26"/>
        <x:v>1</x:v>
      </x:c>
      <x:c r="AS20" s="1305">
        <x:f t="shared" si="27"/>
        <x:v>6.625</x:v>
      </x:c>
      <x:c r="AT20" s="1305" t="b">
        <x:f t="shared" si="28"/>
        <x:v>1</x:v>
      </x:c>
      <x:c r="AU20" s="1203" t="str">
        <x:f t="shared" si="29"/>
        <x:v>LH</x:v>
      </x:c>
      <x:c r="AV20" s="1063" t="str">
        <x:f t="shared" si="30"/>
        <x:v/>
      </x:c>
      <x:c r="AW20" s="1063" t="str">
        <x:f t="shared" si="31"/>
        <x:v>LH</x:v>
      </x:c>
      <x:c r="AX20" s="1063" t="str">
        <x:f t="shared" si="104"/>
        <x:v>TJ46</x:v>
      </x:c>
      <x:c r="AY20" s="1306" t="b">
        <x:f t="shared" si="32"/>
        <x:v>0</x:v>
      </x:c>
      <x:c r="AZ20" s="1090" t="b">
        <x:f t="shared" si="33"/>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4"/>
        <x:v/>
      </x:c>
      <x:c r="CE20" s="935" t="str">
        <x:f t="shared" si="35"/>
        <x:v/>
      </x:c>
      <x:c r="CF20" s="1149"/>
      <x:c r="CG20" s="1150"/>
      <x:c r="CH20" s="738" t="str">
        <x:f t="shared" si="36"/>
        <x:v/>
      </x:c>
      <x:c r="CI20" s="739" t="str">
        <x:f t="shared" si="37"/>
        <x:v/>
      </x:c>
      <x:c r="CJ20" s="740" t="str">
        <x:f t="shared" si="38"/>
        <x:v/>
      </x:c>
      <x:c r="CK20" s="741" t="str">
        <x:f t="shared" si="39"/>
        <x:v/>
      </x:c>
      <x:c r="CL20" s="742" t="str">
        <x:f t="shared" si="40"/>
        <x:v/>
      </x:c>
      <x:c r="CM20" s="743" t="str">
        <x:f t="shared" si="41"/>
        <x:v/>
      </x:c>
      <x:c r="CN20" s="744" t="str">
        <x:f t="shared" si="42"/>
        <x:v/>
      </x:c>
      <x:c r="CO20" s="745" t="str">
        <x:f t="shared" si="43"/>
        <x:v/>
      </x:c>
      <x:c r="CP20" s="762" t="str">
        <x:f t="shared" si="44"/>
        <x:v/>
      </x:c>
      <x:c r="CQ20" s="763" t="str">
        <x:f t="shared" si="45"/>
        <x:v/>
      </x:c>
      <x:c r="CR20" s="953">
        <x:f t="shared" si="46"/>
        <x:v>5</x:v>
      </x:c>
      <x:c r="CS20" s="954">
        <x:f t="shared" si="47"/>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8"/>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9"/>
        <x:v>0</x:v>
      </x:c>
      <x:c r="DO20" s="1049">
        <x:f t="shared" si="50"/>
        <x:v>0</x:v>
      </x:c>
      <x:c r="DP20" s="1053" t="str">
        <x:f t="shared" si="51"/>
        <x:v/>
      </x:c>
      <x:c r="DQ20" s="1053" t="str">
        <x:f t="shared" si="52"/>
        <x:v/>
      </x:c>
      <x:c r="DR20" s="1053" t="str">
        <x:f t="shared" si="53"/>
        <x:v/>
      </x:c>
      <x:c r="DS20" s="1052">
        <x:f t="shared" si="54"/>
        <x:v>0</x:v>
      </x:c>
      <x:c r="DT20" s="1052">
        <x:f t="shared" si="55"/>
        <x:v>0</x:v>
      </x:c>
      <x:c r="DU20" s="1052" t="str">
        <x:f t="shared" si="56"/>
        <x:v/>
      </x:c>
      <x:c r="DV20" s="1053" t="str">
        <x:f t="shared" si="57"/>
        <x:v/>
      </x:c>
      <x:c r="DW20" s="1053" t="str">
        <x:f t="shared" si="58"/>
        <x:v/>
      </x:c>
      <x:c r="DX20" s="1269">
        <x:f t="shared" si="59"/>
        <x:v>0</x:v>
      </x:c>
      <x:c r="DY20" s="1053">
        <x:f t="shared" si="60"/>
        <x:v>0</x:v>
      </x:c>
      <x:c r="DZ20" s="1052">
        <x:f t="shared" si="61"/>
        <x:v>0</x:v>
      </x:c>
      <x:c r="EA20" s="1052" t="str">
        <x:f t="shared" si="62"/>
        <x:v/>
      </x:c>
      <x:c r="EB20" s="1053" t="str">
        <x:f t="shared" si="63"/>
        <x:v/>
      </x:c>
      <x:c r="EC20" s="1053" t="str">
        <x:f t="shared" si="64"/>
        <x:v/>
      </x:c>
      <x:c r="ED20" s="1269">
        <x:f t="shared" si="65"/>
        <x:v>0</x:v>
      </x:c>
      <x:c r="EE20" s="1090" t="str">
        <x:f t="shared" si="66"/>
        <x:v/>
      </x:c>
      <x:c r="EF20" s="1053" t="str">
        <x:f t="shared" si="67"/>
        <x:v/>
      </x:c>
      <x:c r="EG20" s="1053" t="str">
        <x:f t="shared" si="68"/>
        <x:v/>
      </x:c>
      <x:c r="EH20" s="1053" t="str">
        <x:f t="shared" si="69"/>
        <x:v>ERR</x:v>
      </x:c>
      <x:c r="EI20" s="1053" t="str">
        <x:f t="shared" si="70"/>
        <x:v>ERR</x:v>
      </x:c>
      <x:c r="EJ20" s="1053" t="str">
        <x:f t="shared" si="71"/>
        <x:v/>
      </x:c>
      <x:c r="EK20" s="1053" t="str">
        <x:f t="shared" si="71"/>
        <x:v/>
      </x:c>
      <x:c r="EL20" s="1090" t="str">
        <x:f t="shared" si="72"/>
        <x:v/>
      </x:c>
      <x:c r="EM20" s="1053" t="str">
        <x:f t="shared" si="73"/>
        <x:v/>
      </x:c>
      <x:c r="EN20" s="1053" t="str">
        <x:f t="shared" si="74"/>
        <x:v/>
      </x:c>
      <x:c r="EO20" s="1053" t="str">
        <x:f t="shared" si="75"/>
        <x:v>ERR</x:v>
      </x:c>
      <x:c r="EP20" s="1053" t="str">
        <x:f t="shared" si="76"/>
        <x:v>ERR</x:v>
      </x:c>
      <x:c r="EQ20" s="1053" t="str">
        <x:f t="shared" si="77"/>
        <x:v/>
      </x:c>
      <x:c r="ER20" s="1053" t="str">
        <x:f t="shared" si="77"/>
        <x:v/>
      </x:c>
      <x:c r="ES20" s="1053" t="str">
        <x:f t="shared" si="78"/>
        <x:v/>
      </x:c>
      <x:c r="ET20" s="1053" t="str">
        <x:f t="shared" si="79"/>
        <x:v/>
      </x:c>
      <x:c r="EU20" s="1061">
        <x:f t="shared" si="80"/>
        <x:v>4</x:v>
      </x:c>
      <x:c r="EV20" s="1055" t="str">
        <x:f t="shared" si="81"/>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2"/>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3"/>
        <x:v/>
      </x:c>
      <x:c r="FD20" s="1052">
        <x:f t="shared" si="105"/>
        <x:v>0</x:v>
      </x:c>
      <x:c r="FE20" s="1052">
        <x:f t="shared" si="84"/>
        <x:v>0</x:v>
      </x:c>
      <x:c r="FF20" s="1052">
        <x:f t="shared" si="85"/>
        <x:v>0</x:v>
      </x:c>
      <x:c r="FG20" s="1052" t="str">
        <x:f t="shared" si="86"/>
        <x:v/>
      </x:c>
      <x:c r="FH20" s="1053" t="str">
        <x:f t="shared" si="87"/>
        <x:v/>
      </x:c>
      <x:c r="FI20" s="1052">
        <x:f t="shared" si="106"/>
        <x:v>0</x:v>
      </x:c>
      <x:c r="FJ20" s="1052">
        <x:f t="shared" si="88"/>
        <x:v>0</x:v>
      </x:c>
      <x:c r="FK20" s="1052">
        <x:f t="shared" si="89"/>
        <x:v>0</x:v>
      </x:c>
      <x:c r="FL20" s="1052" t="str">
        <x:f t="shared" si="90"/>
        <x:v/>
      </x:c>
      <x:c r="FM20" s="1053" t="str">
        <x:f t="shared" si="91"/>
        <x:v/>
      </x:c>
      <x:c r="FN20" s="1053" t="e">
        <x:f t="shared" si="92"/>
        <x:v>#VALUE!</x:v>
      </x:c>
      <x:c r="FO20" s="1062" t="e">
        <x:f t="shared" si="93"/>
        <x:v>#VALUE!</x:v>
      </x:c>
      <x:c r="FP20" s="1062" t="e">
        <x:f t="shared" si="94"/>
        <x:v>#VALUE!</x:v>
      </x:c>
      <x:c r="FQ20" s="1063" t="e">
        <x:f t="shared" si="95"/>
        <x:v>#VALUE!</x:v>
      </x:c>
      <x:c r="FR20" s="1064" t="e">
        <x:f t="shared" si="96"/>
        <x:v>#VALUE!</x:v>
      </x:c>
      <x:c r="FS20" s="1065" t="str">
        <x:f t="shared" si="97"/>
        <x:v/>
      </x:c>
      <x:c r="FT20" s="1066" t="str">
        <x:f t="shared" si="98"/>
        <x:v/>
      </x:c>
      <x:c r="FU20" s="1105">
        <x:f t="shared" si="99"/>
        <x:v>0</x:v>
      </x:c>
      <x:c r="FV20" s="1106">
        <x:f t="shared" si="100"/>
        <x:v>0</x:v>
      </x:c>
      <x:c r="GA20" s="1975">
        <x:v>60</x:v>
      </x:c>
      <x:c r="GB20" s="1976">
        <x:v>0</x:v>
      </x:c>
      <x:c r="GC20" s="1977">
        <x:v>-1</x:v>
      </x:c>
      <x:c r="GD20" s="1978">
        <x:v>-1</x:v>
      </x:c>
      <x:c r="GE20" s="1979">
        <x:v>0.25</x:v>
      </x:c>
      <x:c r="GF20" s="1980" t="str">
        <x:f t="shared" si="101"/>
        <x:v>TJ46</x:v>
      </x:c>
      <x:c r="GG20" s="1453"/>
      <x:c r="GH20" s="1454"/>
      <x:c r="GI20" s="1453"/>
      <x:c r="GJ20" s="1454"/>
      <x:c r="GK20" s="533">
        <x:f t="shared" si="102"/>
        <x:v>718</x:v>
      </x:c>
      <x:c r="GL20" s="534">
        <x:f t="shared" si="103"/>
        <x:v>718.15579906877531</x:v>
      </x:c>
      <x:c r="GM20" s="535">
        <x:f>IF(ABS(GK20-GL20)&gt;='Job Info.'!$L$22,ABS(GK20-GL20),0)</x:f>
        <x:v>0</x:v>
      </x:c>
      <x:c r="HA20" s="1658" t="s">
        <x:v>1370</x:v>
      </x:c>
      <x:c r="HB20" s="1659">
        <x:v>9</x:v>
      </x:c>
      <x:c r="HC20" s="1659" t="s">
        <x:v>1978</x:v>
      </x:c>
      <x:c r="HD20" s="1660">
        <x:v>59</x:v>
      </x:c>
      <x:c r="HE20" s="1661">
        <x:v>10</x:v>
      </x:c>
      <x:c r="HF20" s="1659">
        <x:v>0</x:v>
      </x:c>
      <x:c r="HG20" s="1659">
        <x:v>0.625</x:v>
      </x:c>
      <x:c r="HH20" s="1659" t="s">
        <x:v>114</x:v>
      </x:c>
      <x:c r="HI20" s="1662">
        <x:v>0</x:v>
      </x:c>
      <x:c r="HJ20" s="1659">
        <x:v>0.625</x:v>
      </x:c>
      <x:c r="HK20" s="1659" t="s">
        <x:v>114</x:v>
      </x:c>
      <x:c r="HL20" s="1659">
        <x:v>3</x:v>
      </x:c>
      <x:c r="HM20" s="1659">
        <x:v>3</x:v>
      </x:c>
      <x:c r="HN20" s="1659">
        <x:v>0</x:v>
      </x:c>
      <x:c r="HO20" s="1659">
        <x:v>5.375</x:v>
      </x:c>
      <x:c r="HP20" s="1659">
        <x:v>2</x:v>
      </x:c>
      <x:c r="HQ20" s="1662">
        <x:v>0</x:v>
      </x:c>
      <x:c r="HR20" s="1659">
        <x:v>6.75</x:v>
      </x:c>
      <x:c r="HS20" s="1659">
        <x:v>2</x:v>
      </x:c>
      <x:c r="HT20" s="1659">
        <x:v>0</x:v>
      </x:c>
      <x:c r="HU20" s="1659">
        <x:v>1.5</x:v>
      </x:c>
      <x:c r="HV20" s="1659">
        <x:v>0</x:v>
      </x:c>
      <x:c r="HW20" s="1661">
        <x:v>1.5</x:v>
      </x:c>
      <x:c r="HX20" s="1661">
        <x:v>4</x:v>
      </x:c>
      <x:c r="HY20" s="1661" t="s">
        <x:v>117</x:v>
      </x:c>
      <x:c r="HZ20" s="1661" t="s">
        <x:v>117</x:v>
      </x:c>
      <x:c r="IA20" s="1661" t="s">
        <x:v>2098</x:v>
      </x:c>
      <x:c r="IB20" s="1661"/>
      <x:c r="IC20" s="1661"/>
      <x:c r="ID20" s="1661"/>
      <x:c r="IE20" s="1661"/>
      <x:c r="IF20" s="1663"/>
    </x:row>
    <x:row r="21" spans="1:240" ht="12.6" customHeight="1" x14ac:dyDescent="0.25">
      <x:c r="A21" s="1264" t="s">
        <x:v>1371</x:v>
      </x:c>
      <x:c r="B21" s="1265">
        <x:v>1</x:v>
      </x:c>
      <x:c r="C21" s="1265" t="s">
        <x:v>1978</x:v>
      </x:c>
      <x:c r="D21" s="1261">
        <x:v>59</x:v>
      </x:c>
      <x:c r="E21" s="1366">
        <x:v>11.5</x:v>
      </x:c>
      <x:c r="F21" s="1328">
        <x:v>0</x:v>
      </x:c>
      <x:c r="G21" s="1262">
        <x:v>1.375</x:v>
      </x:c>
      <x:c r="H21" s="1266" t="s">
        <x:v>114</x:v>
      </x:c>
      <x:c r="I21" s="1261">
        <x:v>0</x:v>
      </x:c>
      <x:c r="J21" s="1262">
        <x:v>1.375</x:v>
      </x:c>
      <x:c r="K21" s="1370" t="s">
        <x:v>114</x:v>
      </x:c>
      <x:c r="L21" s="1327">
        <x:v>3</x:v>
      </x:c>
      <x:c r="M21" s="1329">
        <x:v>3</x:v>
      </x:c>
      <x:c r="N21" s="1263" t="str">
        <x:f t="shared" si="1"/>
        <x:v/>
      </x:c>
      <x:c r="O21" s="1262" t="str">
        <x:f t="shared" si="2"/>
        <x:v/>
      </x:c>
      <x:c r="P21" s="1260" t="str">
        <x:f t="shared" si="3"/>
        <x:v/>
      </x:c>
      <x:c r="Q21" s="1261" t="str">
        <x:f t="shared" si="4"/>
        <x:v/>
      </x:c>
      <x:c r="R21" s="1262" t="str">
        <x:f t="shared" si="5"/>
        <x:v/>
      </x:c>
      <x:c r="S21" s="1375" t="str">
        <x:f t="shared" si="6"/>
        <x:v/>
      </x:c>
      <x:c r="T21" s="1328">
        <x:v>0</x:v>
      </x:c>
      <x:c r="U21" s="1262">
        <x:v>2.25</x:v>
      </x:c>
      <x:c r="V21" s="1261">
        <x:v>0</x:v>
      </x:c>
      <x:c r="W21" s="1262">
        <x:v>2.25</x:v>
      </x:c>
      <x:c r="X21" s="1329">
        <x:v>4</x:v>
      </x:c>
      <x:c r="Y21" s="1377" t="str">
        <x:f t="shared" si="12"/>
        <x:v/>
      </x:c>
      <x:c r="Z21" s="1378" t="str">
        <x:f t="shared" si="13"/>
        <x:v/>
      </x:c>
      <x:c r="AA21" s="2159" t="s">
        <x:v>2096</x:v>
      </x:c>
      <x:c r="AC21" s="1226" t="b">
        <x:v>0</x:v>
      </x:c>
      <x:c r="AD21" s="525">
        <x:f t="shared" si="14"/>
        <x:v>0</x:v>
      </x:c>
      <x:c r="AE21" s="526">
        <x:f t="shared" si="15"/>
        <x:v>1</x:v>
      </x:c>
      <x:c r="AF21" s="526">
        <x:f t="shared" si="16"/>
        <x:v>0</x:v>
      </x:c>
      <x:c r="AG21" s="526">
        <x:f t="shared" si="17"/>
        <x:v>0</x:v>
      </x:c>
      <x:c r="AH21" s="527">
        <x:f t="shared" si="18"/>
        <x:v>0</x:v>
      </x:c>
      <x:c r="AI21" s="528" t="b">
        <x:v>0</x:v>
      </x:c>
      <x:c r="AJ21" s="284">
        <x:f t="shared" si="19"/>
        <x:v>36</x:v>
      </x:c>
      <x:c r="AK21" s="1063" t="str">
        <x:f t="shared" si="20"/>
        <x:v>LH</x:v>
      </x:c>
      <x:c r="AL21" s="1202" t="str">
        <x:f t="shared" si="21"/>
        <x:v/>
      </x:c>
      <x:c r="AM21" s="1063">
        <x:f t="shared" si="22"/>
        <x:v>270</x:v>
      </x:c>
      <x:c r="AN21" s="1063">
        <x:f t="shared" si="23"/>
        <x:v>120</x:v>
      </x:c>
      <x:c r="AO21" s="1063" t="str">
        <x:f t="shared" si="24"/>
        <x:v/>
      </x:c>
      <x:c r="AP21" s="1063" t="b">
        <x:f>IF(ISERROR(AJ21),FALSE,IF(OR(AJ21=0,ISERROR(AL21),ISERROR(AM21),ISERROR(AN21),ISERROR(AO21)),FALSE,IF(AL21&lt;&gt;"",IF(ISERROR(VLOOKUP(SUBSTITUTE(SUBSTITUTE(C21,"R",""),"A",""),TblJoistSize!$A:$A,1,FALSE)),FALSE,TRUE),TRUE)))</x:f>
        <x:v>1</x:v>
      </x:c>
      <x:c r="AQ21" s="1305">
        <x:f t="shared" si="25"/>
        <x:v>7.375</x:v>
      </x:c>
      <x:c r="AR21" s="1305" t="b">
        <x:f t="shared" si="26"/>
        <x:v>1</x:v>
      </x:c>
      <x:c r="AS21" s="1305">
        <x:f t="shared" si="27"/>
        <x:v>7.375</x:v>
      </x:c>
      <x:c r="AT21" s="1305" t="b">
        <x:f t="shared" si="28"/>
        <x:v>1</x:v>
      </x:c>
      <x:c r="AU21" s="1203" t="str">
        <x:f t="shared" si="29"/>
        <x:v>LH</x:v>
      </x:c>
      <x:c r="AV21" s="1063" t="str">
        <x:f t="shared" si="30"/>
        <x:v/>
      </x:c>
      <x:c r="AW21" s="1063" t="str">
        <x:f t="shared" si="31"/>
        <x:v>LH</x:v>
      </x:c>
      <x:c r="AX21" s="1063" t="str">
        <x:f t="shared" si="104"/>
        <x:v>TJ47</x:v>
      </x:c>
      <x:c r="AY21" s="1306" t="b">
        <x:f t="shared" si="32"/>
        <x:v>0</x:v>
      </x:c>
      <x:c r="AZ21" s="1090" t="b">
        <x:f t="shared" si="33"/>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4"/>
        <x:v/>
      </x:c>
      <x:c r="CE21" s="1812" t="str">
        <x:f t="shared" si="35"/>
        <x:v/>
      </x:c>
      <x:c r="CF21" s="1813"/>
      <x:c r="CG21" s="1814"/>
      <x:c r="CH21" s="738" t="str">
        <x:f t="shared" si="36"/>
        <x:v/>
      </x:c>
      <x:c r="CI21" s="739" t="str">
        <x:f t="shared" si="37"/>
        <x:v/>
      </x:c>
      <x:c r="CJ21" s="740" t="str">
        <x:f t="shared" si="38"/>
        <x:v/>
      </x:c>
      <x:c r="CK21" s="741" t="str">
        <x:f t="shared" si="39"/>
        <x:v/>
      </x:c>
      <x:c r="CL21" s="742" t="str">
        <x:f t="shared" si="40"/>
        <x:v/>
      </x:c>
      <x:c r="CM21" s="743" t="str">
        <x:f t="shared" si="41"/>
        <x:v/>
      </x:c>
      <x:c r="CN21" s="744" t="str">
        <x:f t="shared" si="42"/>
        <x:v/>
      </x:c>
      <x:c r="CO21" s="745" t="str">
        <x:f t="shared" si="43"/>
        <x:v/>
      </x:c>
      <x:c r="CP21" s="762" t="str">
        <x:f t="shared" si="44"/>
        <x:v/>
      </x:c>
      <x:c r="CQ21" s="763" t="str">
        <x:f t="shared" si="45"/>
        <x:v/>
      </x:c>
      <x:c r="CR21" s="953">
        <x:f t="shared" si="46"/>
        <x:v>5</x:v>
      </x:c>
      <x:c r="CS21" s="954">
        <x:f t="shared" si="47"/>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8"/>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9"/>
        <x:v>0</x:v>
      </x:c>
      <x:c r="DO21" s="1049">
        <x:f t="shared" si="50"/>
        <x:v>0</x:v>
      </x:c>
      <x:c r="DP21" s="1053" t="str">
        <x:f t="shared" si="51"/>
        <x:v/>
      </x:c>
      <x:c r="DQ21" s="1053" t="str">
        <x:f t="shared" si="52"/>
        <x:v/>
      </x:c>
      <x:c r="DR21" s="1053" t="str">
        <x:f t="shared" si="53"/>
        <x:v/>
      </x:c>
      <x:c r="DS21" s="1052">
        <x:f t="shared" si="54"/>
        <x:v>0</x:v>
      </x:c>
      <x:c r="DT21" s="1052">
        <x:f t="shared" si="55"/>
        <x:v>0</x:v>
      </x:c>
      <x:c r="DU21" s="1052" t="str">
        <x:f t="shared" si="56"/>
        <x:v/>
      </x:c>
      <x:c r="DV21" s="1053" t="str">
        <x:f t="shared" si="57"/>
        <x:v/>
      </x:c>
      <x:c r="DW21" s="1053" t="str">
        <x:f t="shared" si="58"/>
        <x:v/>
      </x:c>
      <x:c r="DX21" s="1269">
        <x:f t="shared" si="59"/>
        <x:v>0</x:v>
      </x:c>
      <x:c r="DY21" s="1053">
        <x:f t="shared" si="60"/>
        <x:v>0</x:v>
      </x:c>
      <x:c r="DZ21" s="1052">
        <x:f t="shared" si="61"/>
        <x:v>0</x:v>
      </x:c>
      <x:c r="EA21" s="1052" t="str">
        <x:f t="shared" si="62"/>
        <x:v/>
      </x:c>
      <x:c r="EB21" s="1053" t="str">
        <x:f t="shared" si="63"/>
        <x:v/>
      </x:c>
      <x:c r="EC21" s="1053" t="str">
        <x:f t="shared" si="64"/>
        <x:v/>
      </x:c>
      <x:c r="ED21" s="1269">
        <x:f t="shared" si="65"/>
        <x:v>0</x:v>
      </x:c>
      <x:c r="EE21" s="1090" t="str">
        <x:f t="shared" si="66"/>
        <x:v/>
      </x:c>
      <x:c r="EF21" s="1053" t="str">
        <x:f t="shared" si="67"/>
        <x:v/>
      </x:c>
      <x:c r="EG21" s="1053" t="str">
        <x:f t="shared" si="68"/>
        <x:v/>
      </x:c>
      <x:c r="EH21" s="1053" t="str">
        <x:f t="shared" si="69"/>
        <x:v>ERR</x:v>
      </x:c>
      <x:c r="EI21" s="1053" t="str">
        <x:f t="shared" si="70"/>
        <x:v>ERR</x:v>
      </x:c>
      <x:c r="EJ21" s="1053" t="str">
        <x:f t="shared" si="71"/>
        <x:v/>
      </x:c>
      <x:c r="EK21" s="1053" t="str">
        <x:f t="shared" si="71"/>
        <x:v/>
      </x:c>
      <x:c r="EL21" s="1090" t="str">
        <x:f t="shared" si="72"/>
        <x:v/>
      </x:c>
      <x:c r="EM21" s="1053" t="str">
        <x:f t="shared" si="73"/>
        <x:v/>
      </x:c>
      <x:c r="EN21" s="1053" t="str">
        <x:f t="shared" si="74"/>
        <x:v/>
      </x:c>
      <x:c r="EO21" s="1053" t="str">
        <x:f t="shared" si="75"/>
        <x:v>ERR</x:v>
      </x:c>
      <x:c r="EP21" s="1053" t="str">
        <x:f t="shared" si="76"/>
        <x:v>ERR</x:v>
      </x:c>
      <x:c r="EQ21" s="1053" t="str">
        <x:f t="shared" si="77"/>
        <x:v/>
      </x:c>
      <x:c r="ER21" s="1053" t="str">
        <x:f t="shared" si="77"/>
        <x:v/>
      </x:c>
      <x:c r="ES21" s="1053" t="str">
        <x:f t="shared" si="78"/>
        <x:v/>
      </x:c>
      <x:c r="ET21" s="1053" t="str">
        <x:f t="shared" si="79"/>
        <x:v/>
      </x:c>
      <x:c r="EU21" s="1061">
        <x:f t="shared" si="80"/>
        <x:v>4</x:v>
      </x:c>
      <x:c r="EV21" s="1055" t="str">
        <x:f t="shared" si="81"/>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2"/>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3"/>
        <x:v/>
      </x:c>
      <x:c r="FD21" s="1052">
        <x:f t="shared" si="105"/>
        <x:v>0</x:v>
      </x:c>
      <x:c r="FE21" s="1052">
        <x:f t="shared" si="84"/>
        <x:v>0</x:v>
      </x:c>
      <x:c r="FF21" s="1052">
        <x:f t="shared" si="85"/>
        <x:v>0</x:v>
      </x:c>
      <x:c r="FG21" s="1052" t="str">
        <x:f t="shared" si="86"/>
        <x:v/>
      </x:c>
      <x:c r="FH21" s="1053" t="str">
        <x:f t="shared" si="87"/>
        <x:v/>
      </x:c>
      <x:c r="FI21" s="1052">
        <x:f t="shared" si="106"/>
        <x:v>0</x:v>
      </x:c>
      <x:c r="FJ21" s="1052">
        <x:f t="shared" si="88"/>
        <x:v>0</x:v>
      </x:c>
      <x:c r="FK21" s="1052">
        <x:f t="shared" si="89"/>
        <x:v>0</x:v>
      </x:c>
      <x:c r="FL21" s="1052" t="str">
        <x:f t="shared" si="90"/>
        <x:v/>
      </x:c>
      <x:c r="FM21" s="1053" t="str">
        <x:f t="shared" si="91"/>
        <x:v/>
      </x:c>
      <x:c r="FN21" s="1053" t="e">
        <x:f t="shared" si="92"/>
        <x:v>#VALUE!</x:v>
      </x:c>
      <x:c r="FO21" s="1062" t="e">
        <x:f t="shared" si="93"/>
        <x:v>#VALUE!</x:v>
      </x:c>
      <x:c r="FP21" s="1062" t="e">
        <x:f t="shared" si="94"/>
        <x:v>#VALUE!</x:v>
      </x:c>
      <x:c r="FQ21" s="1063" t="e">
        <x:f t="shared" si="95"/>
        <x:v>#VALUE!</x:v>
      </x:c>
      <x:c r="FR21" s="1064" t="e">
        <x:f t="shared" si="96"/>
        <x:v>#VALUE!</x:v>
      </x:c>
      <x:c r="FS21" s="1065" t="str">
        <x:f t="shared" si="97"/>
        <x:v/>
      </x:c>
      <x:c r="FT21" s="1066" t="str">
        <x:f t="shared" si="98"/>
        <x:v/>
      </x:c>
      <x:c r="FU21" s="1105">
        <x:f t="shared" si="99"/>
        <x:v>0</x:v>
      </x:c>
      <x:c r="FV21" s="1106">
        <x:f t="shared" si="100"/>
        <x:v>0</x:v>
      </x:c>
      <x:c r="GA21" s="1975">
        <x:v>60</x:v>
      </x:c>
      <x:c r="GB21" s="1976">
        <x:v>0</x:v>
      </x:c>
      <x:c r="GC21" s="1977">
        <x:v>-0.25</x:v>
      </x:c>
      <x:c r="GD21" s="1978">
        <x:v>-0.25</x:v>
      </x:c>
      <x:c r="GE21" s="1979">
        <x:v>0.25</x:v>
      </x:c>
      <x:c r="GF21" s="1980" t="str">
        <x:f t="shared" si="101"/>
        <x:v>TJ47</x:v>
      </x:c>
      <x:c r="GG21" s="1453"/>
      <x:c r="GH21" s="1454"/>
      <x:c r="GI21" s="1453"/>
      <x:c r="GJ21" s="1454"/>
      <x:c r="GK21" s="533">
        <x:f t="shared" si="102"/>
        <x:v>719.5</x:v>
      </x:c>
      <x:c r="GL21" s="534">
        <x:f t="shared" si="103"/>
        <x:v>719.65612455429505</x:v>
      </x:c>
      <x:c r="GM21" s="535">
        <x:f>IF(ABS(GK21-GL21)&gt;='Job Info.'!$L$22,ABS(GK21-GL21),0)</x:f>
        <x:v>0</x:v>
      </x:c>
      <x:c r="HA21" s="1658" t="s">
        <x:v>1371</x:v>
      </x:c>
      <x:c r="HB21" s="1659">
        <x:v>3</x:v>
      </x:c>
      <x:c r="HC21" s="1659" t="s">
        <x:v>1978</x:v>
      </x:c>
      <x:c r="HD21" s="1660">
        <x:v>59</x:v>
      </x:c>
      <x:c r="HE21" s="1661">
        <x:v>11.5</x:v>
      </x:c>
      <x:c r="HF21" s="1659">
        <x:v>0</x:v>
      </x:c>
      <x:c r="HG21" s="1659">
        <x:v>1.375</x:v>
      </x:c>
      <x:c r="HH21" s="1659" t="s">
        <x:v>114</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x:v>0</x:v>
      </x:c>
      <x:c r="HU21" s="1659">
        <x:v>2.25</x:v>
      </x:c>
      <x:c r="HV21" s="1659">
        <x:v>0</x:v>
      </x:c>
      <x:c r="HW21" s="1661">
        <x:v>2.25</x:v>
      </x:c>
      <x:c r="HX21" s="1661">
        <x:v>4</x:v>
      </x:c>
      <x:c r="HY21" s="1661" t="s">
        <x:v>117</x:v>
      </x:c>
      <x:c r="HZ21" s="1661" t="s">
        <x:v>117</x:v>
      </x:c>
      <x:c r="IA21" s="1661" t="s">
        <x:v>2096</x:v>
      </x:c>
      <x:c r="IB21" s="1661"/>
      <x:c r="IC21" s="1661"/>
      <x:c r="ID21" s="1661"/>
      <x:c r="IE21" s="1661"/>
      <x:c r="IF21" s="1663"/>
    </x:row>
    <x:row r="22" spans="1:240" ht="12.6" customHeight="1" x14ac:dyDescent="0.25">
      <x:c r="A22" s="1264" t="s">
        <x:v>1372</x:v>
      </x:c>
      <x:c r="B22" s="1265">
        <x:v>1</x:v>
      </x:c>
      <x:c r="C22" s="1265" t="s">
        <x:v>1978</x:v>
      </x:c>
      <x:c r="D22" s="1261">
        <x:v>59</x:v>
      </x:c>
      <x:c r="E22" s="1366">
        <x:v>10</x:v>
      </x:c>
      <x:c r="F22" s="1328">
        <x:v>0</x:v>
      </x:c>
      <x:c r="G22" s="1262">
        <x:v>0.625</x:v>
      </x:c>
      <x:c r="H22" s="1266" t="s">
        <x:v>114</x:v>
      </x:c>
      <x:c r="I22" s="1261">
        <x:v>0</x:v>
      </x:c>
      <x:c r="J22" s="1262">
        <x:v>0.625</x:v>
      </x:c>
      <x:c r="K22" s="1370" t="s">
        <x:v>114</x:v>
      </x:c>
      <x:c r="L22" s="1327">
        <x:v>3</x:v>
      </x:c>
      <x:c r="M22" s="1329">
        <x:v>3</x:v>
      </x:c>
      <x:c r="N22" s="1263">
        <x:v>0</x:v>
      </x:c>
      <x:c r="O22" s="1262">
        <x:v>5.375</x:v>
      </x:c>
      <x:c r="P22" s="1260">
        <x:v>2</x:v>
      </x:c>
      <x:c r="Q22" s="1261">
        <x:v>0</x:v>
      </x:c>
      <x:c r="R22" s="1262">
        <x:v>6.75</x:v>
      </x:c>
      <x:c r="S22" s="1375">
        <x:v>2</x:v>
      </x:c>
      <x:c r="T22" s="1328">
        <x:v>0</x:v>
      </x:c>
      <x:c r="U22" s="1262">
        <x:v>1.5</x:v>
      </x:c>
      <x:c r="V22" s="1261">
        <x:v>0</x:v>
      </x:c>
      <x:c r="W22" s="1262">
        <x:v>1.5</x:v>
      </x:c>
      <x:c r="X22" s="1329">
        <x:v>4</x:v>
      </x:c>
      <x:c r="Y22" s="1377" t="str">
        <x:f t="shared" si="12"/>
        <x:v/>
      </x:c>
      <x:c r="Z22" s="1378" t="str">
        <x:f t="shared" si="13"/>
        <x:v/>
      </x:c>
      <x:c r="AA22" s="2159" t="s">
        <x:v>2099</x:v>
      </x:c>
      <x:c r="AC22" s="1226" t="b">
        <x:v>0</x:v>
      </x:c>
      <x:c r="AD22" s="525">
        <x:f t="shared" si="14"/>
        <x:v>0</x:v>
      </x:c>
      <x:c r="AE22" s="526">
        <x:f t="shared" si="15"/>
        <x:v>1</x:v>
      </x:c>
      <x:c r="AF22" s="526">
        <x:f t="shared" si="16"/>
        <x:v>0</x:v>
      </x:c>
      <x:c r="AG22" s="526">
        <x:f t="shared" si="17"/>
        <x:v>0</x:v>
      </x:c>
      <x:c r="AH22" s="527">
        <x:f t="shared" si="18"/>
        <x:v>0</x:v>
      </x:c>
      <x:c r="AI22" s="528" t="b">
        <x:v>0</x:v>
      </x:c>
      <x:c r="AJ22" s="284">
        <x:f t="shared" si="19"/>
        <x:v>36</x:v>
      </x:c>
      <x:c r="AK22" s="1063" t="str">
        <x:f t="shared" si="20"/>
        <x:v>LH</x:v>
      </x:c>
      <x:c r="AL22" s="1202" t="str">
        <x:f t="shared" si="21"/>
        <x:v/>
      </x:c>
      <x:c r="AM22" s="1063">
        <x:f t="shared" si="22"/>
        <x:v>270</x:v>
      </x:c>
      <x:c r="AN22" s="1063">
        <x:f t="shared" si="23"/>
        <x:v>120</x:v>
      </x:c>
      <x:c r="AO22" s="1063" t="str">
        <x:f t="shared" si="24"/>
        <x:v/>
      </x:c>
      <x:c r="AP22" s="1063" t="b">
        <x:f>IF(ISERROR(AJ22),FALSE,IF(OR(AJ22=0,ISERROR(AL22),ISERROR(AM22),ISERROR(AN22),ISERROR(AO22)),FALSE,IF(AL22&lt;&gt;"",IF(ISERROR(VLOOKUP(SUBSTITUTE(SUBSTITUTE(C22,"R",""),"A",""),TblJoistSize!$A:$A,1,FALSE)),FALSE,TRUE),TRUE)))</x:f>
        <x:v>1</x:v>
      </x:c>
      <x:c r="AQ22" s="1305">
        <x:f t="shared" si="25"/>
        <x:v>6.625</x:v>
      </x:c>
      <x:c r="AR22" s="1305" t="b">
        <x:f t="shared" si="26"/>
        <x:v>1</x:v>
      </x:c>
      <x:c r="AS22" s="1305">
        <x:f t="shared" si="27"/>
        <x:v>6.625</x:v>
      </x:c>
      <x:c r="AT22" s="1305" t="b">
        <x:f t="shared" si="28"/>
        <x:v>1</x:v>
      </x:c>
      <x:c r="AU22" s="1203" t="str">
        <x:f t="shared" si="29"/>
        <x:v>LH</x:v>
      </x:c>
      <x:c r="AV22" s="1063" t="str">
        <x:f t="shared" si="30"/>
        <x:v/>
      </x:c>
      <x:c r="AW22" s="1063" t="str">
        <x:f t="shared" si="31"/>
        <x:v>LH</x:v>
      </x:c>
      <x:c r="AX22" s="1063" t="str">
        <x:f t="shared" si="104"/>
        <x:v>TJ48</x:v>
      </x:c>
      <x:c r="AY22" s="1306" t="b">
        <x:f t="shared" si="32"/>
        <x:v>0</x:v>
      </x:c>
      <x:c r="AZ22" s="1090" t="b">
        <x:f t="shared" si="33"/>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4"/>
        <x:v/>
      </x:c>
      <x:c r="CE22" s="935" t="str">
        <x:f t="shared" si="35"/>
        <x:v/>
      </x:c>
      <x:c r="CF22" s="1149"/>
      <x:c r="CG22" s="1150"/>
      <x:c r="CH22" s="738" t="str">
        <x:f t="shared" si="36"/>
        <x:v/>
      </x:c>
      <x:c r="CI22" s="739" t="str">
        <x:f t="shared" si="37"/>
        <x:v/>
      </x:c>
      <x:c r="CJ22" s="740" t="str">
        <x:f t="shared" si="38"/>
        <x:v/>
      </x:c>
      <x:c r="CK22" s="741" t="str">
        <x:f t="shared" si="39"/>
        <x:v/>
      </x:c>
      <x:c r="CL22" s="742" t="str">
        <x:f t="shared" si="40"/>
        <x:v/>
      </x:c>
      <x:c r="CM22" s="743" t="str">
        <x:f t="shared" si="41"/>
        <x:v/>
      </x:c>
      <x:c r="CN22" s="744" t="str">
        <x:f t="shared" si="42"/>
        <x:v/>
      </x:c>
      <x:c r="CO22" s="745" t="str">
        <x:f t="shared" si="43"/>
        <x:v/>
      </x:c>
      <x:c r="CP22" s="762" t="str">
        <x:f t="shared" si="44"/>
        <x:v/>
      </x:c>
      <x:c r="CQ22" s="763" t="str">
        <x:f t="shared" si="45"/>
        <x:v/>
      </x:c>
      <x:c r="CR22" s="953">
        <x:f t="shared" si="46"/>
        <x:v>5</x:v>
      </x:c>
      <x:c r="CS22" s="954">
        <x:f t="shared" si="47"/>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8"/>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9"/>
        <x:v>0</x:v>
      </x:c>
      <x:c r="DO22" s="1049">
        <x:f t="shared" si="50"/>
        <x:v>0</x:v>
      </x:c>
      <x:c r="DP22" s="1053" t="str">
        <x:f t="shared" si="51"/>
        <x:v/>
      </x:c>
      <x:c r="DQ22" s="1053" t="str">
        <x:f t="shared" si="52"/>
        <x:v/>
      </x:c>
      <x:c r="DR22" s="1053" t="str">
        <x:f t="shared" si="53"/>
        <x:v/>
      </x:c>
      <x:c r="DS22" s="1052">
        <x:f t="shared" si="54"/>
        <x:v>0</x:v>
      </x:c>
      <x:c r="DT22" s="1052">
        <x:f t="shared" si="55"/>
        <x:v>0</x:v>
      </x:c>
      <x:c r="DU22" s="1052" t="str">
        <x:f t="shared" si="56"/>
        <x:v/>
      </x:c>
      <x:c r="DV22" s="1053" t="str">
        <x:f t="shared" si="57"/>
        <x:v/>
      </x:c>
      <x:c r="DW22" s="1053" t="str">
        <x:f t="shared" si="58"/>
        <x:v/>
      </x:c>
      <x:c r="DX22" s="1269">
        <x:f t="shared" si="59"/>
        <x:v>0</x:v>
      </x:c>
      <x:c r="DY22" s="1053">
        <x:f t="shared" si="60"/>
        <x:v>0</x:v>
      </x:c>
      <x:c r="DZ22" s="1052">
        <x:f t="shared" si="61"/>
        <x:v>0</x:v>
      </x:c>
      <x:c r="EA22" s="1052" t="str">
        <x:f t="shared" si="62"/>
        <x:v/>
      </x:c>
      <x:c r="EB22" s="1053" t="str">
        <x:f t="shared" si="63"/>
        <x:v/>
      </x:c>
      <x:c r="EC22" s="1053" t="str">
        <x:f t="shared" si="64"/>
        <x:v/>
      </x:c>
      <x:c r="ED22" s="1269">
        <x:f t="shared" si="65"/>
        <x:v>0</x:v>
      </x:c>
      <x:c r="EE22" s="1090" t="str">
        <x:f t="shared" si="66"/>
        <x:v/>
      </x:c>
      <x:c r="EF22" s="1053" t="str">
        <x:f t="shared" si="67"/>
        <x:v/>
      </x:c>
      <x:c r="EG22" s="1053" t="str">
        <x:f t="shared" si="68"/>
        <x:v/>
      </x:c>
      <x:c r="EH22" s="1053" t="str">
        <x:f t="shared" si="69"/>
        <x:v>ERR</x:v>
      </x:c>
      <x:c r="EI22" s="1053" t="str">
        <x:f t="shared" si="70"/>
        <x:v>ERR</x:v>
      </x:c>
      <x:c r="EJ22" s="1053" t="str">
        <x:f t="shared" si="71"/>
        <x:v/>
      </x:c>
      <x:c r="EK22" s="1053" t="str">
        <x:f t="shared" si="71"/>
        <x:v/>
      </x:c>
      <x:c r="EL22" s="1090" t="str">
        <x:f t="shared" si="72"/>
        <x:v/>
      </x:c>
      <x:c r="EM22" s="1053" t="str">
        <x:f t="shared" si="73"/>
        <x:v/>
      </x:c>
      <x:c r="EN22" s="1053" t="str">
        <x:f t="shared" si="74"/>
        <x:v/>
      </x:c>
      <x:c r="EO22" s="1053" t="str">
        <x:f t="shared" si="75"/>
        <x:v>ERR</x:v>
      </x:c>
      <x:c r="EP22" s="1053" t="str">
        <x:f t="shared" si="76"/>
        <x:v>ERR</x:v>
      </x:c>
      <x:c r="EQ22" s="1053" t="str">
        <x:f t="shared" si="77"/>
        <x:v/>
      </x:c>
      <x:c r="ER22" s="1053" t="str">
        <x:f t="shared" si="77"/>
        <x:v/>
      </x:c>
      <x:c r="ES22" s="1053" t="str">
        <x:f t="shared" si="78"/>
        <x:v/>
      </x:c>
      <x:c r="ET22" s="1053" t="str">
        <x:f t="shared" si="79"/>
        <x:v/>
      </x:c>
      <x:c r="EU22" s="1061">
        <x:f t="shared" si="80"/>
        <x:v>4</x:v>
      </x:c>
      <x:c r="EV22" s="1055" t="str">
        <x:f t="shared" si="81"/>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2"/>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3"/>
        <x:v/>
      </x:c>
      <x:c r="FD22" s="1052">
        <x:f t="shared" si="105"/>
        <x:v>0</x:v>
      </x:c>
      <x:c r="FE22" s="1052">
        <x:f t="shared" si="84"/>
        <x:v>0</x:v>
      </x:c>
      <x:c r="FF22" s="1052">
        <x:f t="shared" si="85"/>
        <x:v>0</x:v>
      </x:c>
      <x:c r="FG22" s="1052" t="str">
        <x:f t="shared" si="86"/>
        <x:v/>
      </x:c>
      <x:c r="FH22" s="1053" t="str">
        <x:f t="shared" si="87"/>
        <x:v/>
      </x:c>
      <x:c r="FI22" s="1052">
        <x:f t="shared" si="106"/>
        <x:v>0</x:v>
      </x:c>
      <x:c r="FJ22" s="1052">
        <x:f t="shared" si="88"/>
        <x:v>0</x:v>
      </x:c>
      <x:c r="FK22" s="1052">
        <x:f t="shared" si="89"/>
        <x:v>0</x:v>
      </x:c>
      <x:c r="FL22" s="1052" t="str">
        <x:f t="shared" si="90"/>
        <x:v/>
      </x:c>
      <x:c r="FM22" s="1053" t="str">
        <x:f t="shared" si="91"/>
        <x:v/>
      </x:c>
      <x:c r="FN22" s="1053" t="e">
        <x:f t="shared" si="92"/>
        <x:v>#VALUE!</x:v>
      </x:c>
      <x:c r="FO22" s="1062" t="e">
        <x:f t="shared" si="93"/>
        <x:v>#VALUE!</x:v>
      </x:c>
      <x:c r="FP22" s="1062" t="e">
        <x:f t="shared" si="94"/>
        <x:v>#VALUE!</x:v>
      </x:c>
      <x:c r="FQ22" s="1063" t="e">
        <x:f t="shared" si="95"/>
        <x:v>#VALUE!</x:v>
      </x:c>
      <x:c r="FR22" s="1064" t="e">
        <x:f t="shared" si="96"/>
        <x:v>#VALUE!</x:v>
      </x:c>
      <x:c r="FS22" s="1065" t="str">
        <x:f t="shared" si="97"/>
        <x:v/>
      </x:c>
      <x:c r="FT22" s="1066" t="str">
        <x:f t="shared" si="98"/>
        <x:v/>
      </x:c>
      <x:c r="FU22" s="1105">
        <x:f t="shared" si="99"/>
        <x:v>0</x:v>
      </x:c>
      <x:c r="FV22" s="1106">
        <x:f t="shared" si="100"/>
        <x:v>0</x:v>
      </x:c>
      <x:c r="GA22" s="1975">
        <x:v>60</x:v>
      </x:c>
      <x:c r="GB22" s="1976">
        <x:v>0</x:v>
      </x:c>
      <x:c r="GC22" s="1977">
        <x:v>-1</x:v>
      </x:c>
      <x:c r="GD22" s="1978">
        <x:v>-1</x:v>
      </x:c>
      <x:c r="GE22" s="1979">
        <x:v>0.25</x:v>
      </x:c>
      <x:c r="GF22" s="1980" t="str">
        <x:f t="shared" si="101"/>
        <x:v>TJ48</x:v>
      </x:c>
      <x:c r="GG22" s="1453"/>
      <x:c r="GH22" s="1454"/>
      <x:c r="GI22" s="1453"/>
      <x:c r="GJ22" s="1454"/>
      <x:c r="GK22" s="533">
        <x:f t="shared" si="102"/>
        <x:v>718</x:v>
      </x:c>
      <x:c r="GL22" s="534">
        <x:f t="shared" si="103"/>
        <x:v>718.15579906877531</x:v>
      </x:c>
      <x:c r="GM22" s="535">
        <x:f>IF(ABS(GK22-GL22)&gt;='Job Info.'!$L$22,ABS(GK22-GL22),0)</x:f>
        <x:v>0</x:v>
      </x:c>
      <x:c r="HA22" s="1658" t="s">
        <x:v>1372</x:v>
      </x:c>
      <x:c r="HB22" s="1659">
        <x:v>2</x:v>
      </x:c>
      <x:c r="HC22" s="1659" t="s">
        <x:v>1978</x:v>
      </x:c>
      <x:c r="HD22" s="1660">
        <x:v>59</x:v>
      </x:c>
      <x:c r="HE22" s="1661">
        <x:v>10</x:v>
      </x:c>
      <x:c r="HF22" s="1659">
        <x:v>0</x:v>
      </x:c>
      <x:c r="HG22" s="1659">
        <x:v>0.625</x:v>
      </x:c>
      <x:c r="HH22" s="1659" t="s">
        <x:v>114</x:v>
      </x:c>
      <x:c r="HI22" s="1662">
        <x:v>0</x:v>
      </x:c>
      <x:c r="HJ22" s="1659">
        <x:v>0.625</x:v>
      </x:c>
      <x:c r="HK22" s="1659" t="s">
        <x:v>114</x:v>
      </x:c>
      <x:c r="HL22" s="1659">
        <x:v>3</x:v>
      </x:c>
      <x:c r="HM22" s="1659">
        <x:v>3</x:v>
      </x:c>
      <x:c r="HN22" s="1659">
        <x:v>0</x:v>
      </x:c>
      <x:c r="HO22" s="1659">
        <x:v>5.375</x:v>
      </x:c>
      <x:c r="HP22" s="1659">
        <x:v>2</x:v>
      </x:c>
      <x:c r="HQ22" s="1662">
        <x:v>0</x:v>
      </x:c>
      <x:c r="HR22" s="1659">
        <x:v>6.75</x:v>
      </x:c>
      <x:c r="HS22" s="1659">
        <x:v>2</x:v>
      </x:c>
      <x:c r="HT22" s="1659">
        <x:v>0</x:v>
      </x:c>
      <x:c r="HU22" s="1659">
        <x:v>1.5</x:v>
      </x:c>
      <x:c r="HV22" s="1659">
        <x:v>0</x:v>
      </x:c>
      <x:c r="HW22" s="1661">
        <x:v>1.5</x:v>
      </x:c>
      <x:c r="HX22" s="1661">
        <x:v>4</x:v>
      </x:c>
      <x:c r="HY22" s="1661" t="s">
        <x:v>117</x:v>
      </x:c>
      <x:c r="HZ22" s="1661" t="s">
        <x:v>117</x:v>
      </x:c>
      <x:c r="IA22" s="1661" t="s">
        <x:v>2099</x:v>
      </x:c>
      <x:c r="IB22" s="1661"/>
      <x:c r="IC22" s="1661"/>
      <x:c r="ID22" s="1661"/>
      <x:c r="IE22" s="1661"/>
      <x:c r="IF22" s="1663"/>
    </x:row>
    <x:row r="23" spans="1:240" ht="12.6" customHeight="1" x14ac:dyDescent="0.25">
      <x:c r="A23" s="1264" t="s">
        <x:v>1373</x:v>
      </x:c>
      <x:c r="B23" s="1265">
        <x:v>0</x:v>
      </x:c>
      <x:c r="C23" s="1265" t="s">
        <x:v>1979</x:v>
      </x:c>
      <x:c r="D23" s="1261">
        <x:v>49</x:v>
      </x:c>
      <x:c r="E23" s="1366">
        <x:v>11.5</x:v>
      </x:c>
      <x:c r="F23" s="1328">
        <x:v>0</x:v>
      </x:c>
      <x:c r="G23" s="1262">
        <x:v>1.375</x:v>
      </x:c>
      <x:c r="H23" s="1266" t="s">
        <x:v>114</x:v>
      </x:c>
      <x:c r="I23" s="1261">
        <x:v>0</x:v>
      </x:c>
      <x:c r="J23" s="1262">
        <x:v>1.375</x:v>
      </x:c>
      <x:c r="K23" s="1370" t="s">
        <x:v>114</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t="str">
        <x:f t="shared" si="7"/>
        <x:v/>
      </x:c>
      <x:c r="U23" s="1262" t="str">
        <x:f t="shared" si="8"/>
        <x:v/>
      </x:c>
      <x:c r="V23" s="1261" t="str">
        <x:f t="shared" si="9"/>
        <x:v/>
      </x:c>
      <x:c r="W23" s="1262" t="str">
        <x:f t="shared" si="10"/>
        <x:v/>
      </x:c>
      <x:c r="X23" s="1329">
        <x:f t="shared" si="11"/>
        <x:v>0</x:v>
      </x:c>
      <x:c r="Y23" s="1377" t="str">
        <x:f t="shared" si="12"/>
        <x:v/>
      </x:c>
      <x:c r="Z23" s="1378" t="str">
        <x:f t="shared" si="13"/>
        <x:v/>
      </x:c>
      <x:c r="AA23" s="2159" t="s">
        <x:v>2095</x:v>
      </x:c>
      <x:c r="AC23" s="1226" t="b">
        <x:v>0</x:v>
      </x:c>
      <x:c r="AD23" s="525">
        <x:f t="shared" si="14"/>
        <x:v>0</x:v>
      </x:c>
      <x:c r="AE23" s="526">
        <x:f t="shared" si="15"/>
        <x:v>0</x:v>
      </x:c>
      <x:c r="AF23" s="526">
        <x:f t="shared" si="16"/>
        <x:v>0</x:v>
      </x:c>
      <x:c r="AG23" s="526">
        <x:f t="shared" si="17"/>
        <x:v>0</x:v>
      </x:c>
      <x:c r="AH23" s="527">
        <x:f t="shared" si="18"/>
        <x:v>0</x:v>
      </x:c>
      <x:c r="AI23" s="528" t="b">
        <x:v>0</x:v>
      </x:c>
      <x:c r="AJ23" s="284">
        <x:f t="shared" si="19"/>
        <x:v>30</x:v>
      </x:c>
      <x:c r="AK23" s="1063" t="str">
        <x:f t="shared" si="20"/>
        <x:v>K</x:v>
      </x:c>
      <x:c r="AL23" s="1202" t="str">
        <x:f t="shared" si="21"/>
        <x:v/>
      </x:c>
      <x:c r="AM23" s="1063">
        <x:f t="shared" si="22"/>
        <x:v>240</x:v>
      </x:c>
      <x:c r="AN23" s="1063">
        <x:f t="shared" si="23"/>
        <x:v>140</x:v>
      </x:c>
      <x:c r="AO23" s="1063" t="str">
        <x:f t="shared" si="24"/>
        <x:v/>
      </x:c>
      <x:c r="AP23" s="1063" t="b">
        <x:f>IF(ISERROR(AJ23),FALSE,IF(OR(AJ23=0,ISERROR(AL23),ISERROR(AM23),ISERROR(AN23),ISERROR(AO23)),FALSE,IF(AL23&lt;&gt;"",IF(ISERROR(VLOOKUP(SUBSTITUTE(SUBSTITUTE(C23,"R",""),"A",""),TblJoistSize!$A:$A,1,FALSE)),FALSE,TRUE),TRUE)))</x:f>
        <x:v>1</x:v>
      </x:c>
      <x:c r="AQ23" s="1305">
        <x:f t="shared" si="25"/>
        <x:v>5.375</x:v>
      </x:c>
      <x:c r="AR23" s="1305" t="b">
        <x:f t="shared" si="26"/>
        <x:v>0</x:v>
      </x:c>
      <x:c r="AS23" s="1305">
        <x:f t="shared" si="27"/>
        <x:v>5.375</x:v>
      </x:c>
      <x:c r="AT23" s="1305" t="b">
        <x:f t="shared" si="28"/>
        <x:v>0</x:v>
      </x:c>
      <x:c r="AU23" s="1203" t="str">
        <x:f t="shared" si="29"/>
        <x:v>K</x:v>
      </x:c>
      <x:c r="AV23" s="1063" t="str">
        <x:f t="shared" si="30"/>
        <x:v>K</x:v>
      </x:c>
      <x:c r="AW23" s="1063" t="str">
        <x:f t="shared" si="31"/>
        <x:v/>
      </x:c>
      <x:c r="AX23" s="1063" t="str">
        <x:f t="shared" si="104"/>
        <x:v>J49</x:v>
      </x:c>
      <x:c r="AY23" s="1306" t="b">
        <x:f t="shared" si="32"/>
        <x:v>0</x:v>
      </x:c>
      <x:c r="AZ23" s="1090" t="b">
        <x:f t="shared" si="33"/>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4"/>
        <x:v/>
      </x:c>
      <x:c r="CE23" s="935" t="str">
        <x:f t="shared" si="35"/>
        <x:v/>
      </x:c>
      <x:c r="CF23" s="1149"/>
      <x:c r="CG23" s="1150"/>
      <x:c r="CH23" s="738" t="str">
        <x:f t="shared" si="36"/>
        <x:v/>
      </x:c>
      <x:c r="CI23" s="739" t="str">
        <x:f t="shared" si="37"/>
        <x:v/>
      </x:c>
      <x:c r="CJ23" s="740" t="str">
        <x:f t="shared" si="38"/>
        <x:v/>
      </x:c>
      <x:c r="CK23" s="741" t="str">
        <x:f t="shared" si="39"/>
        <x:v/>
      </x:c>
      <x:c r="CL23" s="742" t="str">
        <x:f t="shared" si="40"/>
        <x:v/>
      </x:c>
      <x:c r="CM23" s="743" t="str">
        <x:f t="shared" si="41"/>
        <x:v/>
      </x:c>
      <x:c r="CN23" s="744" t="str">
        <x:f t="shared" si="42"/>
        <x:v/>
      </x:c>
      <x:c r="CO23" s="745" t="str">
        <x:f t="shared" si="43"/>
        <x:v/>
      </x:c>
      <x:c r="CP23" s="762" t="str">
        <x:f t="shared" si="44"/>
        <x:v/>
      </x:c>
      <x:c r="CQ23" s="763" t="str">
        <x:f t="shared" si="45"/>
        <x:v/>
      </x:c>
      <x:c r="CR23" s="953">
        <x:f t="shared" si="46"/>
        <x:v>2.5</x:v>
      </x:c>
      <x:c r="CS23" s="954">
        <x:f t="shared" si="47"/>
        <x:v>2.5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8"/>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9"/>
        <x:v>0</x:v>
      </x:c>
      <x:c r="DO23" s="1049">
        <x:f t="shared" si="50"/>
        <x:v>0</x:v>
      </x:c>
      <x:c r="DP23" s="1053" t="str">
        <x:f t="shared" si="51"/>
        <x:v/>
      </x:c>
      <x:c r="DQ23" s="1053" t="str">
        <x:f t="shared" si="52"/>
        <x:v/>
      </x:c>
      <x:c r="DR23" s="1053" t="str">
        <x:f t="shared" si="53"/>
        <x:v/>
      </x:c>
      <x:c r="DS23" s="1052">
        <x:f t="shared" si="54"/>
        <x:v>0</x:v>
      </x:c>
      <x:c r="DT23" s="1052">
        <x:f t="shared" si="55"/>
        <x:v>0</x:v>
      </x:c>
      <x:c r="DU23" s="1052" t="str">
        <x:f t="shared" si="56"/>
        <x:v/>
      </x:c>
      <x:c r="DV23" s="1053" t="str">
        <x:f t="shared" si="57"/>
        <x:v/>
      </x:c>
      <x:c r="DW23" s="1053" t="str">
        <x:f t="shared" si="58"/>
        <x:v/>
      </x:c>
      <x:c r="DX23" s="1269">
        <x:f t="shared" si="59"/>
        <x:v>0</x:v>
      </x:c>
      <x:c r="DY23" s="1053">
        <x:f t="shared" si="60"/>
        <x:v>0</x:v>
      </x:c>
      <x:c r="DZ23" s="1052">
        <x:f t="shared" si="61"/>
        <x:v>0</x:v>
      </x:c>
      <x:c r="EA23" s="1052" t="str">
        <x:f t="shared" si="62"/>
        <x:v/>
      </x:c>
      <x:c r="EB23" s="1053" t="str">
        <x:f t="shared" si="63"/>
        <x:v/>
      </x:c>
      <x:c r="EC23" s="1053" t="str">
        <x:f t="shared" si="64"/>
        <x:v/>
      </x:c>
      <x:c r="ED23" s="1269">
        <x:f t="shared" si="65"/>
        <x:v>0</x:v>
      </x:c>
      <x:c r="EE23" s="1090" t="str">
        <x:f t="shared" si="66"/>
        <x:v/>
      </x:c>
      <x:c r="EF23" s="1053" t="str">
        <x:f t="shared" si="67"/>
        <x:v/>
      </x:c>
      <x:c r="EG23" s="1053" t="str">
        <x:f t="shared" si="68"/>
        <x:v/>
      </x:c>
      <x:c r="EH23" s="1053" t="str">
        <x:f t="shared" si="69"/>
        <x:v>ERR</x:v>
      </x:c>
      <x:c r="EI23" s="1053" t="str">
        <x:f t="shared" si="70"/>
        <x:v>ERR</x:v>
      </x:c>
      <x:c r="EJ23" s="1053" t="str">
        <x:f t="shared" si="71"/>
        <x:v/>
      </x:c>
      <x:c r="EK23" s="1053" t="str">
        <x:f t="shared" si="71"/>
        <x:v/>
      </x:c>
      <x:c r="EL23" s="1090" t="str">
        <x:f t="shared" si="72"/>
        <x:v/>
      </x:c>
      <x:c r="EM23" s="1053" t="str">
        <x:f t="shared" si="73"/>
        <x:v/>
      </x:c>
      <x:c r="EN23" s="1053" t="str">
        <x:f t="shared" si="74"/>
        <x:v/>
      </x:c>
      <x:c r="EO23" s="1053" t="str">
        <x:f t="shared" si="75"/>
        <x:v>ERR</x:v>
      </x:c>
      <x:c r="EP23" s="1053" t="str">
        <x:f t="shared" si="76"/>
        <x:v>ERR</x:v>
      </x:c>
      <x:c r="EQ23" s="1053" t="str">
        <x:f t="shared" si="77"/>
        <x:v/>
      </x:c>
      <x:c r="ER23" s="1053" t="str">
        <x:f t="shared" si="77"/>
        <x:v/>
      </x:c>
      <x:c r="ES23" s="1053" t="str">
        <x:f t="shared" si="78"/>
        <x:v/>
      </x:c>
      <x:c r="ET23" s="1053" t="str">
        <x:f t="shared" si="79"/>
        <x:v/>
      </x:c>
      <x:c r="EU23" s="1061">
        <x:f t="shared" si="80"/>
        <x:v>3.5</x:v>
      </x:c>
      <x:c r="EV23" s="1055" t="str">
        <x:f t="shared" si="81"/>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2"/>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3"/>
        <x:v/>
      </x:c>
      <x:c r="FD23" s="1052">
        <x:f t="shared" si="105"/>
        <x:v>0</x:v>
      </x:c>
      <x:c r="FE23" s="1052">
        <x:f t="shared" si="84"/>
        <x:v>0</x:v>
      </x:c>
      <x:c r="FF23" s="1052">
        <x:f t="shared" si="85"/>
        <x:v>0</x:v>
      </x:c>
      <x:c r="FG23" s="1052" t="str">
        <x:f t="shared" si="86"/>
        <x:v/>
      </x:c>
      <x:c r="FH23" s="1053" t="str">
        <x:f t="shared" si="87"/>
        <x:v/>
      </x:c>
      <x:c r="FI23" s="1052">
        <x:f t="shared" si="106"/>
        <x:v>0</x:v>
      </x:c>
      <x:c r="FJ23" s="1052">
        <x:f t="shared" si="88"/>
        <x:v>0</x:v>
      </x:c>
      <x:c r="FK23" s="1052">
        <x:f t="shared" si="89"/>
        <x:v>0</x:v>
      </x:c>
      <x:c r="FL23" s="1052" t="str">
        <x:f t="shared" si="90"/>
        <x:v/>
      </x:c>
      <x:c r="FM23" s="1053" t="str">
        <x:f t="shared" si="91"/>
        <x:v/>
      </x:c>
      <x:c r="FN23" s="1053" t="e">
        <x:f t="shared" si="92"/>
        <x:v>#VALUE!</x:v>
      </x:c>
      <x:c r="FO23" s="1062" t="e">
        <x:f t="shared" si="93"/>
        <x:v>#VALUE!</x:v>
      </x:c>
      <x:c r="FP23" s="1062" t="e">
        <x:f t="shared" si="94"/>
        <x:v>#VALUE!</x:v>
      </x:c>
      <x:c r="FQ23" s="1063" t="e">
        <x:f t="shared" si="95"/>
        <x:v>#VALUE!</x:v>
      </x:c>
      <x:c r="FR23" s="1064" t="e">
        <x:f t="shared" si="96"/>
        <x:v>#VALUE!</x:v>
      </x:c>
      <x:c r="FS23" s="1065" t="str">
        <x:f t="shared" si="97"/>
        <x:v/>
      </x:c>
      <x:c r="FT23" s="1066" t="str">
        <x:f t="shared" si="98"/>
        <x:v/>
      </x:c>
      <x:c r="FU23" s="1105">
        <x:f t="shared" si="99"/>
        <x:v>0</x:v>
      </x:c>
      <x:c r="FV23" s="1106">
        <x:f t="shared" si="100"/>
        <x:v>0</x:v>
      </x:c>
      <x:c r="GA23" s="1975">
        <x:v>50</x:v>
      </x:c>
      <x:c r="GB23" s="1976">
        <x:v>0</x:v>
      </x:c>
      <x:c r="GC23" s="1977">
        <x:v>-0.25</x:v>
      </x:c>
      <x:c r="GD23" s="1978">
        <x:v>-0.25</x:v>
      </x:c>
      <x:c r="GE23" s="1979">
        <x:v>0.26</x:v>
      </x:c>
      <x:c r="GF23" s="1980" t="str">
        <x:f t="shared" si="101"/>
        <x:v>J49</x:v>
      </x:c>
      <x:c r="GG23" s="1453"/>
      <x:c r="GH23" s="1454"/>
      <x:c r="GI23" s="1453"/>
      <x:c r="GJ23" s="1454"/>
      <x:c r="GK23" s="533">
        <x:f t="shared" si="102"/>
        <x:v>599.5</x:v>
      </x:c>
      <x:c r="GL23" s="534">
        <x:f t="shared" si="103"/>
        <x:v>599.6406994615146</x:v>
      </x:c>
      <x:c r="GM23" s="535">
        <x:f>IF(ABS(GK23-GL23)&gt;='Job Info.'!$L$22,ABS(GK23-GL23),0)</x:f>
        <x:v>0</x:v>
      </x:c>
      <x:c r="HA23" s="1658" t="s">
        <x:v>1373</x:v>
      </x:c>
      <x:c r="HB23" s="1659">
        <x:v>44</x:v>
      </x:c>
      <x:c r="HC23" s="1659" t="s">
        <x:v>1979</x:v>
      </x:c>
      <x:c r="HD23" s="1660">
        <x:v>49</x:v>
      </x:c>
      <x:c r="HE23" s="1661">
        <x:v>11.5</x:v>
      </x:c>
      <x:c r="HF23" s="1659">
        <x:v>0</x:v>
      </x:c>
      <x:c r="HG23" s="1659">
        <x:v>1.375</x:v>
      </x:c>
      <x:c r="HH23" s="1659" t="s">
        <x:v>114</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2095</x:v>
      </x:c>
      <x:c r="IB23" s="1661"/>
      <x:c r="IC23" s="1661"/>
      <x:c r="ID23" s="1661"/>
      <x:c r="IE23" s="1661"/>
      <x:c r="IF23" s="1663"/>
    </x:row>
    <x:row r="24" spans="1:240" ht="12.6" customHeight="1" x14ac:dyDescent="0.25">
      <x:c r="A24" s="1264" t="s">
        <x:v>1374</x:v>
      </x:c>
      <x:c r="B24" s="1265">
        <x:v>0</x:v>
      </x:c>
      <x:c r="C24" s="1265" t="s">
        <x:v>1979</x:v>
      </x:c>
      <x:c r="D24" s="1261">
        <x:v>49</x:v>
      </x:c>
      <x:c r="E24" s="1366">
        <x:v>11.5</x:v>
      </x:c>
      <x:c r="F24" s="1328">
        <x:v>0</x:v>
      </x:c>
      <x:c r="G24" s="1262">
        <x:v>1.375</x:v>
      </x:c>
      <x:c r="H24" s="1266" t="s">
        <x:v>114</x:v>
      </x:c>
      <x:c r="I24" s="1261">
        <x:v>0</x:v>
      </x:c>
      <x:c r="J24" s="1262">
        <x:v>1.375</x:v>
      </x:c>
      <x:c r="K24" s="1370" t="s">
        <x:v>114</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t="str">
        <x:f t="shared" si="7"/>
        <x:v/>
      </x:c>
      <x:c r="U24" s="1262" t="str">
        <x:f t="shared" si="8"/>
        <x:v/>
      </x:c>
      <x:c r="V24" s="1261" t="str">
        <x:f t="shared" si="9"/>
        <x:v/>
      </x:c>
      <x:c r="W24" s="1262" t="str">
        <x:f t="shared" si="10"/>
        <x:v/>
      </x:c>
      <x:c r="X24" s="1329">
        <x:f t="shared" si="11"/>
        <x:v>0</x:v>
      </x:c>
      <x:c r="Y24" s="1377" t="str">
        <x:f t="shared" si="12"/>
        <x:v/>
      </x:c>
      <x:c r="Z24" s="1378" t="str">
        <x:f t="shared" si="13"/>
        <x:v/>
      </x:c>
      <x:c r="AA24" s="2159" t="s">
        <x:v>2096</x:v>
      </x:c>
      <x:c r="AC24" s="1226" t="b">
        <x:v>0</x:v>
      </x:c>
      <x:c r="AD24" s="525">
        <x:f t="shared" si="14"/>
        <x:v>0</x:v>
      </x:c>
      <x:c r="AE24" s="526">
        <x:f t="shared" si="15"/>
        <x:v>0</x:v>
      </x:c>
      <x:c r="AF24" s="526">
        <x:f t="shared" si="16"/>
        <x:v>0</x:v>
      </x:c>
      <x:c r="AG24" s="526">
        <x:f t="shared" si="17"/>
        <x:v>0</x:v>
      </x:c>
      <x:c r="AH24" s="527">
        <x:f t="shared" si="18"/>
        <x:v>0</x:v>
      </x:c>
      <x:c r="AI24" s="528" t="b">
        <x:v>0</x:v>
      </x:c>
      <x:c r="AJ24" s="284">
        <x:f t="shared" si="19"/>
        <x:v>30</x:v>
      </x:c>
      <x:c r="AK24" s="1063" t="str">
        <x:f t="shared" si="20"/>
        <x:v>K</x:v>
      </x:c>
      <x:c r="AL24" s="1202" t="str">
        <x:f t="shared" si="21"/>
        <x:v/>
      </x:c>
      <x:c r="AM24" s="1063">
        <x:f t="shared" si="22"/>
        <x:v>240</x:v>
      </x:c>
      <x:c r="AN24" s="1063">
        <x:f t="shared" si="23"/>
        <x:v>140</x:v>
      </x:c>
      <x:c r="AO24" s="1063" t="str">
        <x:f t="shared" si="24"/>
        <x:v/>
      </x:c>
      <x:c r="AP24" s="1063" t="b">
        <x:f>IF(ISERROR(AJ24),FALSE,IF(OR(AJ24=0,ISERROR(AL24),ISERROR(AM24),ISERROR(AN24),ISERROR(AO24)),FALSE,IF(AL24&lt;&gt;"",IF(ISERROR(VLOOKUP(SUBSTITUTE(SUBSTITUTE(C24,"R",""),"A",""),TblJoistSize!$A:$A,1,FALSE)),FALSE,TRUE),TRUE)))</x:f>
        <x:v>1</x:v>
      </x:c>
      <x:c r="AQ24" s="1305">
        <x:f t="shared" si="25"/>
        <x:v>5.375</x:v>
      </x:c>
      <x:c r="AR24" s="1305" t="b">
        <x:f t="shared" si="26"/>
        <x:v>0</x:v>
      </x:c>
      <x:c r="AS24" s="1305">
        <x:f t="shared" si="27"/>
        <x:v>5.375</x:v>
      </x:c>
      <x:c r="AT24" s="1305" t="b">
        <x:f t="shared" si="28"/>
        <x:v>0</x:v>
      </x:c>
      <x:c r="AU24" s="1203" t="str">
        <x:f t="shared" si="29"/>
        <x:v>K</x:v>
      </x:c>
      <x:c r="AV24" s="1063" t="str">
        <x:f t="shared" si="30"/>
        <x:v>K</x:v>
      </x:c>
      <x:c r="AW24" s="1063" t="str">
        <x:f t="shared" si="31"/>
        <x:v/>
      </x:c>
      <x:c r="AX24" s="1063" t="str">
        <x:f t="shared" si="104"/>
        <x:v>J50</x:v>
      </x:c>
      <x:c r="AY24" s="1306" t="b">
        <x:f t="shared" si="32"/>
        <x:v>0</x:v>
      </x:c>
      <x:c r="AZ24" s="1090" t="b">
        <x:f t="shared" si="33"/>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4"/>
        <x:v/>
      </x:c>
      <x:c r="CE24" s="935" t="str">
        <x:f t="shared" si="35"/>
        <x:v/>
      </x:c>
      <x:c r="CF24" s="1149"/>
      <x:c r="CG24" s="1150"/>
      <x:c r="CH24" s="738" t="str">
        <x:f t="shared" si="36"/>
        <x:v/>
      </x:c>
      <x:c r="CI24" s="739" t="str">
        <x:f t="shared" si="37"/>
        <x:v/>
      </x:c>
      <x:c r="CJ24" s="740" t="str">
        <x:f t="shared" si="38"/>
        <x:v/>
      </x:c>
      <x:c r="CK24" s="741" t="str">
        <x:f t="shared" si="39"/>
        <x:v/>
      </x:c>
      <x:c r="CL24" s="742" t="str">
        <x:f t="shared" si="40"/>
        <x:v/>
      </x:c>
      <x:c r="CM24" s="743" t="str">
        <x:f t="shared" si="41"/>
        <x:v/>
      </x:c>
      <x:c r="CN24" s="744" t="str">
        <x:f t="shared" si="42"/>
        <x:v/>
      </x:c>
      <x:c r="CO24" s="745" t="str">
        <x:f t="shared" si="43"/>
        <x:v/>
      </x:c>
      <x:c r="CP24" s="762" t="str">
        <x:f t="shared" si="44"/>
        <x:v/>
      </x:c>
      <x:c r="CQ24" s="763" t="str">
        <x:f t="shared" si="45"/>
        <x:v/>
      </x:c>
      <x:c r="CR24" s="953">
        <x:f t="shared" si="46"/>
        <x:v>2.5</x:v>
      </x:c>
      <x:c r="CS24" s="954">
        <x:f t="shared" si="47"/>
        <x:v>2.5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8"/>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9"/>
        <x:v>0</x:v>
      </x:c>
      <x:c r="DO24" s="1049">
        <x:f t="shared" si="50"/>
        <x:v>0</x:v>
      </x:c>
      <x:c r="DP24" s="1053" t="str">
        <x:f t="shared" si="51"/>
        <x:v/>
      </x:c>
      <x:c r="DQ24" s="1053" t="str">
        <x:f t="shared" si="52"/>
        <x:v/>
      </x:c>
      <x:c r="DR24" s="1053" t="str">
        <x:f t="shared" si="53"/>
        <x:v/>
      </x:c>
      <x:c r="DS24" s="1052">
        <x:f t="shared" si="54"/>
        <x:v>0</x:v>
      </x:c>
      <x:c r="DT24" s="1052">
        <x:f t="shared" si="55"/>
        <x:v>0</x:v>
      </x:c>
      <x:c r="DU24" s="1052" t="str">
        <x:f t="shared" si="56"/>
        <x:v/>
      </x:c>
      <x:c r="DV24" s="1053" t="str">
        <x:f t="shared" si="57"/>
        <x:v/>
      </x:c>
      <x:c r="DW24" s="1053" t="str">
        <x:f t="shared" si="58"/>
        <x:v/>
      </x:c>
      <x:c r="DX24" s="1269">
        <x:f t="shared" si="59"/>
        <x:v>0</x:v>
      </x:c>
      <x:c r="DY24" s="1053">
        <x:f t="shared" si="60"/>
        <x:v>0</x:v>
      </x:c>
      <x:c r="DZ24" s="1052">
        <x:f t="shared" si="61"/>
        <x:v>0</x:v>
      </x:c>
      <x:c r="EA24" s="1052" t="str">
        <x:f t="shared" si="62"/>
        <x:v/>
      </x:c>
      <x:c r="EB24" s="1053" t="str">
        <x:f t="shared" si="63"/>
        <x:v/>
      </x:c>
      <x:c r="EC24" s="1053" t="str">
        <x:f t="shared" si="64"/>
        <x:v/>
      </x:c>
      <x:c r="ED24" s="1269">
        <x:f t="shared" si="65"/>
        <x:v>0</x:v>
      </x:c>
      <x:c r="EE24" s="1090" t="str">
        <x:f t="shared" si="66"/>
        <x:v/>
      </x:c>
      <x:c r="EF24" s="1053" t="str">
        <x:f t="shared" si="67"/>
        <x:v/>
      </x:c>
      <x:c r="EG24" s="1053" t="str">
        <x:f t="shared" si="68"/>
        <x:v/>
      </x:c>
      <x:c r="EH24" s="1053" t="str">
        <x:f t="shared" si="69"/>
        <x:v>ERR</x:v>
      </x:c>
      <x:c r="EI24" s="1053" t="str">
        <x:f t="shared" si="70"/>
        <x:v>ERR</x:v>
      </x:c>
      <x:c r="EJ24" s="1053" t="str">
        <x:f t="shared" si="71"/>
        <x:v/>
      </x:c>
      <x:c r="EK24" s="1053" t="str">
        <x:f t="shared" si="71"/>
        <x:v/>
      </x:c>
      <x:c r="EL24" s="1090" t="str">
        <x:f t="shared" si="72"/>
        <x:v/>
      </x:c>
      <x:c r="EM24" s="1053" t="str">
        <x:f t="shared" si="73"/>
        <x:v/>
      </x:c>
      <x:c r="EN24" s="1053" t="str">
        <x:f t="shared" si="74"/>
        <x:v/>
      </x:c>
      <x:c r="EO24" s="1053" t="str">
        <x:f t="shared" si="75"/>
        <x:v>ERR</x:v>
      </x:c>
      <x:c r="EP24" s="1053" t="str">
        <x:f t="shared" si="76"/>
        <x:v>ERR</x:v>
      </x:c>
      <x:c r="EQ24" s="1053" t="str">
        <x:f t="shared" si="77"/>
        <x:v/>
      </x:c>
      <x:c r="ER24" s="1053" t="str">
        <x:f t="shared" si="77"/>
        <x:v/>
      </x:c>
      <x:c r="ES24" s="1053" t="str">
        <x:f t="shared" si="78"/>
        <x:v/>
      </x:c>
      <x:c r="ET24" s="1053" t="str">
        <x:f t="shared" si="79"/>
        <x:v/>
      </x:c>
      <x:c r="EU24" s="1061">
        <x:f t="shared" si="80"/>
        <x:v>3.5</x:v>
      </x:c>
      <x:c r="EV24" s="1055" t="str">
        <x:f t="shared" si="81"/>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2"/>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3"/>
        <x:v/>
      </x:c>
      <x:c r="FD24" s="1052">
        <x:f t="shared" si="105"/>
        <x:v>0</x:v>
      </x:c>
      <x:c r="FE24" s="1052">
        <x:f t="shared" si="84"/>
        <x:v>0</x:v>
      </x:c>
      <x:c r="FF24" s="1052">
        <x:f t="shared" si="85"/>
        <x:v>0</x:v>
      </x:c>
      <x:c r="FG24" s="1052" t="str">
        <x:f t="shared" si="86"/>
        <x:v/>
      </x:c>
      <x:c r="FH24" s="1053" t="str">
        <x:f t="shared" si="87"/>
        <x:v/>
      </x:c>
      <x:c r="FI24" s="1052">
        <x:f t="shared" si="106"/>
        <x:v>0</x:v>
      </x:c>
      <x:c r="FJ24" s="1052">
        <x:f t="shared" si="88"/>
        <x:v>0</x:v>
      </x:c>
      <x:c r="FK24" s="1052">
        <x:f t="shared" si="89"/>
        <x:v>0</x:v>
      </x:c>
      <x:c r="FL24" s="1052" t="str">
        <x:f t="shared" si="90"/>
        <x:v/>
      </x:c>
      <x:c r="FM24" s="1053" t="str">
        <x:f t="shared" si="91"/>
        <x:v/>
      </x:c>
      <x:c r="FN24" s="1053" t="e">
        <x:f t="shared" si="92"/>
        <x:v>#VALUE!</x:v>
      </x:c>
      <x:c r="FO24" s="1062" t="e">
        <x:f t="shared" si="93"/>
        <x:v>#VALUE!</x:v>
      </x:c>
      <x:c r="FP24" s="1062" t="e">
        <x:f t="shared" si="94"/>
        <x:v>#VALUE!</x:v>
      </x:c>
      <x:c r="FQ24" s="1063" t="e">
        <x:f t="shared" si="95"/>
        <x:v>#VALUE!</x:v>
      </x:c>
      <x:c r="FR24" s="1064" t="e">
        <x:f t="shared" si="96"/>
        <x:v>#VALUE!</x:v>
      </x:c>
      <x:c r="FS24" s="1065" t="str">
        <x:f t="shared" si="97"/>
        <x:v/>
      </x:c>
      <x:c r="FT24" s="1066" t="str">
        <x:f t="shared" si="98"/>
        <x:v/>
      </x:c>
      <x:c r="FU24" s="1105">
        <x:f t="shared" si="99"/>
        <x:v>0</x:v>
      </x:c>
      <x:c r="FV24" s="1106">
        <x:f t="shared" si="100"/>
        <x:v>0</x:v>
      </x:c>
      <x:c r="GA24" s="1975">
        <x:v>50</x:v>
      </x:c>
      <x:c r="GB24" s="1976">
        <x:v>0</x:v>
      </x:c>
      <x:c r="GC24" s="1977">
        <x:v>-0.25</x:v>
      </x:c>
      <x:c r="GD24" s="1978">
        <x:v>-0.25</x:v>
      </x:c>
      <x:c r="GE24" s="1979">
        <x:v>0.26</x:v>
      </x:c>
      <x:c r="GF24" s="1980" t="str">
        <x:f t="shared" si="101"/>
        <x:v>J50</x:v>
      </x:c>
      <x:c r="GG24" s="1453"/>
      <x:c r="GH24" s="1454"/>
      <x:c r="GI24" s="1453"/>
      <x:c r="GJ24" s="1454"/>
      <x:c r="GK24" s="533">
        <x:f t="shared" si="102"/>
        <x:v>599.5</x:v>
      </x:c>
      <x:c r="GL24" s="534">
        <x:f t="shared" si="103"/>
        <x:v>599.6406994615146</x:v>
      </x:c>
      <x:c r="GM24" s="535">
        <x:f>IF(ABS(GK24-GL24)&gt;='Job Info.'!$L$22,ABS(GK24-GL24),0)</x:f>
        <x:v>0</x:v>
      </x:c>
      <x:c r="HA24" s="1658" t="s">
        <x:v>1374</x:v>
      </x:c>
      <x:c r="HB24" s="1659">
        <x:v>8</x:v>
      </x:c>
      <x:c r="HC24" s="1659" t="s">
        <x:v>1979</x:v>
      </x:c>
      <x:c r="HD24" s="1660">
        <x:v>49</x:v>
      </x:c>
      <x:c r="HE24" s="1661">
        <x:v>11.5</x:v>
      </x:c>
      <x:c r="HF24" s="1659">
        <x:v>0</x:v>
      </x:c>
      <x:c r="HG24" s="1659">
        <x:v>1.375</x:v>
      </x:c>
      <x:c r="HH24" s="1659" t="s">
        <x:v>114</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t="s">
        <x:v>117</x:v>
      </x:c>
      <x:c r="HZ24" s="1661" t="s">
        <x:v>117</x:v>
      </x:c>
      <x:c r="IA24" s="1661" t="s">
        <x:v>2096</x:v>
      </x:c>
      <x:c r="IB24" s="1661"/>
      <x:c r="IC24" s="1661"/>
      <x:c r="ID24" s="1661"/>
      <x:c r="IE24" s="1661"/>
      <x:c r="IF24" s="1663"/>
    </x:row>
    <x:row r="25" spans="1:240" ht="12.6" customHeight="1" x14ac:dyDescent="0.25">
      <x:c r="A25" s="1264" t="s">
        <x:v>1375</x:v>
      </x:c>
      <x:c r="B25" s="1265">
        <x:v>0</x:v>
      </x:c>
      <x:c r="C25" s="1265" t="s">
        <x:v>1979</x:v>
      </x:c>
      <x:c r="D25" s="1261">
        <x:v>49</x:v>
      </x:c>
      <x:c r="E25" s="1366">
        <x:v>11.5</x:v>
      </x:c>
      <x:c r="F25" s="1328">
        <x:v>0</x:v>
      </x:c>
      <x:c r="G25" s="1262">
        <x:v>1.375</x:v>
      </x:c>
      <x:c r="H25" s="1266" t="s">
        <x:v>114</x:v>
      </x:c>
      <x:c r="I25" s="1261">
        <x:v>0</x:v>
      </x:c>
      <x:c r="J25" s="1262">
        <x:v>1.375</x:v>
      </x:c>
      <x:c r="K25" s="1370"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x:v>0</x:v>
      </x:c>
      <x:c r="U25" s="1262">
        <x:v>2.25</x:v>
      </x:c>
      <x:c r="V25" s="1261">
        <x:v>0</x:v>
      </x:c>
      <x:c r="W25" s="1262">
        <x:v>2.25</x:v>
      </x:c>
      <x:c r="X25" s="1329">
        <x:v>4</x:v>
      </x:c>
      <x:c r="Y25" s="1377" t="str">
        <x:f t="shared" si="12"/>
        <x:v/>
      </x:c>
      <x:c r="Z25" s="1378" t="str">
        <x:f t="shared" si="13"/>
        <x:v/>
      </x:c>
      <x:c r="AA25" s="2159" t="s">
        <x:v>2095</x:v>
      </x:c>
      <x:c r="AC25" s="1226" t="b">
        <x:v>0</x:v>
      </x:c>
      <x:c r="AD25" s="525">
        <x:f t="shared" si="14"/>
        <x:v>0</x:v>
      </x:c>
      <x:c r="AE25" s="526">
        <x:f t="shared" si="15"/>
        <x:v>0</x:v>
      </x:c>
      <x:c r="AF25" s="526">
        <x:f t="shared" si="16"/>
        <x:v>0</x:v>
      </x:c>
      <x:c r="AG25" s="526">
        <x:f t="shared" si="17"/>
        <x:v>0</x:v>
      </x:c>
      <x:c r="AH25" s="527">
        <x:f t="shared" si="18"/>
        <x:v>0</x:v>
      </x:c>
      <x:c r="AI25" s="528" t="b">
        <x:v>0</x:v>
      </x:c>
      <x:c r="AJ25" s="284">
        <x:f t="shared" si="19"/>
        <x:v>30</x:v>
      </x:c>
      <x:c r="AK25" s="1063" t="str">
        <x:f t="shared" si="20"/>
        <x:v>K</x:v>
      </x:c>
      <x:c r="AL25" s="1202" t="str">
        <x:f t="shared" si="21"/>
        <x:v/>
      </x:c>
      <x:c r="AM25" s="1063">
        <x:f t="shared" si="22"/>
        <x:v>240</x:v>
      </x:c>
      <x:c r="AN25" s="1063">
        <x:f t="shared" si="23"/>
        <x:v>140</x:v>
      </x:c>
      <x:c r="AO25" s="1063" t="str">
        <x:f t="shared" si="24"/>
        <x:v/>
      </x:c>
      <x:c r="AP25" s="1063" t="b">
        <x:f>IF(ISERROR(AJ25),FALSE,IF(OR(AJ25=0,ISERROR(AL25),ISERROR(AM25),ISERROR(AN25),ISERROR(AO25)),FALSE,IF(AL25&lt;&gt;"",IF(ISERROR(VLOOKUP(SUBSTITUTE(SUBSTITUTE(C25,"R",""),"A",""),TblJoistSize!$A:$A,1,FALSE)),FALSE,TRUE),TRUE)))</x:f>
        <x:v>1</x:v>
      </x:c>
      <x:c r="AQ25" s="1305">
        <x:f t="shared" si="25"/>
        <x:v>5.375</x:v>
      </x:c>
      <x:c r="AR25" s="1305" t="b">
        <x:f t="shared" si="26"/>
        <x:v>1</x:v>
      </x:c>
      <x:c r="AS25" s="1305">
        <x:f t="shared" si="27"/>
        <x:v>5.375</x:v>
      </x:c>
      <x:c r="AT25" s="1305" t="b">
        <x:f t="shared" si="28"/>
        <x:v>1</x:v>
      </x:c>
      <x:c r="AU25" s="1203" t="str">
        <x:f t="shared" si="29"/>
        <x:v>K</x:v>
      </x:c>
      <x:c r="AV25" s="1063" t="str">
        <x:f t="shared" si="30"/>
        <x:v>K</x:v>
      </x:c>
      <x:c r="AW25" s="1063" t="str">
        <x:f t="shared" si="31"/>
        <x:v/>
      </x:c>
      <x:c r="AX25" s="1063" t="str">
        <x:f t="shared" si="104"/>
        <x:v>TJ51</x:v>
      </x:c>
      <x:c r="AY25" s="1306" t="b">
        <x:f t="shared" si="32"/>
        <x:v>0</x:v>
      </x:c>
      <x:c r="AZ25" s="1090" t="b">
        <x:f t="shared" si="33"/>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4"/>
        <x:v/>
      </x:c>
      <x:c r="CE25" s="935" t="str">
        <x:f t="shared" si="35"/>
        <x:v/>
      </x:c>
      <x:c r="CF25" s="1149"/>
      <x:c r="CG25" s="1150"/>
      <x:c r="CH25" s="738" t="str">
        <x:f t="shared" si="36"/>
        <x:v/>
      </x:c>
      <x:c r="CI25" s="739" t="str">
        <x:f t="shared" si="37"/>
        <x:v/>
      </x:c>
      <x:c r="CJ25" s="740" t="str">
        <x:f t="shared" si="38"/>
        <x:v/>
      </x:c>
      <x:c r="CK25" s="741" t="str">
        <x:f t="shared" si="39"/>
        <x:v/>
      </x:c>
      <x:c r="CL25" s="742" t="str">
        <x:f t="shared" si="40"/>
        <x:v/>
      </x:c>
      <x:c r="CM25" s="743" t="str">
        <x:f t="shared" si="41"/>
        <x:v/>
      </x:c>
      <x:c r="CN25" s="744" t="str">
        <x:f t="shared" si="42"/>
        <x:v/>
      </x:c>
      <x:c r="CO25" s="745" t="str">
        <x:f t="shared" si="43"/>
        <x:v/>
      </x:c>
      <x:c r="CP25" s="762" t="str">
        <x:f t="shared" si="44"/>
        <x:v/>
      </x:c>
      <x:c r="CQ25" s="763" t="str">
        <x:f t="shared" si="45"/>
        <x:v/>
      </x:c>
      <x:c r="CR25" s="953">
        <x:f t="shared" si="46"/>
        <x:v>2.5</x:v>
      </x:c>
      <x:c r="CS25" s="954">
        <x:f t="shared" si="47"/>
        <x:v>2.5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8"/>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9"/>
        <x:v>0</x:v>
      </x:c>
      <x:c r="DO25" s="1049">
        <x:f t="shared" si="50"/>
        <x:v>0</x:v>
      </x:c>
      <x:c r="DP25" s="1053" t="str">
        <x:f t="shared" si="51"/>
        <x:v/>
      </x:c>
      <x:c r="DQ25" s="1053" t="str">
        <x:f t="shared" si="52"/>
        <x:v/>
      </x:c>
      <x:c r="DR25" s="1053" t="str">
        <x:f t="shared" si="53"/>
        <x:v/>
      </x:c>
      <x:c r="DS25" s="1052">
        <x:f t="shared" si="54"/>
        <x:v>0</x:v>
      </x:c>
      <x:c r="DT25" s="1052">
        <x:f t="shared" si="55"/>
        <x:v>0</x:v>
      </x:c>
      <x:c r="DU25" s="1052" t="str">
        <x:f t="shared" si="56"/>
        <x:v/>
      </x:c>
      <x:c r="DV25" s="1053" t="str">
        <x:f t="shared" si="57"/>
        <x:v/>
      </x:c>
      <x:c r="DW25" s="1053" t="str">
        <x:f t="shared" si="58"/>
        <x:v/>
      </x:c>
      <x:c r="DX25" s="1269">
        <x:f t="shared" si="59"/>
        <x:v>0</x:v>
      </x:c>
      <x:c r="DY25" s="1053">
        <x:f t="shared" si="60"/>
        <x:v>0</x:v>
      </x:c>
      <x:c r="DZ25" s="1052">
        <x:f t="shared" si="61"/>
        <x:v>0</x:v>
      </x:c>
      <x:c r="EA25" s="1052" t="str">
        <x:f t="shared" si="62"/>
        <x:v/>
      </x:c>
      <x:c r="EB25" s="1053" t="str">
        <x:f t="shared" si="63"/>
        <x:v/>
      </x:c>
      <x:c r="EC25" s="1053" t="str">
        <x:f t="shared" si="64"/>
        <x:v/>
      </x:c>
      <x:c r="ED25" s="1269">
        <x:f t="shared" si="65"/>
        <x:v>0</x:v>
      </x:c>
      <x:c r="EE25" s="1090" t="str">
        <x:f t="shared" si="66"/>
        <x:v/>
      </x:c>
      <x:c r="EF25" s="1053" t="str">
        <x:f t="shared" si="67"/>
        <x:v/>
      </x:c>
      <x:c r="EG25" s="1053" t="str">
        <x:f t="shared" si="68"/>
        <x:v/>
      </x:c>
      <x:c r="EH25" s="1053" t="str">
        <x:f t="shared" si="69"/>
        <x:v>ERR</x:v>
      </x:c>
      <x:c r="EI25" s="1053" t="str">
        <x:f t="shared" si="70"/>
        <x:v>ERR</x:v>
      </x:c>
      <x:c r="EJ25" s="1053" t="str">
        <x:f t="shared" si="71"/>
        <x:v/>
      </x:c>
      <x:c r="EK25" s="1053" t="str">
        <x:f t="shared" si="71"/>
        <x:v/>
      </x:c>
      <x:c r="EL25" s="1090" t="str">
        <x:f t="shared" si="72"/>
        <x:v/>
      </x:c>
      <x:c r="EM25" s="1053" t="str">
        <x:f t="shared" si="73"/>
        <x:v/>
      </x:c>
      <x:c r="EN25" s="1053" t="str">
        <x:f t="shared" si="74"/>
        <x:v/>
      </x:c>
      <x:c r="EO25" s="1053" t="str">
        <x:f t="shared" si="75"/>
        <x:v>ERR</x:v>
      </x:c>
      <x:c r="EP25" s="1053" t="str">
        <x:f t="shared" si="76"/>
        <x:v>ERR</x:v>
      </x:c>
      <x:c r="EQ25" s="1053" t="str">
        <x:f t="shared" si="77"/>
        <x:v/>
      </x:c>
      <x:c r="ER25" s="1053" t="str">
        <x:f t="shared" si="77"/>
        <x:v/>
      </x:c>
      <x:c r="ES25" s="1053" t="str">
        <x:f t="shared" si="78"/>
        <x:v/>
      </x:c>
      <x:c r="ET25" s="1053" t="str">
        <x:f t="shared" si="79"/>
        <x:v/>
      </x:c>
      <x:c r="EU25" s="1061">
        <x:f t="shared" si="80"/>
        <x:v>3.5</x:v>
      </x:c>
      <x:c r="EV25" s="1055" t="str">
        <x:f t="shared" si="81"/>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2"/>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3"/>
        <x:v/>
      </x:c>
      <x:c r="FD25" s="1052">
        <x:f t="shared" si="105"/>
        <x:v>0</x:v>
      </x:c>
      <x:c r="FE25" s="1052">
        <x:f t="shared" si="84"/>
        <x:v>0</x:v>
      </x:c>
      <x:c r="FF25" s="1052">
        <x:f t="shared" si="85"/>
        <x:v>0</x:v>
      </x:c>
      <x:c r="FG25" s="1052" t="str">
        <x:f t="shared" si="86"/>
        <x:v/>
      </x:c>
      <x:c r="FH25" s="1053" t="str">
        <x:f t="shared" si="87"/>
        <x:v/>
      </x:c>
      <x:c r="FI25" s="1052">
        <x:f t="shared" si="106"/>
        <x:v>0</x:v>
      </x:c>
      <x:c r="FJ25" s="1052">
        <x:f t="shared" si="88"/>
        <x:v>0</x:v>
      </x:c>
      <x:c r="FK25" s="1052">
        <x:f t="shared" si="89"/>
        <x:v>0</x:v>
      </x:c>
      <x:c r="FL25" s="1052" t="str">
        <x:f t="shared" si="90"/>
        <x:v/>
      </x:c>
      <x:c r="FM25" s="1053" t="str">
        <x:f t="shared" si="91"/>
        <x:v/>
      </x:c>
      <x:c r="FN25" s="1053" t="e">
        <x:f t="shared" si="92"/>
        <x:v>#VALUE!</x:v>
      </x:c>
      <x:c r="FO25" s="1062" t="e">
        <x:f t="shared" si="93"/>
        <x:v>#VALUE!</x:v>
      </x:c>
      <x:c r="FP25" s="1062" t="e">
        <x:f t="shared" si="94"/>
        <x:v>#VALUE!</x:v>
      </x:c>
      <x:c r="FQ25" s="1063" t="e">
        <x:f t="shared" si="95"/>
        <x:v>#VALUE!</x:v>
      </x:c>
      <x:c r="FR25" s="1064" t="e">
        <x:f t="shared" si="96"/>
        <x:v>#VALUE!</x:v>
      </x:c>
      <x:c r="FS25" s="1065" t="str">
        <x:f t="shared" si="97"/>
        <x:v/>
      </x:c>
      <x:c r="FT25" s="1066" t="str">
        <x:f t="shared" si="98"/>
        <x:v/>
      </x:c>
      <x:c r="FU25" s="1105">
        <x:f t="shared" si="99"/>
        <x:v>0</x:v>
      </x:c>
      <x:c r="FV25" s="1106">
        <x:f t="shared" si="100"/>
        <x:v>0</x:v>
      </x:c>
      <x:c r="GA25" s="1975">
        <x:v>50</x:v>
      </x:c>
      <x:c r="GB25" s="1976">
        <x:v>0</x:v>
      </x:c>
      <x:c r="GC25" s="1977">
        <x:v>-0.25</x:v>
      </x:c>
      <x:c r="GD25" s="1978">
        <x:v>-0.25</x:v>
      </x:c>
      <x:c r="GE25" s="1979">
        <x:v>0.26</x:v>
      </x:c>
      <x:c r="GF25" s="1980" t="str">
        <x:f t="shared" si="101"/>
        <x:v>TJ51</x:v>
      </x:c>
      <x:c r="GG25" s="1453"/>
      <x:c r="GH25" s="1454"/>
      <x:c r="GI25" s="1453"/>
      <x:c r="GJ25" s="1454"/>
      <x:c r="GK25" s="533">
        <x:f t="shared" si="102"/>
        <x:v>599.5</x:v>
      </x:c>
      <x:c r="GL25" s="534">
        <x:f t="shared" si="103"/>
        <x:v>599.6406994615146</x:v>
      </x:c>
      <x:c r="GM25" s="535">
        <x:f>IF(ABS(GK25-GL25)&gt;='Job Info.'!$L$22,ABS(GK25-GL25),0)</x:f>
        <x:v>0</x:v>
      </x:c>
      <x:c r="HA25" s="1658" t="s">
        <x:v>1375</x:v>
      </x:c>
      <x:c r="HB25" s="1659">
        <x:v>10</x:v>
      </x:c>
      <x:c r="HC25" s="1659" t="s">
        <x:v>1979</x:v>
      </x:c>
      <x:c r="HD25" s="1660">
        <x:v>49</x:v>
      </x:c>
      <x:c r="HE25" s="1661">
        <x:v>11.5</x:v>
      </x:c>
      <x:c r="HF25" s="1659">
        <x:v>0</x:v>
      </x:c>
      <x:c r="HG25" s="1659">
        <x:v>1.375</x:v>
      </x:c>
      <x:c r="HH25" s="1659" t="s">
        <x:v>114</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x:v>0</x:v>
      </x:c>
      <x:c r="HU25" s="1659">
        <x:v>2.25</x:v>
      </x:c>
      <x:c r="HV25" s="1659">
        <x:v>0</x:v>
      </x:c>
      <x:c r="HW25" s="1661">
        <x:v>2.25</x:v>
      </x:c>
      <x:c r="HX25" s="1661">
        <x:v>4</x:v>
      </x:c>
      <x:c r="HY25" s="1661" t="s">
        <x:v>117</x:v>
      </x:c>
      <x:c r="HZ25" s="1661" t="s">
        <x:v>117</x:v>
      </x:c>
      <x:c r="IA25" s="1661" t="s">
        <x:v>2095</x:v>
      </x:c>
      <x:c r="IB25" s="1661"/>
      <x:c r="IC25" s="1661"/>
      <x:c r="ID25" s="1661"/>
      <x:c r="IE25" s="1661"/>
      <x:c r="IF25" s="1663"/>
    </x:row>
    <x:row r="26" spans="1:240" ht="12.6" customHeight="1" x14ac:dyDescent="0.25">
      <x:c r="A26" s="1264" t="s">
        <x:v>1376</x:v>
      </x:c>
      <x:c r="B26" s="1265">
        <x:v>0</x:v>
      </x:c>
      <x:c r="C26" s="1265" t="s">
        <x:v>1979</x:v>
      </x:c>
      <x:c r="D26" s="1261">
        <x:v>49</x:v>
      </x:c>
      <x:c r="E26" s="1366">
        <x:v>11.5</x:v>
      </x:c>
      <x:c r="F26" s="1328">
        <x:v>0</x:v>
      </x:c>
      <x:c r="G26" s="1262">
        <x:v>1.375</x:v>
      </x:c>
      <x:c r="H26" s="1266" t="s">
        <x:v>114</x:v>
      </x:c>
      <x:c r="I26" s="1261">
        <x:v>0</x:v>
      </x:c>
      <x:c r="J26" s="1262">
        <x:v>1.375</x:v>
      </x:c>
      <x:c r="K26" s="1370" t="s">
        <x:v>114</x:v>
      </x:c>
      <x:c r="L26" s="1327">
        <x:v>3</x:v>
      </x:c>
      <x:c r="M26" s="1329">
        <x:v>3</x:v>
      </x:c>
      <x:c r="N26" s="1263" t="str">
        <x:f t="shared" si="1"/>
        <x:v/>
      </x:c>
      <x:c r="O26" s="1262" t="str">
        <x:f t="shared" si="2"/>
        <x:v/>
      </x:c>
      <x:c r="P26" s="1260" t="str">
        <x:f t="shared" si="3"/>
        <x:v/>
      </x:c>
      <x:c r="Q26" s="1261" t="str">
        <x:f t="shared" si="4"/>
        <x:v/>
      </x:c>
      <x:c r="R26" s="1262" t="str">
        <x:f t="shared" si="5"/>
        <x:v/>
      </x:c>
      <x:c r="S26" s="1375" t="str">
        <x:f t="shared" si="6"/>
        <x:v/>
      </x:c>
      <x:c r="T26" s="1328" t="str">
        <x:f t="shared" si="7"/>
        <x:v/>
      </x:c>
      <x:c r="U26" s="1262" t="str">
        <x:f t="shared" si="8"/>
        <x:v/>
      </x:c>
      <x:c r="V26" s="1261" t="str">
        <x:f t="shared" si="9"/>
        <x:v/>
      </x:c>
      <x:c r="W26" s="1262" t="str">
        <x:f t="shared" si="10"/>
        <x:v/>
      </x:c>
      <x:c r="X26" s="1329">
        <x:f t="shared" si="11"/>
        <x:v>0</x:v>
      </x:c>
      <x:c r="Y26" s="1377" t="str">
        <x:f t="shared" si="12"/>
        <x:v/>
      </x:c>
      <x:c r="Z26" s="1378" t="str">
        <x:f t="shared" si="13"/>
        <x:v/>
      </x:c>
      <x:c r="AA26" s="2159" t="s">
        <x:v>2097</x:v>
      </x:c>
      <x:c r="AC26" s="1226" t="b">
        <x:v>0</x:v>
      </x:c>
      <x:c r="AD26" s="525">
        <x:f t="shared" si="14"/>
        <x:v>0</x:v>
      </x:c>
      <x:c r="AE26" s="526">
        <x:f t="shared" si="15"/>
        <x:v>0</x:v>
      </x:c>
      <x:c r="AF26" s="526">
        <x:f t="shared" si="16"/>
        <x:v>0</x:v>
      </x:c>
      <x:c r="AG26" s="526">
        <x:f t="shared" si="17"/>
        <x:v>0</x:v>
      </x:c>
      <x:c r="AH26" s="527">
        <x:f t="shared" si="18"/>
        <x:v>0</x:v>
      </x:c>
      <x:c r="AI26" s="528" t="b">
        <x:v>0</x:v>
      </x:c>
      <x:c r="AJ26" s="284">
        <x:f t="shared" si="19"/>
        <x:v>30</x:v>
      </x:c>
      <x:c r="AK26" s="1063" t="str">
        <x:f t="shared" si="20"/>
        <x:v>K</x:v>
      </x:c>
      <x:c r="AL26" s="1202" t="str">
        <x:f t="shared" si="21"/>
        <x:v/>
      </x:c>
      <x:c r="AM26" s="1063">
        <x:f t="shared" si="22"/>
        <x:v>240</x:v>
      </x:c>
      <x:c r="AN26" s="1063">
        <x:f t="shared" si="23"/>
        <x:v>140</x:v>
      </x:c>
      <x:c r="AO26" s="1063" t="str">
        <x:f t="shared" si="24"/>
        <x:v/>
      </x:c>
      <x:c r="AP26" s="1063" t="b">
        <x:f>IF(ISERROR(AJ26),FALSE,IF(OR(AJ26=0,ISERROR(AL26),ISERROR(AM26),ISERROR(AN26),ISERROR(AO26)),FALSE,IF(AL26&lt;&gt;"",IF(ISERROR(VLOOKUP(SUBSTITUTE(SUBSTITUTE(C26,"R",""),"A",""),TblJoistSize!$A:$A,1,FALSE)),FALSE,TRUE),TRUE)))</x:f>
        <x:v>1</x:v>
      </x:c>
      <x:c r="AQ26" s="1305">
        <x:f t="shared" si="25"/>
        <x:v>5.375</x:v>
      </x:c>
      <x:c r="AR26" s="1305" t="b">
        <x:f t="shared" si="26"/>
        <x:v>0</x:v>
      </x:c>
      <x:c r="AS26" s="1305">
        <x:f t="shared" si="27"/>
        <x:v>5.375</x:v>
      </x:c>
      <x:c r="AT26" s="1305" t="b">
        <x:f t="shared" si="28"/>
        <x:v>0</x:v>
      </x:c>
      <x:c r="AU26" s="1203" t="str">
        <x:f t="shared" si="29"/>
        <x:v>K</x:v>
      </x:c>
      <x:c r="AV26" s="1063" t="str">
        <x:f t="shared" si="30"/>
        <x:v>K</x:v>
      </x:c>
      <x:c r="AW26" s="1063" t="str">
        <x:f t="shared" si="31"/>
        <x:v/>
      </x:c>
      <x:c r="AX26" s="1063" t="str">
        <x:f t="shared" si="104"/>
        <x:v>J52</x:v>
      </x:c>
      <x:c r="AY26" s="1306" t="b">
        <x:f t="shared" si="32"/>
        <x:v>0</x:v>
      </x:c>
      <x:c r="AZ26" s="1090" t="b">
        <x:f t="shared" si="33"/>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4"/>
        <x:v/>
      </x:c>
      <x:c r="CE26" s="935" t="str">
        <x:f t="shared" si="35"/>
        <x:v/>
      </x:c>
      <x:c r="CF26" s="1149"/>
      <x:c r="CG26" s="1150"/>
      <x:c r="CH26" s="738" t="str">
        <x:f t="shared" si="36"/>
        <x:v/>
      </x:c>
      <x:c r="CI26" s="739" t="str">
        <x:f t="shared" si="37"/>
        <x:v/>
      </x:c>
      <x:c r="CJ26" s="740" t="str">
        <x:f t="shared" si="38"/>
        <x:v/>
      </x:c>
      <x:c r="CK26" s="741" t="str">
        <x:f t="shared" si="39"/>
        <x:v/>
      </x:c>
      <x:c r="CL26" s="742" t="str">
        <x:f t="shared" si="40"/>
        <x:v/>
      </x:c>
      <x:c r="CM26" s="743" t="str">
        <x:f t="shared" si="41"/>
        <x:v/>
      </x:c>
      <x:c r="CN26" s="744" t="str">
        <x:f t="shared" si="42"/>
        <x:v/>
      </x:c>
      <x:c r="CO26" s="745" t="str">
        <x:f t="shared" si="43"/>
        <x:v/>
      </x:c>
      <x:c r="CP26" s="762" t="str">
        <x:f t="shared" si="44"/>
        <x:v/>
      </x:c>
      <x:c r="CQ26" s="763" t="str">
        <x:f t="shared" si="45"/>
        <x:v/>
      </x:c>
      <x:c r="CR26" s="953">
        <x:f t="shared" si="46"/>
        <x:v>2.5</x:v>
      </x:c>
      <x:c r="CS26" s="954">
        <x:f t="shared" si="47"/>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8"/>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9"/>
        <x:v>0</x:v>
      </x:c>
      <x:c r="DO26" s="1049">
        <x:f t="shared" si="50"/>
        <x:v>0</x:v>
      </x:c>
      <x:c r="DP26" s="1053" t="str">
        <x:f t="shared" si="51"/>
        <x:v/>
      </x:c>
      <x:c r="DQ26" s="1053" t="str">
        <x:f t="shared" si="52"/>
        <x:v/>
      </x:c>
      <x:c r="DR26" s="1053" t="str">
        <x:f t="shared" si="53"/>
        <x:v/>
      </x:c>
      <x:c r="DS26" s="1052">
        <x:f t="shared" si="54"/>
        <x:v>0</x:v>
      </x:c>
      <x:c r="DT26" s="1052">
        <x:f t="shared" si="55"/>
        <x:v>0</x:v>
      </x:c>
      <x:c r="DU26" s="1052" t="str">
        <x:f t="shared" si="56"/>
        <x:v/>
      </x:c>
      <x:c r="DV26" s="1053" t="str">
        <x:f t="shared" si="57"/>
        <x:v/>
      </x:c>
      <x:c r="DW26" s="1053" t="str">
        <x:f t="shared" si="58"/>
        <x:v/>
      </x:c>
      <x:c r="DX26" s="1269">
        <x:f t="shared" si="59"/>
        <x:v>0</x:v>
      </x:c>
      <x:c r="DY26" s="1053">
        <x:f t="shared" si="60"/>
        <x:v>0</x:v>
      </x:c>
      <x:c r="DZ26" s="1052">
        <x:f t="shared" si="61"/>
        <x:v>0</x:v>
      </x:c>
      <x:c r="EA26" s="1052" t="str">
        <x:f t="shared" si="62"/>
        <x:v/>
      </x:c>
      <x:c r="EB26" s="1053" t="str">
        <x:f t="shared" si="63"/>
        <x:v/>
      </x:c>
      <x:c r="EC26" s="1053" t="str">
        <x:f t="shared" si="64"/>
        <x:v/>
      </x:c>
      <x:c r="ED26" s="1269">
        <x:f t="shared" si="65"/>
        <x:v>0</x:v>
      </x:c>
      <x:c r="EE26" s="1090" t="str">
        <x:f t="shared" si="66"/>
        <x:v/>
      </x:c>
      <x:c r="EF26" s="1053" t="str">
        <x:f t="shared" si="67"/>
        <x:v/>
      </x:c>
      <x:c r="EG26" s="1053" t="str">
        <x:f t="shared" si="68"/>
        <x:v/>
      </x:c>
      <x:c r="EH26" s="1053" t="str">
        <x:f t="shared" si="69"/>
        <x:v>ERR</x:v>
      </x:c>
      <x:c r="EI26" s="1053" t="str">
        <x:f t="shared" si="70"/>
        <x:v>ERR</x:v>
      </x:c>
      <x:c r="EJ26" s="1053" t="str">
        <x:f t="shared" si="71"/>
        <x:v/>
      </x:c>
      <x:c r="EK26" s="1053" t="str">
        <x:f t="shared" si="71"/>
        <x:v/>
      </x:c>
      <x:c r="EL26" s="1090" t="str">
        <x:f t="shared" si="72"/>
        <x:v/>
      </x:c>
      <x:c r="EM26" s="1053" t="str">
        <x:f t="shared" si="73"/>
        <x:v/>
      </x:c>
      <x:c r="EN26" s="1053" t="str">
        <x:f t="shared" si="74"/>
        <x:v/>
      </x:c>
      <x:c r="EO26" s="1053" t="str">
        <x:f t="shared" si="75"/>
        <x:v>ERR</x:v>
      </x:c>
      <x:c r="EP26" s="1053" t="str">
        <x:f t="shared" si="76"/>
        <x:v>ERR</x:v>
      </x:c>
      <x:c r="EQ26" s="1053" t="str">
        <x:f t="shared" si="77"/>
        <x:v/>
      </x:c>
      <x:c r="ER26" s="1053" t="str">
        <x:f t="shared" si="77"/>
        <x:v/>
      </x:c>
      <x:c r="ES26" s="1053" t="str">
        <x:f t="shared" si="78"/>
        <x:v/>
      </x:c>
      <x:c r="ET26" s="1053" t="str">
        <x:f t="shared" si="79"/>
        <x:v/>
      </x:c>
      <x:c r="EU26" s="1061">
        <x:f t="shared" si="80"/>
        <x:v>3.5</x:v>
      </x:c>
      <x:c r="EV26" s="1055" t="str">
        <x:f t="shared" si="81"/>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2"/>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3"/>
        <x:v/>
      </x:c>
      <x:c r="FD26" s="1052">
        <x:f t="shared" si="105"/>
        <x:v>0</x:v>
      </x:c>
      <x:c r="FE26" s="1052">
        <x:f t="shared" si="84"/>
        <x:v>0</x:v>
      </x:c>
      <x:c r="FF26" s="1052">
        <x:f t="shared" si="85"/>
        <x:v>0</x:v>
      </x:c>
      <x:c r="FG26" s="1052" t="str">
        <x:f t="shared" si="86"/>
        <x:v/>
      </x:c>
      <x:c r="FH26" s="1053" t="str">
        <x:f t="shared" si="87"/>
        <x:v/>
      </x:c>
      <x:c r="FI26" s="1052">
        <x:f t="shared" si="106"/>
        <x:v>0</x:v>
      </x:c>
      <x:c r="FJ26" s="1052">
        <x:f t="shared" si="88"/>
        <x:v>0</x:v>
      </x:c>
      <x:c r="FK26" s="1052">
        <x:f t="shared" si="89"/>
        <x:v>0</x:v>
      </x:c>
      <x:c r="FL26" s="1052" t="str">
        <x:f t="shared" si="90"/>
        <x:v/>
      </x:c>
      <x:c r="FM26" s="1053" t="str">
        <x:f t="shared" si="91"/>
        <x:v/>
      </x:c>
      <x:c r="FN26" s="1053" t="e">
        <x:f t="shared" si="92"/>
        <x:v>#VALUE!</x:v>
      </x:c>
      <x:c r="FO26" s="1062" t="e">
        <x:f t="shared" si="93"/>
        <x:v>#VALUE!</x:v>
      </x:c>
      <x:c r="FP26" s="1062" t="e">
        <x:f t="shared" si="94"/>
        <x:v>#VALUE!</x:v>
      </x:c>
      <x:c r="FQ26" s="1063" t="e">
        <x:f t="shared" si="95"/>
        <x:v>#VALUE!</x:v>
      </x:c>
      <x:c r="FR26" s="1064" t="e">
        <x:f t="shared" si="96"/>
        <x:v>#VALUE!</x:v>
      </x:c>
      <x:c r="FS26" s="1065" t="str">
        <x:f t="shared" si="97"/>
        <x:v/>
      </x:c>
      <x:c r="FT26" s="1066" t="str">
        <x:f t="shared" si="98"/>
        <x:v/>
      </x:c>
      <x:c r="FU26" s="1105">
        <x:f t="shared" si="99"/>
        <x:v>0</x:v>
      </x:c>
      <x:c r="FV26" s="1106">
        <x:f t="shared" si="100"/>
        <x:v>0</x:v>
      </x:c>
      <x:c r="GA26" s="1975">
        <x:v>50</x:v>
      </x:c>
      <x:c r="GB26" s="1976">
        <x:v>0</x:v>
      </x:c>
      <x:c r="GC26" s="1977">
        <x:v>-0.25</x:v>
      </x:c>
      <x:c r="GD26" s="1978">
        <x:v>-0.25</x:v>
      </x:c>
      <x:c r="GE26" s="1979">
        <x:v>0.26</x:v>
      </x:c>
      <x:c r="GF26" s="1980" t="str">
        <x:f t="shared" si="101"/>
        <x:v>J52</x:v>
      </x:c>
      <x:c r="GG26" s="1453"/>
      <x:c r="GH26" s="1454"/>
      <x:c r="GI26" s="1453"/>
      <x:c r="GJ26" s="1454"/>
      <x:c r="GK26" s="533">
        <x:f t="shared" si="102"/>
        <x:v>599.5</x:v>
      </x:c>
      <x:c r="GL26" s="534">
        <x:f t="shared" si="103"/>
        <x:v>599.6406994615146</x:v>
      </x:c>
      <x:c r="GM26" s="535">
        <x:f>IF(ABS(GK26-GL26)&gt;='Job Info.'!$L$22,ABS(GK26-GL26),0)</x:f>
        <x:v>0</x:v>
      </x:c>
      <x:c r="HA26" s="1658" t="s">
        <x:v>1376</x:v>
      </x:c>
      <x:c r="HB26" s="1659">
        <x:v>7</x:v>
      </x:c>
      <x:c r="HC26" s="1659" t="s">
        <x:v>1979</x:v>
      </x:c>
      <x:c r="HD26" s="1660">
        <x:v>49</x:v>
      </x:c>
      <x:c r="HE26" s="1661">
        <x:v>11.5</x:v>
      </x:c>
      <x:c r="HF26" s="1659">
        <x:v>0</x:v>
      </x:c>
      <x:c r="HG26" s="1659">
        <x:v>1.375</x:v>
      </x:c>
      <x:c r="HH26" s="1659" t="s">
        <x:v>114</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2097</x:v>
      </x:c>
      <x:c r="IB26" s="1661"/>
      <x:c r="IC26" s="1661"/>
      <x:c r="ID26" s="1661"/>
      <x:c r="IE26" s="1661"/>
      <x:c r="IF26" s="1663"/>
    </x:row>
    <x:row r="27" spans="1:240" ht="12.6" customHeight="1" x14ac:dyDescent="0.25">
      <x:c r="A27" s="1264" t="s">
        <x:v>1377</x:v>
      </x:c>
      <x:c r="B27" s="1265">
        <x:v>4</x:v>
      </x:c>
      <x:c r="C27" s="1265" t="s">
        <x:v>1979</x:v>
      </x:c>
      <x:c r="D27" s="1261">
        <x:v>49</x:v>
      </x:c>
      <x:c r="E27" s="1366">
        <x:v>10</x:v>
      </x:c>
      <x:c r="F27" s="1328">
        <x:v>0</x:v>
      </x:c>
      <x:c r="G27" s="1262">
        <x:v>0.625</x:v>
      </x:c>
      <x:c r="H27" s="1266" t="s">
        <x:v>114</x:v>
      </x:c>
      <x:c r="I27" s="1261">
        <x:v>0</x:v>
      </x:c>
      <x:c r="J27" s="1262">
        <x:v>0.625</x:v>
      </x:c>
      <x:c r="K27" s="1370" t="s">
        <x:v>114</x:v>
      </x:c>
      <x:c r="L27" s="1327">
        <x:v>3</x:v>
      </x:c>
      <x:c r="M27" s="1329">
        <x:v>3</x:v>
      </x:c>
      <x:c r="N27" s="1263">
        <x:v>0</x:v>
      </x:c>
      <x:c r="O27" s="1262">
        <x:v>5.375</x:v>
      </x:c>
      <x:c r="P27" s="1260">
        <x:v>2</x:v>
      </x:c>
      <x:c r="Q27" s="1261">
        <x:v>0</x:v>
      </x:c>
      <x:c r="R27" s="1262">
        <x:v>6.625</x:v>
      </x:c>
      <x:c r="S27" s="1375">
        <x:v>2</x:v>
      </x:c>
      <x:c r="T27" s="1328">
        <x:v>0</x:v>
      </x:c>
      <x:c r="U27" s="1262">
        <x:v>1.5</x:v>
      </x:c>
      <x:c r="V27" s="1261">
        <x:v>0</x:v>
      </x:c>
      <x:c r="W27" s="1262">
        <x:v>1.5</x:v>
      </x:c>
      <x:c r="X27" s="1329">
        <x:v>4</x:v>
      </x:c>
      <x:c r="Y27" s="1377" t="str">
        <x:f t="shared" si="12"/>
        <x:v/>
      </x:c>
      <x:c r="Z27" s="1378" t="str">
        <x:f t="shared" si="13"/>
        <x:v/>
      </x:c>
      <x:c r="AA27" s="2159" t="s">
        <x:v>2101</x:v>
      </x:c>
      <x:c r="AC27" s="1226" t="b">
        <x:v>0</x:v>
      </x:c>
      <x:c r="AD27" s="525">
        <x:f t="shared" si="14"/>
        <x:v>4</x:v>
      </x:c>
      <x:c r="AE27" s="526">
        <x:f t="shared" si="15"/>
        <x:v>0</x:v>
      </x:c>
      <x:c r="AF27" s="526">
        <x:f t="shared" si="16"/>
        <x:v>0</x:v>
      </x:c>
      <x:c r="AG27" s="526">
        <x:f t="shared" si="17"/>
        <x:v>0</x:v>
      </x:c>
      <x:c r="AH27" s="527">
        <x:f t="shared" si="18"/>
        <x:v>0</x:v>
      </x:c>
      <x:c r="AI27" s="528" t="b">
        <x:v>0</x:v>
      </x:c>
      <x:c r="AJ27" s="284">
        <x:f t="shared" si="19"/>
        <x:v>30</x:v>
      </x:c>
      <x:c r="AK27" s="1063" t="str">
        <x:f t="shared" si="20"/>
        <x:v>K</x:v>
      </x:c>
      <x:c r="AL27" s="1202" t="str">
        <x:f t="shared" si="21"/>
        <x:v/>
      </x:c>
      <x:c r="AM27" s="1063">
        <x:f t="shared" si="22"/>
        <x:v>240</x:v>
      </x:c>
      <x:c r="AN27" s="1063">
        <x:f t="shared" si="23"/>
        <x:v>140</x:v>
      </x:c>
      <x:c r="AO27" s="1063" t="str">
        <x:f t="shared" si="24"/>
        <x:v/>
      </x:c>
      <x:c r="AP27" s="1063" t="b">
        <x:f>IF(ISERROR(AJ27),FALSE,IF(OR(AJ27=0,ISERROR(AL27),ISERROR(AM27),ISERROR(AN27),ISERROR(AO27)),FALSE,IF(AL27&lt;&gt;"",IF(ISERROR(VLOOKUP(SUBSTITUTE(SUBSTITUTE(C27,"R",""),"A",""),TblJoistSize!$A:$A,1,FALSE)),FALSE,TRUE),TRUE)))</x:f>
        <x:v>1</x:v>
      </x:c>
      <x:c r="AQ27" s="1305">
        <x:f t="shared" si="25"/>
        <x:v>4.625</x:v>
      </x:c>
      <x:c r="AR27" s="1305" t="b">
        <x:f t="shared" si="26"/>
        <x:v>1</x:v>
      </x:c>
      <x:c r="AS27" s="1305">
        <x:f t="shared" si="27"/>
        <x:v>4.625</x:v>
      </x:c>
      <x:c r="AT27" s="1305" t="b">
        <x:f t="shared" si="28"/>
        <x:v>1</x:v>
      </x:c>
      <x:c r="AU27" s="1203" t="str">
        <x:f t="shared" si="29"/>
        <x:v>K</x:v>
      </x:c>
      <x:c r="AV27" s="1063" t="str">
        <x:f t="shared" si="30"/>
        <x:v>K</x:v>
      </x:c>
      <x:c r="AW27" s="1063" t="str">
        <x:f t="shared" si="31"/>
        <x:v/>
      </x:c>
      <x:c r="AX27" s="1063" t="str">
        <x:f t="shared" si="104"/>
        <x:v>TJ53</x:v>
      </x:c>
      <x:c r="AY27" s="1306" t="b">
        <x:f t="shared" si="32"/>
        <x:v>0</x:v>
      </x:c>
      <x:c r="AZ27" s="1090" t="b">
        <x:f t="shared" si="33"/>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4"/>
        <x:v/>
      </x:c>
      <x:c r="CE27" s="935" t="str">
        <x:f t="shared" si="35"/>
        <x:v/>
      </x:c>
      <x:c r="CF27" s="1149"/>
      <x:c r="CG27" s="1150"/>
      <x:c r="CH27" s="738" t="str">
        <x:f t="shared" si="36"/>
        <x:v/>
      </x:c>
      <x:c r="CI27" s="739" t="str">
        <x:f t="shared" si="37"/>
        <x:v/>
      </x:c>
      <x:c r="CJ27" s="740" t="str">
        <x:f t="shared" si="38"/>
        <x:v/>
      </x:c>
      <x:c r="CK27" s="741" t="str">
        <x:f t="shared" si="39"/>
        <x:v/>
      </x:c>
      <x:c r="CL27" s="742" t="str">
        <x:f t="shared" si="40"/>
        <x:v/>
      </x:c>
      <x:c r="CM27" s="743" t="str">
        <x:f t="shared" si="41"/>
        <x:v/>
      </x:c>
      <x:c r="CN27" s="744" t="str">
        <x:f t="shared" si="42"/>
        <x:v/>
      </x:c>
      <x:c r="CO27" s="745" t="str">
        <x:f t="shared" si="43"/>
        <x:v/>
      </x:c>
      <x:c r="CP27" s="762" t="str">
        <x:f t="shared" si="44"/>
        <x:v/>
      </x:c>
      <x:c r="CQ27" s="763" t="str">
        <x:f t="shared" si="45"/>
        <x:v/>
      </x:c>
      <x:c r="CR27" s="953">
        <x:f t="shared" si="46"/>
        <x:v>2.5</x:v>
      </x:c>
      <x:c r="CS27" s="954">
        <x:f t="shared" si="47"/>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8"/>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9"/>
        <x:v>0</x:v>
      </x:c>
      <x:c r="DO27" s="1049">
        <x:f t="shared" si="50"/>
        <x:v>0</x:v>
      </x:c>
      <x:c r="DP27" s="1053" t="str">
        <x:f t="shared" si="51"/>
        <x:v/>
      </x:c>
      <x:c r="DQ27" s="1053" t="str">
        <x:f t="shared" si="52"/>
        <x:v/>
      </x:c>
      <x:c r="DR27" s="1053" t="str">
        <x:f t="shared" si="53"/>
        <x:v/>
      </x:c>
      <x:c r="DS27" s="1052">
        <x:f t="shared" si="54"/>
        <x:v>0</x:v>
      </x:c>
      <x:c r="DT27" s="1052">
        <x:f t="shared" si="55"/>
        <x:v>0</x:v>
      </x:c>
      <x:c r="DU27" s="1052" t="str">
        <x:f t="shared" si="56"/>
        <x:v/>
      </x:c>
      <x:c r="DV27" s="1053" t="str">
        <x:f t="shared" si="57"/>
        <x:v/>
      </x:c>
      <x:c r="DW27" s="1053" t="str">
        <x:f t="shared" si="58"/>
        <x:v/>
      </x:c>
      <x:c r="DX27" s="1269">
        <x:f t="shared" si="59"/>
        <x:v>0</x:v>
      </x:c>
      <x:c r="DY27" s="1053">
        <x:f t="shared" si="60"/>
        <x:v>0</x:v>
      </x:c>
      <x:c r="DZ27" s="1052">
        <x:f t="shared" si="61"/>
        <x:v>0</x:v>
      </x:c>
      <x:c r="EA27" s="1052" t="str">
        <x:f t="shared" si="62"/>
        <x:v/>
      </x:c>
      <x:c r="EB27" s="1053" t="str">
        <x:f t="shared" si="63"/>
        <x:v/>
      </x:c>
      <x:c r="EC27" s="1053" t="str">
        <x:f t="shared" si="64"/>
        <x:v/>
      </x:c>
      <x:c r="ED27" s="1269">
        <x:f t="shared" si="65"/>
        <x:v>0</x:v>
      </x:c>
      <x:c r="EE27" s="1090" t="str">
        <x:f t="shared" si="66"/>
        <x:v/>
      </x:c>
      <x:c r="EF27" s="1053" t="str">
        <x:f t="shared" si="67"/>
        <x:v/>
      </x:c>
      <x:c r="EG27" s="1053" t="str">
        <x:f t="shared" si="68"/>
        <x:v/>
      </x:c>
      <x:c r="EH27" s="1053" t="str">
        <x:f t="shared" si="69"/>
        <x:v>ERR</x:v>
      </x:c>
      <x:c r="EI27" s="1053" t="str">
        <x:f t="shared" si="70"/>
        <x:v>ERR</x:v>
      </x:c>
      <x:c r="EJ27" s="1053" t="str">
        <x:f t="shared" si="71"/>
        <x:v/>
      </x:c>
      <x:c r="EK27" s="1053" t="str">
        <x:f t="shared" si="71"/>
        <x:v/>
      </x:c>
      <x:c r="EL27" s="1090" t="str">
        <x:f t="shared" si="72"/>
        <x:v/>
      </x:c>
      <x:c r="EM27" s="1053" t="str">
        <x:f t="shared" si="73"/>
        <x:v/>
      </x:c>
      <x:c r="EN27" s="1053" t="str">
        <x:f t="shared" si="74"/>
        <x:v/>
      </x:c>
      <x:c r="EO27" s="1053" t="str">
        <x:f t="shared" si="75"/>
        <x:v>ERR</x:v>
      </x:c>
      <x:c r="EP27" s="1053" t="str">
        <x:f t="shared" si="76"/>
        <x:v>ERR</x:v>
      </x:c>
      <x:c r="EQ27" s="1053" t="str">
        <x:f t="shared" si="77"/>
        <x:v/>
      </x:c>
      <x:c r="ER27" s="1053" t="str">
        <x:f t="shared" si="77"/>
        <x:v/>
      </x:c>
      <x:c r="ES27" s="1053" t="str">
        <x:f t="shared" si="78"/>
        <x:v/>
      </x:c>
      <x:c r="ET27" s="1053" t="str">
        <x:f t="shared" si="79"/>
        <x:v/>
      </x:c>
      <x:c r="EU27" s="1061">
        <x:f t="shared" si="80"/>
        <x:v>3.5</x:v>
      </x:c>
      <x:c r="EV27" s="1055" t="str">
        <x:f t="shared" si="81"/>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2"/>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3"/>
        <x:v/>
      </x:c>
      <x:c r="FD27" s="1052">
        <x:f t="shared" si="105"/>
        <x:v>0</x:v>
      </x:c>
      <x:c r="FE27" s="1052">
        <x:f t="shared" si="84"/>
        <x:v>0</x:v>
      </x:c>
      <x:c r="FF27" s="1052">
        <x:f t="shared" si="85"/>
        <x:v>0</x:v>
      </x:c>
      <x:c r="FG27" s="1052" t="str">
        <x:f t="shared" si="86"/>
        <x:v/>
      </x:c>
      <x:c r="FH27" s="1053" t="str">
        <x:f t="shared" si="87"/>
        <x:v/>
      </x:c>
      <x:c r="FI27" s="1052">
        <x:f t="shared" si="106"/>
        <x:v>0</x:v>
      </x:c>
      <x:c r="FJ27" s="1052">
        <x:f t="shared" si="88"/>
        <x:v>0</x:v>
      </x:c>
      <x:c r="FK27" s="1052">
        <x:f t="shared" si="89"/>
        <x:v>0</x:v>
      </x:c>
      <x:c r="FL27" s="1052" t="str">
        <x:f t="shared" si="90"/>
        <x:v/>
      </x:c>
      <x:c r="FM27" s="1053" t="str">
        <x:f t="shared" si="91"/>
        <x:v/>
      </x:c>
      <x:c r="FN27" s="1053" t="e">
        <x:f t="shared" si="92"/>
        <x:v>#VALUE!</x:v>
      </x:c>
      <x:c r="FO27" s="1062" t="e">
        <x:f t="shared" si="93"/>
        <x:v>#VALUE!</x:v>
      </x:c>
      <x:c r="FP27" s="1062" t="e">
        <x:f t="shared" si="94"/>
        <x:v>#VALUE!</x:v>
      </x:c>
      <x:c r="FQ27" s="1063" t="e">
        <x:f t="shared" si="95"/>
        <x:v>#VALUE!</x:v>
      </x:c>
      <x:c r="FR27" s="1064" t="e">
        <x:f t="shared" si="96"/>
        <x:v>#VALUE!</x:v>
      </x:c>
      <x:c r="FS27" s="1065" t="str">
        <x:f t="shared" si="97"/>
        <x:v/>
      </x:c>
      <x:c r="FT27" s="1066" t="str">
        <x:f t="shared" si="98"/>
        <x:v/>
      </x:c>
      <x:c r="FU27" s="1105">
        <x:f t="shared" si="99"/>
        <x:v>0</x:v>
      </x:c>
      <x:c r="FV27" s="1106">
        <x:f t="shared" si="100"/>
        <x:v>0</x:v>
      </x:c>
      <x:c r="GA27" s="1975">
        <x:v>50</x:v>
      </x:c>
      <x:c r="GB27" s="1976">
        <x:v>0</x:v>
      </x:c>
      <x:c r="GC27" s="1977">
        <x:v>-1</x:v>
      </x:c>
      <x:c r="GD27" s="1978">
        <x:v>-1</x:v>
      </x:c>
      <x:c r="GE27" s="1979">
        <x:v>0.26</x:v>
      </x:c>
      <x:c r="GF27" s="1980" t="str">
        <x:f t="shared" si="101"/>
        <x:v>TJ53</x:v>
      </x:c>
      <x:c r="GG27" s="1453"/>
      <x:c r="GH27" s="1454"/>
      <x:c r="GI27" s="1453"/>
      <x:c r="GJ27" s="1454"/>
      <x:c r="GK27" s="533">
        <x:f t="shared" si="102"/>
        <x:v>598</x:v>
      </x:c>
      <x:c r="GL27" s="534">
        <x:f t="shared" si="103"/>
        <x:v>598.1403474194924</x:v>
      </x:c>
      <x:c r="GM27" s="535">
        <x:f>IF(ABS(GK27-GL27)&gt;='Job Info.'!$L$22,ABS(GK27-GL27),0)</x:f>
        <x:v>0</x:v>
      </x:c>
      <x:c r="HA27" s="1658" t="s">
        <x:v>1377</x:v>
      </x:c>
      <x:c r="HB27" s="1659">
        <x:v>7</x:v>
      </x:c>
      <x:c r="HC27" s="1659" t="s">
        <x:v>1979</x:v>
      </x:c>
      <x:c r="HD27" s="1660">
        <x:v>49</x:v>
      </x:c>
      <x:c r="HE27" s="1661">
        <x:v>10</x:v>
      </x:c>
      <x:c r="HF27" s="1659">
        <x:v>0</x:v>
      </x:c>
      <x:c r="HG27" s="1659">
        <x:v>0.625</x:v>
      </x:c>
      <x:c r="HH27" s="1659" t="s">
        <x:v>114</x:v>
      </x:c>
      <x:c r="HI27" s="1662">
        <x:v>0</x:v>
      </x:c>
      <x:c r="HJ27" s="1659">
        <x:v>0.625</x:v>
      </x:c>
      <x:c r="HK27" s="1659" t="s">
        <x:v>114</x:v>
      </x:c>
      <x:c r="HL27" s="1659">
        <x:v>3</x:v>
      </x:c>
      <x:c r="HM27" s="1659">
        <x:v>3</x:v>
      </x:c>
      <x:c r="HN27" s="1659">
        <x:v>0</x:v>
      </x:c>
      <x:c r="HO27" s="1659">
        <x:v>5.375</x:v>
      </x:c>
      <x:c r="HP27" s="1659">
        <x:v>2</x:v>
      </x:c>
      <x:c r="HQ27" s="1662">
        <x:v>0</x:v>
      </x:c>
      <x:c r="HR27" s="1659">
        <x:v>6.625</x:v>
      </x:c>
      <x:c r="HS27" s="1659">
        <x:v>2</x:v>
      </x:c>
      <x:c r="HT27" s="1659">
        <x:v>0</x:v>
      </x:c>
      <x:c r="HU27" s="1659">
        <x:v>1.5</x:v>
      </x:c>
      <x:c r="HV27" s="1659">
        <x:v>0</x:v>
      </x:c>
      <x:c r="HW27" s="1661">
        <x:v>1.5</x:v>
      </x:c>
      <x:c r="HX27" s="1661">
        <x:v>4</x:v>
      </x:c>
      <x:c r="HY27" s="1661" t="s">
        <x:v>117</x:v>
      </x:c>
      <x:c r="HZ27" s="1661" t="s">
        <x:v>117</x:v>
      </x:c>
      <x:c r="IA27" s="1661" t="s">
        <x:v>2101</x:v>
      </x:c>
      <x:c r="IB27" s="1661"/>
      <x:c r="IC27" s="1661"/>
      <x:c r="ID27" s="1661"/>
      <x:c r="IE27" s="1661"/>
      <x:c r="IF27" s="1663"/>
    </x:row>
    <x:row r="28" spans="1:240" ht="12.6" customHeight="1" x14ac:dyDescent="0.25">
      <x:c r="A28" s="1264" t="s">
        <x:v>1378</x:v>
      </x:c>
      <x:c r="B28" s="1265">
        <x:v>0</x:v>
      </x:c>
      <x:c r="C28" s="1265" t="s">
        <x:v>1979</x:v>
      </x:c>
      <x:c r="D28" s="1261">
        <x:v>49</x:v>
      </x:c>
      <x:c r="E28" s="1366">
        <x:v>11.5</x:v>
      </x:c>
      <x:c r="F28" s="1328">
        <x:v>0</x:v>
      </x:c>
      <x:c r="G28" s="1262">
        <x:v>1.375</x:v>
      </x:c>
      <x:c r="H28" s="1266" t="s">
        <x:v>114</x:v>
      </x:c>
      <x:c r="I28" s="1261">
        <x:v>0</x:v>
      </x:c>
      <x:c r="J28" s="1262">
        <x:v>1.375</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x:v>0</x:v>
      </x:c>
      <x:c r="U28" s="1262">
        <x:v>2.25</x:v>
      </x:c>
      <x:c r="V28" s="1261">
        <x:v>0</x:v>
      </x:c>
      <x:c r="W28" s="1262">
        <x:v>2.25</x:v>
      </x:c>
      <x:c r="X28" s="1329">
        <x:v>4</x:v>
      </x:c>
      <x:c r="Y28" s="1377" t="str">
        <x:f t="shared" si="12"/>
        <x:v/>
      </x:c>
      <x:c r="Z28" s="1378" t="str">
        <x:f t="shared" si="13"/>
        <x:v/>
      </x:c>
      <x:c r="AA28" s="2159" t="s">
        <x:v>2096</x:v>
      </x:c>
      <x:c r="AC28" s="1226" t="b">
        <x:v>0</x:v>
      </x:c>
      <x:c r="AD28" s="525">
        <x:f t="shared" si="14"/>
        <x:v>0</x:v>
      </x:c>
      <x:c r="AE28" s="526">
        <x:f t="shared" si="15"/>
        <x:v>0</x:v>
      </x:c>
      <x:c r="AF28" s="526">
        <x:f t="shared" si="16"/>
        <x:v>0</x:v>
      </x:c>
      <x:c r="AG28" s="526">
        <x:f t="shared" si="17"/>
        <x:v>0</x:v>
      </x:c>
      <x:c r="AH28" s="527">
        <x:f t="shared" si="18"/>
        <x:v>0</x:v>
      </x:c>
      <x:c r="AI28" s="528" t="b">
        <x:v>0</x:v>
      </x:c>
      <x:c r="AJ28" s="284">
        <x:f t="shared" si="19"/>
        <x:v>30</x:v>
      </x:c>
      <x:c r="AK28" s="1063" t="str">
        <x:f t="shared" si="20"/>
        <x:v>K</x:v>
      </x:c>
      <x:c r="AL28" s="1202" t="str">
        <x:f t="shared" si="21"/>
        <x:v/>
      </x:c>
      <x:c r="AM28" s="1063">
        <x:f t="shared" si="22"/>
        <x:v>240</x:v>
      </x:c>
      <x:c r="AN28" s="1063">
        <x:f t="shared" si="23"/>
        <x:v>140</x:v>
      </x:c>
      <x:c r="AO28" s="1063" t="str">
        <x:f t="shared" si="24"/>
        <x:v/>
      </x:c>
      <x:c r="AP28" s="1063" t="b">
        <x:f>IF(ISERROR(AJ28),FALSE,IF(OR(AJ28=0,ISERROR(AL28),ISERROR(AM28),ISERROR(AN28),ISERROR(AO28)),FALSE,IF(AL28&lt;&gt;"",IF(ISERROR(VLOOKUP(SUBSTITUTE(SUBSTITUTE(C28,"R",""),"A",""),TblJoistSize!$A:$A,1,FALSE)),FALSE,TRUE),TRUE)))</x:f>
        <x:v>1</x:v>
      </x:c>
      <x:c r="AQ28" s="1305">
        <x:f t="shared" si="25"/>
        <x:v>5.375</x:v>
      </x:c>
      <x:c r="AR28" s="1305" t="b">
        <x:f t="shared" si="26"/>
        <x:v>1</x:v>
      </x:c>
      <x:c r="AS28" s="1305">
        <x:f t="shared" si="27"/>
        <x:v>5.375</x:v>
      </x:c>
      <x:c r="AT28" s="1305" t="b">
        <x:f t="shared" si="28"/>
        <x:v>1</x:v>
      </x:c>
      <x:c r="AU28" s="1203" t="str">
        <x:f t="shared" si="29"/>
        <x:v>K</x:v>
      </x:c>
      <x:c r="AV28" s="1063" t="str">
        <x:f t="shared" si="30"/>
        <x:v>K</x:v>
      </x:c>
      <x:c r="AW28" s="1063" t="str">
        <x:f t="shared" si="31"/>
        <x:v/>
      </x:c>
      <x:c r="AX28" s="1063" t="str">
        <x:f t="shared" si="104"/>
        <x:v>TJ54</x:v>
      </x:c>
      <x:c r="AY28" s="1306" t="b">
        <x:f t="shared" si="32"/>
        <x:v>0</x:v>
      </x:c>
      <x:c r="AZ28" s="1090" t="b">
        <x:f t="shared" si="33"/>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4"/>
        <x:v/>
      </x:c>
      <x:c r="CE28" s="935" t="str">
        <x:f t="shared" si="35"/>
        <x:v/>
      </x:c>
      <x:c r="CF28" s="1149"/>
      <x:c r="CG28" s="1150"/>
      <x:c r="CH28" s="738" t="str">
        <x:f t="shared" si="36"/>
        <x:v/>
      </x:c>
      <x:c r="CI28" s="739" t="str">
        <x:f t="shared" si="37"/>
        <x:v/>
      </x:c>
      <x:c r="CJ28" s="740" t="str">
        <x:f t="shared" si="38"/>
        <x:v/>
      </x:c>
      <x:c r="CK28" s="741" t="str">
        <x:f t="shared" si="39"/>
        <x:v/>
      </x:c>
      <x:c r="CL28" s="742" t="str">
        <x:f t="shared" si="40"/>
        <x:v/>
      </x:c>
      <x:c r="CM28" s="743" t="str">
        <x:f t="shared" si="41"/>
        <x:v/>
      </x:c>
      <x:c r="CN28" s="744" t="str">
        <x:f t="shared" si="42"/>
        <x:v/>
      </x:c>
      <x:c r="CO28" s="745" t="str">
        <x:f t="shared" si="43"/>
        <x:v/>
      </x:c>
      <x:c r="CP28" s="762" t="str">
        <x:f t="shared" si="44"/>
        <x:v/>
      </x:c>
      <x:c r="CQ28" s="763" t="str">
        <x:f t="shared" si="45"/>
        <x:v/>
      </x:c>
      <x:c r="CR28" s="953">
        <x:f t="shared" si="46"/>
        <x:v>2.5</x:v>
      </x:c>
      <x:c r="CS28" s="954">
        <x:f t="shared" si="47"/>
        <x:v>2.5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8"/>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9"/>
        <x:v>0</x:v>
      </x:c>
      <x:c r="DO28" s="1049">
        <x:f t="shared" si="50"/>
        <x:v>0</x:v>
      </x:c>
      <x:c r="DP28" s="1053" t="str">
        <x:f t="shared" si="51"/>
        <x:v/>
      </x:c>
      <x:c r="DQ28" s="1053" t="str">
        <x:f t="shared" si="52"/>
        <x:v/>
      </x:c>
      <x:c r="DR28" s="1053" t="str">
        <x:f t="shared" si="53"/>
        <x:v/>
      </x:c>
      <x:c r="DS28" s="1052">
        <x:f t="shared" si="54"/>
        <x:v>0</x:v>
      </x:c>
      <x:c r="DT28" s="1052">
        <x:f t="shared" si="55"/>
        <x:v>0</x:v>
      </x:c>
      <x:c r="DU28" s="1052" t="str">
        <x:f t="shared" si="56"/>
        <x:v/>
      </x:c>
      <x:c r="DV28" s="1053" t="str">
        <x:f t="shared" si="57"/>
        <x:v/>
      </x:c>
      <x:c r="DW28" s="1053" t="str">
        <x:f t="shared" si="58"/>
        <x:v/>
      </x:c>
      <x:c r="DX28" s="1269">
        <x:f t="shared" si="59"/>
        <x:v>0</x:v>
      </x:c>
      <x:c r="DY28" s="1053">
        <x:f t="shared" si="60"/>
        <x:v>0</x:v>
      </x:c>
      <x:c r="DZ28" s="1052">
        <x:f t="shared" si="61"/>
        <x:v>0</x:v>
      </x:c>
      <x:c r="EA28" s="1052" t="str">
        <x:f t="shared" si="62"/>
        <x:v/>
      </x:c>
      <x:c r="EB28" s="1053" t="str">
        <x:f t="shared" si="63"/>
        <x:v/>
      </x:c>
      <x:c r="EC28" s="1053" t="str">
        <x:f t="shared" si="64"/>
        <x:v/>
      </x:c>
      <x:c r="ED28" s="1269">
        <x:f t="shared" si="65"/>
        <x:v>0</x:v>
      </x:c>
      <x:c r="EE28" s="1090" t="str">
        <x:f t="shared" si="66"/>
        <x:v/>
      </x:c>
      <x:c r="EF28" s="1053" t="str">
        <x:f t="shared" si="67"/>
        <x:v/>
      </x:c>
      <x:c r="EG28" s="1053" t="str">
        <x:f t="shared" si="68"/>
        <x:v/>
      </x:c>
      <x:c r="EH28" s="1053" t="str">
        <x:f t="shared" si="69"/>
        <x:v>ERR</x:v>
      </x:c>
      <x:c r="EI28" s="1053" t="str">
        <x:f t="shared" si="70"/>
        <x:v>ERR</x:v>
      </x:c>
      <x:c r="EJ28" s="1053" t="str">
        <x:f t="shared" si="71"/>
        <x:v/>
      </x:c>
      <x:c r="EK28" s="1053" t="str">
        <x:f t="shared" si="71"/>
        <x:v/>
      </x:c>
      <x:c r="EL28" s="1090" t="str">
        <x:f t="shared" si="72"/>
        <x:v/>
      </x:c>
      <x:c r="EM28" s="1053" t="str">
        <x:f t="shared" si="73"/>
        <x:v/>
      </x:c>
      <x:c r="EN28" s="1053" t="str">
        <x:f t="shared" si="74"/>
        <x:v/>
      </x:c>
      <x:c r="EO28" s="1053" t="str">
        <x:f t="shared" si="75"/>
        <x:v>ERR</x:v>
      </x:c>
      <x:c r="EP28" s="1053" t="str">
        <x:f t="shared" si="76"/>
        <x:v>ERR</x:v>
      </x:c>
      <x:c r="EQ28" s="1053" t="str">
        <x:f t="shared" si="77"/>
        <x:v/>
      </x:c>
      <x:c r="ER28" s="1053" t="str">
        <x:f t="shared" si="77"/>
        <x:v/>
      </x:c>
      <x:c r="ES28" s="1053" t="str">
        <x:f t="shared" si="78"/>
        <x:v/>
      </x:c>
      <x:c r="ET28" s="1053" t="str">
        <x:f t="shared" si="79"/>
        <x:v/>
      </x:c>
      <x:c r="EU28" s="1061">
        <x:f t="shared" si="80"/>
        <x:v>3.5</x:v>
      </x:c>
      <x:c r="EV28" s="1055" t="str">
        <x:f t="shared" si="81"/>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2"/>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3"/>
        <x:v/>
      </x:c>
      <x:c r="FD28" s="1052">
        <x:f t="shared" si="105"/>
        <x:v>0</x:v>
      </x:c>
      <x:c r="FE28" s="1052">
        <x:f t="shared" si="84"/>
        <x:v>0</x:v>
      </x:c>
      <x:c r="FF28" s="1052">
        <x:f t="shared" si="85"/>
        <x:v>0</x:v>
      </x:c>
      <x:c r="FG28" s="1052" t="str">
        <x:f t="shared" si="86"/>
        <x:v/>
      </x:c>
      <x:c r="FH28" s="1053" t="str">
        <x:f t="shared" si="87"/>
        <x:v/>
      </x:c>
      <x:c r="FI28" s="1052">
        <x:f t="shared" si="106"/>
        <x:v>0</x:v>
      </x:c>
      <x:c r="FJ28" s="1052">
        <x:f t="shared" si="88"/>
        <x:v>0</x:v>
      </x:c>
      <x:c r="FK28" s="1052">
        <x:f t="shared" si="89"/>
        <x:v>0</x:v>
      </x:c>
      <x:c r="FL28" s="1052" t="str">
        <x:f t="shared" si="90"/>
        <x:v/>
      </x:c>
      <x:c r="FM28" s="1053" t="str">
        <x:f t="shared" si="91"/>
        <x:v/>
      </x:c>
      <x:c r="FN28" s="1053" t="e">
        <x:f t="shared" si="92"/>
        <x:v>#VALUE!</x:v>
      </x:c>
      <x:c r="FO28" s="1062" t="e">
        <x:f t="shared" si="93"/>
        <x:v>#VALUE!</x:v>
      </x:c>
      <x:c r="FP28" s="1062" t="e">
        <x:f t="shared" si="94"/>
        <x:v>#VALUE!</x:v>
      </x:c>
      <x:c r="FQ28" s="1063" t="e">
        <x:f t="shared" si="95"/>
        <x:v>#VALUE!</x:v>
      </x:c>
      <x:c r="FR28" s="1064" t="e">
        <x:f t="shared" si="96"/>
        <x:v>#VALUE!</x:v>
      </x:c>
      <x:c r="FS28" s="1065" t="str">
        <x:f t="shared" si="97"/>
        <x:v/>
      </x:c>
      <x:c r="FT28" s="1066" t="str">
        <x:f t="shared" si="98"/>
        <x:v/>
      </x:c>
      <x:c r="FU28" s="1105">
        <x:f t="shared" si="99"/>
        <x:v>0</x:v>
      </x:c>
      <x:c r="FV28" s="1106">
        <x:f t="shared" si="100"/>
        <x:v>0</x:v>
      </x:c>
      <x:c r="GA28" s="1975">
        <x:v>50</x:v>
      </x:c>
      <x:c r="GB28" s="1976">
        <x:v>0</x:v>
      </x:c>
      <x:c r="GC28" s="1977">
        <x:v>-0.25</x:v>
      </x:c>
      <x:c r="GD28" s="1978">
        <x:v>-0.25</x:v>
      </x:c>
      <x:c r="GE28" s="1979">
        <x:v>0.26</x:v>
      </x:c>
      <x:c r="GF28" s="1980" t="str">
        <x:f t="shared" si="101"/>
        <x:v>TJ54</x:v>
      </x:c>
      <x:c r="GG28" s="1453"/>
      <x:c r="GH28" s="1454"/>
      <x:c r="GI28" s="1453"/>
      <x:c r="GJ28" s="1454"/>
      <x:c r="GK28" s="533">
        <x:f t="shared" si="102"/>
        <x:v>599.5</x:v>
      </x:c>
      <x:c r="GL28" s="534">
        <x:f t="shared" si="103"/>
        <x:v>599.6406994615146</x:v>
      </x:c>
      <x:c r="GM28" s="535">
        <x:f>IF(ABS(GK28-GL28)&gt;='Job Info.'!$L$22,ABS(GK28-GL28),0)</x:f>
        <x:v>0</x:v>
      </x:c>
      <x:c r="HA28" s="1658" t="s">
        <x:v>1378</x:v>
      </x:c>
      <x:c r="HB28" s="1659">
        <x:v>2</x:v>
      </x:c>
      <x:c r="HC28" s="1659" t="s">
        <x:v>1979</x:v>
      </x:c>
      <x:c r="HD28" s="1660">
        <x:v>49</x:v>
      </x:c>
      <x:c r="HE28" s="1661">
        <x:v>11.5</x:v>
      </x:c>
      <x:c r="HF28" s="1659">
        <x:v>0</x:v>
      </x:c>
      <x:c r="HG28" s="1659">
        <x:v>1.375</x:v>
      </x:c>
      <x:c r="HH28" s="1659" t="s">
        <x:v>114</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x:v>0</x:v>
      </x:c>
      <x:c r="HU28" s="1659">
        <x:v>2.25</x:v>
      </x:c>
      <x:c r="HV28" s="1659">
        <x:v>0</x:v>
      </x:c>
      <x:c r="HW28" s="1661">
        <x:v>2.25</x:v>
      </x:c>
      <x:c r="HX28" s="1661">
        <x:v>4</x:v>
      </x:c>
      <x:c r="HY28" s="1661" t="s">
        <x:v>117</x:v>
      </x:c>
      <x:c r="HZ28" s="1661" t="s">
        <x:v>117</x:v>
      </x:c>
      <x:c r="IA28" s="1661" t="s">
        <x:v>2096</x:v>
      </x:c>
      <x:c r="IB28" s="1661"/>
      <x:c r="IC28" s="1661"/>
      <x:c r="ID28" s="1661"/>
      <x:c r="IE28" s="1661"/>
      <x:c r="IF28" s="1663"/>
    </x:row>
    <x:row r="29" spans="1:240" ht="12.6" customHeight="1" x14ac:dyDescent="0.25">
      <x:c r="A29" s="1264" t="s">
        <x:v>1379</x:v>
      </x:c>
      <x:c r="B29" s="1265">
        <x:v>0</x:v>
      </x:c>
      <x:c r="C29" s="1265" t="s">
        <x:v>1979</x:v>
      </x:c>
      <x:c r="D29" s="1261">
        <x:v>49</x:v>
      </x:c>
      <x:c r="E29" s="1366">
        <x:v>11.5</x:v>
      </x:c>
      <x:c r="F29" s="1328">
        <x:v>0</x:v>
      </x:c>
      <x:c r="G29" s="1262">
        <x:v>1.375</x:v>
      </x:c>
      <x:c r="H29" s="1266" t="s">
        <x:v>114</x:v>
      </x:c>
      <x:c r="I29" s="1261">
        <x:v>0</x:v>
      </x:c>
      <x:c r="J29" s="1262">
        <x:v>1.375</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7"/>
        <x:v/>
      </x:c>
      <x:c r="U29" s="1262" t="str">
        <x:f t="shared" si="8"/>
        <x:v/>
      </x:c>
      <x:c r="V29" s="1261" t="str">
        <x:f t="shared" si="9"/>
        <x:v/>
      </x:c>
      <x:c r="W29" s="1262" t="str">
        <x:f t="shared" si="10"/>
        <x:v/>
      </x:c>
      <x:c r="X29" s="1329">
        <x:f t="shared" si="11"/>
        <x:v>0</x:v>
      </x:c>
      <x:c r="Y29" s="1377" t="str">
        <x:f t="shared" si="12"/>
        <x:v/>
      </x:c>
      <x:c r="Z29" s="1378" t="str">
        <x:f t="shared" si="13"/>
        <x:v/>
      </x:c>
      <x:c r="AA29" s="2159" t="s">
        <x:v>2102</x:v>
      </x:c>
      <x:c r="AC29" s="1226" t="b">
        <x:v>0</x:v>
      </x:c>
      <x:c r="AD29" s="525">
        <x:f t="shared" si="14"/>
        <x:v>0</x:v>
      </x:c>
      <x:c r="AE29" s="526">
        <x:f t="shared" si="15"/>
        <x:v>0</x:v>
      </x:c>
      <x:c r="AF29" s="526">
        <x:f t="shared" si="16"/>
        <x:v>0</x:v>
      </x:c>
      <x:c r="AG29" s="526">
        <x:f t="shared" si="17"/>
        <x:v>0</x:v>
      </x:c>
      <x:c r="AH29" s="527">
        <x:f t="shared" si="18"/>
        <x:v>0</x:v>
      </x:c>
      <x:c r="AI29" s="528" t="b">
        <x:v>0</x:v>
      </x:c>
      <x:c r="AJ29" s="284">
        <x:f t="shared" si="19"/>
        <x:v>30</x:v>
      </x:c>
      <x:c r="AK29" s="1063" t="str">
        <x:f t="shared" si="20"/>
        <x:v>K</x:v>
      </x:c>
      <x:c r="AL29" s="1202" t="str">
        <x:f t="shared" si="21"/>
        <x:v/>
      </x:c>
      <x:c r="AM29" s="1063">
        <x:f t="shared" si="22"/>
        <x:v>240</x:v>
      </x:c>
      <x:c r="AN29" s="1063">
        <x:f t="shared" si="23"/>
        <x:v>140</x:v>
      </x:c>
      <x:c r="AO29" s="1063" t="str">
        <x:f t="shared" si="24"/>
        <x:v/>
      </x:c>
      <x:c r="AP29" s="1063" t="b">
        <x:f>IF(ISERROR(AJ29),FALSE,IF(OR(AJ29=0,ISERROR(AL29),ISERROR(AM29),ISERROR(AN29),ISERROR(AO29)),FALSE,IF(AL29&lt;&gt;"",IF(ISERROR(VLOOKUP(SUBSTITUTE(SUBSTITUTE(C29,"R",""),"A",""),TblJoistSize!$A:$A,1,FALSE)),FALSE,TRUE),TRUE)))</x:f>
        <x:v>1</x:v>
      </x:c>
      <x:c r="AQ29" s="1305">
        <x:f t="shared" si="25"/>
        <x:v>5.375</x:v>
      </x:c>
      <x:c r="AR29" s="1305" t="b">
        <x:f t="shared" si="26"/>
        <x:v>0</x:v>
      </x:c>
      <x:c r="AS29" s="1305">
        <x:f t="shared" si="27"/>
        <x:v>5.375</x:v>
      </x:c>
      <x:c r="AT29" s="1305" t="b">
        <x:f t="shared" si="28"/>
        <x:v>0</x:v>
      </x:c>
      <x:c r="AU29" s="1203" t="str">
        <x:f t="shared" si="29"/>
        <x:v>K</x:v>
      </x:c>
      <x:c r="AV29" s="1063" t="str">
        <x:f t="shared" si="30"/>
        <x:v>K</x:v>
      </x:c>
      <x:c r="AW29" s="1063" t="str">
        <x:f t="shared" si="31"/>
        <x:v/>
      </x:c>
      <x:c r="AX29" s="1063" t="str">
        <x:f t="shared" si="104"/>
        <x:v>J55</x:v>
      </x:c>
      <x:c r="AY29" s="1306" t="b">
        <x:f t="shared" si="32"/>
        <x:v>0</x:v>
      </x:c>
      <x:c r="AZ29" s="1090" t="b">
        <x:f t="shared" si="33"/>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4"/>
        <x:v/>
      </x:c>
      <x:c r="CE29" s="935" t="str">
        <x:f t="shared" si="35"/>
        <x:v/>
      </x:c>
      <x:c r="CF29" s="1149"/>
      <x:c r="CG29" s="1150"/>
      <x:c r="CH29" s="738" t="str">
        <x:f t="shared" si="36"/>
        <x:v/>
      </x:c>
      <x:c r="CI29" s="739" t="str">
        <x:f t="shared" si="37"/>
        <x:v/>
      </x:c>
      <x:c r="CJ29" s="740" t="str">
        <x:f t="shared" si="38"/>
        <x:v/>
      </x:c>
      <x:c r="CK29" s="741" t="str">
        <x:f t="shared" si="39"/>
        <x:v/>
      </x:c>
      <x:c r="CL29" s="742" t="str">
        <x:f t="shared" si="40"/>
        <x:v/>
      </x:c>
      <x:c r="CM29" s="743" t="str">
        <x:f t="shared" si="41"/>
        <x:v/>
      </x:c>
      <x:c r="CN29" s="744" t="str">
        <x:f t="shared" si="42"/>
        <x:v/>
      </x:c>
      <x:c r="CO29" s="745" t="str">
        <x:f t="shared" si="43"/>
        <x:v/>
      </x:c>
      <x:c r="CP29" s="762" t="str">
        <x:f t="shared" si="44"/>
        <x:v/>
      </x:c>
      <x:c r="CQ29" s="763" t="str">
        <x:f t="shared" si="45"/>
        <x:v/>
      </x:c>
      <x:c r="CR29" s="953">
        <x:f t="shared" si="46"/>
        <x:v>2.5</x:v>
      </x:c>
      <x:c r="CS29" s="954">
        <x:f t="shared" si="47"/>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8"/>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9"/>
        <x:v>0</x:v>
      </x:c>
      <x:c r="DO29" s="1049">
        <x:f t="shared" si="50"/>
        <x:v>0</x:v>
      </x:c>
      <x:c r="DP29" s="1053" t="str">
        <x:f t="shared" si="51"/>
        <x:v/>
      </x:c>
      <x:c r="DQ29" s="1053" t="str">
        <x:f t="shared" si="52"/>
        <x:v/>
      </x:c>
      <x:c r="DR29" s="1053" t="str">
        <x:f t="shared" si="53"/>
        <x:v/>
      </x:c>
      <x:c r="DS29" s="1052">
        <x:f t="shared" si="54"/>
        <x:v>0</x:v>
      </x:c>
      <x:c r="DT29" s="1052">
        <x:f t="shared" si="55"/>
        <x:v>0</x:v>
      </x:c>
      <x:c r="DU29" s="1052" t="str">
        <x:f t="shared" si="56"/>
        <x:v/>
      </x:c>
      <x:c r="DV29" s="1053" t="str">
        <x:f t="shared" si="57"/>
        <x:v/>
      </x:c>
      <x:c r="DW29" s="1053" t="str">
        <x:f t="shared" si="58"/>
        <x:v/>
      </x:c>
      <x:c r="DX29" s="1269">
        <x:f t="shared" si="59"/>
        <x:v>0</x:v>
      </x:c>
      <x:c r="DY29" s="1053">
        <x:f t="shared" si="60"/>
        <x:v>0</x:v>
      </x:c>
      <x:c r="DZ29" s="1052">
        <x:f t="shared" si="61"/>
        <x:v>0</x:v>
      </x:c>
      <x:c r="EA29" s="1052" t="str">
        <x:f t="shared" si="62"/>
        <x:v/>
      </x:c>
      <x:c r="EB29" s="1053" t="str">
        <x:f t="shared" si="63"/>
        <x:v/>
      </x:c>
      <x:c r="EC29" s="1053" t="str">
        <x:f t="shared" si="64"/>
        <x:v/>
      </x:c>
      <x:c r="ED29" s="1269">
        <x:f t="shared" si="65"/>
        <x:v>0</x:v>
      </x:c>
      <x:c r="EE29" s="1090" t="str">
        <x:f t="shared" si="66"/>
        <x:v/>
      </x:c>
      <x:c r="EF29" s="1053" t="str">
        <x:f t="shared" si="67"/>
        <x:v/>
      </x:c>
      <x:c r="EG29" s="1053" t="str">
        <x:f t="shared" si="68"/>
        <x:v/>
      </x:c>
      <x:c r="EH29" s="1053" t="str">
        <x:f t="shared" si="69"/>
        <x:v>ERR</x:v>
      </x:c>
      <x:c r="EI29" s="1053" t="str">
        <x:f t="shared" si="70"/>
        <x:v>ERR</x:v>
      </x:c>
      <x:c r="EJ29" s="1053" t="str">
        <x:f t="shared" si="71"/>
        <x:v/>
      </x:c>
      <x:c r="EK29" s="1053" t="str">
        <x:f t="shared" si="71"/>
        <x:v/>
      </x:c>
      <x:c r="EL29" s="1090" t="str">
        <x:f t="shared" si="72"/>
        <x:v/>
      </x:c>
      <x:c r="EM29" s="1053" t="str">
        <x:f t="shared" si="73"/>
        <x:v/>
      </x:c>
      <x:c r="EN29" s="1053" t="str">
        <x:f t="shared" si="74"/>
        <x:v/>
      </x:c>
      <x:c r="EO29" s="1053" t="str">
        <x:f t="shared" si="75"/>
        <x:v>ERR</x:v>
      </x:c>
      <x:c r="EP29" s="1053" t="str">
        <x:f t="shared" si="76"/>
        <x:v>ERR</x:v>
      </x:c>
      <x:c r="EQ29" s="1053" t="str">
        <x:f t="shared" si="77"/>
        <x:v/>
      </x:c>
      <x:c r="ER29" s="1053" t="str">
        <x:f t="shared" si="77"/>
        <x:v/>
      </x:c>
      <x:c r="ES29" s="1053" t="str">
        <x:f t="shared" si="78"/>
        <x:v/>
      </x:c>
      <x:c r="ET29" s="1053" t="str">
        <x:f t="shared" si="79"/>
        <x:v/>
      </x:c>
      <x:c r="EU29" s="1061">
        <x:f t="shared" si="80"/>
        <x:v>3.5</x:v>
      </x:c>
      <x:c r="EV29" s="1055" t="str">
        <x:f t="shared" si="81"/>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2"/>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3"/>
        <x:v/>
      </x:c>
      <x:c r="FD29" s="1052">
        <x:f t="shared" si="105"/>
        <x:v>0</x:v>
      </x:c>
      <x:c r="FE29" s="1052">
        <x:f t="shared" si="84"/>
        <x:v>0</x:v>
      </x:c>
      <x:c r="FF29" s="1052">
        <x:f t="shared" si="85"/>
        <x:v>0</x:v>
      </x:c>
      <x:c r="FG29" s="1052" t="str">
        <x:f t="shared" si="86"/>
        <x:v/>
      </x:c>
      <x:c r="FH29" s="1053" t="str">
        <x:f t="shared" si="87"/>
        <x:v/>
      </x:c>
      <x:c r="FI29" s="1052">
        <x:f t="shared" si="106"/>
        <x:v>0</x:v>
      </x:c>
      <x:c r="FJ29" s="1052">
        <x:f t="shared" si="88"/>
        <x:v>0</x:v>
      </x:c>
      <x:c r="FK29" s="1052">
        <x:f t="shared" si="89"/>
        <x:v>0</x:v>
      </x:c>
      <x:c r="FL29" s="1052" t="str">
        <x:f t="shared" si="90"/>
        <x:v/>
      </x:c>
      <x:c r="FM29" s="1053" t="str">
        <x:f t="shared" si="91"/>
        <x:v/>
      </x:c>
      <x:c r="FN29" s="1053" t="e">
        <x:f t="shared" si="92"/>
        <x:v>#VALUE!</x:v>
      </x:c>
      <x:c r="FO29" s="1062" t="e">
        <x:f t="shared" si="93"/>
        <x:v>#VALUE!</x:v>
      </x:c>
      <x:c r="FP29" s="1062" t="e">
        <x:f t="shared" si="94"/>
        <x:v>#VALUE!</x:v>
      </x:c>
      <x:c r="FQ29" s="1063" t="e">
        <x:f t="shared" si="95"/>
        <x:v>#VALUE!</x:v>
      </x:c>
      <x:c r="FR29" s="1064" t="e">
        <x:f t="shared" si="96"/>
        <x:v>#VALUE!</x:v>
      </x:c>
      <x:c r="FS29" s="1065" t="str">
        <x:f t="shared" si="97"/>
        <x:v/>
      </x:c>
      <x:c r="FT29" s="1066" t="str">
        <x:f t="shared" si="98"/>
        <x:v/>
      </x:c>
      <x:c r="FU29" s="1105">
        <x:f t="shared" si="99"/>
        <x:v>0</x:v>
      </x:c>
      <x:c r="FV29" s="1106">
        <x:f t="shared" si="100"/>
        <x:v>0</x:v>
      </x:c>
      <x:c r="GA29" s="1975">
        <x:v>50</x:v>
      </x:c>
      <x:c r="GB29" s="1976">
        <x:v>0</x:v>
      </x:c>
      <x:c r="GC29" s="1977">
        <x:v>-0.25</x:v>
      </x:c>
      <x:c r="GD29" s="1978">
        <x:v>-0.25</x:v>
      </x:c>
      <x:c r="GE29" s="1979">
        <x:v>0.26</x:v>
      </x:c>
      <x:c r="GF29" s="1980" t="str">
        <x:f t="shared" si="101"/>
        <x:v>J55</x:v>
      </x:c>
      <x:c r="GG29" s="1453"/>
      <x:c r="GH29" s="1454"/>
      <x:c r="GI29" s="1453"/>
      <x:c r="GJ29" s="1454"/>
      <x:c r="GK29" s="533">
        <x:f t="shared" si="102"/>
        <x:v>599.5</x:v>
      </x:c>
      <x:c r="GL29" s="534">
        <x:f t="shared" si="103"/>
        <x:v>599.6406994615146</x:v>
      </x:c>
      <x:c r="GM29" s="535">
        <x:f>IF(ABS(GK29-GL29)&gt;='Job Info.'!$L$22,ABS(GK29-GL29),0)</x:f>
        <x:v>0</x:v>
      </x:c>
      <x:c r="HA29" s="1658" t="s">
        <x:v>1379</x:v>
      </x:c>
      <x:c r="HB29" s="1659">
        <x:v>1</x:v>
      </x:c>
      <x:c r="HC29" s="1659" t="s">
        <x:v>1979</x:v>
      </x:c>
      <x:c r="HD29" s="1660">
        <x:v>49</x:v>
      </x:c>
      <x:c r="HE29" s="1661">
        <x:v>11.5</x:v>
      </x:c>
      <x:c r="HF29" s="1659">
        <x:v>0</x:v>
      </x:c>
      <x:c r="HG29" s="1659">
        <x:v>1.375</x:v>
      </x:c>
      <x:c r="HH29" s="1659" t="s">
        <x:v>114</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2102</x:v>
      </x:c>
      <x:c r="IB29" s="1661"/>
      <x:c r="IC29" s="1661"/>
      <x:c r="ID29" s="1661"/>
      <x:c r="IE29" s="1661"/>
      <x:c r="IF29" s="1663"/>
    </x:row>
    <x:row r="30" spans="1:240" ht="12.6" customHeight="1" x14ac:dyDescent="0.25">
      <x:c r="A30" s="1264" t="s">
        <x:v>1380</x:v>
      </x:c>
      <x:c r="B30" s="1265">
        <x:v>0</x:v>
      </x:c>
      <x:c r="C30" s="1265" t="s">
        <x:v>1979</x:v>
      </x:c>
      <x:c r="D30" s="1261">
        <x:v>49</x:v>
      </x:c>
      <x:c r="E30" s="1366">
        <x:v>10</x:v>
      </x:c>
      <x:c r="F30" s="1328">
        <x:v>0</x:v>
      </x:c>
      <x:c r="G30" s="1262">
        <x:v>0.625</x:v>
      </x:c>
      <x:c r="H30" s="1266" t="s">
        <x:v>114</x:v>
      </x:c>
      <x:c r="I30" s="1261">
        <x:v>0</x:v>
      </x:c>
      <x:c r="J30" s="1262">
        <x:v>0.625</x:v>
      </x:c>
      <x:c r="K30" s="1370" t="s">
        <x:v>114</x:v>
      </x:c>
      <x:c r="L30" s="1327">
        <x:v>3</x:v>
      </x:c>
      <x:c r="M30" s="1329">
        <x:v>3</x:v>
      </x:c>
      <x:c r="N30" s="1263">
        <x:v>0</x:v>
      </x:c>
      <x:c r="O30" s="1262">
        <x:v>5.375</x:v>
      </x:c>
      <x:c r="P30" s="1260">
        <x:v>2</x:v>
      </x:c>
      <x:c r="Q30" s="1261">
        <x:v>0</x:v>
      </x:c>
      <x:c r="R30" s="1262">
        <x:v>6.625</x:v>
      </x:c>
      <x:c r="S30" s="1375">
        <x:v>2</x:v>
      </x:c>
      <x:c r="T30" s="1328">
        <x:v>0</x:v>
      </x:c>
      <x:c r="U30" s="1262">
        <x:v>1.5</x:v>
      </x:c>
      <x:c r="V30" s="1261">
        <x:v>0</x:v>
      </x:c>
      <x:c r="W30" s="1262">
        <x:v>1.5</x:v>
      </x:c>
      <x:c r="X30" s="1329">
        <x:v>4</x:v>
      </x:c>
      <x:c r="Y30" s="1377" t="str">
        <x:f t="shared" si="12"/>
        <x:v/>
      </x:c>
      <x:c r="Z30" s="1378" t="str">
        <x:f t="shared" si="13"/>
        <x:v/>
      </x:c>
      <x:c r="AA30" s="2159" t="s">
        <x:v>2096</x:v>
      </x:c>
      <x:c r="AC30" s="1226" t="b">
        <x:v>0</x:v>
      </x:c>
      <x:c r="AD30" s="525">
        <x:f t="shared" si="14"/>
        <x:v>0</x:v>
      </x:c>
      <x:c r="AE30" s="526">
        <x:f t="shared" si="15"/>
        <x:v>0</x:v>
      </x:c>
      <x:c r="AF30" s="526">
        <x:f t="shared" si="16"/>
        <x:v>0</x:v>
      </x:c>
      <x:c r="AG30" s="526">
        <x:f t="shared" si="17"/>
        <x:v>0</x:v>
      </x:c>
      <x:c r="AH30" s="527">
        <x:f t="shared" si="18"/>
        <x:v>0</x:v>
      </x:c>
      <x:c r="AI30" s="528" t="b">
        <x:v>0</x:v>
      </x:c>
      <x:c r="AJ30" s="284">
        <x:f t="shared" si="19"/>
        <x:v>30</x:v>
      </x:c>
      <x:c r="AK30" s="1063" t="str">
        <x:f t="shared" si="20"/>
        <x:v>K</x:v>
      </x:c>
      <x:c r="AL30" s="1202" t="str">
        <x:f t="shared" si="21"/>
        <x:v/>
      </x:c>
      <x:c r="AM30" s="1063">
        <x:f t="shared" si="22"/>
        <x:v>240</x:v>
      </x:c>
      <x:c r="AN30" s="1063">
        <x:f t="shared" si="23"/>
        <x:v>140</x:v>
      </x:c>
      <x:c r="AO30" s="1063" t="str">
        <x:f t="shared" si="24"/>
        <x:v/>
      </x:c>
      <x:c r="AP30" s="1063" t="b">
        <x:f>IF(ISERROR(AJ30),FALSE,IF(OR(AJ30=0,ISERROR(AL30),ISERROR(AM30),ISERROR(AN30),ISERROR(AO30)),FALSE,IF(AL30&lt;&gt;"",IF(ISERROR(VLOOKUP(SUBSTITUTE(SUBSTITUTE(C30,"R",""),"A",""),TblJoistSize!$A:$A,1,FALSE)),FALSE,TRUE),TRUE)))</x:f>
        <x:v>1</x:v>
      </x:c>
      <x:c r="AQ30" s="1305">
        <x:f t="shared" si="25"/>
        <x:v>4.625</x:v>
      </x:c>
      <x:c r="AR30" s="1305" t="b">
        <x:f t="shared" si="26"/>
        <x:v>1</x:v>
      </x:c>
      <x:c r="AS30" s="1305">
        <x:f t="shared" si="27"/>
        <x:v>4.625</x:v>
      </x:c>
      <x:c r="AT30" s="1305" t="b">
        <x:f t="shared" si="28"/>
        <x:v>1</x:v>
      </x:c>
      <x:c r="AU30" s="1203" t="str">
        <x:f t="shared" si="29"/>
        <x:v>K</x:v>
      </x:c>
      <x:c r="AV30" s="1063" t="str">
        <x:f t="shared" si="30"/>
        <x:v>K</x:v>
      </x:c>
      <x:c r="AW30" s="1063" t="str">
        <x:f t="shared" si="31"/>
        <x:v/>
      </x:c>
      <x:c r="AX30" s="1063" t="str">
        <x:f t="shared" si="104"/>
        <x:v>TJ56</x:v>
      </x:c>
      <x:c r="AY30" s="1306" t="b">
        <x:f t="shared" si="32"/>
        <x:v>0</x:v>
      </x:c>
      <x:c r="AZ30" s="1090" t="b">
        <x:f t="shared" si="33"/>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4"/>
        <x:v/>
      </x:c>
      <x:c r="CE30" s="935" t="str">
        <x:f t="shared" si="35"/>
        <x:v/>
      </x:c>
      <x:c r="CF30" s="1149"/>
      <x:c r="CG30" s="1150"/>
      <x:c r="CH30" s="738" t="str">
        <x:f t="shared" si="36"/>
        <x:v/>
      </x:c>
      <x:c r="CI30" s="739" t="str">
        <x:f t="shared" si="37"/>
        <x:v/>
      </x:c>
      <x:c r="CJ30" s="740" t="str">
        <x:f t="shared" si="38"/>
        <x:v/>
      </x:c>
      <x:c r="CK30" s="741" t="str">
        <x:f t="shared" si="39"/>
        <x:v/>
      </x:c>
      <x:c r="CL30" s="742" t="str">
        <x:f t="shared" si="40"/>
        <x:v/>
      </x:c>
      <x:c r="CM30" s="743" t="str">
        <x:f t="shared" si="41"/>
        <x:v/>
      </x:c>
      <x:c r="CN30" s="744" t="str">
        <x:f t="shared" si="42"/>
        <x:v/>
      </x:c>
      <x:c r="CO30" s="745" t="str">
        <x:f t="shared" si="43"/>
        <x:v/>
      </x:c>
      <x:c r="CP30" s="762" t="str">
        <x:f t="shared" si="44"/>
        <x:v/>
      </x:c>
      <x:c r="CQ30" s="763" t="str">
        <x:f t="shared" si="45"/>
        <x:v/>
      </x:c>
      <x:c r="CR30" s="953">
        <x:f t="shared" si="46"/>
        <x:v>2.5</x:v>
      </x:c>
      <x:c r="CS30" s="954">
        <x:f t="shared" si="47"/>
        <x:v>2.5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8"/>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9"/>
        <x:v>0</x:v>
      </x:c>
      <x:c r="DO30" s="1049">
        <x:f t="shared" si="50"/>
        <x:v>0</x:v>
      </x:c>
      <x:c r="DP30" s="1053" t="str">
        <x:f t="shared" si="51"/>
        <x:v/>
      </x:c>
      <x:c r="DQ30" s="1053" t="str">
        <x:f t="shared" si="52"/>
        <x:v/>
      </x:c>
      <x:c r="DR30" s="1053" t="str">
        <x:f t="shared" si="53"/>
        <x:v/>
      </x:c>
      <x:c r="DS30" s="1052">
        <x:f t="shared" si="54"/>
        <x:v>0</x:v>
      </x:c>
      <x:c r="DT30" s="1052">
        <x:f t="shared" si="55"/>
        <x:v>0</x:v>
      </x:c>
      <x:c r="DU30" s="1052" t="str">
        <x:f t="shared" si="56"/>
        <x:v/>
      </x:c>
      <x:c r="DV30" s="1053" t="str">
        <x:f t="shared" si="57"/>
        <x:v/>
      </x:c>
      <x:c r="DW30" s="1053" t="str">
        <x:f t="shared" si="58"/>
        <x:v/>
      </x:c>
      <x:c r="DX30" s="1269">
        <x:f t="shared" si="59"/>
        <x:v>0</x:v>
      </x:c>
      <x:c r="DY30" s="1053">
        <x:f t="shared" si="60"/>
        <x:v>0</x:v>
      </x:c>
      <x:c r="DZ30" s="1052">
        <x:f t="shared" si="61"/>
        <x:v>0</x:v>
      </x:c>
      <x:c r="EA30" s="1052" t="str">
        <x:f t="shared" si="62"/>
        <x:v/>
      </x:c>
      <x:c r="EB30" s="1053" t="str">
        <x:f t="shared" si="63"/>
        <x:v/>
      </x:c>
      <x:c r="EC30" s="1053" t="str">
        <x:f t="shared" si="64"/>
        <x:v/>
      </x:c>
      <x:c r="ED30" s="1269">
        <x:f t="shared" si="65"/>
        <x:v>0</x:v>
      </x:c>
      <x:c r="EE30" s="1090" t="str">
        <x:f t="shared" si="66"/>
        <x:v/>
      </x:c>
      <x:c r="EF30" s="1053" t="str">
        <x:f t="shared" si="67"/>
        <x:v/>
      </x:c>
      <x:c r="EG30" s="1053" t="str">
        <x:f t="shared" si="68"/>
        <x:v/>
      </x:c>
      <x:c r="EH30" s="1053" t="str">
        <x:f t="shared" si="69"/>
        <x:v>ERR</x:v>
      </x:c>
      <x:c r="EI30" s="1053" t="str">
        <x:f t="shared" si="70"/>
        <x:v>ERR</x:v>
      </x:c>
      <x:c r="EJ30" s="1053" t="str">
        <x:f t="shared" si="71"/>
        <x:v/>
      </x:c>
      <x:c r="EK30" s="1053" t="str">
        <x:f t="shared" si="71"/>
        <x:v/>
      </x:c>
      <x:c r="EL30" s="1090" t="str">
        <x:f t="shared" si="72"/>
        <x:v/>
      </x:c>
      <x:c r="EM30" s="1053" t="str">
        <x:f t="shared" si="73"/>
        <x:v/>
      </x:c>
      <x:c r="EN30" s="1053" t="str">
        <x:f t="shared" si="74"/>
        <x:v/>
      </x:c>
      <x:c r="EO30" s="1053" t="str">
        <x:f t="shared" si="75"/>
        <x:v>ERR</x:v>
      </x:c>
      <x:c r="EP30" s="1053" t="str">
        <x:f t="shared" si="76"/>
        <x:v>ERR</x:v>
      </x:c>
      <x:c r="EQ30" s="1053" t="str">
        <x:f t="shared" si="77"/>
        <x:v/>
      </x:c>
      <x:c r="ER30" s="1053" t="str">
        <x:f t="shared" si="77"/>
        <x:v/>
      </x:c>
      <x:c r="ES30" s="1053" t="str">
        <x:f t="shared" si="78"/>
        <x:v/>
      </x:c>
      <x:c r="ET30" s="1053" t="str">
        <x:f t="shared" si="79"/>
        <x:v/>
      </x:c>
      <x:c r="EU30" s="1061">
        <x:f t="shared" si="80"/>
        <x:v>3.5</x:v>
      </x:c>
      <x:c r="EV30" s="1055" t="str">
        <x:f t="shared" si="81"/>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2"/>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3"/>
        <x:v/>
      </x:c>
      <x:c r="FD30" s="1052">
        <x:f t="shared" si="105"/>
        <x:v>0</x:v>
      </x:c>
      <x:c r="FE30" s="1052">
        <x:f t="shared" si="84"/>
        <x:v>0</x:v>
      </x:c>
      <x:c r="FF30" s="1052">
        <x:f t="shared" si="85"/>
        <x:v>0</x:v>
      </x:c>
      <x:c r="FG30" s="1052" t="str">
        <x:f t="shared" si="86"/>
        <x:v/>
      </x:c>
      <x:c r="FH30" s="1053" t="str">
        <x:f t="shared" si="87"/>
        <x:v/>
      </x:c>
      <x:c r="FI30" s="1052">
        <x:f t="shared" si="106"/>
        <x:v>0</x:v>
      </x:c>
      <x:c r="FJ30" s="1052">
        <x:f t="shared" si="88"/>
        <x:v>0</x:v>
      </x:c>
      <x:c r="FK30" s="1052">
        <x:f t="shared" si="89"/>
        <x:v>0</x:v>
      </x:c>
      <x:c r="FL30" s="1052" t="str">
        <x:f t="shared" si="90"/>
        <x:v/>
      </x:c>
      <x:c r="FM30" s="1053" t="str">
        <x:f t="shared" si="91"/>
        <x:v/>
      </x:c>
      <x:c r="FN30" s="1053" t="e">
        <x:f t="shared" si="92"/>
        <x:v>#VALUE!</x:v>
      </x:c>
      <x:c r="FO30" s="1062" t="e">
        <x:f t="shared" si="93"/>
        <x:v>#VALUE!</x:v>
      </x:c>
      <x:c r="FP30" s="1062" t="e">
        <x:f t="shared" si="94"/>
        <x:v>#VALUE!</x:v>
      </x:c>
      <x:c r="FQ30" s="1063" t="e">
        <x:f t="shared" si="95"/>
        <x:v>#VALUE!</x:v>
      </x:c>
      <x:c r="FR30" s="1064" t="e">
        <x:f t="shared" si="96"/>
        <x:v>#VALUE!</x:v>
      </x:c>
      <x:c r="FS30" s="1065" t="str">
        <x:f t="shared" si="97"/>
        <x:v/>
      </x:c>
      <x:c r="FT30" s="1066" t="str">
        <x:f t="shared" si="98"/>
        <x:v/>
      </x:c>
      <x:c r="FU30" s="1105">
        <x:f t="shared" si="99"/>
        <x:v>0</x:v>
      </x:c>
      <x:c r="FV30" s="1106">
        <x:f t="shared" si="100"/>
        <x:v>0</x:v>
      </x:c>
      <x:c r="GA30" s="1975">
        <x:v>50</x:v>
      </x:c>
      <x:c r="GB30" s="1976">
        <x:v>0</x:v>
      </x:c>
      <x:c r="GC30" s="1977">
        <x:v>-1</x:v>
      </x:c>
      <x:c r="GD30" s="1978">
        <x:v>-1</x:v>
      </x:c>
      <x:c r="GE30" s="1979">
        <x:v>0.26</x:v>
      </x:c>
      <x:c r="GF30" s="1980" t="str">
        <x:f t="shared" si="101"/>
        <x:v>TJ56</x:v>
      </x:c>
      <x:c r="GG30" s="1453"/>
      <x:c r="GH30" s="1454"/>
      <x:c r="GI30" s="1453"/>
      <x:c r="GJ30" s="1454"/>
      <x:c r="GK30" s="533">
        <x:f t="shared" si="102"/>
        <x:v>598</x:v>
      </x:c>
      <x:c r="GL30" s="534">
        <x:f t="shared" si="103"/>
        <x:v>598.1403474194924</x:v>
      </x:c>
      <x:c r="GM30" s="535">
        <x:f>IF(ABS(GK30-GL30)&gt;='Job Info.'!$L$22,ABS(GK30-GL30),0)</x:f>
        <x:v>0</x:v>
      </x:c>
      <x:c r="HA30" s="1658" t="s">
        <x:v>1380</x:v>
      </x:c>
      <x:c r="HB30" s="1659">
        <x:v>1</x:v>
      </x:c>
      <x:c r="HC30" s="1659" t="s">
        <x:v>1979</x:v>
      </x:c>
      <x:c r="HD30" s="1660">
        <x:v>49</x:v>
      </x:c>
      <x:c r="HE30" s="1661">
        <x:v>10</x:v>
      </x:c>
      <x:c r="HF30" s="1659">
        <x:v>0</x:v>
      </x:c>
      <x:c r="HG30" s="1659">
        <x:v>0.625</x:v>
      </x:c>
      <x:c r="HH30" s="1659" t="s">
        <x:v>114</x:v>
      </x:c>
      <x:c r="HI30" s="1662">
        <x:v>0</x:v>
      </x:c>
      <x:c r="HJ30" s="1659">
        <x:v>0.625</x:v>
      </x:c>
      <x:c r="HK30" s="1659" t="s">
        <x:v>114</x:v>
      </x:c>
      <x:c r="HL30" s="1659">
        <x:v>3</x:v>
      </x:c>
      <x:c r="HM30" s="1659">
        <x:v>3</x:v>
      </x:c>
      <x:c r="HN30" s="1659">
        <x:v>0</x:v>
      </x:c>
      <x:c r="HO30" s="1659">
        <x:v>5.375</x:v>
      </x:c>
      <x:c r="HP30" s="1659">
        <x:v>2</x:v>
      </x:c>
      <x:c r="HQ30" s="1662">
        <x:v>0</x:v>
      </x:c>
      <x:c r="HR30" s="1659">
        <x:v>6.625</x:v>
      </x:c>
      <x:c r="HS30" s="1659">
        <x:v>2</x:v>
      </x:c>
      <x:c r="HT30" s="1659">
        <x:v>0</x:v>
      </x:c>
      <x:c r="HU30" s="1659">
        <x:v>1.5</x:v>
      </x:c>
      <x:c r="HV30" s="1659">
        <x:v>0</x:v>
      </x:c>
      <x:c r="HW30" s="1661">
        <x:v>1.5</x:v>
      </x:c>
      <x:c r="HX30" s="1661">
        <x:v>4</x:v>
      </x:c>
      <x:c r="HY30" s="1661" t="s">
        <x:v>117</x:v>
      </x:c>
      <x:c r="HZ30" s="1661" t="s">
        <x:v>117</x:v>
      </x:c>
      <x:c r="IA30" s="1661" t="s">
        <x:v>2096</x:v>
      </x:c>
      <x:c r="IB30" s="1661"/>
      <x:c r="IC30" s="1661"/>
      <x:c r="ID30" s="1661"/>
      <x:c r="IE30" s="1661"/>
      <x:c r="IF30" s="1663"/>
    </x:row>
    <x:row r="31" spans="1:240" ht="12.6" customHeight="1" x14ac:dyDescent="0.25">
      <x:c r="A31" s="1264" t="s">
        <x:v>1381</x:v>
      </x:c>
      <x:c r="B31" s="1265">
        <x:v>0</x:v>
      </x:c>
      <x:c r="C31" s="1265" t="s">
        <x:v>1979</x:v>
      </x:c>
      <x:c r="D31" s="1261">
        <x:v>49</x:v>
      </x:c>
      <x:c r="E31" s="1366">
        <x:v>0.625</x:v>
      </x:c>
      <x:c r="F31" s="1328" t="str">
        <x:f t="shared" ref="F31:F44" si="107">IF(DX31=0,"",TRUNC(DX31/12))</x:f>
        <x:v/>
      </x:c>
      <x:c r="G31" s="1262" t="str">
        <x:f t="shared" ref="G31:G44" si="108">IF(DX31=0,"",DX31-(F31*12))</x:f>
        <x:v/>
      </x:c>
      <x:c r="H31" s="1266" t="str">
        <x:f t="shared" ref="H31:H44" si="109">IF(DX31=0,"",CW31)</x:f>
        <x:v/>
      </x:c>
      <x:c r="I31" s="1261">
        <x:v>0</x:v>
      </x:c>
      <x:c r="J31" s="1262">
        <x:v>1.375</x:v>
      </x:c>
      <x:c r="K31" s="1370" t="s">
        <x:v>114</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7"/>
        <x:v/>
      </x:c>
      <x:c r="U31" s="1262" t="str">
        <x:f t="shared" si="8"/>
        <x:v/>
      </x:c>
      <x:c r="V31" s="1261" t="str">
        <x:f t="shared" si="9"/>
        <x:v/>
      </x:c>
      <x:c r="W31" s="1262" t="str">
        <x:f t="shared" si="10"/>
        <x:v/>
      </x:c>
      <x:c r="X31" s="1329">
        <x:f t="shared" si="11"/>
        <x:v>0</x:v>
      </x:c>
      <x:c r="Y31" s="1377" t="str">
        <x:f t="shared" si="12"/>
        <x:v/>
      </x:c>
      <x:c r="Z31" s="1378" t="str">
        <x:f t="shared" si="13"/>
        <x:v/>
      </x:c>
      <x:c r="AA31" s="2159" t="s">
        <x:v>2103</x:v>
      </x:c>
      <x:c r="AC31" s="1226" t="b">
        <x:v>0</x:v>
      </x:c>
      <x:c r="AD31" s="525">
        <x:f t="shared" si="14"/>
        <x:v>0</x:v>
      </x:c>
      <x:c r="AE31" s="526">
        <x:f t="shared" si="15"/>
        <x:v>0</x:v>
      </x:c>
      <x:c r="AF31" s="526">
        <x:f t="shared" si="16"/>
        <x:v>0</x:v>
      </x:c>
      <x:c r="AG31" s="526">
        <x:f t="shared" si="17"/>
        <x:v>0</x:v>
      </x:c>
      <x:c r="AH31" s="527">
        <x:f t="shared" si="18"/>
        <x:v>0</x:v>
      </x:c>
      <x:c r="AI31" s="528" t="b">
        <x:v>0</x:v>
      </x:c>
      <x:c r="AJ31" s="284">
        <x:f t="shared" si="19"/>
        <x:v>30</x:v>
      </x:c>
      <x:c r="AK31" s="1063" t="str">
        <x:f t="shared" si="20"/>
        <x:v>K</x:v>
      </x:c>
      <x:c r="AL31" s="1202" t="str">
        <x:f t="shared" si="21"/>
        <x:v/>
      </x:c>
      <x:c r="AM31" s="1063">
        <x:f t="shared" si="22"/>
        <x:v>240</x:v>
      </x:c>
      <x:c r="AN31" s="1063">
        <x:f t="shared" si="23"/>
        <x:v>140</x:v>
      </x:c>
      <x:c r="AO31" s="1063" t="str">
        <x:f t="shared" si="24"/>
        <x:v/>
      </x:c>
      <x:c r="AP31" s="1063" t="b">
        <x:f>IF(ISERROR(AJ31),FALSE,IF(OR(AJ31=0,ISERROR(AL31),ISERROR(AM31),ISERROR(AN31),ISERROR(AO31)),FALSE,IF(AL31&lt;&gt;"",IF(ISERROR(VLOOKUP(SUBSTITUTE(SUBSTITUTE(C31,"R",""),"A",""),TblJoistSize!$A:$A,1,FALSE)),FALSE,TRUE),TRUE)))</x:f>
        <x:v>1</x:v>
      </x:c>
      <x:c r="AQ31" s="1305">
        <x:f t="shared" si="25"/>
        <x:v>4</x:v>
      </x:c>
      <x:c r="AR31" s="1305" t="b">
        <x:f t="shared" si="26"/>
        <x:v>0</x:v>
      </x:c>
      <x:c r="AS31" s="1305">
        <x:f t="shared" si="27"/>
        <x:v>5.375</x:v>
      </x:c>
      <x:c r="AT31" s="1305" t="b">
        <x:f t="shared" si="28"/>
        <x:v>0</x:v>
      </x:c>
      <x:c r="AU31" s="1203" t="str">
        <x:f t="shared" si="29"/>
        <x:v>K</x:v>
      </x:c>
      <x:c r="AV31" s="1063" t="str">
        <x:f t="shared" si="30"/>
        <x:v>K</x:v>
      </x:c>
      <x:c r="AW31" s="1063" t="str">
        <x:f t="shared" si="31"/>
        <x:v/>
      </x:c>
      <x:c r="AX31" s="1063" t="str">
        <x:f t="shared" si="104"/>
        <x:v>J57</x:v>
      </x:c>
      <x:c r="AY31" s="1306" t="b">
        <x:f t="shared" si="32"/>
        <x:v>0</x:v>
      </x:c>
      <x:c r="AZ31" s="1090" t="b">
        <x:f t="shared" si="33"/>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4"/>
        <x:v/>
      </x:c>
      <x:c r="CE31" s="935" t="str">
        <x:f t="shared" si="35"/>
        <x:v/>
      </x:c>
      <x:c r="CF31" s="1149"/>
      <x:c r="CG31" s="1150"/>
      <x:c r="CH31" s="738" t="str">
        <x:f t="shared" si="36"/>
        <x:v/>
      </x:c>
      <x:c r="CI31" s="739" t="str">
        <x:f t="shared" si="37"/>
        <x:v/>
      </x:c>
      <x:c r="CJ31" s="740" t="str">
        <x:f t="shared" si="38"/>
        <x:v/>
      </x:c>
      <x:c r="CK31" s="741" t="str">
        <x:f t="shared" si="39"/>
        <x:v/>
      </x:c>
      <x:c r="CL31" s="742" t="str">
        <x:f t="shared" si="40"/>
        <x:v/>
      </x:c>
      <x:c r="CM31" s="743" t="str">
        <x:f t="shared" si="41"/>
        <x:v/>
      </x:c>
      <x:c r="CN31" s="744" t="str">
        <x:f t="shared" si="42"/>
        <x:v/>
      </x:c>
      <x:c r="CO31" s="745" t="str">
        <x:f t="shared" si="43"/>
        <x:v/>
      </x:c>
      <x:c r="CP31" s="762" t="str">
        <x:f t="shared" si="44"/>
        <x:v/>
      </x:c>
      <x:c r="CQ31" s="763" t="str">
        <x:f t="shared" si="45"/>
        <x:v/>
      </x:c>
      <x:c r="CR31" s="953">
        <x:f t="shared" si="46"/>
        <x:v>2.5</x:v>
      </x:c>
      <x:c r="CS31" s="954">
        <x:f t="shared" si="47"/>
        <x:v>2.5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8"/>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9"/>
        <x:v>0</x:v>
      </x:c>
      <x:c r="DO31" s="1049">
        <x:f t="shared" si="50"/>
        <x:v>0</x:v>
      </x:c>
      <x:c r="DP31" s="1053" t="str">
        <x:f t="shared" si="51"/>
        <x:v/>
      </x:c>
      <x:c r="DQ31" s="1053" t="str">
        <x:f t="shared" si="52"/>
        <x:v/>
      </x:c>
      <x:c r="DR31" s="1053" t="str">
        <x:f t="shared" si="53"/>
        <x:v/>
      </x:c>
      <x:c r="DS31" s="1052">
        <x:f t="shared" si="54"/>
        <x:v>0</x:v>
      </x:c>
      <x:c r="DT31" s="1052">
        <x:f t="shared" si="55"/>
        <x:v>0</x:v>
      </x:c>
      <x:c r="DU31" s="1052" t="str">
        <x:f t="shared" si="56"/>
        <x:v/>
      </x:c>
      <x:c r="DV31" s="1053" t="str">
        <x:f t="shared" si="57"/>
        <x:v/>
      </x:c>
      <x:c r="DW31" s="1053" t="str">
        <x:f t="shared" si="58"/>
        <x:v/>
      </x:c>
      <x:c r="DX31" s="1269">
        <x:f t="shared" si="59"/>
        <x:v>0</x:v>
      </x:c>
      <x:c r="DY31" s="1053">
        <x:f t="shared" si="60"/>
        <x:v>0</x:v>
      </x:c>
      <x:c r="DZ31" s="1052">
        <x:f t="shared" si="61"/>
        <x:v>0</x:v>
      </x:c>
      <x:c r="EA31" s="1052" t="str">
        <x:f t="shared" si="62"/>
        <x:v/>
      </x:c>
      <x:c r="EB31" s="1053" t="str">
        <x:f t="shared" si="63"/>
        <x:v/>
      </x:c>
      <x:c r="EC31" s="1053" t="str">
        <x:f t="shared" si="64"/>
        <x:v/>
      </x:c>
      <x:c r="ED31" s="1269">
        <x:f t="shared" si="65"/>
        <x:v>0</x:v>
      </x:c>
      <x:c r="EE31" s="1090" t="str">
        <x:f t="shared" si="66"/>
        <x:v/>
      </x:c>
      <x:c r="EF31" s="1053" t="str">
        <x:f t="shared" si="67"/>
        <x:v/>
      </x:c>
      <x:c r="EG31" s="1053" t="str">
        <x:f t="shared" si="68"/>
        <x:v/>
      </x:c>
      <x:c r="EH31" s="1053" t="str">
        <x:f t="shared" si="69"/>
        <x:v>ERR</x:v>
      </x:c>
      <x:c r="EI31" s="1053" t="str">
        <x:f t="shared" si="70"/>
        <x:v>ERR</x:v>
      </x:c>
      <x:c r="EJ31" s="1053" t="str">
        <x:f t="shared" si="71"/>
        <x:v/>
      </x:c>
      <x:c r="EK31" s="1053" t="str">
        <x:f t="shared" si="71"/>
        <x:v/>
      </x:c>
      <x:c r="EL31" s="1090" t="str">
        <x:f t="shared" si="72"/>
        <x:v/>
      </x:c>
      <x:c r="EM31" s="1053" t="str">
        <x:f t="shared" si="73"/>
        <x:v/>
      </x:c>
      <x:c r="EN31" s="1053" t="str">
        <x:f t="shared" si="74"/>
        <x:v/>
      </x:c>
      <x:c r="EO31" s="1053" t="str">
        <x:f t="shared" si="75"/>
        <x:v>ERR</x:v>
      </x:c>
      <x:c r="EP31" s="1053" t="str">
        <x:f t="shared" si="76"/>
        <x:v>ERR</x:v>
      </x:c>
      <x:c r="EQ31" s="1053" t="str">
        <x:f t="shared" si="77"/>
        <x:v/>
      </x:c>
      <x:c r="ER31" s="1053" t="str">
        <x:f t="shared" si="77"/>
        <x:v/>
      </x:c>
      <x:c r="ES31" s="1053" t="str">
        <x:f t="shared" si="78"/>
        <x:v/>
      </x:c>
      <x:c r="ET31" s="1053" t="str">
        <x:f t="shared" si="79"/>
        <x:v/>
      </x:c>
      <x:c r="EU31" s="1061">
        <x:f t="shared" si="80"/>
        <x:v>3.5</x:v>
      </x:c>
      <x:c r="EV31" s="1055" t="str">
        <x:f t="shared" si="81"/>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2"/>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3"/>
        <x:v/>
      </x:c>
      <x:c r="FD31" s="1052">
        <x:f t="shared" si="105"/>
        <x:v>0</x:v>
      </x:c>
      <x:c r="FE31" s="1052">
        <x:f t="shared" si="84"/>
        <x:v>0</x:v>
      </x:c>
      <x:c r="FF31" s="1052">
        <x:f t="shared" si="85"/>
        <x:v>0</x:v>
      </x:c>
      <x:c r="FG31" s="1052" t="str">
        <x:f t="shared" si="86"/>
        <x:v/>
      </x:c>
      <x:c r="FH31" s="1053" t="str">
        <x:f t="shared" si="87"/>
        <x:v/>
      </x:c>
      <x:c r="FI31" s="1052">
        <x:f t="shared" si="106"/>
        <x:v>0</x:v>
      </x:c>
      <x:c r="FJ31" s="1052">
        <x:f t="shared" si="88"/>
        <x:v>0</x:v>
      </x:c>
      <x:c r="FK31" s="1052">
        <x:f t="shared" si="89"/>
        <x:v>0</x:v>
      </x:c>
      <x:c r="FL31" s="1052" t="str">
        <x:f t="shared" si="90"/>
        <x:v/>
      </x:c>
      <x:c r="FM31" s="1053" t="str">
        <x:f t="shared" si="91"/>
        <x:v/>
      </x:c>
      <x:c r="FN31" s="1053" t="e">
        <x:f t="shared" si="92"/>
        <x:v>#VALUE!</x:v>
      </x:c>
      <x:c r="FO31" s="1062" t="e">
        <x:f t="shared" si="93"/>
        <x:v>#VALUE!</x:v>
      </x:c>
      <x:c r="FP31" s="1062" t="e">
        <x:f t="shared" si="94"/>
        <x:v>#VALUE!</x:v>
      </x:c>
      <x:c r="FQ31" s="1063" t="e">
        <x:f t="shared" si="95"/>
        <x:v>#VALUE!</x:v>
      </x:c>
      <x:c r="FR31" s="1064" t="e">
        <x:f t="shared" si="96"/>
        <x:v>#VALUE!</x:v>
      </x:c>
      <x:c r="FS31" s="1065" t="str">
        <x:f t="shared" si="97"/>
        <x:v/>
      </x:c>
      <x:c r="FT31" s="1066" t="str">
        <x:f t="shared" si="98"/>
        <x:v/>
      </x:c>
      <x:c r="FU31" s="1105">
        <x:f t="shared" si="99"/>
        <x:v>0</x:v>
      </x:c>
      <x:c r="FV31" s="1106">
        <x:f t="shared" si="100"/>
        <x:v>0</x:v>
      </x:c>
      <x:c r="GA31" s="1975">
        <x:v>49</x:v>
      </x:c>
      <x:c r="GB31" s="1976">
        <x:v>2.75</x:v>
      </x:c>
      <x:c r="GC31" s="1977">
        <x:v>-1.875</x:v>
      </x:c>
      <x:c r="GD31" s="1978">
        <x:v>-0.25</x:v>
      </x:c>
      <x:c r="GE31" s="1979">
        <x:v>0.314853999153618</x:v>
      </x:c>
      <x:c r="GF31" s="1980" t="str">
        <x:f t="shared" si="101"/>
        <x:v>J57</x:v>
      </x:c>
      <x:c r="GG31" s="1453"/>
      <x:c r="GH31" s="1454"/>
      <x:c r="GI31" s="1453"/>
      <x:c r="GJ31" s="1454"/>
      <x:c r="GK31" s="533">
        <x:f t="shared" si="102"/>
        <x:v>588.625</x:v>
      </x:c>
      <x:c r="GL31" s="534">
        <x:f t="shared" si="103"/>
        <x:v>588.827576898703</x:v>
      </x:c>
      <x:c r="GM31" s="535">
        <x:f>IF(ABS(GK31-GL31)&gt;='Job Info.'!$L$22,ABS(GK31-GL31),0)</x:f>
        <x:v>0</x:v>
      </x:c>
      <x:c r="HA31" s="1658" t="s">
        <x:v>1381</x:v>
      </x:c>
      <x:c r="HB31" s="1659">
        <x:v>2</x:v>
      </x:c>
      <x:c r="HC31" s="1659" t="s">
        <x:v>1979</x:v>
      </x:c>
      <x:c r="HD31" s="1660">
        <x:v>49</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2103</x:v>
      </x:c>
      <x:c r="IB31" s="1661"/>
      <x:c r="IC31" s="1661"/>
      <x:c r="ID31" s="1661"/>
      <x:c r="IE31" s="1661"/>
      <x:c r="IF31" s="1663"/>
    </x:row>
    <x:row r="32" spans="1:240" ht="12.6" customHeight="1" x14ac:dyDescent="0.25">
      <x:c r="A32" s="1264" t="s">
        <x:v>1382</x:v>
      </x:c>
      <x:c r="B32" s="1265">
        <x:v>0</x:v>
      </x:c>
      <x:c r="C32" s="1265" t="s">
        <x:v>1979</x:v>
      </x:c>
      <x:c r="D32" s="1261">
        <x:v>49</x:v>
      </x:c>
      <x:c r="E32" s="1366">
        <x:v>0.625</x:v>
      </x:c>
      <x:c r="F32" s="1328" t="str">
        <x:f t="shared" si="107"/>
        <x:v/>
      </x:c>
      <x:c r="G32" s="1262" t="str">
        <x:f t="shared" si="108"/>
        <x:v/>
      </x:c>
      <x:c r="H32" s="1266" t="str">
        <x:f t="shared" si="109"/>
        <x:v/>
      </x:c>
      <x:c r="I32" s="1261">
        <x:v>0</x:v>
      </x:c>
      <x:c r="J32" s="1262">
        <x:v>1.375</x:v>
      </x:c>
      <x:c r="K32" s="1370" t="s">
        <x:v>114</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t="str">
        <x:f t="shared" si="7"/>
        <x:v/>
      </x:c>
      <x:c r="U32" s="1262" t="str">
        <x:f t="shared" si="8"/>
        <x:v/>
      </x:c>
      <x:c r="V32" s="1261" t="str">
        <x:f t="shared" si="9"/>
        <x:v/>
      </x:c>
      <x:c r="W32" s="1262" t="str">
        <x:f t="shared" si="10"/>
        <x:v/>
      </x:c>
      <x:c r="X32" s="1329">
        <x:f t="shared" si="11"/>
        <x:v>0</x:v>
      </x:c>
      <x:c r="Y32" s="1377" t="str">
        <x:f t="shared" si="12"/>
        <x:v/>
      </x:c>
      <x:c r="Z32" s="1378" t="str">
        <x:f t="shared" si="13"/>
        <x:v/>
      </x:c>
      <x:c r="AA32" s="2159" t="s">
        <x:v>2104</x:v>
      </x:c>
      <x:c r="AC32" s="1226" t="b">
        <x:v>0</x:v>
      </x:c>
      <x:c r="AD32" s="525">
        <x:f t="shared" si="14"/>
        <x:v>0</x:v>
      </x:c>
      <x:c r="AE32" s="526">
        <x:f t="shared" si="15"/>
        <x:v>0</x:v>
      </x:c>
      <x:c r="AF32" s="526">
        <x:f t="shared" si="16"/>
        <x:v>0</x:v>
      </x:c>
      <x:c r="AG32" s="526">
        <x:f t="shared" si="17"/>
        <x:v>0</x:v>
      </x:c>
      <x:c r="AH32" s="527">
        <x:f t="shared" si="18"/>
        <x:v>0</x:v>
      </x:c>
      <x:c r="AI32" s="528" t="b">
        <x:v>0</x:v>
      </x:c>
      <x:c r="AJ32" s="284">
        <x:f t="shared" si="19"/>
        <x:v>30</x:v>
      </x:c>
      <x:c r="AK32" s="1063" t="str">
        <x:f t="shared" si="20"/>
        <x:v>K</x:v>
      </x:c>
      <x:c r="AL32" s="1202" t="str">
        <x:f t="shared" si="21"/>
        <x:v/>
      </x:c>
      <x:c r="AM32" s="1063">
        <x:f t="shared" si="22"/>
        <x:v>240</x:v>
      </x:c>
      <x:c r="AN32" s="1063">
        <x:f t="shared" si="23"/>
        <x:v>140</x:v>
      </x:c>
      <x:c r="AO32" s="1063" t="str">
        <x:f t="shared" si="24"/>
        <x:v/>
      </x:c>
      <x:c r="AP32" s="1063" t="b">
        <x:f>IF(ISERROR(AJ32),FALSE,IF(OR(AJ32=0,ISERROR(AL32),ISERROR(AM32),ISERROR(AN32),ISERROR(AO32)),FALSE,IF(AL32&lt;&gt;"",IF(ISERROR(VLOOKUP(SUBSTITUTE(SUBSTITUTE(C32,"R",""),"A",""),TblJoistSize!$A:$A,1,FALSE)),FALSE,TRUE),TRUE)))</x:f>
        <x:v>1</x:v>
      </x:c>
      <x:c r="AQ32" s="1305">
        <x:f t="shared" si="25"/>
        <x:v>4</x:v>
      </x:c>
      <x:c r="AR32" s="1305" t="b">
        <x:f t="shared" si="26"/>
        <x:v>0</x:v>
      </x:c>
      <x:c r="AS32" s="1305">
        <x:f t="shared" si="27"/>
        <x:v>5.375</x:v>
      </x:c>
      <x:c r="AT32" s="1305" t="b">
        <x:f t="shared" si="28"/>
        <x:v>0</x:v>
      </x:c>
      <x:c r="AU32" s="1203" t="str">
        <x:f t="shared" si="29"/>
        <x:v>K</x:v>
      </x:c>
      <x:c r="AV32" s="1063" t="str">
        <x:f t="shared" si="30"/>
        <x:v>K</x:v>
      </x:c>
      <x:c r="AW32" s="1063" t="str">
        <x:f t="shared" si="31"/>
        <x:v/>
      </x:c>
      <x:c r="AX32" s="1063" t="str">
        <x:f t="shared" si="104"/>
        <x:v>J58</x:v>
      </x:c>
      <x:c r="AY32" s="1306" t="b">
        <x:f t="shared" si="32"/>
        <x:v>0</x:v>
      </x:c>
      <x:c r="AZ32" s="1090" t="b">
        <x:f t="shared" si="33"/>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4"/>
        <x:v/>
      </x:c>
      <x:c r="CE32" s="935" t="str">
        <x:f t="shared" si="35"/>
        <x:v/>
      </x:c>
      <x:c r="CF32" s="1149"/>
      <x:c r="CG32" s="1150"/>
      <x:c r="CH32" s="738" t="str">
        <x:f t="shared" si="36"/>
        <x:v/>
      </x:c>
      <x:c r="CI32" s="739" t="str">
        <x:f t="shared" si="37"/>
        <x:v/>
      </x:c>
      <x:c r="CJ32" s="740" t="str">
        <x:f t="shared" si="38"/>
        <x:v/>
      </x:c>
      <x:c r="CK32" s="741" t="str">
        <x:f t="shared" si="39"/>
        <x:v/>
      </x:c>
      <x:c r="CL32" s="742" t="str">
        <x:f t="shared" si="40"/>
        <x:v/>
      </x:c>
      <x:c r="CM32" s="743" t="str">
        <x:f t="shared" si="41"/>
        <x:v/>
      </x:c>
      <x:c r="CN32" s="744" t="str">
        <x:f t="shared" si="42"/>
        <x:v/>
      </x:c>
      <x:c r="CO32" s="745" t="str">
        <x:f t="shared" si="43"/>
        <x:v/>
      </x:c>
      <x:c r="CP32" s="762" t="str">
        <x:f t="shared" si="44"/>
        <x:v/>
      </x:c>
      <x:c r="CQ32" s="763" t="str">
        <x:f t="shared" si="45"/>
        <x:v/>
      </x:c>
      <x:c r="CR32" s="953">
        <x:f t="shared" si="46"/>
        <x:v>2.5</x:v>
      </x:c>
      <x:c r="CS32" s="954">
        <x:f t="shared" si="47"/>
        <x:v>2.5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8"/>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9"/>
        <x:v>0</x:v>
      </x:c>
      <x:c r="DO32" s="1049">
        <x:f t="shared" si="50"/>
        <x:v>0</x:v>
      </x:c>
      <x:c r="DP32" s="1053" t="str">
        <x:f t="shared" si="51"/>
        <x:v/>
      </x:c>
      <x:c r="DQ32" s="1053" t="str">
        <x:f t="shared" si="52"/>
        <x:v/>
      </x:c>
      <x:c r="DR32" s="1053" t="str">
        <x:f t="shared" si="53"/>
        <x:v/>
      </x:c>
      <x:c r="DS32" s="1052">
        <x:f t="shared" si="54"/>
        <x:v>0</x:v>
      </x:c>
      <x:c r="DT32" s="1052">
        <x:f t="shared" si="55"/>
        <x:v>0</x:v>
      </x:c>
      <x:c r="DU32" s="1052" t="str">
        <x:f t="shared" si="56"/>
        <x:v/>
      </x:c>
      <x:c r="DV32" s="1053" t="str">
        <x:f t="shared" si="57"/>
        <x:v/>
      </x:c>
      <x:c r="DW32" s="1053" t="str">
        <x:f t="shared" si="58"/>
        <x:v/>
      </x:c>
      <x:c r="DX32" s="1269">
        <x:f t="shared" si="59"/>
        <x:v>0</x:v>
      </x:c>
      <x:c r="DY32" s="1053">
        <x:f t="shared" si="60"/>
        <x:v>0</x:v>
      </x:c>
      <x:c r="DZ32" s="1052">
        <x:f t="shared" si="61"/>
        <x:v>0</x:v>
      </x:c>
      <x:c r="EA32" s="1052" t="str">
        <x:f t="shared" si="62"/>
        <x:v/>
      </x:c>
      <x:c r="EB32" s="1053" t="str">
        <x:f t="shared" si="63"/>
        <x:v/>
      </x:c>
      <x:c r="EC32" s="1053" t="str">
        <x:f t="shared" si="64"/>
        <x:v/>
      </x:c>
      <x:c r="ED32" s="1269">
        <x:f t="shared" si="65"/>
        <x:v>0</x:v>
      </x:c>
      <x:c r="EE32" s="1090" t="str">
        <x:f t="shared" si="66"/>
        <x:v/>
      </x:c>
      <x:c r="EF32" s="1053" t="str">
        <x:f t="shared" si="67"/>
        <x:v/>
      </x:c>
      <x:c r="EG32" s="1053" t="str">
        <x:f t="shared" si="68"/>
        <x:v/>
      </x:c>
      <x:c r="EH32" s="1053" t="str">
        <x:f t="shared" si="69"/>
        <x:v>ERR</x:v>
      </x:c>
      <x:c r="EI32" s="1053" t="str">
        <x:f t="shared" si="70"/>
        <x:v>ERR</x:v>
      </x:c>
      <x:c r="EJ32" s="1053" t="str">
        <x:f t="shared" si="71"/>
        <x:v/>
      </x:c>
      <x:c r="EK32" s="1053" t="str">
        <x:f t="shared" si="71"/>
        <x:v/>
      </x:c>
      <x:c r="EL32" s="1090" t="str">
        <x:f t="shared" si="72"/>
        <x:v/>
      </x:c>
      <x:c r="EM32" s="1053" t="str">
        <x:f t="shared" si="73"/>
        <x:v/>
      </x:c>
      <x:c r="EN32" s="1053" t="str">
        <x:f t="shared" si="74"/>
        <x:v/>
      </x:c>
      <x:c r="EO32" s="1053" t="str">
        <x:f t="shared" si="75"/>
        <x:v>ERR</x:v>
      </x:c>
      <x:c r="EP32" s="1053" t="str">
        <x:f t="shared" si="76"/>
        <x:v>ERR</x:v>
      </x:c>
      <x:c r="EQ32" s="1053" t="str">
        <x:f t="shared" si="77"/>
        <x:v/>
      </x:c>
      <x:c r="ER32" s="1053" t="str">
        <x:f t="shared" si="77"/>
        <x:v/>
      </x:c>
      <x:c r="ES32" s="1053" t="str">
        <x:f t="shared" si="78"/>
        <x:v/>
      </x:c>
      <x:c r="ET32" s="1053" t="str">
        <x:f t="shared" si="79"/>
        <x:v/>
      </x:c>
      <x:c r="EU32" s="1061">
        <x:f t="shared" si="80"/>
        <x:v>3.5</x:v>
      </x:c>
      <x:c r="EV32" s="1055" t="str">
        <x:f t="shared" si="81"/>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2"/>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3"/>
        <x:v/>
      </x:c>
      <x:c r="FD32" s="1052">
        <x:f t="shared" si="105"/>
        <x:v>0</x:v>
      </x:c>
      <x:c r="FE32" s="1052">
        <x:f t="shared" si="84"/>
        <x:v>0</x:v>
      </x:c>
      <x:c r="FF32" s="1052">
        <x:f t="shared" si="85"/>
        <x:v>0</x:v>
      </x:c>
      <x:c r="FG32" s="1052" t="str">
        <x:f t="shared" si="86"/>
        <x:v/>
      </x:c>
      <x:c r="FH32" s="1053" t="str">
        <x:f t="shared" si="87"/>
        <x:v/>
      </x:c>
      <x:c r="FI32" s="1052">
        <x:f t="shared" si="106"/>
        <x:v>0</x:v>
      </x:c>
      <x:c r="FJ32" s="1052">
        <x:f t="shared" si="88"/>
        <x:v>0</x:v>
      </x:c>
      <x:c r="FK32" s="1052">
        <x:f t="shared" si="89"/>
        <x:v>0</x:v>
      </x:c>
      <x:c r="FL32" s="1052" t="str">
        <x:f t="shared" si="90"/>
        <x:v/>
      </x:c>
      <x:c r="FM32" s="1053" t="str">
        <x:f t="shared" si="91"/>
        <x:v/>
      </x:c>
      <x:c r="FN32" s="1053" t="e">
        <x:f t="shared" si="92"/>
        <x:v>#VALUE!</x:v>
      </x:c>
      <x:c r="FO32" s="1062" t="e">
        <x:f t="shared" si="93"/>
        <x:v>#VALUE!</x:v>
      </x:c>
      <x:c r="FP32" s="1062" t="e">
        <x:f t="shared" si="94"/>
        <x:v>#VALUE!</x:v>
      </x:c>
      <x:c r="FQ32" s="1063" t="e">
        <x:f t="shared" si="95"/>
        <x:v>#VALUE!</x:v>
      </x:c>
      <x:c r="FR32" s="1064" t="e">
        <x:f t="shared" si="96"/>
        <x:v>#VALUE!</x:v>
      </x:c>
      <x:c r="FS32" s="1065" t="str">
        <x:f t="shared" si="97"/>
        <x:v/>
      </x:c>
      <x:c r="FT32" s="1066" t="str">
        <x:f t="shared" si="98"/>
        <x:v/>
      </x:c>
      <x:c r="FU32" s="1105">
        <x:f t="shared" si="99"/>
        <x:v>0</x:v>
      </x:c>
      <x:c r="FV32" s="1106">
        <x:f t="shared" si="100"/>
        <x:v>0</x:v>
      </x:c>
      <x:c r="GA32" s="1975">
        <x:v>49</x:v>
      </x:c>
      <x:c r="GB32" s="1976">
        <x:v>2.75</x:v>
      </x:c>
      <x:c r="GC32" s="1977">
        <x:v>-1.875</x:v>
      </x:c>
      <x:c r="GD32" s="1978">
        <x:v>-0.25</x:v>
      </x:c>
      <x:c r="GE32" s="1979">
        <x:v>0.314853999153618</x:v>
      </x:c>
      <x:c r="GF32" s="1980" t="str">
        <x:f t="shared" si="101"/>
        <x:v>J58</x:v>
      </x:c>
      <x:c r="GG32" s="1453"/>
      <x:c r="GH32" s="1454"/>
      <x:c r="GI32" s="1453"/>
      <x:c r="GJ32" s="1454"/>
      <x:c r="GK32" s="533">
        <x:f t="shared" si="102"/>
        <x:v>588.625</x:v>
      </x:c>
      <x:c r="GL32" s="534">
        <x:f t="shared" si="103"/>
        <x:v>588.827576898703</x:v>
      </x:c>
      <x:c r="GM32" s="535">
        <x:f>IF(ABS(GK32-GL32)&gt;='Job Info.'!$L$22,ABS(GK32-GL32),0)</x:f>
        <x:v>0</x:v>
      </x:c>
      <x:c r="HA32" s="1658" t="s">
        <x:v>1382</x:v>
      </x:c>
      <x:c r="HB32" s="1659">
        <x:v>4</x:v>
      </x:c>
      <x:c r="HC32" s="1659" t="s">
        <x:v>1979</x:v>
      </x:c>
      <x:c r="HD32" s="1660">
        <x:v>49</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2104</x:v>
      </x:c>
      <x:c r="IB32" s="1661"/>
      <x:c r="IC32" s="1661"/>
      <x:c r="ID32" s="1661"/>
      <x:c r="IE32" s="1661"/>
      <x:c r="IF32" s="1663"/>
    </x:row>
    <x:row r="33" spans="1:240" ht="12.6" customHeight="1" x14ac:dyDescent="0.25">
      <x:c r="A33" s="1264" t="s">
        <x:v>1383</x:v>
      </x:c>
      <x:c r="B33" s="1265">
        <x:v>0</x:v>
      </x:c>
      <x:c r="C33" s="1265" t="s">
        <x:v>1979</x:v>
      </x:c>
      <x:c r="D33" s="1261">
        <x:v>49</x:v>
      </x:c>
      <x:c r="E33" s="1366">
        <x:v>0.625</x:v>
      </x:c>
      <x:c r="F33" s="1328" t="str">
        <x:f t="shared" si="107"/>
        <x:v/>
      </x:c>
      <x:c r="G33" s="1262" t="str">
        <x:f t="shared" si="108"/>
        <x:v/>
      </x:c>
      <x:c r="H33" s="1266" t="str">
        <x:f t="shared" si="109"/>
        <x:v/>
      </x:c>
      <x:c r="I33" s="1261">
        <x:v>0</x:v>
      </x:c>
      <x:c r="J33" s="1262">
        <x:v>1.375</x:v>
      </x:c>
      <x:c r="K33" s="1370" t="s">
        <x:v>114</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t="str">
        <x:f t="shared" si="7"/>
        <x:v/>
      </x:c>
      <x:c r="U33" s="1262" t="str">
        <x:f t="shared" si="8"/>
        <x:v/>
      </x:c>
      <x:c r="V33" s="1261" t="str">
        <x:f t="shared" si="9"/>
        <x:v/>
      </x:c>
      <x:c r="W33" s="1262" t="str">
        <x:f t="shared" si="10"/>
        <x:v/>
      </x:c>
      <x:c r="X33" s="1329">
        <x:f t="shared" si="11"/>
        <x:v>0</x:v>
      </x:c>
      <x:c r="Y33" s="1377" t="str">
        <x:f t="shared" si="12"/>
        <x:v/>
      </x:c>
      <x:c r="Z33" s="1378" t="str">
        <x:f t="shared" si="13"/>
        <x:v/>
      </x:c>
      <x:c r="AA33" s="2159" t="s">
        <x:v>2105</x:v>
      </x:c>
      <x:c r="AC33" s="1226" t="b">
        <x:v>0</x:v>
      </x:c>
      <x:c r="AD33" s="525">
        <x:f t="shared" si="14"/>
        <x:v>0</x:v>
      </x:c>
      <x:c r="AE33" s="526">
        <x:f t="shared" si="15"/>
        <x:v>0</x:v>
      </x:c>
      <x:c r="AF33" s="526">
        <x:f t="shared" si="16"/>
        <x:v>0</x:v>
      </x:c>
      <x:c r="AG33" s="526">
        <x:f t="shared" si="17"/>
        <x:v>0</x:v>
      </x:c>
      <x:c r="AH33" s="527">
        <x:f t="shared" si="18"/>
        <x:v>0</x:v>
      </x:c>
      <x:c r="AI33" s="528" t="b">
        <x:v>0</x:v>
      </x:c>
      <x:c r="AJ33" s="284">
        <x:f t="shared" si="19"/>
        <x:v>30</x:v>
      </x:c>
      <x:c r="AK33" s="1063" t="str">
        <x:f t="shared" si="20"/>
        <x:v>K</x:v>
      </x:c>
      <x:c r="AL33" s="1202" t="str">
        <x:f t="shared" si="21"/>
        <x:v/>
      </x:c>
      <x:c r="AM33" s="1063">
        <x:f t="shared" si="22"/>
        <x:v>240</x:v>
      </x:c>
      <x:c r="AN33" s="1063">
        <x:f t="shared" si="23"/>
        <x:v>140</x:v>
      </x:c>
      <x:c r="AO33" s="1063" t="str">
        <x:f t="shared" si="24"/>
        <x:v/>
      </x:c>
      <x:c r="AP33" s="1063" t="b">
        <x:f>IF(ISERROR(AJ33),FALSE,IF(OR(AJ33=0,ISERROR(AL33),ISERROR(AM33),ISERROR(AN33),ISERROR(AO33)),FALSE,IF(AL33&lt;&gt;"",IF(ISERROR(VLOOKUP(SUBSTITUTE(SUBSTITUTE(C33,"R",""),"A",""),TblJoistSize!$A:$A,1,FALSE)),FALSE,TRUE),TRUE)))</x:f>
        <x:v>1</x:v>
      </x:c>
      <x:c r="AQ33" s="1305">
        <x:f t="shared" si="25"/>
        <x:v>4</x:v>
      </x:c>
      <x:c r="AR33" s="1305" t="b">
        <x:f t="shared" si="26"/>
        <x:v>0</x:v>
      </x:c>
      <x:c r="AS33" s="1305">
        <x:f t="shared" si="27"/>
        <x:v>5.375</x:v>
      </x:c>
      <x:c r="AT33" s="1305" t="b">
        <x:f t="shared" si="28"/>
        <x:v>0</x:v>
      </x:c>
      <x:c r="AU33" s="1203" t="str">
        <x:f t="shared" si="29"/>
        <x:v>K</x:v>
      </x:c>
      <x:c r="AV33" s="1063" t="str">
        <x:f t="shared" si="30"/>
        <x:v>K</x:v>
      </x:c>
      <x:c r="AW33" s="1063" t="str">
        <x:f t="shared" si="31"/>
        <x:v/>
      </x:c>
      <x:c r="AX33" s="1063" t="str">
        <x:f t="shared" si="104"/>
        <x:v>J59</x:v>
      </x:c>
      <x:c r="AY33" s="1306" t="b">
        <x:f t="shared" si="32"/>
        <x:v>0</x:v>
      </x:c>
      <x:c r="AZ33" s="1090" t="b">
        <x:f t="shared" si="33"/>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4"/>
        <x:v/>
      </x:c>
      <x:c r="CE33" s="935" t="str">
        <x:f t="shared" si="35"/>
        <x:v/>
      </x:c>
      <x:c r="CF33" s="1149"/>
      <x:c r="CG33" s="1150"/>
      <x:c r="CH33" s="738" t="str">
        <x:f t="shared" si="36"/>
        <x:v/>
      </x:c>
      <x:c r="CI33" s="739" t="str">
        <x:f t="shared" si="37"/>
        <x:v/>
      </x:c>
      <x:c r="CJ33" s="740" t="str">
        <x:f t="shared" si="38"/>
        <x:v/>
      </x:c>
      <x:c r="CK33" s="741" t="str">
        <x:f t="shared" si="39"/>
        <x:v/>
      </x:c>
      <x:c r="CL33" s="742" t="str">
        <x:f t="shared" si="40"/>
        <x:v/>
      </x:c>
      <x:c r="CM33" s="743" t="str">
        <x:f t="shared" si="41"/>
        <x:v/>
      </x:c>
      <x:c r="CN33" s="744" t="str">
        <x:f t="shared" si="42"/>
        <x:v/>
      </x:c>
      <x:c r="CO33" s="745" t="str">
        <x:f t="shared" si="43"/>
        <x:v/>
      </x:c>
      <x:c r="CP33" s="762" t="str">
        <x:f t="shared" si="44"/>
        <x:v/>
      </x:c>
      <x:c r="CQ33" s="763" t="str">
        <x:f t="shared" si="45"/>
        <x:v/>
      </x:c>
      <x:c r="CR33" s="953">
        <x:f t="shared" si="46"/>
        <x:v>2.5</x:v>
      </x:c>
      <x:c r="CS33" s="954">
        <x:f t="shared" si="47"/>
        <x:v>2.5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8"/>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9"/>
        <x:v>0</x:v>
      </x:c>
      <x:c r="DO33" s="1049">
        <x:f t="shared" si="50"/>
        <x:v>0</x:v>
      </x:c>
      <x:c r="DP33" s="1053" t="str">
        <x:f t="shared" si="51"/>
        <x:v/>
      </x:c>
      <x:c r="DQ33" s="1053" t="str">
        <x:f t="shared" si="52"/>
        <x:v/>
      </x:c>
      <x:c r="DR33" s="1053" t="str">
        <x:f t="shared" si="53"/>
        <x:v/>
      </x:c>
      <x:c r="DS33" s="1052">
        <x:f t="shared" si="54"/>
        <x:v>0</x:v>
      </x:c>
      <x:c r="DT33" s="1052">
        <x:f t="shared" si="55"/>
        <x:v>0</x:v>
      </x:c>
      <x:c r="DU33" s="1052" t="str">
        <x:f t="shared" si="56"/>
        <x:v/>
      </x:c>
      <x:c r="DV33" s="1053" t="str">
        <x:f t="shared" si="57"/>
        <x:v/>
      </x:c>
      <x:c r="DW33" s="1053" t="str">
        <x:f t="shared" si="58"/>
        <x:v/>
      </x:c>
      <x:c r="DX33" s="1269">
        <x:f t="shared" si="59"/>
        <x:v>0</x:v>
      </x:c>
      <x:c r="DY33" s="1053">
        <x:f t="shared" si="60"/>
        <x:v>0</x:v>
      </x:c>
      <x:c r="DZ33" s="1052">
        <x:f t="shared" si="61"/>
        <x:v>0</x:v>
      </x:c>
      <x:c r="EA33" s="1052" t="str">
        <x:f t="shared" si="62"/>
        <x:v/>
      </x:c>
      <x:c r="EB33" s="1053" t="str">
        <x:f t="shared" si="63"/>
        <x:v/>
      </x:c>
      <x:c r="EC33" s="1053" t="str">
        <x:f t="shared" si="64"/>
        <x:v/>
      </x:c>
      <x:c r="ED33" s="1269">
        <x:f t="shared" si="65"/>
        <x:v>0</x:v>
      </x:c>
      <x:c r="EE33" s="1090" t="str">
        <x:f t="shared" si="66"/>
        <x:v/>
      </x:c>
      <x:c r="EF33" s="1053" t="str">
        <x:f t="shared" si="67"/>
        <x:v/>
      </x:c>
      <x:c r="EG33" s="1053" t="str">
        <x:f t="shared" si="68"/>
        <x:v/>
      </x:c>
      <x:c r="EH33" s="1053" t="str">
        <x:f t="shared" si="69"/>
        <x:v>ERR</x:v>
      </x:c>
      <x:c r="EI33" s="1053" t="str">
        <x:f t="shared" si="70"/>
        <x:v>ERR</x:v>
      </x:c>
      <x:c r="EJ33" s="1053" t="str">
        <x:f t="shared" si="71"/>
        <x:v/>
      </x:c>
      <x:c r="EK33" s="1053" t="str">
        <x:f t="shared" si="71"/>
        <x:v/>
      </x:c>
      <x:c r="EL33" s="1090" t="str">
        <x:f t="shared" si="72"/>
        <x:v/>
      </x:c>
      <x:c r="EM33" s="1053" t="str">
        <x:f t="shared" si="73"/>
        <x:v/>
      </x:c>
      <x:c r="EN33" s="1053" t="str">
        <x:f t="shared" si="74"/>
        <x:v/>
      </x:c>
      <x:c r="EO33" s="1053" t="str">
        <x:f t="shared" si="75"/>
        <x:v>ERR</x:v>
      </x:c>
      <x:c r="EP33" s="1053" t="str">
        <x:f t="shared" si="76"/>
        <x:v>ERR</x:v>
      </x:c>
      <x:c r="EQ33" s="1053" t="str">
        <x:f t="shared" si="77"/>
        <x:v/>
      </x:c>
      <x:c r="ER33" s="1053" t="str">
        <x:f t="shared" si="77"/>
        <x:v/>
      </x:c>
      <x:c r="ES33" s="1053" t="str">
        <x:f t="shared" si="78"/>
        <x:v/>
      </x:c>
      <x:c r="ET33" s="1053" t="str">
        <x:f t="shared" si="79"/>
        <x:v/>
      </x:c>
      <x:c r="EU33" s="1061">
        <x:f t="shared" si="80"/>
        <x:v>3.5</x:v>
      </x:c>
      <x:c r="EV33" s="1055" t="str">
        <x:f t="shared" si="81"/>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2"/>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3"/>
        <x:v/>
      </x:c>
      <x:c r="FD33" s="1052">
        <x:f t="shared" si="105"/>
        <x:v>0</x:v>
      </x:c>
      <x:c r="FE33" s="1052">
        <x:f t="shared" si="84"/>
        <x:v>0</x:v>
      </x:c>
      <x:c r="FF33" s="1052">
        <x:f t="shared" si="85"/>
        <x:v>0</x:v>
      </x:c>
      <x:c r="FG33" s="1052" t="str">
        <x:f t="shared" si="86"/>
        <x:v/>
      </x:c>
      <x:c r="FH33" s="1053" t="str">
        <x:f t="shared" si="87"/>
        <x:v/>
      </x:c>
      <x:c r="FI33" s="1052">
        <x:f t="shared" si="106"/>
        <x:v>0</x:v>
      </x:c>
      <x:c r="FJ33" s="1052">
        <x:f t="shared" si="88"/>
        <x:v>0</x:v>
      </x:c>
      <x:c r="FK33" s="1052">
        <x:f t="shared" si="89"/>
        <x:v>0</x:v>
      </x:c>
      <x:c r="FL33" s="1052" t="str">
        <x:f t="shared" si="90"/>
        <x:v/>
      </x:c>
      <x:c r="FM33" s="1053" t="str">
        <x:f t="shared" si="91"/>
        <x:v/>
      </x:c>
      <x:c r="FN33" s="1053" t="e">
        <x:f t="shared" si="92"/>
        <x:v>#VALUE!</x:v>
      </x:c>
      <x:c r="FO33" s="1062" t="e">
        <x:f t="shared" si="93"/>
        <x:v>#VALUE!</x:v>
      </x:c>
      <x:c r="FP33" s="1062" t="e">
        <x:f t="shared" si="94"/>
        <x:v>#VALUE!</x:v>
      </x:c>
      <x:c r="FQ33" s="1063" t="e">
        <x:f t="shared" si="95"/>
        <x:v>#VALUE!</x:v>
      </x:c>
      <x:c r="FR33" s="1064" t="e">
        <x:f t="shared" si="96"/>
        <x:v>#VALUE!</x:v>
      </x:c>
      <x:c r="FS33" s="1065" t="str">
        <x:f t="shared" si="97"/>
        <x:v/>
      </x:c>
      <x:c r="FT33" s="1066" t="str">
        <x:f t="shared" si="98"/>
        <x:v/>
      </x:c>
      <x:c r="FU33" s="1105">
        <x:f t="shared" si="99"/>
        <x:v>0</x:v>
      </x:c>
      <x:c r="FV33" s="1106">
        <x:f t="shared" si="100"/>
        <x:v>0</x:v>
      </x:c>
      <x:c r="GA33" s="1975">
        <x:v>49</x:v>
      </x:c>
      <x:c r="GB33" s="1976">
        <x:v>2.75</x:v>
      </x:c>
      <x:c r="GC33" s="1977">
        <x:v>-1.875</x:v>
      </x:c>
      <x:c r="GD33" s="1978">
        <x:v>-0.25</x:v>
      </x:c>
      <x:c r="GE33" s="1979">
        <x:v>0.314853999153618</x:v>
      </x:c>
      <x:c r="GF33" s="1980" t="str">
        <x:f t="shared" si="101"/>
        <x:v>J59</x:v>
      </x:c>
      <x:c r="GG33" s="1453"/>
      <x:c r="GH33" s="1454"/>
      <x:c r="GI33" s="1453"/>
      <x:c r="GJ33" s="1454"/>
      <x:c r="GK33" s="533">
        <x:f t="shared" si="102"/>
        <x:v>588.625</x:v>
      </x:c>
      <x:c r="GL33" s="534">
        <x:f t="shared" si="103"/>
        <x:v>588.827576898703</x:v>
      </x:c>
      <x:c r="GM33" s="535">
        <x:f>IF(ABS(GK33-GL33)&gt;='Job Info.'!$L$22,ABS(GK33-GL33),0)</x:f>
        <x:v>0</x:v>
      </x:c>
      <x:c r="HA33" s="1658" t="s">
        <x:v>1383</x:v>
      </x:c>
      <x:c r="HB33" s="1659">
        <x:v>42</x:v>
      </x:c>
      <x:c r="HC33" s="1659" t="s">
        <x:v>1979</x:v>
      </x:c>
      <x:c r="HD33" s="1660">
        <x:v>49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2105</x:v>
      </x:c>
      <x:c r="IB33" s="1661"/>
      <x:c r="IC33" s="1661"/>
      <x:c r="ID33" s="1661"/>
      <x:c r="IE33" s="1661"/>
      <x:c r="IF33" s="1663"/>
    </x:row>
    <x:row r="34" spans="1:240" ht="12.6" customHeight="1" x14ac:dyDescent="0.25">
      <x:c r="A34" s="1264" t="s">
        <x:v>1384</x:v>
      </x:c>
      <x:c r="B34" s="1265">
        <x:v>0</x:v>
      </x:c>
      <x:c r="C34" s="1265" t="s">
        <x:v>1979</x:v>
      </x:c>
      <x:c r="D34" s="1261">
        <x:v>49</x:v>
      </x:c>
      <x:c r="E34" s="1366">
        <x:v>0.625</x:v>
      </x:c>
      <x:c r="F34" s="1328" t="str">
        <x:f t="shared" si="107"/>
        <x:v/>
      </x:c>
      <x:c r="G34" s="1262" t="str">
        <x:f t="shared" si="108"/>
        <x:v/>
      </x:c>
      <x:c r="H34" s="1266" t="str">
        <x:f t="shared" si="109"/>
        <x:v/>
      </x:c>
      <x:c r="I34" s="1261">
        <x:v>0</x:v>
      </x:c>
      <x:c r="J34" s="1262">
        <x:v>1.375</x:v>
      </x:c>
      <x:c r="K34" s="1370" t="s">
        <x:v>114</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x:v>0</x:v>
      </x:c>
      <x:c r="U34" s="1262">
        <x:v>1.125</x:v>
      </x:c>
      <x:c r="V34" s="1261">
        <x:v>0</x:v>
      </x:c>
      <x:c r="W34" s="1262">
        <x:v>2.25</x:v>
      </x:c>
      <x:c r="X34" s="1329">
        <x:v>4</x:v>
      </x:c>
      <x:c r="Y34" s="1377" t="str">
        <x:f t="shared" si="12"/>
        <x:v/>
      </x:c>
      <x:c r="Z34" s="1378" t="str">
        <x:f t="shared" si="13"/>
        <x:v/>
      </x:c>
      <x:c r="AA34" s="2159" t="s">
        <x:v>2105</x:v>
      </x:c>
      <x:c r="AC34" s="1226" t="b">
        <x:v>0</x:v>
      </x:c>
      <x:c r="AD34" s="525">
        <x:f t="shared" si="14"/>
        <x:v>0</x:v>
      </x:c>
      <x:c r="AE34" s="526">
        <x:f t="shared" si="15"/>
        <x:v>0</x:v>
      </x:c>
      <x:c r="AF34" s="526">
        <x:f t="shared" si="16"/>
        <x:v>0</x:v>
      </x:c>
      <x:c r="AG34" s="526">
        <x:f t="shared" si="17"/>
        <x:v>0</x:v>
      </x:c>
      <x:c r="AH34" s="527">
        <x:f t="shared" si="18"/>
        <x:v>0</x:v>
      </x:c>
      <x:c r="AI34" s="528" t="b">
        <x:v>0</x:v>
      </x:c>
      <x:c r="AJ34" s="284">
        <x:f t="shared" si="19"/>
        <x:v>30</x:v>
      </x:c>
      <x:c r="AK34" s="1063" t="str">
        <x:f t="shared" si="20"/>
        <x:v>K</x:v>
      </x:c>
      <x:c r="AL34" s="1202" t="str">
        <x:f t="shared" si="21"/>
        <x:v/>
      </x:c>
      <x:c r="AM34" s="1063">
        <x:f t="shared" si="22"/>
        <x:v>240</x:v>
      </x:c>
      <x:c r="AN34" s="1063">
        <x:f t="shared" si="23"/>
        <x:v>140</x:v>
      </x:c>
      <x:c r="AO34" s="1063" t="str">
        <x:f t="shared" si="24"/>
        <x:v/>
      </x:c>
      <x:c r="AP34" s="1063" t="b">
        <x:f>IF(ISERROR(AJ34),FALSE,IF(OR(AJ34=0,ISERROR(AL34),ISERROR(AM34),ISERROR(AN34),ISERROR(AO34)),FALSE,IF(AL34&lt;&gt;"",IF(ISERROR(VLOOKUP(SUBSTITUTE(SUBSTITUTE(C34,"R",""),"A",""),TblJoistSize!$A:$A,1,FALSE)),FALSE,TRUE),TRUE)))</x:f>
        <x:v>1</x:v>
      </x:c>
      <x:c r="AQ34" s="1305">
        <x:f t="shared" si="25"/>
        <x:v>4</x:v>
      </x:c>
      <x:c r="AR34" s="1305" t="b">
        <x:f t="shared" si="26"/>
        <x:v>1</x:v>
      </x:c>
      <x:c r="AS34" s="1305">
        <x:f t="shared" si="27"/>
        <x:v>5.375</x:v>
      </x:c>
      <x:c r="AT34" s="1305" t="b">
        <x:f t="shared" si="28"/>
        <x:v>1</x:v>
      </x:c>
      <x:c r="AU34" s="1203" t="str">
        <x:f t="shared" si="29"/>
        <x:v>K</x:v>
      </x:c>
      <x:c r="AV34" s="1063" t="str">
        <x:f t="shared" si="30"/>
        <x:v>K</x:v>
      </x:c>
      <x:c r="AW34" s="1063" t="str">
        <x:f t="shared" si="31"/>
        <x:v/>
      </x:c>
      <x:c r="AX34" s="1063" t="str">
        <x:f t="shared" si="104"/>
        <x:v>TJ60</x:v>
      </x:c>
      <x:c r="AY34" s="1306" t="b">
        <x:f t="shared" si="32"/>
        <x:v>0</x:v>
      </x:c>
      <x:c r="AZ34" s="1090" t="b">
        <x:f t="shared" si="33"/>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4"/>
        <x:v/>
      </x:c>
      <x:c r="CE34" s="935" t="str">
        <x:f t="shared" si="35"/>
        <x:v/>
      </x:c>
      <x:c r="CF34" s="1149"/>
      <x:c r="CG34" s="1150"/>
      <x:c r="CH34" s="738" t="str">
        <x:f t="shared" si="36"/>
        <x:v/>
      </x:c>
      <x:c r="CI34" s="739" t="str">
        <x:f t="shared" si="37"/>
        <x:v/>
      </x:c>
      <x:c r="CJ34" s="740" t="str">
        <x:f t="shared" si="38"/>
        <x:v/>
      </x:c>
      <x:c r="CK34" s="741" t="str">
        <x:f t="shared" si="39"/>
        <x:v/>
      </x:c>
      <x:c r="CL34" s="742" t="str">
        <x:f t="shared" si="40"/>
        <x:v/>
      </x:c>
      <x:c r="CM34" s="743" t="str">
        <x:f t="shared" si="41"/>
        <x:v/>
      </x:c>
      <x:c r="CN34" s="744" t="str">
        <x:f t="shared" si="42"/>
        <x:v/>
      </x:c>
      <x:c r="CO34" s="745" t="str">
        <x:f t="shared" si="43"/>
        <x:v/>
      </x:c>
      <x:c r="CP34" s="762" t="str">
        <x:f t="shared" si="44"/>
        <x:v/>
      </x:c>
      <x:c r="CQ34" s="763" t="str">
        <x:f t="shared" si="45"/>
        <x:v/>
      </x:c>
      <x:c r="CR34" s="953">
        <x:f t="shared" si="46"/>
        <x:v>2.5</x:v>
      </x:c>
      <x:c r="CS34" s="954">
        <x:f t="shared" si="47"/>
        <x:v>2.5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8"/>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9"/>
        <x:v>0</x:v>
      </x:c>
      <x:c r="DO34" s="1049">
        <x:f t="shared" si="50"/>
        <x:v>0</x:v>
      </x:c>
      <x:c r="DP34" s="1053" t="str">
        <x:f t="shared" si="51"/>
        <x:v/>
      </x:c>
      <x:c r="DQ34" s="1053" t="str">
        <x:f t="shared" si="52"/>
        <x:v/>
      </x:c>
      <x:c r="DR34" s="1053" t="str">
        <x:f t="shared" si="53"/>
        <x:v/>
      </x:c>
      <x:c r="DS34" s="1052">
        <x:f t="shared" si="54"/>
        <x:v>0</x:v>
      </x:c>
      <x:c r="DT34" s="1052">
        <x:f t="shared" si="55"/>
        <x:v>0</x:v>
      </x:c>
      <x:c r="DU34" s="1052" t="str">
        <x:f t="shared" si="56"/>
        <x:v/>
      </x:c>
      <x:c r="DV34" s="1053" t="str">
        <x:f t="shared" si="57"/>
        <x:v/>
      </x:c>
      <x:c r="DW34" s="1053" t="str">
        <x:f t="shared" si="58"/>
        <x:v/>
      </x:c>
      <x:c r="DX34" s="1269">
        <x:f t="shared" si="59"/>
        <x:v>0</x:v>
      </x:c>
      <x:c r="DY34" s="1053">
        <x:f t="shared" si="60"/>
        <x:v>0</x:v>
      </x:c>
      <x:c r="DZ34" s="1052">
        <x:f t="shared" si="61"/>
        <x:v>0</x:v>
      </x:c>
      <x:c r="EA34" s="1052" t="str">
        <x:f t="shared" si="62"/>
        <x:v/>
      </x:c>
      <x:c r="EB34" s="1053" t="str">
        <x:f t="shared" si="63"/>
        <x:v/>
      </x:c>
      <x:c r="EC34" s="1053" t="str">
        <x:f t="shared" si="64"/>
        <x:v/>
      </x:c>
      <x:c r="ED34" s="1269">
        <x:f t="shared" si="65"/>
        <x:v>0</x:v>
      </x:c>
      <x:c r="EE34" s="1090" t="str">
        <x:f t="shared" si="66"/>
        <x:v/>
      </x:c>
      <x:c r="EF34" s="1053" t="str">
        <x:f t="shared" si="67"/>
        <x:v/>
      </x:c>
      <x:c r="EG34" s="1053" t="str">
        <x:f t="shared" si="68"/>
        <x:v/>
      </x:c>
      <x:c r="EH34" s="1053" t="str">
        <x:f t="shared" si="69"/>
        <x:v>ERR</x:v>
      </x:c>
      <x:c r="EI34" s="1053" t="str">
        <x:f t="shared" si="70"/>
        <x:v>ERR</x:v>
      </x:c>
      <x:c r="EJ34" s="1053" t="str">
        <x:f t="shared" si="71"/>
        <x:v/>
      </x:c>
      <x:c r="EK34" s="1053" t="str">
        <x:f t="shared" si="71"/>
        <x:v/>
      </x:c>
      <x:c r="EL34" s="1090" t="str">
        <x:f t="shared" si="72"/>
        <x:v/>
      </x:c>
      <x:c r="EM34" s="1053" t="str">
        <x:f t="shared" si="73"/>
        <x:v/>
      </x:c>
      <x:c r="EN34" s="1053" t="str">
        <x:f t="shared" si="74"/>
        <x:v/>
      </x:c>
      <x:c r="EO34" s="1053" t="str">
        <x:f t="shared" si="75"/>
        <x:v>ERR</x:v>
      </x:c>
      <x:c r="EP34" s="1053" t="str">
        <x:f t="shared" si="76"/>
        <x:v>ERR</x:v>
      </x:c>
      <x:c r="EQ34" s="1053" t="str">
        <x:f t="shared" si="77"/>
        <x:v/>
      </x:c>
      <x:c r="ER34" s="1053" t="str">
        <x:f t="shared" si="77"/>
        <x:v/>
      </x:c>
      <x:c r="ES34" s="1053" t="str">
        <x:f t="shared" si="78"/>
        <x:v/>
      </x:c>
      <x:c r="ET34" s="1053" t="str">
        <x:f t="shared" si="79"/>
        <x:v/>
      </x:c>
      <x:c r="EU34" s="1061">
        <x:f t="shared" si="80"/>
        <x:v>3.5</x:v>
      </x:c>
      <x:c r="EV34" s="1055" t="str">
        <x:f t="shared" si="81"/>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2"/>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3"/>
        <x:v/>
      </x:c>
      <x:c r="FD34" s="1052">
        <x:f t="shared" si="105"/>
        <x:v>0</x:v>
      </x:c>
      <x:c r="FE34" s="1052">
        <x:f t="shared" si="84"/>
        <x:v>0</x:v>
      </x:c>
      <x:c r="FF34" s="1052">
        <x:f t="shared" si="85"/>
        <x:v>0</x:v>
      </x:c>
      <x:c r="FG34" s="1052" t="str">
        <x:f t="shared" si="86"/>
        <x:v/>
      </x:c>
      <x:c r="FH34" s="1053" t="str">
        <x:f t="shared" si="87"/>
        <x:v/>
      </x:c>
      <x:c r="FI34" s="1052">
        <x:f t="shared" si="106"/>
        <x:v>0</x:v>
      </x:c>
      <x:c r="FJ34" s="1052">
        <x:f t="shared" si="88"/>
        <x:v>0</x:v>
      </x:c>
      <x:c r="FK34" s="1052">
        <x:f t="shared" si="89"/>
        <x:v>0</x:v>
      </x:c>
      <x:c r="FL34" s="1052" t="str">
        <x:f t="shared" si="90"/>
        <x:v/>
      </x:c>
      <x:c r="FM34" s="1053" t="str">
        <x:f t="shared" si="91"/>
        <x:v/>
      </x:c>
      <x:c r="FN34" s="1053" t="e">
        <x:f t="shared" si="92"/>
        <x:v>#VALUE!</x:v>
      </x:c>
      <x:c r="FO34" s="1062" t="e">
        <x:f t="shared" si="93"/>
        <x:v>#VALUE!</x:v>
      </x:c>
      <x:c r="FP34" s="1062" t="e">
        <x:f t="shared" si="94"/>
        <x:v>#VALUE!</x:v>
      </x:c>
      <x:c r="FQ34" s="1063" t="e">
        <x:f t="shared" si="95"/>
        <x:v>#VALUE!</x:v>
      </x:c>
      <x:c r="FR34" s="1064" t="e">
        <x:f t="shared" si="96"/>
        <x:v>#VALUE!</x:v>
      </x:c>
      <x:c r="FS34" s="1065" t="str">
        <x:f t="shared" si="97"/>
        <x:v/>
      </x:c>
      <x:c r="FT34" s="1066" t="str">
        <x:f t="shared" si="98"/>
        <x:v/>
      </x:c>
      <x:c r="FU34" s="1105">
        <x:f t="shared" si="99"/>
        <x:v>0</x:v>
      </x:c>
      <x:c r="FV34" s="1106">
        <x:f t="shared" si="100"/>
        <x:v>0</x:v>
      </x:c>
      <x:c r="GA34" s="1975">
        <x:v>49</x:v>
      </x:c>
      <x:c r="GB34" s="1976">
        <x:v>2.75</x:v>
      </x:c>
      <x:c r="GC34" s="1977">
        <x:v>-1.875</x:v>
      </x:c>
      <x:c r="GD34" s="1978">
        <x:v>-0.25</x:v>
      </x:c>
      <x:c r="GE34" s="1979">
        <x:v>0.314853999153618</x:v>
      </x:c>
      <x:c r="GF34" s="1980" t="str">
        <x:f t="shared" si="101"/>
        <x:v>TJ60</x:v>
      </x:c>
      <x:c r="GG34" s="1453"/>
      <x:c r="GH34" s="1454"/>
      <x:c r="GI34" s="1453"/>
      <x:c r="GJ34" s="1454"/>
      <x:c r="GK34" s="533">
        <x:f t="shared" si="102"/>
        <x:v>588.625</x:v>
      </x:c>
      <x:c r="GL34" s="534">
        <x:f t="shared" si="103"/>
        <x:v>588.827576898703</x:v>
      </x:c>
      <x:c r="GM34" s="535">
        <x:f>IF(ABS(GK34-GL34)&gt;='Job Info.'!$L$22,ABS(GK34-GL34),0)</x:f>
        <x:v>0</x:v>
      </x:c>
      <x:c r="HA34" s="1658" t="s">
        <x:v>1384</x:v>
      </x:c>
      <x:c r="HB34" s="1659">
        <x:v>10</x:v>
      </x:c>
      <x:c r="HC34" s="1659" t="s">
        <x:v>1979</x:v>
      </x:c>
      <x:c r="HD34" s="1660">
        <x:v>49</x:v>
      </x:c>
      <x:c r="HE34" s="1661">
        <x:v>0.625</x:v>
      </x:c>
      <x:c r="HF34" s="1659" t="s">
        <x:v>117</x:v>
      </x:c>
      <x:c r="HG34" s="1659" t="s">
        <x:v>117</x:v>
      </x:c>
      <x:c r="HH34" s="1659" t="s">
        <x:v>117</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x:v>0</x:v>
      </x:c>
      <x:c r="HU34" s="1659">
        <x:v>1.125</x:v>
      </x:c>
      <x:c r="HV34" s="1659">
        <x:v>0</x:v>
      </x:c>
      <x:c r="HW34" s="1661">
        <x:v>2.25</x:v>
      </x:c>
      <x:c r="HX34" s="1661">
        <x:v>4</x:v>
      </x:c>
      <x:c r="HY34" s="1661" t="s">
        <x:v>117</x:v>
      </x:c>
      <x:c r="HZ34" s="1661" t="s">
        <x:v>117</x:v>
      </x:c>
      <x:c r="IA34" s="1661" t="s">
        <x:v>2105</x:v>
      </x:c>
      <x:c r="IB34" s="1661"/>
      <x:c r="IC34" s="1661"/>
      <x:c r="ID34" s="1661"/>
      <x:c r="IE34" s="1661"/>
      <x:c r="IF34" s="1663"/>
    </x:row>
    <x:row r="35" spans="1:240" ht="12.6" customHeight="1" x14ac:dyDescent="0.25">
      <x:c r="A35" s="1264" t="s">
        <x:v>1385</x:v>
      </x:c>
      <x:c r="B35" s="1265">
        <x:v>0</x:v>
      </x:c>
      <x:c r="C35" s="1265" t="s">
        <x:v>1979</x:v>
      </x:c>
      <x:c r="D35" s="1261">
        <x:v>49</x:v>
      </x:c>
      <x:c r="E35" s="1366">
        <x:v>0.625</x:v>
      </x:c>
      <x:c r="F35" s="1328" t="str">
        <x:f t="shared" si="107"/>
        <x:v/>
      </x:c>
      <x:c r="G35" s="1262" t="str">
        <x:f t="shared" si="108"/>
        <x:v/>
      </x:c>
      <x:c r="H35" s="1266" t="str">
        <x:f t="shared" si="109"/>
        <x:v/>
      </x:c>
      <x:c r="I35" s="1261">
        <x:v>0</x:v>
      </x:c>
      <x:c r="J35" s="1262">
        <x:v>1.375</x:v>
      </x:c>
      <x:c r="K35" s="1370" t="s">
        <x:v>114</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7"/>
        <x:v/>
      </x:c>
      <x:c r="U35" s="1262" t="str">
        <x:f t="shared" si="8"/>
        <x:v/>
      </x:c>
      <x:c r="V35" s="1261" t="str">
        <x:f t="shared" si="9"/>
        <x:v/>
      </x:c>
      <x:c r="W35" s="1262" t="str">
        <x:f t="shared" si="10"/>
        <x:v/>
      </x:c>
      <x:c r="X35" s="1329">
        <x:f t="shared" si="11"/>
        <x:v>0</x:v>
      </x:c>
      <x:c r="Y35" s="1377" t="str">
        <x:f t="shared" si="12"/>
        <x:v/>
      </x:c>
      <x:c r="Z35" s="1378" t="str">
        <x:f t="shared" si="13"/>
        <x:v/>
      </x:c>
      <x:c r="AA35" s="2159" t="s">
        <x:v>2106</x:v>
      </x:c>
      <x:c r="AC35" s="1226" t="b">
        <x:v>0</x:v>
      </x:c>
      <x:c r="AD35" s="525">
        <x:f t="shared" si="14"/>
        <x:v>0</x:v>
      </x:c>
      <x:c r="AE35" s="526">
        <x:f t="shared" si="15"/>
        <x:v>0</x:v>
      </x:c>
      <x:c r="AF35" s="526">
        <x:f t="shared" si="16"/>
        <x:v>0</x:v>
      </x:c>
      <x:c r="AG35" s="526">
        <x:f t="shared" si="17"/>
        <x:v>0</x:v>
      </x:c>
      <x:c r="AH35" s="527">
        <x:f t="shared" si="18"/>
        <x:v>0</x:v>
      </x:c>
      <x:c r="AI35" s="528" t="b">
        <x:v>0</x:v>
      </x:c>
      <x:c r="AJ35" s="284">
        <x:f t="shared" si="19"/>
        <x:v>30</x:v>
      </x:c>
      <x:c r="AK35" s="1063" t="str">
        <x:f t="shared" si="20"/>
        <x:v>K</x:v>
      </x:c>
      <x:c r="AL35" s="1202" t="str">
        <x:f t="shared" si="21"/>
        <x:v/>
      </x:c>
      <x:c r="AM35" s="1063">
        <x:f t="shared" si="22"/>
        <x:v>240</x:v>
      </x:c>
      <x:c r="AN35" s="1063">
        <x:f t="shared" si="23"/>
        <x:v>140</x:v>
      </x:c>
      <x:c r="AO35" s="1063" t="str">
        <x:f t="shared" si="24"/>
        <x:v/>
      </x:c>
      <x:c r="AP35" s="1063" t="b">
        <x:f>IF(ISERROR(AJ35),FALSE,IF(OR(AJ35=0,ISERROR(AL35),ISERROR(AM35),ISERROR(AN35),ISERROR(AO35)),FALSE,IF(AL35&lt;&gt;"",IF(ISERROR(VLOOKUP(SUBSTITUTE(SUBSTITUTE(C35,"R",""),"A",""),TblJoistSize!$A:$A,1,FALSE)),FALSE,TRUE),TRUE)))</x:f>
        <x:v>1</x:v>
      </x:c>
      <x:c r="AQ35" s="1305">
        <x:f t="shared" si="25"/>
        <x:v>4</x:v>
      </x:c>
      <x:c r="AR35" s="1305" t="b">
        <x:f t="shared" si="26"/>
        <x:v>0</x:v>
      </x:c>
      <x:c r="AS35" s="1305">
        <x:f t="shared" si="27"/>
        <x:v>5.375</x:v>
      </x:c>
      <x:c r="AT35" s="1305" t="b">
        <x:f t="shared" si="28"/>
        <x:v>0</x:v>
      </x:c>
      <x:c r="AU35" s="1203" t="str">
        <x:f t="shared" si="29"/>
        <x:v>K</x:v>
      </x:c>
      <x:c r="AV35" s="1063" t="str">
        <x:f t="shared" si="30"/>
        <x:v>K</x:v>
      </x:c>
      <x:c r="AW35" s="1063" t="str">
        <x:f t="shared" si="31"/>
        <x:v/>
      </x:c>
      <x:c r="AX35" s="1063" t="str">
        <x:f t="shared" si="104"/>
        <x:v>J61</x:v>
      </x:c>
      <x:c r="AY35" s="1306" t="b">
        <x:f t="shared" si="32"/>
        <x:v>0</x:v>
      </x:c>
      <x:c r="AZ35" s="1090" t="b">
        <x:f t="shared" si="33"/>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4"/>
        <x:v/>
      </x:c>
      <x:c r="CE35" s="935" t="str">
        <x:f t="shared" si="35"/>
        <x:v/>
      </x:c>
      <x:c r="CF35" s="1149"/>
      <x:c r="CG35" s="1150"/>
      <x:c r="CH35" s="738" t="str">
        <x:f t="shared" si="36"/>
        <x:v/>
      </x:c>
      <x:c r="CI35" s="739" t="str">
        <x:f t="shared" si="37"/>
        <x:v/>
      </x:c>
      <x:c r="CJ35" s="740" t="str">
        <x:f t="shared" si="38"/>
        <x:v/>
      </x:c>
      <x:c r="CK35" s="741" t="str">
        <x:f t="shared" si="39"/>
        <x:v/>
      </x:c>
      <x:c r="CL35" s="742" t="str">
        <x:f t="shared" si="40"/>
        <x:v/>
      </x:c>
      <x:c r="CM35" s="743" t="str">
        <x:f t="shared" si="41"/>
        <x:v/>
      </x:c>
      <x:c r="CN35" s="744" t="str">
        <x:f t="shared" si="42"/>
        <x:v/>
      </x:c>
      <x:c r="CO35" s="745" t="str">
        <x:f t="shared" si="43"/>
        <x:v/>
      </x:c>
      <x:c r="CP35" s="762" t="str">
        <x:f t="shared" si="44"/>
        <x:v/>
      </x:c>
      <x:c r="CQ35" s="763" t="str">
        <x:f t="shared" si="45"/>
        <x:v/>
      </x:c>
      <x:c r="CR35" s="953">
        <x:f t="shared" si="46"/>
        <x:v>2.5</x:v>
      </x:c>
      <x:c r="CS35" s="954">
        <x:f t="shared" si="47"/>
        <x:v>2.5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8"/>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9"/>
        <x:v>0</x:v>
      </x:c>
      <x:c r="DO35" s="1049">
        <x:f t="shared" si="50"/>
        <x:v>0</x:v>
      </x:c>
      <x:c r="DP35" s="1053" t="str">
        <x:f t="shared" si="51"/>
        <x:v/>
      </x:c>
      <x:c r="DQ35" s="1053" t="str">
        <x:f t="shared" si="52"/>
        <x:v/>
      </x:c>
      <x:c r="DR35" s="1053" t="str">
        <x:f t="shared" si="53"/>
        <x:v/>
      </x:c>
      <x:c r="DS35" s="1052">
        <x:f t="shared" si="54"/>
        <x:v>0</x:v>
      </x:c>
      <x:c r="DT35" s="1052">
        <x:f t="shared" si="55"/>
        <x:v>0</x:v>
      </x:c>
      <x:c r="DU35" s="1052" t="str">
        <x:f t="shared" si="56"/>
        <x:v/>
      </x:c>
      <x:c r="DV35" s="1053" t="str">
        <x:f t="shared" si="57"/>
        <x:v/>
      </x:c>
      <x:c r="DW35" s="1053" t="str">
        <x:f t="shared" si="58"/>
        <x:v/>
      </x:c>
      <x:c r="DX35" s="1269">
        <x:f t="shared" si="59"/>
        <x:v>0</x:v>
      </x:c>
      <x:c r="DY35" s="1053">
        <x:f t="shared" si="60"/>
        <x:v>0</x:v>
      </x:c>
      <x:c r="DZ35" s="1052">
        <x:f t="shared" si="61"/>
        <x:v>0</x:v>
      </x:c>
      <x:c r="EA35" s="1052" t="str">
        <x:f t="shared" si="62"/>
        <x:v/>
      </x:c>
      <x:c r="EB35" s="1053" t="str">
        <x:f t="shared" si="63"/>
        <x:v/>
      </x:c>
      <x:c r="EC35" s="1053" t="str">
        <x:f t="shared" si="64"/>
        <x:v/>
      </x:c>
      <x:c r="ED35" s="1269">
        <x:f t="shared" si="65"/>
        <x:v>0</x:v>
      </x:c>
      <x:c r="EE35" s="1090" t="str">
        <x:f t="shared" si="66"/>
        <x:v/>
      </x:c>
      <x:c r="EF35" s="1053" t="str">
        <x:f t="shared" si="67"/>
        <x:v/>
      </x:c>
      <x:c r="EG35" s="1053" t="str">
        <x:f t="shared" si="68"/>
        <x:v/>
      </x:c>
      <x:c r="EH35" s="1053" t="str">
        <x:f t="shared" si="69"/>
        <x:v>ERR</x:v>
      </x:c>
      <x:c r="EI35" s="1053" t="str">
        <x:f t="shared" si="70"/>
        <x:v>ERR</x:v>
      </x:c>
      <x:c r="EJ35" s="1053" t="str">
        <x:f t="shared" si="71"/>
        <x:v/>
      </x:c>
      <x:c r="EK35" s="1053" t="str">
        <x:f t="shared" si="71"/>
        <x:v/>
      </x:c>
      <x:c r="EL35" s="1090" t="str">
        <x:f t="shared" si="72"/>
        <x:v/>
      </x:c>
      <x:c r="EM35" s="1053" t="str">
        <x:f t="shared" si="73"/>
        <x:v/>
      </x:c>
      <x:c r="EN35" s="1053" t="str">
        <x:f t="shared" si="74"/>
        <x:v/>
      </x:c>
      <x:c r="EO35" s="1053" t="str">
        <x:f t="shared" si="75"/>
        <x:v>ERR</x:v>
      </x:c>
      <x:c r="EP35" s="1053" t="str">
        <x:f t="shared" si="76"/>
        <x:v>ERR</x:v>
      </x:c>
      <x:c r="EQ35" s="1053" t="str">
        <x:f t="shared" si="77"/>
        <x:v/>
      </x:c>
      <x:c r="ER35" s="1053" t="str">
        <x:f t="shared" si="77"/>
        <x:v/>
      </x:c>
      <x:c r="ES35" s="1053" t="str">
        <x:f t="shared" si="78"/>
        <x:v/>
      </x:c>
      <x:c r="ET35" s="1053" t="str">
        <x:f t="shared" si="79"/>
        <x:v/>
      </x:c>
      <x:c r="EU35" s="1061">
        <x:f t="shared" si="80"/>
        <x:v>3.5</x:v>
      </x:c>
      <x:c r="EV35" s="1055" t="str">
        <x:f t="shared" si="81"/>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2"/>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3"/>
        <x:v/>
      </x:c>
      <x:c r="FD35" s="1052">
        <x:f t="shared" si="105"/>
        <x:v>0</x:v>
      </x:c>
      <x:c r="FE35" s="1052">
        <x:f t="shared" si="84"/>
        <x:v>0</x:v>
      </x:c>
      <x:c r="FF35" s="1052">
        <x:f t="shared" si="85"/>
        <x:v>0</x:v>
      </x:c>
      <x:c r="FG35" s="1052" t="str">
        <x:f t="shared" si="86"/>
        <x:v/>
      </x:c>
      <x:c r="FH35" s="1053" t="str">
        <x:f t="shared" si="87"/>
        <x:v/>
      </x:c>
      <x:c r="FI35" s="1052">
        <x:f t="shared" si="106"/>
        <x:v>0</x:v>
      </x:c>
      <x:c r="FJ35" s="1052">
        <x:f t="shared" si="88"/>
        <x:v>0</x:v>
      </x:c>
      <x:c r="FK35" s="1052">
        <x:f t="shared" si="89"/>
        <x:v>0</x:v>
      </x:c>
      <x:c r="FL35" s="1052" t="str">
        <x:f t="shared" si="90"/>
        <x:v/>
      </x:c>
      <x:c r="FM35" s="1053" t="str">
        <x:f t="shared" si="91"/>
        <x:v/>
      </x:c>
      <x:c r="FN35" s="1053" t="e">
        <x:f t="shared" si="92"/>
        <x:v>#VALUE!</x:v>
      </x:c>
      <x:c r="FO35" s="1062" t="e">
        <x:f t="shared" si="93"/>
        <x:v>#VALUE!</x:v>
      </x:c>
      <x:c r="FP35" s="1062" t="e">
        <x:f t="shared" si="94"/>
        <x:v>#VALUE!</x:v>
      </x:c>
      <x:c r="FQ35" s="1063" t="e">
        <x:f t="shared" si="95"/>
        <x:v>#VALUE!</x:v>
      </x:c>
      <x:c r="FR35" s="1064" t="e">
        <x:f t="shared" si="96"/>
        <x:v>#VALUE!</x:v>
      </x:c>
      <x:c r="FS35" s="1065" t="str">
        <x:f t="shared" si="97"/>
        <x:v/>
      </x:c>
      <x:c r="FT35" s="1066" t="str">
        <x:f t="shared" si="98"/>
        <x:v/>
      </x:c>
      <x:c r="FU35" s="1105">
        <x:f t="shared" si="99"/>
        <x:v>0</x:v>
      </x:c>
      <x:c r="FV35" s="1106">
        <x:f t="shared" si="100"/>
        <x:v>0</x:v>
      </x:c>
      <x:c r="GA35" s="1975">
        <x:v>49</x:v>
      </x:c>
      <x:c r="GB35" s="1976">
        <x:v>2.75</x:v>
      </x:c>
      <x:c r="GC35" s="1977">
        <x:v>-1.875</x:v>
      </x:c>
      <x:c r="GD35" s="1978">
        <x:v>-0.25</x:v>
      </x:c>
      <x:c r="GE35" s="1979">
        <x:v>0.314853999153618</x:v>
      </x:c>
      <x:c r="GF35" s="1980" t="str">
        <x:f t="shared" si="101"/>
        <x:v>J61</x:v>
      </x:c>
      <x:c r="GG35" s="1453"/>
      <x:c r="GH35" s="1454"/>
      <x:c r="GI35" s="1453"/>
      <x:c r="GJ35" s="1454"/>
      <x:c r="GK35" s="533">
        <x:f t="shared" si="102"/>
        <x:v>588.625</x:v>
      </x:c>
      <x:c r="GL35" s="534">
        <x:f t="shared" si="103"/>
        <x:v>588.827576898703</x:v>
      </x:c>
      <x:c r="GM35" s="535">
        <x:f>IF(ABS(GK35-GL35)&gt;='Job Info.'!$L$22,ABS(GK35-GL35),0)</x:f>
        <x:v>0</x:v>
      </x:c>
      <x:c r="HA35" s="1658" t="s">
        <x:v>1385</x:v>
      </x:c>
      <x:c r="HB35" s="1659">
        <x:v>7</x:v>
      </x:c>
      <x:c r="HC35" s="1659" t="s">
        <x:v>1979</x:v>
      </x:c>
      <x:c r="HD35" s="1660">
        <x:v>49</x:v>
      </x:c>
      <x:c r="HE35" s="1661">
        <x:v>0.625</x:v>
      </x:c>
      <x:c r="HF35" s="1659" t="s">
        <x:v>117</x:v>
      </x:c>
      <x:c r="HG35" s="1659" t="s">
        <x:v>117</x:v>
      </x:c>
      <x:c r="HH35" s="1659" t="s">
        <x:v>117</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2106</x:v>
      </x:c>
      <x:c r="IB35" s="1661"/>
      <x:c r="IC35" s="1661"/>
      <x:c r="ID35" s="1661"/>
      <x:c r="IE35" s="1661"/>
      <x:c r="IF35" s="1663"/>
    </x:row>
    <x:row r="36" spans="1:240" ht="12.6" customHeight="1" x14ac:dyDescent="0.25">
      <x:c r="A36" s="1264" t="s">
        <x:v>1386</x:v>
      </x:c>
      <x:c r="B36" s="1265">
        <x:v>0</x:v>
      </x:c>
      <x:c r="C36" s="1265" t="s">
        <x:v>1979</x:v>
      </x:c>
      <x:c r="D36" s="1261">
        <x:v>48</x:v>
      </x:c>
      <x:c r="E36" s="1366">
        <x:v>11.875</x:v>
      </x:c>
      <x:c r="F36" s="1328" t="str">
        <x:f t="shared" si="107"/>
        <x:v/>
      </x:c>
      <x:c r="G36" s="1262" t="str">
        <x:f t="shared" si="108"/>
        <x:v/>
      </x:c>
      <x:c r="H36" s="1266" t="str">
        <x:f t="shared" si="109"/>
        <x:v/>
      </x:c>
      <x:c r="I36" s="1261">
        <x:v>0</x:v>
      </x:c>
      <x:c r="J36" s="1262">
        <x:v>0.625</x:v>
      </x:c>
      <x:c r="K36" s="1370" t="s">
        <x:v>114</x:v>
      </x:c>
      <x:c r="L36" s="1327">
        <x:v>3</x:v>
      </x:c>
      <x:c r="M36" s="1329">
        <x:v>3</x:v>
      </x:c>
      <x:c r="N36" s="1263" t="str">
        <x:f t="shared" si="1"/>
        <x:v/>
      </x:c>
      <x:c r="O36" s="1262" t="str">
        <x:f t="shared" si="2"/>
        <x:v/>
      </x:c>
      <x:c r="P36" s="1260" t="str">
        <x:f t="shared" si="3"/>
        <x:v/>
      </x:c>
      <x:c r="Q36" s="1261">
        <x:v>0</x:v>
      </x:c>
      <x:c r="R36" s="1262">
        <x:v>6.75</x:v>
      </x:c>
      <x:c r="S36" s="1375">
        <x:v>2</x:v>
      </x:c>
      <x:c r="T36" s="1328">
        <x:v>0</x:v>
      </x:c>
      <x:c r="U36" s="1262">
        <x:v>1.125</x:v>
      </x:c>
      <x:c r="V36" s="1261">
        <x:v>0</x:v>
      </x:c>
      <x:c r="W36" s="1262">
        <x:v>1.5</x:v>
      </x:c>
      <x:c r="X36" s="1329">
        <x:v>4</x:v>
      </x:c>
      <x:c r="Y36" s="1377" t="str">
        <x:f t="shared" si="12"/>
        <x:v/>
      </x:c>
      <x:c r="Z36" s="1378" t="str">
        <x:f t="shared" si="13"/>
        <x:v/>
      </x:c>
      <x:c r="AA36" s="2159" t="s">
        <x:v>2105</x:v>
      </x:c>
      <x:c r="AC36" s="1226" t="b">
        <x:v>0</x:v>
      </x:c>
      <x:c r="AD36" s="525">
        <x:f t="shared" si="14"/>
        <x:v>0</x:v>
      </x:c>
      <x:c r="AE36" s="526">
        <x:f t="shared" si="15"/>
        <x:v>0</x:v>
      </x:c>
      <x:c r="AF36" s="526">
        <x:f t="shared" si="16"/>
        <x:v>0</x:v>
      </x:c>
      <x:c r="AG36" s="526">
        <x:f t="shared" si="17"/>
        <x:v>0</x:v>
      </x:c>
      <x:c r="AH36" s="527">
        <x:f t="shared" si="18"/>
        <x:v>0</x:v>
      </x:c>
      <x:c r="AI36" s="528" t="b">
        <x:v>0</x:v>
      </x:c>
      <x:c r="AJ36" s="284">
        <x:f t="shared" si="19"/>
        <x:v>30</x:v>
      </x:c>
      <x:c r="AK36" s="1063" t="str">
        <x:f t="shared" si="20"/>
        <x:v>K</x:v>
      </x:c>
      <x:c r="AL36" s="1202" t="str">
        <x:f t="shared" si="21"/>
        <x:v/>
      </x:c>
      <x:c r="AM36" s="1063">
        <x:f t="shared" si="22"/>
        <x:v>240</x:v>
      </x:c>
      <x:c r="AN36" s="1063">
        <x:f t="shared" si="23"/>
        <x:v>140</x:v>
      </x:c>
      <x:c r="AO36" s="1063" t="str">
        <x:f t="shared" si="24"/>
        <x:v/>
      </x:c>
      <x:c r="AP36" s="1063" t="b">
        <x:f>IF(ISERROR(AJ36),FALSE,IF(OR(AJ36=0,ISERROR(AL36),ISERROR(AM36),ISERROR(AN36),ISERROR(AO36)),FALSE,IF(AL36&lt;&gt;"",IF(ISERROR(VLOOKUP(SUBSTITUTE(SUBSTITUTE(C36,"R",""),"A",""),TblJoistSize!$A:$A,1,FALSE)),FALSE,TRUE),TRUE)))</x:f>
        <x:v>1</x:v>
      </x:c>
      <x:c r="AQ36" s="1305">
        <x:f t="shared" si="25"/>
        <x:v>4</x:v>
      </x:c>
      <x:c r="AR36" s="1305" t="b">
        <x:f t="shared" si="26"/>
        <x:v>1</x:v>
      </x:c>
      <x:c r="AS36" s="1305">
        <x:f t="shared" si="27"/>
        <x:v>4.625</x:v>
      </x:c>
      <x:c r="AT36" s="1305" t="b">
        <x:f t="shared" si="28"/>
        <x:v>1</x:v>
      </x:c>
      <x:c r="AU36" s="1203" t="str">
        <x:f t="shared" si="29"/>
        <x:v>K</x:v>
      </x:c>
      <x:c r="AV36" s="1063" t="str">
        <x:f t="shared" si="30"/>
        <x:v>K</x:v>
      </x:c>
      <x:c r="AW36" s="1063" t="str">
        <x:f t="shared" si="31"/>
        <x:v/>
      </x:c>
      <x:c r="AX36" s="1063" t="str">
        <x:f t="shared" si="104"/>
        <x:v>TJ62</x:v>
      </x:c>
      <x:c r="AY36" s="1306" t="b">
        <x:f t="shared" si="32"/>
        <x:v>0</x:v>
      </x:c>
      <x:c r="AZ36" s="1090" t="b">
        <x:f t="shared" si="33"/>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4"/>
        <x:v/>
      </x:c>
      <x:c r="CE36" s="935" t="str">
        <x:f t="shared" si="35"/>
        <x:v/>
      </x:c>
      <x:c r="CF36" s="1149"/>
      <x:c r="CG36" s="1150"/>
      <x:c r="CH36" s="738" t="str">
        <x:f t="shared" si="36"/>
        <x:v/>
      </x:c>
      <x:c r="CI36" s="739" t="str">
        <x:f t="shared" si="37"/>
        <x:v/>
      </x:c>
      <x:c r="CJ36" s="740" t="str">
        <x:f t="shared" si="38"/>
        <x:v/>
      </x:c>
      <x:c r="CK36" s="741" t="str">
        <x:f t="shared" si="39"/>
        <x:v/>
      </x:c>
      <x:c r="CL36" s="742" t="str">
        <x:f t="shared" si="40"/>
        <x:v/>
      </x:c>
      <x:c r="CM36" s="743" t="str">
        <x:f t="shared" si="41"/>
        <x:v/>
      </x:c>
      <x:c r="CN36" s="744" t="str">
        <x:f t="shared" si="42"/>
        <x:v/>
      </x:c>
      <x:c r="CO36" s="745" t="str">
        <x:f t="shared" si="43"/>
        <x:v/>
      </x:c>
      <x:c r="CP36" s="762" t="str">
        <x:f t="shared" si="44"/>
        <x:v/>
      </x:c>
      <x:c r="CQ36" s="763" t="str">
        <x:f t="shared" si="45"/>
        <x:v/>
      </x:c>
      <x:c r="CR36" s="953">
        <x:f t="shared" si="46"/>
        <x:v>2.5</x:v>
      </x:c>
      <x:c r="CS36" s="954">
        <x:f t="shared" si="47"/>
        <x:v>2.5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8"/>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9"/>
        <x:v>0</x:v>
      </x:c>
      <x:c r="DO36" s="1049">
        <x:f t="shared" si="50"/>
        <x:v>0</x:v>
      </x:c>
      <x:c r="DP36" s="1053" t="str">
        <x:f t="shared" si="51"/>
        <x:v/>
      </x:c>
      <x:c r="DQ36" s="1053" t="str">
        <x:f t="shared" si="52"/>
        <x:v/>
      </x:c>
      <x:c r="DR36" s="1053" t="str">
        <x:f t="shared" si="53"/>
        <x:v/>
      </x:c>
      <x:c r="DS36" s="1052">
        <x:f t="shared" si="54"/>
        <x:v>0</x:v>
      </x:c>
      <x:c r="DT36" s="1052">
        <x:f t="shared" si="55"/>
        <x:v>0</x:v>
      </x:c>
      <x:c r="DU36" s="1052" t="str">
        <x:f t="shared" si="56"/>
        <x:v/>
      </x:c>
      <x:c r="DV36" s="1053" t="str">
        <x:f t="shared" si="57"/>
        <x:v/>
      </x:c>
      <x:c r="DW36" s="1053" t="str">
        <x:f t="shared" si="58"/>
        <x:v/>
      </x:c>
      <x:c r="DX36" s="1269">
        <x:f t="shared" si="59"/>
        <x:v>0</x:v>
      </x:c>
      <x:c r="DY36" s="1053">
        <x:f t="shared" si="60"/>
        <x:v>0</x:v>
      </x:c>
      <x:c r="DZ36" s="1052">
        <x:f t="shared" si="61"/>
        <x:v>0</x:v>
      </x:c>
      <x:c r="EA36" s="1052" t="str">
        <x:f t="shared" si="62"/>
        <x:v/>
      </x:c>
      <x:c r="EB36" s="1053" t="str">
        <x:f t="shared" si="63"/>
        <x:v/>
      </x:c>
      <x:c r="EC36" s="1053" t="str">
        <x:f t="shared" si="64"/>
        <x:v/>
      </x:c>
      <x:c r="ED36" s="1269">
        <x:f t="shared" si="65"/>
        <x:v>0</x:v>
      </x:c>
      <x:c r="EE36" s="1090" t="str">
        <x:f t="shared" si="66"/>
        <x:v/>
      </x:c>
      <x:c r="EF36" s="1053" t="str">
        <x:f t="shared" si="67"/>
        <x:v/>
      </x:c>
      <x:c r="EG36" s="1053" t="str">
        <x:f t="shared" si="68"/>
        <x:v/>
      </x:c>
      <x:c r="EH36" s="1053" t="str">
        <x:f t="shared" si="69"/>
        <x:v>ERR</x:v>
      </x:c>
      <x:c r="EI36" s="1053" t="str">
        <x:f t="shared" si="70"/>
        <x:v>ERR</x:v>
      </x:c>
      <x:c r="EJ36" s="1053" t="str">
        <x:f t="shared" si="71"/>
        <x:v/>
      </x:c>
      <x:c r="EK36" s="1053" t="str">
        <x:f t="shared" si="71"/>
        <x:v/>
      </x:c>
      <x:c r="EL36" s="1090" t="str">
        <x:f t="shared" si="72"/>
        <x:v/>
      </x:c>
      <x:c r="EM36" s="1053" t="str">
        <x:f t="shared" si="73"/>
        <x:v/>
      </x:c>
      <x:c r="EN36" s="1053" t="str">
        <x:f t="shared" si="74"/>
        <x:v/>
      </x:c>
      <x:c r="EO36" s="1053" t="str">
        <x:f t="shared" si="75"/>
        <x:v>ERR</x:v>
      </x:c>
      <x:c r="EP36" s="1053" t="str">
        <x:f t="shared" si="76"/>
        <x:v>ERR</x:v>
      </x:c>
      <x:c r="EQ36" s="1053" t="str">
        <x:f t="shared" si="77"/>
        <x:v/>
      </x:c>
      <x:c r="ER36" s="1053" t="str">
        <x:f t="shared" si="77"/>
        <x:v/>
      </x:c>
      <x:c r="ES36" s="1053" t="str">
        <x:f t="shared" si="78"/>
        <x:v/>
      </x:c>
      <x:c r="ET36" s="1053" t="str">
        <x:f t="shared" si="79"/>
        <x:v/>
      </x:c>
      <x:c r="EU36" s="1061">
        <x:f t="shared" si="80"/>
        <x:v>3.5</x:v>
      </x:c>
      <x:c r="EV36" s="1055" t="str">
        <x:f t="shared" si="81"/>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2"/>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3"/>
        <x:v/>
      </x:c>
      <x:c r="FD36" s="1052">
        <x:f t="shared" si="105"/>
        <x:v>0</x:v>
      </x:c>
      <x:c r="FE36" s="1052">
        <x:f t="shared" si="84"/>
        <x:v>0</x:v>
      </x:c>
      <x:c r="FF36" s="1052">
        <x:f t="shared" si="85"/>
        <x:v>0</x:v>
      </x:c>
      <x:c r="FG36" s="1052" t="str">
        <x:f t="shared" si="86"/>
        <x:v/>
      </x:c>
      <x:c r="FH36" s="1053" t="str">
        <x:f t="shared" si="87"/>
        <x:v/>
      </x:c>
      <x:c r="FI36" s="1052">
        <x:f t="shared" si="106"/>
        <x:v>0</x:v>
      </x:c>
      <x:c r="FJ36" s="1052">
        <x:f t="shared" si="88"/>
        <x:v>0</x:v>
      </x:c>
      <x:c r="FK36" s="1052">
        <x:f t="shared" si="89"/>
        <x:v>0</x:v>
      </x:c>
      <x:c r="FL36" s="1052" t="str">
        <x:f t="shared" si="90"/>
        <x:v/>
      </x:c>
      <x:c r="FM36" s="1053" t="str">
        <x:f t="shared" si="91"/>
        <x:v/>
      </x:c>
      <x:c r="FN36" s="1053" t="e">
        <x:f t="shared" si="92"/>
        <x:v>#VALUE!</x:v>
      </x:c>
      <x:c r="FO36" s="1062" t="e">
        <x:f t="shared" si="93"/>
        <x:v>#VALUE!</x:v>
      </x:c>
      <x:c r="FP36" s="1062" t="e">
        <x:f t="shared" si="94"/>
        <x:v>#VALUE!</x:v>
      </x:c>
      <x:c r="FQ36" s="1063" t="e">
        <x:f t="shared" si="95"/>
        <x:v>#VALUE!</x:v>
      </x:c>
      <x:c r="FR36" s="1064" t="e">
        <x:f t="shared" si="96"/>
        <x:v>#VALUE!</x:v>
      </x:c>
      <x:c r="FS36" s="1065" t="str">
        <x:f t="shared" si="97"/>
        <x:v/>
      </x:c>
      <x:c r="FT36" s="1066" t="str">
        <x:f t="shared" si="98"/>
        <x:v/>
      </x:c>
      <x:c r="FU36" s="1105">
        <x:f t="shared" si="99"/>
        <x:v>0</x:v>
      </x:c>
      <x:c r="FV36" s="1106">
        <x:f t="shared" si="100"/>
        <x:v>0</x:v>
      </x:c>
      <x:c r="GA36" s="1975">
        <x:v>49</x:v>
      </x:c>
      <x:c r="GB36" s="1976">
        <x:v>2.75</x:v>
      </x:c>
      <x:c r="GC36" s="1977">
        <x:v>-1.875</x:v>
      </x:c>
      <x:c r="GD36" s="1978">
        <x:v>-1</x:v>
      </x:c>
      <x:c r="GE36" s="1979">
        <x:v>0.314853999153618</x:v>
      </x:c>
      <x:c r="GF36" s="1980" t="str">
        <x:f t="shared" si="101"/>
        <x:v>TJ62</x:v>
      </x:c>
      <x:c r="GG36" s="1453"/>
      <x:c r="GH36" s="1454"/>
      <x:c r="GI36" s="1453"/>
      <x:c r="GJ36" s="1454"/>
      <x:c r="GK36" s="533">
        <x:f t="shared" si="102"/>
        <x:v>587.875</x:v>
      </x:c>
      <x:c r="GL36" s="534">
        <x:f t="shared" si="103"/>
        <x:v>588.07731878415802</x:v>
      </x:c>
      <x:c r="GM36" s="535">
        <x:f>IF(ABS(GK36-GL36)&gt;='Job Info.'!$L$22,ABS(GK36-GL36),0)</x:f>
        <x:v>0</x:v>
      </x:c>
      <x:c r="HA36" s="1658" t="s">
        <x:v>1386</x:v>
      </x:c>
      <x:c r="HB36" s="1659">
        <x:v>3</x:v>
      </x:c>
      <x:c r="HC36" s="1659" t="s">
        <x:v>1979</x:v>
      </x:c>
      <x:c r="HD36" s="1660">
        <x:v>48</x:v>
      </x:c>
      <x:c r="HE36" s="1661">
        <x:v>11.875</x:v>
      </x:c>
      <x:c r="HF36" s="1659" t="s">
        <x:v>117</x:v>
      </x:c>
      <x:c r="HG36" s="1659" t="s">
        <x:v>117</x:v>
      </x:c>
      <x:c r="HH36" s="1659" t="s">
        <x:v>117</x:v>
      </x:c>
      <x:c r="HI36" s="1662">
        <x:v>0</x:v>
      </x:c>
      <x:c r="HJ36" s="1659">
        <x:v>0.625</x:v>
      </x:c>
      <x:c r="HK36" s="1659" t="s">
        <x:v>114</x:v>
      </x:c>
      <x:c r="HL36" s="1659">
        <x:v>3</x:v>
      </x:c>
      <x:c r="HM36" s="1659">
        <x:v>3</x:v>
      </x:c>
      <x:c r="HN36" s="1659" t="s">
        <x:v>117</x:v>
      </x:c>
      <x:c r="HO36" s="1659" t="s">
        <x:v>117</x:v>
      </x:c>
      <x:c r="HP36" s="1659" t="s">
        <x:v>117</x:v>
      </x:c>
      <x:c r="HQ36" s="1662">
        <x:v>0</x:v>
      </x:c>
      <x:c r="HR36" s="1659">
        <x:v>6.75</x:v>
      </x:c>
      <x:c r="HS36" s="1659">
        <x:v>2</x:v>
      </x:c>
      <x:c r="HT36" s="1659">
        <x:v>0</x:v>
      </x:c>
      <x:c r="HU36" s="1659">
        <x:v>1.125</x:v>
      </x:c>
      <x:c r="HV36" s="1659">
        <x:v>0</x:v>
      </x:c>
      <x:c r="HW36" s="1661">
        <x:v>1.5</x:v>
      </x:c>
      <x:c r="HX36" s="1661">
        <x:v>4</x:v>
      </x:c>
      <x:c r="HY36" s="1661" t="s">
        <x:v>117</x:v>
      </x:c>
      <x:c r="HZ36" s="1661" t="s">
        <x:v>117</x:v>
      </x:c>
      <x:c r="IA36" s="1661" t="s">
        <x:v>2105</x:v>
      </x:c>
      <x:c r="IB36" s="1661"/>
      <x:c r="IC36" s="1661"/>
      <x:c r="ID36" s="1661"/>
      <x:c r="IE36" s="1661"/>
      <x:c r="IF36" s="1663"/>
    </x:row>
    <x:row r="37" spans="1:240" ht="12.6" customHeight="1" x14ac:dyDescent="0.25">
      <x:c r="A37" s="1264" t="s">
        <x:v>1387</x:v>
      </x:c>
      <x:c r="B37" s="1265">
        <x:v>0</x:v>
      </x:c>
      <x:c r="C37" s="1265" t="s">
        <x:v>1979</x:v>
      </x:c>
      <x:c r="D37" s="1261">
        <x:v>49</x:v>
      </x:c>
      <x:c r="E37" s="1366">
        <x:v>0.625</x:v>
      </x:c>
      <x:c r="F37" s="1328" t="str">
        <x:f t="shared" si="107"/>
        <x:v/>
      </x:c>
      <x:c r="G37" s="1262" t="str">
        <x:f t="shared" si="108"/>
        <x:v/>
      </x:c>
      <x:c r="H37" s="1266" t="str">
        <x:f t="shared" si="109"/>
        <x:v/>
      </x:c>
      <x:c r="I37" s="1261">
        <x:v>0</x:v>
      </x:c>
      <x:c r="J37" s="1262">
        <x:v>1.375</x:v>
      </x:c>
      <x:c r="K37" s="1370" t="s">
        <x:v>114</x:v>
      </x:c>
      <x:c r="L37" s="1327">
        <x:v>3</x:v>
      </x:c>
      <x:c r="M37" s="1329">
        <x:v>3</x:v>
      </x:c>
      <x:c r="N37" s="1263" t="str">
        <x:f t="shared" si="1"/>
        <x:v/>
      </x:c>
      <x:c r="O37" s="1262" t="str">
        <x:f t="shared" si="2"/>
        <x:v/>
      </x:c>
      <x:c r="P37" s="1260" t="str">
        <x:f t="shared" si="3"/>
        <x:v/>
      </x:c>
      <x:c r="Q37" s="1261" t="str">
        <x:f t="shared" si="4"/>
        <x:v/>
      </x:c>
      <x:c r="R37" s="1262" t="str">
        <x:f t="shared" si="5"/>
        <x:v/>
      </x:c>
      <x:c r="S37" s="1375" t="str">
        <x:f t="shared" si="6"/>
        <x:v/>
      </x:c>
      <x:c r="T37" s="1328">
        <x:v>0</x:v>
      </x:c>
      <x:c r="U37" s="1262">
        <x:v>1.125</x:v>
      </x:c>
      <x:c r="V37" s="1261">
        <x:v>0</x:v>
      </x:c>
      <x:c r="W37" s="1262">
        <x:v>2.25</x:v>
      </x:c>
      <x:c r="X37" s="1329">
        <x:v>4</x:v>
      </x:c>
      <x:c r="Y37" s="1377" t="str">
        <x:f t="shared" si="12"/>
        <x:v/>
      </x:c>
      <x:c r="Z37" s="1378" t="str">
        <x:f t="shared" si="13"/>
        <x:v/>
      </x:c>
      <x:c r="AA37" s="2159" t="s">
        <x:v>2107</x:v>
      </x:c>
      <x:c r="AC37" s="1226" t="b">
        <x:v>0</x:v>
      </x:c>
      <x:c r="AD37" s="525">
        <x:f t="shared" si="14"/>
        <x:v>0</x:v>
      </x:c>
      <x:c r="AE37" s="526">
        <x:f t="shared" si="15"/>
        <x:v>0</x:v>
      </x:c>
      <x:c r="AF37" s="526">
        <x:f t="shared" si="16"/>
        <x:v>0</x:v>
      </x:c>
      <x:c r="AG37" s="526">
        <x:f t="shared" si="17"/>
        <x:v>0</x:v>
      </x:c>
      <x:c r="AH37" s="527">
        <x:f t="shared" si="18"/>
        <x:v>0</x:v>
      </x:c>
      <x:c r="AI37" s="528" t="b">
        <x:v>0</x:v>
      </x:c>
      <x:c r="AJ37" s="284">
        <x:f t="shared" si="19"/>
        <x:v>30</x:v>
      </x:c>
      <x:c r="AK37" s="1063" t="str">
        <x:f t="shared" si="20"/>
        <x:v>K</x:v>
      </x:c>
      <x:c r="AL37" s="1202" t="str">
        <x:f t="shared" si="21"/>
        <x:v/>
      </x:c>
      <x:c r="AM37" s="1063">
        <x:f t="shared" si="22"/>
        <x:v>240</x:v>
      </x:c>
      <x:c r="AN37" s="1063">
        <x:f t="shared" si="23"/>
        <x:v>140</x:v>
      </x:c>
      <x:c r="AO37" s="1063" t="str">
        <x:f t="shared" si="24"/>
        <x:v/>
      </x:c>
      <x:c r="AP37" s="1063" t="b">
        <x:f>IF(ISERROR(AJ37),FALSE,IF(OR(AJ37=0,ISERROR(AL37),ISERROR(AM37),ISERROR(AN37),ISERROR(AO37)),FALSE,IF(AL37&lt;&gt;"",IF(ISERROR(VLOOKUP(SUBSTITUTE(SUBSTITUTE(C37,"R",""),"A",""),TblJoistSize!$A:$A,1,FALSE)),FALSE,TRUE),TRUE)))</x:f>
        <x:v>1</x:v>
      </x:c>
      <x:c r="AQ37" s="1305">
        <x:f t="shared" si="25"/>
        <x:v>4</x:v>
      </x:c>
      <x:c r="AR37" s="1305" t="b">
        <x:f t="shared" si="26"/>
        <x:v>1</x:v>
      </x:c>
      <x:c r="AS37" s="1305">
        <x:f t="shared" si="27"/>
        <x:v>5.375</x:v>
      </x:c>
      <x:c r="AT37" s="1305" t="b">
        <x:f t="shared" si="28"/>
        <x:v>1</x:v>
      </x:c>
      <x:c r="AU37" s="1203" t="str">
        <x:f t="shared" si="29"/>
        <x:v>K</x:v>
      </x:c>
      <x:c r="AV37" s="1063" t="str">
        <x:f t="shared" si="30"/>
        <x:v>K</x:v>
      </x:c>
      <x:c r="AW37" s="1063" t="str">
        <x:f t="shared" si="31"/>
        <x:v/>
      </x:c>
      <x:c r="AX37" s="1063" t="str">
        <x:f t="shared" si="104"/>
        <x:v>TJ63</x:v>
      </x:c>
      <x:c r="AY37" s="1306" t="b">
        <x:f t="shared" si="32"/>
        <x:v>0</x:v>
      </x:c>
      <x:c r="AZ37" s="1090" t="b">
        <x:f t="shared" si="33"/>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4"/>
        <x:v/>
      </x:c>
      <x:c r="CE37" s="935" t="str">
        <x:f t="shared" si="35"/>
        <x:v/>
      </x:c>
      <x:c r="CF37" s="1149"/>
      <x:c r="CG37" s="1150"/>
      <x:c r="CH37" s="738" t="str">
        <x:f t="shared" si="36"/>
        <x:v/>
      </x:c>
      <x:c r="CI37" s="739" t="str">
        <x:f t="shared" si="37"/>
        <x:v/>
      </x:c>
      <x:c r="CJ37" s="740" t="str">
        <x:f t="shared" si="38"/>
        <x:v/>
      </x:c>
      <x:c r="CK37" s="741" t="str">
        <x:f t="shared" si="39"/>
        <x:v/>
      </x:c>
      <x:c r="CL37" s="742" t="str">
        <x:f t="shared" si="40"/>
        <x:v/>
      </x:c>
      <x:c r="CM37" s="743" t="str">
        <x:f t="shared" si="41"/>
        <x:v/>
      </x:c>
      <x:c r="CN37" s="744" t="str">
        <x:f t="shared" si="42"/>
        <x:v/>
      </x:c>
      <x:c r="CO37" s="745" t="str">
        <x:f t="shared" si="43"/>
        <x:v/>
      </x:c>
      <x:c r="CP37" s="762" t="str">
        <x:f t="shared" si="44"/>
        <x:v/>
      </x:c>
      <x:c r="CQ37" s="763" t="str">
        <x:f t="shared" si="45"/>
        <x:v/>
      </x:c>
      <x:c r="CR37" s="953">
        <x:f t="shared" si="46"/>
        <x:v>2.5</x:v>
      </x:c>
      <x:c r="CS37" s="954">
        <x:f t="shared" si="47"/>
        <x:v>2.5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8"/>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9"/>
        <x:v>0</x:v>
      </x:c>
      <x:c r="DO37" s="1049">
        <x:f t="shared" si="50"/>
        <x:v>0</x:v>
      </x:c>
      <x:c r="DP37" s="1053" t="str">
        <x:f t="shared" si="51"/>
        <x:v/>
      </x:c>
      <x:c r="DQ37" s="1053" t="str">
        <x:f t="shared" si="52"/>
        <x:v/>
      </x:c>
      <x:c r="DR37" s="1053" t="str">
        <x:f t="shared" si="53"/>
        <x:v/>
      </x:c>
      <x:c r="DS37" s="1052">
        <x:f t="shared" si="54"/>
        <x:v>0</x:v>
      </x:c>
      <x:c r="DT37" s="1052">
        <x:f t="shared" si="55"/>
        <x:v>0</x:v>
      </x:c>
      <x:c r="DU37" s="1052" t="str">
        <x:f t="shared" si="56"/>
        <x:v/>
      </x:c>
      <x:c r="DV37" s="1053" t="str">
        <x:f t="shared" si="57"/>
        <x:v/>
      </x:c>
      <x:c r="DW37" s="1053" t="str">
        <x:f t="shared" si="58"/>
        <x:v/>
      </x:c>
      <x:c r="DX37" s="1269">
        <x:f t="shared" si="59"/>
        <x:v>0</x:v>
      </x:c>
      <x:c r="DY37" s="1053">
        <x:f t="shared" si="60"/>
        <x:v>0</x:v>
      </x:c>
      <x:c r="DZ37" s="1052">
        <x:f t="shared" si="61"/>
        <x:v>0</x:v>
      </x:c>
      <x:c r="EA37" s="1052" t="str">
        <x:f t="shared" si="62"/>
        <x:v/>
      </x:c>
      <x:c r="EB37" s="1053" t="str">
        <x:f t="shared" si="63"/>
        <x:v/>
      </x:c>
      <x:c r="EC37" s="1053" t="str">
        <x:f t="shared" si="64"/>
        <x:v/>
      </x:c>
      <x:c r="ED37" s="1269">
        <x:f t="shared" si="65"/>
        <x:v>0</x:v>
      </x:c>
      <x:c r="EE37" s="1090" t="str">
        <x:f t="shared" si="66"/>
        <x:v/>
      </x:c>
      <x:c r="EF37" s="1053" t="str">
        <x:f t="shared" si="67"/>
        <x:v/>
      </x:c>
      <x:c r="EG37" s="1053" t="str">
        <x:f t="shared" si="68"/>
        <x:v/>
      </x:c>
      <x:c r="EH37" s="1053" t="str">
        <x:f t="shared" si="69"/>
        <x:v>ERR</x:v>
      </x:c>
      <x:c r="EI37" s="1053" t="str">
        <x:f t="shared" si="70"/>
        <x:v>ERR</x:v>
      </x:c>
      <x:c r="EJ37" s="1053" t="str">
        <x:f t="shared" si="71"/>
        <x:v/>
      </x:c>
      <x:c r="EK37" s="1053" t="str">
        <x:f t="shared" si="71"/>
        <x:v/>
      </x:c>
      <x:c r="EL37" s="1090" t="str">
        <x:f t="shared" si="72"/>
        <x:v/>
      </x:c>
      <x:c r="EM37" s="1053" t="str">
        <x:f t="shared" si="73"/>
        <x:v/>
      </x:c>
      <x:c r="EN37" s="1053" t="str">
        <x:f t="shared" si="74"/>
        <x:v/>
      </x:c>
      <x:c r="EO37" s="1053" t="str">
        <x:f t="shared" si="75"/>
        <x:v>ERR</x:v>
      </x:c>
      <x:c r="EP37" s="1053" t="str">
        <x:f t="shared" si="76"/>
        <x:v>ERR</x:v>
      </x:c>
      <x:c r="EQ37" s="1053" t="str">
        <x:f t="shared" si="77"/>
        <x:v/>
      </x:c>
      <x:c r="ER37" s="1053" t="str">
        <x:f t="shared" si="77"/>
        <x:v/>
      </x:c>
      <x:c r="ES37" s="1053" t="str">
        <x:f t="shared" si="78"/>
        <x:v/>
      </x:c>
      <x:c r="ET37" s="1053" t="str">
        <x:f t="shared" si="79"/>
        <x:v/>
      </x:c>
      <x:c r="EU37" s="1061">
        <x:f t="shared" si="80"/>
        <x:v>3.5</x:v>
      </x:c>
      <x:c r="EV37" s="1055" t="str">
        <x:f t="shared" si="81"/>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2"/>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3"/>
        <x:v/>
      </x:c>
      <x:c r="FD37" s="1052">
        <x:f t="shared" si="105"/>
        <x:v>0</x:v>
      </x:c>
      <x:c r="FE37" s="1052">
        <x:f t="shared" si="84"/>
        <x:v>0</x:v>
      </x:c>
      <x:c r="FF37" s="1052">
        <x:f t="shared" si="85"/>
        <x:v>0</x:v>
      </x:c>
      <x:c r="FG37" s="1052" t="str">
        <x:f t="shared" si="86"/>
        <x:v/>
      </x:c>
      <x:c r="FH37" s="1053" t="str">
        <x:f t="shared" si="87"/>
        <x:v/>
      </x:c>
      <x:c r="FI37" s="1052">
        <x:f t="shared" si="106"/>
        <x:v>0</x:v>
      </x:c>
      <x:c r="FJ37" s="1052">
        <x:f t="shared" si="88"/>
        <x:v>0</x:v>
      </x:c>
      <x:c r="FK37" s="1052">
        <x:f t="shared" si="89"/>
        <x:v>0</x:v>
      </x:c>
      <x:c r="FL37" s="1052" t="str">
        <x:f t="shared" si="90"/>
        <x:v/>
      </x:c>
      <x:c r="FM37" s="1053" t="str">
        <x:f t="shared" si="91"/>
        <x:v/>
      </x:c>
      <x:c r="FN37" s="1053" t="e">
        <x:f t="shared" si="92"/>
        <x:v>#VALUE!</x:v>
      </x:c>
      <x:c r="FO37" s="1062" t="e">
        <x:f t="shared" si="93"/>
        <x:v>#VALUE!</x:v>
      </x:c>
      <x:c r="FP37" s="1062" t="e">
        <x:f t="shared" si="94"/>
        <x:v>#VALUE!</x:v>
      </x:c>
      <x:c r="FQ37" s="1063" t="e">
        <x:f t="shared" si="95"/>
        <x:v>#VALUE!</x:v>
      </x:c>
      <x:c r="FR37" s="1064" t="e">
        <x:f t="shared" si="96"/>
        <x:v>#VALUE!</x:v>
      </x:c>
      <x:c r="FS37" s="1065" t="str">
        <x:f t="shared" si="97"/>
        <x:v/>
      </x:c>
      <x:c r="FT37" s="1066" t="str">
        <x:f t="shared" si="98"/>
        <x:v/>
      </x:c>
      <x:c r="FU37" s="1105">
        <x:f t="shared" si="99"/>
        <x:v>0</x:v>
      </x:c>
      <x:c r="FV37" s="1106">
        <x:f t="shared" si="100"/>
        <x:v>0</x:v>
      </x:c>
      <x:c r="GA37" s="1975">
        <x:v>49</x:v>
      </x:c>
      <x:c r="GB37" s="1976">
        <x:v>2.75</x:v>
      </x:c>
      <x:c r="GC37" s="1977">
        <x:v>-1.875</x:v>
      </x:c>
      <x:c r="GD37" s="1978">
        <x:v>-0.25</x:v>
      </x:c>
      <x:c r="GE37" s="1979">
        <x:v>0.314853999153618</x:v>
      </x:c>
      <x:c r="GF37" s="1980" t="str">
        <x:f t="shared" si="101"/>
        <x:v>TJ63</x:v>
      </x:c>
      <x:c r="GG37" s="1453"/>
      <x:c r="GH37" s="1454"/>
      <x:c r="GI37" s="1453"/>
      <x:c r="GJ37" s="1454"/>
      <x:c r="GK37" s="533">
        <x:f t="shared" si="102"/>
        <x:v>588.625</x:v>
      </x:c>
      <x:c r="GL37" s="534">
        <x:f t="shared" si="103"/>
        <x:v>588.827576898703</x:v>
      </x:c>
      <x:c r="GM37" s="535">
        <x:f>IF(ABS(GK37-GL37)&gt;='Job Info.'!$L$22,ABS(GK37-GL37),0)</x:f>
        <x:v>0</x:v>
      </x:c>
      <x:c r="HA37" s="1658" t="s">
        <x:v>1387</x:v>
      </x:c>
      <x:c r="HB37" s="1659">
        <x:v>2</x:v>
      </x:c>
      <x:c r="HC37" s="1659" t="s">
        <x:v>1979</x:v>
      </x:c>
      <x:c r="HD37" s="1660">
        <x:v>49</x:v>
      </x:c>
      <x:c r="HE37" s="1661">
        <x:v>0.625</x:v>
      </x:c>
      <x:c r="HF37" s="1659" t="s">
        <x:v>117</x:v>
      </x:c>
      <x:c r="HG37" s="1659" t="s">
        <x:v>117</x:v>
      </x:c>
      <x:c r="HH37" s="1659" t="s">
        <x:v>117</x:v>
      </x:c>
      <x:c r="HI37" s="1662">
        <x:v>0</x:v>
      </x:c>
      <x:c r="HJ37" s="1659">
        <x:v>1.375</x:v>
      </x:c>
      <x:c r="HK37" s="1659" t="s">
        <x:v>114</x:v>
      </x:c>
      <x:c r="HL37" s="1659">
        <x:v>3</x:v>
      </x:c>
      <x:c r="HM37" s="1659">
        <x:v>3</x:v>
      </x:c>
      <x:c r="HN37" s="1659" t="s">
        <x:v>117</x:v>
      </x:c>
      <x:c r="HO37" s="1659" t="s">
        <x:v>117</x:v>
      </x:c>
      <x:c r="HP37" s="1659" t="s">
        <x:v>117</x:v>
      </x:c>
      <x:c r="HQ37" s="1662" t="s">
        <x:v>117</x:v>
      </x:c>
      <x:c r="HR37" s="1659" t="s">
        <x:v>117</x:v>
      </x:c>
      <x:c r="HS37" s="1659" t="s">
        <x:v>117</x:v>
      </x:c>
      <x:c r="HT37" s="1659">
        <x:v>0</x:v>
      </x:c>
      <x:c r="HU37" s="1659">
        <x:v>1.125</x:v>
      </x:c>
      <x:c r="HV37" s="1659">
        <x:v>0</x:v>
      </x:c>
      <x:c r="HW37" s="1661">
        <x:v>2.25</x:v>
      </x:c>
      <x:c r="HX37" s="1661">
        <x:v>4</x:v>
      </x:c>
      <x:c r="HY37" s="1661" t="s">
        <x:v>117</x:v>
      </x:c>
      <x:c r="HZ37" s="1661" t="s">
        <x:v>117</x:v>
      </x:c>
      <x:c r="IA37" s="1661" t="s">
        <x:v>2107</x:v>
      </x:c>
      <x:c r="IB37" s="1661"/>
      <x:c r="IC37" s="1661"/>
      <x:c r="ID37" s="1661"/>
      <x:c r="IE37" s="1661"/>
      <x:c r="IF37" s="1663"/>
    </x:row>
    <x:row r="38" spans="1:240" ht="12.6" customHeight="1" x14ac:dyDescent="0.25">
      <x:c r="A38" s="1264" t="s">
        <x:v>1388</x:v>
      </x:c>
      <x:c r="B38" s="1265">
        <x:v>0</x:v>
      </x:c>
      <x:c r="C38" s="1265" t="s">
        <x:v>1979</x:v>
      </x:c>
      <x:c r="D38" s="1261">
        <x:v>49</x:v>
      </x:c>
      <x:c r="E38" s="1366">
        <x:v>0.625</x:v>
      </x:c>
      <x:c r="F38" s="1328" t="str">
        <x:f t="shared" si="107"/>
        <x:v/>
      </x:c>
      <x:c r="G38" s="1262" t="str">
        <x:f t="shared" si="108"/>
        <x:v/>
      </x:c>
      <x:c r="H38" s="1266" t="str">
        <x:f t="shared" si="109"/>
        <x:v/>
      </x:c>
      <x:c r="I38" s="1261">
        <x:v>0</x:v>
      </x:c>
      <x:c r="J38" s="1262">
        <x:v>1.375</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7"/>
        <x:v/>
      </x:c>
      <x:c r="U38" s="1262" t="str">
        <x:f t="shared" si="8"/>
        <x:v/>
      </x:c>
      <x:c r="V38" s="1261" t="str">
        <x:f t="shared" si="9"/>
        <x:v/>
      </x:c>
      <x:c r="W38" s="1262" t="str">
        <x:f t="shared" si="10"/>
        <x:v/>
      </x:c>
      <x:c r="X38" s="1329">
        <x:f t="shared" si="11"/>
        <x:v>0</x:v>
      </x:c>
      <x:c r="Y38" s="1377" t="str">
        <x:f t="shared" si="12"/>
        <x:v/>
      </x:c>
      <x:c r="Z38" s="1378" t="str">
        <x:f t="shared" si="13"/>
        <x:v/>
      </x:c>
      <x:c r="AA38" s="2159" t="s">
        <x:v>2107</x:v>
      </x:c>
      <x:c r="AC38" s="1226" t="b">
        <x:v>0</x:v>
      </x:c>
      <x:c r="AD38" s="525">
        <x:f t="shared" si="14"/>
        <x:v>0</x:v>
      </x:c>
      <x:c r="AE38" s="526">
        <x:f t="shared" si="15"/>
        <x:v>0</x:v>
      </x:c>
      <x:c r="AF38" s="526">
        <x:f t="shared" si="16"/>
        <x:v>0</x:v>
      </x:c>
      <x:c r="AG38" s="526">
        <x:f t="shared" si="17"/>
        <x:v>0</x:v>
      </x:c>
      <x:c r="AH38" s="527">
        <x:f t="shared" si="18"/>
        <x:v>0</x:v>
      </x:c>
      <x:c r="AI38" s="528" t="b">
        <x:v>0</x:v>
      </x:c>
      <x:c r="AJ38" s="284">
        <x:f t="shared" si="19"/>
        <x:v>30</x:v>
      </x:c>
      <x:c r="AK38" s="1063" t="str">
        <x:f t="shared" si="20"/>
        <x:v>K</x:v>
      </x:c>
      <x:c r="AL38" s="1202" t="str">
        <x:f t="shared" si="21"/>
        <x:v/>
      </x:c>
      <x:c r="AM38" s="1063">
        <x:f t="shared" si="22"/>
        <x:v>240</x:v>
      </x:c>
      <x:c r="AN38" s="1063">
        <x:f t="shared" si="23"/>
        <x:v>140</x:v>
      </x:c>
      <x:c r="AO38" s="1063" t="str">
        <x:f t="shared" si="24"/>
        <x:v/>
      </x:c>
      <x:c r="AP38" s="1063" t="b">
        <x:f>IF(ISERROR(AJ38),FALSE,IF(OR(AJ38=0,ISERROR(AL38),ISERROR(AM38),ISERROR(AN38),ISERROR(AO38)),FALSE,IF(AL38&lt;&gt;"",IF(ISERROR(VLOOKUP(SUBSTITUTE(SUBSTITUTE(C38,"R",""),"A",""),TblJoistSize!$A:$A,1,FALSE)),FALSE,TRUE),TRUE)))</x:f>
        <x:v>1</x:v>
      </x:c>
      <x:c r="AQ38" s="1305">
        <x:f t="shared" si="25"/>
        <x:v>4</x:v>
      </x:c>
      <x:c r="AR38" s="1305" t="b">
        <x:f t="shared" si="26"/>
        <x:v>0</x:v>
      </x:c>
      <x:c r="AS38" s="1305">
        <x:f t="shared" si="27"/>
        <x:v>5.375</x:v>
      </x:c>
      <x:c r="AT38" s="1305" t="b">
        <x:f t="shared" si="28"/>
        <x:v>0</x:v>
      </x:c>
      <x:c r="AU38" s="1203" t="str">
        <x:f t="shared" si="29"/>
        <x:v>K</x:v>
      </x:c>
      <x:c r="AV38" s="1063" t="str">
        <x:f t="shared" si="30"/>
        <x:v>K</x:v>
      </x:c>
      <x:c r="AW38" s="1063" t="str">
        <x:f t="shared" si="31"/>
        <x:v/>
      </x:c>
      <x:c r="AX38" s="1063" t="str">
        <x:f t="shared" si="104"/>
        <x:v>J64</x:v>
      </x:c>
      <x:c r="AY38" s="1306" t="b">
        <x:f t="shared" si="32"/>
        <x:v>0</x:v>
      </x:c>
      <x:c r="AZ38" s="1090" t="b">
        <x:f t="shared" si="33"/>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4"/>
        <x:v/>
      </x:c>
      <x:c r="CE38" s="935" t="str">
        <x:f t="shared" si="35"/>
        <x:v/>
      </x:c>
      <x:c r="CF38" s="1149"/>
      <x:c r="CG38" s="1150"/>
      <x:c r="CH38" s="738" t="str">
        <x:f t="shared" si="36"/>
        <x:v/>
      </x:c>
      <x:c r="CI38" s="739" t="str">
        <x:f t="shared" si="37"/>
        <x:v/>
      </x:c>
      <x:c r="CJ38" s="740" t="str">
        <x:f t="shared" si="38"/>
        <x:v/>
      </x:c>
      <x:c r="CK38" s="741" t="str">
        <x:f t="shared" si="39"/>
        <x:v/>
      </x:c>
      <x:c r="CL38" s="742" t="str">
        <x:f t="shared" si="40"/>
        <x:v/>
      </x:c>
      <x:c r="CM38" s="743" t="str">
        <x:f t="shared" si="41"/>
        <x:v/>
      </x:c>
      <x:c r="CN38" s="744" t="str">
        <x:f t="shared" si="42"/>
        <x:v/>
      </x:c>
      <x:c r="CO38" s="745" t="str">
        <x:f t="shared" si="43"/>
        <x:v/>
      </x:c>
      <x:c r="CP38" s="762" t="str">
        <x:f t="shared" si="44"/>
        <x:v/>
      </x:c>
      <x:c r="CQ38" s="763" t="str">
        <x:f t="shared" si="45"/>
        <x:v/>
      </x:c>
      <x:c r="CR38" s="953">
        <x:f t="shared" si="46"/>
        <x:v>2.5</x:v>
      </x:c>
      <x:c r="CS38" s="954">
        <x:f t="shared" si="47"/>
        <x:v>2.5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8"/>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9"/>
        <x:v>0</x:v>
      </x:c>
      <x:c r="DO38" s="1049">
        <x:f t="shared" si="50"/>
        <x:v>0</x:v>
      </x:c>
      <x:c r="DP38" s="1053" t="str">
        <x:f t="shared" si="51"/>
        <x:v/>
      </x:c>
      <x:c r="DQ38" s="1053" t="str">
        <x:f t="shared" si="52"/>
        <x:v/>
      </x:c>
      <x:c r="DR38" s="1053" t="str">
        <x:f t="shared" si="53"/>
        <x:v/>
      </x:c>
      <x:c r="DS38" s="1052">
        <x:f t="shared" si="54"/>
        <x:v>0</x:v>
      </x:c>
      <x:c r="DT38" s="1052">
        <x:f t="shared" si="55"/>
        <x:v>0</x:v>
      </x:c>
      <x:c r="DU38" s="1052" t="str">
        <x:f t="shared" si="56"/>
        <x:v/>
      </x:c>
      <x:c r="DV38" s="1053" t="str">
        <x:f t="shared" si="57"/>
        <x:v/>
      </x:c>
      <x:c r="DW38" s="1053" t="str">
        <x:f t="shared" si="58"/>
        <x:v/>
      </x:c>
      <x:c r="DX38" s="1269">
        <x:f t="shared" si="59"/>
        <x:v>0</x:v>
      </x:c>
      <x:c r="DY38" s="1053">
        <x:f t="shared" si="60"/>
        <x:v>0</x:v>
      </x:c>
      <x:c r="DZ38" s="1052">
        <x:f t="shared" si="61"/>
        <x:v>0</x:v>
      </x:c>
      <x:c r="EA38" s="1052" t="str">
        <x:f t="shared" si="62"/>
        <x:v/>
      </x:c>
      <x:c r="EB38" s="1053" t="str">
        <x:f t="shared" si="63"/>
        <x:v/>
      </x:c>
      <x:c r="EC38" s="1053" t="str">
        <x:f t="shared" si="64"/>
        <x:v/>
      </x:c>
      <x:c r="ED38" s="1269">
        <x:f t="shared" si="65"/>
        <x:v>0</x:v>
      </x:c>
      <x:c r="EE38" s="1090" t="str">
        <x:f t="shared" si="66"/>
        <x:v/>
      </x:c>
      <x:c r="EF38" s="1053" t="str">
        <x:f t="shared" si="67"/>
        <x:v/>
      </x:c>
      <x:c r="EG38" s="1053" t="str">
        <x:f t="shared" si="68"/>
        <x:v/>
      </x:c>
      <x:c r="EH38" s="1053" t="str">
        <x:f t="shared" si="69"/>
        <x:v>ERR</x:v>
      </x:c>
      <x:c r="EI38" s="1053" t="str">
        <x:f t="shared" si="70"/>
        <x:v>ERR</x:v>
      </x:c>
      <x:c r="EJ38" s="1053" t="str">
        <x:f t="shared" si="71"/>
        <x:v/>
      </x:c>
      <x:c r="EK38" s="1053" t="str">
        <x:f t="shared" si="71"/>
        <x:v/>
      </x:c>
      <x:c r="EL38" s="1090" t="str">
        <x:f t="shared" si="72"/>
        <x:v/>
      </x:c>
      <x:c r="EM38" s="1053" t="str">
        <x:f t="shared" si="73"/>
        <x:v/>
      </x:c>
      <x:c r="EN38" s="1053" t="str">
        <x:f t="shared" si="74"/>
        <x:v/>
      </x:c>
      <x:c r="EO38" s="1053" t="str">
        <x:f t="shared" si="75"/>
        <x:v>ERR</x:v>
      </x:c>
      <x:c r="EP38" s="1053" t="str">
        <x:f t="shared" si="76"/>
        <x:v>ERR</x:v>
      </x:c>
      <x:c r="EQ38" s="1053" t="str">
        <x:f t="shared" si="77"/>
        <x:v/>
      </x:c>
      <x:c r="ER38" s="1053" t="str">
        <x:f t="shared" si="77"/>
        <x:v/>
      </x:c>
      <x:c r="ES38" s="1053" t="str">
        <x:f t="shared" si="78"/>
        <x:v/>
      </x:c>
      <x:c r="ET38" s="1053" t="str">
        <x:f t="shared" si="79"/>
        <x:v/>
      </x:c>
      <x:c r="EU38" s="1061">
        <x:f t="shared" si="80"/>
        <x:v>3.5</x:v>
      </x:c>
      <x:c r="EV38" s="1055" t="str">
        <x:f t="shared" si="81"/>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2"/>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3"/>
        <x:v/>
      </x:c>
      <x:c r="FD38" s="1052">
        <x:f t="shared" si="105"/>
        <x:v>0</x:v>
      </x:c>
      <x:c r="FE38" s="1052">
        <x:f t="shared" si="84"/>
        <x:v>0</x:v>
      </x:c>
      <x:c r="FF38" s="1052">
        <x:f t="shared" si="85"/>
        <x:v>0</x:v>
      </x:c>
      <x:c r="FG38" s="1052" t="str">
        <x:f t="shared" si="86"/>
        <x:v/>
      </x:c>
      <x:c r="FH38" s="1053" t="str">
        <x:f t="shared" si="87"/>
        <x:v/>
      </x:c>
      <x:c r="FI38" s="1052">
        <x:f t="shared" si="106"/>
        <x:v>0</x:v>
      </x:c>
      <x:c r="FJ38" s="1052">
        <x:f t="shared" si="88"/>
        <x:v>0</x:v>
      </x:c>
      <x:c r="FK38" s="1052">
        <x:f t="shared" si="89"/>
        <x:v>0</x:v>
      </x:c>
      <x:c r="FL38" s="1052" t="str">
        <x:f t="shared" si="90"/>
        <x:v/>
      </x:c>
      <x:c r="FM38" s="1053" t="str">
        <x:f t="shared" si="91"/>
        <x:v/>
      </x:c>
      <x:c r="FN38" s="1053" t="e">
        <x:f t="shared" si="92"/>
        <x:v>#VALUE!</x:v>
      </x:c>
      <x:c r="FO38" s="1062" t="e">
        <x:f t="shared" si="93"/>
        <x:v>#VALUE!</x:v>
      </x:c>
      <x:c r="FP38" s="1062" t="e">
        <x:f t="shared" si="94"/>
        <x:v>#VALUE!</x:v>
      </x:c>
      <x:c r="FQ38" s="1063" t="e">
        <x:f t="shared" si="95"/>
        <x:v>#VALUE!</x:v>
      </x:c>
      <x:c r="FR38" s="1064" t="e">
        <x:f t="shared" si="96"/>
        <x:v>#VALUE!</x:v>
      </x:c>
      <x:c r="FS38" s="1065" t="str">
        <x:f t="shared" si="97"/>
        <x:v/>
      </x:c>
      <x:c r="FT38" s="1066" t="str">
        <x:f t="shared" si="98"/>
        <x:v/>
      </x:c>
      <x:c r="FU38" s="1105">
        <x:f t="shared" si="99"/>
        <x:v>0</x:v>
      </x:c>
      <x:c r="FV38" s="1106">
        <x:f t="shared" si="100"/>
        <x:v>0</x:v>
      </x:c>
      <x:c r="GA38" s="1975">
        <x:v>49</x:v>
      </x:c>
      <x:c r="GB38" s="1976">
        <x:v>2.75</x:v>
      </x:c>
      <x:c r="GC38" s="1977">
        <x:v>-1.875</x:v>
      </x:c>
      <x:c r="GD38" s="1978">
        <x:v>-0.25</x:v>
      </x:c>
      <x:c r="GE38" s="1979">
        <x:v>0.314853999153618</x:v>
      </x:c>
      <x:c r="GF38" s="1980" t="str">
        <x:f t="shared" si="101"/>
        <x:v>J64</x:v>
      </x:c>
      <x:c r="GG38" s="1453"/>
      <x:c r="GH38" s="1454"/>
      <x:c r="GI38" s="1453"/>
      <x:c r="GJ38" s="1454"/>
      <x:c r="GK38" s="533">
        <x:f t="shared" si="102"/>
        <x:v>588.625</x:v>
      </x:c>
      <x:c r="GL38" s="534">
        <x:f t="shared" si="103"/>
        <x:v>588.827576898703</x:v>
      </x:c>
      <x:c r="GM38" s="535">
        <x:f>IF(ABS(GK38-GL38)&gt;='Job Info.'!$L$22,ABS(GK38-GL38),0)</x:f>
        <x:v>0</x:v>
      </x:c>
      <x:c r="HA38" s="1658" t="s">
        <x:v>1388</x:v>
      </x:c>
      <x:c r="HB38" s="1659">
        <x:v>5</x:v>
      </x:c>
      <x:c r="HC38" s="1659" t="s">
        <x:v>1979</x:v>
      </x:c>
      <x:c r="HD38" s="1660">
        <x:v>49</x:v>
      </x:c>
      <x:c r="HE38" s="1661">
        <x:v>0.625</x:v>
      </x:c>
      <x:c r="HF38" s="1659" t="s">
        <x:v>117</x:v>
      </x:c>
      <x:c r="HG38" s="1659" t="s">
        <x:v>117</x:v>
      </x:c>
      <x:c r="HH38" s="1659" t="s">
        <x:v>117</x:v>
      </x:c>
      <x:c r="HI38" s="1662">
        <x:v>0</x:v>
      </x:c>
      <x:c r="HJ38" s="1659">
        <x:v>1.375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2107</x:v>
      </x:c>
      <x:c r="IB38" s="1661"/>
      <x:c r="IC38" s="1661"/>
      <x:c r="ID38" s="1661"/>
      <x:c r="IE38" s="1661"/>
      <x:c r="IF38" s="1663"/>
    </x:row>
    <x:row r="39" spans="1:240" ht="12.6" customHeight="1" x14ac:dyDescent="0.25">
      <x:c r="A39" s="1264" t="s">
        <x:v>1389</x:v>
      </x:c>
      <x:c r="B39" s="1265">
        <x:v>0</x:v>
      </x:c>
      <x:c r="C39" s="1265" t="s">
        <x:v>1979</x:v>
      </x:c>
      <x:c r="D39" s="1261">
        <x:v>48</x:v>
      </x:c>
      <x:c r="E39" s="1366">
        <x:v>11.875</x:v>
      </x:c>
      <x:c r="F39" s="1328" t="str">
        <x:f t="shared" si="107"/>
        <x:v/>
      </x:c>
      <x:c r="G39" s="1262" t="str">
        <x:f t="shared" si="108"/>
        <x:v/>
      </x:c>
      <x:c r="H39" s="1266" t="str">
        <x:f t="shared" si="109"/>
        <x:v/>
      </x:c>
      <x:c r="I39" s="1261">
        <x:v>0</x:v>
      </x:c>
      <x:c r="J39" s="1262">
        <x:v>0.625</x:v>
      </x:c>
      <x:c r="K39" s="1370" t="s">
        <x:v>114</x:v>
      </x:c>
      <x:c r="L39" s="1327">
        <x:v>3</x:v>
      </x:c>
      <x:c r="M39" s="1329">
        <x:v>3</x:v>
      </x:c>
      <x:c r="N39" s="1263" t="str">
        <x:f t="shared" si="1"/>
        <x:v/>
      </x:c>
      <x:c r="O39" s="1262" t="str">
        <x:f t="shared" si="2"/>
        <x:v/>
      </x:c>
      <x:c r="P39" s="1260" t="str">
        <x:f t="shared" si="3"/>
        <x:v/>
      </x:c>
      <x:c r="Q39" s="1261">
        <x:v>0</x:v>
      </x:c>
      <x:c r="R39" s="1262">
        <x:v>6.75</x:v>
      </x:c>
      <x:c r="S39" s="1375">
        <x:v>2</x:v>
      </x:c>
      <x:c r="T39" s="1328">
        <x:v>0</x:v>
      </x:c>
      <x:c r="U39" s="1262">
        <x:v>1.125</x:v>
      </x:c>
      <x:c r="V39" s="1261">
        <x:v>0</x:v>
      </x:c>
      <x:c r="W39" s="1262">
        <x:v>1.5</x:v>
      </x:c>
      <x:c r="X39" s="1329">
        <x:v>4</x:v>
      </x:c>
      <x:c r="Y39" s="1377" t="str">
        <x:f t="shared" si="12"/>
        <x:v/>
      </x:c>
      <x:c r="Z39" s="1378" t="str">
        <x:f t="shared" si="13"/>
        <x:v/>
      </x:c>
      <x:c r="AA39" s="2159" t="s">
        <x:v>2107</x:v>
      </x:c>
      <x:c r="AC39" s="1226" t="b">
        <x:v>0</x:v>
      </x:c>
      <x:c r="AD39" s="525">
        <x:f t="shared" si="14"/>
        <x:v>0</x:v>
      </x:c>
      <x:c r="AE39" s="526">
        <x:f t="shared" si="15"/>
        <x:v>0</x:v>
      </x:c>
      <x:c r="AF39" s="526">
        <x:f t="shared" si="16"/>
        <x:v>0</x:v>
      </x:c>
      <x:c r="AG39" s="526">
        <x:f t="shared" si="17"/>
        <x:v>0</x:v>
      </x:c>
      <x:c r="AH39" s="527">
        <x:f t="shared" si="18"/>
        <x:v>0</x:v>
      </x:c>
      <x:c r="AI39" s="528" t="b">
        <x:v>0</x:v>
      </x:c>
      <x:c r="AJ39" s="284">
        <x:f t="shared" si="19"/>
        <x:v>30</x:v>
      </x:c>
      <x:c r="AK39" s="1063" t="str">
        <x:f t="shared" si="20"/>
        <x:v>K</x:v>
      </x:c>
      <x:c r="AL39" s="1202" t="str">
        <x:f t="shared" si="21"/>
        <x:v/>
      </x:c>
      <x:c r="AM39" s="1063">
        <x:f t="shared" si="22"/>
        <x:v>240</x:v>
      </x:c>
      <x:c r="AN39" s="1063">
        <x:f t="shared" si="23"/>
        <x:v>140</x:v>
      </x:c>
      <x:c r="AO39" s="1063" t="str">
        <x:f t="shared" si="24"/>
        <x:v/>
      </x:c>
      <x:c r="AP39" s="1063" t="b">
        <x:f>IF(ISERROR(AJ39),FALSE,IF(OR(AJ39=0,ISERROR(AL39),ISERROR(AM39),ISERROR(AN39),ISERROR(AO39)),FALSE,IF(AL39&lt;&gt;"",IF(ISERROR(VLOOKUP(SUBSTITUTE(SUBSTITUTE(C39,"R",""),"A",""),TblJoistSize!$A:$A,1,FALSE)),FALSE,TRUE),TRUE)))</x:f>
        <x:v>1</x:v>
      </x:c>
      <x:c r="AQ39" s="1305">
        <x:f t="shared" si="25"/>
        <x:v>4</x:v>
      </x:c>
      <x:c r="AR39" s="1305" t="b">
        <x:f t="shared" si="26"/>
        <x:v>1</x:v>
      </x:c>
      <x:c r="AS39" s="1305">
        <x:f t="shared" si="27"/>
        <x:v>4.625</x:v>
      </x:c>
      <x:c r="AT39" s="1305" t="b">
        <x:f t="shared" si="28"/>
        <x:v>1</x:v>
      </x:c>
      <x:c r="AU39" s="1203" t="str">
        <x:f t="shared" si="29"/>
        <x:v>K</x:v>
      </x:c>
      <x:c r="AV39" s="1063" t="str">
        <x:f t="shared" si="30"/>
        <x:v>K</x:v>
      </x:c>
      <x:c r="AW39" s="1063" t="str">
        <x:f t="shared" si="31"/>
        <x:v/>
      </x:c>
      <x:c r="AX39" s="1063" t="str">
        <x:f t="shared" si="104"/>
        <x:v>TJ65</x:v>
      </x:c>
      <x:c r="AY39" s="1306" t="b">
        <x:f t="shared" si="32"/>
        <x:v>0</x:v>
      </x:c>
      <x:c r="AZ39" s="1090" t="b">
        <x:f t="shared" si="33"/>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4"/>
        <x:v/>
      </x:c>
      <x:c r="CE39" s="935" t="str">
        <x:f t="shared" si="35"/>
        <x:v/>
      </x:c>
      <x:c r="CF39" s="1149"/>
      <x:c r="CG39" s="1150"/>
      <x:c r="CH39" s="738" t="str">
        <x:f t="shared" si="36"/>
        <x:v/>
      </x:c>
      <x:c r="CI39" s="739" t="str">
        <x:f t="shared" si="37"/>
        <x:v/>
      </x:c>
      <x:c r="CJ39" s="740" t="str">
        <x:f t="shared" si="38"/>
        <x:v/>
      </x:c>
      <x:c r="CK39" s="741" t="str">
        <x:f t="shared" si="39"/>
        <x:v/>
      </x:c>
      <x:c r="CL39" s="742" t="str">
        <x:f t="shared" si="40"/>
        <x:v/>
      </x:c>
      <x:c r="CM39" s="743" t="str">
        <x:f t="shared" si="41"/>
        <x:v/>
      </x:c>
      <x:c r="CN39" s="744" t="str">
        <x:f t="shared" si="42"/>
        <x:v/>
      </x:c>
      <x:c r="CO39" s="745" t="str">
        <x:f t="shared" si="43"/>
        <x:v/>
      </x:c>
      <x:c r="CP39" s="762" t="str">
        <x:f t="shared" si="44"/>
        <x:v/>
      </x:c>
      <x:c r="CQ39" s="763" t="str">
        <x:f t="shared" si="45"/>
        <x:v/>
      </x:c>
      <x:c r="CR39" s="953">
        <x:f t="shared" si="46"/>
        <x:v>2.5</x:v>
      </x:c>
      <x:c r="CS39" s="954">
        <x:f t="shared" si="47"/>
        <x:v>2.5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8"/>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9"/>
        <x:v>0</x:v>
      </x:c>
      <x:c r="DO39" s="1049">
        <x:f t="shared" si="50"/>
        <x:v>0</x:v>
      </x:c>
      <x:c r="DP39" s="1053" t="str">
        <x:f t="shared" si="51"/>
        <x:v/>
      </x:c>
      <x:c r="DQ39" s="1053" t="str">
        <x:f t="shared" si="52"/>
        <x:v/>
      </x:c>
      <x:c r="DR39" s="1053" t="str">
        <x:f t="shared" si="53"/>
        <x:v/>
      </x:c>
      <x:c r="DS39" s="1052">
        <x:f t="shared" si="54"/>
        <x:v>0</x:v>
      </x:c>
      <x:c r="DT39" s="1052">
        <x:f t="shared" si="55"/>
        <x:v>0</x:v>
      </x:c>
      <x:c r="DU39" s="1052" t="str">
        <x:f t="shared" si="56"/>
        <x:v/>
      </x:c>
      <x:c r="DV39" s="1053" t="str">
        <x:f t="shared" si="57"/>
        <x:v/>
      </x:c>
      <x:c r="DW39" s="1053" t="str">
        <x:f t="shared" si="58"/>
        <x:v/>
      </x:c>
      <x:c r="DX39" s="1269">
        <x:f t="shared" si="59"/>
        <x:v>0</x:v>
      </x:c>
      <x:c r="DY39" s="1053">
        <x:f t="shared" si="60"/>
        <x:v>0</x:v>
      </x:c>
      <x:c r="DZ39" s="1052">
        <x:f t="shared" si="61"/>
        <x:v>0</x:v>
      </x:c>
      <x:c r="EA39" s="1052" t="str">
        <x:f t="shared" si="62"/>
        <x:v/>
      </x:c>
      <x:c r="EB39" s="1053" t="str">
        <x:f t="shared" si="63"/>
        <x:v/>
      </x:c>
      <x:c r="EC39" s="1053" t="str">
        <x:f t="shared" si="64"/>
        <x:v/>
      </x:c>
      <x:c r="ED39" s="1269">
        <x:f t="shared" si="65"/>
        <x:v>0</x:v>
      </x:c>
      <x:c r="EE39" s="1090" t="str">
        <x:f t="shared" si="66"/>
        <x:v/>
      </x:c>
      <x:c r="EF39" s="1053" t="str">
        <x:f t="shared" si="67"/>
        <x:v/>
      </x:c>
      <x:c r="EG39" s="1053" t="str">
        <x:f t="shared" si="68"/>
        <x:v/>
      </x:c>
      <x:c r="EH39" s="1053" t="str">
        <x:f t="shared" si="69"/>
        <x:v>ERR</x:v>
      </x:c>
      <x:c r="EI39" s="1053" t="str">
        <x:f t="shared" si="70"/>
        <x:v>ERR</x:v>
      </x:c>
      <x:c r="EJ39" s="1053" t="str">
        <x:f t="shared" si="71"/>
        <x:v/>
      </x:c>
      <x:c r="EK39" s="1053" t="str">
        <x:f t="shared" si="71"/>
        <x:v/>
      </x:c>
      <x:c r="EL39" s="1090" t="str">
        <x:f t="shared" si="72"/>
        <x:v/>
      </x:c>
      <x:c r="EM39" s="1053" t="str">
        <x:f t="shared" si="73"/>
        <x:v/>
      </x:c>
      <x:c r="EN39" s="1053" t="str">
        <x:f t="shared" si="74"/>
        <x:v/>
      </x:c>
      <x:c r="EO39" s="1053" t="str">
        <x:f t="shared" si="75"/>
        <x:v>ERR</x:v>
      </x:c>
      <x:c r="EP39" s="1053" t="str">
        <x:f t="shared" si="76"/>
        <x:v>ERR</x:v>
      </x:c>
      <x:c r="EQ39" s="1053" t="str">
        <x:f t="shared" si="77"/>
        <x:v/>
      </x:c>
      <x:c r="ER39" s="1053" t="str">
        <x:f t="shared" si="77"/>
        <x:v/>
      </x:c>
      <x:c r="ES39" s="1053" t="str">
        <x:f t="shared" si="78"/>
        <x:v/>
      </x:c>
      <x:c r="ET39" s="1053" t="str">
        <x:f t="shared" si="79"/>
        <x:v/>
      </x:c>
      <x:c r="EU39" s="1061">
        <x:f t="shared" si="80"/>
        <x:v>3.5</x:v>
      </x:c>
      <x:c r="EV39" s="1055" t="str">
        <x:f t="shared" si="81"/>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2"/>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3"/>
        <x:v/>
      </x:c>
      <x:c r="FD39" s="1052">
        <x:f t="shared" si="105"/>
        <x:v>0</x:v>
      </x:c>
      <x:c r="FE39" s="1052">
        <x:f t="shared" si="84"/>
        <x:v>0</x:v>
      </x:c>
      <x:c r="FF39" s="1052">
        <x:f t="shared" si="85"/>
        <x:v>0</x:v>
      </x:c>
      <x:c r="FG39" s="1052" t="str">
        <x:f t="shared" si="86"/>
        <x:v/>
      </x:c>
      <x:c r="FH39" s="1053" t="str">
        <x:f t="shared" si="87"/>
        <x:v/>
      </x:c>
      <x:c r="FI39" s="1052">
        <x:f t="shared" si="106"/>
        <x:v>0</x:v>
      </x:c>
      <x:c r="FJ39" s="1052">
        <x:f t="shared" si="88"/>
        <x:v>0</x:v>
      </x:c>
      <x:c r="FK39" s="1052">
        <x:f t="shared" si="89"/>
        <x:v>0</x:v>
      </x:c>
      <x:c r="FL39" s="1052" t="str">
        <x:f t="shared" si="90"/>
        <x:v/>
      </x:c>
      <x:c r="FM39" s="1053" t="str">
        <x:f t="shared" si="91"/>
        <x:v/>
      </x:c>
      <x:c r="FN39" s="1053" t="e">
        <x:f t="shared" si="92"/>
        <x:v>#VALUE!</x:v>
      </x:c>
      <x:c r="FO39" s="1062" t="e">
        <x:f t="shared" si="93"/>
        <x:v>#VALUE!</x:v>
      </x:c>
      <x:c r="FP39" s="1062" t="e">
        <x:f t="shared" si="94"/>
        <x:v>#VALUE!</x:v>
      </x:c>
      <x:c r="FQ39" s="1063" t="e">
        <x:f t="shared" si="95"/>
        <x:v>#VALUE!</x:v>
      </x:c>
      <x:c r="FR39" s="1064" t="e">
        <x:f t="shared" si="96"/>
        <x:v>#VALUE!</x:v>
      </x:c>
      <x:c r="FS39" s="1065" t="str">
        <x:f t="shared" si="97"/>
        <x:v/>
      </x:c>
      <x:c r="FT39" s="1066" t="str">
        <x:f t="shared" si="98"/>
        <x:v/>
      </x:c>
      <x:c r="FU39" s="1105">
        <x:f t="shared" si="99"/>
        <x:v>0</x:v>
      </x:c>
      <x:c r="FV39" s="1106">
        <x:f t="shared" si="100"/>
        <x:v>0</x:v>
      </x:c>
      <x:c r="GA39" s="1975">
        <x:v>49</x:v>
      </x:c>
      <x:c r="GB39" s="1976">
        <x:v>2.75</x:v>
      </x:c>
      <x:c r="GC39" s="1977">
        <x:v>-1.875</x:v>
      </x:c>
      <x:c r="GD39" s="1978">
        <x:v>-1</x:v>
      </x:c>
      <x:c r="GE39" s="1979">
        <x:v>0.314853999153618</x:v>
      </x:c>
      <x:c r="GF39" s="1980" t="str">
        <x:f t="shared" si="101"/>
        <x:v>TJ65</x:v>
      </x:c>
      <x:c r="GG39" s="1453"/>
      <x:c r="GH39" s="1454"/>
      <x:c r="GI39" s="1453"/>
      <x:c r="GJ39" s="1454"/>
      <x:c r="GK39" s="533">
        <x:f t="shared" si="102"/>
        <x:v>587.875</x:v>
      </x:c>
      <x:c r="GL39" s="534">
        <x:f t="shared" si="103"/>
        <x:v>588.07731878415802</x:v>
      </x:c>
      <x:c r="GM39" s="535">
        <x:f>IF(ABS(GK39-GL39)&gt;='Job Info.'!$L$22,ABS(GK39-GL39),0)</x:f>
        <x:v>0</x:v>
      </x:c>
      <x:c r="HA39" s="1658" t="s">
        <x:v>1389</x:v>
      </x:c>
      <x:c r="HB39" s="1659">
        <x:v>1</x:v>
      </x:c>
      <x:c r="HC39" s="1659" t="s">
        <x:v>1979</x:v>
      </x:c>
      <x:c r="HD39" s="1660">
        <x:v>48</x:v>
      </x:c>
      <x:c r="HE39" s="1661">
        <x:v>11.875</x:v>
      </x:c>
      <x:c r="HF39" s="1659" t="s">
        <x:v>117</x:v>
      </x:c>
      <x:c r="HG39" s="1659" t="s">
        <x:v>117</x:v>
      </x:c>
      <x:c r="HH39" s="1659" t="s">
        <x:v>117</x:v>
      </x:c>
      <x:c r="HI39" s="1662">
        <x:v>0</x:v>
      </x:c>
      <x:c r="HJ39" s="1659">
        <x:v>0.625</x:v>
      </x:c>
      <x:c r="HK39" s="1659" t="s">
        <x:v>114</x:v>
      </x:c>
      <x:c r="HL39" s="1659">
        <x:v>3</x:v>
      </x:c>
      <x:c r="HM39" s="1659">
        <x:v>3</x:v>
      </x:c>
      <x:c r="HN39" s="1659" t="s">
        <x:v>117</x:v>
      </x:c>
      <x:c r="HO39" s="1659" t="s">
        <x:v>117</x:v>
      </x:c>
      <x:c r="HP39" s="1659" t="s">
        <x:v>117</x:v>
      </x:c>
      <x:c r="HQ39" s="1662">
        <x:v>0</x:v>
      </x:c>
      <x:c r="HR39" s="1659">
        <x:v>6.75</x:v>
      </x:c>
      <x:c r="HS39" s="1659">
        <x:v>2</x:v>
      </x:c>
      <x:c r="HT39" s="1659">
        <x:v>0</x:v>
      </x:c>
      <x:c r="HU39" s="1659">
        <x:v>1.125</x:v>
      </x:c>
      <x:c r="HV39" s="1659">
        <x:v>0</x:v>
      </x:c>
      <x:c r="HW39" s="1661">
        <x:v>1.5</x:v>
      </x:c>
      <x:c r="HX39" s="1661">
        <x:v>4</x:v>
      </x:c>
      <x:c r="HY39" s="1661" t="s">
        <x:v>117</x:v>
      </x:c>
      <x:c r="HZ39" s="1661" t="s">
        <x:v>117</x:v>
      </x:c>
      <x:c r="IA39" s="1661" t="s">
        <x:v>2107</x:v>
      </x:c>
      <x:c r="IB39" s="1661"/>
      <x:c r="IC39" s="1661"/>
      <x:c r="ID39" s="1661"/>
      <x:c r="IE39" s="1661"/>
      <x:c r="IF39" s="1663"/>
    </x:row>
    <x:row r="40" spans="1:240" ht="12.6" customHeight="1" x14ac:dyDescent="0.25">
      <x:c r="A40" s="1264" t="s">
        <x:v>1390</x:v>
      </x:c>
      <x:c r="B40" s="1265">
        <x:v>0</x:v>
      </x:c>
      <x:c r="C40" s="1265" t="s">
        <x:v>1978</x:v>
      </x:c>
      <x:c r="D40" s="1261">
        <x:v>59</x:v>
      </x:c>
      <x:c r="E40" s="1366">
        <x:v>0.625</x:v>
      </x:c>
      <x:c r="F40" s="1328" t="str">
        <x:f t="shared" si="107"/>
        <x:v/>
      </x:c>
      <x:c r="G40" s="1262" t="str">
        <x:f t="shared" si="108"/>
        <x:v/>
      </x:c>
      <x:c r="H40" s="1266" t="str">
        <x:f t="shared" si="109"/>
        <x:v/>
      </x:c>
      <x:c r="I40" s="1261">
        <x:v>0</x:v>
      </x:c>
      <x:c r="J40" s="1262">
        <x:v>1.375</x:v>
      </x:c>
      <x:c r="K40" s="1370" t="s">
        <x:v>114</x:v>
      </x:c>
      <x:c r="L40" s="1327">
        <x:v>3</x:v>
      </x:c>
      <x:c r="M40" s="1329">
        <x:v>3</x:v>
      </x:c>
      <x:c r="N40" s="1263" t="str">
        <x:f t="shared" si="1"/>
        <x:v/>
      </x:c>
      <x:c r="O40" s="1262" t="str">
        <x:f t="shared" si="2"/>
        <x:v/>
      </x:c>
      <x:c r="P40" s="1260" t="str">
        <x:f t="shared" si="3"/>
        <x:v/>
      </x:c>
      <x:c r="Q40" s="1261" t="str">
        <x:f t="shared" si="4"/>
        <x:v/>
      </x:c>
      <x:c r="R40" s="1262" t="str">
        <x:f t="shared" si="5"/>
        <x:v/>
      </x:c>
      <x:c r="S40" s="1375" t="str">
        <x:f t="shared" si="6"/>
        <x:v/>
      </x:c>
      <x:c r="T40" s="1328" t="str">
        <x:f t="shared" si="7"/>
        <x:v/>
      </x:c>
      <x:c r="U40" s="1262" t="str">
        <x:f t="shared" si="8"/>
        <x:v/>
      </x:c>
      <x:c r="V40" s="1261" t="str">
        <x:f t="shared" si="9"/>
        <x:v/>
      </x:c>
      <x:c r="W40" s="1262" t="str">
        <x:f t="shared" si="10"/>
        <x:v/>
      </x:c>
      <x:c r="X40" s="1329">
        <x:f t="shared" si="11"/>
        <x:v>0</x:v>
      </x:c>
      <x:c r="Y40" s="1377" t="str">
        <x:f t="shared" si="12"/>
        <x:v/>
      </x:c>
      <x:c r="Z40" s="1378" t="str">
        <x:f t="shared" si="13"/>
        <x:v/>
      </x:c>
      <x:c r="AA40" s="2159" t="s">
        <x:v>2108</x:v>
      </x:c>
      <x:c r="AC40" s="1226" t="b">
        <x:v>0</x:v>
      </x:c>
      <x:c r="AD40" s="525">
        <x:f t="shared" si="14"/>
        <x:v>0</x:v>
      </x:c>
      <x:c r="AE40" s="526">
        <x:f t="shared" si="15"/>
        <x:v>0</x:v>
      </x:c>
      <x:c r="AF40" s="526">
        <x:f t="shared" si="16"/>
        <x:v>0</x:v>
      </x:c>
      <x:c r="AG40" s="526">
        <x:f t="shared" si="17"/>
        <x:v>0</x:v>
      </x:c>
      <x:c r="AH40" s="527">
        <x:f t="shared" si="18"/>
        <x:v>0</x:v>
      </x:c>
      <x:c r="AI40" s="528" t="b">
        <x:v>0</x:v>
      </x:c>
      <x:c r="AJ40" s="284">
        <x:f t="shared" si="19"/>
        <x:v>36</x:v>
      </x:c>
      <x:c r="AK40" s="1063" t="str">
        <x:f t="shared" si="20"/>
        <x:v>LH</x:v>
      </x:c>
      <x:c r="AL40" s="1202" t="str">
        <x:f t="shared" si="21"/>
        <x:v/>
      </x:c>
      <x:c r="AM40" s="1063">
        <x:f t="shared" si="22"/>
        <x:v>270</x:v>
      </x:c>
      <x:c r="AN40" s="1063">
        <x:f t="shared" si="23"/>
        <x:v>120</x:v>
      </x:c>
      <x:c r="AO40" s="1063" t="str">
        <x:f t="shared" si="24"/>
        <x:v/>
      </x:c>
      <x:c r="AP40" s="1063" t="b">
        <x:f>IF(ISERROR(AJ40),FALSE,IF(OR(AJ40=0,ISERROR(AL40),ISERROR(AM40),ISERROR(AN40),ISERROR(AO40)),FALSE,IF(AL40&lt;&gt;"",IF(ISERROR(VLOOKUP(SUBSTITUTE(SUBSTITUTE(C40,"R",""),"A",""),TblJoistSize!$A:$A,1,FALSE)),FALSE,TRUE),TRUE)))</x:f>
        <x:v>1</x:v>
      </x:c>
      <x:c r="AQ40" s="1305">
        <x:f t="shared" si="25"/>
        <x:v>6</x:v>
      </x:c>
      <x:c r="AR40" s="1305" t="b">
        <x:f t="shared" si="26"/>
        <x:v>0</x:v>
      </x:c>
      <x:c r="AS40" s="1305">
        <x:f t="shared" si="27"/>
        <x:v>7.375</x:v>
      </x:c>
      <x:c r="AT40" s="1305" t="b">
        <x:f t="shared" si="28"/>
        <x:v>0</x:v>
      </x:c>
      <x:c r="AU40" s="1203" t="str">
        <x:f t="shared" si="29"/>
        <x:v>LH</x:v>
      </x:c>
      <x:c r="AV40" s="1063" t="str">
        <x:f t="shared" si="30"/>
        <x:v/>
      </x:c>
      <x:c r="AW40" s="1063" t="str">
        <x:f t="shared" si="31"/>
        <x:v>LH</x:v>
      </x:c>
      <x:c r="AX40" s="1063" t="str">
        <x:f t="shared" si="104"/>
        <x:v>J66</x:v>
      </x:c>
      <x:c r="AY40" s="1306" t="b">
        <x:f t="shared" si="32"/>
        <x:v>0</x:v>
      </x:c>
      <x:c r="AZ40" s="1090" t="b">
        <x:f t="shared" si="33"/>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4"/>
        <x:v/>
      </x:c>
      <x:c r="CE40" s="935" t="str">
        <x:f t="shared" si="35"/>
        <x:v/>
      </x:c>
      <x:c r="CF40" s="1149"/>
      <x:c r="CG40" s="1150"/>
      <x:c r="CH40" s="738" t="str">
        <x:f t="shared" si="36"/>
        <x:v/>
      </x:c>
      <x:c r="CI40" s="739" t="str">
        <x:f t="shared" si="37"/>
        <x:v/>
      </x:c>
      <x:c r="CJ40" s="740" t="str">
        <x:f t="shared" si="38"/>
        <x:v/>
      </x:c>
      <x:c r="CK40" s="741" t="str">
        <x:f t="shared" si="39"/>
        <x:v/>
      </x:c>
      <x:c r="CL40" s="742" t="str">
        <x:f t="shared" si="40"/>
        <x:v/>
      </x:c>
      <x:c r="CM40" s="743" t="str">
        <x:f t="shared" si="41"/>
        <x:v/>
      </x:c>
      <x:c r="CN40" s="744" t="str">
        <x:f t="shared" si="42"/>
        <x:v/>
      </x:c>
      <x:c r="CO40" s="745" t="str">
        <x:f t="shared" si="43"/>
        <x:v/>
      </x:c>
      <x:c r="CP40" s="762" t="str">
        <x:f t="shared" si="44"/>
        <x:v/>
      </x:c>
      <x:c r="CQ40" s="763" t="str">
        <x:f t="shared" si="45"/>
        <x:v/>
      </x:c>
      <x:c r="CR40" s="953">
        <x:f t="shared" si="46"/>
        <x:v>5</x:v>
      </x:c>
      <x:c r="CS40" s="954">
        <x:f t="shared" si="47"/>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8"/>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9"/>
        <x:v>0</x:v>
      </x:c>
      <x:c r="DO40" s="1049">
        <x:f t="shared" si="50"/>
        <x:v>0</x:v>
      </x:c>
      <x:c r="DP40" s="1053" t="str">
        <x:f t="shared" si="51"/>
        <x:v/>
      </x:c>
      <x:c r="DQ40" s="1053" t="str">
        <x:f t="shared" si="52"/>
        <x:v/>
      </x:c>
      <x:c r="DR40" s="1053" t="str">
        <x:f t="shared" si="53"/>
        <x:v/>
      </x:c>
      <x:c r="DS40" s="1052">
        <x:f t="shared" si="54"/>
        <x:v>0</x:v>
      </x:c>
      <x:c r="DT40" s="1052">
        <x:f t="shared" si="55"/>
        <x:v>0</x:v>
      </x:c>
      <x:c r="DU40" s="1052" t="str">
        <x:f t="shared" si="56"/>
        <x:v/>
      </x:c>
      <x:c r="DV40" s="1053" t="str">
        <x:f t="shared" si="57"/>
        <x:v/>
      </x:c>
      <x:c r="DW40" s="1053" t="str">
        <x:f t="shared" si="58"/>
        <x:v/>
      </x:c>
      <x:c r="DX40" s="1269">
        <x:f t="shared" si="59"/>
        <x:v>0</x:v>
      </x:c>
      <x:c r="DY40" s="1053">
        <x:f t="shared" si="60"/>
        <x:v>0</x:v>
      </x:c>
      <x:c r="DZ40" s="1052">
        <x:f t="shared" si="61"/>
        <x:v>0</x:v>
      </x:c>
      <x:c r="EA40" s="1052" t="str">
        <x:f t="shared" si="62"/>
        <x:v/>
      </x:c>
      <x:c r="EB40" s="1053" t="str">
        <x:f t="shared" si="63"/>
        <x:v/>
      </x:c>
      <x:c r="EC40" s="1053" t="str">
        <x:f t="shared" si="64"/>
        <x:v/>
      </x:c>
      <x:c r="ED40" s="1269">
        <x:f t="shared" si="65"/>
        <x:v>0</x:v>
      </x:c>
      <x:c r="EE40" s="1090" t="str">
        <x:f t="shared" si="66"/>
        <x:v/>
      </x:c>
      <x:c r="EF40" s="1053" t="str">
        <x:f t="shared" si="67"/>
        <x:v/>
      </x:c>
      <x:c r="EG40" s="1053" t="str">
        <x:f t="shared" si="68"/>
        <x:v/>
      </x:c>
      <x:c r="EH40" s="1053" t="str">
        <x:f t="shared" si="69"/>
        <x:v>ERR</x:v>
      </x:c>
      <x:c r="EI40" s="1053" t="str">
        <x:f t="shared" si="70"/>
        <x:v>ERR</x:v>
      </x:c>
      <x:c r="EJ40" s="1053" t="str">
        <x:f t="shared" si="71"/>
        <x:v/>
      </x:c>
      <x:c r="EK40" s="1053" t="str">
        <x:f t="shared" si="71"/>
        <x:v/>
      </x:c>
      <x:c r="EL40" s="1090" t="str">
        <x:f t="shared" si="72"/>
        <x:v/>
      </x:c>
      <x:c r="EM40" s="1053" t="str">
        <x:f t="shared" si="73"/>
        <x:v/>
      </x:c>
      <x:c r="EN40" s="1053" t="str">
        <x:f t="shared" si="74"/>
        <x:v/>
      </x:c>
      <x:c r="EO40" s="1053" t="str">
        <x:f t="shared" si="75"/>
        <x:v>ERR</x:v>
      </x:c>
      <x:c r="EP40" s="1053" t="str">
        <x:f t="shared" si="76"/>
        <x:v>ERR</x:v>
      </x:c>
      <x:c r="EQ40" s="1053" t="str">
        <x:f t="shared" si="77"/>
        <x:v/>
      </x:c>
      <x:c r="ER40" s="1053" t="str">
        <x:f t="shared" si="77"/>
        <x:v/>
      </x:c>
      <x:c r="ES40" s="1053" t="str">
        <x:f t="shared" si="78"/>
        <x:v/>
      </x:c>
      <x:c r="ET40" s="1053" t="str">
        <x:f t="shared" si="79"/>
        <x:v/>
      </x:c>
      <x:c r="EU40" s="1061">
        <x:f t="shared" si="80"/>
        <x:v>4</x:v>
      </x:c>
      <x:c r="EV40" s="1055" t="str">
        <x:f t="shared" si="81"/>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2"/>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3"/>
        <x:v/>
      </x:c>
      <x:c r="FD40" s="1052">
        <x:f t="shared" si="105"/>
        <x:v>0</x:v>
      </x:c>
      <x:c r="FE40" s="1052">
        <x:f t="shared" si="84"/>
        <x:v>0</x:v>
      </x:c>
      <x:c r="FF40" s="1052">
        <x:f t="shared" si="85"/>
        <x:v>0</x:v>
      </x:c>
      <x:c r="FG40" s="1052" t="str">
        <x:f t="shared" si="86"/>
        <x:v/>
      </x:c>
      <x:c r="FH40" s="1053" t="str">
        <x:f t="shared" si="87"/>
        <x:v/>
      </x:c>
      <x:c r="FI40" s="1052">
        <x:f t="shared" si="106"/>
        <x:v>0</x:v>
      </x:c>
      <x:c r="FJ40" s="1052">
        <x:f t="shared" si="88"/>
        <x:v>0</x:v>
      </x:c>
      <x:c r="FK40" s="1052">
        <x:f t="shared" si="89"/>
        <x:v>0</x:v>
      </x:c>
      <x:c r="FL40" s="1052" t="str">
        <x:f t="shared" si="90"/>
        <x:v/>
      </x:c>
      <x:c r="FM40" s="1053" t="str">
        <x:f t="shared" si="91"/>
        <x:v/>
      </x:c>
      <x:c r="FN40" s="1053" t="e">
        <x:f t="shared" si="92"/>
        <x:v>#VALUE!</x:v>
      </x:c>
      <x:c r="FO40" s="1062" t="e">
        <x:f t="shared" si="93"/>
        <x:v>#VALUE!</x:v>
      </x:c>
      <x:c r="FP40" s="1062" t="e">
        <x:f t="shared" si="94"/>
        <x:v>#VALUE!</x:v>
      </x:c>
      <x:c r="FQ40" s="1063" t="e">
        <x:f t="shared" si="95"/>
        <x:v>#VALUE!</x:v>
      </x:c>
      <x:c r="FR40" s="1064" t="e">
        <x:f t="shared" si="96"/>
        <x:v>#VALUE!</x:v>
      </x:c>
      <x:c r="FS40" s="1065" t="str">
        <x:f t="shared" si="97"/>
        <x:v/>
      </x:c>
      <x:c r="FT40" s="1066" t="str">
        <x:f t="shared" si="98"/>
        <x:v/>
      </x:c>
      <x:c r="FU40" s="1105">
        <x:f t="shared" si="99"/>
        <x:v>0</x:v>
      </x:c>
      <x:c r="FV40" s="1106">
        <x:f t="shared" si="100"/>
        <x:v>0</x:v>
      </x:c>
      <x:c r="GA40" s="1975">
        <x:v>59</x:v>
      </x:c>
      <x:c r="GB40" s="1976">
        <x:v>2.75</x:v>
      </x:c>
      <x:c r="GC40" s="1977">
        <x:v>-1.875</x:v>
      </x:c>
      <x:c r="GD40" s="1978">
        <x:v>-0.25</x:v>
      </x:c>
      <x:c r="GE40" s="1979">
        <x:v>0.26169539219134702</x:v>
      </x:c>
      <x:c r="GF40" s="1980" t="str">
        <x:f t="shared" si="101"/>
        <x:v>J66</x:v>
      </x:c>
      <x:c r="GG40" s="1453"/>
      <x:c r="GH40" s="1454"/>
      <x:c r="GI40" s="1453"/>
      <x:c r="GJ40" s="1454"/>
      <x:c r="GK40" s="533">
        <x:f t="shared" si="102"/>
        <x:v>708.625</x:v>
      </x:c>
      <x:c r="GL40" s="534">
        <x:f t="shared" si="103"/>
        <x:v>708.79348626656247</x:v>
      </x:c>
      <x:c r="GM40" s="535">
        <x:f>IF(ABS(GK40-GL40)&gt;='Job Info.'!$L$22,ABS(GK40-GL40),0)</x:f>
        <x:v>0</x:v>
      </x:c>
      <x:c r="HA40" s="1658" t="s">
        <x:v>1390</x:v>
      </x:c>
      <x:c r="HB40" s="1659">
        <x:v>1</x:v>
      </x:c>
      <x:c r="HC40" s="1659" t="s">
        <x:v>1978</x:v>
      </x:c>
      <x:c r="HD40" s="1660">
        <x:v>59</x:v>
      </x:c>
      <x:c r="HE40" s="1661">
        <x:v>0.625</x:v>
      </x:c>
      <x:c r="HF40" s="1659" t="s">
        <x:v>117</x:v>
      </x:c>
      <x:c r="HG40" s="1659" t="s">
        <x:v>117</x:v>
      </x:c>
      <x:c r="HH40" s="1659" t="s">
        <x:v>117</x:v>
      </x:c>
      <x:c r="HI40" s="1662">
        <x:v>0</x:v>
      </x:c>
      <x:c r="HJ40" s="1659">
        <x:v>1.375</x:v>
      </x:c>
      <x:c r="HK40" s="1659" t="s">
        <x:v>114</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2108</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07"/>
        <x:v/>
      </x:c>
      <x:c r="G41" s="1262" t="str">
        <x:f t="shared" si="108"/>
        <x:v/>
      </x:c>
      <x:c r="H41" s="1266" t="str">
        <x:f t="shared" si="109"/>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7"/>
        <x:v/>
      </x:c>
      <x:c r="U41" s="1262" t="str">
        <x:f t="shared" si="8"/>
        <x:v/>
      </x:c>
      <x:c r="V41" s="1261" t="str">
        <x:f t="shared" si="9"/>
        <x:v/>
      </x:c>
      <x:c r="W41" s="1262" t="str">
        <x:f t="shared" si="10"/>
        <x:v/>
      </x:c>
      <x:c r="X41" s="1329">
        <x:f t="shared" si="11"/>
        <x:v>0</x:v>
      </x:c>
      <x:c r="Y41" s="1377" t="str">
        <x:f t="shared" si="12"/>
        <x:v/>
      </x:c>
      <x:c r="Z41" s="1378" t="str">
        <x:f t="shared" si="13"/>
        <x:v/>
      </x:c>
      <x:c r="AA41" s="2159"/>
      <x:c r="AC41" s="1226" t="b">
        <x:v>0</x:v>
      </x:c>
      <x:c r="AD41" s="525">
        <x:f t="shared" si="14"/>
        <x:v>0</x:v>
      </x:c>
      <x:c r="AE41" s="526">
        <x:f t="shared" si="15"/>
        <x:v>0</x:v>
      </x:c>
      <x:c r="AF41" s="526">
        <x:f t="shared" si="16"/>
        <x:v>0</x:v>
      </x:c>
      <x:c r="AG41" s="526">
        <x:f t="shared" si="17"/>
        <x:v>0</x:v>
      </x:c>
      <x:c r="AH41" s="527">
        <x:f t="shared" si="18"/>
        <x:v>0</x:v>
      </x:c>
      <x:c r="AI41" s="528" t="b">
        <x:v>0</x:v>
      </x:c>
      <x:c r="AJ41" s="284">
        <x:f t="shared" si="19"/>
        <x:v>0</x:v>
      </x:c>
      <x:c r="AK41" s="1063" t="str">
        <x:f t="shared" si="20"/>
        <x:v/>
      </x:c>
      <x:c r="AL41" s="1202" t="str">
        <x:f t="shared" si="21"/>
        <x:v/>
      </x:c>
      <x:c r="AM41" s="1063" t="str">
        <x:f t="shared" si="22"/>
        <x:v/>
      </x:c>
      <x:c r="AN41" s="1063" t="str">
        <x:f t="shared" si="23"/>
        <x:v/>
      </x:c>
      <x:c r="AO41" s="1063" t="str">
        <x:f t="shared" si="24"/>
        <x:v/>
      </x:c>
      <x:c r="AP41" s="1063" t="b">
        <x:f>IF(ISERROR(AJ41),FALSE,IF(OR(AJ41=0,ISERROR(AL41),ISERROR(AM41),ISERROR(AN41),ISERROR(AO41)),FALSE,IF(AL41&lt;&gt;"",IF(ISERROR(VLOOKUP(SUBSTITUTE(SUBSTITUTE(C41,"R",""),"A",""),TblJoistSize!$A:$A,1,FALSE)),FALSE,TRUE),TRUE)))</x:f>
        <x:v>0</x:v>
      </x:c>
      <x:c r="AQ41" s="1305" t="e">
        <x:f t="shared" si="25"/>
        <x:v>#N/A</x:v>
      </x:c>
      <x:c r="AR41" s="1305" t="b">
        <x:f t="shared" si="26"/>
        <x:v>0</x:v>
      </x:c>
      <x:c r="AS41" s="1305" t="e">
        <x:f t="shared" si="27"/>
        <x:v>#N/A</x:v>
      </x:c>
      <x:c r="AT41" s="1305" t="b">
        <x:f t="shared" si="28"/>
        <x:v>0</x:v>
      </x:c>
      <x:c r="AU41" s="1203" t="str">
        <x:f t="shared" si="29"/>
        <x:v/>
      </x:c>
      <x:c r="AV41" s="1063" t="str">
        <x:f t="shared" si="30"/>
        <x:v/>
      </x:c>
      <x:c r="AW41" s="1063" t="str">
        <x:f t="shared" si="31"/>
        <x:v/>
      </x:c>
      <x:c r="AX41" s="1063" t="str">
        <x:f t="shared" si="104"/>
        <x:v/>
      </x:c>
      <x:c r="AY41" s="1306" t="b">
        <x:f t="shared" si="32"/>
        <x:v>0</x:v>
      </x:c>
      <x:c r="AZ41" s="1090" t="str">
        <x:f t="shared" si="33"/>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4"/>
        <x:v/>
      </x:c>
      <x:c r="CE41" s="935" t="str">
        <x:f t="shared" si="35"/>
        <x:v/>
      </x:c>
      <x:c r="CF41" s="1149"/>
      <x:c r="CG41" s="1150"/>
      <x:c r="CH41" s="738" t="str">
        <x:f t="shared" si="36"/>
        <x:v/>
      </x:c>
      <x:c r="CI41" s="739" t="str">
        <x:f t="shared" si="37"/>
        <x:v/>
      </x:c>
      <x:c r="CJ41" s="740" t="str">
        <x:f t="shared" si="38"/>
        <x:v/>
      </x:c>
      <x:c r="CK41" s="741" t="str">
        <x:f t="shared" si="39"/>
        <x:v/>
      </x:c>
      <x:c r="CL41" s="742" t="str">
        <x:f t="shared" si="40"/>
        <x:v/>
      </x:c>
      <x:c r="CM41" s="743" t="str">
        <x:f t="shared" si="41"/>
        <x:v/>
      </x:c>
      <x:c r="CN41" s="744" t="str">
        <x:f t="shared" si="42"/>
        <x:v/>
      </x:c>
      <x:c r="CO41" s="745" t="str">
        <x:f t="shared" si="43"/>
        <x:v/>
      </x:c>
      <x:c r="CP41" s="762" t="str">
        <x:f t="shared" si="44"/>
        <x:v/>
      </x:c>
      <x:c r="CQ41" s="763" t="str">
        <x:f t="shared" si="45"/>
        <x:v/>
      </x:c>
      <x:c r="CR41" s="953" t="str">
        <x:f t="shared" si="46"/>
        <x:v/>
      </x:c>
      <x:c r="CS41" s="954" t="str">
        <x:f t="shared" si="47"/>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8"/>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9"/>
        <x:v>0</x:v>
      </x:c>
      <x:c r="DO41" s="1049">
        <x:f t="shared" si="50"/>
        <x:v>0</x:v>
      </x:c>
      <x:c r="DP41" s="1053" t="str">
        <x:f t="shared" si="51"/>
        <x:v/>
      </x:c>
      <x:c r="DQ41" s="1053" t="str">
        <x:f t="shared" si="52"/>
        <x:v/>
      </x:c>
      <x:c r="DR41" s="1053" t="str">
        <x:f t="shared" si="53"/>
        <x:v/>
      </x:c>
      <x:c r="DS41" s="1052">
        <x:f t="shared" si="54"/>
        <x:v>0</x:v>
      </x:c>
      <x:c r="DT41" s="1052">
        <x:f t="shared" si="55"/>
        <x:v>0</x:v>
      </x:c>
      <x:c r="DU41" s="1052" t="str">
        <x:f t="shared" si="56"/>
        <x:v/>
      </x:c>
      <x:c r="DV41" s="1053" t="str">
        <x:f t="shared" si="57"/>
        <x:v/>
      </x:c>
      <x:c r="DW41" s="1053" t="str">
        <x:f t="shared" si="58"/>
        <x:v/>
      </x:c>
      <x:c r="DX41" s="1269">
        <x:f t="shared" si="59"/>
        <x:v>0</x:v>
      </x:c>
      <x:c r="DY41" s="1053">
        <x:f t="shared" si="60"/>
        <x:v>0</x:v>
      </x:c>
      <x:c r="DZ41" s="1052">
        <x:f t="shared" si="61"/>
        <x:v>0</x:v>
      </x:c>
      <x:c r="EA41" s="1052" t="str">
        <x:f t="shared" si="62"/>
        <x:v/>
      </x:c>
      <x:c r="EB41" s="1053" t="str">
        <x:f t="shared" si="63"/>
        <x:v/>
      </x:c>
      <x:c r="EC41" s="1053" t="str">
        <x:f t="shared" si="64"/>
        <x:v/>
      </x:c>
      <x:c r="ED41" s="1269">
        <x:f t="shared" si="65"/>
        <x:v>0</x:v>
      </x:c>
      <x:c r="EE41" s="1090" t="str">
        <x:f t="shared" si="66"/>
        <x:v/>
      </x:c>
      <x:c r="EF41" s="1053" t="str">
        <x:f t="shared" si="67"/>
        <x:v/>
      </x:c>
      <x:c r="EG41" s="1053" t="str">
        <x:f t="shared" si="68"/>
        <x:v/>
      </x:c>
      <x:c r="EH41" s="1053" t="e">
        <x:f t="shared" si="69"/>
        <x:v>#N/A</x:v>
      </x:c>
      <x:c r="EI41" s="1053" t="e">
        <x:f t="shared" si="70"/>
        <x:v>#N/A</x:v>
      </x:c>
      <x:c r="EJ41" s="1053" t="str">
        <x:f t="shared" si="71"/>
        <x:v/>
      </x:c>
      <x:c r="EK41" s="1053" t="str">
        <x:f t="shared" si="71"/>
        <x:v/>
      </x:c>
      <x:c r="EL41" s="1090" t="str">
        <x:f t="shared" si="72"/>
        <x:v/>
      </x:c>
      <x:c r="EM41" s="1053" t="str">
        <x:f t="shared" si="73"/>
        <x:v/>
      </x:c>
      <x:c r="EN41" s="1053" t="str">
        <x:f t="shared" si="74"/>
        <x:v/>
      </x:c>
      <x:c r="EO41" s="1053" t="e">
        <x:f t="shared" si="75"/>
        <x:v>#N/A</x:v>
      </x:c>
      <x:c r="EP41" s="1053" t="e">
        <x:f t="shared" si="76"/>
        <x:v>#N/A</x:v>
      </x:c>
      <x:c r="EQ41" s="1053" t="str">
        <x:f t="shared" si="77"/>
        <x:v/>
      </x:c>
      <x:c r="ER41" s="1053" t="str">
        <x:f t="shared" si="77"/>
        <x:v/>
      </x:c>
      <x:c r="ES41" s="1053" t="str">
        <x:f t="shared" si="78"/>
        <x:v/>
      </x:c>
      <x:c r="ET41" s="1053" t="str">
        <x:f t="shared" si="79"/>
        <x:v/>
      </x:c>
      <x:c r="EU41" s="1061" t="str">
        <x:f t="shared" si="80"/>
        <x:v/>
      </x:c>
      <x:c r="EV41" s="1055" t="str">
        <x:f t="shared" si="81"/>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2"/>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3"/>
        <x:v/>
      </x:c>
      <x:c r="FD41" s="1052">
        <x:f t="shared" si="105"/>
        <x:v>0</x:v>
      </x:c>
      <x:c r="FE41" s="1052">
        <x:f t="shared" si="84"/>
        <x:v>0</x:v>
      </x:c>
      <x:c r="FF41" s="1052">
        <x:f t="shared" si="85"/>
        <x:v>0</x:v>
      </x:c>
      <x:c r="FG41" s="1052" t="str">
        <x:f t="shared" si="86"/>
        <x:v/>
      </x:c>
      <x:c r="FH41" s="1053" t="str">
        <x:f t="shared" si="87"/>
        <x:v/>
      </x:c>
      <x:c r="FI41" s="1052">
        <x:f t="shared" si="106"/>
        <x:v>0</x:v>
      </x:c>
      <x:c r="FJ41" s="1052">
        <x:f t="shared" si="88"/>
        <x:v>0</x:v>
      </x:c>
      <x:c r="FK41" s="1052">
        <x:f t="shared" si="89"/>
        <x:v>0</x:v>
      </x:c>
      <x:c r="FL41" s="1052" t="str">
        <x:f t="shared" si="90"/>
        <x:v/>
      </x:c>
      <x:c r="FM41" s="1053" t="str">
        <x:f t="shared" si="91"/>
        <x:v/>
      </x:c>
      <x:c r="FN41" s="1053" t="e">
        <x:f t="shared" si="92"/>
        <x:v>#VALUE!</x:v>
      </x:c>
      <x:c r="FO41" s="1062" t="e">
        <x:f t="shared" si="93"/>
        <x:v>#VALUE!</x:v>
      </x:c>
      <x:c r="FP41" s="1062" t="e">
        <x:f t="shared" si="94"/>
        <x:v>#VALUE!</x:v>
      </x:c>
      <x:c r="FQ41" s="1063" t="e">
        <x:f t="shared" si="95"/>
        <x:v>#VALUE!</x:v>
      </x:c>
      <x:c r="FR41" s="1064" t="e">
        <x:f t="shared" si="96"/>
        <x:v>#VALUE!</x:v>
      </x:c>
      <x:c r="FS41" s="1065" t="str">
        <x:f t="shared" si="97"/>
        <x:v/>
      </x:c>
      <x:c r="FT41" s="1066" t="str">
        <x:f t="shared" si="98"/>
        <x:v/>
      </x:c>
      <x:c r="FU41" s="1105">
        <x:f t="shared" si="99"/>
        <x:v>0</x:v>
      </x:c>
      <x:c r="FV41" s="1106">
        <x:f t="shared" si="100"/>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101"/>
        <x:v/>
      </x:c>
      <x:c r="GG41" s="1453"/>
      <x:c r="GH41" s="1454"/>
      <x:c r="GI41" s="1453"/>
      <x:c r="GJ41" s="1454"/>
      <x:c r="GK41" s="533">
        <x:f t="shared" si="102"/>
        <x:v>0</x:v>
      </x:c>
      <x:c r="GL41" s="534" t="e">
        <x:f t="shared" si="103"/>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07"/>
        <x:v/>
      </x:c>
      <x:c r="G42" s="1262" t="str">
        <x:f t="shared" si="108"/>
        <x:v/>
      </x:c>
      <x:c r="H42" s="1266" t="str">
        <x:f t="shared" si="109"/>
        <x:v/>
      </x:c>
      <x:c r="I42" s="1261" t="str">
        <x:f t="shared" si="114"/>
        <x:v/>
      </x:c>
      <x:c r="J42" s="1262" t="str">
        <x:f t="shared" si="115"/>
        <x:v/>
      </x:c>
      <x:c r="K42" s="1370" t="str">
        <x:f t="shared" si="116"/>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7"/>
        <x:v/>
      </x:c>
      <x:c r="U42" s="1262" t="str">
        <x:f t="shared" si="8"/>
        <x:v/>
      </x:c>
      <x:c r="V42" s="1261" t="str">
        <x:f t="shared" si="9"/>
        <x:v/>
      </x:c>
      <x:c r="W42" s="1262" t="str">
        <x:f t="shared" si="10"/>
        <x:v/>
      </x:c>
      <x:c r="X42" s="1329">
        <x:f t="shared" si="11"/>
        <x:v>0</x:v>
      </x:c>
      <x:c r="Y42" s="1377" t="str">
        <x:f t="shared" si="12"/>
        <x:v/>
      </x:c>
      <x:c r="Z42" s="1378" t="str">
        <x:f t="shared" si="13"/>
        <x:v/>
      </x:c>
      <x:c r="AA42" s="2159"/>
      <x:c r="AC42" s="1226" t="b">
        <x:v>0</x:v>
      </x:c>
      <x:c r="AD42" s="525">
        <x:f t="shared" si="14"/>
        <x:v>0</x:v>
      </x:c>
      <x:c r="AE42" s="526">
        <x:f t="shared" si="15"/>
        <x:v>0</x:v>
      </x:c>
      <x:c r="AF42" s="526">
        <x:f t="shared" si="16"/>
        <x:v>0</x:v>
      </x:c>
      <x:c r="AG42" s="526">
        <x:f t="shared" si="17"/>
        <x:v>0</x:v>
      </x:c>
      <x:c r="AH42" s="527">
        <x:f t="shared" si="18"/>
        <x:v>0</x:v>
      </x:c>
      <x:c r="AI42" s="528" t="b">
        <x:v>0</x:v>
      </x:c>
      <x:c r="AJ42" s="284">
        <x:f t="shared" si="19"/>
        <x:v>0</x:v>
      </x:c>
      <x:c r="AK42" s="1063" t="str">
        <x:f t="shared" si="20"/>
        <x:v/>
      </x:c>
      <x:c r="AL42" s="1202" t="str">
        <x:f t="shared" si="21"/>
        <x:v/>
      </x:c>
      <x:c r="AM42" s="1063" t="str">
        <x:f t="shared" si="22"/>
        <x:v/>
      </x:c>
      <x:c r="AN42" s="1063" t="str">
        <x:f t="shared" si="23"/>
        <x:v/>
      </x:c>
      <x:c r="AO42" s="1063" t="str">
        <x:f t="shared" si="24"/>
        <x:v/>
      </x:c>
      <x:c r="AP42" s="1063" t="b">
        <x:f>IF(ISERROR(AJ42),FALSE,IF(OR(AJ42=0,ISERROR(AL42),ISERROR(AM42),ISERROR(AN42),ISERROR(AO42)),FALSE,IF(AL42&lt;&gt;"",IF(ISERROR(VLOOKUP(SUBSTITUTE(SUBSTITUTE(C42,"R",""),"A",""),TblJoistSize!$A:$A,1,FALSE)),FALSE,TRUE),TRUE)))</x:f>
        <x:v>0</x:v>
      </x:c>
      <x:c r="AQ42" s="1305" t="e">
        <x:f t="shared" si="25"/>
        <x:v>#N/A</x:v>
      </x:c>
      <x:c r="AR42" s="1305" t="b">
        <x:f t="shared" si="26"/>
        <x:v>0</x:v>
      </x:c>
      <x:c r="AS42" s="1305" t="e">
        <x:f t="shared" si="27"/>
        <x:v>#N/A</x:v>
      </x:c>
      <x:c r="AT42" s="1305" t="b">
        <x:f t="shared" si="28"/>
        <x:v>0</x:v>
      </x:c>
      <x:c r="AU42" s="1203" t="str">
        <x:f t="shared" si="29"/>
        <x:v/>
      </x:c>
      <x:c r="AV42" s="1063" t="str">
        <x:f t="shared" si="30"/>
        <x:v/>
      </x:c>
      <x:c r="AW42" s="1063" t="str">
        <x:f t="shared" si="31"/>
        <x:v/>
      </x:c>
      <x:c r="AX42" s="1063" t="str">
        <x:f t="shared" si="104"/>
        <x:v/>
      </x:c>
      <x:c r="AY42" s="1306" t="b">
        <x:f t="shared" si="32"/>
        <x:v>0</x:v>
      </x:c>
      <x:c r="AZ42" s="1090" t="str">
        <x:f t="shared" si="33"/>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4"/>
        <x:v/>
      </x:c>
      <x:c r="CE42" s="935" t="str">
        <x:f t="shared" si="35"/>
        <x:v/>
      </x:c>
      <x:c r="CF42" s="1149"/>
      <x:c r="CG42" s="1150"/>
      <x:c r="CH42" s="738" t="str">
        <x:f t="shared" si="36"/>
        <x:v/>
      </x:c>
      <x:c r="CI42" s="739" t="str">
        <x:f t="shared" si="37"/>
        <x:v/>
      </x:c>
      <x:c r="CJ42" s="740" t="str">
        <x:f t="shared" si="38"/>
        <x:v/>
      </x:c>
      <x:c r="CK42" s="741" t="str">
        <x:f t="shared" si="39"/>
        <x:v/>
      </x:c>
      <x:c r="CL42" s="742" t="str">
        <x:f t="shared" si="40"/>
        <x:v/>
      </x:c>
      <x:c r="CM42" s="743" t="str">
        <x:f t="shared" si="41"/>
        <x:v/>
      </x:c>
      <x:c r="CN42" s="744" t="str">
        <x:f t="shared" si="42"/>
        <x:v/>
      </x:c>
      <x:c r="CO42" s="745" t="str">
        <x:f t="shared" si="43"/>
        <x:v/>
      </x:c>
      <x:c r="CP42" s="762" t="str">
        <x:f t="shared" si="44"/>
        <x:v/>
      </x:c>
      <x:c r="CQ42" s="763" t="str">
        <x:f t="shared" si="45"/>
        <x:v/>
      </x:c>
      <x:c r="CR42" s="953" t="str">
        <x:f t="shared" si="46"/>
        <x:v/>
      </x:c>
      <x:c r="CS42" s="954" t="str">
        <x:f t="shared" si="47"/>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8"/>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9"/>
        <x:v>0</x:v>
      </x:c>
      <x:c r="DO42" s="1049">
        <x:f t="shared" si="50"/>
        <x:v>0</x:v>
      </x:c>
      <x:c r="DP42" s="1053" t="str">
        <x:f t="shared" si="51"/>
        <x:v/>
      </x:c>
      <x:c r="DQ42" s="1053" t="str">
        <x:f t="shared" si="52"/>
        <x:v/>
      </x:c>
      <x:c r="DR42" s="1053" t="str">
        <x:f t="shared" si="53"/>
        <x:v/>
      </x:c>
      <x:c r="DS42" s="1052">
        <x:f t="shared" si="54"/>
        <x:v>0</x:v>
      </x:c>
      <x:c r="DT42" s="1052">
        <x:f t="shared" si="55"/>
        <x:v>0</x:v>
      </x:c>
      <x:c r="DU42" s="1052" t="str">
        <x:f t="shared" si="56"/>
        <x:v/>
      </x:c>
      <x:c r="DV42" s="1053" t="str">
        <x:f t="shared" si="57"/>
        <x:v/>
      </x:c>
      <x:c r="DW42" s="1053" t="str">
        <x:f t="shared" si="58"/>
        <x:v/>
      </x:c>
      <x:c r="DX42" s="1269">
        <x:f t="shared" si="59"/>
        <x:v>0</x:v>
      </x:c>
      <x:c r="DY42" s="1053">
        <x:f t="shared" si="60"/>
        <x:v>0</x:v>
      </x:c>
      <x:c r="DZ42" s="1052">
        <x:f t="shared" si="61"/>
        <x:v>0</x:v>
      </x:c>
      <x:c r="EA42" s="1052" t="str">
        <x:f t="shared" si="62"/>
        <x:v/>
      </x:c>
      <x:c r="EB42" s="1053" t="str">
        <x:f t="shared" si="63"/>
        <x:v/>
      </x:c>
      <x:c r="EC42" s="1053" t="str">
        <x:f t="shared" si="64"/>
        <x:v/>
      </x:c>
      <x:c r="ED42" s="1269">
        <x:f t="shared" si="65"/>
        <x:v>0</x:v>
      </x:c>
      <x:c r="EE42" s="1090" t="str">
        <x:f t="shared" si="66"/>
        <x:v/>
      </x:c>
      <x:c r="EF42" s="1053" t="str">
        <x:f t="shared" si="67"/>
        <x:v/>
      </x:c>
      <x:c r="EG42" s="1053" t="str">
        <x:f t="shared" si="68"/>
        <x:v/>
      </x:c>
      <x:c r="EH42" s="1053" t="e">
        <x:f t="shared" si="69"/>
        <x:v>#N/A</x:v>
      </x:c>
      <x:c r="EI42" s="1053" t="e">
        <x:f t="shared" si="70"/>
        <x:v>#N/A</x:v>
      </x:c>
      <x:c r="EJ42" s="1053" t="str">
        <x:f t="shared" si="71"/>
        <x:v/>
      </x:c>
      <x:c r="EK42" s="1053" t="str">
        <x:f t="shared" si="71"/>
        <x:v/>
      </x:c>
      <x:c r="EL42" s="1090" t="str">
        <x:f t="shared" si="72"/>
        <x:v/>
      </x:c>
      <x:c r="EM42" s="1053" t="str">
        <x:f t="shared" si="73"/>
        <x:v/>
      </x:c>
      <x:c r="EN42" s="1053" t="str">
        <x:f t="shared" si="74"/>
        <x:v/>
      </x:c>
      <x:c r="EO42" s="1053" t="e">
        <x:f t="shared" si="75"/>
        <x:v>#N/A</x:v>
      </x:c>
      <x:c r="EP42" s="1053" t="e">
        <x:f t="shared" si="76"/>
        <x:v>#N/A</x:v>
      </x:c>
      <x:c r="EQ42" s="1053" t="str">
        <x:f t="shared" si="77"/>
        <x:v/>
      </x:c>
      <x:c r="ER42" s="1053" t="str">
        <x:f t="shared" si="77"/>
        <x:v/>
      </x:c>
      <x:c r="ES42" s="1053" t="str">
        <x:f t="shared" si="78"/>
        <x:v/>
      </x:c>
      <x:c r="ET42" s="1053" t="str">
        <x:f t="shared" si="79"/>
        <x:v/>
      </x:c>
      <x:c r="EU42" s="1061" t="str">
        <x:f t="shared" si="80"/>
        <x:v/>
      </x:c>
      <x:c r="EV42" s="1055" t="str">
        <x:f t="shared" si="81"/>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2"/>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3"/>
        <x:v/>
      </x:c>
      <x:c r="FD42" s="1052">
        <x:f t="shared" si="105"/>
        <x:v>0</x:v>
      </x:c>
      <x:c r="FE42" s="1052">
        <x:f t="shared" si="84"/>
        <x:v>0</x:v>
      </x:c>
      <x:c r="FF42" s="1052">
        <x:f t="shared" si="85"/>
        <x:v>0</x:v>
      </x:c>
      <x:c r="FG42" s="1052" t="str">
        <x:f t="shared" si="86"/>
        <x:v/>
      </x:c>
      <x:c r="FH42" s="1053" t="str">
        <x:f t="shared" si="87"/>
        <x:v/>
      </x:c>
      <x:c r="FI42" s="1052">
        <x:f t="shared" si="106"/>
        <x:v>0</x:v>
      </x:c>
      <x:c r="FJ42" s="1052">
        <x:f t="shared" si="88"/>
        <x:v>0</x:v>
      </x:c>
      <x:c r="FK42" s="1052">
        <x:f t="shared" si="89"/>
        <x:v>0</x:v>
      </x:c>
      <x:c r="FL42" s="1052" t="str">
        <x:f t="shared" si="90"/>
        <x:v/>
      </x:c>
      <x:c r="FM42" s="1053" t="str">
        <x:f t="shared" si="91"/>
        <x:v/>
      </x:c>
      <x:c r="FN42" s="1053" t="e">
        <x:f t="shared" si="92"/>
        <x:v>#VALUE!</x:v>
      </x:c>
      <x:c r="FO42" s="1062" t="e">
        <x:f t="shared" si="93"/>
        <x:v>#VALUE!</x:v>
      </x:c>
      <x:c r="FP42" s="1062" t="e">
        <x:f t="shared" si="94"/>
        <x:v>#VALUE!</x:v>
      </x:c>
      <x:c r="FQ42" s="1063" t="e">
        <x:f t="shared" si="95"/>
        <x:v>#VALUE!</x:v>
      </x:c>
      <x:c r="FR42" s="1064" t="e">
        <x:f t="shared" si="96"/>
        <x:v>#VALUE!</x:v>
      </x:c>
      <x:c r="FS42" s="1065" t="str">
        <x:f t="shared" si="97"/>
        <x:v/>
      </x:c>
      <x:c r="FT42" s="1066" t="str">
        <x:f t="shared" si="98"/>
        <x:v/>
      </x:c>
      <x:c r="FU42" s="1105">
        <x:f t="shared" si="99"/>
        <x:v>0</x:v>
      </x:c>
      <x:c r="FV42" s="1106">
        <x:f t="shared" si="100"/>
        <x:v>0</x:v>
      </x:c>
      <x:c r="GA42" s="1975" t="str">
        <x:f t="shared" si="118"/>
        <x:v/>
      </x:c>
      <x:c r="GB42" s="1976" t="str">
        <x:f t="shared" si="119"/>
        <x:v/>
      </x:c>
      <x:c r="GC42" s="1977" t="str">
        <x:f t="shared" si="120"/>
        <x:v/>
      </x:c>
      <x:c r="GD42" s="1978" t="str">
        <x:f t="shared" si="121"/>
        <x:v/>
      </x:c>
      <x:c r="GE42" s="1979" t="str">
        <x:f t="shared" si="122"/>
        <x:v/>
      </x:c>
      <x:c r="GF42" s="1980" t="str">
        <x:f t="shared" si="101"/>
        <x:v/>
      </x:c>
      <x:c r="GG42" s="1453"/>
      <x:c r="GH42" s="1454"/>
      <x:c r="GI42" s="1453"/>
      <x:c r="GJ42" s="1454"/>
      <x:c r="GK42" s="533">
        <x:f t="shared" si="102"/>
        <x:v>0</x:v>
      </x:c>
      <x:c r="GL42" s="534" t="e">
        <x:f t="shared" si="103"/>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07"/>
        <x:v/>
      </x:c>
      <x:c r="G43" s="1262" t="str">
        <x:f t="shared" si="108"/>
        <x:v/>
      </x:c>
      <x:c r="H43" s="1266" t="str">
        <x:f t="shared" si="109"/>
        <x:v/>
      </x:c>
      <x:c r="I43" s="1261" t="str">
        <x:f t="shared" si="114"/>
        <x:v/>
      </x:c>
      <x:c r="J43" s="1262" t="str">
        <x:f t="shared" si="115"/>
        <x:v/>
      </x:c>
      <x:c r="K43" s="1370" t="str">
        <x:f t="shared" si="116"/>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7"/>
        <x:v/>
      </x:c>
      <x:c r="U43" s="1262" t="str">
        <x:f t="shared" si="8"/>
        <x:v/>
      </x:c>
      <x:c r="V43" s="1261" t="str">
        <x:f t="shared" si="9"/>
        <x:v/>
      </x:c>
      <x:c r="W43" s="1262" t="str">
        <x:f t="shared" si="10"/>
        <x:v/>
      </x:c>
      <x:c r="X43" s="1329">
        <x:f t="shared" si="11"/>
        <x:v>0</x:v>
      </x:c>
      <x:c r="Y43" s="1377" t="str">
        <x:f t="shared" si="12"/>
        <x:v/>
      </x:c>
      <x:c r="Z43" s="1378" t="str">
        <x:f t="shared" si="13"/>
        <x:v/>
      </x:c>
      <x:c r="AA43" s="2159"/>
      <x:c r="AC43" s="1226" t="b">
        <x:v>0</x:v>
      </x:c>
      <x:c r="AD43" s="525">
        <x:f t="shared" si="14"/>
        <x:v>0</x:v>
      </x:c>
      <x:c r="AE43" s="526">
        <x:f t="shared" si="15"/>
        <x:v>0</x:v>
      </x:c>
      <x:c r="AF43" s="526">
        <x:f t="shared" si="16"/>
        <x:v>0</x:v>
      </x:c>
      <x:c r="AG43" s="526">
        <x:f t="shared" si="17"/>
        <x:v>0</x:v>
      </x:c>
      <x:c r="AH43" s="527">
        <x:f t="shared" si="18"/>
        <x:v>0</x:v>
      </x:c>
      <x:c r="AI43" s="528" t="b">
        <x:v>0</x:v>
      </x:c>
      <x:c r="AJ43" s="284">
        <x:f t="shared" si="19"/>
        <x:v>0</x:v>
      </x:c>
      <x:c r="AK43" s="1063" t="str">
        <x:f t="shared" si="20"/>
        <x:v/>
      </x:c>
      <x:c r="AL43" s="1202" t="str">
        <x:f t="shared" si="21"/>
        <x:v/>
      </x:c>
      <x:c r="AM43" s="1063" t="str">
        <x:f t="shared" si="22"/>
        <x:v/>
      </x:c>
      <x:c r="AN43" s="1063" t="str">
        <x:f t="shared" si="23"/>
        <x:v/>
      </x:c>
      <x:c r="AO43" s="1063" t="str">
        <x:f t="shared" si="24"/>
        <x:v/>
      </x:c>
      <x:c r="AP43" s="1063" t="b">
        <x:f>IF(ISERROR(AJ43),FALSE,IF(OR(AJ43=0,ISERROR(AL43),ISERROR(AM43),ISERROR(AN43),ISERROR(AO43)),FALSE,IF(AL43&lt;&gt;"",IF(ISERROR(VLOOKUP(SUBSTITUTE(SUBSTITUTE(C43,"R",""),"A",""),TblJoistSize!$A:$A,1,FALSE)),FALSE,TRUE),TRUE)))</x:f>
        <x:v>0</x:v>
      </x:c>
      <x:c r="AQ43" s="1305" t="e">
        <x:f t="shared" si="25"/>
        <x:v>#N/A</x:v>
      </x:c>
      <x:c r="AR43" s="1305" t="b">
        <x:f t="shared" si="26"/>
        <x:v>0</x:v>
      </x:c>
      <x:c r="AS43" s="1305" t="e">
        <x:f t="shared" si="27"/>
        <x:v>#N/A</x:v>
      </x:c>
      <x:c r="AT43" s="1305" t="b">
        <x:f t="shared" si="28"/>
        <x:v>0</x:v>
      </x:c>
      <x:c r="AU43" s="1203" t="str">
        <x:f t="shared" si="29"/>
        <x:v/>
      </x:c>
      <x:c r="AV43" s="1063" t="str">
        <x:f t="shared" si="30"/>
        <x:v/>
      </x:c>
      <x:c r="AW43" s="1063" t="str">
        <x:f t="shared" si="31"/>
        <x:v/>
      </x:c>
      <x:c r="AX43" s="1063" t="str">
        <x:f t="shared" si="104"/>
        <x:v/>
      </x:c>
      <x:c r="AY43" s="1306" t="b">
        <x:f t="shared" si="32"/>
        <x:v>0</x:v>
      </x:c>
      <x:c r="AZ43" s="1090" t="str">
        <x:f t="shared" si="33"/>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4"/>
        <x:v/>
      </x:c>
      <x:c r="CE43" s="935" t="str">
        <x:f t="shared" si="35"/>
        <x:v/>
      </x:c>
      <x:c r="CF43" s="1149"/>
      <x:c r="CG43" s="1150"/>
      <x:c r="CH43" s="738" t="str">
        <x:f t="shared" si="36"/>
        <x:v/>
      </x:c>
      <x:c r="CI43" s="739" t="str">
        <x:f t="shared" si="37"/>
        <x:v/>
      </x:c>
      <x:c r="CJ43" s="740" t="str">
        <x:f t="shared" si="38"/>
        <x:v/>
      </x:c>
      <x:c r="CK43" s="741" t="str">
        <x:f t="shared" si="39"/>
        <x:v/>
      </x:c>
      <x:c r="CL43" s="742" t="str">
        <x:f t="shared" si="40"/>
        <x:v/>
      </x:c>
      <x:c r="CM43" s="743" t="str">
        <x:f t="shared" si="41"/>
        <x:v/>
      </x:c>
      <x:c r="CN43" s="744" t="str">
        <x:f t="shared" si="42"/>
        <x:v/>
      </x:c>
      <x:c r="CO43" s="745" t="str">
        <x:f t="shared" si="43"/>
        <x:v/>
      </x:c>
      <x:c r="CP43" s="762" t="str">
        <x:f t="shared" si="44"/>
        <x:v/>
      </x:c>
      <x:c r="CQ43" s="763" t="str">
        <x:f t="shared" si="45"/>
        <x:v/>
      </x:c>
      <x:c r="CR43" s="953" t="str">
        <x:f t="shared" si="46"/>
        <x:v/>
      </x:c>
      <x:c r="CS43" s="954" t="str">
        <x:f t="shared" si="47"/>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8"/>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9"/>
        <x:v>0</x:v>
      </x:c>
      <x:c r="DO43" s="1049">
        <x:f t="shared" si="50"/>
        <x:v>0</x:v>
      </x:c>
      <x:c r="DP43" s="1053" t="str">
        <x:f t="shared" si="51"/>
        <x:v/>
      </x:c>
      <x:c r="DQ43" s="1053" t="str">
        <x:f t="shared" si="52"/>
        <x:v/>
      </x:c>
      <x:c r="DR43" s="1053" t="str">
        <x:f t="shared" si="53"/>
        <x:v/>
      </x:c>
      <x:c r="DS43" s="1052">
        <x:f t="shared" si="54"/>
        <x:v>0</x:v>
      </x:c>
      <x:c r="DT43" s="1052">
        <x:f t="shared" si="55"/>
        <x:v>0</x:v>
      </x:c>
      <x:c r="DU43" s="1052" t="str">
        <x:f t="shared" si="56"/>
        <x:v/>
      </x:c>
      <x:c r="DV43" s="1053" t="str">
        <x:f t="shared" si="57"/>
        <x:v/>
      </x:c>
      <x:c r="DW43" s="1053" t="str">
        <x:f t="shared" si="58"/>
        <x:v/>
      </x:c>
      <x:c r="DX43" s="1269">
        <x:f t="shared" si="59"/>
        <x:v>0</x:v>
      </x:c>
      <x:c r="DY43" s="1053">
        <x:f t="shared" si="60"/>
        <x:v>0</x:v>
      </x:c>
      <x:c r="DZ43" s="1052">
        <x:f t="shared" si="61"/>
        <x:v>0</x:v>
      </x:c>
      <x:c r="EA43" s="1052" t="str">
        <x:f t="shared" si="62"/>
        <x:v/>
      </x:c>
      <x:c r="EB43" s="1053" t="str">
        <x:f t="shared" si="63"/>
        <x:v/>
      </x:c>
      <x:c r="EC43" s="1053" t="str">
        <x:f t="shared" si="64"/>
        <x:v/>
      </x:c>
      <x:c r="ED43" s="1269">
        <x:f t="shared" si="65"/>
        <x:v>0</x:v>
      </x:c>
      <x:c r="EE43" s="1090" t="str">
        <x:f t="shared" si="66"/>
        <x:v/>
      </x:c>
      <x:c r="EF43" s="1053" t="str">
        <x:f t="shared" si="67"/>
        <x:v/>
      </x:c>
      <x:c r="EG43" s="1053" t="str">
        <x:f t="shared" si="68"/>
        <x:v/>
      </x:c>
      <x:c r="EH43" s="1053" t="e">
        <x:f t="shared" si="69"/>
        <x:v>#N/A</x:v>
      </x:c>
      <x:c r="EI43" s="1053" t="e">
        <x:f t="shared" si="70"/>
        <x:v>#N/A</x:v>
      </x:c>
      <x:c r="EJ43" s="1053" t="str">
        <x:f t="shared" si="71"/>
        <x:v/>
      </x:c>
      <x:c r="EK43" s="1053" t="str">
        <x:f t="shared" si="71"/>
        <x:v/>
      </x:c>
      <x:c r="EL43" s="1090" t="str">
        <x:f t="shared" si="72"/>
        <x:v/>
      </x:c>
      <x:c r="EM43" s="1053" t="str">
        <x:f t="shared" si="73"/>
        <x:v/>
      </x:c>
      <x:c r="EN43" s="1053" t="str">
        <x:f t="shared" si="74"/>
        <x:v/>
      </x:c>
      <x:c r="EO43" s="1053" t="e">
        <x:f t="shared" si="75"/>
        <x:v>#N/A</x:v>
      </x:c>
      <x:c r="EP43" s="1053" t="e">
        <x:f t="shared" si="76"/>
        <x:v>#N/A</x:v>
      </x:c>
      <x:c r="EQ43" s="1053" t="str">
        <x:f t="shared" si="77"/>
        <x:v/>
      </x:c>
      <x:c r="ER43" s="1053" t="str">
        <x:f t="shared" si="77"/>
        <x:v/>
      </x:c>
      <x:c r="ES43" s="1053" t="str">
        <x:f t="shared" si="78"/>
        <x:v/>
      </x:c>
      <x:c r="ET43" s="1053" t="str">
        <x:f t="shared" si="79"/>
        <x:v/>
      </x:c>
      <x:c r="EU43" s="1061" t="str">
        <x:f t="shared" si="80"/>
        <x:v/>
      </x:c>
      <x:c r="EV43" s="1055" t="str">
        <x:f t="shared" si="81"/>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2"/>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3"/>
        <x:v/>
      </x:c>
      <x:c r="FD43" s="1052">
        <x:f t="shared" si="105"/>
        <x:v>0</x:v>
      </x:c>
      <x:c r="FE43" s="1052">
        <x:f t="shared" si="84"/>
        <x:v>0</x:v>
      </x:c>
      <x:c r="FF43" s="1052">
        <x:f t="shared" si="85"/>
        <x:v>0</x:v>
      </x:c>
      <x:c r="FG43" s="1052" t="str">
        <x:f t="shared" si="86"/>
        <x:v/>
      </x:c>
      <x:c r="FH43" s="1053" t="str">
        <x:f t="shared" si="87"/>
        <x:v/>
      </x:c>
      <x:c r="FI43" s="1052">
        <x:f t="shared" si="106"/>
        <x:v>0</x:v>
      </x:c>
      <x:c r="FJ43" s="1052">
        <x:f t="shared" si="88"/>
        <x:v>0</x:v>
      </x:c>
      <x:c r="FK43" s="1052">
        <x:f t="shared" si="89"/>
        <x:v>0</x:v>
      </x:c>
      <x:c r="FL43" s="1052" t="str">
        <x:f t="shared" si="90"/>
        <x:v/>
      </x:c>
      <x:c r="FM43" s="1053" t="str">
        <x:f t="shared" si="91"/>
        <x:v/>
      </x:c>
      <x:c r="FN43" s="1053" t="e">
        <x:f t="shared" si="92"/>
        <x:v>#VALUE!</x:v>
      </x:c>
      <x:c r="FO43" s="1062" t="e">
        <x:f t="shared" si="93"/>
        <x:v>#VALUE!</x:v>
      </x:c>
      <x:c r="FP43" s="1062" t="e">
        <x:f t="shared" si="94"/>
        <x:v>#VALUE!</x:v>
      </x:c>
      <x:c r="FQ43" s="1063" t="e">
        <x:f t="shared" si="95"/>
        <x:v>#VALUE!</x:v>
      </x:c>
      <x:c r="FR43" s="1064" t="e">
        <x:f t="shared" si="96"/>
        <x:v>#VALUE!</x:v>
      </x:c>
      <x:c r="FS43" s="1065" t="str">
        <x:f t="shared" si="97"/>
        <x:v/>
      </x:c>
      <x:c r="FT43" s="1066" t="str">
        <x:f t="shared" si="98"/>
        <x:v/>
      </x:c>
      <x:c r="FU43" s="1105">
        <x:f t="shared" si="99"/>
        <x:v>0</x:v>
      </x:c>
      <x:c r="FV43" s="1106">
        <x:f t="shared" si="100"/>
        <x:v>0</x:v>
      </x:c>
      <x:c r="GA43" s="1975" t="str">
        <x:f t="shared" si="118"/>
        <x:v/>
      </x:c>
      <x:c r="GB43" s="1976" t="str">
        <x:f t="shared" si="119"/>
        <x:v/>
      </x:c>
      <x:c r="GC43" s="1977" t="str">
        <x:f t="shared" si="120"/>
        <x:v/>
      </x:c>
      <x:c r="GD43" s="1978" t="str">
        <x:f t="shared" si="121"/>
        <x:v/>
      </x:c>
      <x:c r="GE43" s="1979" t="str">
        <x:f t="shared" si="122"/>
        <x:v/>
      </x:c>
      <x:c r="GF43" s="1980" t="str">
        <x:f t="shared" si="101"/>
        <x:v/>
      </x:c>
      <x:c r="GG43" s="1453"/>
      <x:c r="GH43" s="1454"/>
      <x:c r="GI43" s="1453"/>
      <x:c r="GJ43" s="1454"/>
      <x:c r="GK43" s="533">
        <x:f t="shared" si="102"/>
        <x:v>0</x:v>
      </x:c>
      <x:c r="GL43" s="534" t="e">
        <x:f t="shared" si="103"/>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07"/>
        <x:v/>
      </x:c>
      <x:c r="G44" s="1262" t="str">
        <x:f t="shared" si="108"/>
        <x:v/>
      </x:c>
      <x:c r="H44" s="1266" t="str">
        <x:f t="shared" si="109"/>
        <x:v/>
      </x:c>
      <x:c r="I44" s="1261" t="str">
        <x:f t="shared" si="114"/>
        <x:v/>
      </x:c>
      <x:c r="J44" s="1262" t="str">
        <x:f t="shared" si="115"/>
        <x:v/>
      </x:c>
      <x:c r="K44" s="1370" t="str">
        <x:f t="shared" si="116"/>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7"/>
        <x:v/>
      </x:c>
      <x:c r="U44" s="1262" t="str">
        <x:f t="shared" si="8"/>
        <x:v/>
      </x:c>
      <x:c r="V44" s="1261" t="str">
        <x:f t="shared" si="9"/>
        <x:v/>
      </x:c>
      <x:c r="W44" s="1262" t="str">
        <x:f t="shared" si="10"/>
        <x:v/>
      </x:c>
      <x:c r="X44" s="1329">
        <x:f t="shared" si="11"/>
        <x:v>0</x:v>
      </x:c>
      <x:c r="Y44" s="1377" t="str">
        <x:f t="shared" si="12"/>
        <x:v/>
      </x:c>
      <x:c r="Z44" s="1378" t="str">
        <x:f t="shared" si="13"/>
        <x:v/>
      </x:c>
      <x:c r="AA44" s="2159"/>
      <x:c r="AC44" s="1226" t="b">
        <x:v>0</x:v>
      </x:c>
      <x:c r="AD44" s="525">
        <x:f t="shared" si="14"/>
        <x:v>0</x:v>
      </x:c>
      <x:c r="AE44" s="526">
        <x:f t="shared" si="15"/>
        <x:v>0</x:v>
      </x:c>
      <x:c r="AF44" s="526">
        <x:f t="shared" si="16"/>
        <x:v>0</x:v>
      </x:c>
      <x:c r="AG44" s="526">
        <x:f t="shared" si="17"/>
        <x:v>0</x:v>
      </x:c>
      <x:c r="AH44" s="527">
        <x:f t="shared" si="18"/>
        <x:v>0</x:v>
      </x:c>
      <x:c r="AI44" s="528" t="b">
        <x:v>0</x:v>
      </x:c>
      <x:c r="AJ44" s="284">
        <x:f t="shared" si="19"/>
        <x:v>0</x:v>
      </x:c>
      <x:c r="AK44" s="1063" t="str">
        <x:f t="shared" si="20"/>
        <x:v/>
      </x:c>
      <x:c r="AL44" s="1202" t="str">
        <x:f t="shared" si="21"/>
        <x:v/>
      </x:c>
      <x:c r="AM44" s="1063" t="str">
        <x:f t="shared" si="22"/>
        <x:v/>
      </x:c>
      <x:c r="AN44" s="1063" t="str">
        <x:f t="shared" si="23"/>
        <x:v/>
      </x:c>
      <x:c r="AO44" s="1063" t="str">
        <x:f t="shared" si="24"/>
        <x:v/>
      </x:c>
      <x:c r="AP44" s="1063" t="b">
        <x:f>IF(ISERROR(AJ44),FALSE,IF(OR(AJ44=0,ISERROR(AL44),ISERROR(AM44),ISERROR(AN44),ISERROR(AO44)),FALSE,IF(AL44&lt;&gt;"",IF(ISERROR(VLOOKUP(SUBSTITUTE(SUBSTITUTE(C44,"R",""),"A",""),TblJoistSize!$A:$A,1,FALSE)),FALSE,TRUE),TRUE)))</x:f>
        <x:v>0</x:v>
      </x:c>
      <x:c r="AQ44" s="1305" t="e">
        <x:f t="shared" si="25"/>
        <x:v>#N/A</x:v>
      </x:c>
      <x:c r="AR44" s="1305" t="b">
        <x:f t="shared" si="26"/>
        <x:v>0</x:v>
      </x:c>
      <x:c r="AS44" s="1305" t="e">
        <x:f t="shared" si="27"/>
        <x:v>#N/A</x:v>
      </x:c>
      <x:c r="AT44" s="1305" t="b">
        <x:f t="shared" si="28"/>
        <x:v>0</x:v>
      </x:c>
      <x:c r="AU44" s="1203" t="str">
        <x:f t="shared" si="29"/>
        <x:v/>
      </x:c>
      <x:c r="AV44" s="1063" t="str">
        <x:f t="shared" si="30"/>
        <x:v/>
      </x:c>
      <x:c r="AW44" s="1063" t="str">
        <x:f t="shared" si="31"/>
        <x:v/>
      </x:c>
      <x:c r="AX44" s="1063" t="str">
        <x:f t="shared" si="104"/>
        <x:v/>
      </x:c>
      <x:c r="AY44" s="1306" t="b">
        <x:f t="shared" si="32"/>
        <x:v>0</x:v>
      </x:c>
      <x:c r="AZ44" s="1090" t="str">
        <x:f t="shared" si="33"/>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4"/>
        <x:v/>
      </x:c>
      <x:c r="CE44" s="935" t="str">
        <x:f t="shared" si="35"/>
        <x:v/>
      </x:c>
      <x:c r="CF44" s="1149"/>
      <x:c r="CG44" s="1150"/>
      <x:c r="CH44" s="738" t="str">
        <x:f t="shared" si="36"/>
        <x:v/>
      </x:c>
      <x:c r="CI44" s="739" t="str">
        <x:f t="shared" si="37"/>
        <x:v/>
      </x:c>
      <x:c r="CJ44" s="740" t="str">
        <x:f t="shared" si="38"/>
        <x:v/>
      </x:c>
      <x:c r="CK44" s="741" t="str">
        <x:f t="shared" si="39"/>
        <x:v/>
      </x:c>
      <x:c r="CL44" s="742" t="str">
        <x:f t="shared" si="40"/>
        <x:v/>
      </x:c>
      <x:c r="CM44" s="743" t="str">
        <x:f t="shared" si="41"/>
        <x:v/>
      </x:c>
      <x:c r="CN44" s="744" t="str">
        <x:f t="shared" si="42"/>
        <x:v/>
      </x:c>
      <x:c r="CO44" s="745" t="str">
        <x:f t="shared" si="43"/>
        <x:v/>
      </x:c>
      <x:c r="CP44" s="762" t="str">
        <x:f t="shared" si="44"/>
        <x:v/>
      </x:c>
      <x:c r="CQ44" s="763" t="str">
        <x:f t="shared" si="45"/>
        <x:v/>
      </x:c>
      <x:c r="CR44" s="953" t="str">
        <x:f t="shared" si="46"/>
        <x:v/>
      </x:c>
      <x:c r="CS44" s="954" t="str">
        <x:f t="shared" si="47"/>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8"/>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9"/>
        <x:v>0</x:v>
      </x:c>
      <x:c r="DO44" s="1049">
        <x:f t="shared" si="50"/>
        <x:v>0</x:v>
      </x:c>
      <x:c r="DP44" s="1053" t="str">
        <x:f t="shared" si="51"/>
        <x:v/>
      </x:c>
      <x:c r="DQ44" s="1053" t="str">
        <x:f t="shared" si="52"/>
        <x:v/>
      </x:c>
      <x:c r="DR44" s="1053" t="str">
        <x:f t="shared" si="53"/>
        <x:v/>
      </x:c>
      <x:c r="DS44" s="1052">
        <x:f t="shared" si="54"/>
        <x:v>0</x:v>
      </x:c>
      <x:c r="DT44" s="1052">
        <x:f t="shared" si="55"/>
        <x:v>0</x:v>
      </x:c>
      <x:c r="DU44" s="1052" t="str">
        <x:f t="shared" si="56"/>
        <x:v/>
      </x:c>
      <x:c r="DV44" s="1053" t="str">
        <x:f t="shared" si="57"/>
        <x:v/>
      </x:c>
      <x:c r="DW44" s="1053" t="str">
        <x:f t="shared" si="58"/>
        <x:v/>
      </x:c>
      <x:c r="DX44" s="1269">
        <x:f t="shared" si="59"/>
        <x:v>0</x:v>
      </x:c>
      <x:c r="DY44" s="1053">
        <x:f t="shared" si="60"/>
        <x:v>0</x:v>
      </x:c>
      <x:c r="DZ44" s="1052">
        <x:f t="shared" si="61"/>
        <x:v>0</x:v>
      </x:c>
      <x:c r="EA44" s="1052" t="str">
        <x:f t="shared" si="62"/>
        <x:v/>
      </x:c>
      <x:c r="EB44" s="1053" t="str">
        <x:f t="shared" si="63"/>
        <x:v/>
      </x:c>
      <x:c r="EC44" s="1053" t="str">
        <x:f t="shared" si="64"/>
        <x:v/>
      </x:c>
      <x:c r="ED44" s="1269">
        <x:f t="shared" si="65"/>
        <x:v>0</x:v>
      </x:c>
      <x:c r="EE44" s="1090" t="str">
        <x:f t="shared" si="66"/>
        <x:v/>
      </x:c>
      <x:c r="EF44" s="1053" t="str">
        <x:f t="shared" si="67"/>
        <x:v/>
      </x:c>
      <x:c r="EG44" s="1053" t="str">
        <x:f t="shared" si="68"/>
        <x:v/>
      </x:c>
      <x:c r="EH44" s="1053" t="e">
        <x:f t="shared" si="69"/>
        <x:v>#N/A</x:v>
      </x:c>
      <x:c r="EI44" s="1053" t="e">
        <x:f t="shared" si="70"/>
        <x:v>#N/A</x:v>
      </x:c>
      <x:c r="EJ44" s="1053" t="str">
        <x:f t="shared" si="71"/>
        <x:v/>
      </x:c>
      <x:c r="EK44" s="1053" t="str">
        <x:f t="shared" si="71"/>
        <x:v/>
      </x:c>
      <x:c r="EL44" s="1090" t="str">
        <x:f t="shared" si="72"/>
        <x:v/>
      </x:c>
      <x:c r="EM44" s="1053" t="str">
        <x:f t="shared" si="73"/>
        <x:v/>
      </x:c>
      <x:c r="EN44" s="1053" t="str">
        <x:f t="shared" si="74"/>
        <x:v/>
      </x:c>
      <x:c r="EO44" s="1053" t="e">
        <x:f t="shared" si="75"/>
        <x:v>#N/A</x:v>
      </x:c>
      <x:c r="EP44" s="1053" t="e">
        <x:f t="shared" si="76"/>
        <x:v>#N/A</x:v>
      </x:c>
      <x:c r="EQ44" s="1053" t="str">
        <x:f t="shared" si="77"/>
        <x:v/>
      </x:c>
      <x:c r="ER44" s="1053" t="str">
        <x:f t="shared" si="77"/>
        <x:v/>
      </x:c>
      <x:c r="ES44" s="1053" t="str">
        <x:f t="shared" si="78"/>
        <x:v/>
      </x:c>
      <x:c r="ET44" s="1053" t="str">
        <x:f t="shared" si="79"/>
        <x:v/>
      </x:c>
      <x:c r="EU44" s="1061" t="str">
        <x:f t="shared" si="80"/>
        <x:v/>
      </x:c>
      <x:c r="EV44" s="1055" t="str">
        <x:f t="shared" si="81"/>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2"/>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3"/>
        <x:v/>
      </x:c>
      <x:c r="FD44" s="1052">
        <x:f t="shared" si="105"/>
        <x:v>0</x:v>
      </x:c>
      <x:c r="FE44" s="1052">
        <x:f t="shared" si="84"/>
        <x:v>0</x:v>
      </x:c>
      <x:c r="FF44" s="1052">
        <x:f t="shared" si="85"/>
        <x:v>0</x:v>
      </x:c>
      <x:c r="FG44" s="1052" t="str">
        <x:f t="shared" si="86"/>
        <x:v/>
      </x:c>
      <x:c r="FH44" s="1053" t="str">
        <x:f t="shared" si="87"/>
        <x:v/>
      </x:c>
      <x:c r="FI44" s="1052">
        <x:f t="shared" si="106"/>
        <x:v>0</x:v>
      </x:c>
      <x:c r="FJ44" s="1052">
        <x:f t="shared" si="88"/>
        <x:v>0</x:v>
      </x:c>
      <x:c r="FK44" s="1052">
        <x:f t="shared" si="89"/>
        <x:v>0</x:v>
      </x:c>
      <x:c r="FL44" s="1052" t="str">
        <x:f t="shared" si="90"/>
        <x:v/>
      </x:c>
      <x:c r="FM44" s="1053" t="str">
        <x:f t="shared" si="91"/>
        <x:v/>
      </x:c>
      <x:c r="FN44" s="1053" t="e">
        <x:f t="shared" si="92"/>
        <x:v>#VALUE!</x:v>
      </x:c>
      <x:c r="FO44" s="1062" t="e">
        <x:f t="shared" si="93"/>
        <x:v>#VALUE!</x:v>
      </x:c>
      <x:c r="FP44" s="1062" t="e">
        <x:f t="shared" si="94"/>
        <x:v>#VALUE!</x:v>
      </x:c>
      <x:c r="FQ44" s="1063" t="e">
        <x:f t="shared" si="95"/>
        <x:v>#VALUE!</x:v>
      </x:c>
      <x:c r="FR44" s="1064" t="e">
        <x:f t="shared" si="96"/>
        <x:v>#VALUE!</x:v>
      </x:c>
      <x:c r="FS44" s="1065" t="str">
        <x:f t="shared" si="97"/>
        <x:v/>
      </x:c>
      <x:c r="FT44" s="1066" t="str">
        <x:f t="shared" si="98"/>
        <x:v/>
      </x:c>
      <x:c r="FU44" s="1105">
        <x:f t="shared" si="99"/>
        <x:v>0</x:v>
      </x:c>
      <x:c r="FV44" s="1106">
        <x:f t="shared" si="100"/>
        <x:v>0</x:v>
      </x:c>
      <x:c r="GA44" s="1975" t="str">
        <x:f t="shared" si="118"/>
        <x:v/>
      </x:c>
      <x:c r="GB44" s="1976" t="str">
        <x:f t="shared" si="119"/>
        <x:v/>
      </x:c>
      <x:c r="GC44" s="1977" t="str">
        <x:f t="shared" si="120"/>
        <x:v/>
      </x:c>
      <x:c r="GD44" s="1978" t="str">
        <x:f t="shared" si="121"/>
        <x:v/>
      </x:c>
      <x:c r="GE44" s="1979" t="str">
        <x:f t="shared" si="122"/>
        <x:v/>
      </x:c>
      <x:c r="GF44" s="1980" t="str">
        <x:f t="shared" si="101"/>
        <x:v/>
      </x:c>
      <x:c r="GG44" s="1453"/>
      <x:c r="GH44" s="1454"/>
      <x:c r="GI44" s="1453"/>
      <x:c r="GJ44" s="1454"/>
      <x:c r="GK44" s="533">
        <x:f t="shared" si="102"/>
        <x:v>0</x:v>
      </x:c>
      <x:c r="GL44" s="534" t="e">
        <x:f t="shared" si="103"/>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4"/>
        <x:v>0</x:v>
      </x:c>
      <x:c r="AE45" s="526">
        <x:f t="shared" si="15"/>
        <x:v>0</x:v>
      </x:c>
      <x:c r="AF45" s="526">
        <x:f t="shared" si="16"/>
        <x:v>0</x:v>
      </x:c>
      <x:c r="AG45" s="526">
        <x:f t="shared" si="17"/>
        <x:v>0</x:v>
      </x:c>
      <x:c r="AH45" s="527">
        <x:f t="shared" si="18"/>
        <x:v>0</x:v>
      </x:c>
      <x:c r="AI45" s="528" t="b">
        <x:v>0</x:v>
      </x:c>
      <x:c r="AJ45" s="284">
        <x:f t="shared" si="19"/>
        <x:v>0</x:v>
      </x:c>
      <x:c r="AK45" s="1063" t="str">
        <x:f t="shared" si="20"/>
        <x:v/>
      </x:c>
      <x:c r="AL45" s="1202" t="str">
        <x:f t="shared" si="21"/>
        <x:v/>
      </x:c>
      <x:c r="AM45" s="1063" t="str">
        <x:f t="shared" si="22"/>
        <x:v/>
      </x:c>
      <x:c r="AN45" s="1063" t="str">
        <x:f t="shared" si="23"/>
        <x:v/>
      </x:c>
      <x:c r="AO45" s="1063" t="str">
        <x:f t="shared" si="24"/>
        <x:v/>
      </x:c>
      <x:c r="AP45" s="1063" t="b">
        <x:f>IF(ISERROR(AJ45),FALSE,IF(OR(AJ45=0,ISERROR(AL45),ISERROR(AM45),ISERROR(AN45),ISERROR(AO45)),FALSE,IF(AL45&lt;&gt;"",IF(ISERROR(VLOOKUP(SUBSTITUTE(SUBSTITUTE(C45,"R",""),"A",""),TblJoistSize!$A:$A,1,FALSE)),FALSE,TRUE),TRUE)))</x:f>
        <x:v>0</x:v>
      </x:c>
      <x:c r="AQ45" s="1305" t="e">
        <x:f t="shared" si="25"/>
        <x:v>#N/A</x:v>
      </x:c>
      <x:c r="AR45" s="1305" t="b">
        <x:f t="shared" si="26"/>
        <x:v>0</x:v>
      </x:c>
      <x:c r="AS45" s="1305" t="e">
        <x:f t="shared" si="27"/>
        <x:v>#N/A</x:v>
      </x:c>
      <x:c r="AT45" s="1305" t="b">
        <x:f t="shared" si="28"/>
        <x:v>0</x:v>
      </x:c>
      <x:c r="AU45" s="1203" t="str">
        <x:f t="shared" si="29"/>
        <x:v/>
      </x:c>
      <x:c r="AV45" s="1063" t="str">
        <x:f t="shared" si="30"/>
        <x:v/>
      </x:c>
      <x:c r="AW45" s="1063" t="str">
        <x:f t="shared" si="31"/>
        <x:v/>
      </x:c>
      <x:c r="AX45" s="1063" t="str">
        <x:f t="shared" si="104"/>
        <x:v/>
      </x:c>
      <x:c r="AY45" s="1306" t="b">
        <x:f t="shared" si="32"/>
        <x:v>0</x:v>
      </x:c>
      <x:c r="AZ45" s="1090" t="str">
        <x:f t="shared" si="33"/>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4"/>
        <x:v/>
      </x:c>
      <x:c r="CE45" s="942" t="str">
        <x:f t="shared" si="35"/>
        <x:v/>
      </x:c>
      <x:c r="CF45" s="1151"/>
      <x:c r="CG45" s="1152"/>
      <x:c r="CH45" s="748" t="str">
        <x:f t="shared" si="36"/>
        <x:v/>
      </x:c>
      <x:c r="CI45" s="749" t="str">
        <x:f t="shared" si="37"/>
        <x:v/>
      </x:c>
      <x:c r="CJ45" s="750" t="str">
        <x:f t="shared" si="38"/>
        <x:v/>
      </x:c>
      <x:c r="CK45" s="751" t="str">
        <x:f t="shared" si="39"/>
        <x:v/>
      </x:c>
      <x:c r="CL45" s="752" t="str">
        <x:f t="shared" si="40"/>
        <x:v/>
      </x:c>
      <x:c r="CM45" s="753" t="str">
        <x:f t="shared" si="41"/>
        <x:v/>
      </x:c>
      <x:c r="CN45" s="754" t="str">
        <x:f t="shared" si="42"/>
        <x:v/>
      </x:c>
      <x:c r="CO45" s="755" t="str">
        <x:f t="shared" si="43"/>
        <x:v/>
      </x:c>
      <x:c r="CP45" s="764" t="str">
        <x:f t="shared" si="44"/>
        <x:v/>
      </x:c>
      <x:c r="CQ45" s="765" t="str">
        <x:f t="shared" si="45"/>
        <x:v/>
      </x:c>
      <x:c r="CR45" s="955" t="str">
        <x:f t="shared" si="46"/>
        <x:v/>
      </x:c>
      <x:c r="CS45" s="956" t="str">
        <x:f t="shared" si="47"/>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8"/>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9"/>
        <x:v>0</x:v>
      </x:c>
      <x:c r="DO45" s="1049">
        <x:f t="shared" si="50"/>
        <x:v>0</x:v>
      </x:c>
      <x:c r="DP45" s="1053" t="str">
        <x:f t="shared" si="51"/>
        <x:v/>
      </x:c>
      <x:c r="DQ45" s="1053" t="str">
        <x:f t="shared" si="52"/>
        <x:v/>
      </x:c>
      <x:c r="DR45" s="1053" t="str">
        <x:f t="shared" si="53"/>
        <x:v/>
      </x:c>
      <x:c r="DS45" s="1052">
        <x:f t="shared" si="54"/>
        <x:v>0</x:v>
      </x:c>
      <x:c r="DT45" s="1052">
        <x:f t="shared" si="55"/>
        <x:v>0</x:v>
      </x:c>
      <x:c r="DU45" s="1052" t="str">
        <x:f t="shared" si="56"/>
        <x:v/>
      </x:c>
      <x:c r="DV45" s="1053" t="str">
        <x:f t="shared" si="57"/>
        <x:v/>
      </x:c>
      <x:c r="DW45" s="1053" t="str">
        <x:f t="shared" si="58"/>
        <x:v/>
      </x:c>
      <x:c r="DX45" s="1269">
        <x:f t="shared" si="59"/>
        <x:v>0</x:v>
      </x:c>
      <x:c r="DY45" s="1053">
        <x:f t="shared" si="60"/>
        <x:v>0</x:v>
      </x:c>
      <x:c r="DZ45" s="1052">
        <x:f t="shared" si="61"/>
        <x:v>0</x:v>
      </x:c>
      <x:c r="EA45" s="1052" t="str">
        <x:f t="shared" si="62"/>
        <x:v/>
      </x:c>
      <x:c r="EB45" s="1053" t="str">
        <x:f t="shared" si="63"/>
        <x:v/>
      </x:c>
      <x:c r="EC45" s="1053" t="str">
        <x:f t="shared" si="64"/>
        <x:v/>
      </x:c>
      <x:c r="ED45" s="1269">
        <x:f t="shared" si="65"/>
        <x:v>0</x:v>
      </x:c>
      <x:c r="EE45" s="1090" t="str">
        <x:f t="shared" si="66"/>
        <x:v/>
      </x:c>
      <x:c r="EF45" s="1053" t="str">
        <x:f t="shared" si="67"/>
        <x:v/>
      </x:c>
      <x:c r="EG45" s="1053" t="str">
        <x:f t="shared" si="68"/>
        <x:v/>
      </x:c>
      <x:c r="EH45" s="1053" t="e">
        <x:f t="shared" si="69"/>
        <x:v>#N/A</x:v>
      </x:c>
      <x:c r="EI45" s="1053" t="e">
        <x:f t="shared" si="70"/>
        <x:v>#N/A</x:v>
      </x:c>
      <x:c r="EJ45" s="1053" t="str">
        <x:f t="shared" si="71"/>
        <x:v/>
      </x:c>
      <x:c r="EK45" s="1053" t="str">
        <x:f t="shared" si="71"/>
        <x:v/>
      </x:c>
      <x:c r="EL45" s="1090" t="str">
        <x:f t="shared" si="72"/>
        <x:v/>
      </x:c>
      <x:c r="EM45" s="1053" t="str">
        <x:f t="shared" si="73"/>
        <x:v/>
      </x:c>
      <x:c r="EN45" s="1053" t="str">
        <x:f t="shared" si="74"/>
        <x:v/>
      </x:c>
      <x:c r="EO45" s="1053" t="e">
        <x:f t="shared" si="75"/>
        <x:v>#N/A</x:v>
      </x:c>
      <x:c r="EP45" s="1053" t="e">
        <x:f t="shared" si="76"/>
        <x:v>#N/A</x:v>
      </x:c>
      <x:c r="EQ45" s="1053" t="str">
        <x:f t="shared" si="77"/>
        <x:v/>
      </x:c>
      <x:c r="ER45" s="1053" t="str">
        <x:f t="shared" si="77"/>
        <x:v/>
      </x:c>
      <x:c r="ES45" s="1053" t="str">
        <x:f t="shared" si="78"/>
        <x:v/>
      </x:c>
      <x:c r="ET45" s="1053" t="str">
        <x:f t="shared" si="79"/>
        <x:v/>
      </x:c>
      <x:c r="EU45" s="1061" t="str">
        <x:f t="shared" si="80"/>
        <x:v/>
      </x:c>
      <x:c r="EV45" s="1055" t="str">
        <x:f t="shared" si="81"/>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2"/>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3"/>
        <x:v/>
      </x:c>
      <x:c r="FD45" s="1052">
        <x:f t="shared" si="105"/>
        <x:v>0</x:v>
      </x:c>
      <x:c r="FE45" s="1052">
        <x:f t="shared" si="84"/>
        <x:v>0</x:v>
      </x:c>
      <x:c r="FF45" s="1052">
        <x:f t="shared" si="85"/>
        <x:v>0</x:v>
      </x:c>
      <x:c r="FG45" s="1052" t="str">
        <x:f t="shared" si="86"/>
        <x:v/>
      </x:c>
      <x:c r="FH45" s="1053" t="str">
        <x:f t="shared" si="87"/>
        <x:v/>
      </x:c>
      <x:c r="FI45" s="1052">
        <x:f t="shared" si="106"/>
        <x:v>0</x:v>
      </x:c>
      <x:c r="FJ45" s="1052">
        <x:f t="shared" si="88"/>
        <x:v>0</x:v>
      </x:c>
      <x:c r="FK45" s="1052">
        <x:f t="shared" si="89"/>
        <x:v>0</x:v>
      </x:c>
      <x:c r="FL45" s="1052" t="str">
        <x:f t="shared" si="90"/>
        <x:v/>
      </x:c>
      <x:c r="FM45" s="1053" t="str">
        <x:f t="shared" si="91"/>
        <x:v/>
      </x:c>
      <x:c r="FN45" s="1053" t="e">
        <x:f t="shared" si="92"/>
        <x:v>#VALUE!</x:v>
      </x:c>
      <x:c r="FO45" s="1062" t="e">
        <x:f t="shared" si="93"/>
        <x:v>#VALUE!</x:v>
      </x:c>
      <x:c r="FP45" s="1062" t="e">
        <x:f t="shared" si="94"/>
        <x:v>#VALUE!</x:v>
      </x:c>
      <x:c r="FQ45" s="1063" t="e">
        <x:f t="shared" si="95"/>
        <x:v>#VALUE!</x:v>
      </x:c>
      <x:c r="FR45" s="1064" t="e">
        <x:f t="shared" si="96"/>
        <x:v>#VALUE!</x:v>
      </x:c>
      <x:c r="FS45" s="1065" t="str">
        <x:f t="shared" si="97"/>
        <x:v/>
      </x:c>
      <x:c r="FT45" s="1066" t="str">
        <x:f t="shared" si="98"/>
        <x:v/>
      </x:c>
      <x:c r="FU45" s="1105">
        <x:f t="shared" si="99"/>
        <x:v>0</x:v>
      </x:c>
      <x:c r="FV45" s="1106">
        <x:f t="shared" si="100"/>
        <x:v>0</x:v>
      </x:c>
      <x:c r="GA45" s="1975" t="str">
        <x:f t="shared" si="118"/>
        <x:v/>
      </x:c>
      <x:c r="GB45" s="1976" t="str">
        <x:f t="shared" si="119"/>
        <x:v/>
      </x:c>
      <x:c r="GC45" s="1977" t="str">
        <x:f t="shared" si="120"/>
        <x:v/>
      </x:c>
      <x:c r="GD45" s="1978" t="str">
        <x:f t="shared" si="121"/>
        <x:v/>
      </x:c>
      <x:c r="GE45" s="1979" t="str">
        <x:f t="shared" si="122"/>
        <x:v/>
      </x:c>
      <x:c r="GF45" s="1980" t="str">
        <x:f t="shared" si="101"/>
        <x:v/>
      </x:c>
      <x:c r="GG45" s="1455"/>
      <x:c r="GH45" s="1456"/>
      <x:c r="GI45" s="1455"/>
      <x:c r="GJ45" s="1456"/>
      <x:c r="GK45" s="533">
        <x:f t="shared" si="102"/>
        <x:v>0</x:v>
      </x:c>
      <x:c r="GL45" s="534" t="e">
        <x:f t="shared" si="103"/>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4</x:v>
      </x:c>
      <x:c r="AE46" s="540">
        <x:f>SUM(AE16:AE45)</x:f>
        <x:v>128</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132</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2100</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1TZYy//4Z684YrAXOvYoC3djER3Xdk8gvM1lANEYVPNa5j7pSRN2wM1vm5J56ujHIPYAFPugwygIZy4iAPeT/A==" saltValue="pkpx/Fg9863WRmB3UAnJ7A=="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872" priority="69" stopIfTrue="1">
      <x:formula>GM57&gt;=0.125</x:formula>
    </x:cfRule>
  </x:conditionalFormatting>
  <x:conditionalFormatting sqref="EF57">
    <x:cfRule type="cellIs" dxfId="871" priority="70" stopIfTrue="1" operator="notEqual">
      <x:formula>$EG57</x:formula>
    </x:cfRule>
  </x:conditionalFormatting>
  <x:conditionalFormatting sqref="EM57">
    <x:cfRule type="cellIs" dxfId="870" priority="71" stopIfTrue="1" operator="notEqual">
      <x:formula>$EN57</x:formula>
    </x:cfRule>
  </x:conditionalFormatting>
  <x:conditionalFormatting sqref="CD16:CD45">
    <x:cfRule type="expression" dxfId="869" priority="62">
      <x:formula>AND(CD16="X",CY16="")</x:formula>
    </x:cfRule>
    <x:cfRule type="expression" dxfId="868" priority="72">
      <x:formula>AND(CD16="",CY16&lt;&gt;"")</x:formula>
    </x:cfRule>
  </x:conditionalFormatting>
  <x:conditionalFormatting sqref="CE16:CE45">
    <x:cfRule type="expression" dxfId="867" priority="73">
      <x:formula>AND(CE16="X",DI16="")</x:formula>
    </x:cfRule>
    <x:cfRule type="expression" dxfId="866" priority="74">
      <x:formula>AND(CE16="",DI16&lt;&gt;"")</x:formula>
    </x:cfRule>
  </x:conditionalFormatting>
  <x:conditionalFormatting sqref="P2:S4">
    <x:cfRule type="cellIs" dxfId="865" priority="76" stopIfTrue="1" operator="equal">
      <x:formula>""</x:formula>
    </x:cfRule>
  </x:conditionalFormatting>
  <x:conditionalFormatting sqref="EF16:EF45">
    <x:cfRule type="cellIs" dxfId="864" priority="68" stopIfTrue="1" operator="notEqual">
      <x:formula>$EG16</x:formula>
    </x:cfRule>
  </x:conditionalFormatting>
  <x:conditionalFormatting sqref="EM16:EM45">
    <x:cfRule type="cellIs" dxfId="863" priority="67" stopIfTrue="1" operator="notEqual">
      <x:formula>$EN16</x:formula>
    </x:cfRule>
  </x:conditionalFormatting>
  <x:conditionalFormatting sqref="CC12">
    <x:cfRule type="expression" dxfId="862" priority="66" stopIfTrue="1">
      <x:formula>ISBLANK($CC$12)</x:formula>
    </x:cfRule>
  </x:conditionalFormatting>
  <x:conditionalFormatting sqref="CC11">
    <x:cfRule type="expression" dxfId="861" priority="65" stopIfTrue="1">
      <x:formula>ISBLANK($CC$11)</x:formula>
    </x:cfRule>
  </x:conditionalFormatting>
  <x:conditionalFormatting sqref="M7">
    <x:cfRule type="expression" dxfId="860" priority="63" stopIfTrue="1">
      <x:formula>OR(ISBLANK($M$7),$M$7="")</x:formula>
    </x:cfRule>
    <x:cfRule type="expression" dxfId="859" priority="64" stopIfTrue="1">
      <x:formula>AND(LOWER($M$7)&lt;&gt;"std gray primer: one shop coat",LOWER($M$7)&lt;&gt;"gray",$M$7&lt;&gt;"")</x:formula>
    </x:cfRule>
  </x:conditionalFormatting>
  <x:conditionalFormatting sqref="BV16:BV45">
    <x:cfRule type="expression" dxfId="858" priority="60">
      <x:formula>AND(NOT($AY16),AND(ISBLANK(BV16),AND(NOT(ISBLANK(BU16)),$BW16&lt;&gt;0)))</x:formula>
    </x:cfRule>
  </x:conditionalFormatting>
  <x:conditionalFormatting sqref="BD16:BD45">
    <x:cfRule type="expression" dxfId="857" priority="61">
      <x:formula>AND(NOT($AY16),NOT($AP16))</x:formula>
    </x:cfRule>
  </x:conditionalFormatting>
  <x:conditionalFormatting sqref="U16:U45">
    <x:cfRule type="expression" dxfId="856" priority="57">
      <x:formula>AND(NOT($AY16),NOT(AR16))</x:formula>
    </x:cfRule>
  </x:conditionalFormatting>
  <x:conditionalFormatting sqref="W16:W45">
    <x:cfRule type="expression" dxfId="855" priority="59">
      <x:formula>AND(NOT($AY16),NOT(AT16))</x:formula>
    </x:cfRule>
  </x:conditionalFormatting>
  <x:conditionalFormatting sqref="T16:T45">
    <x:cfRule type="expression" dxfId="854" priority="56">
      <x:formula>AND(NOT($AY16),NOT(AR16))</x:formula>
    </x:cfRule>
  </x:conditionalFormatting>
  <x:conditionalFormatting sqref="V16:V45">
    <x:cfRule type="expression" dxfId="853" priority="58">
      <x:formula>AND(NOT($AY16),NOT(AT16))</x:formula>
    </x:cfRule>
  </x:conditionalFormatting>
  <x:conditionalFormatting sqref="C16:C45">
    <x:cfRule type="expression" dxfId="852" priority="54">
      <x:formula>AND(NOT($AY16),NOT($AP16))</x:formula>
    </x:cfRule>
  </x:conditionalFormatting>
  <x:conditionalFormatting sqref="X16:X45">
    <x:cfRule type="expression" dxfId="851" priority="14">
      <x:formula>$X16=0</x:formula>
    </x:cfRule>
  </x:conditionalFormatting>
  <x:conditionalFormatting sqref="CB16:CB45">
    <x:cfRule type="expression" dxfId="850" priority="53">
      <x:formula>OR(CB16&gt;CV16,CB16&lt;0)</x:formula>
    </x:cfRule>
  </x:conditionalFormatting>
  <x:conditionalFormatting sqref="CC16:CC45">
    <x:cfRule type="expression" dxfId="849" priority="51">
      <x:formula>OR(CC16&gt;DF16,CC16&lt;0)</x:formula>
    </x:cfRule>
  </x:conditionalFormatting>
  <x:conditionalFormatting sqref="BY16:BY45">
    <x:cfRule type="expression" dxfId="848" priority="75">
      <x:formula>OR(CH16&lt;&gt;"",CI16&lt;&gt;"",CJ16&lt;&gt;"",CK16&lt;&gt;"",CL16&lt;&gt;"",CM16&lt;&gt;"")</x:formula>
    </x:cfRule>
  </x:conditionalFormatting>
  <x:conditionalFormatting sqref="BE16:BF45">
    <x:cfRule type="expression" dxfId="847" priority="77">
      <x:formula>AND(NOT($AY16),AND($AZ16,AND($AK16&lt;&gt;"HDR",$AK16&lt;&gt;"JS",$AJ16&gt;=8)))</x:formula>
    </x:cfRule>
  </x:conditionalFormatting>
  <x:conditionalFormatting sqref="D16:E45">
    <x:cfRule type="expression" dxfId="846" priority="55">
      <x:formula>AND(NOT($AY16),AND($AZ16,AND($AK16&lt;&gt;"HDR",$AK16&lt;&gt;"JS",$AJ16&gt;=8)))</x:formula>
    </x:cfRule>
  </x:conditionalFormatting>
  <x:conditionalFormatting sqref="AA12">
    <x:cfRule type="expression" dxfId="845" priority="52">
      <x:formula>OR(ISBLANK(AA12),AA12="")</x:formula>
    </x:cfRule>
  </x:conditionalFormatting>
  <x:conditionalFormatting sqref="A16:Z45 BB16:CG45">
    <x:cfRule type="expression" dxfId="844" priority="78">
      <x:formula>$AC16</x:formula>
    </x:cfRule>
  </x:conditionalFormatting>
  <x:conditionalFormatting sqref="BN16:BN45">
    <x:cfRule type="expression" dxfId="843" priority="17">
      <x:formula>AND(NOT($AY16),AND(ISBLANK(BN16),AND(NOT(ISBLANK(BM16)),$BW16&lt;&gt;0)))</x:formula>
    </x:cfRule>
  </x:conditionalFormatting>
  <x:conditionalFormatting sqref="BO16:BO45">
    <x:cfRule type="expression" dxfId="842" priority="16">
      <x:formula>AND(NOT($AY16),ISERROR(DE16))</x:formula>
    </x:cfRule>
    <x:cfRule type="expression" dxfId="841" priority="43">
      <x:formula>AND(NOT($AY16),OR(DE16="", CQ16&lt;&gt;""))</x:formula>
    </x:cfRule>
  </x:conditionalFormatting>
  <x:conditionalFormatting sqref="BG16:BG45">
    <x:cfRule type="expression" dxfId="840" priority="15">
      <x:formula>AND(NOT($AY16),ISERROR(CU16))</x:formula>
    </x:cfRule>
    <x:cfRule type="expression" dxfId="839" priority="42">
      <x:formula>AND(NOT($AY16),OR(CP16&lt;&gt;"", CU16=""))</x:formula>
    </x:cfRule>
  </x:conditionalFormatting>
  <x:conditionalFormatting sqref="BH16:BH45">
    <x:cfRule type="expression" dxfId="838" priority="30">
      <x:formula>AND(NOT($AY16),OR($CU16="M",$CU16="C",AND($CU16="B",$DC16&gt;0)))</x:formula>
    </x:cfRule>
    <x:cfRule type="expression" dxfId="837" priority="31">
      <x:formula>AND(NOT($AY16),AND(BH16="",BI16="",OR($CU16="B",$CU16="G")))</x:formula>
    </x:cfRule>
    <x:cfRule type="expression" dxfId="836" priority="32">
      <x:formula>AND(NOT($AY16),(BH16/2)/COS(RADIANS(BM16))+CV16-DW16&lt;VLOOKUP(AU16,$DF$2:$DJ$9,5,FALSE))</x:formula>
    </x:cfRule>
  </x:conditionalFormatting>
  <x:conditionalFormatting sqref="BI16:BI45">
    <x:cfRule type="expression" dxfId="835" priority="39">
      <x:formula>AND(NOT($AY16),OR($CU16="M",$CU16="C",AND($CU16="B",$DC16&gt;0)))</x:formula>
    </x:cfRule>
    <x:cfRule type="expression" dxfId="834" priority="40">
      <x:formula>AND(NOT($AY16),AND(BH16="",BI16="",OR($CU16="B",$CU16="G")))</x:formula>
    </x:cfRule>
    <x:cfRule type="expression" dxfId="833" priority="41">
      <x:formula>AND(NOT($AY16),(BI16/2)/COS(RADIANS(BM16))+CV16-DW16&lt;VLOOKUP(AU16,$DF$2:$DJ$9,5,FALSE))</x:formula>
    </x:cfRule>
  </x:conditionalFormatting>
  <x:conditionalFormatting sqref="BK16:BK45">
    <x:cfRule type="expression" dxfId="832" priority="18">
      <x:formula>AND(NOT($AY16),OR($CU16="M",$CU16="C",AND($CU16="B",$DA16&lt;&gt;"")))</x:formula>
    </x:cfRule>
    <x:cfRule type="expression" dxfId="831" priority="19">
      <x:formula>AND(NOT($AY16),AND(BJ16="X",BK16="",BL16=""))</x:formula>
    </x:cfRule>
    <x:cfRule type="expression" dxfId="830" priority="20">
      <x:formula>AND(NOT($AY16),EZ16="ERR")</x:formula>
    </x:cfRule>
  </x:conditionalFormatting>
  <x:conditionalFormatting sqref="BL16:BL45">
    <x:cfRule type="expression" dxfId="829" priority="21">
      <x:formula>AND(NOT($AY16),OR($CU16="M",$CU16="C",AND($CU16="B",$DA16&lt;&gt;"")))</x:formula>
    </x:cfRule>
    <x:cfRule type="expression" dxfId="828" priority="22">
      <x:formula>AND(NOT($AY16),AND(BJ16="X",BK16="",BL16=""))</x:formula>
    </x:cfRule>
    <x:cfRule type="expression" dxfId="827" priority="23">
      <x:formula>AND(NOT($AY16),EZ16="ERR")</x:formula>
    </x:cfRule>
  </x:conditionalFormatting>
  <x:conditionalFormatting sqref="BS16:BS45">
    <x:cfRule type="expression" dxfId="826" priority="24">
      <x:formula>AND(NOT($AY16),OR($DE16="M",$DE16="C",AND($DE16="B",$DK16&lt;&gt;"")))</x:formula>
    </x:cfRule>
    <x:cfRule type="expression" dxfId="825" priority="25">
      <x:formula>AND(NOT($AY16),AND(BR16="X",BS16="",BT16=""))</x:formula>
    </x:cfRule>
    <x:cfRule type="expression" dxfId="824" priority="26">
      <x:formula>AND(NOT($AY16),FC16="ERR")</x:formula>
    </x:cfRule>
  </x:conditionalFormatting>
  <x:conditionalFormatting sqref="BT16:BT45">
    <x:cfRule type="expression" dxfId="823" priority="27">
      <x:formula>AND(NOT($AY16),OR($DE16="M",$DE16="C",AND($DE16="B",$DK16&lt;&gt;"")))</x:formula>
    </x:cfRule>
    <x:cfRule type="expression" dxfId="822" priority="28">
      <x:formula>AND(NOT($AY16),AND(BR16="X",BS16="",BT16=""))</x:formula>
    </x:cfRule>
    <x:cfRule type="expression" dxfId="821" priority="29">
      <x:formula>AND(NOT($AY16),FC16="ERR")</x:formula>
    </x:cfRule>
  </x:conditionalFormatting>
  <x:conditionalFormatting sqref="BP16:BP45">
    <x:cfRule type="expression" dxfId="820" priority="33">
      <x:formula>AND(NOT($AY16),OR($DE16="M",$DE16="C",AND($DE16="B",$DM16&gt;0)))</x:formula>
    </x:cfRule>
    <x:cfRule type="expression" dxfId="819" priority="34">
      <x:formula>AND(NOT($AY16),AND(BP16="",BQ16="",OR($DE16="B",$DE16="G")))</x:formula>
    </x:cfRule>
    <x:cfRule type="expression" dxfId="818" priority="35">
      <x:formula>AND(NOT($AY16),(BP16/2)/COS(RADIANS(BU16))+DF16-EC16&lt;VLOOKUP(AU16,$DF$2:$DJ$9,5,FALSE))</x:formula>
    </x:cfRule>
  </x:conditionalFormatting>
  <x:conditionalFormatting sqref="BQ16:BQ45">
    <x:cfRule type="expression" dxfId="817" priority="36">
      <x:formula>AND(NOT($AY16),OR($DE16="M",$DE16="C",AND($DE16="B",$DM16&gt;0)))</x:formula>
    </x:cfRule>
    <x:cfRule type="expression" dxfId="816" priority="37">
      <x:formula>AND(NOT($AY16),AND(BP16="",BQ16="",OR($DE16="B",$DE16="G")))</x:formula>
    </x:cfRule>
    <x:cfRule type="expression" dxfId="815" priority="38">
      <x:formula>AND(NOT($AY16),(BQ16/2)/COS(RADIANS(BU16))+DF16-EC16&lt;VLOOKUP(AU16,$DF$2:$DJ$9,5,FALSE))</x:formula>
    </x:cfRule>
  </x:conditionalFormatting>
  <x:conditionalFormatting sqref="BJ16:BJ45">
    <x:cfRule type="expression" dxfId="814" priority="44">
      <x:formula>AND(NOT($AY16),OR($CU16="C",AND($CU16="M",$DA16&gt;0)))</x:formula>
    </x:cfRule>
    <x:cfRule type="expression" dxfId="813" priority="45">
      <x:formula>AND(NOT($AY16),OR(NOT(IF(AND(OR(MID($BB16,1,1)="T",($BE16+$BF16/12)/IF(ABS($BW16)&gt;$DQ$1,COS($DO16),1)&gt;=40),OR($CU16="B",$CU16="G")),"X","")="X"),$EZ16="ERR"))</x:formula>
    </x:cfRule>
    <x:cfRule type="expression" dxfId="812" priority="46">
      <x:formula>AND(NOT($AY16),$BJ16&lt;&gt;"X",$BJ16&lt;&gt;IF(AND(OR(MID(BB16,1,1)="T",($BE16+$BF16/12)/IF(ABS($BW16)&gt;$DQ$1,COS($DO16),1)&gt;=40),OR($CU16="B",$CU16="G")),"X",""))</x:formula>
    </x:cfRule>
  </x:conditionalFormatting>
  <x:conditionalFormatting sqref="BR16:BR45">
    <x:cfRule type="expression" dxfId="811" priority="47">
      <x:formula>AND(NOT($AY16),OR($DE16="C",AND($DE16="M",$DK16&gt;0)))</x:formula>
    </x:cfRule>
    <x:cfRule type="expression" dxfId="810" priority="48">
      <x:formula>AND(NOT($AY16),OR(NOT(IF(AND(OR(MID($BB16,1,1)="T",($BE16+$BF16/12)/IF(ABS($BW16)&gt;$DQ$1,COS($DO16),1)&gt;=40),OR($DE16="B",$DE16="G")),"X","")="X"),$FC16="ERR"))</x:formula>
    </x:cfRule>
    <x:cfRule type="expression" dxfId="809" priority="49">
      <x:formula>AND(NOT($AY16),$BR16&lt;&gt;"X",$BR16&lt;&gt;IF(AND(OR(MID(BB16,1,1)="T",($BE16+$BF16/12)/IF(ABS($BW16)&gt;$DQ$1,COS($DO16),1)&gt;=40),OR($DE16="B",$DE16="G")),"X",""))</x:formula>
    </x:cfRule>
  </x:conditionalFormatting>
  <x:conditionalFormatting sqref="A16:B45 BB16:BC45">
    <x:cfRule type="expression" dxfId="808" priority="50">
      <x:formula>AND(NOT($AE$1),$B16=0,$AD$1="M")</x:formula>
    </x:cfRule>
  </x:conditionalFormatting>
  <x:conditionalFormatting sqref="U57">
    <x:cfRule type="expression" dxfId="807" priority="11" stopIfTrue="1">
      <x:formula>AND(NOT($AY57),NOT(AR57))</x:formula>
    </x:cfRule>
  </x:conditionalFormatting>
  <x:conditionalFormatting sqref="W57">
    <x:cfRule type="expression" dxfId="806" priority="13" stopIfTrue="1">
      <x:formula>AND(NOT($AY57),NOT(AT57))</x:formula>
    </x:cfRule>
  </x:conditionalFormatting>
  <x:conditionalFormatting sqref="T57">
    <x:cfRule type="expression" dxfId="805" priority="10" stopIfTrue="1">
      <x:formula>AND(NOT($AY57),NOT(AR57))</x:formula>
    </x:cfRule>
  </x:conditionalFormatting>
  <x:conditionalFormatting sqref="V57">
    <x:cfRule type="expression" dxfId="804" priority="12" stopIfTrue="1">
      <x:formula>AND(NOT($AY57),NOT(AT57))</x:formula>
    </x:cfRule>
  </x:conditionalFormatting>
  <x:conditionalFormatting sqref="C57">
    <x:cfRule type="expression" dxfId="803" priority="8" stopIfTrue="1">
      <x:formula>AND(NOT($AY57),NOT($AP57))</x:formula>
    </x:cfRule>
  </x:conditionalFormatting>
  <x:conditionalFormatting sqref="X57">
    <x:cfRule type="expression" dxfId="802" priority="4">
      <x:formula>$X57=0</x:formula>
    </x:cfRule>
  </x:conditionalFormatting>
  <x:conditionalFormatting sqref="D57:E57">
    <x:cfRule type="expression" dxfId="801" priority="9" stopIfTrue="1">
      <x:formula>AND(NOT($AY57),AND($AZ57,AND($AK57&lt;&gt;"HDR",$AK57&lt;&gt;"JS",$AJ57&gt;=8)))</x:formula>
    </x:cfRule>
  </x:conditionalFormatting>
  <x:conditionalFormatting sqref="A57:AA57">
    <x:cfRule type="expression" dxfId="800" priority="5">
      <x:formula>$AC57</x:formula>
    </x:cfRule>
  </x:conditionalFormatting>
  <x:conditionalFormatting sqref="AA57">
    <x:cfRule type="expression" dxfId="799" priority="6" stopIfTrue="1">
      <x:formula>AND(NOT($AY57),LEN(AA57)&gt;31)</x:formula>
    </x:cfRule>
  </x:conditionalFormatting>
  <x:conditionalFormatting sqref="A57:B57">
    <x:cfRule type="expression" dxfId="798" priority="7">
      <x:formula>AND(NOT($AE$1),$B57=0,$AD$1="M")</x:formula>
    </x:cfRule>
  </x:conditionalFormatting>
  <x:conditionalFormatting sqref="AA16:AA45">
    <x:cfRule type="expression" dxfId="797" priority="2">
      <x:formula>$AC16</x:formula>
    </x:cfRule>
  </x:conditionalFormatting>
  <x:conditionalFormatting sqref="AA16:AA45">
    <x:cfRule type="expression" dxfId="796" priority="3" stopIfTrue="1">
      <x:formula>AND(NOT($AY16),LEN(AA16)&gt;31)</x:formula>
    </x:cfRule>
  </x:conditionalFormatting>
  <x:conditionalFormatting sqref="GA16:GB45">
    <x:cfRule type="expression" dxfId="795"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4.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49">
    <x:tabColor indexed="43"/>
  </x:sheetPr>
  <x:dimension ref="A1:IG104"/>
  <x:sheetViews>
    <x:sheetView showGridLines="0" zoomScaleNormal="100" zoomScaleSheetLayoutView="75" workbookViewId="0">
      <x:selection activeCell="GA41" sqref="GA41"/>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33 of 42</x:v>
      </x:c>
      <x:c r="Z7" s="822"/>
      <x:c r="AA7" s="444"/>
      <x:c r="AB7" s="449"/>
      <x:c r="AC7" s="1393">
        <x:v>33</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1391</x:v>
      </x:c>
      <x:c r="B16" s="1265">
        <x:v>0</x:v>
      </x:c>
      <x:c r="C16" s="1265" t="s">
        <x:v>1978</x:v>
      </x:c>
      <x:c r="D16" s="1261">
        <x:v>59</x:v>
      </x:c>
      <x:c r="E16" s="1366">
        <x:v>0.625</x:v>
      </x:c>
      <x:c r="F16" s="1328" t="str">
        <x:f t="shared" ref="F16:F44" si="1">IF(DX16=0,"",TRUNC(DX16/12))</x:f>
        <x:v/>
      </x:c>
      <x:c r="G16" s="1262" t="str">
        <x:f t="shared" ref="G16:G44" si="2">IF(DX16=0,"",DX16-(F16*12))</x:f>
        <x:v/>
      </x:c>
      <x:c r="H16" s="1266" t="str">
        <x:f t="shared" ref="H16:H44" si="3">IF(DX16=0,"",CW16)</x:f>
        <x:v/>
      </x:c>
      <x:c r="I16" s="1261">
        <x:v>0</x:v>
      </x:c>
      <x:c r="J16" s="1262">
        <x:v>1.375</x:v>
      </x:c>
      <x:c r="K16" s="1370" t="s">
        <x:v>114</x:v>
      </x:c>
      <x:c r="L16" s="1327">
        <x:v>3</x:v>
      </x:c>
      <x:c r="M16" s="1329">
        <x:v>3</x:v>
      </x:c>
      <x:c r="N16" s="1263" t="str">
        <x:f t="shared" ref="N16:N44" si="4">IF(ES16="","",IF(AND(ES16&lt;0,ES16&gt;-12),TRUNC(ES16/12)-0.0000001,TRUNC(ES16/12)))</x:f>
        <x:v/>
      </x:c>
      <x:c r="O16" s="1262" t="str">
        <x:f t="shared" ref="O16:O44" si="5">IF(ES16="","",IF(AND(ES16-(N16*12)=0,ES16&lt;0),-0.000001,ES16-(N16*12)))</x:f>
        <x:v/>
      </x:c>
      <x:c r="P16" s="1260" t="str">
        <x:f t="shared" ref="P16:P44" si="6">IF(ES16="","",CZ16)</x:f>
        <x:v/>
      </x:c>
      <x:c r="Q16" s="1261" t="str">
        <x:f t="shared" ref="Q16:Q44" si="7">IF(ET16="","",IF(AND(ET16&lt;0,ET16&gt;-12),TRUNC(ET16/12)-0.0000001,TRUNC(ET16/12)))</x:f>
        <x:v/>
      </x:c>
      <x:c r="R16" s="1262" t="str">
        <x:f t="shared" ref="R16:R44" si="8">IF(ET16="","",IF(AND(ET16-(Q16*12)=0,ET16&lt;0),-0.000001,ET16-(Q16*12)))</x:f>
        <x:v/>
      </x:c>
      <x:c r="S16" s="1375" t="str">
        <x:f t="shared" ref="S16:S44" si="9">IF(ET16="","",DJ16)</x:f>
        <x:v/>
      </x:c>
      <x:c r="T16" s="1328" t="str">
        <x:f t="shared" ref="T16:T44" si="10">IF(CH16="ERR","",IF(EK16="","",IF(EK16="ERR",TRUNC(EJ16/12),TRUNC(EK16/12))))</x:f>
        <x:v/>
      </x:c>
      <x:c r="U16" s="1262" t="str">
        <x:f t="shared" ref="U16:U44" si="11">IF(CH16="ERR","",IF(EK16="","",IF(EK16="ERR",EJ16-(T16*12),EK16-(T16*12))))</x:f>
        <x:v/>
      </x:c>
      <x:c r="V16" s="1261" t="str">
        <x:f t="shared" ref="V16:V44" si="12">IF(CI16="ERR","",IF(ER16="","",IF(ER16="ERR",TRUNC(EQ16/12),TRUNC(ER16/12))))</x:f>
        <x:v/>
      </x:c>
      <x:c r="W16" s="1262" t="str">
        <x:f t="shared" ref="W16:W44" si="13">IF(CI16="ERR","",IF(ER16="","",IF(ER16="ERR",EQ16-(V16*12),ER16-(V16*12))))</x:f>
        <x:v/>
      </x:c>
      <x:c r="X16" s="1329">
        <x:f t="shared" ref="X16:X44" si="14">IF(EV16="",0,EV16)</x:f>
        <x:v>0</x:v>
      </x:c>
      <x:c r="Y16" s="1377" t="str">
        <x:f t="shared" ref="Y16:Y44" si="15">FG16</x:f>
        <x:v/>
      </x:c>
      <x:c r="Z16" s="1378" t="str">
        <x:f t="shared" ref="Z16:Z44" si="16">FL16</x:f>
        <x:v/>
      </x:c>
      <x:c r="AA16" s="2159" t="s">
        <x:v>2110</x:v>
      </x:c>
      <x:c r="AC16" s="1226" t="b">
        <x:v>0</x:v>
      </x:c>
      <x:c r="AD16" s="525">
        <x:f t="shared" ref="AD16:AD45" si="17">IF($C16="",0,IF(SUM(AE16:AG16)&gt;0,0,IF(ISERROR(SEARCH("K",$C16,1))=TRUE,0,$B16)))</x:f>
        <x:v>0</x:v>
      </x:c>
      <x:c r="AE16" s="526">
        <x:f t="shared" ref="AE16:AE45" si="18">IF(ISERROR(SEARCH("LH",$C16,1))=TRUE,0,$B16)</x:f>
        <x:v>0</x:v>
      </x:c>
      <x:c r="AF16" s="526">
        <x:f t="shared" ref="AF16:AF45" si="19">IF(ISERROR(SEARCH("JS",$C16))=TRUE,IF(ISERROR(SEARCH("2.5K",$C16))=TRUE,0,$B16),$B16)</x:f>
        <x:v>0</x:v>
      </x:c>
      <x:c r="AG16" s="526">
        <x:f t="shared" ref="AG16:AG45" si="20">IF(ISERROR(SEARCH("HDR",$C16,1))=TRUE,0,$B16)</x:f>
        <x:v>0</x:v>
      </x:c>
      <x:c r="AH16" s="527">
        <x:f t="shared" ref="AH16:AH45" si="21">IF(ISERROR(SEARCH("CJ",$C16,1))=TRUE,0,$B16)</x:f>
        <x:v>0</x:v>
      </x:c>
      <x:c r="AI16" s="528" t="b">
        <x:v>0</x:v>
      </x:c>
      <x:c r="AJ16" s="284">
        <x:f t="shared" ref="AJ16:AJ45" si="22">IF(OR(ISERROR(VALUE(LEFT(C16,SEARCH(AK16,C16)-1))),AK16=""),0,VALUE(LEFT(C16,SEARCH(AK16,C16)-1)))</x:f>
        <x:v>36</x:v>
      </x:c>
      <x:c r="AK16" s="1063" t="str">
        <x:f t="shared" ref="AK16:AK45" si="23">IF(AV16="",AW16,AV16)</x:f>
        <x:v>LH</x:v>
      </x:c>
      <x:c r="AL16" s="1202" t="str">
        <x:f t="shared" ref="AL16:AL45" si="24">IF(AK16="","",IF(ISERROR(SEARCH("/",C16)),IF(VALUE(MID(C16,SEARCH(AK16,C16)+LEN(AK16),LEN(C16)))&gt;25,"",VALUE(MID(C16,SEARCH(AK16,C16)+LEN(AK16),LEN(C16)))),""))</x:f>
        <x:v/>
      </x:c>
      <x:c r="AM16" s="1063">
        <x:f t="shared" ref="AM16:AM45" si="25">IF(AK16="","",IF(ISERROR(SEARCH("/",C16)),IF(VALUE(MID(C16,SEARCH(AK16,C16)+LEN(AK16),LEN(C16)))&lt;26,"",VALUE(MID(C16,SEARCH(AK16,C16)+LEN(AK16),LEN(C16)))),VALUE(MID(C16,SEARCH(AK16,C16)+LEN(AK16),SEARCH("/",C16)-SEARCH(AK16,C16)-LEN(AK16)))))</x:f>
        <x:v>270</x:v>
      </x:c>
      <x:c r="AN16" s="1063">
        <x:f t="shared" ref="AN16:AN45" si="26">IF(AK16="","",IF(AK16="CJ",MID(MID(C16,SEARCH("/",C16)+1,LEN(C16)),1,SEARCH("/",MID(C16,SEARCH("/",C16)+1,LEN(C16)))-1),IF(ISERROR(SEARCH("/",C16)),"",VALUE(MID(C16,SEARCH("/",C16)+1,LEN(C16))))))</x:f>
        <x:v>120</x:v>
      </x:c>
      <x:c r="AO16" s="1063" t="str">
        <x:f t="shared" ref="AO16:AO45" si="27">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8">VLOOKUP(AK16,$DF$2:$DN$9,4,FALSE)+IF(LEFT(H16,1)="R",IF(ISNUMBER(F16),F16*12,0)+IF(ISNUMBER(G16),G16,0),0)</x:f>
        <x:v>6</x:v>
      </x:c>
      <x:c r="AR16" s="1305" t="b">
        <x:f t="shared" ref="AR16:AR45" si="29">IF(IF(ISNUMBER(T16),T16*12,0)+IF(ISNUMBER(U16),U16,0)&gt;0,IF(AND((IF(ISNUMBER(T16),T16*12,0)+IF(ISNUMBER(U16),U16,0))&gt;=1,(IF(ISNUMBER(T16),T16*12,0)+IF(ISNUMBER(U16),U16,0))&lt;=(AQ16-1)+IF(H16="X",2,0)),TRUE,FALSE),FALSE)</x:f>
        <x:v>0</x:v>
      </x:c>
      <x:c r="AS16" s="1305">
        <x:f t="shared" ref="AS16:AS45" si="30">VLOOKUP(AK16,$DF$2:$DN$9,4,FALSE)+IF(LEFT(K16,1)="R",(IF(ISNUMBER(I16),I16*12,0)+IF(ISNUMBER(J16),J16,0)),0)</x:f>
        <x:v>7.375</x:v>
      </x:c>
      <x:c r="AT16" s="1305" t="b">
        <x:f t="shared" ref="AT16:AT45" si="31">IF(IF(ISNUMBER(V16),V16*12,0)+IF(ISNUMBER(W16),W16,0)&gt;0,IF(AND((IF(ISNUMBER(V16),V16*12,0)+IF(ISNUMBER(W16),W16,0))&gt;=1,(IF(ISNUMBER(V16),V16*12,0)+IF(ISNUMBER(W16),W16,0))&lt;=(AS16-1)+IF(K16="X",2,0)),TRUE,FALSE),FALSE)</x:f>
        <x:v>0</x:v>
      </x:c>
      <x:c r="AU16" s="1203" t="str">
        <x: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33">IF(NOT(ISERROR(SEARCH("KCSR",C16))),"KCSR",IF(NOT(ISERROR(SEARCH("KCSA",C16))),"KCSA",IF(NOT(ISERROR(SEARCH("KCS",C16))),"KCS",IF(NOT(ISERROR(SEARCH("KR",C16))),"KR",IF(NOT(ISERROR(SEARCH("KA",C16))),"KA",IF(NOT(ISERROR(SEARCH("K",C16))),"K",IF(NOT(ISERROR(SEARCH("CJ",C16))),"CJ","")))))))</x:f>
        <x:v/>
      </x:c>
      <x:c r="AW16" s="1063" t="str">
        <x:f t="shared" ref="AW16:AW45" si="34">IF(NOT(ISERROR(SEARCH("HDR",C16))),"HDR",IF(NOT(ISERROR(SEARCH("JS",C16))),"JS",IF(NOT(ISERROR(SEARCH("SLH",C16))),"SLH",IF(NOT(ISERROR(SEARCH("DLH",C16))),"DLH",IF(NOT(ISERROR(SEARCH("LH",C16))),"LH","")))))</x:f>
        <x:v>LH</x:v>
      </x:c>
      <x:c r="AX16" s="1063" t="str">
        <x:f>IF(OR(ISBLANK(A16),A16=""),"",A16)</x:f>
        <x:v>J67</x:v>
      </x:c>
      <x:c r="AY16" s="1306" t="b">
        <x:f t="shared" ref="AY16:AY45" si="35">IF($AE$1,IF(AX16=AX15,AY15,IF(AND(AX16&lt;&gt;"",OR(B16=0,B16="")),TRUE,FALSE)),FALSE)</x:f>
        <x:v>0</x:v>
      </x:c>
      <x:c r="AZ16" s="1090" t="b">
        <x:f t="shared" ref="AZ16:AZ45" si="36">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7">IF(CY16="","","X")</x:f>
        <x:v/>
      </x:c>
      <x:c r="CE16" s="925" t="str">
        <x:f t="shared" ref="CE16:CE45" si="38">IF(DI16="","","X")</x:f>
        <x:v/>
      </x:c>
      <x:c r="CF16" s="1147"/>
      <x:c r="CG16" s="1148"/>
      <x:c r="CH16" s="730" t="str">
        <x:f t="shared" ref="CH16:CH45" si="39">IF(EJ16=EK16,IF(EK16="ERR","ERR",""),CONCATENATE(IF(BM16&lt;0,"NS ","FS "),IF(EK16="ERR","Slot Only",CONCATENATE("Slot @ ",EJ16))))</x:f>
        <x:v/>
      </x:c>
      <x:c r="CI16" s="731" t="str">
        <x:f t="shared" ref="CI16:CI45" si="40">IF(EQ16=ER16,IF(ER16="ERR","ERR",""),CONCATENATE(IF(BU16&lt;0,"FS ","NS "),IF(ER16="ERR","Slot Only",CONCATENATE("Slot @ ",EQ16))))</x:f>
        <x:v/>
      </x:c>
      <x:c r="CJ16" s="732" t="str">
        <x:f t="shared" ref="CJ16:CJ45" si="41">IF(EV16="","",IF(AND(DB16&lt;&gt;EV16,OR(NOT(ISBLANK(BJ16)),CU16="C")),CONCATENATE("LE slots @ ",DB16," Ga."),IF(AND(DL16&lt;&gt;EV16,OR(NOT(ISBLANK(BR16)),DE16="C")),CONCATENATE("RE slots @ ",DL16," Ga."),"")))</x:f>
        <x:v/>
      </x:c>
      <x:c r="CK16" s="733" t="str">
        <x:f t="shared" ref="CK16:CK45" si="42">IF(AND(CP16&lt;&gt;"",BM16&lt;&gt;"",CQ16&lt;&gt;"",BU16&lt;&gt;""),"BE",IF(AND(CP16&lt;&gt;"",BM16&lt;&gt;""),"LE",IF(AND(CQ16&lt;&gt;"",BU16&lt;&gt;""),"RE","")))</x:f>
        <x:v/>
      </x:c>
      <x:c r="CL16" s="734" t="str">
        <x:f t="shared" ref="CL16:CL45" si="43">IF(ISBLANK(CB16),"",CEILING(DV16,0.125))</x:f>
        <x:v/>
      </x:c>
      <x:c r="CM16" s="735" t="str">
        <x:f t="shared" ref="CM16:CM45" si="44">IF(ISBLANK(CC16),"",CEILING(EB16,0.125))</x:f>
        <x:v/>
      </x:c>
      <x:c r="CN16" s="736" t="str">
        <x:f t="shared" ref="CN16:CN45" si="45">IF(AND(BW16&lt;&gt;0,BM16&lt;&gt;0),BW16*COS(RADIANS(90-BM16))/(1/COS(RADIANS(90-BM16)))*-1,"")</x:f>
        <x:v/>
      </x:c>
      <x:c r="CO16" s="737" t="str">
        <x:f t="shared" ref="CO16:CO45" si="46">IF(AND(BW16&lt;&gt;0,BU16&lt;&gt;0),BW16*COS(RADIANS(90-BU16))/(1/COS(RADIANS(90-BU16))),"")</x:f>
        <x:v/>
      </x:c>
      <x:c r="CP16" s="760" t="str">
        <x:f t="shared" ref="CP16:CP45" si="47">IF(BG16="","",IF(AU16="JS","",IF(VLOOKUP(AU16,$DF$2:$DN$9,5,FALSE)&gt;FO16,IF(FO16&gt;=0.0625,CEILING(FO16-0.0625,0.125),FO16),"")))</x:f>
        <x:v/>
      </x:c>
      <x:c r="CQ16" s="761" t="str">
        <x:f t="shared" ref="CQ16:CQ45" si="48">IF(BO16="","",IF(AU16="JS","",IF(VLOOKUP(AU16,$DF$2:$DN$9,5,FALSE)&gt;FP16,IF(FP16&gt;=0.0625,CEILING(FP16-0.0625,0.125),FP16),"")))</x:f>
        <x:v/>
      </x:c>
      <x:c r="CR16" s="951">
        <x:f t="shared" ref="CR16:CR45" si="49">IF(AU16="","",IF(ABS(FF16)&lt;ABS($CX$2),VLOOKUP(AU16,$DF$2:$DN$9,3,FALSE),CEILING(VLOOKUP(AU16,$DF$2:$DN$9,3,FALSE)/COS(FE16)+0.375+IF(CU16="M",IF(FE16&gt;0,(DV16-DW16)/12,0),IF(FE16&gt;0,0,(DV16-CV16)/12))*ABS(FF16),0.125)))</x:f>
        <x:v>5</x:v>
      </x:c>
      <x:c r="CS16" s="952">
        <x:f t="shared" ref="CS16:CS45" si="50">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51">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52">BV16*-1</x:f>
        <x:v>0</x:v>
      </x:c>
      <x:c r="DO16" s="1094">
        <x:f t="shared" ref="DO16:DO45" si="53">IF(BW16="",0,ATAN(BW16/12))</x:f>
        <x:v>0</x:v>
      </x:c>
      <x:c r="DP16" s="1095" t="str">
        <x:f t="shared" ref="DP16:DP45" si="54">IF(OR(CV16="",BE16="",DF16=""),"",CEILING(IF(AND(BE16="",BF16=""),"",((BE16*12+BF16)+CV16+DF16)/COS(FN16))-0.0625,0.125))</x:f>
        <x:v/>
      </x:c>
      <x:c r="DQ16" s="1095" t="str">
        <x:f t="shared" ref="DQ16:DQ45" si="55">IF(AU16="","",IF(ABS(FF16)&lt;ABS($CX$2),CX16,IF(FF16=0,CX16,CEILING((CX16+((DW16-CV16)/12)*FF16)-0.0625,0.125))))</x:f>
        <x:v/>
      </x:c>
      <x:c r="DR16" s="1095" t="str">
        <x:f t="shared" ref="DR16:DR45" si="56">IF(AU16="","",IF(ABS(FK16)&lt;ABS($CX$2),DH16,IF(FK16=0,DH16,CEILING((DH16+((EC16-DF16)/12)*FK16)-0.0625,0.125))))</x:f>
        <x:v/>
      </x:c>
      <x:c r="DS16" s="1096">
        <x:f t="shared" ref="DS16:DS45" si="57">IF(BM16="",0,RADIANS(ABS(BM16)))</x:f>
        <x:v>0</x:v>
      </x:c>
      <x:c r="DT16" s="1052">
        <x:f t="shared" ref="DT16:DT45" si="58">MIN(IF(BH16&gt;0,BH16/2,MAX(BI16/2,DC16)),IF(BI16&gt;0,BI16/2,MAX(BH16/2,DC16)),IF(DC16&gt;0,DC16,MAX(BI16/2,BH16/2)))/IF(OR(CU16="C",AND(CU16="M",$DD$1="N")),1,COS(DS16))</x:f>
        <x:v>0</x:v>
      </x:c>
      <x:c r="DU16" s="1052" t="str">
        <x:f t="shared" ref="DU16:DU45" si="59">IF(CV16="","",IF(DC16&gt;=0,MAX(BH16/2,BI16/2,DC16),DC16)/IF(OR(CU16="C",AND(CU16="M",$DD$1="N")),1,COS(DS16)))</x:f>
        <x:v/>
      </x:c>
      <x:c r="DV16" s="1095" t="str">
        <x:f t="shared" ref="DV16:DV45" si="60">IF(CV16="","",(CV16+DU16+(VLOOKUP(IF(AU16="HDR","K",AU16),$DF$2:$DN$9,2,FALSE))*TAN(DS16))/COS(FD16)-FH16)</x:f>
        <x:v/>
      </x:c>
      <x:c r="DW16" s="1095" t="str">
        <x:f t="shared" ref="DW16:DW45" si="61">IF(CV16="","",MAX(0,IF(NOT(ISBLANK(CB16)),CV16-CB16,DV16-VLOOKUP(IF(AU16="HDR","K",AU16),$DF$2:$DN$9,4,FALSE))))</x:f>
        <x:v/>
      </x:c>
      <x:c r="DX16" s="1451">
        <x:f t="shared" ref="DX16:DX45" si="62">IF(CV16="",0,IF(DW16/COS(FN16-FD16)&lt;0.0625,0,CEILING(DW16/COS(FN16-FD16)-0.03125,0.125)))</x:f>
        <x:v>0</x:v>
      </x:c>
      <x:c r="DY16" s="1095">
        <x:f t="shared" ref="DY16:DY45" si="63">RADIANS(ABS(BU16))</x:f>
        <x:v>0</x:v>
      </x:c>
      <x:c r="DZ16" s="1052">
        <x:f t="shared" ref="DZ16:DZ45" si="64">MIN(IF(BP16&gt;0,BP16/2,MAX(BQ16/2,DM16)),IF(BQ16&gt;0,BQ16/2,MAX(BP16/2,DM16)),IF(DM16&gt;0,DM16,MAX(BQ16/2,BP16/2)))/IF(OR(DE16="C",AND(DE16="M",$DD$1="N")),1,COS(DY16))</x:f>
        <x:v>0</x:v>
      </x:c>
      <x:c r="EA16" s="1052" t="str">
        <x:f t="shared" ref="EA16:EA45" si="65">IF(DF16="","",IF(DM16&gt;=0,MAX(BP16/2,BQ16/2,DM16),DM16)/IF(OR(DE16="C",AND(DE16="M",$DD$1="N")),1,COS(DY16)))</x:f>
        <x:v/>
      </x:c>
      <x:c r="EB16" s="1095" t="str">
        <x:f t="shared" ref="EB16:EB45" si="66">IF(DF16="","",(DF16+EA16+(VLOOKUP(IF(AU16="HDR","K",AU16),$DF$2:$DN$9,2,FALSE))*TAN(DY16))/COS(FI16)-FM16)</x:f>
        <x:v/>
      </x:c>
      <x:c r="EC16" s="1095" t="str">
        <x:f t="shared" ref="EC16:EC45" si="67">IF(DF16="","",MAX(0,IF(NOT(ISBLANK(CC16)),DF16-CC16,EB16-VLOOKUP(IF(AU16="HDR","K",AU16),$DF$2:$DN$9,4,FALSE))))</x:f>
        <x:v/>
      </x:c>
      <x:c r="ED16" s="1451">
        <x:f t="shared" ref="ED16:ED45" si="68">IF(DF16="",0,IF(EC16/COS(FN16+FI16)&lt;0.0625,0,CEILING(EC16/COS(FN16+FI16)-0.03125,0.125)))</x:f>
        <x:v>0</x:v>
      </x:c>
      <x:c r="EE16" s="1107" t="str">
        <x:f t="shared" ref="EE16:EE45" si="69">IF(AND(EZ16="",DA16=""),"",IF(EZ16="ERR","ERR",IF(CU16="C",DA16,IF(BJ16="","",IF(DA16="",(EZ16/2)*-1,DA16)))))</x:f>
        <x:v/>
      </x:c>
      <x:c r="EF16" s="1095" t="str">
        <x:f t="shared" ref="EF16:EF45" si="70">IF(EE16="ERR","ERR",IF(EE16="","",IF(DB16*TAN(DS16)&lt;=(VLOOKUP(AU16,$DF$2:$DN$9,8,FALSE)-(VLOOKUP(AU16,$DF$2:$DN$9,7,FALSE)-0.0625)),CV16-(EE16-FH16)/IF(OR(CU16="C",AND(CU16="M",$DD$1="N")),1,COS(DS16))-IF(MID(CW16,1,1)="R",0,DW16),(ABS(EE16-FH16)/IF(OR(CU16="C",AND(CU16="M",$DD$1="N")),1,COS(DS16))+CV16)-((DB16/2)*TAN(DS16))-IF(MID(CW16,1,1)="R",0,DW16))))</x:f>
        <x:v/>
      </x:c>
      <x:c r="EG16" s="1095" t="str">
        <x:f t="shared" ref="EG16:EG45" si="71">IF(EE16="ERR","ERR",IF(EE16="","",IF(DB16*TAN(DS16)&lt;=(VLOOKUP(AU16,$DF$2:$DN$9,8,FALSE)-(VLOOKUP(AU16,$DF$2:$DN$9,7,FALSE)-0.0625)),CV16-(EE16-FH16)/IF(OR(CU16="C",AND(CU16="M",$DD$1="N")),1,COS(DS16))-IF(MID(CW16,1,1)="R",0,DW16),(ABS(EE16-FH16)/IF(OR(CU16="C",AND(CU16="M",$DD$1="N")),1,COS(DS16))+CV16)+((DB16/2)*TAN(DS16))-IF(MID(CW16,1,1)="R",0,DW16))))</x:f>
        <x:v/>
      </x:c>
      <x:c r="EH16" s="1095" t="str">
        <x:f t="shared" ref="EH16:EH45" si="7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4">IF(ISERROR(EF16),"ERR",IF(EF16="","",IF(EH16="ERR","ERR",CEILING(EH16-0.0625,0.125))))</x:f>
        <x:v/>
      </x:c>
      <x:c r="EK16" s="1095" t="str">
        <x:f t="shared" si="74"/>
        <x:v/>
      </x:c>
      <x:c r="EL16" s="1107" t="str">
        <x:f t="shared" ref="EL16:EL45" si="75">IF(AND(FC16="",DK16=""),"",IF(FC16="ERR","ERR",IF(DE16="C",DK16,IF(BR16="","",IF(DK16="",(FC16/2)*-1,DK16)))))</x:f>
        <x:v/>
      </x:c>
      <x:c r="EM16" s="1095" t="str">
        <x:f t="shared" ref="EM16:EM45" si="76">IF(EL16="ERR","ERR",IF(EL16="","",IF(DL16*TAN(DY16)&lt;=(VLOOKUP(AU16,$DF$2:$DN$9,8,FALSE)-(VLOOKUP(AU16,$DF$2:$DN$9,7,FALSE)-0.0625)),DF16-(EL16-FM16)/IF(OR(DE16="C",AND(DE16="M",$DD$1="N")),1,COS(DY16))-IF(MID(DG16,1,1)="R",0,EC16),(ABS(EL16-FM16)/IF(OR(DE16="C",AND(DE16="M",$DD$1="N")),1,COS(DY16))+DF16)-((DL16/2)*TAN(DY16))-IF(MID(DG16,1,1)="R",0,EC16))))</x:f>
        <x:v/>
      </x:c>
      <x:c r="EN16" s="1095" t="str">
        <x:f t="shared" ref="EN16:EN45" si="77">IF(EL16="ERR","ERR",IF(EL16="","",IF(DL16*TAN(DY16)&lt;=(VLOOKUP(AU16,$DF$2:$DN$9,8,FALSE)-(VLOOKUP(AU16,$DF$2:$DN$9,7,FALSE)-0.0625)),DF16-(EL16-FM16)/IF(OR(DE16="C",AND(DE16="M",$DD$1="N")),1,COS(DY16))-IF(MID(DG16,1,1)="R",0,EC16),(ABS(EL16-FM16)/IF(OR(DE16="C",AND(DE16="M",$DD$1="N")),1,COS(DY16))+DF16)+((DL16/2)*TAN(DY16))-IF(MID(DG16,1,1)="R",0,EC16))))</x:f>
        <x:v/>
      </x:c>
      <x:c r="EO16" s="1095" t="str">
        <x:f t="shared" ref="EO16:EO45" si="7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80">IF(ISERROR(EM16),"ERR",IF(EM16="","",IF(EO16="ERR","ERR",CEILING(EO16-0.0625,0.125))))</x:f>
        <x:v/>
      </x:c>
      <x:c r="ER16" s="1095" t="str">
        <x:f t="shared" si="80"/>
        <x:v/>
      </x:c>
      <x:c r="ES16" s="1053" t="str">
        <x:f t="shared" ref="ES16:ES45" si="81">IF(OR(CY16="",AU16="JS",AU16="HDR",CD16=""),"",IF((CV16-CY16)/COS(DO16)-FS16&lt;=-0.0625,CEILING((CV16-CY16)/COS(DO16)-FS16+0.0625,-0.125),IF((CV16-CY16)/COS(DO16)-FS16&gt;=0.0625,CEILING((CV16-CY16)/COS(DO16)-FS16-0.0625,0.125),0)))</x:f>
        <x:v/>
      </x:c>
      <x:c r="ET16" s="1053" t="str">
        <x:f t="shared" ref="ET16:ET45" si="82">IF(OR(DI16="",AU16="JS",AU16="HDR",CE16=""),"",IF((DF16-DI16)/COS(DO16)-FT16&lt;=-0.0625,CEILING((DF16-DI16)/COS(DO16)-FT16+0.0625,-0.125),IF((DF16-DI16)/COS(DO16)-FT16&gt;=0.0625,CEILING((DF16-DI16)/COS(DO16)-FT16-0.0625,0.125),0)))</x:f>
        <x:v/>
      </x:c>
      <x:c r="EU16" s="1097">
        <x:f t="shared" ref="EU16:EU45" si="83">IF(AU16="","",VLOOKUP(AU16,$DF$2:$DN$9,6,FALSE))</x:f>
        <x:v>4</x:v>
      </x:c>
      <x:c r="EV16" s="1055" t="str">
        <x:f t="shared" ref="EV16:EV45" si="84">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5">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6">IF(BR16="X",IF(OR(DE16="M",DE16="C"),"",IF((FB16-FA16)/2&lt;=(VLOOKUP(AU16,$DF$2:$DN$9,8,FALSE)-(VLOOKUP(AU16,$DF$2:$DN$9,7,FALSE)-0.0625)),(FA16+FB16)/2,"ERR")),"")</x:f>
        <x:v/>
      </x:c>
      <x:c r="FD16" s="1096">
        <x:f>IF(DD16="",0,ATAN(DD16/12))</x:f>
        <x:v>0</x:v>
      </x:c>
      <x:c r="FE16" s="1096">
        <x:f t="shared" ref="FE16:FE45" si="87">DO16-FD16</x:f>
        <x:v>0</x:v>
      </x:c>
      <x:c r="FF16" s="1096">
        <x:f t="shared" ref="FF16:FF45" si="88">TAN(FE16)*12</x:f>
        <x:v>0</x:v>
      </x:c>
      <x:c r="FG16" s="1096" t="str">
        <x:f t="shared" ref="FG16:FG45" si="89">IF(FF16=0,"",IF(ABS(FF16)&lt;$CX$2,IF(AND(ABS(MIN(DV16,FQ16)/12*FF16)&gt;$DD$2,FF16&gt;0),IF(FF16&gt;0,CEILING(FF16-0.0625,0.125),CEILING(FF16+0.0625,-0.125)),""),IF(FF16&gt;0,CEILING(FF16-0.0625,0.125),CEILING(FF16+0.0625,-0.125))))</x:f>
        <x:v/>
      </x:c>
      <x:c r="FH16" s="1095" t="str">
        <x:f t="shared" ref="FH16:FH45" si="90">IF(CX16="","",CX16*TAN(FD16))</x:f>
        <x:v/>
      </x:c>
      <x:c r="FI16" s="1096">
        <x:f>IF(DN16="",0,ATAN(DN16/12))</x:f>
        <x:v>0</x:v>
      </x:c>
      <x:c r="FJ16" s="1096">
        <x:f t="shared" ref="FJ16:FJ45" si="91">DO16+FI16</x:f>
        <x:v>0</x:v>
      </x:c>
      <x:c r="FK16" s="1096">
        <x:f t="shared" ref="FK16:FK45" si="92">TAN(FJ16)*-12</x:f>
        <x:v>0</x:v>
      </x:c>
      <x:c r="FL16" s="1096" t="str">
        <x:f t="shared" ref="FL16:FL45" si="93">IF(FK16=0,"",IF(ABS(FK16)&lt;$CX$2,IF(AND(ABS(MIN(EB16,FR16)/12*FK16)&gt;$DD$2,FK16&gt;0),IF(FK16&gt;0,CEILING(FK16-0.0625,0.125),CEILING(FK16+0.0625,-0.125)),""),IF(FK16&gt;0,CEILING(FK16-0.0625,0.125),CEILING(FK16+0.0625,-0.125))))</x:f>
        <x:v/>
      </x:c>
      <x:c r="FM16" s="1095" t="str">
        <x:f t="shared" ref="FM16:FM45" si="94">IF(DH16="","",DH16*TAN(FI16))</x:f>
        <x:v/>
      </x:c>
      <x:c r="FN16" s="1095" t="e">
        <x:f t="shared" ref="FN16:FN45" si="95">IF(((BE16*12+BF16)+CV16+DF16)/COS(DO16)-((BE16*12+BF16)+CV16+DF16)&lt;$DB$2,0,DO16)</x:f>
        <x:v>#VALUE!</x:v>
      </x:c>
      <x:c r="FO16" s="1098" t="e">
        <x:f t="shared" ref="FO16:FO45" si="96">MIN(IF(BH16&gt;0,BH16/2,MAX(BI16/2,DC16)),IF(BI16&gt;0,BI16/2,MAX(BH16/2,DC16)),IF(DC16&gt;0,DC16,MAX(BI16/2,BH16/2)))/COS(DS16)+CV16-DW16</x:f>
        <x:v>#VALUE!</x:v>
      </x:c>
      <x:c r="FP16" s="1098" t="e">
        <x:f t="shared" ref="FP16:FP45" si="97">MIN(IF(BP16&gt;0,BP16/2,MAX(BQ16/2,DM16)),IF(BQ16&gt;0,BQ16/2,MAX(BP16/2,DM16)),IF(DM16&gt;0,DM16,MAX(BQ16/2,BP16/2)))/COS(DY16)+DF16-EC16</x:f>
        <x:v>#VALUE!</x:v>
      </x:c>
      <x:c r="FQ16" s="1099" t="e">
        <x:f t="shared" ref="FQ16:FQ45" si="98">IF(OR(CU16="M", CU16="B",CU16="G"),MAX(BH16,BI16),DC16+CV16)</x:f>
        <x:v>#VALUE!</x:v>
      </x:c>
      <x:c r="FR16" s="1100" t="e">
        <x:f t="shared" ref="FR16:FR45" si="99">IF(OR(DE16="M", DE16="B",DE16="G"),MAX(BP16,BQ16),DM16+DF16)</x:f>
        <x:v>#VALUE!</x:v>
      </x:c>
      <x:c r="FS16" s="1101" t="str">
        <x:f t="shared" ref="FS16:FS45" si="100">IF(CY16="","",IF(ABS(BW16*((AJ16-IF(BW16&gt;0,VLOOKUP(AU16,$DF$2:$DN$9,9,FALSE),0))/12))&gt;$CZ$2,BW16*((AJ16-IF(BW16&gt;0,VLOOKUP(AU16,$DF$2:$DN$9,9,FALSE),0))/12),0))</x:f>
        <x:v/>
      </x:c>
      <x:c r="FT16" s="1102" t="str">
        <x:f t="shared" ref="FT16:FT45" si="101">IF(DI16="","",IF(ABS(BW16*((AJ16-IF(BW16&lt;0,VLOOKUP(AU16,$DF$2:$DN$9,9,FALSE),0))/12))&gt;$CZ$2,BW16*((AJ16-IF(BW16&lt;0,VLOOKUP(AU16,$DF$2:$DN$9,9,FALSE),0))/12)*-1,0))</x:f>
        <x:v/>
      </x:c>
      <x:c r="FU16" s="1103">
        <x:f t="shared" ref="FU16:FU45" si="102">IF(CX16="",0,MAX(0,MIN(DV16-VLOOKUP(AU16,DF$2:DN$9,4,FALSE),(MAX(0,CX16-VLOOKUP(AU16,DF$2:DN$9,3,FALSE))+VLOOKUP(AU16,DF$2:DN$9,4,FALSE))*COS(DO16)+((MAX(0,CX16-VLOOKUP(AU16,DF$2:DN$9,3,FALSE))+VLOOKUP(AU16,DF$2:DN$9,4,FALSE))*COS(PI()/2-DO16))/TAN(PI()/2-(DO16+PI()/4))-VLOOKUP(AU16,DF$2:DN$9,4,FALSE))))</x:f>
        <x:v>0</x:v>
      </x:c>
      <x:c r="FV16" s="1104">
        <x:f t="shared" ref="FV16:FV45" si="103">IF(DH16="",0,MAX(0,MIN(EB16-VLOOKUP(AU16,DF$2:DN$9,4,FALSE),(MAX(0,DH16-VLOOKUP(AU16,DF$2:DN$9,3,FALSE))+VLOOKUP(AU16,DF$2:DN$9,4,FALSE))*COS(DO16)+((MAX(0,DH16-VLOOKUP(AU16,DF$2:DN$9,3,FALSE))+VLOOKUP(AU16,DF$2:DN$9,4,FALSE))*COS(PI()/2-DO16))/TAN(PI()/2-(DO16+PI()/4))-VLOOKUP(AU16,DF$2:DN$9,4,FALSE))))</x:f>
        <x:v>0</x:v>
      </x:c>
      <x:c r="GA16" s="1975">
        <x:v>59</x:v>
      </x:c>
      <x:c r="GB16" s="1976">
        <x:v>2.75</x:v>
      </x:c>
      <x:c r="GC16" s="1977">
        <x:v>-1.875</x:v>
      </x:c>
      <x:c r="GD16" s="1978">
        <x:v>-0.25</x:v>
      </x:c>
      <x:c r="GE16" s="1979">
        <x:v>0.26169539219134702</x:v>
      </x:c>
      <x:c r="GF16" s="1980" t="str">
        <x:f t="shared" ref="GF16:GF45" si="104">IF(A16=0,"",A16)</x:f>
        <x:v>J67</x:v>
      </x:c>
      <x:c r="GG16" s="1453"/>
      <x:c r="GH16" s="1454"/>
      <x:c r="GI16" s="1453"/>
      <x:c r="GJ16" s="1454"/>
      <x:c r="GK16" s="533">
        <x:f t="shared" ref="GK16:GK45" si="105">IF(D16="",0,D16*12+E16)</x:f>
        <x:v>708.625</x:v>
      </x:c>
      <x:c r="GL16" s="534">
        <x:f t="shared" ref="GL16:GL45" si="106">(GA16*12+GB16+GC16+GD16)/COS(ATAN(ABS(GE16/12)))</x:f>
        <x:v>708.79348626656247</x:v>
      </x:c>
      <x:c r="GM16" s="535">
        <x:f>IF(ABS(GK16-GL16)&gt;='Job Info.'!$L$22,ABS(GK16-GL16),0)</x:f>
        <x:v>0</x:v>
      </x:c>
      <x:c r="HA16" s="1652" t="s">
        <x:v>1391</x:v>
      </x:c>
      <x:c r="HB16" s="1653">
        <x:v>1</x:v>
      </x:c>
      <x:c r="HC16" s="1653" t="s">
        <x:v>1978</x:v>
      </x:c>
      <x:c r="HD16" s="1654">
        <x:v>59</x:v>
      </x:c>
      <x:c r="HE16" s="1655">
        <x:v>0.625</x:v>
      </x:c>
      <x:c r="HF16" s="1653" t="s">
        <x:v>117</x:v>
      </x:c>
      <x:c r="HG16" s="1653" t="s">
        <x:v>117</x:v>
      </x:c>
      <x:c r="HH16" s="1653" t="s">
        <x:v>117</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2110</x:v>
      </x:c>
      <x:c r="IB16" s="1655"/>
      <x:c r="IC16" s="1655"/>
      <x:c r="ID16" s="1655"/>
      <x:c r="IE16" s="1655"/>
      <x:c r="IF16" s="1657"/>
    </x:row>
    <x:row r="17" spans="1:240" ht="12.6" customHeight="1" x14ac:dyDescent="0.25">
      <x:c r="A17" s="1264" t="s">
        <x:v>1392</x:v>
      </x:c>
      <x:c r="B17" s="1265">
        <x:v>0</x:v>
      </x:c>
      <x:c r="C17" s="1265" t="s">
        <x:v>1978</x:v>
      </x:c>
      <x:c r="D17" s="1261">
        <x:v>59</x:v>
      </x:c>
      <x:c r="E17" s="1366">
        <x:v>0.625</x:v>
      </x:c>
      <x:c r="F17" s="1328" t="str">
        <x:f t="shared" si="1"/>
        <x:v/>
      </x:c>
      <x:c r="G17" s="1262" t="str">
        <x:f t="shared" si="2"/>
        <x:v/>
      </x:c>
      <x:c r="H17" s="1266" t="str">
        <x:f t="shared" si="3"/>
        <x:v/>
      </x:c>
      <x:c r="I17" s="1261">
        <x:v>0</x:v>
      </x:c>
      <x:c r="J17" s="1262">
        <x:v>1.375</x:v>
      </x:c>
      <x:c r="K17" s="1370" t="s">
        <x:v>114</x:v>
      </x:c>
      <x:c r="L17" s="1327">
        <x:v>3</x:v>
      </x:c>
      <x:c r="M17" s="1329">
        <x:v>3</x:v>
      </x:c>
      <x:c r="N17" s="1263" t="str">
        <x:f t="shared" si="4"/>
        <x:v/>
      </x:c>
      <x:c r="O17" s="1262" t="str">
        <x:f t="shared" si="5"/>
        <x:v/>
      </x:c>
      <x:c r="P17" s="1260" t="str">
        <x:f t="shared" si="6"/>
        <x:v/>
      </x:c>
      <x:c r="Q17" s="1261" t="str">
        <x:f t="shared" si="7"/>
        <x:v/>
      </x:c>
      <x:c r="R17" s="1262" t="str">
        <x:f t="shared" si="8"/>
        <x:v/>
      </x:c>
      <x:c r="S17" s="1375" t="str">
        <x:f t="shared" si="9"/>
        <x:v/>
      </x:c>
      <x:c r="T17" s="1328">
        <x:v>0</x:v>
      </x:c>
      <x:c r="U17" s="1262">
        <x:v>1.125</x:v>
      </x:c>
      <x:c r="V17" s="1261">
        <x:v>0</x:v>
      </x:c>
      <x:c r="W17" s="1262">
        <x:v>2.25</x:v>
      </x:c>
      <x:c r="X17" s="1329">
        <x:v>4</x:v>
      </x:c>
      <x:c r="Y17" s="1377" t="str">
        <x:f t="shared" si="15"/>
        <x:v/>
      </x:c>
      <x:c r="Z17" s="1378" t="str">
        <x:f t="shared" si="16"/>
        <x:v/>
      </x:c>
      <x:c r="AA17" s="2159" t="s">
        <x:v>2111</x:v>
      </x:c>
      <x:c r="AC17" s="1226" t="b">
        <x:v>0</x:v>
      </x:c>
      <x:c r="AD17" s="525">
        <x:f t="shared" si="17"/>
        <x:v>0</x:v>
      </x:c>
      <x:c r="AE17" s="526">
        <x:f t="shared" si="18"/>
        <x:v>0</x:v>
      </x:c>
      <x:c r="AF17" s="526">
        <x:f t="shared" si="19"/>
        <x:v>0</x:v>
      </x:c>
      <x:c r="AG17" s="526">
        <x:f t="shared" si="20"/>
        <x:v>0</x:v>
      </x:c>
      <x:c r="AH17" s="527">
        <x:f t="shared" si="21"/>
        <x:v>0</x:v>
      </x:c>
      <x:c r="AI17" s="528" t="b">
        <x:v>0</x:v>
      </x:c>
      <x:c r="AJ17" s="284">
        <x:f t="shared" si="22"/>
        <x:v>36</x:v>
      </x:c>
      <x:c r="AK17" s="1063" t="str">
        <x:f t="shared" si="23"/>
        <x:v>LH</x:v>
      </x:c>
      <x:c r="AL17" s="1202" t="str">
        <x:f t="shared" si="24"/>
        <x:v/>
      </x:c>
      <x:c r="AM17" s="1063">
        <x:f t="shared" si="25"/>
        <x:v>270</x:v>
      </x:c>
      <x:c r="AN17" s="1063">
        <x:f t="shared" si="26"/>
        <x:v>120</x:v>
      </x:c>
      <x:c r="AO17" s="1063" t="str">
        <x:f t="shared" si="27"/>
        <x:v/>
      </x:c>
      <x:c r="AP17" s="1063" t="b">
        <x:f>IF(ISERROR(AJ17),FALSE,IF(OR(AJ17=0,ISERROR(AL17),ISERROR(AM17),ISERROR(AN17),ISERROR(AO17)),FALSE,IF(AL17&lt;&gt;"",IF(ISERROR(VLOOKUP(SUBSTITUTE(SUBSTITUTE(C17,"R",""),"A",""),TblJoistSize!$A:$A,1,FALSE)),FALSE,TRUE),TRUE)))</x:f>
        <x:v>1</x:v>
      </x:c>
      <x:c r="AQ17" s="1305">
        <x:f t="shared" si="28"/>
        <x:v>6</x:v>
      </x:c>
      <x:c r="AR17" s="1305" t="b">
        <x:f t="shared" si="29"/>
        <x:v>1</x:v>
      </x:c>
      <x:c r="AS17" s="1305">
        <x:f t="shared" si="30"/>
        <x:v>7.375</x:v>
      </x:c>
      <x:c r="AT17" s="1305" t="b">
        <x:f t="shared" si="31"/>
        <x:v>1</x:v>
      </x:c>
      <x:c r="AU17" s="1203" t="str">
        <x:f t="shared" si="32"/>
        <x:v>LH</x:v>
      </x:c>
      <x:c r="AV17" s="1063" t="str">
        <x:f t="shared" si="33"/>
        <x:v/>
      </x:c>
      <x:c r="AW17" s="1063" t="str">
        <x:f t="shared" si="34"/>
        <x:v>LH</x:v>
      </x:c>
      <x:c r="AX17" s="1063" t="str">
        <x:f t="shared" ref="AX17:AX45" si="107">IF(AND(OR(ISBLANK(A17),A17=""),AA17&lt;&gt;""),AX16,IF(OR(ISBLANK(A17),A17=""),"",A17))</x:f>
        <x:v>TJ68</x:v>
      </x:c>
      <x:c r="AY17" s="1306" t="b">
        <x:f t="shared" si="35"/>
        <x:v>0</x:v>
      </x:c>
      <x:c r="AZ17" s="1090" t="b">
        <x:f t="shared" si="36"/>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7"/>
        <x:v/>
      </x:c>
      <x:c r="CE17" s="935" t="str">
        <x:f t="shared" si="38"/>
        <x:v/>
      </x:c>
      <x:c r="CF17" s="1149"/>
      <x:c r="CG17" s="1150"/>
      <x:c r="CH17" s="738" t="str">
        <x:f t="shared" si="39"/>
        <x:v/>
      </x:c>
      <x:c r="CI17" s="739" t="str">
        <x:f t="shared" si="40"/>
        <x:v/>
      </x:c>
      <x:c r="CJ17" s="740" t="str">
        <x:f t="shared" si="41"/>
        <x:v/>
      </x:c>
      <x:c r="CK17" s="741" t="str">
        <x:f t="shared" si="42"/>
        <x:v/>
      </x:c>
      <x:c r="CL17" s="742" t="str">
        <x:f t="shared" si="43"/>
        <x:v/>
      </x:c>
      <x:c r="CM17" s="743" t="str">
        <x:f t="shared" si="44"/>
        <x:v/>
      </x:c>
      <x:c r="CN17" s="744" t="str">
        <x:f t="shared" si="45"/>
        <x:v/>
      </x:c>
      <x:c r="CO17" s="745" t="str">
        <x:f t="shared" si="46"/>
        <x:v/>
      </x:c>
      <x:c r="CP17" s="762" t="str">
        <x:f t="shared" si="47"/>
        <x:v/>
      </x:c>
      <x:c r="CQ17" s="763" t="str">
        <x:f t="shared" si="48"/>
        <x:v/>
      </x:c>
      <x:c r="CR17" s="953">
        <x:f t="shared" si="49"/>
        <x:v>5</x:v>
      </x:c>
      <x:c r="CS17" s="954">
        <x:f t="shared" si="50"/>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51"/>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52"/>
        <x:v>0</x:v>
      </x:c>
      <x:c r="DO17" s="1049">
        <x:f t="shared" si="53"/>
        <x:v>0</x:v>
      </x:c>
      <x:c r="DP17" s="1053" t="str">
        <x:f t="shared" si="54"/>
        <x:v/>
      </x:c>
      <x:c r="DQ17" s="1053" t="str">
        <x:f t="shared" si="55"/>
        <x:v/>
      </x:c>
      <x:c r="DR17" s="1053" t="str">
        <x:f t="shared" si="56"/>
        <x:v/>
      </x:c>
      <x:c r="DS17" s="1052">
        <x:f t="shared" si="57"/>
        <x:v>0</x:v>
      </x:c>
      <x:c r="DT17" s="1052">
        <x:f t="shared" si="58"/>
        <x:v>0</x:v>
      </x:c>
      <x:c r="DU17" s="1052" t="str">
        <x:f t="shared" si="59"/>
        <x:v/>
      </x:c>
      <x:c r="DV17" s="1053" t="str">
        <x:f t="shared" si="60"/>
        <x:v/>
      </x:c>
      <x:c r="DW17" s="1053" t="str">
        <x:f t="shared" si="61"/>
        <x:v/>
      </x:c>
      <x:c r="DX17" s="1269">
        <x:f t="shared" si="62"/>
        <x:v>0</x:v>
      </x:c>
      <x:c r="DY17" s="1053">
        <x:f t="shared" si="63"/>
        <x:v>0</x:v>
      </x:c>
      <x:c r="DZ17" s="1052">
        <x:f t="shared" si="64"/>
        <x:v>0</x:v>
      </x:c>
      <x:c r="EA17" s="1052" t="str">
        <x:f t="shared" si="65"/>
        <x:v/>
      </x:c>
      <x:c r="EB17" s="1053" t="str">
        <x:f t="shared" si="66"/>
        <x:v/>
      </x:c>
      <x:c r="EC17" s="1053" t="str">
        <x:f t="shared" si="67"/>
        <x:v/>
      </x:c>
      <x:c r="ED17" s="1269">
        <x:f t="shared" si="68"/>
        <x:v>0</x:v>
      </x:c>
      <x:c r="EE17" s="1090" t="str">
        <x:f t="shared" si="69"/>
        <x:v/>
      </x:c>
      <x:c r="EF17" s="1053" t="str">
        <x:f t="shared" si="70"/>
        <x:v/>
      </x:c>
      <x:c r="EG17" s="1053" t="str">
        <x:f t="shared" si="71"/>
        <x:v/>
      </x:c>
      <x:c r="EH17" s="1053" t="str">
        <x:f t="shared" si="72"/>
        <x:v>ERR</x:v>
      </x:c>
      <x:c r="EI17" s="1053" t="str">
        <x:f t="shared" si="73"/>
        <x:v>ERR</x:v>
      </x:c>
      <x:c r="EJ17" s="1053" t="str">
        <x:f t="shared" si="74"/>
        <x:v/>
      </x:c>
      <x:c r="EK17" s="1053" t="str">
        <x:f t="shared" si="74"/>
        <x:v/>
      </x:c>
      <x:c r="EL17" s="1090" t="str">
        <x:f t="shared" si="75"/>
        <x:v/>
      </x:c>
      <x:c r="EM17" s="1053" t="str">
        <x:f t="shared" si="76"/>
        <x:v/>
      </x:c>
      <x:c r="EN17" s="1053" t="str">
        <x:f t="shared" si="77"/>
        <x:v/>
      </x:c>
      <x:c r="EO17" s="1053" t="str">
        <x:f t="shared" si="78"/>
        <x:v>ERR</x:v>
      </x:c>
      <x:c r="EP17" s="1053" t="str">
        <x:f t="shared" si="79"/>
        <x:v>ERR</x:v>
      </x:c>
      <x:c r="EQ17" s="1053" t="str">
        <x:f t="shared" si="80"/>
        <x:v/>
      </x:c>
      <x:c r="ER17" s="1053" t="str">
        <x:f t="shared" si="80"/>
        <x:v/>
      </x:c>
      <x:c r="ES17" s="1053" t="str">
        <x:f t="shared" si="81"/>
        <x:v/>
      </x:c>
      <x:c r="ET17" s="1053" t="str">
        <x:f t="shared" si="82"/>
        <x:v/>
      </x:c>
      <x:c r="EU17" s="1061">
        <x:f t="shared" si="83"/>
        <x:v>4</x:v>
      </x:c>
      <x:c r="EV17" s="1055" t="str">
        <x:f t="shared" si="84"/>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5"/>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6"/>
        <x:v/>
      </x:c>
      <x:c r="FD17" s="1052">
        <x:f t="shared" ref="FD17:FD45" si="108">IF(DD17="",0,ATAN(DD17/12))</x:f>
        <x:v>0</x:v>
      </x:c>
      <x:c r="FE17" s="1052">
        <x:f t="shared" si="87"/>
        <x:v>0</x:v>
      </x:c>
      <x:c r="FF17" s="1052">
        <x:f t="shared" si="88"/>
        <x:v>0</x:v>
      </x:c>
      <x:c r="FG17" s="1052" t="str">
        <x:f t="shared" si="89"/>
        <x:v/>
      </x:c>
      <x:c r="FH17" s="1053" t="str">
        <x:f t="shared" si="90"/>
        <x:v/>
      </x:c>
      <x:c r="FI17" s="1052">
        <x:f t="shared" ref="FI17:FI45" si="109">IF(DN17="",0,ATAN(DN17/12))</x:f>
        <x:v>0</x:v>
      </x:c>
      <x:c r="FJ17" s="1052">
        <x:f t="shared" si="91"/>
        <x:v>0</x:v>
      </x:c>
      <x:c r="FK17" s="1052">
        <x:f t="shared" si="92"/>
        <x:v>0</x:v>
      </x:c>
      <x:c r="FL17" s="1052" t="str">
        <x:f t="shared" si="93"/>
        <x:v/>
      </x:c>
      <x:c r="FM17" s="1053" t="str">
        <x:f t="shared" si="94"/>
        <x:v/>
      </x:c>
      <x:c r="FN17" s="1053" t="e">
        <x:f t="shared" si="95"/>
        <x:v>#VALUE!</x:v>
      </x:c>
      <x:c r="FO17" s="1062" t="e">
        <x:f t="shared" si="96"/>
        <x:v>#VALUE!</x:v>
      </x:c>
      <x:c r="FP17" s="1062" t="e">
        <x:f t="shared" si="97"/>
        <x:v>#VALUE!</x:v>
      </x:c>
      <x:c r="FQ17" s="1063" t="e">
        <x:f t="shared" si="98"/>
        <x:v>#VALUE!</x:v>
      </x:c>
      <x:c r="FR17" s="1064" t="e">
        <x:f t="shared" si="99"/>
        <x:v>#VALUE!</x:v>
      </x:c>
      <x:c r="FS17" s="1065" t="str">
        <x:f t="shared" si="100"/>
        <x:v/>
      </x:c>
      <x:c r="FT17" s="1066" t="str">
        <x:f t="shared" si="101"/>
        <x:v/>
      </x:c>
      <x:c r="FU17" s="1105">
        <x:f t="shared" si="102"/>
        <x:v>0</x:v>
      </x:c>
      <x:c r="FV17" s="1106">
        <x:f t="shared" si="103"/>
        <x:v>0</x:v>
      </x:c>
      <x:c r="GA17" s="1975">
        <x:v>59</x:v>
      </x:c>
      <x:c r="GB17" s="1976">
        <x:v>2.75</x:v>
      </x:c>
      <x:c r="GC17" s="1977">
        <x:v>-1.875</x:v>
      </x:c>
      <x:c r="GD17" s="1978">
        <x:v>-0.25</x:v>
      </x:c>
      <x:c r="GE17" s="1979">
        <x:v>0.26169539219134702</x:v>
      </x:c>
      <x:c r="GF17" s="1980" t="str">
        <x:f t="shared" si="104"/>
        <x:v>TJ68</x:v>
      </x:c>
      <x:c r="GG17" s="1453"/>
      <x:c r="GH17" s="1454"/>
      <x:c r="GI17" s="1453"/>
      <x:c r="GJ17" s="1454"/>
      <x:c r="GK17" s="533">
        <x:f t="shared" si="105"/>
        <x:v>708.625</x:v>
      </x:c>
      <x:c r="GL17" s="534">
        <x:f t="shared" si="106"/>
        <x:v>708.79348626656247</x:v>
      </x:c>
      <x:c r="GM17" s="535">
        <x:f>IF(ABS(GK17-GL17)&gt;='Job Info.'!$L$22,ABS(GK17-GL17),0)</x:f>
        <x:v>0</x:v>
      </x:c>
      <x:c r="HA17" s="1658" t="s">
        <x:v>1392</x:v>
      </x:c>
      <x:c r="HB17" s="1659">
        <x:v>1</x:v>
      </x:c>
      <x:c r="HC17" s="1659" t="s">
        <x:v>1978</x:v>
      </x:c>
      <x:c r="HD17" s="1660">
        <x:v>59</x:v>
      </x:c>
      <x:c r="HE17" s="1661">
        <x:v>0.625</x:v>
      </x:c>
      <x:c r="HF17" s="1659" t="s">
        <x:v>117</x:v>
      </x:c>
      <x:c r="HG17" s="1659" t="s">
        <x:v>117</x:v>
      </x:c>
      <x:c r="HH17" s="1659" t="s">
        <x:v>117</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1.125</x:v>
      </x:c>
      <x:c r="HV17" s="1659">
        <x:v>0</x:v>
      </x:c>
      <x:c r="HW17" s="1661">
        <x:v>2.25</x:v>
      </x:c>
      <x:c r="HX17" s="1661">
        <x:v>4</x:v>
      </x:c>
      <x:c r="HY17" s="1661" t="s">
        <x:v>117</x:v>
      </x:c>
      <x:c r="HZ17" s="1661" t="s">
        <x:v>117</x:v>
      </x:c>
      <x:c r="IA17" s="1661" t="s">
        <x:v>2111</x:v>
      </x:c>
      <x:c r="IB17" s="1661"/>
      <x:c r="IC17" s="1661"/>
      <x:c r="ID17" s="1661"/>
      <x:c r="IE17" s="1661"/>
      <x:c r="IF17" s="1663"/>
    </x:row>
    <x:row r="18" spans="1:240" ht="12.6" customHeight="1" x14ac:dyDescent="0.25">
      <x:c r="A18" s="1264" t="s">
        <x:v>1393</x:v>
      </x:c>
      <x:c r="B18" s="1265">
        <x:v>0</x:v>
      </x:c>
      <x:c r="C18" s="1265" t="s">
        <x:v>1978</x:v>
      </x:c>
      <x:c r="D18" s="1261">
        <x:v>59</x:v>
      </x:c>
      <x:c r="E18" s="1366">
        <x:v>0.625</x:v>
      </x:c>
      <x:c r="F18" s="1328" t="str">
        <x:f t="shared" si="1"/>
        <x:v/>
      </x:c>
      <x:c r="G18" s="1262" t="str">
        <x:f t="shared" si="2"/>
        <x:v/>
      </x:c>
      <x:c r="H18" s="1266" t="str">
        <x:f t="shared" si="3"/>
        <x:v/>
      </x:c>
      <x:c r="I18" s="1261">
        <x:v>0</x:v>
      </x:c>
      <x:c r="J18" s="1262">
        <x:v>1.375</x:v>
      </x:c>
      <x:c r="K18" s="1370" t="s">
        <x:v>114</x:v>
      </x:c>
      <x:c r="L18" s="1327">
        <x:v>3</x:v>
      </x:c>
      <x:c r="M18" s="1329">
        <x:v>3</x:v>
      </x:c>
      <x:c r="N18" s="1263" t="str">
        <x:f t="shared" si="4"/>
        <x:v/>
      </x:c>
      <x:c r="O18" s="1262" t="str">
        <x:f t="shared" si="5"/>
        <x:v/>
      </x:c>
      <x:c r="P18" s="1260" t="str">
        <x:f t="shared" si="6"/>
        <x:v/>
      </x:c>
      <x:c r="Q18" s="1261" t="str">
        <x:f t="shared" si="7"/>
        <x:v/>
      </x:c>
      <x:c r="R18" s="1262" t="str">
        <x:f t="shared" si="8"/>
        <x:v/>
      </x:c>
      <x:c r="S18" s="1375" t="str">
        <x:f t="shared" si="9"/>
        <x:v/>
      </x:c>
      <x:c r="T18" s="1328" t="str">
        <x:f t="shared" si="10"/>
        <x:v/>
      </x:c>
      <x:c r="U18" s="1262" t="str">
        <x:f t="shared" si="11"/>
        <x:v/>
      </x:c>
      <x:c r="V18" s="1261" t="str">
        <x:f t="shared" si="12"/>
        <x:v/>
      </x:c>
      <x:c r="W18" s="1262" t="str">
        <x:f t="shared" si="13"/>
        <x:v/>
      </x:c>
      <x:c r="X18" s="1329">
        <x:f t="shared" si="14"/>
        <x:v>0</x:v>
      </x:c>
      <x:c r="Y18" s="1377" t="str">
        <x:f t="shared" si="15"/>
        <x:v/>
      </x:c>
      <x:c r="Z18" s="1378" t="str">
        <x:f t="shared" si="16"/>
        <x:v/>
      </x:c>
      <x:c r="AA18" s="2159" t="s">
        <x:v>2112</x:v>
      </x:c>
      <x:c r="AC18" s="1226" t="b">
        <x:v>0</x:v>
      </x:c>
      <x:c r="AD18" s="525">
        <x:f t="shared" si="17"/>
        <x:v>0</x:v>
      </x:c>
      <x:c r="AE18" s="526">
        <x:f t="shared" si="18"/>
        <x:v>0</x:v>
      </x:c>
      <x:c r="AF18" s="526">
        <x:f t="shared" si="19"/>
        <x:v>0</x:v>
      </x:c>
      <x:c r="AG18" s="526">
        <x:f t="shared" si="20"/>
        <x:v>0</x:v>
      </x:c>
      <x:c r="AH18" s="527">
        <x:f t="shared" si="21"/>
        <x:v>0</x:v>
      </x:c>
      <x:c r="AI18" s="528" t="b">
        <x:v>0</x:v>
      </x:c>
      <x:c r="AJ18" s="284">
        <x:f t="shared" si="22"/>
        <x:v>36</x:v>
      </x:c>
      <x:c r="AK18" s="1063" t="str">
        <x:f t="shared" si="23"/>
        <x:v>LH</x:v>
      </x:c>
      <x:c r="AL18" s="1202" t="str">
        <x:f t="shared" si="24"/>
        <x:v/>
      </x:c>
      <x:c r="AM18" s="1063">
        <x:f t="shared" si="25"/>
        <x:v>270</x:v>
      </x:c>
      <x:c r="AN18" s="1063">
        <x:f t="shared" si="26"/>
        <x:v>120</x:v>
      </x:c>
      <x:c r="AO18" s="1063" t="str">
        <x:f t="shared" si="27"/>
        <x:v/>
      </x:c>
      <x:c r="AP18" s="1063" t="b">
        <x:f>IF(ISERROR(AJ18),FALSE,IF(OR(AJ18=0,ISERROR(AL18),ISERROR(AM18),ISERROR(AN18),ISERROR(AO18)),FALSE,IF(AL18&lt;&gt;"",IF(ISERROR(VLOOKUP(SUBSTITUTE(SUBSTITUTE(C18,"R",""),"A",""),TblJoistSize!$A:$A,1,FALSE)),FALSE,TRUE),TRUE)))</x:f>
        <x:v>1</x:v>
      </x:c>
      <x:c r="AQ18" s="1305">
        <x:f t="shared" si="28"/>
        <x:v>6</x:v>
      </x:c>
      <x:c r="AR18" s="1305" t="b">
        <x:f t="shared" si="29"/>
        <x:v>0</x:v>
      </x:c>
      <x:c r="AS18" s="1305">
        <x:f t="shared" si="30"/>
        <x:v>7.375</x:v>
      </x:c>
      <x:c r="AT18" s="1305" t="b">
        <x:f t="shared" si="31"/>
        <x:v>0</x:v>
      </x:c>
      <x:c r="AU18" s="1203" t="str">
        <x:f t="shared" si="32"/>
        <x:v>LH</x:v>
      </x:c>
      <x:c r="AV18" s="1063" t="str">
        <x:f t="shared" si="33"/>
        <x:v/>
      </x:c>
      <x:c r="AW18" s="1063" t="str">
        <x:f t="shared" si="34"/>
        <x:v>LH</x:v>
      </x:c>
      <x:c r="AX18" s="1063" t="str">
        <x:f t="shared" si="107"/>
        <x:v>J69</x:v>
      </x:c>
      <x:c r="AY18" s="1306" t="b">
        <x:f t="shared" si="35"/>
        <x:v>0</x:v>
      </x:c>
      <x:c r="AZ18" s="1090" t="b">
        <x:f t="shared" si="36"/>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7"/>
        <x:v/>
      </x:c>
      <x:c r="CE18" s="935" t="str">
        <x:f t="shared" si="38"/>
        <x:v/>
      </x:c>
      <x:c r="CF18" s="1149"/>
      <x:c r="CG18" s="1150"/>
      <x:c r="CH18" s="738" t="str">
        <x:f t="shared" si="39"/>
        <x:v/>
      </x:c>
      <x:c r="CI18" s="739" t="str">
        <x:f t="shared" si="40"/>
        <x:v/>
      </x:c>
      <x:c r="CJ18" s="740" t="str">
        <x:f t="shared" si="41"/>
        <x:v/>
      </x:c>
      <x:c r="CK18" s="741" t="str">
        <x:f t="shared" si="42"/>
        <x:v/>
      </x:c>
      <x:c r="CL18" s="742" t="str">
        <x:f t="shared" si="43"/>
        <x:v/>
      </x:c>
      <x:c r="CM18" s="743" t="str">
        <x:f t="shared" si="44"/>
        <x:v/>
      </x:c>
      <x:c r="CN18" s="744" t="str">
        <x:f t="shared" si="45"/>
        <x:v/>
      </x:c>
      <x:c r="CO18" s="745" t="str">
        <x:f t="shared" si="46"/>
        <x:v/>
      </x:c>
      <x:c r="CP18" s="762" t="str">
        <x:f t="shared" si="47"/>
        <x:v/>
      </x:c>
      <x:c r="CQ18" s="763" t="str">
        <x:f t="shared" si="48"/>
        <x:v/>
      </x:c>
      <x:c r="CR18" s="953">
        <x:f t="shared" si="49"/>
        <x:v>5</x:v>
      </x:c>
      <x:c r="CS18" s="954">
        <x:f t="shared" si="50"/>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51"/>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52"/>
        <x:v>0</x:v>
      </x:c>
      <x:c r="DO18" s="1049">
        <x:f t="shared" si="53"/>
        <x:v>0</x:v>
      </x:c>
      <x:c r="DP18" s="1053" t="str">
        <x:f t="shared" si="54"/>
        <x:v/>
      </x:c>
      <x:c r="DQ18" s="1053" t="str">
        <x:f t="shared" si="55"/>
        <x:v/>
      </x:c>
      <x:c r="DR18" s="1053" t="str">
        <x:f t="shared" si="56"/>
        <x:v/>
      </x:c>
      <x:c r="DS18" s="1052">
        <x:f t="shared" si="57"/>
        <x:v>0</x:v>
      </x:c>
      <x:c r="DT18" s="1052">
        <x:f t="shared" si="58"/>
        <x:v>0</x:v>
      </x:c>
      <x:c r="DU18" s="1052" t="str">
        <x:f t="shared" si="59"/>
        <x:v/>
      </x:c>
      <x:c r="DV18" s="1053" t="str">
        <x:f t="shared" si="60"/>
        <x:v/>
      </x:c>
      <x:c r="DW18" s="1053" t="str">
        <x:f t="shared" si="61"/>
        <x:v/>
      </x:c>
      <x:c r="DX18" s="1269">
        <x:f t="shared" si="62"/>
        <x:v>0</x:v>
      </x:c>
      <x:c r="DY18" s="1053">
        <x:f t="shared" si="63"/>
        <x:v>0</x:v>
      </x:c>
      <x:c r="DZ18" s="1052">
        <x:f t="shared" si="64"/>
        <x:v>0</x:v>
      </x:c>
      <x:c r="EA18" s="1052" t="str">
        <x:f t="shared" si="65"/>
        <x:v/>
      </x:c>
      <x:c r="EB18" s="1053" t="str">
        <x:f t="shared" si="66"/>
        <x:v/>
      </x:c>
      <x:c r="EC18" s="1053" t="str">
        <x:f t="shared" si="67"/>
        <x:v/>
      </x:c>
      <x:c r="ED18" s="1269">
        <x:f t="shared" si="68"/>
        <x:v>0</x:v>
      </x:c>
      <x:c r="EE18" s="1090" t="str">
        <x:f t="shared" si="69"/>
        <x:v/>
      </x:c>
      <x:c r="EF18" s="1053" t="str">
        <x:f t="shared" si="70"/>
        <x:v/>
      </x:c>
      <x:c r="EG18" s="1053" t="str">
        <x:f t="shared" si="71"/>
        <x:v/>
      </x:c>
      <x:c r="EH18" s="1053" t="str">
        <x:f t="shared" si="72"/>
        <x:v>ERR</x:v>
      </x:c>
      <x:c r="EI18" s="1053" t="str">
        <x:f t="shared" si="73"/>
        <x:v>ERR</x:v>
      </x:c>
      <x:c r="EJ18" s="1053" t="str">
        <x:f t="shared" si="74"/>
        <x:v/>
      </x:c>
      <x:c r="EK18" s="1053" t="str">
        <x:f t="shared" si="74"/>
        <x:v/>
      </x:c>
      <x:c r="EL18" s="1090" t="str">
        <x:f t="shared" si="75"/>
        <x:v/>
      </x:c>
      <x:c r="EM18" s="1053" t="str">
        <x:f t="shared" si="76"/>
        <x:v/>
      </x:c>
      <x:c r="EN18" s="1053" t="str">
        <x:f t="shared" si="77"/>
        <x:v/>
      </x:c>
      <x:c r="EO18" s="1053" t="str">
        <x:f t="shared" si="78"/>
        <x:v>ERR</x:v>
      </x:c>
      <x:c r="EP18" s="1053" t="str">
        <x:f t="shared" si="79"/>
        <x:v>ERR</x:v>
      </x:c>
      <x:c r="EQ18" s="1053" t="str">
        <x:f t="shared" si="80"/>
        <x:v/>
      </x:c>
      <x:c r="ER18" s="1053" t="str">
        <x:f t="shared" si="80"/>
        <x:v/>
      </x:c>
      <x:c r="ES18" s="1053" t="str">
        <x:f t="shared" si="81"/>
        <x:v/>
      </x:c>
      <x:c r="ET18" s="1053" t="str">
        <x:f t="shared" si="82"/>
        <x:v/>
      </x:c>
      <x:c r="EU18" s="1061">
        <x:f t="shared" si="83"/>
        <x:v>4</x:v>
      </x:c>
      <x:c r="EV18" s="1055" t="str">
        <x:f t="shared" si="84"/>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5"/>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6"/>
        <x:v/>
      </x:c>
      <x:c r="FD18" s="1052">
        <x:f t="shared" si="108"/>
        <x:v>0</x:v>
      </x:c>
      <x:c r="FE18" s="1052">
        <x:f t="shared" si="87"/>
        <x:v>0</x:v>
      </x:c>
      <x:c r="FF18" s="1052">
        <x:f t="shared" si="88"/>
        <x:v>0</x:v>
      </x:c>
      <x:c r="FG18" s="1052" t="str">
        <x:f t="shared" si="89"/>
        <x:v/>
      </x:c>
      <x:c r="FH18" s="1053" t="str">
        <x:f t="shared" si="90"/>
        <x:v/>
      </x:c>
      <x:c r="FI18" s="1052">
        <x:f t="shared" si="109"/>
        <x:v>0</x:v>
      </x:c>
      <x:c r="FJ18" s="1052">
        <x:f t="shared" si="91"/>
        <x:v>0</x:v>
      </x:c>
      <x:c r="FK18" s="1052">
        <x:f t="shared" si="92"/>
        <x:v>0</x:v>
      </x:c>
      <x:c r="FL18" s="1052" t="str">
        <x:f t="shared" si="93"/>
        <x:v/>
      </x:c>
      <x:c r="FM18" s="1053" t="str">
        <x:f t="shared" si="94"/>
        <x:v/>
      </x:c>
      <x:c r="FN18" s="1053" t="e">
        <x:f t="shared" si="95"/>
        <x:v>#VALUE!</x:v>
      </x:c>
      <x:c r="FO18" s="1062" t="e">
        <x:f t="shared" si="96"/>
        <x:v>#VALUE!</x:v>
      </x:c>
      <x:c r="FP18" s="1062" t="e">
        <x:f t="shared" si="97"/>
        <x:v>#VALUE!</x:v>
      </x:c>
      <x:c r="FQ18" s="1063" t="e">
        <x:f t="shared" si="98"/>
        <x:v>#VALUE!</x:v>
      </x:c>
      <x:c r="FR18" s="1064" t="e">
        <x:f t="shared" si="99"/>
        <x:v>#VALUE!</x:v>
      </x:c>
      <x:c r="FS18" s="1065" t="str">
        <x:f t="shared" si="100"/>
        <x:v/>
      </x:c>
      <x:c r="FT18" s="1066" t="str">
        <x:f t="shared" si="101"/>
        <x:v/>
      </x:c>
      <x:c r="FU18" s="1105">
        <x:f t="shared" si="102"/>
        <x:v>0</x:v>
      </x:c>
      <x:c r="FV18" s="1106">
        <x:f t="shared" si="103"/>
        <x:v>0</x:v>
      </x:c>
      <x:c r="GA18" s="1975">
        <x:v>59</x:v>
      </x:c>
      <x:c r="GB18" s="1976">
        <x:v>2.75</x:v>
      </x:c>
      <x:c r="GC18" s="1977">
        <x:v>-1.875</x:v>
      </x:c>
      <x:c r="GD18" s="1978">
        <x:v>-0.25</x:v>
      </x:c>
      <x:c r="GE18" s="1979">
        <x:v>0.26169539219134702</x:v>
      </x:c>
      <x:c r="GF18" s="1980" t="str">
        <x:f t="shared" si="104"/>
        <x:v>J69</x:v>
      </x:c>
      <x:c r="GG18" s="1453"/>
      <x:c r="GH18" s="1454"/>
      <x:c r="GI18" s="1453"/>
      <x:c r="GJ18" s="1454"/>
      <x:c r="GK18" s="533">
        <x:f t="shared" si="105"/>
        <x:v>708.625</x:v>
      </x:c>
      <x:c r="GL18" s="534">
        <x:f t="shared" si="106"/>
        <x:v>708.79348626656247</x:v>
      </x:c>
      <x:c r="GM18" s="535">
        <x:f>IF(ABS(GK18-GL18)&gt;='Job Info.'!$L$22,ABS(GK18-GL18),0)</x:f>
        <x:v>0</x:v>
      </x:c>
      <x:c r="HA18" s="1658" t="s">
        <x:v>1393</x:v>
      </x:c>
      <x:c r="HB18" s="1659">
        <x:v>1</x:v>
      </x:c>
      <x:c r="HC18" s="1659" t="s">
        <x:v>1978</x:v>
      </x:c>
      <x:c r="HD18" s="1660">
        <x:v>59</x:v>
      </x:c>
      <x:c r="HE18" s="1661">
        <x:v>0.625</x:v>
      </x:c>
      <x:c r="HF18" s="1659" t="s">
        <x:v>117</x:v>
      </x:c>
      <x:c r="HG18" s="1659" t="s">
        <x:v>117</x:v>
      </x:c>
      <x:c r="HH18" s="1659" t="s">
        <x:v>117</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2112</x:v>
      </x:c>
      <x:c r="IB18" s="1661"/>
      <x:c r="IC18" s="1661"/>
      <x:c r="ID18" s="1661"/>
      <x:c r="IE18" s="1661"/>
      <x:c r="IF18" s="1663"/>
    </x:row>
    <x:row r="19" spans="1:240" ht="12.6" customHeight="1" x14ac:dyDescent="0.25">
      <x:c r="A19" s="1264" t="s">
        <x:v>1394</x:v>
      </x:c>
      <x:c r="B19" s="1265">
        <x:v>0</x:v>
      </x:c>
      <x:c r="C19" s="1265" t="s">
        <x:v>1978</x:v>
      </x:c>
      <x:c r="D19" s="1261">
        <x:v>59</x:v>
      </x:c>
      <x:c r="E19" s="1366">
        <x:v>0.625</x:v>
      </x:c>
      <x:c r="F19" s="1328" t="str">
        <x:f t="shared" si="1"/>
        <x:v/>
      </x:c>
      <x:c r="G19" s="1262" t="str">
        <x:f t="shared" si="2"/>
        <x:v/>
      </x:c>
      <x:c r="H19" s="1266" t="str">
        <x:f t="shared" si="3"/>
        <x:v/>
      </x:c>
      <x:c r="I19" s="1261">
        <x:v>0</x:v>
      </x:c>
      <x:c r="J19" s="1262">
        <x:v>1.375</x:v>
      </x:c>
      <x:c r="K19" s="1370" t="s">
        <x:v>114</x:v>
      </x:c>
      <x:c r="L19" s="1327">
        <x:v>3</x:v>
      </x:c>
      <x:c r="M19" s="1329">
        <x:v>3</x:v>
      </x:c>
      <x:c r="N19" s="1263" t="str">
        <x:f t="shared" si="4"/>
        <x:v/>
      </x:c>
      <x:c r="O19" s="1262" t="str">
        <x:f t="shared" si="5"/>
        <x:v/>
      </x:c>
      <x:c r="P19" s="1260" t="str">
        <x:f t="shared" si="6"/>
        <x:v/>
      </x:c>
      <x:c r="Q19" s="1261" t="str">
        <x:f t="shared" si="7"/>
        <x:v/>
      </x:c>
      <x:c r="R19" s="1262" t="str">
        <x:f t="shared" si="8"/>
        <x:v/>
      </x:c>
      <x:c r="S19" s="1375" t="str">
        <x:f t="shared" si="9"/>
        <x:v/>
      </x:c>
      <x:c r="T19" s="1328" t="str">
        <x:f t="shared" si="10"/>
        <x:v/>
      </x:c>
      <x:c r="U19" s="1262" t="str">
        <x:f t="shared" si="11"/>
        <x:v/>
      </x:c>
      <x:c r="V19" s="1261" t="str">
        <x:f t="shared" si="12"/>
        <x:v/>
      </x:c>
      <x:c r="W19" s="1262" t="str">
        <x:f t="shared" si="13"/>
        <x:v/>
      </x:c>
      <x:c r="X19" s="1329">
        <x:f t="shared" si="14"/>
        <x:v>0</x:v>
      </x:c>
      <x:c r="Y19" s="1377" t="str">
        <x:f t="shared" si="15"/>
        <x:v/>
      </x:c>
      <x:c r="Z19" s="1378" t="str">
        <x:f t="shared" si="16"/>
        <x:v/>
      </x:c>
      <x:c r="AA19" s="2159" t="s">
        <x:v>2113</x:v>
      </x:c>
      <x:c r="AC19" s="1226" t="b">
        <x:v>0</x:v>
      </x:c>
      <x:c r="AD19" s="525">
        <x:f t="shared" si="17"/>
        <x:v>0</x:v>
      </x:c>
      <x:c r="AE19" s="526">
        <x:f t="shared" si="18"/>
        <x:v>0</x:v>
      </x:c>
      <x:c r="AF19" s="526">
        <x:f t="shared" si="19"/>
        <x:v>0</x:v>
      </x:c>
      <x:c r="AG19" s="526">
        <x:f t="shared" si="20"/>
        <x:v>0</x:v>
      </x:c>
      <x:c r="AH19" s="527">
        <x:f t="shared" si="21"/>
        <x:v>0</x:v>
      </x:c>
      <x:c r="AI19" s="528" t="b">
        <x:v>0</x:v>
      </x:c>
      <x:c r="AJ19" s="284">
        <x:f t="shared" si="22"/>
        <x:v>36</x:v>
      </x:c>
      <x:c r="AK19" s="1063" t="str">
        <x:f t="shared" si="23"/>
        <x:v>LH</x:v>
      </x:c>
      <x:c r="AL19" s="1202" t="str">
        <x:f t="shared" si="24"/>
        <x:v/>
      </x:c>
      <x:c r="AM19" s="1063">
        <x:f t="shared" si="25"/>
        <x:v>270</x:v>
      </x:c>
      <x:c r="AN19" s="1063">
        <x:f t="shared" si="26"/>
        <x:v>120</x:v>
      </x:c>
      <x:c r="AO19" s="1063" t="str">
        <x:f t="shared" si="27"/>
        <x:v/>
      </x:c>
      <x:c r="AP19" s="1063" t="b">
        <x:f>IF(ISERROR(AJ19),FALSE,IF(OR(AJ19=0,ISERROR(AL19),ISERROR(AM19),ISERROR(AN19),ISERROR(AO19)),FALSE,IF(AL19&lt;&gt;"",IF(ISERROR(VLOOKUP(SUBSTITUTE(SUBSTITUTE(C19,"R",""),"A",""),TblJoistSize!$A:$A,1,FALSE)),FALSE,TRUE),TRUE)))</x:f>
        <x:v>1</x:v>
      </x:c>
      <x:c r="AQ19" s="1305">
        <x:f t="shared" si="28"/>
        <x:v>6</x:v>
      </x:c>
      <x:c r="AR19" s="1305" t="b">
        <x:f t="shared" si="29"/>
        <x:v>0</x:v>
      </x:c>
      <x:c r="AS19" s="1305">
        <x:f t="shared" si="30"/>
        <x:v>7.375</x:v>
      </x:c>
      <x:c r="AT19" s="1305" t="b">
        <x:f t="shared" si="31"/>
        <x:v>0</x:v>
      </x:c>
      <x:c r="AU19" s="1203" t="str">
        <x:f t="shared" si="32"/>
        <x:v>LH</x:v>
      </x:c>
      <x:c r="AV19" s="1063" t="str">
        <x:f t="shared" si="33"/>
        <x:v/>
      </x:c>
      <x:c r="AW19" s="1063" t="str">
        <x:f t="shared" si="34"/>
        <x:v>LH</x:v>
      </x:c>
      <x:c r="AX19" s="1063" t="str">
        <x:f t="shared" si="107"/>
        <x:v>J70</x:v>
      </x:c>
      <x:c r="AY19" s="1306" t="b">
        <x:f t="shared" si="35"/>
        <x:v>0</x:v>
      </x:c>
      <x:c r="AZ19" s="1090" t="b">
        <x:f t="shared" si="36"/>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7"/>
        <x:v/>
      </x:c>
      <x:c r="CE19" s="935" t="str">
        <x:f t="shared" si="38"/>
        <x:v/>
      </x:c>
      <x:c r="CF19" s="1149"/>
      <x:c r="CG19" s="1150"/>
      <x:c r="CH19" s="738" t="str">
        <x:f t="shared" si="39"/>
        <x:v/>
      </x:c>
      <x:c r="CI19" s="739" t="str">
        <x:f t="shared" si="40"/>
        <x:v/>
      </x:c>
      <x:c r="CJ19" s="740" t="str">
        <x:f t="shared" si="41"/>
        <x:v/>
      </x:c>
      <x:c r="CK19" s="741" t="str">
        <x:f t="shared" si="42"/>
        <x:v/>
      </x:c>
      <x:c r="CL19" s="742" t="str">
        <x:f t="shared" si="43"/>
        <x:v/>
      </x:c>
      <x:c r="CM19" s="743" t="str">
        <x:f t="shared" si="44"/>
        <x:v/>
      </x:c>
      <x:c r="CN19" s="744" t="str">
        <x:f t="shared" si="45"/>
        <x:v/>
      </x:c>
      <x:c r="CO19" s="745" t="str">
        <x:f t="shared" si="46"/>
        <x:v/>
      </x:c>
      <x:c r="CP19" s="762" t="str">
        <x:f t="shared" si="47"/>
        <x:v/>
      </x:c>
      <x:c r="CQ19" s="763" t="str">
        <x:f t="shared" si="48"/>
        <x:v/>
      </x:c>
      <x:c r="CR19" s="953">
        <x:f t="shared" si="49"/>
        <x:v>5</x:v>
      </x:c>
      <x:c r="CS19" s="954">
        <x:f t="shared" si="50"/>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51"/>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52"/>
        <x:v>0</x:v>
      </x:c>
      <x:c r="DO19" s="1049">
        <x:f t="shared" si="53"/>
        <x:v>0</x:v>
      </x:c>
      <x:c r="DP19" s="1053" t="str">
        <x:f t="shared" si="54"/>
        <x:v/>
      </x:c>
      <x:c r="DQ19" s="1053" t="str">
        <x:f t="shared" si="55"/>
        <x:v/>
      </x:c>
      <x:c r="DR19" s="1053" t="str">
        <x:f t="shared" si="56"/>
        <x:v/>
      </x:c>
      <x:c r="DS19" s="1052">
        <x:f t="shared" si="57"/>
        <x:v>0</x:v>
      </x:c>
      <x:c r="DT19" s="1052">
        <x:f t="shared" si="58"/>
        <x:v>0</x:v>
      </x:c>
      <x:c r="DU19" s="1052" t="str">
        <x:f t="shared" si="59"/>
        <x:v/>
      </x:c>
      <x:c r="DV19" s="1053" t="str">
        <x:f t="shared" si="60"/>
        <x:v/>
      </x:c>
      <x:c r="DW19" s="1053" t="str">
        <x:f t="shared" si="61"/>
        <x:v/>
      </x:c>
      <x:c r="DX19" s="1269">
        <x:f t="shared" si="62"/>
        <x:v>0</x:v>
      </x:c>
      <x:c r="DY19" s="1053">
        <x:f t="shared" si="63"/>
        <x:v>0</x:v>
      </x:c>
      <x:c r="DZ19" s="1052">
        <x:f t="shared" si="64"/>
        <x:v>0</x:v>
      </x:c>
      <x:c r="EA19" s="1052" t="str">
        <x:f t="shared" si="65"/>
        <x:v/>
      </x:c>
      <x:c r="EB19" s="1053" t="str">
        <x:f t="shared" si="66"/>
        <x:v/>
      </x:c>
      <x:c r="EC19" s="1053" t="str">
        <x:f t="shared" si="67"/>
        <x:v/>
      </x:c>
      <x:c r="ED19" s="1269">
        <x:f t="shared" si="68"/>
        <x:v>0</x:v>
      </x:c>
      <x:c r="EE19" s="1090" t="str">
        <x:f t="shared" si="69"/>
        <x:v/>
      </x:c>
      <x:c r="EF19" s="1053" t="str">
        <x:f t="shared" si="70"/>
        <x:v/>
      </x:c>
      <x:c r="EG19" s="1053" t="str">
        <x:f t="shared" si="71"/>
        <x:v/>
      </x:c>
      <x:c r="EH19" s="1053" t="str">
        <x:f t="shared" si="72"/>
        <x:v>ERR</x:v>
      </x:c>
      <x:c r="EI19" s="1053" t="str">
        <x:f t="shared" si="73"/>
        <x:v>ERR</x:v>
      </x:c>
      <x:c r="EJ19" s="1053" t="str">
        <x:f t="shared" si="74"/>
        <x:v/>
      </x:c>
      <x:c r="EK19" s="1053" t="str">
        <x:f t="shared" si="74"/>
        <x:v/>
      </x:c>
      <x:c r="EL19" s="1090" t="str">
        <x:f t="shared" si="75"/>
        <x:v/>
      </x:c>
      <x:c r="EM19" s="1053" t="str">
        <x:f t="shared" si="76"/>
        <x:v/>
      </x:c>
      <x:c r="EN19" s="1053" t="str">
        <x:f t="shared" si="77"/>
        <x:v/>
      </x:c>
      <x:c r="EO19" s="1053" t="str">
        <x:f t="shared" si="78"/>
        <x:v>ERR</x:v>
      </x:c>
      <x:c r="EP19" s="1053" t="str">
        <x:f t="shared" si="79"/>
        <x:v>ERR</x:v>
      </x:c>
      <x:c r="EQ19" s="1053" t="str">
        <x:f t="shared" si="80"/>
        <x:v/>
      </x:c>
      <x:c r="ER19" s="1053" t="str">
        <x:f t="shared" si="80"/>
        <x:v/>
      </x:c>
      <x:c r="ES19" s="1053" t="str">
        <x:f t="shared" si="81"/>
        <x:v/>
      </x:c>
      <x:c r="ET19" s="1053" t="str">
        <x:f t="shared" si="82"/>
        <x:v/>
      </x:c>
      <x:c r="EU19" s="1061">
        <x:f t="shared" si="83"/>
        <x:v>4</x:v>
      </x:c>
      <x:c r="EV19" s="1055" t="str">
        <x:f t="shared" si="84"/>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5"/>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6"/>
        <x:v/>
      </x:c>
      <x:c r="FD19" s="1052">
        <x:f t="shared" si="108"/>
        <x:v>0</x:v>
      </x:c>
      <x:c r="FE19" s="1052">
        <x:f t="shared" si="87"/>
        <x:v>0</x:v>
      </x:c>
      <x:c r="FF19" s="1052">
        <x:f t="shared" si="88"/>
        <x:v>0</x:v>
      </x:c>
      <x:c r="FG19" s="1052" t="str">
        <x:f t="shared" si="89"/>
        <x:v/>
      </x:c>
      <x:c r="FH19" s="1053" t="str">
        <x:f t="shared" si="90"/>
        <x:v/>
      </x:c>
      <x:c r="FI19" s="1052">
        <x:f t="shared" si="109"/>
        <x:v>0</x:v>
      </x:c>
      <x:c r="FJ19" s="1052">
        <x:f t="shared" si="91"/>
        <x:v>0</x:v>
      </x:c>
      <x:c r="FK19" s="1052">
        <x:f t="shared" si="92"/>
        <x:v>0</x:v>
      </x:c>
      <x:c r="FL19" s="1052" t="str">
        <x:f t="shared" si="93"/>
        <x:v/>
      </x:c>
      <x:c r="FM19" s="1053" t="str">
        <x:f t="shared" si="94"/>
        <x:v/>
      </x:c>
      <x:c r="FN19" s="1053" t="e">
        <x:f t="shared" si="95"/>
        <x:v>#VALUE!</x:v>
      </x:c>
      <x:c r="FO19" s="1062" t="e">
        <x:f t="shared" si="96"/>
        <x:v>#VALUE!</x:v>
      </x:c>
      <x:c r="FP19" s="1062" t="e">
        <x:f t="shared" si="97"/>
        <x:v>#VALUE!</x:v>
      </x:c>
      <x:c r="FQ19" s="1063" t="e">
        <x:f t="shared" si="98"/>
        <x:v>#VALUE!</x:v>
      </x:c>
      <x:c r="FR19" s="1064" t="e">
        <x:f t="shared" si="99"/>
        <x:v>#VALUE!</x:v>
      </x:c>
      <x:c r="FS19" s="1065" t="str">
        <x:f t="shared" si="100"/>
        <x:v/>
      </x:c>
      <x:c r="FT19" s="1066" t="str">
        <x:f t="shared" si="101"/>
        <x:v/>
      </x:c>
      <x:c r="FU19" s="1105">
        <x:f t="shared" si="102"/>
        <x:v>0</x:v>
      </x:c>
      <x:c r="FV19" s="1106">
        <x:f t="shared" si="103"/>
        <x:v>0</x:v>
      </x:c>
      <x:c r="GA19" s="1975">
        <x:v>59</x:v>
      </x:c>
      <x:c r="GB19" s="1976">
        <x:v>2.75</x:v>
      </x:c>
      <x:c r="GC19" s="1977">
        <x:v>-1.875</x:v>
      </x:c>
      <x:c r="GD19" s="1978">
        <x:v>-0.25</x:v>
      </x:c>
      <x:c r="GE19" s="1979">
        <x:v>0.26169539219134702</x:v>
      </x:c>
      <x:c r="GF19" s="1980" t="str">
        <x:f t="shared" si="104"/>
        <x:v>J70</x:v>
      </x:c>
      <x:c r="GG19" s="1453"/>
      <x:c r="GH19" s="1454"/>
      <x:c r="GI19" s="1453"/>
      <x:c r="GJ19" s="1454"/>
      <x:c r="GK19" s="533">
        <x:f t="shared" si="105"/>
        <x:v>708.625</x:v>
      </x:c>
      <x:c r="GL19" s="534">
        <x:f t="shared" si="106"/>
        <x:v>708.79348626656247</x:v>
      </x:c>
      <x:c r="GM19" s="535">
        <x:f>IF(ABS(GK19-GL19)&gt;='Job Info.'!$L$22,ABS(GK19-GL19),0)</x:f>
        <x:v>0</x:v>
      </x:c>
      <x:c r="HA19" s="1658" t="s">
        <x:v>1394</x:v>
      </x:c>
      <x:c r="HB19" s="1659">
        <x:v>1</x:v>
      </x:c>
      <x:c r="HC19" s="1659" t="s">
        <x:v>1978</x:v>
      </x:c>
      <x:c r="HD19" s="1660">
        <x:v>59</x:v>
      </x:c>
      <x:c r="HE19" s="1661">
        <x:v>0.625</x:v>
      </x:c>
      <x:c r="HF19" s="1659" t="s">
        <x:v>117</x:v>
      </x:c>
      <x:c r="HG19" s="1659" t="s">
        <x:v>117</x:v>
      </x:c>
      <x:c r="HH19" s="1659" t="s">
        <x:v>117</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2113</x:v>
      </x:c>
      <x:c r="IB19" s="1661"/>
      <x:c r="IC19" s="1661"/>
      <x:c r="ID19" s="1661"/>
      <x:c r="IE19" s="1661"/>
      <x:c r="IF19" s="1663"/>
    </x:row>
    <x:row r="20" spans="1:240" ht="12.6" customHeight="1" x14ac:dyDescent="0.25">
      <x:c r="A20" s="1264" t="s">
        <x:v>1395</x:v>
      </x:c>
      <x:c r="B20" s="1265">
        <x:v>0</x:v>
      </x:c>
      <x:c r="C20" s="1265" t="s">
        <x:v>1978</x:v>
      </x:c>
      <x:c r="D20" s="1261">
        <x:v>59</x:v>
      </x:c>
      <x:c r="E20" s="1366">
        <x:v>0.625</x:v>
      </x:c>
      <x:c r="F20" s="1328" t="str">
        <x:f t="shared" si="1"/>
        <x:v/>
      </x:c>
      <x:c r="G20" s="1262" t="str">
        <x:f t="shared" si="2"/>
        <x:v/>
      </x:c>
      <x:c r="H20" s="1266" t="str">
        <x:f t="shared" si="3"/>
        <x:v/>
      </x:c>
      <x:c r="I20" s="1261">
        <x:v>0</x:v>
      </x:c>
      <x:c r="J20" s="1262">
        <x:v>1.375</x:v>
      </x:c>
      <x:c r="K20" s="1370" t="s">
        <x:v>114</x:v>
      </x:c>
      <x:c r="L20" s="1327">
        <x:v>3</x:v>
      </x:c>
      <x:c r="M20" s="1329">
        <x:v>3</x:v>
      </x:c>
      <x:c r="N20" s="1263" t="str">
        <x:f t="shared" si="4"/>
        <x:v/>
      </x:c>
      <x:c r="O20" s="1262" t="str">
        <x:f t="shared" si="5"/>
        <x:v/>
      </x:c>
      <x:c r="P20" s="1260" t="str">
        <x:f t="shared" si="6"/>
        <x:v/>
      </x:c>
      <x:c r="Q20" s="1261" t="str">
        <x:f t="shared" si="7"/>
        <x:v/>
      </x:c>
      <x:c r="R20" s="1262" t="str">
        <x:f t="shared" si="8"/>
        <x:v/>
      </x:c>
      <x:c r="S20" s="1375" t="str">
        <x:f t="shared" si="9"/>
        <x:v/>
      </x:c>
      <x:c r="T20" s="1328" t="str">
        <x:f t="shared" si="10"/>
        <x:v/>
      </x:c>
      <x:c r="U20" s="1262" t="str">
        <x:f t="shared" si="11"/>
        <x:v/>
      </x:c>
      <x:c r="V20" s="1261" t="str">
        <x:f t="shared" si="12"/>
        <x:v/>
      </x:c>
      <x:c r="W20" s="1262" t="str">
        <x:f t="shared" si="13"/>
        <x:v/>
      </x:c>
      <x:c r="X20" s="1329">
        <x:f t="shared" si="14"/>
        <x:v>0</x:v>
      </x:c>
      <x:c r="Y20" s="1377" t="str">
        <x:f t="shared" si="15"/>
        <x:v/>
      </x:c>
      <x:c r="Z20" s="1378" t="str">
        <x:f t="shared" si="16"/>
        <x:v/>
      </x:c>
      <x:c r="AA20" s="2159" t="s">
        <x:v>2114</x:v>
      </x:c>
      <x:c r="AC20" s="1226" t="b">
        <x:v>0</x:v>
      </x:c>
      <x:c r="AD20" s="525">
        <x:f t="shared" si="17"/>
        <x:v>0</x:v>
      </x:c>
      <x:c r="AE20" s="526">
        <x:f t="shared" si="18"/>
        <x:v>0</x:v>
      </x:c>
      <x:c r="AF20" s="526">
        <x:f t="shared" si="19"/>
        <x:v>0</x:v>
      </x:c>
      <x:c r="AG20" s="526">
        <x:f t="shared" si="20"/>
        <x:v>0</x:v>
      </x:c>
      <x:c r="AH20" s="527">
        <x:f t="shared" si="21"/>
        <x:v>0</x:v>
      </x:c>
      <x:c r="AI20" s="528" t="b">
        <x:v>0</x:v>
      </x:c>
      <x:c r="AJ20" s="284">
        <x:f t="shared" si="22"/>
        <x:v>36</x:v>
      </x:c>
      <x:c r="AK20" s="1063" t="str">
        <x:f t="shared" si="23"/>
        <x:v>LH</x:v>
      </x:c>
      <x:c r="AL20" s="1202" t="str">
        <x:f t="shared" si="24"/>
        <x:v/>
      </x:c>
      <x:c r="AM20" s="1063">
        <x:f t="shared" si="25"/>
        <x:v>270</x:v>
      </x:c>
      <x:c r="AN20" s="1063">
        <x:f t="shared" si="26"/>
        <x:v>120</x:v>
      </x:c>
      <x:c r="AO20" s="1063" t="str">
        <x:f t="shared" si="27"/>
        <x:v/>
      </x:c>
      <x:c r="AP20" s="1063" t="b">
        <x:f>IF(ISERROR(AJ20),FALSE,IF(OR(AJ20=0,ISERROR(AL20),ISERROR(AM20),ISERROR(AN20),ISERROR(AO20)),FALSE,IF(AL20&lt;&gt;"",IF(ISERROR(VLOOKUP(SUBSTITUTE(SUBSTITUTE(C20,"R",""),"A",""),TblJoistSize!$A:$A,1,FALSE)),FALSE,TRUE),TRUE)))</x:f>
        <x:v>1</x:v>
      </x:c>
      <x:c r="AQ20" s="1305">
        <x:f t="shared" si="28"/>
        <x:v>6</x:v>
      </x:c>
      <x:c r="AR20" s="1305" t="b">
        <x:f t="shared" si="29"/>
        <x:v>0</x:v>
      </x:c>
      <x:c r="AS20" s="1305">
        <x:f t="shared" si="30"/>
        <x:v>7.375</x:v>
      </x:c>
      <x:c r="AT20" s="1305" t="b">
        <x:f t="shared" si="31"/>
        <x:v>0</x:v>
      </x:c>
      <x:c r="AU20" s="1203" t="str">
        <x:f t="shared" si="32"/>
        <x:v>LH</x:v>
      </x:c>
      <x:c r="AV20" s="1063" t="str">
        <x:f t="shared" si="33"/>
        <x:v/>
      </x:c>
      <x:c r="AW20" s="1063" t="str">
        <x:f t="shared" si="34"/>
        <x:v>LH</x:v>
      </x:c>
      <x:c r="AX20" s="1063" t="str">
        <x:f t="shared" si="107"/>
        <x:v>J71</x:v>
      </x:c>
      <x:c r="AY20" s="1306" t="b">
        <x:f t="shared" si="35"/>
        <x:v>0</x:v>
      </x:c>
      <x:c r="AZ20" s="1090" t="b">
        <x:f t="shared" si="36"/>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7"/>
        <x:v/>
      </x:c>
      <x:c r="CE20" s="935" t="str">
        <x:f t="shared" si="38"/>
        <x:v/>
      </x:c>
      <x:c r="CF20" s="1149"/>
      <x:c r="CG20" s="1150"/>
      <x:c r="CH20" s="738" t="str">
        <x:f t="shared" si="39"/>
        <x:v/>
      </x:c>
      <x:c r="CI20" s="739" t="str">
        <x:f t="shared" si="40"/>
        <x:v/>
      </x:c>
      <x:c r="CJ20" s="740" t="str">
        <x:f t="shared" si="41"/>
        <x:v/>
      </x:c>
      <x:c r="CK20" s="741" t="str">
        <x:f t="shared" si="42"/>
        <x:v/>
      </x:c>
      <x:c r="CL20" s="742" t="str">
        <x:f t="shared" si="43"/>
        <x:v/>
      </x:c>
      <x:c r="CM20" s="743" t="str">
        <x:f t="shared" si="44"/>
        <x:v/>
      </x:c>
      <x:c r="CN20" s="744" t="str">
        <x:f t="shared" si="45"/>
        <x:v/>
      </x:c>
      <x:c r="CO20" s="745" t="str">
        <x:f t="shared" si="46"/>
        <x:v/>
      </x:c>
      <x:c r="CP20" s="762" t="str">
        <x:f t="shared" si="47"/>
        <x:v/>
      </x:c>
      <x:c r="CQ20" s="763" t="str">
        <x:f t="shared" si="48"/>
        <x:v/>
      </x:c>
      <x:c r="CR20" s="953">
        <x:f t="shared" si="49"/>
        <x:v>5</x:v>
      </x:c>
      <x:c r="CS20" s="954">
        <x:f t="shared" si="50"/>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51"/>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52"/>
        <x:v>0</x:v>
      </x:c>
      <x:c r="DO20" s="1049">
        <x:f t="shared" si="53"/>
        <x:v>0</x:v>
      </x:c>
      <x:c r="DP20" s="1053" t="str">
        <x:f t="shared" si="54"/>
        <x:v/>
      </x:c>
      <x:c r="DQ20" s="1053" t="str">
        <x:f t="shared" si="55"/>
        <x:v/>
      </x:c>
      <x:c r="DR20" s="1053" t="str">
        <x:f t="shared" si="56"/>
        <x:v/>
      </x:c>
      <x:c r="DS20" s="1052">
        <x:f t="shared" si="57"/>
        <x:v>0</x:v>
      </x:c>
      <x:c r="DT20" s="1052">
        <x:f t="shared" si="58"/>
        <x:v>0</x:v>
      </x:c>
      <x:c r="DU20" s="1052" t="str">
        <x:f t="shared" si="59"/>
        <x:v/>
      </x:c>
      <x:c r="DV20" s="1053" t="str">
        <x:f t="shared" si="60"/>
        <x:v/>
      </x:c>
      <x:c r="DW20" s="1053" t="str">
        <x:f t="shared" si="61"/>
        <x:v/>
      </x:c>
      <x:c r="DX20" s="1269">
        <x:f t="shared" si="62"/>
        <x:v>0</x:v>
      </x:c>
      <x:c r="DY20" s="1053">
        <x:f t="shared" si="63"/>
        <x:v>0</x:v>
      </x:c>
      <x:c r="DZ20" s="1052">
        <x:f t="shared" si="64"/>
        <x:v>0</x:v>
      </x:c>
      <x:c r="EA20" s="1052" t="str">
        <x:f t="shared" si="65"/>
        <x:v/>
      </x:c>
      <x:c r="EB20" s="1053" t="str">
        <x:f t="shared" si="66"/>
        <x:v/>
      </x:c>
      <x:c r="EC20" s="1053" t="str">
        <x:f t="shared" si="67"/>
        <x:v/>
      </x:c>
      <x:c r="ED20" s="1269">
        <x:f t="shared" si="68"/>
        <x:v>0</x:v>
      </x:c>
      <x:c r="EE20" s="1090" t="str">
        <x:f t="shared" si="69"/>
        <x:v/>
      </x:c>
      <x:c r="EF20" s="1053" t="str">
        <x:f t="shared" si="70"/>
        <x:v/>
      </x:c>
      <x:c r="EG20" s="1053" t="str">
        <x:f t="shared" si="71"/>
        <x:v/>
      </x:c>
      <x:c r="EH20" s="1053" t="str">
        <x:f t="shared" si="72"/>
        <x:v>ERR</x:v>
      </x:c>
      <x:c r="EI20" s="1053" t="str">
        <x:f t="shared" si="73"/>
        <x:v>ERR</x:v>
      </x:c>
      <x:c r="EJ20" s="1053" t="str">
        <x:f t="shared" si="74"/>
        <x:v/>
      </x:c>
      <x:c r="EK20" s="1053" t="str">
        <x:f t="shared" si="74"/>
        <x:v/>
      </x:c>
      <x:c r="EL20" s="1090" t="str">
        <x:f t="shared" si="75"/>
        <x:v/>
      </x:c>
      <x:c r="EM20" s="1053" t="str">
        <x:f t="shared" si="76"/>
        <x:v/>
      </x:c>
      <x:c r="EN20" s="1053" t="str">
        <x:f t="shared" si="77"/>
        <x:v/>
      </x:c>
      <x:c r="EO20" s="1053" t="str">
        <x:f t="shared" si="78"/>
        <x:v>ERR</x:v>
      </x:c>
      <x:c r="EP20" s="1053" t="str">
        <x:f t="shared" si="79"/>
        <x:v>ERR</x:v>
      </x:c>
      <x:c r="EQ20" s="1053" t="str">
        <x:f t="shared" si="80"/>
        <x:v/>
      </x:c>
      <x:c r="ER20" s="1053" t="str">
        <x:f t="shared" si="80"/>
        <x:v/>
      </x:c>
      <x:c r="ES20" s="1053" t="str">
        <x:f t="shared" si="81"/>
        <x:v/>
      </x:c>
      <x:c r="ET20" s="1053" t="str">
        <x:f t="shared" si="82"/>
        <x:v/>
      </x:c>
      <x:c r="EU20" s="1061">
        <x:f t="shared" si="83"/>
        <x:v>4</x:v>
      </x:c>
      <x:c r="EV20" s="1055" t="str">
        <x:f t="shared" si="84"/>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5"/>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6"/>
        <x:v/>
      </x:c>
      <x:c r="FD20" s="1052">
        <x:f t="shared" si="108"/>
        <x:v>0</x:v>
      </x:c>
      <x:c r="FE20" s="1052">
        <x:f t="shared" si="87"/>
        <x:v>0</x:v>
      </x:c>
      <x:c r="FF20" s="1052">
        <x:f t="shared" si="88"/>
        <x:v>0</x:v>
      </x:c>
      <x:c r="FG20" s="1052" t="str">
        <x:f t="shared" si="89"/>
        <x:v/>
      </x:c>
      <x:c r="FH20" s="1053" t="str">
        <x:f t="shared" si="90"/>
        <x:v/>
      </x:c>
      <x:c r="FI20" s="1052">
        <x:f t="shared" si="109"/>
        <x:v>0</x:v>
      </x:c>
      <x:c r="FJ20" s="1052">
        <x:f t="shared" si="91"/>
        <x:v>0</x:v>
      </x:c>
      <x:c r="FK20" s="1052">
        <x:f t="shared" si="92"/>
        <x:v>0</x:v>
      </x:c>
      <x:c r="FL20" s="1052" t="str">
        <x:f t="shared" si="93"/>
        <x:v/>
      </x:c>
      <x:c r="FM20" s="1053" t="str">
        <x:f t="shared" si="94"/>
        <x:v/>
      </x:c>
      <x:c r="FN20" s="1053" t="e">
        <x:f t="shared" si="95"/>
        <x:v>#VALUE!</x:v>
      </x:c>
      <x:c r="FO20" s="1062" t="e">
        <x:f t="shared" si="96"/>
        <x:v>#VALUE!</x:v>
      </x:c>
      <x:c r="FP20" s="1062" t="e">
        <x:f t="shared" si="97"/>
        <x:v>#VALUE!</x:v>
      </x:c>
      <x:c r="FQ20" s="1063" t="e">
        <x:f t="shared" si="98"/>
        <x:v>#VALUE!</x:v>
      </x:c>
      <x:c r="FR20" s="1064" t="e">
        <x:f t="shared" si="99"/>
        <x:v>#VALUE!</x:v>
      </x:c>
      <x:c r="FS20" s="1065" t="str">
        <x:f t="shared" si="100"/>
        <x:v/>
      </x:c>
      <x:c r="FT20" s="1066" t="str">
        <x:f t="shared" si="101"/>
        <x:v/>
      </x:c>
      <x:c r="FU20" s="1105">
        <x:f t="shared" si="102"/>
        <x:v>0</x:v>
      </x:c>
      <x:c r="FV20" s="1106">
        <x:f t="shared" si="103"/>
        <x:v>0</x:v>
      </x:c>
      <x:c r="GA20" s="1975">
        <x:v>59</x:v>
      </x:c>
      <x:c r="GB20" s="1976">
        <x:v>2.75</x:v>
      </x:c>
      <x:c r="GC20" s="1977">
        <x:v>-1.875</x:v>
      </x:c>
      <x:c r="GD20" s="1978">
        <x:v>-0.25</x:v>
      </x:c>
      <x:c r="GE20" s="1979">
        <x:v>0.26169539219134702</x:v>
      </x:c>
      <x:c r="GF20" s="1980" t="str">
        <x:f t="shared" si="104"/>
        <x:v>J71</x:v>
      </x:c>
      <x:c r="GG20" s="1453"/>
      <x:c r="GH20" s="1454"/>
      <x:c r="GI20" s="1453"/>
      <x:c r="GJ20" s="1454"/>
      <x:c r="GK20" s="533">
        <x:f t="shared" si="105"/>
        <x:v>708.625</x:v>
      </x:c>
      <x:c r="GL20" s="534">
        <x:f t="shared" si="106"/>
        <x:v>708.79348626656247</x:v>
      </x:c>
      <x:c r="GM20" s="535">
        <x:f>IF(ABS(GK20-GL20)&gt;='Job Info.'!$L$22,ABS(GK20-GL20),0)</x:f>
        <x:v>0</x:v>
      </x:c>
      <x:c r="HA20" s="1658" t="s">
        <x:v>1395</x:v>
      </x:c>
      <x:c r="HB20" s="1659">
        <x:v>1</x:v>
      </x:c>
      <x:c r="HC20" s="1659" t="s">
        <x:v>1978</x:v>
      </x:c>
      <x:c r="HD20" s="1660">
        <x:v>59</x:v>
      </x:c>
      <x:c r="HE20" s="1661">
        <x:v>0.625</x:v>
      </x:c>
      <x:c r="HF20" s="1659" t="s">
        <x:v>117</x:v>
      </x:c>
      <x:c r="HG20" s="1659" t="s">
        <x:v>117</x:v>
      </x:c>
      <x:c r="HH20" s="1659" t="s">
        <x:v>117</x:v>
      </x:c>
      <x:c r="HI20" s="1662">
        <x:v>0</x:v>
      </x:c>
      <x:c r="HJ20" s="1659">
        <x:v>1.375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2114</x:v>
      </x:c>
      <x:c r="IB20" s="1661"/>
      <x:c r="IC20" s="1661"/>
      <x:c r="ID20" s="1661"/>
      <x:c r="IE20" s="1661"/>
      <x:c r="IF20" s="1663"/>
    </x:row>
    <x:row r="21" spans="1:240" ht="12.6" customHeight="1" x14ac:dyDescent="0.25">
      <x:c r="A21" s="1264" t="s">
        <x:v>1396</x:v>
      </x:c>
      <x:c r="B21" s="1265">
        <x:v>0</x:v>
      </x:c>
      <x:c r="C21" s="1265" t="s">
        <x:v>1978</x:v>
      </x:c>
      <x:c r="D21" s="1261">
        <x:v>58</x:v>
      </x:c>
      <x:c r="E21" s="1366">
        <x:v>11.875</x:v>
      </x:c>
      <x:c r="F21" s="1328" t="str">
        <x:f t="shared" si="1"/>
        <x:v/>
      </x:c>
      <x:c r="G21" s="1262" t="str">
        <x:f t="shared" si="2"/>
        <x:v/>
      </x:c>
      <x:c r="H21" s="1266" t="str">
        <x:f t="shared" si="3"/>
        <x:v/>
      </x:c>
      <x:c r="I21" s="1261">
        <x:v>0</x:v>
      </x:c>
      <x:c r="J21" s="1262">
        <x:v>0.625</x:v>
      </x:c>
      <x:c r="K21" s="1370" t="s">
        <x:v>114</x:v>
      </x:c>
      <x:c r="L21" s="1327">
        <x:v>3</x:v>
      </x:c>
      <x:c r="M21" s="1329">
        <x:v>3</x:v>
      </x:c>
      <x:c r="N21" s="1263" t="str">
        <x:f t="shared" si="4"/>
        <x:v/>
      </x:c>
      <x:c r="O21" s="1262" t="str">
        <x:f t="shared" si="5"/>
        <x:v/>
      </x:c>
      <x:c r="P21" s="1260" t="str">
        <x:f t="shared" si="6"/>
        <x:v/>
      </x:c>
      <x:c r="Q21" s="1261">
        <x:v>0</x:v>
      </x:c>
      <x:c r="R21" s="1262">
        <x:v>6.75</x:v>
      </x:c>
      <x:c r="S21" s="1375">
        <x:v>2</x:v>
      </x:c>
      <x:c r="T21" s="1328">
        <x:v>0</x:v>
      </x:c>
      <x:c r="U21" s="1262">
        <x:v>1.125</x:v>
      </x:c>
      <x:c r="V21" s="1261">
        <x:v>0</x:v>
      </x:c>
      <x:c r="W21" s="1262">
        <x:v>1.5</x:v>
      </x:c>
      <x:c r="X21" s="1329">
        <x:v>4</x:v>
      </x:c>
      <x:c r="Y21" s="1377" t="str">
        <x:f t="shared" si="15"/>
        <x:v/>
      </x:c>
      <x:c r="Z21" s="1378" t="str">
        <x:f t="shared" si="16"/>
        <x:v/>
      </x:c>
      <x:c r="AA21" s="2159" t="s">
        <x:v>2114</x:v>
      </x:c>
      <x:c r="AC21" s="1226" t="b">
        <x:v>0</x:v>
      </x:c>
      <x:c r="AD21" s="525">
        <x:f t="shared" si="17"/>
        <x:v>0</x:v>
      </x:c>
      <x:c r="AE21" s="526">
        <x:f t="shared" si="18"/>
        <x:v>0</x:v>
      </x:c>
      <x:c r="AF21" s="526">
        <x:f t="shared" si="19"/>
        <x:v>0</x:v>
      </x:c>
      <x:c r="AG21" s="526">
        <x:f t="shared" si="20"/>
        <x:v>0</x:v>
      </x:c>
      <x:c r="AH21" s="527">
        <x:f t="shared" si="21"/>
        <x:v>0</x:v>
      </x:c>
      <x:c r="AI21" s="528" t="b">
        <x:v>0</x:v>
      </x:c>
      <x:c r="AJ21" s="284">
        <x:f t="shared" si="22"/>
        <x:v>36</x:v>
      </x:c>
      <x:c r="AK21" s="1063" t="str">
        <x:f t="shared" si="23"/>
        <x:v>LH</x:v>
      </x:c>
      <x:c r="AL21" s="1202" t="str">
        <x:f t="shared" si="24"/>
        <x:v/>
      </x:c>
      <x:c r="AM21" s="1063">
        <x:f t="shared" si="25"/>
        <x:v>270</x:v>
      </x:c>
      <x:c r="AN21" s="1063">
        <x:f t="shared" si="26"/>
        <x:v>120</x:v>
      </x:c>
      <x:c r="AO21" s="1063" t="str">
        <x:f t="shared" si="27"/>
        <x:v/>
      </x:c>
      <x:c r="AP21" s="1063" t="b">
        <x:f>IF(ISERROR(AJ21),FALSE,IF(OR(AJ21=0,ISERROR(AL21),ISERROR(AM21),ISERROR(AN21),ISERROR(AO21)),FALSE,IF(AL21&lt;&gt;"",IF(ISERROR(VLOOKUP(SUBSTITUTE(SUBSTITUTE(C21,"R",""),"A",""),TblJoistSize!$A:$A,1,FALSE)),FALSE,TRUE),TRUE)))</x:f>
        <x:v>1</x:v>
      </x:c>
      <x:c r="AQ21" s="1305">
        <x:f t="shared" si="28"/>
        <x:v>6</x:v>
      </x:c>
      <x:c r="AR21" s="1305" t="b">
        <x:f t="shared" si="29"/>
        <x:v>1</x:v>
      </x:c>
      <x:c r="AS21" s="1305">
        <x:f t="shared" si="30"/>
        <x:v>6.625</x:v>
      </x:c>
      <x:c r="AT21" s="1305" t="b">
        <x:f t="shared" si="31"/>
        <x:v>1</x:v>
      </x:c>
      <x:c r="AU21" s="1203" t="str">
        <x:f t="shared" si="32"/>
        <x:v>LH</x:v>
      </x:c>
      <x:c r="AV21" s="1063" t="str">
        <x:f t="shared" si="33"/>
        <x:v/>
      </x:c>
      <x:c r="AW21" s="1063" t="str">
        <x:f t="shared" si="34"/>
        <x:v>LH</x:v>
      </x:c>
      <x:c r="AX21" s="1063" t="str">
        <x:f t="shared" si="107"/>
        <x:v>TJ72</x:v>
      </x:c>
      <x:c r="AY21" s="1306" t="b">
        <x:f t="shared" si="35"/>
        <x:v>0</x:v>
      </x:c>
      <x:c r="AZ21" s="1090" t="b">
        <x:f t="shared" si="36"/>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7"/>
        <x:v/>
      </x:c>
      <x:c r="CE21" s="1812" t="str">
        <x:f t="shared" si="38"/>
        <x:v/>
      </x:c>
      <x:c r="CF21" s="1813"/>
      <x:c r="CG21" s="1814"/>
      <x:c r="CH21" s="738" t="str">
        <x:f t="shared" si="39"/>
        <x:v/>
      </x:c>
      <x:c r="CI21" s="739" t="str">
        <x:f t="shared" si="40"/>
        <x:v/>
      </x:c>
      <x:c r="CJ21" s="740" t="str">
        <x:f t="shared" si="41"/>
        <x:v/>
      </x:c>
      <x:c r="CK21" s="741" t="str">
        <x:f t="shared" si="42"/>
        <x:v/>
      </x:c>
      <x:c r="CL21" s="742" t="str">
        <x:f t="shared" si="43"/>
        <x:v/>
      </x:c>
      <x:c r="CM21" s="743" t="str">
        <x:f t="shared" si="44"/>
        <x:v/>
      </x:c>
      <x:c r="CN21" s="744" t="str">
        <x:f t="shared" si="45"/>
        <x:v/>
      </x:c>
      <x:c r="CO21" s="745" t="str">
        <x:f t="shared" si="46"/>
        <x:v/>
      </x:c>
      <x:c r="CP21" s="762" t="str">
        <x:f t="shared" si="47"/>
        <x:v/>
      </x:c>
      <x:c r="CQ21" s="763" t="str">
        <x:f t="shared" si="48"/>
        <x:v/>
      </x:c>
      <x:c r="CR21" s="953">
        <x:f t="shared" si="49"/>
        <x:v>5</x:v>
      </x:c>
      <x:c r="CS21" s="954">
        <x:f t="shared" si="50"/>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51"/>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52"/>
        <x:v>0</x:v>
      </x:c>
      <x:c r="DO21" s="1049">
        <x:f t="shared" si="53"/>
        <x:v>0</x:v>
      </x:c>
      <x:c r="DP21" s="1053" t="str">
        <x:f t="shared" si="54"/>
        <x:v/>
      </x:c>
      <x:c r="DQ21" s="1053" t="str">
        <x:f t="shared" si="55"/>
        <x:v/>
      </x:c>
      <x:c r="DR21" s="1053" t="str">
        <x:f t="shared" si="56"/>
        <x:v/>
      </x:c>
      <x:c r="DS21" s="1052">
        <x:f t="shared" si="57"/>
        <x:v>0</x:v>
      </x:c>
      <x:c r="DT21" s="1052">
        <x:f t="shared" si="58"/>
        <x:v>0</x:v>
      </x:c>
      <x:c r="DU21" s="1052" t="str">
        <x:f t="shared" si="59"/>
        <x:v/>
      </x:c>
      <x:c r="DV21" s="1053" t="str">
        <x:f t="shared" si="60"/>
        <x:v/>
      </x:c>
      <x:c r="DW21" s="1053" t="str">
        <x:f t="shared" si="61"/>
        <x:v/>
      </x:c>
      <x:c r="DX21" s="1269">
        <x:f t="shared" si="62"/>
        <x:v>0</x:v>
      </x:c>
      <x:c r="DY21" s="1053">
        <x:f t="shared" si="63"/>
        <x:v>0</x:v>
      </x:c>
      <x:c r="DZ21" s="1052">
        <x:f t="shared" si="64"/>
        <x:v>0</x:v>
      </x:c>
      <x:c r="EA21" s="1052" t="str">
        <x:f t="shared" si="65"/>
        <x:v/>
      </x:c>
      <x:c r="EB21" s="1053" t="str">
        <x:f t="shared" si="66"/>
        <x:v/>
      </x:c>
      <x:c r="EC21" s="1053" t="str">
        <x:f t="shared" si="67"/>
        <x:v/>
      </x:c>
      <x:c r="ED21" s="1269">
        <x:f t="shared" si="68"/>
        <x:v>0</x:v>
      </x:c>
      <x:c r="EE21" s="1090" t="str">
        <x:f t="shared" si="69"/>
        <x:v/>
      </x:c>
      <x:c r="EF21" s="1053" t="str">
        <x:f t="shared" si="70"/>
        <x:v/>
      </x:c>
      <x:c r="EG21" s="1053" t="str">
        <x:f t="shared" si="71"/>
        <x:v/>
      </x:c>
      <x:c r="EH21" s="1053" t="str">
        <x:f t="shared" si="72"/>
        <x:v>ERR</x:v>
      </x:c>
      <x:c r="EI21" s="1053" t="str">
        <x:f t="shared" si="73"/>
        <x:v>ERR</x:v>
      </x:c>
      <x:c r="EJ21" s="1053" t="str">
        <x:f t="shared" si="74"/>
        <x:v/>
      </x:c>
      <x:c r="EK21" s="1053" t="str">
        <x:f t="shared" si="74"/>
        <x:v/>
      </x:c>
      <x:c r="EL21" s="1090" t="str">
        <x:f t="shared" si="75"/>
        <x:v/>
      </x:c>
      <x:c r="EM21" s="1053" t="str">
        <x:f t="shared" si="76"/>
        <x:v/>
      </x:c>
      <x:c r="EN21" s="1053" t="str">
        <x:f t="shared" si="77"/>
        <x:v/>
      </x:c>
      <x:c r="EO21" s="1053" t="str">
        <x:f t="shared" si="78"/>
        <x:v>ERR</x:v>
      </x:c>
      <x:c r="EP21" s="1053" t="str">
        <x:f t="shared" si="79"/>
        <x:v>ERR</x:v>
      </x:c>
      <x:c r="EQ21" s="1053" t="str">
        <x:f t="shared" si="80"/>
        <x:v/>
      </x:c>
      <x:c r="ER21" s="1053" t="str">
        <x:f t="shared" si="80"/>
        <x:v/>
      </x:c>
      <x:c r="ES21" s="1053" t="str">
        <x:f t="shared" si="81"/>
        <x:v/>
      </x:c>
      <x:c r="ET21" s="1053" t="str">
        <x:f t="shared" si="82"/>
        <x:v/>
      </x:c>
      <x:c r="EU21" s="1061">
        <x:f t="shared" si="83"/>
        <x:v>4</x:v>
      </x:c>
      <x:c r="EV21" s="1055" t="str">
        <x:f t="shared" si="84"/>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5"/>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6"/>
        <x:v/>
      </x:c>
      <x:c r="FD21" s="1052">
        <x:f t="shared" si="108"/>
        <x:v>0</x:v>
      </x:c>
      <x:c r="FE21" s="1052">
        <x:f t="shared" si="87"/>
        <x:v>0</x:v>
      </x:c>
      <x:c r="FF21" s="1052">
        <x:f t="shared" si="88"/>
        <x:v>0</x:v>
      </x:c>
      <x:c r="FG21" s="1052" t="str">
        <x:f t="shared" si="89"/>
        <x:v/>
      </x:c>
      <x:c r="FH21" s="1053" t="str">
        <x:f t="shared" si="90"/>
        <x:v/>
      </x:c>
      <x:c r="FI21" s="1052">
        <x:f t="shared" si="109"/>
        <x:v>0</x:v>
      </x:c>
      <x:c r="FJ21" s="1052">
        <x:f t="shared" si="91"/>
        <x:v>0</x:v>
      </x:c>
      <x:c r="FK21" s="1052">
        <x:f t="shared" si="92"/>
        <x:v>0</x:v>
      </x:c>
      <x:c r="FL21" s="1052" t="str">
        <x:f t="shared" si="93"/>
        <x:v/>
      </x:c>
      <x:c r="FM21" s="1053" t="str">
        <x:f t="shared" si="94"/>
        <x:v/>
      </x:c>
      <x:c r="FN21" s="1053" t="e">
        <x:f t="shared" si="95"/>
        <x:v>#VALUE!</x:v>
      </x:c>
      <x:c r="FO21" s="1062" t="e">
        <x:f t="shared" si="96"/>
        <x:v>#VALUE!</x:v>
      </x:c>
      <x:c r="FP21" s="1062" t="e">
        <x:f t="shared" si="97"/>
        <x:v>#VALUE!</x:v>
      </x:c>
      <x:c r="FQ21" s="1063" t="e">
        <x:f t="shared" si="98"/>
        <x:v>#VALUE!</x:v>
      </x:c>
      <x:c r="FR21" s="1064" t="e">
        <x:f t="shared" si="99"/>
        <x:v>#VALUE!</x:v>
      </x:c>
      <x:c r="FS21" s="1065" t="str">
        <x:f t="shared" si="100"/>
        <x:v/>
      </x:c>
      <x:c r="FT21" s="1066" t="str">
        <x:f t="shared" si="101"/>
        <x:v/>
      </x:c>
      <x:c r="FU21" s="1105">
        <x:f t="shared" si="102"/>
        <x:v>0</x:v>
      </x:c>
      <x:c r="FV21" s="1106">
        <x:f t="shared" si="103"/>
        <x:v>0</x:v>
      </x:c>
      <x:c r="GA21" s="1975">
        <x:v>59</x:v>
      </x:c>
      <x:c r="GB21" s="1976">
        <x:v>2.75</x:v>
      </x:c>
      <x:c r="GC21" s="1977">
        <x:v>-1.875</x:v>
      </x:c>
      <x:c r="GD21" s="1978">
        <x:v>-1</x:v>
      </x:c>
      <x:c r="GE21" s="1979">
        <x:v>0.26169539219134702</x:v>
      </x:c>
      <x:c r="GF21" s="1980" t="str">
        <x:f t="shared" si="104"/>
        <x:v>TJ72</x:v>
      </x:c>
      <x:c r="GG21" s="1453"/>
      <x:c r="GH21" s="1454"/>
      <x:c r="GI21" s="1453"/>
      <x:c r="GJ21" s="1454"/>
      <x:c r="GK21" s="533">
        <x:f t="shared" si="105"/>
        <x:v>707.875</x:v>
      </x:c>
      <x:c r="GL21" s="534">
        <x:f t="shared" si="106"/>
        <x:v>708.04330794276643</x:v>
      </x:c>
      <x:c r="GM21" s="535">
        <x:f>IF(ABS(GK21-GL21)&gt;='Job Info.'!$L$22,ABS(GK21-GL21),0)</x:f>
        <x:v>0</x:v>
      </x:c>
      <x:c r="HA21" s="1658" t="s">
        <x:v>1396</x:v>
      </x:c>
      <x:c r="HB21" s="1659">
        <x:v>1</x:v>
      </x:c>
      <x:c r="HC21" s="1659" t="s">
        <x:v>1978</x:v>
      </x:c>
      <x:c r="HD21" s="1660">
        <x:v>58</x:v>
      </x:c>
      <x:c r="HE21" s="1661">
        <x:v>11.875</x:v>
      </x:c>
      <x:c r="HF21" s="1659" t="s">
        <x:v>117</x:v>
      </x:c>
      <x:c r="HG21" s="1659" t="s">
        <x:v>117</x:v>
      </x:c>
      <x:c r="HH21" s="1659" t="s">
        <x:v>117</x:v>
      </x:c>
      <x:c r="HI21" s="1662">
        <x:v>0</x:v>
      </x:c>
      <x:c r="HJ21" s="1659">
        <x:v>0.625</x:v>
      </x:c>
      <x:c r="HK21" s="1659" t="s">
        <x:v>114</x:v>
      </x:c>
      <x:c r="HL21" s="1659">
        <x:v>3</x:v>
      </x:c>
      <x:c r="HM21" s="1659">
        <x:v>3</x:v>
      </x:c>
      <x:c r="HN21" s="1659" t="s">
        <x:v>117</x:v>
      </x:c>
      <x:c r="HO21" s="1659" t="s">
        <x:v>117</x:v>
      </x:c>
      <x:c r="HP21" s="1659" t="s">
        <x:v>117</x:v>
      </x:c>
      <x:c r="HQ21" s="1662">
        <x:v>0</x:v>
      </x:c>
      <x:c r="HR21" s="1659">
        <x:v>6.75</x:v>
      </x:c>
      <x:c r="HS21" s="1659">
        <x:v>2</x:v>
      </x:c>
      <x:c r="HT21" s="1659">
        <x:v>0</x:v>
      </x:c>
      <x:c r="HU21" s="1659">
        <x:v>1.125</x:v>
      </x:c>
      <x:c r="HV21" s="1659">
        <x:v>0</x:v>
      </x:c>
      <x:c r="HW21" s="1661">
        <x:v>1.5</x:v>
      </x:c>
      <x:c r="HX21" s="1661">
        <x:v>4</x:v>
      </x:c>
      <x:c r="HY21" s="1661" t="s">
        <x:v>117</x:v>
      </x:c>
      <x:c r="HZ21" s="1661" t="s">
        <x:v>117</x:v>
      </x:c>
      <x:c r="IA21" s="1661" t="s">
        <x:v>2114</x:v>
      </x:c>
      <x:c r="IB21" s="1661"/>
      <x:c r="IC21" s="1661"/>
      <x:c r="ID21" s="1661"/>
      <x:c r="IE21" s="1661"/>
      <x:c r="IF21" s="1663"/>
    </x:row>
    <x:row r="22" spans="1:240" ht="12.6" customHeight="1" x14ac:dyDescent="0.25">
      <x:c r="A22" s="1264" t="s">
        <x:v>1397</x:v>
      </x:c>
      <x:c r="B22" s="1265">
        <x:v>0</x:v>
      </x:c>
      <x:c r="C22" s="1265" t="s">
        <x:v>1978</x:v>
      </x:c>
      <x:c r="D22" s="1261">
        <x:v>59</x:v>
      </x:c>
      <x:c r="E22" s="1366">
        <x:v>0.625</x:v>
      </x:c>
      <x:c r="F22" s="1328" t="str">
        <x:f t="shared" si="1"/>
        <x:v/>
      </x:c>
      <x:c r="G22" s="1262" t="str">
        <x:f t="shared" si="2"/>
        <x:v/>
      </x:c>
      <x:c r="H22" s="1266" t="str">
        <x:f t="shared" si="3"/>
        <x:v/>
      </x:c>
      <x:c r="I22" s="1261">
        <x:v>0</x:v>
      </x:c>
      <x:c r="J22" s="1262">
        <x:v>1.375</x:v>
      </x:c>
      <x:c r="K22" s="1370" t="s">
        <x:v>114</x:v>
      </x:c>
      <x:c r="L22" s="1327">
        <x:v>3</x:v>
      </x:c>
      <x:c r="M22" s="1329">
        <x:v>3</x:v>
      </x:c>
      <x:c r="N22" s="1263" t="str">
        <x:f t="shared" si="4"/>
        <x:v/>
      </x:c>
      <x:c r="O22" s="1262" t="str">
        <x:f t="shared" si="5"/>
        <x:v/>
      </x:c>
      <x:c r="P22" s="1260" t="str">
        <x:f t="shared" si="6"/>
        <x:v/>
      </x:c>
      <x:c r="Q22" s="1261" t="str">
        <x:f t="shared" si="7"/>
        <x:v/>
      </x:c>
      <x:c r="R22" s="1262" t="str">
        <x:f t="shared" si="8"/>
        <x:v/>
      </x:c>
      <x:c r="S22" s="1375" t="str">
        <x:f t="shared" si="9"/>
        <x:v/>
      </x:c>
      <x:c r="T22" s="1328">
        <x:v>0</x:v>
      </x:c>
      <x:c r="U22" s="1262">
        <x:v>1.125</x:v>
      </x:c>
      <x:c r="V22" s="1261">
        <x:v>0</x:v>
      </x:c>
      <x:c r="W22" s="1262">
        <x:v>2.25</x:v>
      </x:c>
      <x:c r="X22" s="1329">
        <x:v>4</x:v>
      </x:c>
      <x:c r="Y22" s="1377" t="str">
        <x:f t="shared" si="15"/>
        <x:v/>
      </x:c>
      <x:c r="Z22" s="1378" t="str">
        <x:f t="shared" si="16"/>
        <x:v/>
      </x:c>
      <x:c r="AA22" s="2159" t="s">
        <x:v>2085</x:v>
      </x:c>
      <x:c r="AC22" s="1226" t="b">
        <x:v>0</x:v>
      </x:c>
      <x:c r="AD22" s="525">
        <x:f t="shared" si="17"/>
        <x:v>0</x:v>
      </x:c>
      <x:c r="AE22" s="526">
        <x:f t="shared" si="18"/>
        <x:v>0</x:v>
      </x:c>
      <x:c r="AF22" s="526">
        <x:f t="shared" si="19"/>
        <x:v>0</x:v>
      </x:c>
      <x:c r="AG22" s="526">
        <x:f t="shared" si="20"/>
        <x:v>0</x:v>
      </x:c>
      <x:c r="AH22" s="527">
        <x:f t="shared" si="21"/>
        <x:v>0</x:v>
      </x:c>
      <x:c r="AI22" s="528" t="b">
        <x:v>0</x:v>
      </x:c>
      <x:c r="AJ22" s="284">
        <x:f t="shared" si="22"/>
        <x:v>36</x:v>
      </x:c>
      <x:c r="AK22" s="1063" t="str">
        <x:f t="shared" si="23"/>
        <x:v>LH</x:v>
      </x:c>
      <x:c r="AL22" s="1202" t="str">
        <x:f t="shared" si="24"/>
        <x:v/>
      </x:c>
      <x:c r="AM22" s="1063">
        <x:f t="shared" si="25"/>
        <x:v>270</x:v>
      </x:c>
      <x:c r="AN22" s="1063">
        <x:f t="shared" si="26"/>
        <x:v>120</x:v>
      </x:c>
      <x:c r="AO22" s="1063" t="str">
        <x:f t="shared" si="27"/>
        <x:v/>
      </x:c>
      <x:c r="AP22" s="1063" t="b">
        <x:f>IF(ISERROR(AJ22),FALSE,IF(OR(AJ22=0,ISERROR(AL22),ISERROR(AM22),ISERROR(AN22),ISERROR(AO22)),FALSE,IF(AL22&lt;&gt;"",IF(ISERROR(VLOOKUP(SUBSTITUTE(SUBSTITUTE(C22,"R",""),"A",""),TblJoistSize!$A:$A,1,FALSE)),FALSE,TRUE),TRUE)))</x:f>
        <x:v>1</x:v>
      </x:c>
      <x:c r="AQ22" s="1305">
        <x:f t="shared" si="28"/>
        <x:v>6</x:v>
      </x:c>
      <x:c r="AR22" s="1305" t="b">
        <x:f t="shared" si="29"/>
        <x:v>1</x:v>
      </x:c>
      <x:c r="AS22" s="1305">
        <x:f t="shared" si="30"/>
        <x:v>7.375</x:v>
      </x:c>
      <x:c r="AT22" s="1305" t="b">
        <x:f t="shared" si="31"/>
        <x:v>1</x:v>
      </x:c>
      <x:c r="AU22" s="1203" t="str">
        <x:f t="shared" si="32"/>
        <x:v>LH</x:v>
      </x:c>
      <x:c r="AV22" s="1063" t="str">
        <x:f t="shared" si="33"/>
        <x:v/>
      </x:c>
      <x:c r="AW22" s="1063" t="str">
        <x:f t="shared" si="34"/>
        <x:v>LH</x:v>
      </x:c>
      <x:c r="AX22" s="1063" t="str">
        <x:f t="shared" si="107"/>
        <x:v>TJ73</x:v>
      </x:c>
      <x:c r="AY22" s="1306" t="b">
        <x:f t="shared" si="35"/>
        <x:v>0</x:v>
      </x:c>
      <x:c r="AZ22" s="1090" t="b">
        <x:f t="shared" si="36"/>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7"/>
        <x:v/>
      </x:c>
      <x:c r="CE22" s="935" t="str">
        <x:f t="shared" si="38"/>
        <x:v/>
      </x:c>
      <x:c r="CF22" s="1149"/>
      <x:c r="CG22" s="1150"/>
      <x:c r="CH22" s="738" t="str">
        <x:f t="shared" si="39"/>
        <x:v/>
      </x:c>
      <x:c r="CI22" s="739" t="str">
        <x:f t="shared" si="40"/>
        <x:v/>
      </x:c>
      <x:c r="CJ22" s="740" t="str">
        <x:f t="shared" si="41"/>
        <x:v/>
      </x:c>
      <x:c r="CK22" s="741" t="str">
        <x:f t="shared" si="42"/>
        <x:v/>
      </x:c>
      <x:c r="CL22" s="742" t="str">
        <x:f t="shared" si="43"/>
        <x:v/>
      </x:c>
      <x:c r="CM22" s="743" t="str">
        <x:f t="shared" si="44"/>
        <x:v/>
      </x:c>
      <x:c r="CN22" s="744" t="str">
        <x:f t="shared" si="45"/>
        <x:v/>
      </x:c>
      <x:c r="CO22" s="745" t="str">
        <x:f t="shared" si="46"/>
        <x:v/>
      </x:c>
      <x:c r="CP22" s="762" t="str">
        <x:f t="shared" si="47"/>
        <x:v/>
      </x:c>
      <x:c r="CQ22" s="763" t="str">
        <x:f t="shared" si="48"/>
        <x:v/>
      </x:c>
      <x:c r="CR22" s="953">
        <x:f t="shared" si="49"/>
        <x:v>5</x:v>
      </x:c>
      <x:c r="CS22" s="954">
        <x:f t="shared" si="50"/>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51"/>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52"/>
        <x:v>0</x:v>
      </x:c>
      <x:c r="DO22" s="1049">
        <x:f t="shared" si="53"/>
        <x:v>0</x:v>
      </x:c>
      <x:c r="DP22" s="1053" t="str">
        <x:f t="shared" si="54"/>
        <x:v/>
      </x:c>
      <x:c r="DQ22" s="1053" t="str">
        <x:f t="shared" si="55"/>
        <x:v/>
      </x:c>
      <x:c r="DR22" s="1053" t="str">
        <x:f t="shared" si="56"/>
        <x:v/>
      </x:c>
      <x:c r="DS22" s="1052">
        <x:f t="shared" si="57"/>
        <x:v>0</x:v>
      </x:c>
      <x:c r="DT22" s="1052">
        <x:f t="shared" si="58"/>
        <x:v>0</x:v>
      </x:c>
      <x:c r="DU22" s="1052" t="str">
        <x:f t="shared" si="59"/>
        <x:v/>
      </x:c>
      <x:c r="DV22" s="1053" t="str">
        <x:f t="shared" si="60"/>
        <x:v/>
      </x:c>
      <x:c r="DW22" s="1053" t="str">
        <x:f t="shared" si="61"/>
        <x:v/>
      </x:c>
      <x:c r="DX22" s="1269">
        <x:f t="shared" si="62"/>
        <x:v>0</x:v>
      </x:c>
      <x:c r="DY22" s="1053">
        <x:f t="shared" si="63"/>
        <x:v>0</x:v>
      </x:c>
      <x:c r="DZ22" s="1052">
        <x:f t="shared" si="64"/>
        <x:v>0</x:v>
      </x:c>
      <x:c r="EA22" s="1052" t="str">
        <x:f t="shared" si="65"/>
        <x:v/>
      </x:c>
      <x:c r="EB22" s="1053" t="str">
        <x:f t="shared" si="66"/>
        <x:v/>
      </x:c>
      <x:c r="EC22" s="1053" t="str">
        <x:f t="shared" si="67"/>
        <x:v/>
      </x:c>
      <x:c r="ED22" s="1269">
        <x:f t="shared" si="68"/>
        <x:v>0</x:v>
      </x:c>
      <x:c r="EE22" s="1090" t="str">
        <x:f t="shared" si="69"/>
        <x:v/>
      </x:c>
      <x:c r="EF22" s="1053" t="str">
        <x:f t="shared" si="70"/>
        <x:v/>
      </x:c>
      <x:c r="EG22" s="1053" t="str">
        <x:f t="shared" si="71"/>
        <x:v/>
      </x:c>
      <x:c r="EH22" s="1053" t="str">
        <x:f t="shared" si="72"/>
        <x:v>ERR</x:v>
      </x:c>
      <x:c r="EI22" s="1053" t="str">
        <x:f t="shared" si="73"/>
        <x:v>ERR</x:v>
      </x:c>
      <x:c r="EJ22" s="1053" t="str">
        <x:f t="shared" si="74"/>
        <x:v/>
      </x:c>
      <x:c r="EK22" s="1053" t="str">
        <x:f t="shared" si="74"/>
        <x:v/>
      </x:c>
      <x:c r="EL22" s="1090" t="str">
        <x:f t="shared" si="75"/>
        <x:v/>
      </x:c>
      <x:c r="EM22" s="1053" t="str">
        <x:f t="shared" si="76"/>
        <x:v/>
      </x:c>
      <x:c r="EN22" s="1053" t="str">
        <x:f t="shared" si="77"/>
        <x:v/>
      </x:c>
      <x:c r="EO22" s="1053" t="str">
        <x:f t="shared" si="78"/>
        <x:v>ERR</x:v>
      </x:c>
      <x:c r="EP22" s="1053" t="str">
        <x:f t="shared" si="79"/>
        <x:v>ERR</x:v>
      </x:c>
      <x:c r="EQ22" s="1053" t="str">
        <x:f t="shared" si="80"/>
        <x:v/>
      </x:c>
      <x:c r="ER22" s="1053" t="str">
        <x:f t="shared" si="80"/>
        <x:v/>
      </x:c>
      <x:c r="ES22" s="1053" t="str">
        <x:f t="shared" si="81"/>
        <x:v/>
      </x:c>
      <x:c r="ET22" s="1053" t="str">
        <x:f t="shared" si="82"/>
        <x:v/>
      </x:c>
      <x:c r="EU22" s="1061">
        <x:f t="shared" si="83"/>
        <x:v>4</x:v>
      </x:c>
      <x:c r="EV22" s="1055" t="str">
        <x:f t="shared" si="84"/>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5"/>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6"/>
        <x:v/>
      </x:c>
      <x:c r="FD22" s="1052">
        <x:f t="shared" si="108"/>
        <x:v>0</x:v>
      </x:c>
      <x:c r="FE22" s="1052">
        <x:f t="shared" si="87"/>
        <x:v>0</x:v>
      </x:c>
      <x:c r="FF22" s="1052">
        <x:f t="shared" si="88"/>
        <x:v>0</x:v>
      </x:c>
      <x:c r="FG22" s="1052" t="str">
        <x:f t="shared" si="89"/>
        <x:v/>
      </x:c>
      <x:c r="FH22" s="1053" t="str">
        <x:f t="shared" si="90"/>
        <x:v/>
      </x:c>
      <x:c r="FI22" s="1052">
        <x:f t="shared" si="109"/>
        <x:v>0</x:v>
      </x:c>
      <x:c r="FJ22" s="1052">
        <x:f t="shared" si="91"/>
        <x:v>0</x:v>
      </x:c>
      <x:c r="FK22" s="1052">
        <x:f t="shared" si="92"/>
        <x:v>0</x:v>
      </x:c>
      <x:c r="FL22" s="1052" t="str">
        <x:f t="shared" si="93"/>
        <x:v/>
      </x:c>
      <x:c r="FM22" s="1053" t="str">
        <x:f t="shared" si="94"/>
        <x:v/>
      </x:c>
      <x:c r="FN22" s="1053" t="e">
        <x:f t="shared" si="95"/>
        <x:v>#VALUE!</x:v>
      </x:c>
      <x:c r="FO22" s="1062" t="e">
        <x:f t="shared" si="96"/>
        <x:v>#VALUE!</x:v>
      </x:c>
      <x:c r="FP22" s="1062" t="e">
        <x:f t="shared" si="97"/>
        <x:v>#VALUE!</x:v>
      </x:c>
      <x:c r="FQ22" s="1063" t="e">
        <x:f t="shared" si="98"/>
        <x:v>#VALUE!</x:v>
      </x:c>
      <x:c r="FR22" s="1064" t="e">
        <x:f t="shared" si="99"/>
        <x:v>#VALUE!</x:v>
      </x:c>
      <x:c r="FS22" s="1065" t="str">
        <x:f t="shared" si="100"/>
        <x:v/>
      </x:c>
      <x:c r="FT22" s="1066" t="str">
        <x:f t="shared" si="101"/>
        <x:v/>
      </x:c>
      <x:c r="FU22" s="1105">
        <x:f t="shared" si="102"/>
        <x:v>0</x:v>
      </x:c>
      <x:c r="FV22" s="1106">
        <x:f t="shared" si="103"/>
        <x:v>0</x:v>
      </x:c>
      <x:c r="GA22" s="1975">
        <x:v>59</x:v>
      </x:c>
      <x:c r="GB22" s="1976">
        <x:v>2.75</x:v>
      </x:c>
      <x:c r="GC22" s="1977">
        <x:v>-1.875</x:v>
      </x:c>
      <x:c r="GD22" s="1978">
        <x:v>-0.25</x:v>
      </x:c>
      <x:c r="GE22" s="1979">
        <x:v>0.26169539219134702</x:v>
      </x:c>
      <x:c r="GF22" s="1980" t="str">
        <x:f t="shared" si="104"/>
        <x:v>TJ73</x:v>
      </x:c>
      <x:c r="GG22" s="1453"/>
      <x:c r="GH22" s="1454"/>
      <x:c r="GI22" s="1453"/>
      <x:c r="GJ22" s="1454"/>
      <x:c r="GK22" s="533">
        <x:f t="shared" si="105"/>
        <x:v>708.625</x:v>
      </x:c>
      <x:c r="GL22" s="534">
        <x:f t="shared" si="106"/>
        <x:v>708.79348626656247</x:v>
      </x:c>
      <x:c r="GM22" s="535">
        <x:f>IF(ABS(GK22-GL22)&gt;='Job Info.'!$L$22,ABS(GK22-GL22),0)</x:f>
        <x:v>0</x:v>
      </x:c>
      <x:c r="HA22" s="1658" t="s">
        <x:v>1397</x:v>
      </x:c>
      <x:c r="HB22" s="1659">
        <x:v>2</x:v>
      </x:c>
      <x:c r="HC22" s="1659" t="s">
        <x:v>1978</x:v>
      </x:c>
      <x:c r="HD22" s="1660">
        <x:v>59</x:v>
      </x:c>
      <x:c r="HE22" s="1661">
        <x:v>0.625</x:v>
      </x:c>
      <x:c r="HF22" s="1659" t="s">
        <x:v>117</x:v>
      </x:c>
      <x:c r="HG22" s="1659" t="s">
        <x:v>117</x:v>
      </x:c>
      <x:c r="HH22" s="1659" t="s">
        <x:v>117</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x:v>0</x:v>
      </x:c>
      <x:c r="HU22" s="1659">
        <x:v>1.125</x:v>
      </x:c>
      <x:c r="HV22" s="1659">
        <x:v>0</x:v>
      </x:c>
      <x:c r="HW22" s="1661">
        <x:v>2.25</x:v>
      </x:c>
      <x:c r="HX22" s="1661">
        <x:v>4</x:v>
      </x:c>
      <x:c r="HY22" s="1661" t="s">
        <x:v>117</x:v>
      </x:c>
      <x:c r="HZ22" s="1661" t="s">
        <x:v>117</x:v>
      </x:c>
      <x:c r="IA22" s="1661" t="s">
        <x:v>2085</x:v>
      </x:c>
      <x:c r="IB22" s="1661"/>
      <x:c r="IC22" s="1661"/>
      <x:c r="ID22" s="1661"/>
      <x:c r="IE22" s="1661"/>
      <x:c r="IF22" s="1663"/>
    </x:row>
    <x:row r="23" spans="1:240" ht="12.6" customHeight="1" x14ac:dyDescent="0.25">
      <x:c r="A23" s="1264" t="s">
        <x:v>1398</x:v>
      </x:c>
      <x:c r="B23" s="1265">
        <x:v>0</x:v>
      </x:c>
      <x:c r="C23" s="1265" t="s">
        <x:v>1978</x:v>
      </x:c>
      <x:c r="D23" s="1261">
        <x:v>59</x:v>
      </x:c>
      <x:c r="E23" s="1366">
        <x:v>0.625</x:v>
      </x:c>
      <x:c r="F23" s="1328" t="str">
        <x:f t="shared" si="1"/>
        <x:v/>
      </x:c>
      <x:c r="G23" s="1262" t="str">
        <x:f t="shared" si="2"/>
        <x:v/>
      </x:c>
      <x:c r="H23" s="1266" t="str">
        <x:f t="shared" si="3"/>
        <x:v/>
      </x:c>
      <x:c r="I23" s="1261">
        <x:v>0</x:v>
      </x:c>
      <x:c r="J23" s="1262">
        <x:v>1.375</x:v>
      </x:c>
      <x:c r="K23" s="1370" t="s">
        <x:v>114</x:v>
      </x:c>
      <x:c r="L23" s="1327">
        <x:v>3</x:v>
      </x:c>
      <x:c r="M23" s="1329">
        <x:v>3</x:v>
      </x:c>
      <x:c r="N23" s="1263" t="str">
        <x:f t="shared" si="4"/>
        <x:v/>
      </x:c>
      <x:c r="O23" s="1262" t="str">
        <x:f t="shared" si="5"/>
        <x:v/>
      </x:c>
      <x:c r="P23" s="1260" t="str">
        <x:f t="shared" si="6"/>
        <x:v/>
      </x:c>
      <x:c r="Q23" s="1261" t="str">
        <x:f t="shared" si="7"/>
        <x:v/>
      </x:c>
      <x:c r="R23" s="1262" t="str">
        <x:f t="shared" si="8"/>
        <x:v/>
      </x:c>
      <x:c r="S23" s="1375" t="str">
        <x:f t="shared" si="9"/>
        <x:v/>
      </x:c>
      <x:c r="T23" s="1328" t="str">
        <x:f t="shared" si="10"/>
        <x:v/>
      </x:c>
      <x:c r="U23" s="1262" t="str">
        <x:f t="shared" si="11"/>
        <x:v/>
      </x:c>
      <x:c r="V23" s="1261" t="str">
        <x:f t="shared" si="12"/>
        <x:v/>
      </x:c>
      <x:c r="W23" s="1262" t="str">
        <x:f t="shared" si="13"/>
        <x:v/>
      </x:c>
      <x:c r="X23" s="1329">
        <x:f t="shared" si="14"/>
        <x:v>0</x:v>
      </x:c>
      <x:c r="Y23" s="1377" t="str">
        <x:f t="shared" si="15"/>
        <x:v/>
      </x:c>
      <x:c r="Z23" s="1378" t="str">
        <x:f t="shared" si="16"/>
        <x:v/>
      </x:c>
      <x:c r="AA23" s="2159" t="s">
        <x:v>2115</x:v>
      </x:c>
      <x:c r="AC23" s="1226" t="b">
        <x:v>0</x:v>
      </x:c>
      <x:c r="AD23" s="525">
        <x:f t="shared" si="17"/>
        <x:v>0</x:v>
      </x:c>
      <x:c r="AE23" s="526">
        <x:f t="shared" si="18"/>
        <x:v>0</x:v>
      </x:c>
      <x:c r="AF23" s="526">
        <x:f t="shared" si="19"/>
        <x:v>0</x:v>
      </x:c>
      <x:c r="AG23" s="526">
        <x:f t="shared" si="20"/>
        <x:v>0</x:v>
      </x:c>
      <x:c r="AH23" s="527">
        <x:f t="shared" si="21"/>
        <x:v>0</x:v>
      </x:c>
      <x:c r="AI23" s="528" t="b">
        <x:v>0</x:v>
      </x:c>
      <x:c r="AJ23" s="284">
        <x:f t="shared" si="22"/>
        <x:v>36</x:v>
      </x:c>
      <x:c r="AK23" s="1063" t="str">
        <x:f t="shared" si="23"/>
        <x:v>LH</x:v>
      </x:c>
      <x:c r="AL23" s="1202" t="str">
        <x:f t="shared" si="24"/>
        <x:v/>
      </x:c>
      <x:c r="AM23" s="1063">
        <x:f t="shared" si="25"/>
        <x:v>270</x:v>
      </x:c>
      <x:c r="AN23" s="1063">
        <x:f t="shared" si="26"/>
        <x:v>120</x:v>
      </x:c>
      <x:c r="AO23" s="1063" t="str">
        <x:f t="shared" si="27"/>
        <x:v/>
      </x:c>
      <x:c r="AP23" s="1063" t="b">
        <x:f>IF(ISERROR(AJ23),FALSE,IF(OR(AJ23=0,ISERROR(AL23),ISERROR(AM23),ISERROR(AN23),ISERROR(AO23)),FALSE,IF(AL23&lt;&gt;"",IF(ISERROR(VLOOKUP(SUBSTITUTE(SUBSTITUTE(C23,"R",""),"A",""),TblJoistSize!$A:$A,1,FALSE)),FALSE,TRUE),TRUE)))</x:f>
        <x:v>1</x:v>
      </x:c>
      <x:c r="AQ23" s="1305">
        <x:f t="shared" si="28"/>
        <x:v>6</x:v>
      </x:c>
      <x:c r="AR23" s="1305" t="b">
        <x:f t="shared" si="29"/>
        <x:v>0</x:v>
      </x:c>
      <x:c r="AS23" s="1305">
        <x:f t="shared" si="30"/>
        <x:v>7.375</x:v>
      </x:c>
      <x:c r="AT23" s="1305" t="b">
        <x:f t="shared" si="31"/>
        <x:v>0</x:v>
      </x:c>
      <x:c r="AU23" s="1203" t="str">
        <x:f t="shared" si="32"/>
        <x:v>LH</x:v>
      </x:c>
      <x:c r="AV23" s="1063" t="str">
        <x:f t="shared" si="33"/>
        <x:v/>
      </x:c>
      <x:c r="AW23" s="1063" t="str">
        <x:f t="shared" si="34"/>
        <x:v>LH</x:v>
      </x:c>
      <x:c r="AX23" s="1063" t="str">
        <x:f t="shared" si="107"/>
        <x:v>J74</x:v>
      </x:c>
      <x:c r="AY23" s="1306" t="b">
        <x:f t="shared" si="35"/>
        <x:v>0</x:v>
      </x:c>
      <x:c r="AZ23" s="1090" t="b">
        <x:f t="shared" si="36"/>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7"/>
        <x:v/>
      </x:c>
      <x:c r="CE23" s="935" t="str">
        <x:f t="shared" si="38"/>
        <x:v/>
      </x:c>
      <x:c r="CF23" s="1149"/>
      <x:c r="CG23" s="1150"/>
      <x:c r="CH23" s="738" t="str">
        <x:f t="shared" si="39"/>
        <x:v/>
      </x:c>
      <x:c r="CI23" s="739" t="str">
        <x:f t="shared" si="40"/>
        <x:v/>
      </x:c>
      <x:c r="CJ23" s="740" t="str">
        <x:f t="shared" si="41"/>
        <x:v/>
      </x:c>
      <x:c r="CK23" s="741" t="str">
        <x:f t="shared" si="42"/>
        <x:v/>
      </x:c>
      <x:c r="CL23" s="742" t="str">
        <x:f t="shared" si="43"/>
        <x:v/>
      </x:c>
      <x:c r="CM23" s="743" t="str">
        <x:f t="shared" si="44"/>
        <x:v/>
      </x:c>
      <x:c r="CN23" s="744" t="str">
        <x:f t="shared" si="45"/>
        <x:v/>
      </x:c>
      <x:c r="CO23" s="745" t="str">
        <x:f t="shared" si="46"/>
        <x:v/>
      </x:c>
      <x:c r="CP23" s="762" t="str">
        <x:f t="shared" si="47"/>
        <x:v/>
      </x:c>
      <x:c r="CQ23" s="763" t="str">
        <x:f t="shared" si="48"/>
        <x:v/>
      </x:c>
      <x:c r="CR23" s="953">
        <x:f t="shared" si="49"/>
        <x:v>5</x:v>
      </x:c>
      <x:c r="CS23" s="954">
        <x:f t="shared" si="50"/>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51"/>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52"/>
        <x:v>0</x:v>
      </x:c>
      <x:c r="DO23" s="1049">
        <x:f t="shared" si="53"/>
        <x:v>0</x:v>
      </x:c>
      <x:c r="DP23" s="1053" t="str">
        <x:f t="shared" si="54"/>
        <x:v/>
      </x:c>
      <x:c r="DQ23" s="1053" t="str">
        <x:f t="shared" si="55"/>
        <x:v/>
      </x:c>
      <x:c r="DR23" s="1053" t="str">
        <x:f t="shared" si="56"/>
        <x:v/>
      </x:c>
      <x:c r="DS23" s="1052">
        <x:f t="shared" si="57"/>
        <x:v>0</x:v>
      </x:c>
      <x:c r="DT23" s="1052">
        <x:f t="shared" si="58"/>
        <x:v>0</x:v>
      </x:c>
      <x:c r="DU23" s="1052" t="str">
        <x:f t="shared" si="59"/>
        <x:v/>
      </x:c>
      <x:c r="DV23" s="1053" t="str">
        <x:f t="shared" si="60"/>
        <x:v/>
      </x:c>
      <x:c r="DW23" s="1053" t="str">
        <x:f t="shared" si="61"/>
        <x:v/>
      </x:c>
      <x:c r="DX23" s="1269">
        <x:f t="shared" si="62"/>
        <x:v>0</x:v>
      </x:c>
      <x:c r="DY23" s="1053">
        <x:f t="shared" si="63"/>
        <x:v>0</x:v>
      </x:c>
      <x:c r="DZ23" s="1052">
        <x:f t="shared" si="64"/>
        <x:v>0</x:v>
      </x:c>
      <x:c r="EA23" s="1052" t="str">
        <x:f t="shared" si="65"/>
        <x:v/>
      </x:c>
      <x:c r="EB23" s="1053" t="str">
        <x:f t="shared" si="66"/>
        <x:v/>
      </x:c>
      <x:c r="EC23" s="1053" t="str">
        <x:f t="shared" si="67"/>
        <x:v/>
      </x:c>
      <x:c r="ED23" s="1269">
        <x:f t="shared" si="68"/>
        <x:v>0</x:v>
      </x:c>
      <x:c r="EE23" s="1090" t="str">
        <x:f t="shared" si="69"/>
        <x:v/>
      </x:c>
      <x:c r="EF23" s="1053" t="str">
        <x:f t="shared" si="70"/>
        <x:v/>
      </x:c>
      <x:c r="EG23" s="1053" t="str">
        <x:f t="shared" si="71"/>
        <x:v/>
      </x:c>
      <x:c r="EH23" s="1053" t="str">
        <x:f t="shared" si="72"/>
        <x:v>ERR</x:v>
      </x:c>
      <x:c r="EI23" s="1053" t="str">
        <x:f t="shared" si="73"/>
        <x:v>ERR</x:v>
      </x:c>
      <x:c r="EJ23" s="1053" t="str">
        <x:f t="shared" si="74"/>
        <x:v/>
      </x:c>
      <x:c r="EK23" s="1053" t="str">
        <x:f t="shared" si="74"/>
        <x:v/>
      </x:c>
      <x:c r="EL23" s="1090" t="str">
        <x:f t="shared" si="75"/>
        <x:v/>
      </x:c>
      <x:c r="EM23" s="1053" t="str">
        <x:f t="shared" si="76"/>
        <x:v/>
      </x:c>
      <x:c r="EN23" s="1053" t="str">
        <x:f t="shared" si="77"/>
        <x:v/>
      </x:c>
      <x:c r="EO23" s="1053" t="str">
        <x:f t="shared" si="78"/>
        <x:v>ERR</x:v>
      </x:c>
      <x:c r="EP23" s="1053" t="str">
        <x:f t="shared" si="79"/>
        <x:v>ERR</x:v>
      </x:c>
      <x:c r="EQ23" s="1053" t="str">
        <x:f t="shared" si="80"/>
        <x:v/>
      </x:c>
      <x:c r="ER23" s="1053" t="str">
        <x:f t="shared" si="80"/>
        <x:v/>
      </x:c>
      <x:c r="ES23" s="1053" t="str">
        <x:f t="shared" si="81"/>
        <x:v/>
      </x:c>
      <x:c r="ET23" s="1053" t="str">
        <x:f t="shared" si="82"/>
        <x:v/>
      </x:c>
      <x:c r="EU23" s="1061">
        <x:f t="shared" si="83"/>
        <x:v>4</x:v>
      </x:c>
      <x:c r="EV23" s="1055" t="str">
        <x:f t="shared" si="84"/>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5"/>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6"/>
        <x:v/>
      </x:c>
      <x:c r="FD23" s="1052">
        <x:f t="shared" si="108"/>
        <x:v>0</x:v>
      </x:c>
      <x:c r="FE23" s="1052">
        <x:f t="shared" si="87"/>
        <x:v>0</x:v>
      </x:c>
      <x:c r="FF23" s="1052">
        <x:f t="shared" si="88"/>
        <x:v>0</x:v>
      </x:c>
      <x:c r="FG23" s="1052" t="str">
        <x:f t="shared" si="89"/>
        <x:v/>
      </x:c>
      <x:c r="FH23" s="1053" t="str">
        <x:f t="shared" si="90"/>
        <x:v/>
      </x:c>
      <x:c r="FI23" s="1052">
        <x:f t="shared" si="109"/>
        <x:v>0</x:v>
      </x:c>
      <x:c r="FJ23" s="1052">
        <x:f t="shared" si="91"/>
        <x:v>0</x:v>
      </x:c>
      <x:c r="FK23" s="1052">
        <x:f t="shared" si="92"/>
        <x:v>0</x:v>
      </x:c>
      <x:c r="FL23" s="1052" t="str">
        <x:f t="shared" si="93"/>
        <x:v/>
      </x:c>
      <x:c r="FM23" s="1053" t="str">
        <x:f t="shared" si="94"/>
        <x:v/>
      </x:c>
      <x:c r="FN23" s="1053" t="e">
        <x:f t="shared" si="95"/>
        <x:v>#VALUE!</x:v>
      </x:c>
      <x:c r="FO23" s="1062" t="e">
        <x:f t="shared" si="96"/>
        <x:v>#VALUE!</x:v>
      </x:c>
      <x:c r="FP23" s="1062" t="e">
        <x:f t="shared" si="97"/>
        <x:v>#VALUE!</x:v>
      </x:c>
      <x:c r="FQ23" s="1063" t="e">
        <x:f t="shared" si="98"/>
        <x:v>#VALUE!</x:v>
      </x:c>
      <x:c r="FR23" s="1064" t="e">
        <x:f t="shared" si="99"/>
        <x:v>#VALUE!</x:v>
      </x:c>
      <x:c r="FS23" s="1065" t="str">
        <x:f t="shared" si="100"/>
        <x:v/>
      </x:c>
      <x:c r="FT23" s="1066" t="str">
        <x:f t="shared" si="101"/>
        <x:v/>
      </x:c>
      <x:c r="FU23" s="1105">
        <x:f t="shared" si="102"/>
        <x:v>0</x:v>
      </x:c>
      <x:c r="FV23" s="1106">
        <x:f t="shared" si="103"/>
        <x:v>0</x:v>
      </x:c>
      <x:c r="GA23" s="1975">
        <x:v>59</x:v>
      </x:c>
      <x:c r="GB23" s="1976">
        <x:v>2.75</x:v>
      </x:c>
      <x:c r="GC23" s="1977">
        <x:v>-1.875</x:v>
      </x:c>
      <x:c r="GD23" s="1978">
        <x:v>-0.25</x:v>
      </x:c>
      <x:c r="GE23" s="1979">
        <x:v>0.26169539219134702</x:v>
      </x:c>
      <x:c r="GF23" s="1980" t="str">
        <x:f t="shared" si="104"/>
        <x:v>J74</x:v>
      </x:c>
      <x:c r="GG23" s="1453"/>
      <x:c r="GH23" s="1454"/>
      <x:c r="GI23" s="1453"/>
      <x:c r="GJ23" s="1454"/>
      <x:c r="GK23" s="533">
        <x:f t="shared" si="105"/>
        <x:v>708.625</x:v>
      </x:c>
      <x:c r="GL23" s="534">
        <x:f t="shared" si="106"/>
        <x:v>708.79348626656247</x:v>
      </x:c>
      <x:c r="GM23" s="535">
        <x:f>IF(ABS(GK23-GL23)&gt;='Job Info.'!$L$22,ABS(GK23-GL23),0)</x:f>
        <x:v>0</x:v>
      </x:c>
      <x:c r="HA23" s="1658" t="s">
        <x:v>1398</x:v>
      </x:c>
      <x:c r="HB23" s="1659">
        <x:v>1</x:v>
      </x:c>
      <x:c r="HC23" s="1659" t="s">
        <x:v>1978</x:v>
      </x:c>
      <x:c r="HD23" s="1660">
        <x:v>59</x:v>
      </x:c>
      <x:c r="HE23" s="1661">
        <x:v>0.625</x:v>
      </x:c>
      <x:c r="HF23" s="1659" t="s">
        <x:v>117</x:v>
      </x:c>
      <x:c r="HG23" s="1659" t="s">
        <x:v>117</x:v>
      </x:c>
      <x:c r="HH23" s="1659" t="s">
        <x:v>117</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2115</x:v>
      </x:c>
      <x:c r="IB23" s="1661"/>
      <x:c r="IC23" s="1661"/>
      <x:c r="ID23" s="1661"/>
      <x:c r="IE23" s="1661"/>
      <x:c r="IF23" s="1663"/>
    </x:row>
    <x:row r="24" spans="1:240" ht="12.6" customHeight="1" x14ac:dyDescent="0.25">
      <x:c r="A24" s="1264" t="s">
        <x:v>1399</x:v>
      </x:c>
      <x:c r="B24" s="1265">
        <x:v>0</x:v>
      </x:c>
      <x:c r="C24" s="1265" t="s">
        <x:v>1978</x:v>
      </x:c>
      <x:c r="D24" s="1261">
        <x:v>59</x:v>
      </x:c>
      <x:c r="E24" s="1366">
        <x:v>0.625</x:v>
      </x:c>
      <x:c r="F24" s="1328" t="str">
        <x:f t="shared" si="1"/>
        <x:v/>
      </x:c>
      <x:c r="G24" s="1262" t="str">
        <x:f t="shared" si="2"/>
        <x:v/>
      </x:c>
      <x:c r="H24" s="1266" t="str">
        <x:f t="shared" si="3"/>
        <x:v/>
      </x:c>
      <x:c r="I24" s="1261">
        <x:v>0</x:v>
      </x:c>
      <x:c r="J24" s="1262">
        <x:v>1.375</x:v>
      </x:c>
      <x:c r="K24" s="1370" t="s">
        <x:v>114</x:v>
      </x:c>
      <x:c r="L24" s="1327">
        <x:v>3</x:v>
      </x:c>
      <x:c r="M24" s="1329">
        <x:v>3</x:v>
      </x:c>
      <x:c r="N24" s="1263" t="str">
        <x:f t="shared" si="4"/>
        <x:v/>
      </x:c>
      <x:c r="O24" s="1262" t="str">
        <x:f t="shared" si="5"/>
        <x:v/>
      </x:c>
      <x:c r="P24" s="1260" t="str">
        <x:f t="shared" si="6"/>
        <x:v/>
      </x:c>
      <x:c r="Q24" s="1261" t="str">
        <x:f t="shared" si="7"/>
        <x:v/>
      </x:c>
      <x:c r="R24" s="1262" t="str">
        <x:f t="shared" si="8"/>
        <x:v/>
      </x:c>
      <x:c r="S24" s="1375" t="str">
        <x:f t="shared" si="9"/>
        <x:v/>
      </x:c>
      <x:c r="T24" s="1328" t="str">
        <x:f t="shared" si="10"/>
        <x:v/>
      </x:c>
      <x:c r="U24" s="1262" t="str">
        <x:f t="shared" si="11"/>
        <x:v/>
      </x:c>
      <x:c r="V24" s="1261" t="str">
        <x:f t="shared" si="12"/>
        <x:v/>
      </x:c>
      <x:c r="W24" s="1262" t="str">
        <x:f t="shared" si="13"/>
        <x:v/>
      </x:c>
      <x:c r="X24" s="1329">
        <x:f t="shared" si="14"/>
        <x:v>0</x:v>
      </x:c>
      <x:c r="Y24" s="1377" t="str">
        <x:f t="shared" si="15"/>
        <x:v/>
      </x:c>
      <x:c r="Z24" s="1378" t="str">
        <x:f t="shared" si="16"/>
        <x:v/>
      </x:c>
      <x:c r="AA24" s="2159" t="s">
        <x:v>2116</x:v>
      </x:c>
      <x:c r="AC24" s="1226" t="b">
        <x:v>0</x:v>
      </x:c>
      <x:c r="AD24" s="525">
        <x:f t="shared" si="17"/>
        <x:v>0</x:v>
      </x:c>
      <x:c r="AE24" s="526">
        <x:f t="shared" si="18"/>
        <x:v>0</x:v>
      </x:c>
      <x:c r="AF24" s="526">
        <x:f t="shared" si="19"/>
        <x:v>0</x:v>
      </x:c>
      <x:c r="AG24" s="526">
        <x:f t="shared" si="20"/>
        <x:v>0</x:v>
      </x:c>
      <x:c r="AH24" s="527">
        <x:f t="shared" si="21"/>
        <x:v>0</x:v>
      </x:c>
      <x:c r="AI24" s="528" t="b">
        <x:v>0</x:v>
      </x:c>
      <x:c r="AJ24" s="284">
        <x:f t="shared" si="22"/>
        <x:v>36</x:v>
      </x:c>
      <x:c r="AK24" s="1063" t="str">
        <x:f t="shared" si="23"/>
        <x:v>LH</x:v>
      </x:c>
      <x:c r="AL24" s="1202" t="str">
        <x:f t="shared" si="24"/>
        <x:v/>
      </x:c>
      <x:c r="AM24" s="1063">
        <x:f t="shared" si="25"/>
        <x:v>270</x:v>
      </x:c>
      <x:c r="AN24" s="1063">
        <x:f t="shared" si="26"/>
        <x:v>120</x:v>
      </x:c>
      <x:c r="AO24" s="1063" t="str">
        <x:f t="shared" si="27"/>
        <x:v/>
      </x:c>
      <x:c r="AP24" s="1063" t="b">
        <x:f>IF(ISERROR(AJ24),FALSE,IF(OR(AJ24=0,ISERROR(AL24),ISERROR(AM24),ISERROR(AN24),ISERROR(AO24)),FALSE,IF(AL24&lt;&gt;"",IF(ISERROR(VLOOKUP(SUBSTITUTE(SUBSTITUTE(C24,"R",""),"A",""),TblJoistSize!$A:$A,1,FALSE)),FALSE,TRUE),TRUE)))</x:f>
        <x:v>1</x:v>
      </x:c>
      <x:c r="AQ24" s="1305">
        <x:f t="shared" si="28"/>
        <x:v>6</x:v>
      </x:c>
      <x:c r="AR24" s="1305" t="b">
        <x:f t="shared" si="29"/>
        <x:v>0</x:v>
      </x:c>
      <x:c r="AS24" s="1305">
        <x:f t="shared" si="30"/>
        <x:v>7.375</x:v>
      </x:c>
      <x:c r="AT24" s="1305" t="b">
        <x:f t="shared" si="31"/>
        <x:v>0</x:v>
      </x:c>
      <x:c r="AU24" s="1203" t="str">
        <x:f t="shared" si="32"/>
        <x:v>LH</x:v>
      </x:c>
      <x:c r="AV24" s="1063" t="str">
        <x:f t="shared" si="33"/>
        <x:v/>
      </x:c>
      <x:c r="AW24" s="1063" t="str">
        <x:f t="shared" si="34"/>
        <x:v>LH</x:v>
      </x:c>
      <x:c r="AX24" s="1063" t="str">
        <x:f t="shared" si="107"/>
        <x:v>J75</x:v>
      </x:c>
      <x:c r="AY24" s="1306" t="b">
        <x:f t="shared" si="35"/>
        <x:v>0</x:v>
      </x:c>
      <x:c r="AZ24" s="1090" t="b">
        <x:f t="shared" si="36"/>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7"/>
        <x:v/>
      </x:c>
      <x:c r="CE24" s="935" t="str">
        <x:f t="shared" si="38"/>
        <x:v/>
      </x:c>
      <x:c r="CF24" s="1149"/>
      <x:c r="CG24" s="1150"/>
      <x:c r="CH24" s="738" t="str">
        <x:f t="shared" si="39"/>
        <x:v/>
      </x:c>
      <x:c r="CI24" s="739" t="str">
        <x:f t="shared" si="40"/>
        <x:v/>
      </x:c>
      <x:c r="CJ24" s="740" t="str">
        <x:f t="shared" si="41"/>
        <x:v/>
      </x:c>
      <x:c r="CK24" s="741" t="str">
        <x:f t="shared" si="42"/>
        <x:v/>
      </x:c>
      <x:c r="CL24" s="742" t="str">
        <x:f t="shared" si="43"/>
        <x:v/>
      </x:c>
      <x:c r="CM24" s="743" t="str">
        <x:f t="shared" si="44"/>
        <x:v/>
      </x:c>
      <x:c r="CN24" s="744" t="str">
        <x:f t="shared" si="45"/>
        <x:v/>
      </x:c>
      <x:c r="CO24" s="745" t="str">
        <x:f t="shared" si="46"/>
        <x:v/>
      </x:c>
      <x:c r="CP24" s="762" t="str">
        <x:f t="shared" si="47"/>
        <x:v/>
      </x:c>
      <x:c r="CQ24" s="763" t="str">
        <x:f t="shared" si="48"/>
        <x:v/>
      </x:c>
      <x:c r="CR24" s="953">
        <x:f t="shared" si="49"/>
        <x:v>5</x:v>
      </x:c>
      <x:c r="CS24" s="954">
        <x:f t="shared" si="50"/>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51"/>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52"/>
        <x:v>0</x:v>
      </x:c>
      <x:c r="DO24" s="1049">
        <x:f t="shared" si="53"/>
        <x:v>0</x:v>
      </x:c>
      <x:c r="DP24" s="1053" t="str">
        <x:f t="shared" si="54"/>
        <x:v/>
      </x:c>
      <x:c r="DQ24" s="1053" t="str">
        <x:f t="shared" si="55"/>
        <x:v/>
      </x:c>
      <x:c r="DR24" s="1053" t="str">
        <x:f t="shared" si="56"/>
        <x:v/>
      </x:c>
      <x:c r="DS24" s="1052">
        <x:f t="shared" si="57"/>
        <x:v>0</x:v>
      </x:c>
      <x:c r="DT24" s="1052">
        <x:f t="shared" si="58"/>
        <x:v>0</x:v>
      </x:c>
      <x:c r="DU24" s="1052" t="str">
        <x:f t="shared" si="59"/>
        <x:v/>
      </x:c>
      <x:c r="DV24" s="1053" t="str">
        <x:f t="shared" si="60"/>
        <x:v/>
      </x:c>
      <x:c r="DW24" s="1053" t="str">
        <x:f t="shared" si="61"/>
        <x:v/>
      </x:c>
      <x:c r="DX24" s="1269">
        <x:f t="shared" si="62"/>
        <x:v>0</x:v>
      </x:c>
      <x:c r="DY24" s="1053">
        <x:f t="shared" si="63"/>
        <x:v>0</x:v>
      </x:c>
      <x:c r="DZ24" s="1052">
        <x:f t="shared" si="64"/>
        <x:v>0</x:v>
      </x:c>
      <x:c r="EA24" s="1052" t="str">
        <x:f t="shared" si="65"/>
        <x:v/>
      </x:c>
      <x:c r="EB24" s="1053" t="str">
        <x:f t="shared" si="66"/>
        <x:v/>
      </x:c>
      <x:c r="EC24" s="1053" t="str">
        <x:f t="shared" si="67"/>
        <x:v/>
      </x:c>
      <x:c r="ED24" s="1269">
        <x:f t="shared" si="68"/>
        <x:v>0</x:v>
      </x:c>
      <x:c r="EE24" s="1090" t="str">
        <x:f t="shared" si="69"/>
        <x:v/>
      </x:c>
      <x:c r="EF24" s="1053" t="str">
        <x:f t="shared" si="70"/>
        <x:v/>
      </x:c>
      <x:c r="EG24" s="1053" t="str">
        <x:f t="shared" si="71"/>
        <x:v/>
      </x:c>
      <x:c r="EH24" s="1053" t="str">
        <x:f t="shared" si="72"/>
        <x:v>ERR</x:v>
      </x:c>
      <x:c r="EI24" s="1053" t="str">
        <x:f t="shared" si="73"/>
        <x:v>ERR</x:v>
      </x:c>
      <x:c r="EJ24" s="1053" t="str">
        <x:f t="shared" si="74"/>
        <x:v/>
      </x:c>
      <x:c r="EK24" s="1053" t="str">
        <x:f t="shared" si="74"/>
        <x:v/>
      </x:c>
      <x:c r="EL24" s="1090" t="str">
        <x:f t="shared" si="75"/>
        <x:v/>
      </x:c>
      <x:c r="EM24" s="1053" t="str">
        <x:f t="shared" si="76"/>
        <x:v/>
      </x:c>
      <x:c r="EN24" s="1053" t="str">
        <x:f t="shared" si="77"/>
        <x:v/>
      </x:c>
      <x:c r="EO24" s="1053" t="str">
        <x:f t="shared" si="78"/>
        <x:v>ERR</x:v>
      </x:c>
      <x:c r="EP24" s="1053" t="str">
        <x:f t="shared" si="79"/>
        <x:v>ERR</x:v>
      </x:c>
      <x:c r="EQ24" s="1053" t="str">
        <x:f t="shared" si="80"/>
        <x:v/>
      </x:c>
      <x:c r="ER24" s="1053" t="str">
        <x:f t="shared" si="80"/>
        <x:v/>
      </x:c>
      <x:c r="ES24" s="1053" t="str">
        <x:f t="shared" si="81"/>
        <x:v/>
      </x:c>
      <x:c r="ET24" s="1053" t="str">
        <x:f t="shared" si="82"/>
        <x:v/>
      </x:c>
      <x:c r="EU24" s="1061">
        <x:f t="shared" si="83"/>
        <x:v>4</x:v>
      </x:c>
      <x:c r="EV24" s="1055" t="str">
        <x:f t="shared" si="84"/>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5"/>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6"/>
        <x:v/>
      </x:c>
      <x:c r="FD24" s="1052">
        <x:f t="shared" si="108"/>
        <x:v>0</x:v>
      </x:c>
      <x:c r="FE24" s="1052">
        <x:f t="shared" si="87"/>
        <x:v>0</x:v>
      </x:c>
      <x:c r="FF24" s="1052">
        <x:f t="shared" si="88"/>
        <x:v>0</x:v>
      </x:c>
      <x:c r="FG24" s="1052" t="str">
        <x:f t="shared" si="89"/>
        <x:v/>
      </x:c>
      <x:c r="FH24" s="1053" t="str">
        <x:f t="shared" si="90"/>
        <x:v/>
      </x:c>
      <x:c r="FI24" s="1052">
        <x:f t="shared" si="109"/>
        <x:v>0</x:v>
      </x:c>
      <x:c r="FJ24" s="1052">
        <x:f t="shared" si="91"/>
        <x:v>0</x:v>
      </x:c>
      <x:c r="FK24" s="1052">
        <x:f t="shared" si="92"/>
        <x:v>0</x:v>
      </x:c>
      <x:c r="FL24" s="1052" t="str">
        <x:f t="shared" si="93"/>
        <x:v/>
      </x:c>
      <x:c r="FM24" s="1053" t="str">
        <x:f t="shared" si="94"/>
        <x:v/>
      </x:c>
      <x:c r="FN24" s="1053" t="e">
        <x:f t="shared" si="95"/>
        <x:v>#VALUE!</x:v>
      </x:c>
      <x:c r="FO24" s="1062" t="e">
        <x:f t="shared" si="96"/>
        <x:v>#VALUE!</x:v>
      </x:c>
      <x:c r="FP24" s="1062" t="e">
        <x:f t="shared" si="97"/>
        <x:v>#VALUE!</x:v>
      </x:c>
      <x:c r="FQ24" s="1063" t="e">
        <x:f t="shared" si="98"/>
        <x:v>#VALUE!</x:v>
      </x:c>
      <x:c r="FR24" s="1064" t="e">
        <x:f t="shared" si="99"/>
        <x:v>#VALUE!</x:v>
      </x:c>
      <x:c r="FS24" s="1065" t="str">
        <x:f t="shared" si="100"/>
        <x:v/>
      </x:c>
      <x:c r="FT24" s="1066" t="str">
        <x:f t="shared" si="101"/>
        <x:v/>
      </x:c>
      <x:c r="FU24" s="1105">
        <x:f t="shared" si="102"/>
        <x:v>0</x:v>
      </x:c>
      <x:c r="FV24" s="1106">
        <x:f t="shared" si="103"/>
        <x:v>0</x:v>
      </x:c>
      <x:c r="GA24" s="1975">
        <x:v>59</x:v>
      </x:c>
      <x:c r="GB24" s="1976">
        <x:v>2.75</x:v>
      </x:c>
      <x:c r="GC24" s="1977">
        <x:v>-1.875</x:v>
      </x:c>
      <x:c r="GD24" s="1978">
        <x:v>-0.25</x:v>
      </x:c>
      <x:c r="GE24" s="1979">
        <x:v>0.26169539219134702</x:v>
      </x:c>
      <x:c r="GF24" s="1980" t="str">
        <x:f t="shared" si="104"/>
        <x:v>J75</x:v>
      </x:c>
      <x:c r="GG24" s="1453"/>
      <x:c r="GH24" s="1454"/>
      <x:c r="GI24" s="1453"/>
      <x:c r="GJ24" s="1454"/>
      <x:c r="GK24" s="533">
        <x:f t="shared" si="105"/>
        <x:v>708.625</x:v>
      </x:c>
      <x:c r="GL24" s="534">
        <x:f t="shared" si="106"/>
        <x:v>708.79348626656247</x:v>
      </x:c>
      <x:c r="GM24" s="535">
        <x:f>IF(ABS(GK24-GL24)&gt;='Job Info.'!$L$22,ABS(GK24-GL24),0)</x:f>
        <x:v>0</x:v>
      </x:c>
      <x:c r="HA24" s="1658" t="s">
        <x:v>1399</x:v>
      </x:c>
      <x:c r="HB24" s="1659">
        <x:v>1</x:v>
      </x:c>
      <x:c r="HC24" s="1659" t="s">
        <x:v>1978</x:v>
      </x:c>
      <x:c r="HD24" s="1660">
        <x:v>59</x:v>
      </x:c>
      <x:c r="HE24" s="1661">
        <x:v>0.625</x:v>
      </x:c>
      <x:c r="HF24" s="1659" t="s">
        <x:v>117</x:v>
      </x:c>
      <x:c r="HG24" s="1659" t="s">
        <x:v>117</x:v>
      </x:c>
      <x:c r="HH24" s="1659" t="s">
        <x:v>117</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t="s">
        <x:v>117</x:v>
      </x:c>
      <x:c r="HZ24" s="1661" t="s">
        <x:v>117</x:v>
      </x:c>
      <x:c r="IA24" s="1661" t="s">
        <x:v>2116</x:v>
      </x:c>
      <x:c r="IB24" s="1661"/>
      <x:c r="IC24" s="1661"/>
      <x:c r="ID24" s="1661"/>
      <x:c r="IE24" s="1661"/>
      <x:c r="IF24" s="1663"/>
    </x:row>
    <x:row r="25" spans="1:240" ht="12.6" customHeight="1" x14ac:dyDescent="0.25">
      <x:c r="A25" s="1264" t="s">
        <x:v>1400</x:v>
      </x:c>
      <x:c r="B25" s="1265">
        <x:v>0</x:v>
      </x:c>
      <x:c r="C25" s="1265" t="s">
        <x:v>1978</x:v>
      </x:c>
      <x:c r="D25" s="1261">
        <x:v>58</x:v>
      </x:c>
      <x:c r="E25" s="1366">
        <x:v>11.875</x:v>
      </x:c>
      <x:c r="F25" s="1328" t="str">
        <x:f t="shared" si="1"/>
        <x:v/>
      </x:c>
      <x:c r="G25" s="1262" t="str">
        <x:f t="shared" si="2"/>
        <x:v/>
      </x:c>
      <x:c r="H25" s="1266" t="str">
        <x:f t="shared" si="3"/>
        <x:v/>
      </x:c>
      <x:c r="I25" s="1261">
        <x:v>0</x:v>
      </x:c>
      <x:c r="J25" s="1262">
        <x:v>0.625</x:v>
      </x:c>
      <x:c r="K25" s="1370" t="s">
        <x:v>114</x:v>
      </x:c>
      <x:c r="L25" s="1327">
        <x:v>3</x:v>
      </x:c>
      <x:c r="M25" s="1329">
        <x:v>3</x:v>
      </x:c>
      <x:c r="N25" s="1263" t="str">
        <x:f t="shared" si="4"/>
        <x:v/>
      </x:c>
      <x:c r="O25" s="1262" t="str">
        <x:f t="shared" si="5"/>
        <x:v/>
      </x:c>
      <x:c r="P25" s="1260" t="str">
        <x:f t="shared" si="6"/>
        <x:v/>
      </x:c>
      <x:c r="Q25" s="1261">
        <x:v>0</x:v>
      </x:c>
      <x:c r="R25" s="1262">
        <x:v>6.75</x:v>
      </x:c>
      <x:c r="S25" s="1375">
        <x:v>2</x:v>
      </x:c>
      <x:c r="T25" s="1328">
        <x:v>0</x:v>
      </x:c>
      <x:c r="U25" s="1262">
        <x:v>1.125</x:v>
      </x:c>
      <x:c r="V25" s="1261">
        <x:v>0</x:v>
      </x:c>
      <x:c r="W25" s="1262">
        <x:v>1.5</x:v>
      </x:c>
      <x:c r="X25" s="1329">
        <x:v>4</x:v>
      </x:c>
      <x:c r="Y25" s="1377" t="str">
        <x:f t="shared" si="15"/>
        <x:v/>
      </x:c>
      <x:c r="Z25" s="1378" t="str">
        <x:f t="shared" si="16"/>
        <x:v/>
      </x:c>
      <x:c r="AA25" s="2159" t="s">
        <x:v>2094</x:v>
      </x:c>
      <x:c r="AC25" s="1226" t="b">
        <x:v>0</x:v>
      </x:c>
      <x:c r="AD25" s="525">
        <x:f t="shared" si="17"/>
        <x:v>0</x:v>
      </x:c>
      <x:c r="AE25" s="526">
        <x:f t="shared" si="18"/>
        <x:v>0</x:v>
      </x:c>
      <x:c r="AF25" s="526">
        <x:f t="shared" si="19"/>
        <x:v>0</x:v>
      </x:c>
      <x:c r="AG25" s="526">
        <x:f t="shared" si="20"/>
        <x:v>0</x:v>
      </x:c>
      <x:c r="AH25" s="527">
        <x:f t="shared" si="21"/>
        <x:v>0</x:v>
      </x:c>
      <x:c r="AI25" s="528" t="b">
        <x:v>0</x:v>
      </x:c>
      <x:c r="AJ25" s="284">
        <x:f t="shared" si="22"/>
        <x:v>36</x:v>
      </x:c>
      <x:c r="AK25" s="1063" t="str">
        <x:f t="shared" si="23"/>
        <x:v>LH</x:v>
      </x:c>
      <x:c r="AL25" s="1202" t="str">
        <x:f t="shared" si="24"/>
        <x:v/>
      </x:c>
      <x:c r="AM25" s="1063">
        <x:f t="shared" si="25"/>
        <x:v>270</x:v>
      </x:c>
      <x:c r="AN25" s="1063">
        <x:f t="shared" si="26"/>
        <x:v>120</x:v>
      </x:c>
      <x:c r="AO25" s="1063" t="str">
        <x:f t="shared" si="27"/>
        <x:v/>
      </x:c>
      <x:c r="AP25" s="1063" t="b">
        <x:f>IF(ISERROR(AJ25),FALSE,IF(OR(AJ25=0,ISERROR(AL25),ISERROR(AM25),ISERROR(AN25),ISERROR(AO25)),FALSE,IF(AL25&lt;&gt;"",IF(ISERROR(VLOOKUP(SUBSTITUTE(SUBSTITUTE(C25,"R",""),"A",""),TblJoistSize!$A:$A,1,FALSE)),FALSE,TRUE),TRUE)))</x:f>
        <x:v>1</x:v>
      </x:c>
      <x:c r="AQ25" s="1305">
        <x:f t="shared" si="28"/>
        <x:v>6</x:v>
      </x:c>
      <x:c r="AR25" s="1305" t="b">
        <x:f t="shared" si="29"/>
        <x:v>1</x:v>
      </x:c>
      <x:c r="AS25" s="1305">
        <x:f t="shared" si="30"/>
        <x:v>6.625</x:v>
      </x:c>
      <x:c r="AT25" s="1305" t="b">
        <x:f t="shared" si="31"/>
        <x:v>1</x:v>
      </x:c>
      <x:c r="AU25" s="1203" t="str">
        <x:f t="shared" si="32"/>
        <x:v>LH</x:v>
      </x:c>
      <x:c r="AV25" s="1063" t="str">
        <x:f t="shared" si="33"/>
        <x:v/>
      </x:c>
      <x:c r="AW25" s="1063" t="str">
        <x:f t="shared" si="34"/>
        <x:v>LH</x:v>
      </x:c>
      <x:c r="AX25" s="1063" t="str">
        <x:f t="shared" si="107"/>
        <x:v>TJ76</x:v>
      </x:c>
      <x:c r="AY25" s="1306" t="b">
        <x:f t="shared" si="35"/>
        <x:v>0</x:v>
      </x:c>
      <x:c r="AZ25" s="1090" t="b">
        <x:f t="shared" si="36"/>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7"/>
        <x:v/>
      </x:c>
      <x:c r="CE25" s="935" t="str">
        <x:f t="shared" si="38"/>
        <x:v/>
      </x:c>
      <x:c r="CF25" s="1149"/>
      <x:c r="CG25" s="1150"/>
      <x:c r="CH25" s="738" t="str">
        <x:f t="shared" si="39"/>
        <x:v/>
      </x:c>
      <x:c r="CI25" s="739" t="str">
        <x:f t="shared" si="40"/>
        <x:v/>
      </x:c>
      <x:c r="CJ25" s="740" t="str">
        <x:f t="shared" si="41"/>
        <x:v/>
      </x:c>
      <x:c r="CK25" s="741" t="str">
        <x:f t="shared" si="42"/>
        <x:v/>
      </x:c>
      <x:c r="CL25" s="742" t="str">
        <x:f t="shared" si="43"/>
        <x:v/>
      </x:c>
      <x:c r="CM25" s="743" t="str">
        <x:f t="shared" si="44"/>
        <x:v/>
      </x:c>
      <x:c r="CN25" s="744" t="str">
        <x:f t="shared" si="45"/>
        <x:v/>
      </x:c>
      <x:c r="CO25" s="745" t="str">
        <x:f t="shared" si="46"/>
        <x:v/>
      </x:c>
      <x:c r="CP25" s="762" t="str">
        <x:f t="shared" si="47"/>
        <x:v/>
      </x:c>
      <x:c r="CQ25" s="763" t="str">
        <x:f t="shared" si="48"/>
        <x:v/>
      </x:c>
      <x:c r="CR25" s="953">
        <x:f t="shared" si="49"/>
        <x:v>5</x:v>
      </x:c>
      <x:c r="CS25" s="954">
        <x:f t="shared" si="50"/>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51"/>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52"/>
        <x:v>0</x:v>
      </x:c>
      <x:c r="DO25" s="1049">
        <x:f t="shared" si="53"/>
        <x:v>0</x:v>
      </x:c>
      <x:c r="DP25" s="1053" t="str">
        <x:f t="shared" si="54"/>
        <x:v/>
      </x:c>
      <x:c r="DQ25" s="1053" t="str">
        <x:f t="shared" si="55"/>
        <x:v/>
      </x:c>
      <x:c r="DR25" s="1053" t="str">
        <x:f t="shared" si="56"/>
        <x:v/>
      </x:c>
      <x:c r="DS25" s="1052">
        <x:f t="shared" si="57"/>
        <x:v>0</x:v>
      </x:c>
      <x:c r="DT25" s="1052">
        <x:f t="shared" si="58"/>
        <x:v>0</x:v>
      </x:c>
      <x:c r="DU25" s="1052" t="str">
        <x:f t="shared" si="59"/>
        <x:v/>
      </x:c>
      <x:c r="DV25" s="1053" t="str">
        <x:f t="shared" si="60"/>
        <x:v/>
      </x:c>
      <x:c r="DW25" s="1053" t="str">
        <x:f t="shared" si="61"/>
        <x:v/>
      </x:c>
      <x:c r="DX25" s="1269">
        <x:f t="shared" si="62"/>
        <x:v>0</x:v>
      </x:c>
      <x:c r="DY25" s="1053">
        <x:f t="shared" si="63"/>
        <x:v>0</x:v>
      </x:c>
      <x:c r="DZ25" s="1052">
        <x:f t="shared" si="64"/>
        <x:v>0</x:v>
      </x:c>
      <x:c r="EA25" s="1052" t="str">
        <x:f t="shared" si="65"/>
        <x:v/>
      </x:c>
      <x:c r="EB25" s="1053" t="str">
        <x:f t="shared" si="66"/>
        <x:v/>
      </x:c>
      <x:c r="EC25" s="1053" t="str">
        <x:f t="shared" si="67"/>
        <x:v/>
      </x:c>
      <x:c r="ED25" s="1269">
        <x:f t="shared" si="68"/>
        <x:v>0</x:v>
      </x:c>
      <x:c r="EE25" s="1090" t="str">
        <x:f t="shared" si="69"/>
        <x:v/>
      </x:c>
      <x:c r="EF25" s="1053" t="str">
        <x:f t="shared" si="70"/>
        <x:v/>
      </x:c>
      <x:c r="EG25" s="1053" t="str">
        <x:f t="shared" si="71"/>
        <x:v/>
      </x:c>
      <x:c r="EH25" s="1053" t="str">
        <x:f t="shared" si="72"/>
        <x:v>ERR</x:v>
      </x:c>
      <x:c r="EI25" s="1053" t="str">
        <x:f t="shared" si="73"/>
        <x:v>ERR</x:v>
      </x:c>
      <x:c r="EJ25" s="1053" t="str">
        <x:f t="shared" si="74"/>
        <x:v/>
      </x:c>
      <x:c r="EK25" s="1053" t="str">
        <x:f t="shared" si="74"/>
        <x:v/>
      </x:c>
      <x:c r="EL25" s="1090" t="str">
        <x:f t="shared" si="75"/>
        <x:v/>
      </x:c>
      <x:c r="EM25" s="1053" t="str">
        <x:f t="shared" si="76"/>
        <x:v/>
      </x:c>
      <x:c r="EN25" s="1053" t="str">
        <x:f t="shared" si="77"/>
        <x:v/>
      </x:c>
      <x:c r="EO25" s="1053" t="str">
        <x:f t="shared" si="78"/>
        <x:v>ERR</x:v>
      </x:c>
      <x:c r="EP25" s="1053" t="str">
        <x:f t="shared" si="79"/>
        <x:v>ERR</x:v>
      </x:c>
      <x:c r="EQ25" s="1053" t="str">
        <x:f t="shared" si="80"/>
        <x:v/>
      </x:c>
      <x:c r="ER25" s="1053" t="str">
        <x:f t="shared" si="80"/>
        <x:v/>
      </x:c>
      <x:c r="ES25" s="1053" t="str">
        <x:f t="shared" si="81"/>
        <x:v/>
      </x:c>
      <x:c r="ET25" s="1053" t="str">
        <x:f t="shared" si="82"/>
        <x:v/>
      </x:c>
      <x:c r="EU25" s="1061">
        <x:f t="shared" si="83"/>
        <x:v>4</x:v>
      </x:c>
      <x:c r="EV25" s="1055" t="str">
        <x:f t="shared" si="84"/>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5"/>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6"/>
        <x:v/>
      </x:c>
      <x:c r="FD25" s="1052">
        <x:f t="shared" si="108"/>
        <x:v>0</x:v>
      </x:c>
      <x:c r="FE25" s="1052">
        <x:f t="shared" si="87"/>
        <x:v>0</x:v>
      </x:c>
      <x:c r="FF25" s="1052">
        <x:f t="shared" si="88"/>
        <x:v>0</x:v>
      </x:c>
      <x:c r="FG25" s="1052" t="str">
        <x:f t="shared" si="89"/>
        <x:v/>
      </x:c>
      <x:c r="FH25" s="1053" t="str">
        <x:f t="shared" si="90"/>
        <x:v/>
      </x:c>
      <x:c r="FI25" s="1052">
        <x:f t="shared" si="109"/>
        <x:v>0</x:v>
      </x:c>
      <x:c r="FJ25" s="1052">
        <x:f t="shared" si="91"/>
        <x:v>0</x:v>
      </x:c>
      <x:c r="FK25" s="1052">
        <x:f t="shared" si="92"/>
        <x:v>0</x:v>
      </x:c>
      <x:c r="FL25" s="1052" t="str">
        <x:f t="shared" si="93"/>
        <x:v/>
      </x:c>
      <x:c r="FM25" s="1053" t="str">
        <x:f t="shared" si="94"/>
        <x:v/>
      </x:c>
      <x:c r="FN25" s="1053" t="e">
        <x:f t="shared" si="95"/>
        <x:v>#VALUE!</x:v>
      </x:c>
      <x:c r="FO25" s="1062" t="e">
        <x:f t="shared" si="96"/>
        <x:v>#VALUE!</x:v>
      </x:c>
      <x:c r="FP25" s="1062" t="e">
        <x:f t="shared" si="97"/>
        <x:v>#VALUE!</x:v>
      </x:c>
      <x:c r="FQ25" s="1063" t="e">
        <x:f t="shared" si="98"/>
        <x:v>#VALUE!</x:v>
      </x:c>
      <x:c r="FR25" s="1064" t="e">
        <x:f t="shared" si="99"/>
        <x:v>#VALUE!</x:v>
      </x:c>
      <x:c r="FS25" s="1065" t="str">
        <x:f t="shared" si="100"/>
        <x:v/>
      </x:c>
      <x:c r="FT25" s="1066" t="str">
        <x:f t="shared" si="101"/>
        <x:v/>
      </x:c>
      <x:c r="FU25" s="1105">
        <x:f t="shared" si="102"/>
        <x:v>0</x:v>
      </x:c>
      <x:c r="FV25" s="1106">
        <x:f t="shared" si="103"/>
        <x:v>0</x:v>
      </x:c>
      <x:c r="GA25" s="1975">
        <x:v>59</x:v>
      </x:c>
      <x:c r="GB25" s="1976">
        <x:v>2.75</x:v>
      </x:c>
      <x:c r="GC25" s="1977">
        <x:v>-1.875</x:v>
      </x:c>
      <x:c r="GD25" s="1978">
        <x:v>-1</x:v>
      </x:c>
      <x:c r="GE25" s="1979">
        <x:v>0.26169539219134702</x:v>
      </x:c>
      <x:c r="GF25" s="1980" t="str">
        <x:f t="shared" si="104"/>
        <x:v>TJ76</x:v>
      </x:c>
      <x:c r="GG25" s="1453"/>
      <x:c r="GH25" s="1454"/>
      <x:c r="GI25" s="1453"/>
      <x:c r="GJ25" s="1454"/>
      <x:c r="GK25" s="533">
        <x:f t="shared" si="105"/>
        <x:v>707.875</x:v>
      </x:c>
      <x:c r="GL25" s="534">
        <x:f t="shared" si="106"/>
        <x:v>708.04330794276643</x:v>
      </x:c>
      <x:c r="GM25" s="535">
        <x:f>IF(ABS(GK25-GL25)&gt;='Job Info.'!$L$22,ABS(GK25-GL25),0)</x:f>
        <x:v>0</x:v>
      </x:c>
      <x:c r="HA25" s="1658" t="s">
        <x:v>1400</x:v>
      </x:c>
      <x:c r="HB25" s="1659">
        <x:v>1</x:v>
      </x:c>
      <x:c r="HC25" s="1659" t="s">
        <x:v>1978</x:v>
      </x:c>
      <x:c r="HD25" s="1660">
        <x:v>58</x:v>
      </x:c>
      <x:c r="HE25" s="1661">
        <x:v>11.875</x:v>
      </x:c>
      <x:c r="HF25" s="1659" t="s">
        <x:v>117</x:v>
      </x:c>
      <x:c r="HG25" s="1659" t="s">
        <x:v>117</x:v>
      </x:c>
      <x:c r="HH25" s="1659" t="s">
        <x:v>117</x:v>
      </x:c>
      <x:c r="HI25" s="1662">
        <x:v>0</x:v>
      </x:c>
      <x:c r="HJ25" s="1659">
        <x:v>0.625</x:v>
      </x:c>
      <x:c r="HK25" s="1659" t="s">
        <x:v>114</x:v>
      </x:c>
      <x:c r="HL25" s="1659">
        <x:v>3</x:v>
      </x:c>
      <x:c r="HM25" s="1659">
        <x:v>3</x:v>
      </x:c>
      <x:c r="HN25" s="1659" t="s">
        <x:v>117</x:v>
      </x:c>
      <x:c r="HO25" s="1659" t="s">
        <x:v>117</x:v>
      </x:c>
      <x:c r="HP25" s="1659" t="s">
        <x:v>117</x:v>
      </x:c>
      <x:c r="HQ25" s="1662">
        <x:v>0</x:v>
      </x:c>
      <x:c r="HR25" s="1659">
        <x:v>6.75</x:v>
      </x:c>
      <x:c r="HS25" s="1659">
        <x:v>2</x:v>
      </x:c>
      <x:c r="HT25" s="1659">
        <x:v>0</x:v>
      </x:c>
      <x:c r="HU25" s="1659">
        <x:v>1.125</x:v>
      </x:c>
      <x:c r="HV25" s="1659">
        <x:v>0</x:v>
      </x:c>
      <x:c r="HW25" s="1661">
        <x:v>1.5</x:v>
      </x:c>
      <x:c r="HX25" s="1661">
        <x:v>4</x:v>
      </x:c>
      <x:c r="HY25" s="1661" t="s">
        <x:v>117</x:v>
      </x:c>
      <x:c r="HZ25" s="1661" t="s">
        <x:v>117</x:v>
      </x:c>
      <x:c r="IA25" s="1661" t="s">
        <x:v>2094</x:v>
      </x:c>
      <x:c r="IB25" s="1661"/>
      <x:c r="IC25" s="1661"/>
      <x:c r="ID25" s="1661"/>
      <x:c r="IE25" s="1661"/>
      <x:c r="IF25" s="1663"/>
    </x:row>
    <x:row r="26" spans="1:240" ht="12.6" customHeight="1" x14ac:dyDescent="0.25">
      <x:c r="A26" s="1264" t="s">
        <x:v>1401</x:v>
      </x:c>
      <x:c r="B26" s="1265">
        <x:v>0</x:v>
      </x:c>
      <x:c r="C26" s="1265" t="s">
        <x:v>1978</x:v>
      </x:c>
      <x:c r="D26" s="1261">
        <x:v>60</x:v>
      </x:c>
      <x:c r="E26" s="1366">
        <x:v>0</x:v>
      </x:c>
      <x:c r="F26" s="1328">
        <x:v>0</x:v>
      </x:c>
      <x:c r="G26" s="1262">
        <x:v>1.375</x:v>
      </x:c>
      <x:c r="H26" s="1266" t="s">
        <x:v>114</x:v>
      </x:c>
      <x:c r="I26" s="1261">
        <x:v>0</x:v>
      </x:c>
      <x:c r="J26" s="1262">
        <x:v>1.375</x:v>
      </x:c>
      <x:c r="K26" s="1370" t="s">
        <x:v>114</x:v>
      </x:c>
      <x:c r="L26" s="1327">
        <x:v>3</x:v>
      </x:c>
      <x:c r="M26" s="1329">
        <x:v>3</x:v>
      </x:c>
      <x:c r="N26" s="1263" t="str">
        <x:f t="shared" si="4"/>
        <x:v/>
      </x:c>
      <x:c r="O26" s="1262" t="str">
        <x:f t="shared" si="5"/>
        <x:v/>
      </x:c>
      <x:c r="P26" s="1260" t="str">
        <x:f t="shared" si="6"/>
        <x:v/>
      </x:c>
      <x:c r="Q26" s="1261" t="str">
        <x:f t="shared" si="7"/>
        <x:v/>
      </x:c>
      <x:c r="R26" s="1262" t="str">
        <x:f t="shared" si="8"/>
        <x:v/>
      </x:c>
      <x:c r="S26" s="1375" t="str">
        <x:f t="shared" si="9"/>
        <x:v/>
      </x:c>
      <x:c r="T26" s="1328" t="str">
        <x:f t="shared" si="10"/>
        <x:v/>
      </x:c>
      <x:c r="U26" s="1262" t="str">
        <x:f t="shared" si="11"/>
        <x:v/>
      </x:c>
      <x:c r="V26" s="1261" t="str">
        <x:f t="shared" si="12"/>
        <x:v/>
      </x:c>
      <x:c r="W26" s="1262" t="str">
        <x:f t="shared" si="13"/>
        <x:v/>
      </x:c>
      <x:c r="X26" s="1329">
        <x:f t="shared" si="14"/>
        <x:v>0</x:v>
      </x:c>
      <x:c r="Y26" s="1377">
        <x:v>0.46666666666666701</x:v>
      </x:c>
      <x:c r="Z26" s="1378">
        <x:v>-0.46666666666666701</x:v>
      </x:c>
      <x:c r="AA26" s="2159" t="s">
        <x:v>2117</x:v>
      </x:c>
      <x:c r="AC26" s="1226" t="b">
        <x:v>0</x:v>
      </x:c>
      <x:c r="AD26" s="525">
        <x:f t="shared" si="17"/>
        <x:v>0</x:v>
      </x:c>
      <x:c r="AE26" s="526">
        <x:f t="shared" si="18"/>
        <x:v>0</x:v>
      </x:c>
      <x:c r="AF26" s="526">
        <x:f t="shared" si="19"/>
        <x:v>0</x:v>
      </x:c>
      <x:c r="AG26" s="526">
        <x:f t="shared" si="20"/>
        <x:v>0</x:v>
      </x:c>
      <x:c r="AH26" s="527">
        <x:f t="shared" si="21"/>
        <x:v>0</x:v>
      </x:c>
      <x:c r="AI26" s="528" t="b">
        <x:v>0</x:v>
      </x:c>
      <x:c r="AJ26" s="284">
        <x:f t="shared" si="22"/>
        <x:v>36</x:v>
      </x:c>
      <x:c r="AK26" s="1063" t="str">
        <x:f t="shared" si="23"/>
        <x:v>LH</x:v>
      </x:c>
      <x:c r="AL26" s="1202" t="str">
        <x:f t="shared" si="24"/>
        <x:v/>
      </x:c>
      <x:c r="AM26" s="1063">
        <x:f t="shared" si="25"/>
        <x:v>270</x:v>
      </x:c>
      <x:c r="AN26" s="1063">
        <x:f t="shared" si="26"/>
        <x:v>120</x:v>
      </x:c>
      <x:c r="AO26" s="1063" t="str">
        <x:f t="shared" si="27"/>
        <x:v/>
      </x:c>
      <x:c r="AP26" s="1063" t="b">
        <x:f>IF(ISERROR(AJ26),FALSE,IF(OR(AJ26=0,ISERROR(AL26),ISERROR(AM26),ISERROR(AN26),ISERROR(AO26)),FALSE,IF(AL26&lt;&gt;"",IF(ISERROR(VLOOKUP(SUBSTITUTE(SUBSTITUTE(C26,"R",""),"A",""),TblJoistSize!$A:$A,1,FALSE)),FALSE,TRUE),TRUE)))</x:f>
        <x:v>1</x:v>
      </x:c>
      <x:c r="AQ26" s="1305">
        <x:f t="shared" si="28"/>
        <x:v>7.375</x:v>
      </x:c>
      <x:c r="AR26" s="1305" t="b">
        <x:f t="shared" si="29"/>
        <x:v>0</x:v>
      </x:c>
      <x:c r="AS26" s="1305">
        <x:f t="shared" si="30"/>
        <x:v>7.375</x:v>
      </x:c>
      <x:c r="AT26" s="1305" t="b">
        <x:f t="shared" si="31"/>
        <x:v>0</x:v>
      </x:c>
      <x:c r="AU26" s="1203" t="str">
        <x:f t="shared" si="32"/>
        <x:v>LH</x:v>
      </x:c>
      <x:c r="AV26" s="1063" t="str">
        <x:f t="shared" si="33"/>
        <x:v/>
      </x:c>
      <x:c r="AW26" s="1063" t="str">
        <x:f t="shared" si="34"/>
        <x:v>LH</x:v>
      </x:c>
      <x:c r="AX26" s="1063" t="str">
        <x:f t="shared" si="107"/>
        <x:v>J77</x:v>
      </x:c>
      <x:c r="AY26" s="1306" t="b">
        <x:f t="shared" si="35"/>
        <x:v>0</x:v>
      </x:c>
      <x:c r="AZ26" s="1090" t="b">
        <x:f t="shared" si="36"/>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7"/>
        <x:v/>
      </x:c>
      <x:c r="CE26" s="935" t="str">
        <x:f t="shared" si="38"/>
        <x:v/>
      </x:c>
      <x:c r="CF26" s="1149"/>
      <x:c r="CG26" s="1150"/>
      <x:c r="CH26" s="738" t="str">
        <x:f t="shared" si="39"/>
        <x:v/>
      </x:c>
      <x:c r="CI26" s="739" t="str">
        <x:f t="shared" si="40"/>
        <x:v/>
      </x:c>
      <x:c r="CJ26" s="740" t="str">
        <x:f t="shared" si="41"/>
        <x:v/>
      </x:c>
      <x:c r="CK26" s="741" t="str">
        <x:f t="shared" si="42"/>
        <x:v/>
      </x:c>
      <x:c r="CL26" s="742" t="str">
        <x:f t="shared" si="43"/>
        <x:v/>
      </x:c>
      <x:c r="CM26" s="743" t="str">
        <x:f t="shared" si="44"/>
        <x:v/>
      </x:c>
      <x:c r="CN26" s="744" t="str">
        <x:f t="shared" si="45"/>
        <x:v/>
      </x:c>
      <x:c r="CO26" s="745" t="str">
        <x:f t="shared" si="46"/>
        <x:v/>
      </x:c>
      <x:c r="CP26" s="762" t="str">
        <x:f t="shared" si="47"/>
        <x:v/>
      </x:c>
      <x:c r="CQ26" s="763" t="str">
        <x:f t="shared" si="48"/>
        <x:v/>
      </x:c>
      <x:c r="CR26" s="953">
        <x:f t="shared" si="49"/>
        <x:v>5</x:v>
      </x:c>
      <x:c r="CS26" s="954">
        <x:f t="shared" si="50"/>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51"/>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52"/>
        <x:v>0</x:v>
      </x:c>
      <x:c r="DO26" s="1049">
        <x:f t="shared" si="53"/>
        <x:v>0</x:v>
      </x:c>
      <x:c r="DP26" s="1053" t="str">
        <x:f t="shared" si="54"/>
        <x:v/>
      </x:c>
      <x:c r="DQ26" s="1053" t="str">
        <x:f t="shared" si="55"/>
        <x:v/>
      </x:c>
      <x:c r="DR26" s="1053" t="str">
        <x:f t="shared" si="56"/>
        <x:v/>
      </x:c>
      <x:c r="DS26" s="1052">
        <x:f t="shared" si="57"/>
        <x:v>0</x:v>
      </x:c>
      <x:c r="DT26" s="1052">
        <x:f t="shared" si="58"/>
        <x:v>0</x:v>
      </x:c>
      <x:c r="DU26" s="1052" t="str">
        <x:f t="shared" si="59"/>
        <x:v/>
      </x:c>
      <x:c r="DV26" s="1053" t="str">
        <x:f t="shared" si="60"/>
        <x:v/>
      </x:c>
      <x:c r="DW26" s="1053" t="str">
        <x:f t="shared" si="61"/>
        <x:v/>
      </x:c>
      <x:c r="DX26" s="1269">
        <x:f t="shared" si="62"/>
        <x:v>0</x:v>
      </x:c>
      <x:c r="DY26" s="1053">
        <x:f t="shared" si="63"/>
        <x:v>0</x:v>
      </x:c>
      <x:c r="DZ26" s="1052">
        <x:f t="shared" si="64"/>
        <x:v>0</x:v>
      </x:c>
      <x:c r="EA26" s="1052" t="str">
        <x:f t="shared" si="65"/>
        <x:v/>
      </x:c>
      <x:c r="EB26" s="1053" t="str">
        <x:f t="shared" si="66"/>
        <x:v/>
      </x:c>
      <x:c r="EC26" s="1053" t="str">
        <x:f t="shared" si="67"/>
        <x:v/>
      </x:c>
      <x:c r="ED26" s="1269">
        <x:f t="shared" si="68"/>
        <x:v>0</x:v>
      </x:c>
      <x:c r="EE26" s="1090" t="str">
        <x:f t="shared" si="69"/>
        <x:v/>
      </x:c>
      <x:c r="EF26" s="1053" t="str">
        <x:f t="shared" si="70"/>
        <x:v/>
      </x:c>
      <x:c r="EG26" s="1053" t="str">
        <x:f t="shared" si="71"/>
        <x:v/>
      </x:c>
      <x:c r="EH26" s="1053" t="str">
        <x:f t="shared" si="72"/>
        <x:v>ERR</x:v>
      </x:c>
      <x:c r="EI26" s="1053" t="str">
        <x:f t="shared" si="73"/>
        <x:v>ERR</x:v>
      </x:c>
      <x:c r="EJ26" s="1053" t="str">
        <x:f t="shared" si="74"/>
        <x:v/>
      </x:c>
      <x:c r="EK26" s="1053" t="str">
        <x:f t="shared" si="74"/>
        <x:v/>
      </x:c>
      <x:c r="EL26" s="1090" t="str">
        <x:f t="shared" si="75"/>
        <x:v/>
      </x:c>
      <x:c r="EM26" s="1053" t="str">
        <x:f t="shared" si="76"/>
        <x:v/>
      </x:c>
      <x:c r="EN26" s="1053" t="str">
        <x:f t="shared" si="77"/>
        <x:v/>
      </x:c>
      <x:c r="EO26" s="1053" t="str">
        <x:f t="shared" si="78"/>
        <x:v>ERR</x:v>
      </x:c>
      <x:c r="EP26" s="1053" t="str">
        <x:f t="shared" si="79"/>
        <x:v>ERR</x:v>
      </x:c>
      <x:c r="EQ26" s="1053" t="str">
        <x:f t="shared" si="80"/>
        <x:v/>
      </x:c>
      <x:c r="ER26" s="1053" t="str">
        <x:f t="shared" si="80"/>
        <x:v/>
      </x:c>
      <x:c r="ES26" s="1053" t="str">
        <x:f t="shared" si="81"/>
        <x:v/>
      </x:c>
      <x:c r="ET26" s="1053" t="str">
        <x:f t="shared" si="82"/>
        <x:v/>
      </x:c>
      <x:c r="EU26" s="1061">
        <x:f t="shared" si="83"/>
        <x:v>4</x:v>
      </x:c>
      <x:c r="EV26" s="1055" t="str">
        <x:f t="shared" si="84"/>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5"/>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6"/>
        <x:v/>
      </x:c>
      <x:c r="FD26" s="1052">
        <x:f t="shared" si="108"/>
        <x:v>0</x:v>
      </x:c>
      <x:c r="FE26" s="1052">
        <x:f t="shared" si="87"/>
        <x:v>0</x:v>
      </x:c>
      <x:c r="FF26" s="1052">
        <x:f t="shared" si="88"/>
        <x:v>0</x:v>
      </x:c>
      <x:c r="FG26" s="1052" t="str">
        <x:f t="shared" si="89"/>
        <x:v/>
      </x:c>
      <x:c r="FH26" s="1053" t="str">
        <x:f t="shared" si="90"/>
        <x:v/>
      </x:c>
      <x:c r="FI26" s="1052">
        <x:f t="shared" si="109"/>
        <x:v>0</x:v>
      </x:c>
      <x:c r="FJ26" s="1052">
        <x:f t="shared" si="91"/>
        <x:v>0</x:v>
      </x:c>
      <x:c r="FK26" s="1052">
        <x:f t="shared" si="92"/>
        <x:v>0</x:v>
      </x:c>
      <x:c r="FL26" s="1052" t="str">
        <x:f t="shared" si="93"/>
        <x:v/>
      </x:c>
      <x:c r="FM26" s="1053" t="str">
        <x:f t="shared" si="94"/>
        <x:v/>
      </x:c>
      <x:c r="FN26" s="1053" t="e">
        <x:f t="shared" si="95"/>
        <x:v>#VALUE!</x:v>
      </x:c>
      <x:c r="FO26" s="1062" t="e">
        <x:f t="shared" si="96"/>
        <x:v>#VALUE!</x:v>
      </x:c>
      <x:c r="FP26" s="1062" t="e">
        <x:f t="shared" si="97"/>
        <x:v>#VALUE!</x:v>
      </x:c>
      <x:c r="FQ26" s="1063" t="e">
        <x:f t="shared" si="98"/>
        <x:v>#VALUE!</x:v>
      </x:c>
      <x:c r="FR26" s="1064" t="e">
        <x:f t="shared" si="99"/>
        <x:v>#VALUE!</x:v>
      </x:c>
      <x:c r="FS26" s="1065" t="str">
        <x:f t="shared" si="100"/>
        <x:v/>
      </x:c>
      <x:c r="FT26" s="1066" t="str">
        <x:f t="shared" si="101"/>
        <x:v/>
      </x:c>
      <x:c r="FU26" s="1105">
        <x:f t="shared" si="102"/>
        <x:v>0</x:v>
      </x:c>
      <x:c r="FV26" s="1106">
        <x:f t="shared" si="103"/>
        <x:v>0</x:v>
      </x:c>
      <x:c r="GA26" s="1975">
        <x:v>60</x:v>
      </x:c>
      <x:c r="GB26" s="1976">
        <x:v>0</x:v>
      </x:c>
      <x:c r="GC26" s="1977">
        <x:v>-0.25</x:v>
      </x:c>
      <x:c r="GD26" s="1978">
        <x:v>-0.25</x:v>
      </x:c>
      <x:c r="GE26" s="1979">
        <x:v>0.46666666666666701</x:v>
      </x:c>
      <x:c r="GF26" s="1980" t="str">
        <x:f t="shared" si="104"/>
        <x:v>J77</x:v>
      </x:c>
      <x:c r="GG26" s="1453"/>
      <x:c r="GH26" s="1454"/>
      <x:c r="GI26" s="1453"/>
      <x:c r="GJ26" s="1454"/>
      <x:c r="GK26" s="533">
        <x:f t="shared" si="105"/>
        <x:v>720</x:v>
      </x:c>
      <x:c r="GL26" s="534">
        <x:f t="shared" si="106"/>
        <x:v>720.04386080932431</x:v>
      </x:c>
      <x:c r="GM26" s="535">
        <x:f>IF(ABS(GK26-GL26)&gt;='Job Info.'!$L$22,ABS(GK26-GL26),0)</x:f>
        <x:v>0</x:v>
      </x:c>
      <x:c r="HA26" s="1658" t="s">
        <x:v>1401</x:v>
      </x:c>
      <x:c r="HB26" s="1659">
        <x:v>1</x:v>
      </x:c>
      <x:c r="HC26" s="1659" t="s">
        <x:v>1978</x:v>
      </x:c>
      <x:c r="HD26" s="1660">
        <x:v>60</x:v>
      </x:c>
      <x:c r="HE26" s="1661">
        <x:v>0</x:v>
      </x:c>
      <x:c r="HF26" s="1659">
        <x:v>0</x:v>
      </x:c>
      <x:c r="HG26" s="1659">
        <x:v>1.375</x:v>
      </x:c>
      <x:c r="HH26" s="1659" t="s">
        <x:v>114</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x:v>0.46666666666666701</x:v>
      </x:c>
      <x:c r="HZ26" s="1661">
        <x:v>-0.46666666666666701</x:v>
      </x:c>
      <x:c r="IA26" s="1661" t="s">
        <x:v>2117</x:v>
      </x:c>
      <x:c r="IB26" s="1661"/>
      <x:c r="IC26" s="1661"/>
      <x:c r="ID26" s="1661"/>
      <x:c r="IE26" s="1661"/>
      <x:c r="IF26" s="1663"/>
    </x:row>
    <x:row r="27" spans="1:240" ht="12.6" customHeight="1" x14ac:dyDescent="0.25">
      <x:c r="A27" s="1264" t="s">
        <x:v>1402</x:v>
      </x:c>
      <x:c r="B27" s="1265">
        <x:v>0</x:v>
      </x:c>
      <x:c r="C27" s="1265" t="s">
        <x:v>1978</x:v>
      </x:c>
      <x:c r="D27" s="1261">
        <x:v>59</x:v>
      </x:c>
      <x:c r="E27" s="1366">
        <x:v>10.5</x:v>
      </x:c>
      <x:c r="F27" s="1328">
        <x:v>0</x:v>
      </x:c>
      <x:c r="G27" s="1262">
        <x:v>0.625</x:v>
      </x:c>
      <x:c r="H27" s="1266" t="s">
        <x:v>114</x:v>
      </x:c>
      <x:c r="I27" s="1261">
        <x:v>0</x:v>
      </x:c>
      <x:c r="J27" s="1262">
        <x:v>0.625</x:v>
      </x:c>
      <x:c r="K27" s="1370" t="s">
        <x:v>114</x:v>
      </x:c>
      <x:c r="L27" s="1327">
        <x:v>3</x:v>
      </x:c>
      <x:c r="M27" s="1329">
        <x:v>3</x:v>
      </x:c>
      <x:c r="N27" s="1263">
        <x:v>0</x:v>
      </x:c>
      <x:c r="O27" s="1262">
        <x:v>4.75</x:v>
      </x:c>
      <x:c r="P27" s="1260">
        <x:v>2</x:v>
      </x:c>
      <x:c r="Q27" s="1261">
        <x:v>0</x:v>
      </x:c>
      <x:c r="R27" s="1262">
        <x:v>7.375</x:v>
      </x:c>
      <x:c r="S27" s="1375">
        <x:v>2</x:v>
      </x:c>
      <x:c r="T27" s="1328">
        <x:v>0</x:v>
      </x:c>
      <x:c r="U27" s="1262">
        <x:v>1.5</x:v>
      </x:c>
      <x:c r="V27" s="1261">
        <x:v>0</x:v>
      </x:c>
      <x:c r="W27" s="1262">
        <x:v>1.5</x:v>
      </x:c>
      <x:c r="X27" s="1329">
        <x:v>4</x:v>
      </x:c>
      <x:c r="Y27" s="1377">
        <x:v>0.46666666666666701</x:v>
      </x:c>
      <x:c r="Z27" s="1378">
        <x:v>-0.46666666666666701</x:v>
      </x:c>
      <x:c r="AA27" s="2159" t="s">
        <x:v>2097</x:v>
      </x:c>
      <x:c r="AC27" s="1226" t="b">
        <x:v>0</x:v>
      </x:c>
      <x:c r="AD27" s="525">
        <x:f t="shared" si="17"/>
        <x:v>0</x:v>
      </x:c>
      <x:c r="AE27" s="526">
        <x:f t="shared" si="18"/>
        <x:v>0</x:v>
      </x:c>
      <x:c r="AF27" s="526">
        <x:f t="shared" si="19"/>
        <x:v>0</x:v>
      </x:c>
      <x:c r="AG27" s="526">
        <x:f t="shared" si="20"/>
        <x:v>0</x:v>
      </x:c>
      <x:c r="AH27" s="527">
        <x:f t="shared" si="21"/>
        <x:v>0</x:v>
      </x:c>
      <x:c r="AI27" s="528" t="b">
        <x:v>0</x:v>
      </x:c>
      <x:c r="AJ27" s="284">
        <x:f t="shared" si="22"/>
        <x:v>36</x:v>
      </x:c>
      <x:c r="AK27" s="1063" t="str">
        <x:f t="shared" si="23"/>
        <x:v>LH</x:v>
      </x:c>
      <x:c r="AL27" s="1202" t="str">
        <x:f t="shared" si="24"/>
        <x:v/>
      </x:c>
      <x:c r="AM27" s="1063">
        <x:f t="shared" si="25"/>
        <x:v>270</x:v>
      </x:c>
      <x:c r="AN27" s="1063">
        <x:f t="shared" si="26"/>
        <x:v>120</x:v>
      </x:c>
      <x:c r="AO27" s="1063" t="str">
        <x:f t="shared" si="27"/>
        <x:v/>
      </x:c>
      <x:c r="AP27" s="1063" t="b">
        <x:f>IF(ISERROR(AJ27),FALSE,IF(OR(AJ27=0,ISERROR(AL27),ISERROR(AM27),ISERROR(AN27),ISERROR(AO27)),FALSE,IF(AL27&lt;&gt;"",IF(ISERROR(VLOOKUP(SUBSTITUTE(SUBSTITUTE(C27,"R",""),"A",""),TblJoistSize!$A:$A,1,FALSE)),FALSE,TRUE),TRUE)))</x:f>
        <x:v>1</x:v>
      </x:c>
      <x:c r="AQ27" s="1305">
        <x:f t="shared" si="28"/>
        <x:v>6.625</x:v>
      </x:c>
      <x:c r="AR27" s="1305" t="b">
        <x:f t="shared" si="29"/>
        <x:v>1</x:v>
      </x:c>
      <x:c r="AS27" s="1305">
        <x:f t="shared" si="30"/>
        <x:v>6.625</x:v>
      </x:c>
      <x:c r="AT27" s="1305" t="b">
        <x:f t="shared" si="31"/>
        <x:v>1</x:v>
      </x:c>
      <x:c r="AU27" s="1203" t="str">
        <x:f t="shared" si="32"/>
        <x:v>LH</x:v>
      </x:c>
      <x:c r="AV27" s="1063" t="str">
        <x:f t="shared" si="33"/>
        <x:v/>
      </x:c>
      <x:c r="AW27" s="1063" t="str">
        <x:f t="shared" si="34"/>
        <x:v>LH</x:v>
      </x:c>
      <x:c r="AX27" s="1063" t="str">
        <x:f t="shared" si="107"/>
        <x:v>TJ78</x:v>
      </x:c>
      <x:c r="AY27" s="1306" t="b">
        <x:f t="shared" si="35"/>
        <x:v>0</x:v>
      </x:c>
      <x:c r="AZ27" s="1090" t="b">
        <x:f t="shared" si="36"/>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7"/>
        <x:v/>
      </x:c>
      <x:c r="CE27" s="935" t="str">
        <x:f t="shared" si="38"/>
        <x:v/>
      </x:c>
      <x:c r="CF27" s="1149"/>
      <x:c r="CG27" s="1150"/>
      <x:c r="CH27" s="738" t="str">
        <x:f t="shared" si="39"/>
        <x:v/>
      </x:c>
      <x:c r="CI27" s="739" t="str">
        <x:f t="shared" si="40"/>
        <x:v/>
      </x:c>
      <x:c r="CJ27" s="740" t="str">
        <x:f t="shared" si="41"/>
        <x:v/>
      </x:c>
      <x:c r="CK27" s="741" t="str">
        <x:f t="shared" si="42"/>
        <x:v/>
      </x:c>
      <x:c r="CL27" s="742" t="str">
        <x:f t="shared" si="43"/>
        <x:v/>
      </x:c>
      <x:c r="CM27" s="743" t="str">
        <x:f t="shared" si="44"/>
        <x:v/>
      </x:c>
      <x:c r="CN27" s="744" t="str">
        <x:f t="shared" si="45"/>
        <x:v/>
      </x:c>
      <x:c r="CO27" s="745" t="str">
        <x:f t="shared" si="46"/>
        <x:v/>
      </x:c>
      <x:c r="CP27" s="762" t="str">
        <x:f t="shared" si="47"/>
        <x:v/>
      </x:c>
      <x:c r="CQ27" s="763" t="str">
        <x:f t="shared" si="48"/>
        <x:v/>
      </x:c>
      <x:c r="CR27" s="953">
        <x:f t="shared" si="49"/>
        <x:v>5</x:v>
      </x:c>
      <x:c r="CS27" s="954">
        <x:f t="shared" si="50"/>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51"/>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52"/>
        <x:v>0</x:v>
      </x:c>
      <x:c r="DO27" s="1049">
        <x:f t="shared" si="53"/>
        <x:v>0</x:v>
      </x:c>
      <x:c r="DP27" s="1053" t="str">
        <x:f t="shared" si="54"/>
        <x:v/>
      </x:c>
      <x:c r="DQ27" s="1053" t="str">
        <x:f t="shared" si="55"/>
        <x:v/>
      </x:c>
      <x:c r="DR27" s="1053" t="str">
        <x:f t="shared" si="56"/>
        <x:v/>
      </x:c>
      <x:c r="DS27" s="1052">
        <x:f t="shared" si="57"/>
        <x:v>0</x:v>
      </x:c>
      <x:c r="DT27" s="1052">
        <x:f t="shared" si="58"/>
        <x:v>0</x:v>
      </x:c>
      <x:c r="DU27" s="1052" t="str">
        <x:f t="shared" si="59"/>
        <x:v/>
      </x:c>
      <x:c r="DV27" s="1053" t="str">
        <x:f t="shared" si="60"/>
        <x:v/>
      </x:c>
      <x:c r="DW27" s="1053" t="str">
        <x:f t="shared" si="61"/>
        <x:v/>
      </x:c>
      <x:c r="DX27" s="1269">
        <x:f t="shared" si="62"/>
        <x:v>0</x:v>
      </x:c>
      <x:c r="DY27" s="1053">
        <x:f t="shared" si="63"/>
        <x:v>0</x:v>
      </x:c>
      <x:c r="DZ27" s="1052">
        <x:f t="shared" si="64"/>
        <x:v>0</x:v>
      </x:c>
      <x:c r="EA27" s="1052" t="str">
        <x:f t="shared" si="65"/>
        <x:v/>
      </x:c>
      <x:c r="EB27" s="1053" t="str">
        <x:f t="shared" si="66"/>
        <x:v/>
      </x:c>
      <x:c r="EC27" s="1053" t="str">
        <x:f t="shared" si="67"/>
        <x:v/>
      </x:c>
      <x:c r="ED27" s="1269">
        <x:f t="shared" si="68"/>
        <x:v>0</x:v>
      </x:c>
      <x:c r="EE27" s="1090" t="str">
        <x:f t="shared" si="69"/>
        <x:v/>
      </x:c>
      <x:c r="EF27" s="1053" t="str">
        <x:f t="shared" si="70"/>
        <x:v/>
      </x:c>
      <x:c r="EG27" s="1053" t="str">
        <x:f t="shared" si="71"/>
        <x:v/>
      </x:c>
      <x:c r="EH27" s="1053" t="str">
        <x:f t="shared" si="72"/>
        <x:v>ERR</x:v>
      </x:c>
      <x:c r="EI27" s="1053" t="str">
        <x:f t="shared" si="73"/>
        <x:v>ERR</x:v>
      </x:c>
      <x:c r="EJ27" s="1053" t="str">
        <x:f t="shared" si="74"/>
        <x:v/>
      </x:c>
      <x:c r="EK27" s="1053" t="str">
        <x:f t="shared" si="74"/>
        <x:v/>
      </x:c>
      <x:c r="EL27" s="1090" t="str">
        <x:f t="shared" si="75"/>
        <x:v/>
      </x:c>
      <x:c r="EM27" s="1053" t="str">
        <x:f t="shared" si="76"/>
        <x:v/>
      </x:c>
      <x:c r="EN27" s="1053" t="str">
        <x:f t="shared" si="77"/>
        <x:v/>
      </x:c>
      <x:c r="EO27" s="1053" t="str">
        <x:f t="shared" si="78"/>
        <x:v>ERR</x:v>
      </x:c>
      <x:c r="EP27" s="1053" t="str">
        <x:f t="shared" si="79"/>
        <x:v>ERR</x:v>
      </x:c>
      <x:c r="EQ27" s="1053" t="str">
        <x:f t="shared" si="80"/>
        <x:v/>
      </x:c>
      <x:c r="ER27" s="1053" t="str">
        <x:f t="shared" si="80"/>
        <x:v/>
      </x:c>
      <x:c r="ES27" s="1053" t="str">
        <x:f t="shared" si="81"/>
        <x:v/>
      </x:c>
      <x:c r="ET27" s="1053" t="str">
        <x:f t="shared" si="82"/>
        <x:v/>
      </x:c>
      <x:c r="EU27" s="1061">
        <x:f t="shared" si="83"/>
        <x:v>4</x:v>
      </x:c>
      <x:c r="EV27" s="1055" t="str">
        <x:f t="shared" si="84"/>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5"/>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6"/>
        <x:v/>
      </x:c>
      <x:c r="FD27" s="1052">
        <x:f t="shared" si="108"/>
        <x:v>0</x:v>
      </x:c>
      <x:c r="FE27" s="1052">
        <x:f t="shared" si="87"/>
        <x:v>0</x:v>
      </x:c>
      <x:c r="FF27" s="1052">
        <x:f t="shared" si="88"/>
        <x:v>0</x:v>
      </x:c>
      <x:c r="FG27" s="1052" t="str">
        <x:f t="shared" si="89"/>
        <x:v/>
      </x:c>
      <x:c r="FH27" s="1053" t="str">
        <x:f t="shared" si="90"/>
        <x:v/>
      </x:c>
      <x:c r="FI27" s="1052">
        <x:f t="shared" si="109"/>
        <x:v>0</x:v>
      </x:c>
      <x:c r="FJ27" s="1052">
        <x:f t="shared" si="91"/>
        <x:v>0</x:v>
      </x:c>
      <x:c r="FK27" s="1052">
        <x:f t="shared" si="92"/>
        <x:v>0</x:v>
      </x:c>
      <x:c r="FL27" s="1052" t="str">
        <x:f t="shared" si="93"/>
        <x:v/>
      </x:c>
      <x:c r="FM27" s="1053" t="str">
        <x:f t="shared" si="94"/>
        <x:v/>
      </x:c>
      <x:c r="FN27" s="1053" t="e">
        <x:f t="shared" si="95"/>
        <x:v>#VALUE!</x:v>
      </x:c>
      <x:c r="FO27" s="1062" t="e">
        <x:f t="shared" si="96"/>
        <x:v>#VALUE!</x:v>
      </x:c>
      <x:c r="FP27" s="1062" t="e">
        <x:f t="shared" si="97"/>
        <x:v>#VALUE!</x:v>
      </x:c>
      <x:c r="FQ27" s="1063" t="e">
        <x:f t="shared" si="98"/>
        <x:v>#VALUE!</x:v>
      </x:c>
      <x:c r="FR27" s="1064" t="e">
        <x:f t="shared" si="99"/>
        <x:v>#VALUE!</x:v>
      </x:c>
      <x:c r="FS27" s="1065" t="str">
        <x:f t="shared" si="100"/>
        <x:v/>
      </x:c>
      <x:c r="FT27" s="1066" t="str">
        <x:f t="shared" si="101"/>
        <x:v/>
      </x:c>
      <x:c r="FU27" s="1105">
        <x:f t="shared" si="102"/>
        <x:v>0</x:v>
      </x:c>
      <x:c r="FV27" s="1106">
        <x:f t="shared" si="103"/>
        <x:v>0</x:v>
      </x:c>
      <x:c r="GA27" s="1975">
        <x:v>60</x:v>
      </x:c>
      <x:c r="GB27" s="1976">
        <x:v>0</x:v>
      </x:c>
      <x:c r="GC27" s="1977">
        <x:v>-1</x:v>
      </x:c>
      <x:c r="GD27" s="1978">
        <x:v>-1</x:v>
      </x:c>
      <x:c r="GE27" s="1979">
        <x:v>0.46666666666666701</x:v>
      </x:c>
      <x:c r="GF27" s="1980" t="str">
        <x:f t="shared" si="104"/>
        <x:v>TJ78</x:v>
      </x:c>
      <x:c r="GG27" s="1453"/>
      <x:c r="GH27" s="1454"/>
      <x:c r="GI27" s="1453"/>
      <x:c r="GJ27" s="1454"/>
      <x:c r="GK27" s="533">
        <x:f t="shared" si="105"/>
        <x:v>718.5</x:v>
      </x:c>
      <x:c r="GL27" s="534">
        <x:f t="shared" si="106"/>
        <x:v>718.54272697858903</x:v>
      </x:c>
      <x:c r="GM27" s="535">
        <x:f>IF(ABS(GK27-GL27)&gt;='Job Info.'!$L$22,ABS(GK27-GL27),0)</x:f>
        <x:v>0</x:v>
      </x:c>
      <x:c r="HA27" s="1658" t="s">
        <x:v>1402</x:v>
      </x:c>
      <x:c r="HB27" s="1659">
        <x:v>1</x:v>
      </x:c>
      <x:c r="HC27" s="1659" t="s">
        <x:v>1978</x:v>
      </x:c>
      <x:c r="HD27" s="1660">
        <x:v>59</x:v>
      </x:c>
      <x:c r="HE27" s="1661">
        <x:v>10.5</x:v>
      </x:c>
      <x:c r="HF27" s="1659">
        <x:v>0</x:v>
      </x:c>
      <x:c r="HG27" s="1659">
        <x:v>0.625</x:v>
      </x:c>
      <x:c r="HH27" s="1659" t="s">
        <x:v>114</x:v>
      </x:c>
      <x:c r="HI27" s="1662">
        <x:v>0</x:v>
      </x:c>
      <x:c r="HJ27" s="1659">
        <x:v>0.625</x:v>
      </x:c>
      <x:c r="HK27" s="1659" t="s">
        <x:v>114</x:v>
      </x:c>
      <x:c r="HL27" s="1659">
        <x:v>3</x:v>
      </x:c>
      <x:c r="HM27" s="1659">
        <x:v>3</x:v>
      </x:c>
      <x:c r="HN27" s="1659">
        <x:v>0</x:v>
      </x:c>
      <x:c r="HO27" s="1659">
        <x:v>4.75</x:v>
      </x:c>
      <x:c r="HP27" s="1659">
        <x:v>2</x:v>
      </x:c>
      <x:c r="HQ27" s="1662">
        <x:v>0</x:v>
      </x:c>
      <x:c r="HR27" s="1659">
        <x:v>7.375</x:v>
      </x:c>
      <x:c r="HS27" s="1659">
        <x:v>2</x:v>
      </x:c>
      <x:c r="HT27" s="1659">
        <x:v>0</x:v>
      </x:c>
      <x:c r="HU27" s="1659">
        <x:v>1.5</x:v>
      </x:c>
      <x:c r="HV27" s="1659">
        <x:v>0</x:v>
      </x:c>
      <x:c r="HW27" s="1661">
        <x:v>1.5</x:v>
      </x:c>
      <x:c r="HX27" s="1661">
        <x:v>4</x:v>
      </x:c>
      <x:c r="HY27" s="1661">
        <x:v>0.46666666666666701</x:v>
      </x:c>
      <x:c r="HZ27" s="1661">
        <x:v>-0.46666666666666701</x:v>
      </x:c>
      <x:c r="IA27" s="1661" t="s">
        <x:v>2097</x:v>
      </x:c>
      <x:c r="IB27" s="1661"/>
      <x:c r="IC27" s="1661"/>
      <x:c r="ID27" s="1661"/>
      <x:c r="IE27" s="1661"/>
      <x:c r="IF27" s="1663"/>
    </x:row>
    <x:row r="28" spans="1:240" ht="12.6" customHeight="1" x14ac:dyDescent="0.25">
      <x:c r="A28" s="1264" t="s">
        <x:v>1403</x:v>
      </x:c>
      <x:c r="B28" s="1265">
        <x:v>1</x:v>
      </x:c>
      <x:c r="C28" s="1265" t="s">
        <x:v>1978</x:v>
      </x:c>
      <x:c r="D28" s="1261">
        <x:v>59</x:v>
      </x:c>
      <x:c r="E28" s="1366">
        <x:v>10</x:v>
      </x:c>
      <x:c r="F28" s="1328">
        <x:v>0</x:v>
      </x:c>
      <x:c r="G28" s="1262">
        <x:v>0.625</x:v>
      </x:c>
      <x:c r="H28" s="1266" t="s">
        <x:v>114</x:v>
      </x:c>
      <x:c r="I28" s="1261">
        <x:v>0</x:v>
      </x:c>
      <x:c r="J28" s="1262">
        <x:v>0.625</x:v>
      </x:c>
      <x:c r="K28" s="1370" t="s">
        <x:v>114</x:v>
      </x:c>
      <x:c r="L28" s="1327">
        <x:v>3</x:v>
      </x:c>
      <x:c r="M28" s="1329">
        <x:v>3</x:v>
      </x:c>
      <x:c r="N28" s="1263">
        <x:v>0</x:v>
      </x:c>
      <x:c r="O28" s="1262">
        <x:v>5.375</x:v>
      </x:c>
      <x:c r="P28" s="1260">
        <x:v>2</x:v>
      </x:c>
      <x:c r="Q28" s="1261">
        <x:v>0</x:v>
      </x:c>
      <x:c r="R28" s="1262">
        <x:v>6.75</x:v>
      </x:c>
      <x:c r="S28" s="1375">
        <x:v>2</x:v>
      </x:c>
      <x:c r="T28" s="1328">
        <x:v>0</x:v>
      </x:c>
      <x:c r="U28" s="1262">
        <x:v>1.5</x:v>
      </x:c>
      <x:c r="V28" s="1261">
        <x:v>0</x:v>
      </x:c>
      <x:c r="W28" s="1262">
        <x:v>1.5</x:v>
      </x:c>
      <x:c r="X28" s="1329">
        <x:v>4</x:v>
      </x:c>
      <x:c r="Y28" s="1377" t="str">
        <x:f t="shared" si="15"/>
        <x:v/>
      </x:c>
      <x:c r="Z28" s="1378" t="str">
        <x:f t="shared" si="16"/>
        <x:v/>
      </x:c>
      <x:c r="AA28" s="2159" t="s">
        <x:v>2117</x:v>
      </x:c>
      <x:c r="AC28" s="1226" t="b">
        <x:v>0</x:v>
      </x:c>
      <x:c r="AD28" s="525">
        <x:f t="shared" si="17"/>
        <x:v>0</x:v>
      </x:c>
      <x:c r="AE28" s="526">
        <x:f t="shared" si="18"/>
        <x:v>1</x:v>
      </x:c>
      <x:c r="AF28" s="526">
        <x:f t="shared" si="19"/>
        <x:v>0</x:v>
      </x:c>
      <x:c r="AG28" s="526">
        <x:f t="shared" si="20"/>
        <x:v>0</x:v>
      </x:c>
      <x:c r="AH28" s="527">
        <x:f t="shared" si="21"/>
        <x:v>0</x:v>
      </x:c>
      <x:c r="AI28" s="528" t="b">
        <x:v>0</x:v>
      </x:c>
      <x:c r="AJ28" s="284">
        <x:f t="shared" si="22"/>
        <x:v>36</x:v>
      </x:c>
      <x:c r="AK28" s="1063" t="str">
        <x:f t="shared" si="23"/>
        <x:v>LH</x:v>
      </x:c>
      <x:c r="AL28" s="1202" t="str">
        <x:f t="shared" si="24"/>
        <x:v/>
      </x:c>
      <x:c r="AM28" s="1063">
        <x:f t="shared" si="25"/>
        <x:v>270</x:v>
      </x:c>
      <x:c r="AN28" s="1063">
        <x:f t="shared" si="26"/>
        <x:v>120</x:v>
      </x:c>
      <x:c r="AO28" s="1063" t="str">
        <x:f t="shared" si="27"/>
        <x:v/>
      </x:c>
      <x:c r="AP28" s="1063" t="b">
        <x:f>IF(ISERROR(AJ28),FALSE,IF(OR(AJ28=0,ISERROR(AL28),ISERROR(AM28),ISERROR(AN28),ISERROR(AO28)),FALSE,IF(AL28&lt;&gt;"",IF(ISERROR(VLOOKUP(SUBSTITUTE(SUBSTITUTE(C28,"R",""),"A",""),TblJoistSize!$A:$A,1,FALSE)),FALSE,TRUE),TRUE)))</x:f>
        <x:v>1</x:v>
      </x:c>
      <x:c r="AQ28" s="1305">
        <x:f t="shared" si="28"/>
        <x:v>6.625</x:v>
      </x:c>
      <x:c r="AR28" s="1305" t="b">
        <x:f t="shared" si="29"/>
        <x:v>1</x:v>
      </x:c>
      <x:c r="AS28" s="1305">
        <x:f t="shared" si="30"/>
        <x:v>6.625</x:v>
      </x:c>
      <x:c r="AT28" s="1305" t="b">
        <x:f t="shared" si="31"/>
        <x:v>1</x:v>
      </x:c>
      <x:c r="AU28" s="1203" t="str">
        <x:f t="shared" si="32"/>
        <x:v>LH</x:v>
      </x:c>
      <x:c r="AV28" s="1063" t="str">
        <x:f t="shared" si="33"/>
        <x:v/>
      </x:c>
      <x:c r="AW28" s="1063" t="str">
        <x:f t="shared" si="34"/>
        <x:v>LH</x:v>
      </x:c>
      <x:c r="AX28" s="1063" t="str">
        <x:f t="shared" si="107"/>
        <x:v>TJ79</x:v>
      </x:c>
      <x:c r="AY28" s="1306" t="b">
        <x:f t="shared" si="35"/>
        <x:v>0</x:v>
      </x:c>
      <x:c r="AZ28" s="1090" t="b">
        <x:f t="shared" si="36"/>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7"/>
        <x:v/>
      </x:c>
      <x:c r="CE28" s="935" t="str">
        <x:f t="shared" si="38"/>
        <x:v/>
      </x:c>
      <x:c r="CF28" s="1149"/>
      <x:c r="CG28" s="1150"/>
      <x:c r="CH28" s="738" t="str">
        <x:f t="shared" si="39"/>
        <x:v/>
      </x:c>
      <x:c r="CI28" s="739" t="str">
        <x:f t="shared" si="40"/>
        <x:v/>
      </x:c>
      <x:c r="CJ28" s="740" t="str">
        <x:f t="shared" si="41"/>
        <x:v/>
      </x:c>
      <x:c r="CK28" s="741" t="str">
        <x:f t="shared" si="42"/>
        <x:v/>
      </x:c>
      <x:c r="CL28" s="742" t="str">
        <x:f t="shared" si="43"/>
        <x:v/>
      </x:c>
      <x:c r="CM28" s="743" t="str">
        <x:f t="shared" si="44"/>
        <x:v/>
      </x:c>
      <x:c r="CN28" s="744" t="str">
        <x:f t="shared" si="45"/>
        <x:v/>
      </x:c>
      <x:c r="CO28" s="745" t="str">
        <x:f t="shared" si="46"/>
        <x:v/>
      </x:c>
      <x:c r="CP28" s="762" t="str">
        <x:f t="shared" si="47"/>
        <x:v/>
      </x:c>
      <x:c r="CQ28" s="763" t="str">
        <x:f t="shared" si="48"/>
        <x:v/>
      </x:c>
      <x:c r="CR28" s="953">
        <x:f t="shared" si="49"/>
        <x:v>5</x:v>
      </x:c>
      <x:c r="CS28" s="954">
        <x:f t="shared" si="50"/>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51"/>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52"/>
        <x:v>0</x:v>
      </x:c>
      <x:c r="DO28" s="1049">
        <x:f t="shared" si="53"/>
        <x:v>0</x:v>
      </x:c>
      <x:c r="DP28" s="1053" t="str">
        <x:f t="shared" si="54"/>
        <x:v/>
      </x:c>
      <x:c r="DQ28" s="1053" t="str">
        <x:f t="shared" si="55"/>
        <x:v/>
      </x:c>
      <x:c r="DR28" s="1053" t="str">
        <x:f t="shared" si="56"/>
        <x:v/>
      </x:c>
      <x:c r="DS28" s="1052">
        <x:f t="shared" si="57"/>
        <x:v>0</x:v>
      </x:c>
      <x:c r="DT28" s="1052">
        <x:f t="shared" si="58"/>
        <x:v>0</x:v>
      </x:c>
      <x:c r="DU28" s="1052" t="str">
        <x:f t="shared" si="59"/>
        <x:v/>
      </x:c>
      <x:c r="DV28" s="1053" t="str">
        <x:f t="shared" si="60"/>
        <x:v/>
      </x:c>
      <x:c r="DW28" s="1053" t="str">
        <x:f t="shared" si="61"/>
        <x:v/>
      </x:c>
      <x:c r="DX28" s="1269">
        <x:f t="shared" si="62"/>
        <x:v>0</x:v>
      </x:c>
      <x:c r="DY28" s="1053">
        <x:f t="shared" si="63"/>
        <x:v>0</x:v>
      </x:c>
      <x:c r="DZ28" s="1052">
        <x:f t="shared" si="64"/>
        <x:v>0</x:v>
      </x:c>
      <x:c r="EA28" s="1052" t="str">
        <x:f t="shared" si="65"/>
        <x:v/>
      </x:c>
      <x:c r="EB28" s="1053" t="str">
        <x:f t="shared" si="66"/>
        <x:v/>
      </x:c>
      <x:c r="EC28" s="1053" t="str">
        <x:f t="shared" si="67"/>
        <x:v/>
      </x:c>
      <x:c r="ED28" s="1269">
        <x:f t="shared" si="68"/>
        <x:v>0</x:v>
      </x:c>
      <x:c r="EE28" s="1090" t="str">
        <x:f t="shared" si="69"/>
        <x:v/>
      </x:c>
      <x:c r="EF28" s="1053" t="str">
        <x:f t="shared" si="70"/>
        <x:v/>
      </x:c>
      <x:c r="EG28" s="1053" t="str">
        <x:f t="shared" si="71"/>
        <x:v/>
      </x:c>
      <x:c r="EH28" s="1053" t="str">
        <x:f t="shared" si="72"/>
        <x:v>ERR</x:v>
      </x:c>
      <x:c r="EI28" s="1053" t="str">
        <x:f t="shared" si="73"/>
        <x:v>ERR</x:v>
      </x:c>
      <x:c r="EJ28" s="1053" t="str">
        <x:f t="shared" si="74"/>
        <x:v/>
      </x:c>
      <x:c r="EK28" s="1053" t="str">
        <x:f t="shared" si="74"/>
        <x:v/>
      </x:c>
      <x:c r="EL28" s="1090" t="str">
        <x:f t="shared" si="75"/>
        <x:v/>
      </x:c>
      <x:c r="EM28" s="1053" t="str">
        <x:f t="shared" si="76"/>
        <x:v/>
      </x:c>
      <x:c r="EN28" s="1053" t="str">
        <x:f t="shared" si="77"/>
        <x:v/>
      </x:c>
      <x:c r="EO28" s="1053" t="str">
        <x:f t="shared" si="78"/>
        <x:v>ERR</x:v>
      </x:c>
      <x:c r="EP28" s="1053" t="str">
        <x:f t="shared" si="79"/>
        <x:v>ERR</x:v>
      </x:c>
      <x:c r="EQ28" s="1053" t="str">
        <x:f t="shared" si="80"/>
        <x:v/>
      </x:c>
      <x:c r="ER28" s="1053" t="str">
        <x:f t="shared" si="80"/>
        <x:v/>
      </x:c>
      <x:c r="ES28" s="1053" t="str">
        <x:f t="shared" si="81"/>
        <x:v/>
      </x:c>
      <x:c r="ET28" s="1053" t="str">
        <x:f t="shared" si="82"/>
        <x:v/>
      </x:c>
      <x:c r="EU28" s="1061">
        <x:f t="shared" si="83"/>
        <x:v>4</x:v>
      </x:c>
      <x:c r="EV28" s="1055" t="str">
        <x:f t="shared" si="84"/>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5"/>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6"/>
        <x:v/>
      </x:c>
      <x:c r="FD28" s="1052">
        <x:f t="shared" si="108"/>
        <x:v>0</x:v>
      </x:c>
      <x:c r="FE28" s="1052">
        <x:f t="shared" si="87"/>
        <x:v>0</x:v>
      </x:c>
      <x:c r="FF28" s="1052">
        <x:f t="shared" si="88"/>
        <x:v>0</x:v>
      </x:c>
      <x:c r="FG28" s="1052" t="str">
        <x:f t="shared" si="89"/>
        <x:v/>
      </x:c>
      <x:c r="FH28" s="1053" t="str">
        <x:f t="shared" si="90"/>
        <x:v/>
      </x:c>
      <x:c r="FI28" s="1052">
        <x:f t="shared" si="109"/>
        <x:v>0</x:v>
      </x:c>
      <x:c r="FJ28" s="1052">
        <x:f t="shared" si="91"/>
        <x:v>0</x:v>
      </x:c>
      <x:c r="FK28" s="1052">
        <x:f t="shared" si="92"/>
        <x:v>0</x:v>
      </x:c>
      <x:c r="FL28" s="1052" t="str">
        <x:f t="shared" si="93"/>
        <x:v/>
      </x:c>
      <x:c r="FM28" s="1053" t="str">
        <x:f t="shared" si="94"/>
        <x:v/>
      </x:c>
      <x:c r="FN28" s="1053" t="e">
        <x:f t="shared" si="95"/>
        <x:v>#VALUE!</x:v>
      </x:c>
      <x:c r="FO28" s="1062" t="e">
        <x:f t="shared" si="96"/>
        <x:v>#VALUE!</x:v>
      </x:c>
      <x:c r="FP28" s="1062" t="e">
        <x:f t="shared" si="97"/>
        <x:v>#VALUE!</x:v>
      </x:c>
      <x:c r="FQ28" s="1063" t="e">
        <x:f t="shared" si="98"/>
        <x:v>#VALUE!</x:v>
      </x:c>
      <x:c r="FR28" s="1064" t="e">
        <x:f t="shared" si="99"/>
        <x:v>#VALUE!</x:v>
      </x:c>
      <x:c r="FS28" s="1065" t="str">
        <x:f t="shared" si="100"/>
        <x:v/>
      </x:c>
      <x:c r="FT28" s="1066" t="str">
        <x:f t="shared" si="101"/>
        <x:v/>
      </x:c>
      <x:c r="FU28" s="1105">
        <x:f t="shared" si="102"/>
        <x:v>0</x:v>
      </x:c>
      <x:c r="FV28" s="1106">
        <x:f t="shared" si="103"/>
        <x:v>0</x:v>
      </x:c>
      <x:c r="GA28" s="1975">
        <x:v>60</x:v>
      </x:c>
      <x:c r="GB28" s="1976">
        <x:v>0</x:v>
      </x:c>
      <x:c r="GC28" s="1977">
        <x:v>-1</x:v>
      </x:c>
      <x:c r="GD28" s="1978">
        <x:v>-1</x:v>
      </x:c>
      <x:c r="GE28" s="1979">
        <x:v>0.25</x:v>
      </x:c>
      <x:c r="GF28" s="1980" t="str">
        <x:f t="shared" si="104"/>
        <x:v>TJ79</x:v>
      </x:c>
      <x:c r="GG28" s="1453"/>
      <x:c r="GH28" s="1454"/>
      <x:c r="GI28" s="1453"/>
      <x:c r="GJ28" s="1454"/>
      <x:c r="GK28" s="533">
        <x:f t="shared" si="105"/>
        <x:v>718</x:v>
      </x:c>
      <x:c r="GL28" s="534">
        <x:f t="shared" si="106"/>
        <x:v>718.15579906877531</x:v>
      </x:c>
      <x:c r="GM28" s="535">
        <x:f>IF(ABS(GK28-GL28)&gt;='Job Info.'!$L$22,ABS(GK28-GL28),0)</x:f>
        <x:v>0</x:v>
      </x:c>
      <x:c r="HA28" s="1658" t="s">
        <x:v>1403</x:v>
      </x:c>
      <x:c r="HB28" s="1659">
        <x:v>2</x:v>
      </x:c>
      <x:c r="HC28" s="1659" t="s">
        <x:v>1978</x:v>
      </x:c>
      <x:c r="HD28" s="1660">
        <x:v>59</x:v>
      </x:c>
      <x:c r="HE28" s="1661">
        <x:v>10</x:v>
      </x:c>
      <x:c r="HF28" s="1659">
        <x:v>0</x:v>
      </x:c>
      <x:c r="HG28" s="1659">
        <x:v>0.625</x:v>
      </x:c>
      <x:c r="HH28" s="1659" t="s">
        <x:v>114</x:v>
      </x:c>
      <x:c r="HI28" s="1662">
        <x:v>0</x:v>
      </x:c>
      <x:c r="HJ28" s="1659">
        <x:v>0.625</x:v>
      </x:c>
      <x:c r="HK28" s="1659" t="s">
        <x:v>114</x:v>
      </x:c>
      <x:c r="HL28" s="1659">
        <x:v>3</x:v>
      </x:c>
      <x:c r="HM28" s="1659">
        <x:v>3</x:v>
      </x:c>
      <x:c r="HN28" s="1659">
        <x:v>0</x:v>
      </x:c>
      <x:c r="HO28" s="1659">
        <x:v>5.375</x:v>
      </x:c>
      <x:c r="HP28" s="1659">
        <x:v>2</x:v>
      </x:c>
      <x:c r="HQ28" s="1662">
        <x:v>0</x:v>
      </x:c>
      <x:c r="HR28" s="1659">
        <x:v>6.75</x:v>
      </x:c>
      <x:c r="HS28" s="1659">
        <x:v>2</x:v>
      </x:c>
      <x:c r="HT28" s="1659">
        <x:v>0</x:v>
      </x:c>
      <x:c r="HU28" s="1659">
        <x:v>1.5</x:v>
      </x:c>
      <x:c r="HV28" s="1659">
        <x:v>0</x:v>
      </x:c>
      <x:c r="HW28" s="1661">
        <x:v>1.5</x:v>
      </x:c>
      <x:c r="HX28" s="1661">
        <x:v>4</x:v>
      </x:c>
      <x:c r="HY28" s="1661" t="s">
        <x:v>117</x:v>
      </x:c>
      <x:c r="HZ28" s="1661" t="s">
        <x:v>117</x:v>
      </x:c>
      <x:c r="IA28" s="1661" t="s">
        <x:v>2117</x:v>
      </x:c>
      <x:c r="IB28" s="1661"/>
      <x:c r="IC28" s="1661"/>
      <x:c r="ID28" s="1661"/>
      <x:c r="IE28" s="1661"/>
      <x:c r="IF28" s="1663"/>
    </x:row>
    <x:row r="29" spans="1:240" ht="12.6" customHeight="1" x14ac:dyDescent="0.25">
      <x:c r="A29" s="1264" t="s">
        <x:v>1404</x:v>
      </x:c>
      <x:c r="B29" s="1265">
        <x:v>2</x:v>
      </x:c>
      <x:c r="C29" s="1265" t="s">
        <x:v>1979</x:v>
      </x:c>
      <x:c r="D29" s="1261">
        <x:v>49</x:v>
      </x:c>
      <x:c r="E29" s="1366">
        <x:v>10</x:v>
      </x:c>
      <x:c r="F29" s="1328">
        <x:v>0</x:v>
      </x:c>
      <x:c r="G29" s="1262">
        <x:v>0.625</x:v>
      </x:c>
      <x:c r="H29" s="1266" t="s">
        <x:v>114</x:v>
      </x:c>
      <x:c r="I29" s="1261">
        <x:v>0</x:v>
      </x:c>
      <x:c r="J29" s="1262">
        <x:v>0.625</x:v>
      </x:c>
      <x:c r="K29" s="1370" t="s">
        <x:v>114</x:v>
      </x:c>
      <x:c r="L29" s="1327">
        <x:v>3</x:v>
      </x:c>
      <x:c r="M29" s="1329">
        <x:v>3</x:v>
      </x:c>
      <x:c r="N29" s="1263">
        <x:v>0</x:v>
      </x:c>
      <x:c r="O29" s="1262">
        <x:v>5.375</x:v>
      </x:c>
      <x:c r="P29" s="1260">
        <x:v>2</x:v>
      </x:c>
      <x:c r="Q29" s="1261">
        <x:v>0</x:v>
      </x:c>
      <x:c r="R29" s="1262">
        <x:v>6.625</x:v>
      </x:c>
      <x:c r="S29" s="1375">
        <x:v>2</x:v>
      </x:c>
      <x:c r="T29" s="1328">
        <x:v>0</x:v>
      </x:c>
      <x:c r="U29" s="1262">
        <x:v>1.5</x:v>
      </x:c>
      <x:c r="V29" s="1261">
        <x:v>0</x:v>
      </x:c>
      <x:c r="W29" s="1262">
        <x:v>1.5</x:v>
      </x:c>
      <x:c r="X29" s="1329">
        <x:v>4</x:v>
      </x:c>
      <x:c r="Y29" s="1377" t="str">
        <x:f t="shared" si="15"/>
        <x:v/>
      </x:c>
      <x:c r="Z29" s="1378" t="str">
        <x:f t="shared" si="16"/>
        <x:v/>
      </x:c>
      <x:c r="AA29" s="2159" t="s">
        <x:v>2118</x:v>
      </x:c>
      <x:c r="AC29" s="1226" t="b">
        <x:v>0</x:v>
      </x:c>
      <x:c r="AD29" s="525">
        <x:f t="shared" si="17"/>
        <x:v>2</x:v>
      </x:c>
      <x:c r="AE29" s="526">
        <x:f t="shared" si="18"/>
        <x:v>0</x:v>
      </x:c>
      <x:c r="AF29" s="526">
        <x:f t="shared" si="19"/>
        <x:v>0</x:v>
      </x:c>
      <x:c r="AG29" s="526">
        <x:f t="shared" si="20"/>
        <x:v>0</x:v>
      </x:c>
      <x:c r="AH29" s="527">
        <x:f t="shared" si="21"/>
        <x:v>0</x:v>
      </x:c>
      <x:c r="AI29" s="528" t="b">
        <x:v>0</x:v>
      </x:c>
      <x:c r="AJ29" s="284">
        <x:f t="shared" si="22"/>
        <x:v>30</x:v>
      </x:c>
      <x:c r="AK29" s="1063" t="str">
        <x:f t="shared" si="23"/>
        <x:v>K</x:v>
      </x:c>
      <x:c r="AL29" s="1202" t="str">
        <x:f t="shared" si="24"/>
        <x:v/>
      </x:c>
      <x:c r="AM29" s="1063">
        <x:f t="shared" si="25"/>
        <x:v>240</x:v>
      </x:c>
      <x:c r="AN29" s="1063">
        <x:f t="shared" si="26"/>
        <x:v>140</x:v>
      </x:c>
      <x:c r="AO29" s="1063" t="str">
        <x:f t="shared" si="27"/>
        <x:v/>
      </x:c>
      <x:c r="AP29" s="1063" t="b">
        <x:f>IF(ISERROR(AJ29),FALSE,IF(OR(AJ29=0,ISERROR(AL29),ISERROR(AM29),ISERROR(AN29),ISERROR(AO29)),FALSE,IF(AL29&lt;&gt;"",IF(ISERROR(VLOOKUP(SUBSTITUTE(SUBSTITUTE(C29,"R",""),"A",""),TblJoistSize!$A:$A,1,FALSE)),FALSE,TRUE),TRUE)))</x:f>
        <x:v>1</x:v>
      </x:c>
      <x:c r="AQ29" s="1305">
        <x:f t="shared" si="28"/>
        <x:v>4.625</x:v>
      </x:c>
      <x:c r="AR29" s="1305" t="b">
        <x:f t="shared" si="29"/>
        <x:v>1</x:v>
      </x:c>
      <x:c r="AS29" s="1305">
        <x:f t="shared" si="30"/>
        <x:v>4.625</x:v>
      </x:c>
      <x:c r="AT29" s="1305" t="b">
        <x:f t="shared" si="31"/>
        <x:v>1</x:v>
      </x:c>
      <x:c r="AU29" s="1203" t="str">
        <x:f t="shared" si="32"/>
        <x:v>K</x:v>
      </x:c>
      <x:c r="AV29" s="1063" t="str">
        <x:f t="shared" si="33"/>
        <x:v>K</x:v>
      </x:c>
      <x:c r="AW29" s="1063" t="str">
        <x:f t="shared" si="34"/>
        <x:v/>
      </x:c>
      <x:c r="AX29" s="1063" t="str">
        <x:f t="shared" si="107"/>
        <x:v>TJ80</x:v>
      </x:c>
      <x:c r="AY29" s="1306" t="b">
        <x:f t="shared" si="35"/>
        <x:v>0</x:v>
      </x:c>
      <x:c r="AZ29" s="1090" t="b">
        <x:f t="shared" si="36"/>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7"/>
        <x:v/>
      </x:c>
      <x:c r="CE29" s="935" t="str">
        <x:f t="shared" si="38"/>
        <x:v/>
      </x:c>
      <x:c r="CF29" s="1149"/>
      <x:c r="CG29" s="1150"/>
      <x:c r="CH29" s="738" t="str">
        <x:f t="shared" si="39"/>
        <x:v/>
      </x:c>
      <x:c r="CI29" s="739" t="str">
        <x:f t="shared" si="40"/>
        <x:v/>
      </x:c>
      <x:c r="CJ29" s="740" t="str">
        <x:f t="shared" si="41"/>
        <x:v/>
      </x:c>
      <x:c r="CK29" s="741" t="str">
        <x:f t="shared" si="42"/>
        <x:v/>
      </x:c>
      <x:c r="CL29" s="742" t="str">
        <x:f t="shared" si="43"/>
        <x:v/>
      </x:c>
      <x:c r="CM29" s="743" t="str">
        <x:f t="shared" si="44"/>
        <x:v/>
      </x:c>
      <x:c r="CN29" s="744" t="str">
        <x:f t="shared" si="45"/>
        <x:v/>
      </x:c>
      <x:c r="CO29" s="745" t="str">
        <x:f t="shared" si="46"/>
        <x:v/>
      </x:c>
      <x:c r="CP29" s="762" t="str">
        <x:f t="shared" si="47"/>
        <x:v/>
      </x:c>
      <x:c r="CQ29" s="763" t="str">
        <x:f t="shared" si="48"/>
        <x:v/>
      </x:c>
      <x:c r="CR29" s="953">
        <x:f t="shared" si="49"/>
        <x:v>2.5</x:v>
      </x:c>
      <x:c r="CS29" s="954">
        <x:f t="shared" si="50"/>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51"/>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52"/>
        <x:v>0</x:v>
      </x:c>
      <x:c r="DO29" s="1049">
        <x:f t="shared" si="53"/>
        <x:v>0</x:v>
      </x:c>
      <x:c r="DP29" s="1053" t="str">
        <x:f t="shared" si="54"/>
        <x:v/>
      </x:c>
      <x:c r="DQ29" s="1053" t="str">
        <x:f t="shared" si="55"/>
        <x:v/>
      </x:c>
      <x:c r="DR29" s="1053" t="str">
        <x:f t="shared" si="56"/>
        <x:v/>
      </x:c>
      <x:c r="DS29" s="1052">
        <x:f t="shared" si="57"/>
        <x:v>0</x:v>
      </x:c>
      <x:c r="DT29" s="1052">
        <x:f t="shared" si="58"/>
        <x:v>0</x:v>
      </x:c>
      <x:c r="DU29" s="1052" t="str">
        <x:f t="shared" si="59"/>
        <x:v/>
      </x:c>
      <x:c r="DV29" s="1053" t="str">
        <x:f t="shared" si="60"/>
        <x:v/>
      </x:c>
      <x:c r="DW29" s="1053" t="str">
        <x:f t="shared" si="61"/>
        <x:v/>
      </x:c>
      <x:c r="DX29" s="1269">
        <x:f t="shared" si="62"/>
        <x:v>0</x:v>
      </x:c>
      <x:c r="DY29" s="1053">
        <x:f t="shared" si="63"/>
        <x:v>0</x:v>
      </x:c>
      <x:c r="DZ29" s="1052">
        <x:f t="shared" si="64"/>
        <x:v>0</x:v>
      </x:c>
      <x:c r="EA29" s="1052" t="str">
        <x:f t="shared" si="65"/>
        <x:v/>
      </x:c>
      <x:c r="EB29" s="1053" t="str">
        <x:f t="shared" si="66"/>
        <x:v/>
      </x:c>
      <x:c r="EC29" s="1053" t="str">
        <x:f t="shared" si="67"/>
        <x:v/>
      </x:c>
      <x:c r="ED29" s="1269">
        <x:f t="shared" si="68"/>
        <x:v>0</x:v>
      </x:c>
      <x:c r="EE29" s="1090" t="str">
        <x:f t="shared" si="69"/>
        <x:v/>
      </x:c>
      <x:c r="EF29" s="1053" t="str">
        <x:f t="shared" si="70"/>
        <x:v/>
      </x:c>
      <x:c r="EG29" s="1053" t="str">
        <x:f t="shared" si="71"/>
        <x:v/>
      </x:c>
      <x:c r="EH29" s="1053" t="str">
        <x:f t="shared" si="72"/>
        <x:v>ERR</x:v>
      </x:c>
      <x:c r="EI29" s="1053" t="str">
        <x:f t="shared" si="73"/>
        <x:v>ERR</x:v>
      </x:c>
      <x:c r="EJ29" s="1053" t="str">
        <x:f t="shared" si="74"/>
        <x:v/>
      </x:c>
      <x:c r="EK29" s="1053" t="str">
        <x:f t="shared" si="74"/>
        <x:v/>
      </x:c>
      <x:c r="EL29" s="1090" t="str">
        <x:f t="shared" si="75"/>
        <x:v/>
      </x:c>
      <x:c r="EM29" s="1053" t="str">
        <x:f t="shared" si="76"/>
        <x:v/>
      </x:c>
      <x:c r="EN29" s="1053" t="str">
        <x:f t="shared" si="77"/>
        <x:v/>
      </x:c>
      <x:c r="EO29" s="1053" t="str">
        <x:f t="shared" si="78"/>
        <x:v>ERR</x:v>
      </x:c>
      <x:c r="EP29" s="1053" t="str">
        <x:f t="shared" si="79"/>
        <x:v>ERR</x:v>
      </x:c>
      <x:c r="EQ29" s="1053" t="str">
        <x:f t="shared" si="80"/>
        <x:v/>
      </x:c>
      <x:c r="ER29" s="1053" t="str">
        <x:f t="shared" si="80"/>
        <x:v/>
      </x:c>
      <x:c r="ES29" s="1053" t="str">
        <x:f t="shared" si="81"/>
        <x:v/>
      </x:c>
      <x:c r="ET29" s="1053" t="str">
        <x:f t="shared" si="82"/>
        <x:v/>
      </x:c>
      <x:c r="EU29" s="1061">
        <x:f t="shared" si="83"/>
        <x:v>3.5</x:v>
      </x:c>
      <x:c r="EV29" s="1055" t="str">
        <x:f t="shared" si="84"/>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5"/>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6"/>
        <x:v/>
      </x:c>
      <x:c r="FD29" s="1052">
        <x:f t="shared" si="108"/>
        <x:v>0</x:v>
      </x:c>
      <x:c r="FE29" s="1052">
        <x:f t="shared" si="87"/>
        <x:v>0</x:v>
      </x:c>
      <x:c r="FF29" s="1052">
        <x:f t="shared" si="88"/>
        <x:v>0</x:v>
      </x:c>
      <x:c r="FG29" s="1052" t="str">
        <x:f t="shared" si="89"/>
        <x:v/>
      </x:c>
      <x:c r="FH29" s="1053" t="str">
        <x:f t="shared" si="90"/>
        <x:v/>
      </x:c>
      <x:c r="FI29" s="1052">
        <x:f t="shared" si="109"/>
        <x:v>0</x:v>
      </x:c>
      <x:c r="FJ29" s="1052">
        <x:f t="shared" si="91"/>
        <x:v>0</x:v>
      </x:c>
      <x:c r="FK29" s="1052">
        <x:f t="shared" si="92"/>
        <x:v>0</x:v>
      </x:c>
      <x:c r="FL29" s="1052" t="str">
        <x:f t="shared" si="93"/>
        <x:v/>
      </x:c>
      <x:c r="FM29" s="1053" t="str">
        <x:f t="shared" si="94"/>
        <x:v/>
      </x:c>
      <x:c r="FN29" s="1053" t="e">
        <x:f t="shared" si="95"/>
        <x:v>#VALUE!</x:v>
      </x:c>
      <x:c r="FO29" s="1062" t="e">
        <x:f t="shared" si="96"/>
        <x:v>#VALUE!</x:v>
      </x:c>
      <x:c r="FP29" s="1062" t="e">
        <x:f t="shared" si="97"/>
        <x:v>#VALUE!</x:v>
      </x:c>
      <x:c r="FQ29" s="1063" t="e">
        <x:f t="shared" si="98"/>
        <x:v>#VALUE!</x:v>
      </x:c>
      <x:c r="FR29" s="1064" t="e">
        <x:f t="shared" si="99"/>
        <x:v>#VALUE!</x:v>
      </x:c>
      <x:c r="FS29" s="1065" t="str">
        <x:f t="shared" si="100"/>
        <x:v/>
      </x:c>
      <x:c r="FT29" s="1066" t="str">
        <x:f t="shared" si="101"/>
        <x:v/>
      </x:c>
      <x:c r="FU29" s="1105">
        <x:f t="shared" si="102"/>
        <x:v>0</x:v>
      </x:c>
      <x:c r="FV29" s="1106">
        <x:f t="shared" si="103"/>
        <x:v>0</x:v>
      </x:c>
      <x:c r="GA29" s="1975">
        <x:v>50</x:v>
      </x:c>
      <x:c r="GB29" s="1976">
        <x:v>0</x:v>
      </x:c>
      <x:c r="GC29" s="1977">
        <x:v>-1</x:v>
      </x:c>
      <x:c r="GD29" s="1978">
        <x:v>-1</x:v>
      </x:c>
      <x:c r="GE29" s="1979">
        <x:v>0.26</x:v>
      </x:c>
      <x:c r="GF29" s="1980" t="str">
        <x:f t="shared" si="104"/>
        <x:v>TJ80</x:v>
      </x:c>
      <x:c r="GG29" s="1453"/>
      <x:c r="GH29" s="1454"/>
      <x:c r="GI29" s="1453"/>
      <x:c r="GJ29" s="1454"/>
      <x:c r="GK29" s="533">
        <x:f t="shared" si="105"/>
        <x:v>598</x:v>
      </x:c>
      <x:c r="GL29" s="534">
        <x:f t="shared" si="106"/>
        <x:v>598.1403474194924</x:v>
      </x:c>
      <x:c r="GM29" s="535">
        <x:f>IF(ABS(GK29-GL29)&gt;='Job Info.'!$L$22,ABS(GK29-GL29),0)</x:f>
        <x:v>0</x:v>
      </x:c>
      <x:c r="HA29" s="1658" t="s">
        <x:v>1404</x:v>
      </x:c>
      <x:c r="HB29" s="1659">
        <x:v>3</x:v>
      </x:c>
      <x:c r="HC29" s="1659" t="s">
        <x:v>1979</x:v>
      </x:c>
      <x:c r="HD29" s="1660">
        <x:v>49</x:v>
      </x:c>
      <x:c r="HE29" s="1661">
        <x:v>10</x:v>
      </x:c>
      <x:c r="HF29" s="1659">
        <x:v>0</x:v>
      </x:c>
      <x:c r="HG29" s="1659">
        <x:v>0.625</x:v>
      </x:c>
      <x:c r="HH29" s="1659" t="s">
        <x:v>114</x:v>
      </x:c>
      <x:c r="HI29" s="1662">
        <x:v>0</x:v>
      </x:c>
      <x:c r="HJ29" s="1659">
        <x:v>0.625</x:v>
      </x:c>
      <x:c r="HK29" s="1659" t="s">
        <x:v>114</x:v>
      </x:c>
      <x:c r="HL29" s="1659">
        <x:v>3</x:v>
      </x:c>
      <x:c r="HM29" s="1659">
        <x:v>3</x:v>
      </x:c>
      <x:c r="HN29" s="1659">
        <x:v>0</x:v>
      </x:c>
      <x:c r="HO29" s="1659">
        <x:v>5.375</x:v>
      </x:c>
      <x:c r="HP29" s="1659">
        <x:v>2</x:v>
      </x:c>
      <x:c r="HQ29" s="1662">
        <x:v>0</x:v>
      </x:c>
      <x:c r="HR29" s="1659">
        <x:v>6.625</x:v>
      </x:c>
      <x:c r="HS29" s="1659">
        <x:v>2</x:v>
      </x:c>
      <x:c r="HT29" s="1659">
        <x:v>0</x:v>
      </x:c>
      <x:c r="HU29" s="1659">
        <x:v>1.5</x:v>
      </x:c>
      <x:c r="HV29" s="1659">
        <x:v>0</x:v>
      </x:c>
      <x:c r="HW29" s="1661">
        <x:v>1.5</x:v>
      </x:c>
      <x:c r="HX29" s="1661">
        <x:v>4</x:v>
      </x:c>
      <x:c r="HY29" s="1661" t="s">
        <x:v>117</x:v>
      </x:c>
      <x:c r="HZ29" s="1661" t="s">
        <x:v>117</x:v>
      </x:c>
      <x:c r="IA29" s="1661" t="s">
        <x:v>2118</x:v>
      </x:c>
      <x:c r="IB29" s="1661"/>
      <x:c r="IC29" s="1661"/>
      <x:c r="ID29" s="1661"/>
      <x:c r="IE29" s="1661"/>
      <x:c r="IF29" s="1663"/>
    </x:row>
    <x:row r="30" spans="1:240" ht="12.6" customHeight="1" x14ac:dyDescent="0.25">
      <x:c r="A30" s="1264" t="s">
        <x:v>1405</x:v>
      </x:c>
      <x:c r="B30" s="1265">
        <x:v>0</x:v>
      </x:c>
      <x:c r="C30" s="1265" t="s">
        <x:v>1979</x:v>
      </x:c>
      <x:c r="D30" s="1261">
        <x:v>48</x:v>
      </x:c>
      <x:c r="E30" s="1366">
        <x:v>11.875</x:v>
      </x:c>
      <x:c r="F30" s="1328" t="str">
        <x:f t="shared" si="1"/>
        <x:v/>
      </x:c>
      <x:c r="G30" s="1262" t="str">
        <x:f t="shared" si="2"/>
        <x:v/>
      </x:c>
      <x:c r="H30" s="1266" t="str">
        <x:f t="shared" si="3"/>
        <x:v/>
      </x:c>
      <x:c r="I30" s="1261">
        <x:v>0</x:v>
      </x:c>
      <x:c r="J30" s="1262">
        <x:v>0.625</x:v>
      </x:c>
      <x:c r="K30" s="1370" t="s">
        <x:v>114</x:v>
      </x:c>
      <x:c r="L30" s="1327">
        <x:v>3</x:v>
      </x:c>
      <x:c r="M30" s="1329">
        <x:v>3</x:v>
      </x:c>
      <x:c r="N30" s="1263" t="str">
        <x:f t="shared" si="4"/>
        <x:v/>
      </x:c>
      <x:c r="O30" s="1262" t="str">
        <x:f t="shared" si="5"/>
        <x:v/>
      </x:c>
      <x:c r="P30" s="1260" t="str">
        <x:f t="shared" si="6"/>
        <x:v/>
      </x:c>
      <x:c r="Q30" s="1261">
        <x:v>0</x:v>
      </x:c>
      <x:c r="R30" s="1262">
        <x:v>6.75</x:v>
      </x:c>
      <x:c r="S30" s="1375">
        <x:v>2</x:v>
      </x:c>
      <x:c r="T30" s="1328">
        <x:v>0</x:v>
      </x:c>
      <x:c r="U30" s="1262">
        <x:v>1.125</x:v>
      </x:c>
      <x:c r="V30" s="1261">
        <x:v>0</x:v>
      </x:c>
      <x:c r="W30" s="1262">
        <x:v>1.5</x:v>
      </x:c>
      <x:c r="X30" s="1329">
        <x:v>4</x:v>
      </x:c>
      <x:c r="Y30" s="1377" t="str">
        <x:f t="shared" si="15"/>
        <x:v/>
      </x:c>
      <x:c r="Z30" s="1378" t="str">
        <x:f t="shared" si="16"/>
        <x:v/>
      </x:c>
      <x:c r="AA30" s="2159" t="s">
        <x:v>2106</x:v>
      </x:c>
      <x:c r="AC30" s="1226" t="b">
        <x:v>0</x:v>
      </x:c>
      <x:c r="AD30" s="525">
        <x:f t="shared" si="17"/>
        <x:v>0</x:v>
      </x:c>
      <x:c r="AE30" s="526">
        <x:f t="shared" si="18"/>
        <x:v>0</x:v>
      </x:c>
      <x:c r="AF30" s="526">
        <x:f t="shared" si="19"/>
        <x:v>0</x:v>
      </x:c>
      <x:c r="AG30" s="526">
        <x:f t="shared" si="20"/>
        <x:v>0</x:v>
      </x:c>
      <x:c r="AH30" s="527">
        <x:f t="shared" si="21"/>
        <x:v>0</x:v>
      </x:c>
      <x:c r="AI30" s="528" t="b">
        <x:v>0</x:v>
      </x:c>
      <x:c r="AJ30" s="284">
        <x:f t="shared" si="22"/>
        <x:v>30</x:v>
      </x:c>
      <x:c r="AK30" s="1063" t="str">
        <x:f t="shared" si="23"/>
        <x:v>K</x:v>
      </x:c>
      <x:c r="AL30" s="1202" t="str">
        <x:f t="shared" si="24"/>
        <x:v/>
      </x:c>
      <x:c r="AM30" s="1063">
        <x:f t="shared" si="25"/>
        <x:v>240</x:v>
      </x:c>
      <x:c r="AN30" s="1063">
        <x:f t="shared" si="26"/>
        <x:v>140</x:v>
      </x:c>
      <x:c r="AO30" s="1063" t="str">
        <x:f t="shared" si="27"/>
        <x:v/>
      </x:c>
      <x:c r="AP30" s="1063" t="b">
        <x:f>IF(ISERROR(AJ30),FALSE,IF(OR(AJ30=0,ISERROR(AL30),ISERROR(AM30),ISERROR(AN30),ISERROR(AO30)),FALSE,IF(AL30&lt;&gt;"",IF(ISERROR(VLOOKUP(SUBSTITUTE(SUBSTITUTE(C30,"R",""),"A",""),TblJoistSize!$A:$A,1,FALSE)),FALSE,TRUE),TRUE)))</x:f>
        <x:v>1</x:v>
      </x:c>
      <x:c r="AQ30" s="1305">
        <x:f t="shared" si="28"/>
        <x:v>4</x:v>
      </x:c>
      <x:c r="AR30" s="1305" t="b">
        <x:f t="shared" si="29"/>
        <x:v>1</x:v>
      </x:c>
      <x:c r="AS30" s="1305">
        <x:f t="shared" si="30"/>
        <x:v>4.625</x:v>
      </x:c>
      <x:c r="AT30" s="1305" t="b">
        <x:f t="shared" si="31"/>
        <x:v>1</x:v>
      </x:c>
      <x:c r="AU30" s="1203" t="str">
        <x:f t="shared" si="32"/>
        <x:v>K</x:v>
      </x:c>
      <x:c r="AV30" s="1063" t="str">
        <x:f t="shared" si="33"/>
        <x:v>K</x:v>
      </x:c>
      <x:c r="AW30" s="1063" t="str">
        <x:f t="shared" si="34"/>
        <x:v/>
      </x:c>
      <x:c r="AX30" s="1063" t="str">
        <x:f t="shared" si="107"/>
        <x:v>TJ81</x:v>
      </x:c>
      <x:c r="AY30" s="1306" t="b">
        <x:f t="shared" si="35"/>
        <x:v>0</x:v>
      </x:c>
      <x:c r="AZ30" s="1090" t="b">
        <x:f t="shared" si="36"/>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7"/>
        <x:v/>
      </x:c>
      <x:c r="CE30" s="935" t="str">
        <x:f t="shared" si="38"/>
        <x:v/>
      </x:c>
      <x:c r="CF30" s="1149"/>
      <x:c r="CG30" s="1150"/>
      <x:c r="CH30" s="738" t="str">
        <x:f t="shared" si="39"/>
        <x:v/>
      </x:c>
      <x:c r="CI30" s="739" t="str">
        <x:f t="shared" si="40"/>
        <x:v/>
      </x:c>
      <x:c r="CJ30" s="740" t="str">
        <x:f t="shared" si="41"/>
        <x:v/>
      </x:c>
      <x:c r="CK30" s="741" t="str">
        <x:f t="shared" si="42"/>
        <x:v/>
      </x:c>
      <x:c r="CL30" s="742" t="str">
        <x:f t="shared" si="43"/>
        <x:v/>
      </x:c>
      <x:c r="CM30" s="743" t="str">
        <x:f t="shared" si="44"/>
        <x:v/>
      </x:c>
      <x:c r="CN30" s="744" t="str">
        <x:f t="shared" si="45"/>
        <x:v/>
      </x:c>
      <x:c r="CO30" s="745" t="str">
        <x:f t="shared" si="46"/>
        <x:v/>
      </x:c>
      <x:c r="CP30" s="762" t="str">
        <x:f t="shared" si="47"/>
        <x:v/>
      </x:c>
      <x:c r="CQ30" s="763" t="str">
        <x:f t="shared" si="48"/>
        <x:v/>
      </x:c>
      <x:c r="CR30" s="953">
        <x:f t="shared" si="49"/>
        <x:v>2.5</x:v>
      </x:c>
      <x:c r="CS30" s="954">
        <x:f t="shared" si="50"/>
        <x:v>2.5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51"/>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52"/>
        <x:v>0</x:v>
      </x:c>
      <x:c r="DO30" s="1049">
        <x:f t="shared" si="53"/>
        <x:v>0</x:v>
      </x:c>
      <x:c r="DP30" s="1053" t="str">
        <x:f t="shared" si="54"/>
        <x:v/>
      </x:c>
      <x:c r="DQ30" s="1053" t="str">
        <x:f t="shared" si="55"/>
        <x:v/>
      </x:c>
      <x:c r="DR30" s="1053" t="str">
        <x:f t="shared" si="56"/>
        <x:v/>
      </x:c>
      <x:c r="DS30" s="1052">
        <x:f t="shared" si="57"/>
        <x:v>0</x:v>
      </x:c>
      <x:c r="DT30" s="1052">
        <x:f t="shared" si="58"/>
        <x:v>0</x:v>
      </x:c>
      <x:c r="DU30" s="1052" t="str">
        <x:f t="shared" si="59"/>
        <x:v/>
      </x:c>
      <x:c r="DV30" s="1053" t="str">
        <x:f t="shared" si="60"/>
        <x:v/>
      </x:c>
      <x:c r="DW30" s="1053" t="str">
        <x:f t="shared" si="61"/>
        <x:v/>
      </x:c>
      <x:c r="DX30" s="1269">
        <x:f t="shared" si="62"/>
        <x:v>0</x:v>
      </x:c>
      <x:c r="DY30" s="1053">
        <x:f t="shared" si="63"/>
        <x:v>0</x:v>
      </x:c>
      <x:c r="DZ30" s="1052">
        <x:f t="shared" si="64"/>
        <x:v>0</x:v>
      </x:c>
      <x:c r="EA30" s="1052" t="str">
        <x:f t="shared" si="65"/>
        <x:v/>
      </x:c>
      <x:c r="EB30" s="1053" t="str">
        <x:f t="shared" si="66"/>
        <x:v/>
      </x:c>
      <x:c r="EC30" s="1053" t="str">
        <x:f t="shared" si="67"/>
        <x:v/>
      </x:c>
      <x:c r="ED30" s="1269">
        <x:f t="shared" si="68"/>
        <x:v>0</x:v>
      </x:c>
      <x:c r="EE30" s="1090" t="str">
        <x:f t="shared" si="69"/>
        <x:v/>
      </x:c>
      <x:c r="EF30" s="1053" t="str">
        <x:f t="shared" si="70"/>
        <x:v/>
      </x:c>
      <x:c r="EG30" s="1053" t="str">
        <x:f t="shared" si="71"/>
        <x:v/>
      </x:c>
      <x:c r="EH30" s="1053" t="str">
        <x:f t="shared" si="72"/>
        <x:v>ERR</x:v>
      </x:c>
      <x:c r="EI30" s="1053" t="str">
        <x:f t="shared" si="73"/>
        <x:v>ERR</x:v>
      </x:c>
      <x:c r="EJ30" s="1053" t="str">
        <x:f t="shared" si="74"/>
        <x:v/>
      </x:c>
      <x:c r="EK30" s="1053" t="str">
        <x:f t="shared" si="74"/>
        <x:v/>
      </x:c>
      <x:c r="EL30" s="1090" t="str">
        <x:f t="shared" si="75"/>
        <x:v/>
      </x:c>
      <x:c r="EM30" s="1053" t="str">
        <x:f t="shared" si="76"/>
        <x:v/>
      </x:c>
      <x:c r="EN30" s="1053" t="str">
        <x:f t="shared" si="77"/>
        <x:v/>
      </x:c>
      <x:c r="EO30" s="1053" t="str">
        <x:f t="shared" si="78"/>
        <x:v>ERR</x:v>
      </x:c>
      <x:c r="EP30" s="1053" t="str">
        <x:f t="shared" si="79"/>
        <x:v>ERR</x:v>
      </x:c>
      <x:c r="EQ30" s="1053" t="str">
        <x:f t="shared" si="80"/>
        <x:v/>
      </x:c>
      <x:c r="ER30" s="1053" t="str">
        <x:f t="shared" si="80"/>
        <x:v/>
      </x:c>
      <x:c r="ES30" s="1053" t="str">
        <x:f t="shared" si="81"/>
        <x:v/>
      </x:c>
      <x:c r="ET30" s="1053" t="str">
        <x:f t="shared" si="82"/>
        <x:v/>
      </x:c>
      <x:c r="EU30" s="1061">
        <x:f t="shared" si="83"/>
        <x:v>3.5</x:v>
      </x:c>
      <x:c r="EV30" s="1055" t="str">
        <x:f t="shared" si="84"/>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5"/>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6"/>
        <x:v/>
      </x:c>
      <x:c r="FD30" s="1052">
        <x:f t="shared" si="108"/>
        <x:v>0</x:v>
      </x:c>
      <x:c r="FE30" s="1052">
        <x:f t="shared" si="87"/>
        <x:v>0</x:v>
      </x:c>
      <x:c r="FF30" s="1052">
        <x:f t="shared" si="88"/>
        <x:v>0</x:v>
      </x:c>
      <x:c r="FG30" s="1052" t="str">
        <x:f t="shared" si="89"/>
        <x:v/>
      </x:c>
      <x:c r="FH30" s="1053" t="str">
        <x:f t="shared" si="90"/>
        <x:v/>
      </x:c>
      <x:c r="FI30" s="1052">
        <x:f t="shared" si="109"/>
        <x:v>0</x:v>
      </x:c>
      <x:c r="FJ30" s="1052">
        <x:f t="shared" si="91"/>
        <x:v>0</x:v>
      </x:c>
      <x:c r="FK30" s="1052">
        <x:f t="shared" si="92"/>
        <x:v>0</x:v>
      </x:c>
      <x:c r="FL30" s="1052" t="str">
        <x:f t="shared" si="93"/>
        <x:v/>
      </x:c>
      <x:c r="FM30" s="1053" t="str">
        <x:f t="shared" si="94"/>
        <x:v/>
      </x:c>
      <x:c r="FN30" s="1053" t="e">
        <x:f t="shared" si="95"/>
        <x:v>#VALUE!</x:v>
      </x:c>
      <x:c r="FO30" s="1062" t="e">
        <x:f t="shared" si="96"/>
        <x:v>#VALUE!</x:v>
      </x:c>
      <x:c r="FP30" s="1062" t="e">
        <x:f t="shared" si="97"/>
        <x:v>#VALUE!</x:v>
      </x:c>
      <x:c r="FQ30" s="1063" t="e">
        <x:f t="shared" si="98"/>
        <x:v>#VALUE!</x:v>
      </x:c>
      <x:c r="FR30" s="1064" t="e">
        <x:f t="shared" si="99"/>
        <x:v>#VALUE!</x:v>
      </x:c>
      <x:c r="FS30" s="1065" t="str">
        <x:f t="shared" si="100"/>
        <x:v/>
      </x:c>
      <x:c r="FT30" s="1066" t="str">
        <x:f t="shared" si="101"/>
        <x:v/>
      </x:c>
      <x:c r="FU30" s="1105">
        <x:f t="shared" si="102"/>
        <x:v>0</x:v>
      </x:c>
      <x:c r="FV30" s="1106">
        <x:f t="shared" si="103"/>
        <x:v>0</x:v>
      </x:c>
      <x:c r="GA30" s="1975">
        <x:v>49</x:v>
      </x:c>
      <x:c r="GB30" s="1976">
        <x:v>2.75</x:v>
      </x:c>
      <x:c r="GC30" s="1977">
        <x:v>-1.875</x:v>
      </x:c>
      <x:c r="GD30" s="1978">
        <x:v>-1</x:v>
      </x:c>
      <x:c r="GE30" s="1979">
        <x:v>0.314853999153618</x:v>
      </x:c>
      <x:c r="GF30" s="1980" t="str">
        <x:f t="shared" si="104"/>
        <x:v>TJ81</x:v>
      </x:c>
      <x:c r="GG30" s="1453"/>
      <x:c r="GH30" s="1454"/>
      <x:c r="GI30" s="1453"/>
      <x:c r="GJ30" s="1454"/>
      <x:c r="GK30" s="533">
        <x:f t="shared" si="105"/>
        <x:v>587.875</x:v>
      </x:c>
      <x:c r="GL30" s="534">
        <x:f t="shared" si="106"/>
        <x:v>588.07731878415802</x:v>
      </x:c>
      <x:c r="GM30" s="535">
        <x:f>IF(ABS(GK30-GL30)&gt;='Job Info.'!$L$22,ABS(GK30-GL30),0)</x:f>
        <x:v>0</x:v>
      </x:c>
      <x:c r="HA30" s="1658" t="s">
        <x:v>1405</x:v>
      </x:c>
      <x:c r="HB30" s="1659">
        <x:v>1</x:v>
      </x:c>
      <x:c r="HC30" s="1659" t="s">
        <x:v>1979</x:v>
      </x:c>
      <x:c r="HD30" s="1660">
        <x:v>48</x:v>
      </x:c>
      <x:c r="HE30" s="1661">
        <x:v>11.875</x:v>
      </x:c>
      <x:c r="HF30" s="1659" t="s">
        <x:v>117</x:v>
      </x:c>
      <x:c r="HG30" s="1659" t="s">
        <x:v>117</x:v>
      </x:c>
      <x:c r="HH30" s="1659" t="s">
        <x:v>117</x:v>
      </x:c>
      <x:c r="HI30" s="1662">
        <x:v>0</x:v>
      </x:c>
      <x:c r="HJ30" s="1659">
        <x:v>0.625</x:v>
      </x:c>
      <x:c r="HK30" s="1659" t="s">
        <x:v>114</x:v>
      </x:c>
      <x:c r="HL30" s="1659">
        <x:v>3</x:v>
      </x:c>
      <x:c r="HM30" s="1659">
        <x:v>3</x:v>
      </x:c>
      <x:c r="HN30" s="1659" t="s">
        <x:v>117</x:v>
      </x:c>
      <x:c r="HO30" s="1659" t="s">
        <x:v>117</x:v>
      </x:c>
      <x:c r="HP30" s="1659" t="s">
        <x:v>117</x:v>
      </x:c>
      <x:c r="HQ30" s="1662">
        <x:v>0</x:v>
      </x:c>
      <x:c r="HR30" s="1659">
        <x:v>6.75</x:v>
      </x:c>
      <x:c r="HS30" s="1659">
        <x:v>2</x:v>
      </x:c>
      <x:c r="HT30" s="1659">
        <x:v>0</x:v>
      </x:c>
      <x:c r="HU30" s="1659">
        <x:v>1.125</x:v>
      </x:c>
      <x:c r="HV30" s="1659">
        <x:v>0</x:v>
      </x:c>
      <x:c r="HW30" s="1661">
        <x:v>1.5</x:v>
      </x:c>
      <x:c r="HX30" s="1661">
        <x:v>4</x:v>
      </x:c>
      <x:c r="HY30" s="1661" t="s">
        <x:v>117</x:v>
      </x:c>
      <x:c r="HZ30" s="1661" t="s">
        <x:v>117</x:v>
      </x:c>
      <x:c r="IA30" s="1661" t="s">
        <x:v>2106</x:v>
      </x:c>
      <x:c r="IB30" s="1661"/>
      <x:c r="IC30" s="1661"/>
      <x:c r="ID30" s="1661"/>
      <x:c r="IE30" s="1661"/>
      <x:c r="IF30" s="1663"/>
    </x:row>
    <x:row r="31" spans="1:240" ht="12.6" customHeight="1" x14ac:dyDescent="0.25">
      <x:c r="A31" s="1264" t="s">
        <x:v>1406</x:v>
      </x:c>
      <x:c r="B31" s="1265">
        <x:v>1</x:v>
      </x:c>
      <x:c r="C31" s="1265" t="s">
        <x:v>1979</x:v>
      </x:c>
      <x:c r="D31" s="1261">
        <x:v>51</x:v>
      </x:c>
      <x:c r="E31" s="1366">
        <x:v>0.625</x:v>
      </x:c>
      <x:c r="F31" s="1328" t="str">
        <x:f t="shared" si="1"/>
        <x:v/>
      </x:c>
      <x:c r="G31" s="1262" t="str">
        <x:f t="shared" si="2"/>
        <x:v/>
      </x:c>
      <x:c r="H31" s="1266" t="str">
        <x:f t="shared" si="3"/>
        <x:v/>
      </x:c>
      <x:c r="I31" s="1261">
        <x:v>0</x:v>
      </x:c>
      <x:c r="J31" s="1262">
        <x:v>1.375</x:v>
      </x:c>
      <x:c r="K31" s="1370" t="s">
        <x:v>114</x:v>
      </x:c>
      <x:c r="L31" s="1327">
        <x:v>3</x:v>
      </x:c>
      <x:c r="M31" s="1329">
        <x:v>3</x:v>
      </x:c>
      <x:c r="N31" s="1263" t="str">
        <x:f t="shared" si="4"/>
        <x:v/>
      </x:c>
      <x:c r="O31" s="1262" t="str">
        <x:f t="shared" si="5"/>
        <x:v/>
      </x:c>
      <x:c r="P31" s="1260" t="str">
        <x:f t="shared" si="6"/>
        <x:v/>
      </x:c>
      <x:c r="Q31" s="1261" t="str">
        <x:f t="shared" si="7"/>
        <x:v/>
      </x:c>
      <x:c r="R31" s="1262" t="str">
        <x:f t="shared" si="8"/>
        <x:v/>
      </x:c>
      <x:c r="S31" s="1375" t="str">
        <x:f t="shared" si="9"/>
        <x:v/>
      </x:c>
      <x:c r="T31" s="1328" t="str">
        <x:f t="shared" si="10"/>
        <x:v/>
      </x:c>
      <x:c r="U31" s="1262" t="str">
        <x:f t="shared" si="11"/>
        <x:v/>
      </x:c>
      <x:c r="V31" s="1261" t="str">
        <x:f t="shared" si="12"/>
        <x:v/>
      </x:c>
      <x:c r="W31" s="1262" t="str">
        <x:f t="shared" si="13"/>
        <x:v/>
      </x:c>
      <x:c r="X31" s="1329">
        <x:f t="shared" si="14"/>
        <x:v>0</x:v>
      </x:c>
      <x:c r="Y31" s="1377" t="str">
        <x:f t="shared" si="15"/>
        <x:v/>
      </x:c>
      <x:c r="Z31" s="1378" t="str">
        <x:f t="shared" si="16"/>
        <x:v/>
      </x:c>
      <x:c r="AA31" s="2159" t="s">
        <x:v>2119</x:v>
      </x:c>
      <x:c r="AC31" s="1226" t="b">
        <x:v>0</x:v>
      </x:c>
      <x:c r="AD31" s="525">
        <x:f t="shared" si="17"/>
        <x:v>1</x:v>
      </x:c>
      <x:c r="AE31" s="526">
        <x:f t="shared" si="18"/>
        <x:v>0</x:v>
      </x:c>
      <x:c r="AF31" s="526">
        <x:f t="shared" si="19"/>
        <x:v>0</x:v>
      </x:c>
      <x:c r="AG31" s="526">
        <x:f t="shared" si="20"/>
        <x:v>0</x:v>
      </x:c>
      <x:c r="AH31" s="527">
        <x:f t="shared" si="21"/>
        <x:v>0</x:v>
      </x:c>
      <x:c r="AI31" s="528" t="b">
        <x:v>0</x:v>
      </x:c>
      <x:c r="AJ31" s="284">
        <x:f t="shared" si="22"/>
        <x:v>30</x:v>
      </x:c>
      <x:c r="AK31" s="1063" t="str">
        <x:f t="shared" si="23"/>
        <x:v>K</x:v>
      </x:c>
      <x:c r="AL31" s="1202" t="str">
        <x:f t="shared" si="24"/>
        <x:v/>
      </x:c>
      <x:c r="AM31" s="1063">
        <x:f t="shared" si="25"/>
        <x:v>240</x:v>
      </x:c>
      <x:c r="AN31" s="1063">
        <x:f t="shared" si="26"/>
        <x:v>140</x:v>
      </x:c>
      <x:c r="AO31" s="1063" t="str">
        <x:f t="shared" si="27"/>
        <x:v/>
      </x:c>
      <x:c r="AP31" s="1063" t="b">
        <x:f>IF(ISERROR(AJ31),FALSE,IF(OR(AJ31=0,ISERROR(AL31),ISERROR(AM31),ISERROR(AN31),ISERROR(AO31)),FALSE,IF(AL31&lt;&gt;"",IF(ISERROR(VLOOKUP(SUBSTITUTE(SUBSTITUTE(C31,"R",""),"A",""),TblJoistSize!$A:$A,1,FALSE)),FALSE,TRUE),TRUE)))</x:f>
        <x:v>1</x:v>
      </x:c>
      <x:c r="AQ31" s="1305">
        <x:f t="shared" si="28"/>
        <x:v>4</x:v>
      </x:c>
      <x:c r="AR31" s="1305" t="b">
        <x:f t="shared" si="29"/>
        <x:v>0</x:v>
      </x:c>
      <x:c r="AS31" s="1305">
        <x:f t="shared" si="30"/>
        <x:v>5.375</x:v>
      </x:c>
      <x:c r="AT31" s="1305" t="b">
        <x:f t="shared" si="31"/>
        <x:v>0</x:v>
      </x:c>
      <x:c r="AU31" s="1203" t="str">
        <x:f t="shared" si="32"/>
        <x:v>K</x:v>
      </x:c>
      <x:c r="AV31" s="1063" t="str">
        <x:f t="shared" si="33"/>
        <x:v>K</x:v>
      </x:c>
      <x:c r="AW31" s="1063" t="str">
        <x:f t="shared" si="34"/>
        <x:v/>
      </x:c>
      <x:c r="AX31" s="1063" t="str">
        <x:f t="shared" si="107"/>
        <x:v>J82</x:v>
      </x:c>
      <x:c r="AY31" s="1306" t="b">
        <x:f t="shared" si="35"/>
        <x:v>0</x:v>
      </x:c>
      <x:c r="AZ31" s="1090" t="b">
        <x:f t="shared" si="36"/>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7"/>
        <x:v/>
      </x:c>
      <x:c r="CE31" s="935" t="str">
        <x:f t="shared" si="38"/>
        <x:v/>
      </x:c>
      <x:c r="CF31" s="1149"/>
      <x:c r="CG31" s="1150"/>
      <x:c r="CH31" s="738" t="str">
        <x:f t="shared" si="39"/>
        <x:v/>
      </x:c>
      <x:c r="CI31" s="739" t="str">
        <x:f t="shared" si="40"/>
        <x:v/>
      </x:c>
      <x:c r="CJ31" s="740" t="str">
        <x:f t="shared" si="41"/>
        <x:v/>
      </x:c>
      <x:c r="CK31" s="741" t="str">
        <x:f t="shared" si="42"/>
        <x:v/>
      </x:c>
      <x:c r="CL31" s="742" t="str">
        <x:f t="shared" si="43"/>
        <x:v/>
      </x:c>
      <x:c r="CM31" s="743" t="str">
        <x:f t="shared" si="44"/>
        <x:v/>
      </x:c>
      <x:c r="CN31" s="744" t="str">
        <x:f t="shared" si="45"/>
        <x:v/>
      </x:c>
      <x:c r="CO31" s="745" t="str">
        <x:f t="shared" si="46"/>
        <x:v/>
      </x:c>
      <x:c r="CP31" s="762" t="str">
        <x:f t="shared" si="47"/>
        <x:v/>
      </x:c>
      <x:c r="CQ31" s="763" t="str">
        <x:f t="shared" si="48"/>
        <x:v/>
      </x:c>
      <x:c r="CR31" s="953">
        <x:f t="shared" si="49"/>
        <x:v>2.5</x:v>
      </x:c>
      <x:c r="CS31" s="954">
        <x:f t="shared" si="50"/>
        <x:v>2.5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51"/>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52"/>
        <x:v>0</x:v>
      </x:c>
      <x:c r="DO31" s="1049">
        <x:f t="shared" si="53"/>
        <x:v>0</x:v>
      </x:c>
      <x:c r="DP31" s="1053" t="str">
        <x:f t="shared" si="54"/>
        <x:v/>
      </x:c>
      <x:c r="DQ31" s="1053" t="str">
        <x:f t="shared" si="55"/>
        <x:v/>
      </x:c>
      <x:c r="DR31" s="1053" t="str">
        <x:f t="shared" si="56"/>
        <x:v/>
      </x:c>
      <x:c r="DS31" s="1052">
        <x:f t="shared" si="57"/>
        <x:v>0</x:v>
      </x:c>
      <x:c r="DT31" s="1052">
        <x:f t="shared" si="58"/>
        <x:v>0</x:v>
      </x:c>
      <x:c r="DU31" s="1052" t="str">
        <x:f t="shared" si="59"/>
        <x:v/>
      </x:c>
      <x:c r="DV31" s="1053" t="str">
        <x:f t="shared" si="60"/>
        <x:v/>
      </x:c>
      <x:c r="DW31" s="1053" t="str">
        <x:f t="shared" si="61"/>
        <x:v/>
      </x:c>
      <x:c r="DX31" s="1269">
        <x:f t="shared" si="62"/>
        <x:v>0</x:v>
      </x:c>
      <x:c r="DY31" s="1053">
        <x:f t="shared" si="63"/>
        <x:v>0</x:v>
      </x:c>
      <x:c r="DZ31" s="1052">
        <x:f t="shared" si="64"/>
        <x:v>0</x:v>
      </x:c>
      <x:c r="EA31" s="1052" t="str">
        <x:f t="shared" si="65"/>
        <x:v/>
      </x:c>
      <x:c r="EB31" s="1053" t="str">
        <x:f t="shared" si="66"/>
        <x:v/>
      </x:c>
      <x:c r="EC31" s="1053" t="str">
        <x:f t="shared" si="67"/>
        <x:v/>
      </x:c>
      <x:c r="ED31" s="1269">
        <x:f t="shared" si="68"/>
        <x:v>0</x:v>
      </x:c>
      <x:c r="EE31" s="1090" t="str">
        <x:f t="shared" si="69"/>
        <x:v/>
      </x:c>
      <x:c r="EF31" s="1053" t="str">
        <x:f t="shared" si="70"/>
        <x:v/>
      </x:c>
      <x:c r="EG31" s="1053" t="str">
        <x:f t="shared" si="71"/>
        <x:v/>
      </x:c>
      <x:c r="EH31" s="1053" t="str">
        <x:f t="shared" si="72"/>
        <x:v>ERR</x:v>
      </x:c>
      <x:c r="EI31" s="1053" t="str">
        <x:f t="shared" si="73"/>
        <x:v>ERR</x:v>
      </x:c>
      <x:c r="EJ31" s="1053" t="str">
        <x:f t="shared" si="74"/>
        <x:v/>
      </x:c>
      <x:c r="EK31" s="1053" t="str">
        <x:f t="shared" si="74"/>
        <x:v/>
      </x:c>
      <x:c r="EL31" s="1090" t="str">
        <x:f t="shared" si="75"/>
        <x:v/>
      </x:c>
      <x:c r="EM31" s="1053" t="str">
        <x:f t="shared" si="76"/>
        <x:v/>
      </x:c>
      <x:c r="EN31" s="1053" t="str">
        <x:f t="shared" si="77"/>
        <x:v/>
      </x:c>
      <x:c r="EO31" s="1053" t="str">
        <x:f t="shared" si="78"/>
        <x:v>ERR</x:v>
      </x:c>
      <x:c r="EP31" s="1053" t="str">
        <x:f t="shared" si="79"/>
        <x:v>ERR</x:v>
      </x:c>
      <x:c r="EQ31" s="1053" t="str">
        <x:f t="shared" si="80"/>
        <x:v/>
      </x:c>
      <x:c r="ER31" s="1053" t="str">
        <x:f t="shared" si="80"/>
        <x:v/>
      </x:c>
      <x:c r="ES31" s="1053" t="str">
        <x:f t="shared" si="81"/>
        <x:v/>
      </x:c>
      <x:c r="ET31" s="1053" t="str">
        <x:f t="shared" si="82"/>
        <x:v/>
      </x:c>
      <x:c r="EU31" s="1061">
        <x:f t="shared" si="83"/>
        <x:v>3.5</x:v>
      </x:c>
      <x:c r="EV31" s="1055" t="str">
        <x:f t="shared" si="84"/>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5"/>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6"/>
        <x:v/>
      </x:c>
      <x:c r="FD31" s="1052">
        <x:f t="shared" si="108"/>
        <x:v>0</x:v>
      </x:c>
      <x:c r="FE31" s="1052">
        <x:f t="shared" si="87"/>
        <x:v>0</x:v>
      </x:c>
      <x:c r="FF31" s="1052">
        <x:f t="shared" si="88"/>
        <x:v>0</x:v>
      </x:c>
      <x:c r="FG31" s="1052" t="str">
        <x:f t="shared" si="89"/>
        <x:v/>
      </x:c>
      <x:c r="FH31" s="1053" t="str">
        <x:f t="shared" si="90"/>
        <x:v/>
      </x:c>
      <x:c r="FI31" s="1052">
        <x:f t="shared" si="109"/>
        <x:v>0</x:v>
      </x:c>
      <x:c r="FJ31" s="1052">
        <x:f t="shared" si="91"/>
        <x:v>0</x:v>
      </x:c>
      <x:c r="FK31" s="1052">
        <x:f t="shared" si="92"/>
        <x:v>0</x:v>
      </x:c>
      <x:c r="FL31" s="1052" t="str">
        <x:f t="shared" si="93"/>
        <x:v/>
      </x:c>
      <x:c r="FM31" s="1053" t="str">
        <x:f t="shared" si="94"/>
        <x:v/>
      </x:c>
      <x:c r="FN31" s="1053" t="e">
        <x:f t="shared" si="95"/>
        <x:v>#VALUE!</x:v>
      </x:c>
      <x:c r="FO31" s="1062" t="e">
        <x:f t="shared" si="96"/>
        <x:v>#VALUE!</x:v>
      </x:c>
      <x:c r="FP31" s="1062" t="e">
        <x:f t="shared" si="97"/>
        <x:v>#VALUE!</x:v>
      </x:c>
      <x:c r="FQ31" s="1063" t="e">
        <x:f t="shared" si="98"/>
        <x:v>#VALUE!</x:v>
      </x:c>
      <x:c r="FR31" s="1064" t="e">
        <x:f t="shared" si="99"/>
        <x:v>#VALUE!</x:v>
      </x:c>
      <x:c r="FS31" s="1065" t="str">
        <x:f t="shared" si="100"/>
        <x:v/>
      </x:c>
      <x:c r="FT31" s="1066" t="str">
        <x:f t="shared" si="101"/>
        <x:v/>
      </x:c>
      <x:c r="FU31" s="1105">
        <x:f t="shared" si="102"/>
        <x:v>0</x:v>
      </x:c>
      <x:c r="FV31" s="1106">
        <x:f t="shared" si="103"/>
        <x:v>0</x:v>
      </x:c>
      <x:c r="GA31" s="1975">
        <x:v>51</x:v>
      </x:c>
      <x:c r="GB31" s="1976">
        <x:v>2.75</x:v>
      </x:c>
      <x:c r="GC31" s="1977">
        <x:v>-1.875</x:v>
      </x:c>
      <x:c r="GD31" s="1978">
        <x:v>-0.25</x:v>
      </x:c>
      <x:c r="GE31" s="1979">
        <x:v>-0.224612666441874</x:v>
      </x:c>
      <x:c r="GF31" s="1980" t="str">
        <x:f t="shared" si="104"/>
        <x:v>J82</x:v>
      </x:c>
      <x:c r="GG31" s="1453"/>
      <x:c r="GH31" s="1454"/>
      <x:c r="GI31" s="1453"/>
      <x:c r="GJ31" s="1454"/>
      <x:c r="GK31" s="533">
        <x:f t="shared" si="105"/>
        <x:v>612.625</x:v>
      </x:c>
      <x:c r="GL31" s="534">
        <x:f t="shared" si="106"/>
        <x:v>612.73230814333169</x:v>
      </x:c>
      <x:c r="GM31" s="535">
        <x:f>IF(ABS(GK31-GL31)&gt;='Job Info.'!$L$22,ABS(GK31-GL31),0)</x:f>
        <x:v>0</x:v>
      </x:c>
      <x:c r="HA31" s="1658" t="s">
        <x:v>1406</x:v>
      </x:c>
      <x:c r="HB31" s="1659">
        <x:v>1</x:v>
      </x:c>
      <x:c r="HC31" s="1659" t="s">
        <x:v>1979</x:v>
      </x:c>
      <x:c r="HD31" s="1660">
        <x:v>51</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2119</x:v>
      </x:c>
      <x:c r="IB31" s="1661"/>
      <x:c r="IC31" s="1661"/>
      <x:c r="ID31" s="1661"/>
      <x:c r="IE31" s="1661"/>
      <x:c r="IF31" s="1663"/>
    </x:row>
    <x:row r="32" spans="1:240" ht="12.6" customHeight="1" x14ac:dyDescent="0.25">
      <x:c r="A32" s="1264" t="s">
        <x:v>1407</x:v>
      </x:c>
      <x:c r="B32" s="1265">
        <x:v>3</x:v>
      </x:c>
      <x:c r="C32" s="1265" t="s">
        <x:v>1979</x:v>
      </x:c>
      <x:c r="D32" s="1261">
        <x:v>51</x:v>
      </x:c>
      <x:c r="E32" s="1366">
        <x:v>0.625</x:v>
      </x:c>
      <x:c r="F32" s="1328" t="str">
        <x:f t="shared" si="1"/>
        <x:v/>
      </x:c>
      <x:c r="G32" s="1262" t="str">
        <x:f t="shared" si="2"/>
        <x:v/>
      </x:c>
      <x:c r="H32" s="1266" t="str">
        <x:f t="shared" si="3"/>
        <x:v/>
      </x:c>
      <x:c r="I32" s="1261">
        <x:v>0</x:v>
      </x:c>
      <x:c r="J32" s="1262">
        <x:v>1.375</x:v>
      </x:c>
      <x:c r="K32" s="1370" t="s">
        <x:v>114</x:v>
      </x:c>
      <x:c r="L32" s="1327">
        <x:v>3</x:v>
      </x:c>
      <x:c r="M32" s="1329">
        <x:v>3</x:v>
      </x:c>
      <x:c r="N32" s="1263" t="str">
        <x:f t="shared" si="4"/>
        <x:v/>
      </x:c>
      <x:c r="O32" s="1262" t="str">
        <x:f t="shared" si="5"/>
        <x:v/>
      </x:c>
      <x:c r="P32" s="1260" t="str">
        <x:f t="shared" si="6"/>
        <x:v/>
      </x:c>
      <x:c r="Q32" s="1261" t="str">
        <x:f t="shared" si="7"/>
        <x:v/>
      </x:c>
      <x:c r="R32" s="1262" t="str">
        <x:f t="shared" si="8"/>
        <x:v/>
      </x:c>
      <x:c r="S32" s="1375" t="str">
        <x:f t="shared" si="9"/>
        <x:v/>
      </x:c>
      <x:c r="T32" s="1328" t="str">
        <x:f t="shared" si="10"/>
        <x:v/>
      </x:c>
      <x:c r="U32" s="1262" t="str">
        <x:f t="shared" si="11"/>
        <x:v/>
      </x:c>
      <x:c r="V32" s="1261" t="str">
        <x:f t="shared" si="12"/>
        <x:v/>
      </x:c>
      <x:c r="W32" s="1262" t="str">
        <x:f t="shared" si="13"/>
        <x:v/>
      </x:c>
      <x:c r="X32" s="1329">
        <x:f t="shared" si="14"/>
        <x:v>0</x:v>
      </x:c>
      <x:c r="Y32" s="1377" t="str">
        <x:f t="shared" si="15"/>
        <x:v/>
      </x:c>
      <x:c r="Z32" s="1378" t="str">
        <x:f t="shared" si="16"/>
        <x:v/>
      </x:c>
      <x:c r="AA32" s="2159" t="s">
        <x:v>2120</x:v>
      </x:c>
      <x:c r="AC32" s="1226" t="b">
        <x:v>0</x:v>
      </x:c>
      <x:c r="AD32" s="525">
        <x:f t="shared" si="17"/>
        <x:v>3</x:v>
      </x:c>
      <x:c r="AE32" s="526">
        <x:f t="shared" si="18"/>
        <x:v>0</x:v>
      </x:c>
      <x:c r="AF32" s="526">
        <x:f t="shared" si="19"/>
        <x:v>0</x:v>
      </x:c>
      <x:c r="AG32" s="526">
        <x:f t="shared" si="20"/>
        <x:v>0</x:v>
      </x:c>
      <x:c r="AH32" s="527">
        <x:f t="shared" si="21"/>
        <x:v>0</x:v>
      </x:c>
      <x:c r="AI32" s="528" t="b">
        <x:v>0</x:v>
      </x:c>
      <x:c r="AJ32" s="284">
        <x:f t="shared" si="22"/>
        <x:v>30</x:v>
      </x:c>
      <x:c r="AK32" s="1063" t="str">
        <x:f t="shared" si="23"/>
        <x:v>K</x:v>
      </x:c>
      <x:c r="AL32" s="1202" t="str">
        <x:f t="shared" si="24"/>
        <x:v/>
      </x:c>
      <x:c r="AM32" s="1063">
        <x:f t="shared" si="25"/>
        <x:v>240</x:v>
      </x:c>
      <x:c r="AN32" s="1063">
        <x:f t="shared" si="26"/>
        <x:v>140</x:v>
      </x:c>
      <x:c r="AO32" s="1063" t="str">
        <x:f t="shared" si="27"/>
        <x:v/>
      </x:c>
      <x:c r="AP32" s="1063" t="b">
        <x:f>IF(ISERROR(AJ32),FALSE,IF(OR(AJ32=0,ISERROR(AL32),ISERROR(AM32),ISERROR(AN32),ISERROR(AO32)),FALSE,IF(AL32&lt;&gt;"",IF(ISERROR(VLOOKUP(SUBSTITUTE(SUBSTITUTE(C32,"R",""),"A",""),TblJoistSize!$A:$A,1,FALSE)),FALSE,TRUE),TRUE)))</x:f>
        <x:v>1</x:v>
      </x:c>
      <x:c r="AQ32" s="1305">
        <x:f t="shared" si="28"/>
        <x:v>4</x:v>
      </x:c>
      <x:c r="AR32" s="1305" t="b">
        <x:f t="shared" si="29"/>
        <x:v>0</x:v>
      </x:c>
      <x:c r="AS32" s="1305">
        <x:f t="shared" si="30"/>
        <x:v>5.375</x:v>
      </x:c>
      <x:c r="AT32" s="1305" t="b">
        <x:f t="shared" si="31"/>
        <x:v>0</x:v>
      </x:c>
      <x:c r="AU32" s="1203" t="str">
        <x:f t="shared" si="32"/>
        <x:v>K</x:v>
      </x:c>
      <x:c r="AV32" s="1063" t="str">
        <x:f t="shared" si="33"/>
        <x:v>K</x:v>
      </x:c>
      <x:c r="AW32" s="1063" t="str">
        <x:f t="shared" si="34"/>
        <x:v/>
      </x:c>
      <x:c r="AX32" s="1063" t="str">
        <x:f t="shared" si="107"/>
        <x:v>J83</x:v>
      </x:c>
      <x:c r="AY32" s="1306" t="b">
        <x:f t="shared" si="35"/>
        <x:v>0</x:v>
      </x:c>
      <x:c r="AZ32" s="1090" t="b">
        <x:f t="shared" si="36"/>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7"/>
        <x:v/>
      </x:c>
      <x:c r="CE32" s="935" t="str">
        <x:f t="shared" si="38"/>
        <x:v/>
      </x:c>
      <x:c r="CF32" s="1149"/>
      <x:c r="CG32" s="1150"/>
      <x:c r="CH32" s="738" t="str">
        <x:f t="shared" si="39"/>
        <x:v/>
      </x:c>
      <x:c r="CI32" s="739" t="str">
        <x:f t="shared" si="40"/>
        <x:v/>
      </x:c>
      <x:c r="CJ32" s="740" t="str">
        <x:f t="shared" si="41"/>
        <x:v/>
      </x:c>
      <x:c r="CK32" s="741" t="str">
        <x:f t="shared" si="42"/>
        <x:v/>
      </x:c>
      <x:c r="CL32" s="742" t="str">
        <x:f t="shared" si="43"/>
        <x:v/>
      </x:c>
      <x:c r="CM32" s="743" t="str">
        <x:f t="shared" si="44"/>
        <x:v/>
      </x:c>
      <x:c r="CN32" s="744" t="str">
        <x:f t="shared" si="45"/>
        <x:v/>
      </x:c>
      <x:c r="CO32" s="745" t="str">
        <x:f t="shared" si="46"/>
        <x:v/>
      </x:c>
      <x:c r="CP32" s="762" t="str">
        <x:f t="shared" si="47"/>
        <x:v/>
      </x:c>
      <x:c r="CQ32" s="763" t="str">
        <x:f t="shared" si="48"/>
        <x:v/>
      </x:c>
      <x:c r="CR32" s="953">
        <x:f t="shared" si="49"/>
        <x:v>2.5</x:v>
      </x:c>
      <x:c r="CS32" s="954">
        <x:f t="shared" si="50"/>
        <x:v>2.5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51"/>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52"/>
        <x:v>0</x:v>
      </x:c>
      <x:c r="DO32" s="1049">
        <x:f t="shared" si="53"/>
        <x:v>0</x:v>
      </x:c>
      <x:c r="DP32" s="1053" t="str">
        <x:f t="shared" si="54"/>
        <x:v/>
      </x:c>
      <x:c r="DQ32" s="1053" t="str">
        <x:f t="shared" si="55"/>
        <x:v/>
      </x:c>
      <x:c r="DR32" s="1053" t="str">
        <x:f t="shared" si="56"/>
        <x:v/>
      </x:c>
      <x:c r="DS32" s="1052">
        <x:f t="shared" si="57"/>
        <x:v>0</x:v>
      </x:c>
      <x:c r="DT32" s="1052">
        <x:f t="shared" si="58"/>
        <x:v>0</x:v>
      </x:c>
      <x:c r="DU32" s="1052" t="str">
        <x:f t="shared" si="59"/>
        <x:v/>
      </x:c>
      <x:c r="DV32" s="1053" t="str">
        <x:f t="shared" si="60"/>
        <x:v/>
      </x:c>
      <x:c r="DW32" s="1053" t="str">
        <x:f t="shared" si="61"/>
        <x:v/>
      </x:c>
      <x:c r="DX32" s="1269">
        <x:f t="shared" si="62"/>
        <x:v>0</x:v>
      </x:c>
      <x:c r="DY32" s="1053">
        <x:f t="shared" si="63"/>
        <x:v>0</x:v>
      </x:c>
      <x:c r="DZ32" s="1052">
        <x:f t="shared" si="64"/>
        <x:v>0</x:v>
      </x:c>
      <x:c r="EA32" s="1052" t="str">
        <x:f t="shared" si="65"/>
        <x:v/>
      </x:c>
      <x:c r="EB32" s="1053" t="str">
        <x:f t="shared" si="66"/>
        <x:v/>
      </x:c>
      <x:c r="EC32" s="1053" t="str">
        <x:f t="shared" si="67"/>
        <x:v/>
      </x:c>
      <x:c r="ED32" s="1269">
        <x:f t="shared" si="68"/>
        <x:v>0</x:v>
      </x:c>
      <x:c r="EE32" s="1090" t="str">
        <x:f t="shared" si="69"/>
        <x:v/>
      </x:c>
      <x:c r="EF32" s="1053" t="str">
        <x:f t="shared" si="70"/>
        <x:v/>
      </x:c>
      <x:c r="EG32" s="1053" t="str">
        <x:f t="shared" si="71"/>
        <x:v/>
      </x:c>
      <x:c r="EH32" s="1053" t="str">
        <x:f t="shared" si="72"/>
        <x:v>ERR</x:v>
      </x:c>
      <x:c r="EI32" s="1053" t="str">
        <x:f t="shared" si="73"/>
        <x:v>ERR</x:v>
      </x:c>
      <x:c r="EJ32" s="1053" t="str">
        <x:f t="shared" si="74"/>
        <x:v/>
      </x:c>
      <x:c r="EK32" s="1053" t="str">
        <x:f t="shared" si="74"/>
        <x:v/>
      </x:c>
      <x:c r="EL32" s="1090" t="str">
        <x:f t="shared" si="75"/>
        <x:v/>
      </x:c>
      <x:c r="EM32" s="1053" t="str">
        <x:f t="shared" si="76"/>
        <x:v/>
      </x:c>
      <x:c r="EN32" s="1053" t="str">
        <x:f t="shared" si="77"/>
        <x:v/>
      </x:c>
      <x:c r="EO32" s="1053" t="str">
        <x:f t="shared" si="78"/>
        <x:v>ERR</x:v>
      </x:c>
      <x:c r="EP32" s="1053" t="str">
        <x:f t="shared" si="79"/>
        <x:v>ERR</x:v>
      </x:c>
      <x:c r="EQ32" s="1053" t="str">
        <x:f t="shared" si="80"/>
        <x:v/>
      </x:c>
      <x:c r="ER32" s="1053" t="str">
        <x:f t="shared" si="80"/>
        <x:v/>
      </x:c>
      <x:c r="ES32" s="1053" t="str">
        <x:f t="shared" si="81"/>
        <x:v/>
      </x:c>
      <x:c r="ET32" s="1053" t="str">
        <x:f t="shared" si="82"/>
        <x:v/>
      </x:c>
      <x:c r="EU32" s="1061">
        <x:f t="shared" si="83"/>
        <x:v>3.5</x:v>
      </x:c>
      <x:c r="EV32" s="1055" t="str">
        <x:f t="shared" si="84"/>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5"/>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6"/>
        <x:v/>
      </x:c>
      <x:c r="FD32" s="1052">
        <x:f t="shared" si="108"/>
        <x:v>0</x:v>
      </x:c>
      <x:c r="FE32" s="1052">
        <x:f t="shared" si="87"/>
        <x:v>0</x:v>
      </x:c>
      <x:c r="FF32" s="1052">
        <x:f t="shared" si="88"/>
        <x:v>0</x:v>
      </x:c>
      <x:c r="FG32" s="1052" t="str">
        <x:f t="shared" si="89"/>
        <x:v/>
      </x:c>
      <x:c r="FH32" s="1053" t="str">
        <x:f t="shared" si="90"/>
        <x:v/>
      </x:c>
      <x:c r="FI32" s="1052">
        <x:f t="shared" si="109"/>
        <x:v>0</x:v>
      </x:c>
      <x:c r="FJ32" s="1052">
        <x:f t="shared" si="91"/>
        <x:v>0</x:v>
      </x:c>
      <x:c r="FK32" s="1052">
        <x:f t="shared" si="92"/>
        <x:v>0</x:v>
      </x:c>
      <x:c r="FL32" s="1052" t="str">
        <x:f t="shared" si="93"/>
        <x:v/>
      </x:c>
      <x:c r="FM32" s="1053" t="str">
        <x:f t="shared" si="94"/>
        <x:v/>
      </x:c>
      <x:c r="FN32" s="1053" t="e">
        <x:f t="shared" si="95"/>
        <x:v>#VALUE!</x:v>
      </x:c>
      <x:c r="FO32" s="1062" t="e">
        <x:f t="shared" si="96"/>
        <x:v>#VALUE!</x:v>
      </x:c>
      <x:c r="FP32" s="1062" t="e">
        <x:f t="shared" si="97"/>
        <x:v>#VALUE!</x:v>
      </x:c>
      <x:c r="FQ32" s="1063" t="e">
        <x:f t="shared" si="98"/>
        <x:v>#VALUE!</x:v>
      </x:c>
      <x:c r="FR32" s="1064" t="e">
        <x:f t="shared" si="99"/>
        <x:v>#VALUE!</x:v>
      </x:c>
      <x:c r="FS32" s="1065" t="str">
        <x:f t="shared" si="100"/>
        <x:v/>
      </x:c>
      <x:c r="FT32" s="1066" t="str">
        <x:f t="shared" si="101"/>
        <x:v/>
      </x:c>
      <x:c r="FU32" s="1105">
        <x:f t="shared" si="102"/>
        <x:v>0</x:v>
      </x:c>
      <x:c r="FV32" s="1106">
        <x:f t="shared" si="103"/>
        <x:v>0</x:v>
      </x:c>
      <x:c r="GA32" s="1975">
        <x:v>51</x:v>
      </x:c>
      <x:c r="GB32" s="1976">
        <x:v>2.75</x:v>
      </x:c>
      <x:c r="GC32" s="1977">
        <x:v>-1.875</x:v>
      </x:c>
      <x:c r="GD32" s="1978">
        <x:v>-0.25</x:v>
      </x:c>
      <x:c r="GE32" s="1979">
        <x:v>-0.13719372817566394</x:v>
      </x:c>
      <x:c r="GF32" s="1980" t="str">
        <x:f t="shared" si="104"/>
        <x:v>J83</x:v>
      </x:c>
      <x:c r="GG32" s="1453"/>
      <x:c r="GH32" s="1454"/>
      <x:c r="GI32" s="1453"/>
      <x:c r="GJ32" s="1454"/>
      <x:c r="GK32" s="533">
        <x:f t="shared" si="105"/>
        <x:v>612.625</x:v>
      </x:c>
      <x:c r="GL32" s="534">
        <x:f t="shared" si="106"/>
        <x:v>612.66503654135238</x:v>
      </x:c>
      <x:c r="GM32" s="535">
        <x:f>IF(ABS(GK32-GL32)&gt;='Job Info.'!$L$22,ABS(GK32-GL32),0)</x:f>
        <x:v>0</x:v>
      </x:c>
      <x:c r="HA32" s="1658" t="s">
        <x:v>1407</x:v>
      </x:c>
      <x:c r="HB32" s="1659">
        <x:v>3</x:v>
      </x:c>
      <x:c r="HC32" s="1659" t="s">
        <x:v>1979</x:v>
      </x:c>
      <x:c r="HD32" s="1660">
        <x:v>51</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2120</x:v>
      </x:c>
      <x:c r="IB32" s="1661"/>
      <x:c r="IC32" s="1661"/>
      <x:c r="ID32" s="1661"/>
      <x:c r="IE32" s="1661"/>
      <x:c r="IF32" s="1663"/>
    </x:row>
    <x:row r="33" spans="1:240" ht="12.6" customHeight="1" x14ac:dyDescent="0.25">
      <x:c r="A33" s="1264" t="s">
        <x:v>1408</x:v>
      </x:c>
      <x:c r="B33" s="1265">
        <x:v>1</x:v>
      </x:c>
      <x:c r="C33" s="1265" t="s">
        <x:v>1979</x:v>
      </x:c>
      <x:c r="D33" s="1261">
        <x:v>51</x:v>
      </x:c>
      <x:c r="E33" s="1366">
        <x:v>0.625</x:v>
      </x:c>
      <x:c r="F33" s="1328" t="str">
        <x:f t="shared" si="1"/>
        <x:v/>
      </x:c>
      <x:c r="G33" s="1262" t="str">
        <x:f t="shared" si="2"/>
        <x:v/>
      </x:c>
      <x:c r="H33" s="1266" t="str">
        <x:f t="shared" si="3"/>
        <x:v/>
      </x:c>
      <x:c r="I33" s="1261">
        <x:v>0</x:v>
      </x:c>
      <x:c r="J33" s="1262">
        <x:v>1.375</x:v>
      </x:c>
      <x:c r="K33" s="1370" t="s">
        <x:v>114</x:v>
      </x:c>
      <x:c r="L33" s="1327">
        <x:v>3</x:v>
      </x:c>
      <x:c r="M33" s="1329">
        <x:v>3</x:v>
      </x:c>
      <x:c r="N33" s="1263" t="str">
        <x:f t="shared" si="4"/>
        <x:v/>
      </x:c>
      <x:c r="O33" s="1262" t="str">
        <x:f t="shared" si="5"/>
        <x:v/>
      </x:c>
      <x:c r="P33" s="1260" t="str">
        <x:f t="shared" si="6"/>
        <x:v/>
      </x:c>
      <x:c r="Q33" s="1261" t="str">
        <x:f t="shared" si="7"/>
        <x:v/>
      </x:c>
      <x:c r="R33" s="1262" t="str">
        <x:f t="shared" si="8"/>
        <x:v/>
      </x:c>
      <x:c r="S33" s="1375" t="str">
        <x:f t="shared" si="9"/>
        <x:v/>
      </x:c>
      <x:c r="T33" s="1328" t="str">
        <x:f t="shared" si="10"/>
        <x:v/>
      </x:c>
      <x:c r="U33" s="1262" t="str">
        <x:f t="shared" si="11"/>
        <x:v/>
      </x:c>
      <x:c r="V33" s="1261" t="str">
        <x:f t="shared" si="12"/>
        <x:v/>
      </x:c>
      <x:c r="W33" s="1262" t="str">
        <x:f t="shared" si="13"/>
        <x:v/>
      </x:c>
      <x:c r="X33" s="1329">
        <x:f t="shared" si="14"/>
        <x:v>0</x:v>
      </x:c>
      <x:c r="Y33" s="1377" t="str">
        <x:f t="shared" si="15"/>
        <x:v/>
      </x:c>
      <x:c r="Z33" s="1378" t="str">
        <x:f t="shared" si="16"/>
        <x:v/>
      </x:c>
      <x:c r="AA33" s="2159" t="s">
        <x:v>2121</x:v>
      </x:c>
      <x:c r="AC33" s="1226" t="b">
        <x:v>0</x:v>
      </x:c>
      <x:c r="AD33" s="525">
        <x:f t="shared" si="17"/>
        <x:v>1</x:v>
      </x:c>
      <x:c r="AE33" s="526">
        <x:f t="shared" si="18"/>
        <x:v>0</x:v>
      </x:c>
      <x:c r="AF33" s="526">
        <x:f t="shared" si="19"/>
        <x:v>0</x:v>
      </x:c>
      <x:c r="AG33" s="526">
        <x:f t="shared" si="20"/>
        <x:v>0</x:v>
      </x:c>
      <x:c r="AH33" s="527">
        <x:f t="shared" si="21"/>
        <x:v>0</x:v>
      </x:c>
      <x:c r="AI33" s="528" t="b">
        <x:v>0</x:v>
      </x:c>
      <x:c r="AJ33" s="284">
        <x:f t="shared" si="22"/>
        <x:v>30</x:v>
      </x:c>
      <x:c r="AK33" s="1063" t="str">
        <x:f t="shared" si="23"/>
        <x:v>K</x:v>
      </x:c>
      <x:c r="AL33" s="1202" t="str">
        <x:f t="shared" si="24"/>
        <x:v/>
      </x:c>
      <x:c r="AM33" s="1063">
        <x:f t="shared" si="25"/>
        <x:v>240</x:v>
      </x:c>
      <x:c r="AN33" s="1063">
        <x:f t="shared" si="26"/>
        <x:v>140</x:v>
      </x:c>
      <x:c r="AO33" s="1063" t="str">
        <x:f t="shared" si="27"/>
        <x:v/>
      </x:c>
      <x:c r="AP33" s="1063" t="b">
        <x:f>IF(ISERROR(AJ33),FALSE,IF(OR(AJ33=0,ISERROR(AL33),ISERROR(AM33),ISERROR(AN33),ISERROR(AO33)),FALSE,IF(AL33&lt;&gt;"",IF(ISERROR(VLOOKUP(SUBSTITUTE(SUBSTITUTE(C33,"R",""),"A",""),TblJoistSize!$A:$A,1,FALSE)),FALSE,TRUE),TRUE)))</x:f>
        <x:v>1</x:v>
      </x:c>
      <x:c r="AQ33" s="1305">
        <x:f t="shared" si="28"/>
        <x:v>4</x:v>
      </x:c>
      <x:c r="AR33" s="1305" t="b">
        <x:f t="shared" si="29"/>
        <x:v>0</x:v>
      </x:c>
      <x:c r="AS33" s="1305">
        <x:f t="shared" si="30"/>
        <x:v>5.375</x:v>
      </x:c>
      <x:c r="AT33" s="1305" t="b">
        <x:f t="shared" si="31"/>
        <x:v>0</x:v>
      </x:c>
      <x:c r="AU33" s="1203" t="str">
        <x:f t="shared" si="32"/>
        <x:v>K</x:v>
      </x:c>
      <x:c r="AV33" s="1063" t="str">
        <x:f t="shared" si="33"/>
        <x:v>K</x:v>
      </x:c>
      <x:c r="AW33" s="1063" t="str">
        <x:f t="shared" si="34"/>
        <x:v/>
      </x:c>
      <x:c r="AX33" s="1063" t="str">
        <x:f t="shared" si="107"/>
        <x:v>J84</x:v>
      </x:c>
      <x:c r="AY33" s="1306" t="b">
        <x:f t="shared" si="35"/>
        <x:v>0</x:v>
      </x:c>
      <x:c r="AZ33" s="1090" t="b">
        <x:f t="shared" si="36"/>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7"/>
        <x:v/>
      </x:c>
      <x:c r="CE33" s="935" t="str">
        <x:f t="shared" si="38"/>
        <x:v/>
      </x:c>
      <x:c r="CF33" s="1149"/>
      <x:c r="CG33" s="1150"/>
      <x:c r="CH33" s="738" t="str">
        <x:f t="shared" si="39"/>
        <x:v/>
      </x:c>
      <x:c r="CI33" s="739" t="str">
        <x:f t="shared" si="40"/>
        <x:v/>
      </x:c>
      <x:c r="CJ33" s="740" t="str">
        <x:f t="shared" si="41"/>
        <x:v/>
      </x:c>
      <x:c r="CK33" s="741" t="str">
        <x:f t="shared" si="42"/>
        <x:v/>
      </x:c>
      <x:c r="CL33" s="742" t="str">
        <x:f t="shared" si="43"/>
        <x:v/>
      </x:c>
      <x:c r="CM33" s="743" t="str">
        <x:f t="shared" si="44"/>
        <x:v/>
      </x:c>
      <x:c r="CN33" s="744" t="str">
        <x:f t="shared" si="45"/>
        <x:v/>
      </x:c>
      <x:c r="CO33" s="745" t="str">
        <x:f t="shared" si="46"/>
        <x:v/>
      </x:c>
      <x:c r="CP33" s="762" t="str">
        <x:f t="shared" si="47"/>
        <x:v/>
      </x:c>
      <x:c r="CQ33" s="763" t="str">
        <x:f t="shared" si="48"/>
        <x:v/>
      </x:c>
      <x:c r="CR33" s="953">
        <x:f t="shared" si="49"/>
        <x:v>2.5</x:v>
      </x:c>
      <x:c r="CS33" s="954">
        <x:f t="shared" si="50"/>
        <x:v>2.5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51"/>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52"/>
        <x:v>0</x:v>
      </x:c>
      <x:c r="DO33" s="1049">
        <x:f t="shared" si="53"/>
        <x:v>0</x:v>
      </x:c>
      <x:c r="DP33" s="1053" t="str">
        <x:f t="shared" si="54"/>
        <x:v/>
      </x:c>
      <x:c r="DQ33" s="1053" t="str">
        <x:f t="shared" si="55"/>
        <x:v/>
      </x:c>
      <x:c r="DR33" s="1053" t="str">
        <x:f t="shared" si="56"/>
        <x:v/>
      </x:c>
      <x:c r="DS33" s="1052">
        <x:f t="shared" si="57"/>
        <x:v>0</x:v>
      </x:c>
      <x:c r="DT33" s="1052">
        <x:f t="shared" si="58"/>
        <x:v>0</x:v>
      </x:c>
      <x:c r="DU33" s="1052" t="str">
        <x:f t="shared" si="59"/>
        <x:v/>
      </x:c>
      <x:c r="DV33" s="1053" t="str">
        <x:f t="shared" si="60"/>
        <x:v/>
      </x:c>
      <x:c r="DW33" s="1053" t="str">
        <x:f t="shared" si="61"/>
        <x:v/>
      </x:c>
      <x:c r="DX33" s="1269">
        <x:f t="shared" si="62"/>
        <x:v>0</x:v>
      </x:c>
      <x:c r="DY33" s="1053">
        <x:f t="shared" si="63"/>
        <x:v>0</x:v>
      </x:c>
      <x:c r="DZ33" s="1052">
        <x:f t="shared" si="64"/>
        <x:v>0</x:v>
      </x:c>
      <x:c r="EA33" s="1052" t="str">
        <x:f t="shared" si="65"/>
        <x:v/>
      </x:c>
      <x:c r="EB33" s="1053" t="str">
        <x:f t="shared" si="66"/>
        <x:v/>
      </x:c>
      <x:c r="EC33" s="1053" t="str">
        <x:f t="shared" si="67"/>
        <x:v/>
      </x:c>
      <x:c r="ED33" s="1269">
        <x:f t="shared" si="68"/>
        <x:v>0</x:v>
      </x:c>
      <x:c r="EE33" s="1090" t="str">
        <x:f t="shared" si="69"/>
        <x:v/>
      </x:c>
      <x:c r="EF33" s="1053" t="str">
        <x:f t="shared" si="70"/>
        <x:v/>
      </x:c>
      <x:c r="EG33" s="1053" t="str">
        <x:f t="shared" si="71"/>
        <x:v/>
      </x:c>
      <x:c r="EH33" s="1053" t="str">
        <x:f t="shared" si="72"/>
        <x:v>ERR</x:v>
      </x:c>
      <x:c r="EI33" s="1053" t="str">
        <x:f t="shared" si="73"/>
        <x:v>ERR</x:v>
      </x:c>
      <x:c r="EJ33" s="1053" t="str">
        <x:f t="shared" si="74"/>
        <x:v/>
      </x:c>
      <x:c r="EK33" s="1053" t="str">
        <x:f t="shared" si="74"/>
        <x:v/>
      </x:c>
      <x:c r="EL33" s="1090" t="str">
        <x:f t="shared" si="75"/>
        <x:v/>
      </x:c>
      <x:c r="EM33" s="1053" t="str">
        <x:f t="shared" si="76"/>
        <x:v/>
      </x:c>
      <x:c r="EN33" s="1053" t="str">
        <x:f t="shared" si="77"/>
        <x:v/>
      </x:c>
      <x:c r="EO33" s="1053" t="str">
        <x:f t="shared" si="78"/>
        <x:v>ERR</x:v>
      </x:c>
      <x:c r="EP33" s="1053" t="str">
        <x:f t="shared" si="79"/>
        <x:v>ERR</x:v>
      </x:c>
      <x:c r="EQ33" s="1053" t="str">
        <x:f t="shared" si="80"/>
        <x:v/>
      </x:c>
      <x:c r="ER33" s="1053" t="str">
        <x:f t="shared" si="80"/>
        <x:v/>
      </x:c>
      <x:c r="ES33" s="1053" t="str">
        <x:f t="shared" si="81"/>
        <x:v/>
      </x:c>
      <x:c r="ET33" s="1053" t="str">
        <x:f t="shared" si="82"/>
        <x:v/>
      </x:c>
      <x:c r="EU33" s="1061">
        <x:f t="shared" si="83"/>
        <x:v>3.5</x:v>
      </x:c>
      <x:c r="EV33" s="1055" t="str">
        <x:f t="shared" si="84"/>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5"/>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6"/>
        <x:v/>
      </x:c>
      <x:c r="FD33" s="1052">
        <x:f t="shared" si="108"/>
        <x:v>0</x:v>
      </x:c>
      <x:c r="FE33" s="1052">
        <x:f t="shared" si="87"/>
        <x:v>0</x:v>
      </x:c>
      <x:c r="FF33" s="1052">
        <x:f t="shared" si="88"/>
        <x:v>0</x:v>
      </x:c>
      <x:c r="FG33" s="1052" t="str">
        <x:f t="shared" si="89"/>
        <x:v/>
      </x:c>
      <x:c r="FH33" s="1053" t="str">
        <x:f t="shared" si="90"/>
        <x:v/>
      </x:c>
      <x:c r="FI33" s="1052">
        <x:f t="shared" si="109"/>
        <x:v>0</x:v>
      </x:c>
      <x:c r="FJ33" s="1052">
        <x:f t="shared" si="91"/>
        <x:v>0</x:v>
      </x:c>
      <x:c r="FK33" s="1052">
        <x:f t="shared" si="92"/>
        <x:v>0</x:v>
      </x:c>
      <x:c r="FL33" s="1052" t="str">
        <x:f t="shared" si="93"/>
        <x:v/>
      </x:c>
      <x:c r="FM33" s="1053" t="str">
        <x:f t="shared" si="94"/>
        <x:v/>
      </x:c>
      <x:c r="FN33" s="1053" t="e">
        <x:f t="shared" si="95"/>
        <x:v>#VALUE!</x:v>
      </x:c>
      <x:c r="FO33" s="1062" t="e">
        <x:f t="shared" si="96"/>
        <x:v>#VALUE!</x:v>
      </x:c>
      <x:c r="FP33" s="1062" t="e">
        <x:f t="shared" si="97"/>
        <x:v>#VALUE!</x:v>
      </x:c>
      <x:c r="FQ33" s="1063" t="e">
        <x:f t="shared" si="98"/>
        <x:v>#VALUE!</x:v>
      </x:c>
      <x:c r="FR33" s="1064" t="e">
        <x:f t="shared" si="99"/>
        <x:v>#VALUE!</x:v>
      </x:c>
      <x:c r="FS33" s="1065" t="str">
        <x:f t="shared" si="100"/>
        <x:v/>
      </x:c>
      <x:c r="FT33" s="1066" t="str">
        <x:f t="shared" si="101"/>
        <x:v/>
      </x:c>
      <x:c r="FU33" s="1105">
        <x:f t="shared" si="102"/>
        <x:v>0</x:v>
      </x:c>
      <x:c r="FV33" s="1106">
        <x:f t="shared" si="103"/>
        <x:v>0</x:v>
      </x:c>
      <x:c r="GA33" s="1975">
        <x:v>51</x:v>
      </x:c>
      <x:c r="GB33" s="1976">
        <x:v>2.75</x:v>
      </x:c>
      <x:c r="GC33" s="1977">
        <x:v>-1.875</x:v>
      </x:c>
      <x:c r="GD33" s="1978">
        <x:v>-0.25</x:v>
      </x:c>
      <x:c r="GE33" s="1979">
        <x:v>-4.9774789909454401E-2</x:v>
      </x:c>
      <x:c r="GF33" s="1980" t="str">
        <x:f t="shared" si="104"/>
        <x:v>J84</x:v>
      </x:c>
      <x:c r="GG33" s="1453"/>
      <x:c r="GH33" s="1454"/>
      <x:c r="GI33" s="1453"/>
      <x:c r="GJ33" s="1454"/>
      <x:c r="GK33" s="533">
        <x:f t="shared" si="105"/>
        <x:v>612.625</x:v>
      </x:c>
      <x:c r="GL33" s="534">
        <x:f t="shared" si="106"/>
        <x:v>612.63027010455039</x:v>
      </x:c>
      <x:c r="GM33" s="535">
        <x:f>IF(ABS(GK33-GL33)&gt;='Job Info.'!$L$22,ABS(GK33-GL33),0)</x:f>
        <x:v>0</x:v>
      </x:c>
      <x:c r="HA33" s="1658" t="s">
        <x:v>1408</x:v>
      </x:c>
      <x:c r="HB33" s="1659">
        <x:v>1</x:v>
      </x:c>
      <x:c r="HC33" s="1659" t="s">
        <x:v>1979</x:v>
      </x:c>
      <x:c r="HD33" s="1660">
        <x:v>51</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2121</x:v>
      </x:c>
      <x:c r="IB33" s="1661"/>
      <x:c r="IC33" s="1661"/>
      <x:c r="ID33" s="1661"/>
      <x:c r="IE33" s="1661"/>
      <x:c r="IF33" s="1663"/>
    </x:row>
    <x:row r="34" spans="1:240" ht="12.6" customHeight="1" x14ac:dyDescent="0.25">
      <x:c r="A34" s="1264" t="s">
        <x:v>1409</x:v>
      </x:c>
      <x:c r="B34" s="1265">
        <x:v>2</x:v>
      </x:c>
      <x:c r="C34" s="1265" t="s">
        <x:v>1979</x:v>
      </x:c>
      <x:c r="D34" s="1261">
        <x:v>51</x:v>
      </x:c>
      <x:c r="E34" s="1366">
        <x:v>0.625</x:v>
      </x:c>
      <x:c r="F34" s="1328" t="str">
        <x:f t="shared" si="1"/>
        <x:v/>
      </x:c>
      <x:c r="G34" s="1262" t="str">
        <x:f t="shared" si="2"/>
        <x:v/>
      </x:c>
      <x:c r="H34" s="1266" t="str">
        <x:f t="shared" si="3"/>
        <x:v/>
      </x:c>
      <x:c r="I34" s="1261">
        <x:v>0</x:v>
      </x:c>
      <x:c r="J34" s="1262">
        <x:v>1.375</x:v>
      </x:c>
      <x:c r="K34" s="1370" t="s">
        <x:v>114</x:v>
      </x:c>
      <x:c r="L34" s="1327">
        <x:v>3</x:v>
      </x:c>
      <x:c r="M34" s="1329">
        <x:v>3</x:v>
      </x:c>
      <x:c r="N34" s="1263" t="str">
        <x:f t="shared" si="4"/>
        <x:v/>
      </x:c>
      <x:c r="O34" s="1262" t="str">
        <x:f t="shared" si="5"/>
        <x:v/>
      </x:c>
      <x:c r="P34" s="1260" t="str">
        <x:f t="shared" si="6"/>
        <x:v/>
      </x:c>
      <x:c r="Q34" s="1261" t="str">
        <x:f t="shared" si="7"/>
        <x:v/>
      </x:c>
      <x:c r="R34" s="1262" t="str">
        <x:f t="shared" si="8"/>
        <x:v/>
      </x:c>
      <x:c r="S34" s="1375" t="str">
        <x:f t="shared" si="9"/>
        <x:v/>
      </x:c>
      <x:c r="T34" s="1328" t="str">
        <x:f t="shared" si="10"/>
        <x:v/>
      </x:c>
      <x:c r="U34" s="1262" t="str">
        <x:f t="shared" si="11"/>
        <x:v/>
      </x:c>
      <x:c r="V34" s="1261" t="str">
        <x:f t="shared" si="12"/>
        <x:v/>
      </x:c>
      <x:c r="W34" s="1262" t="str">
        <x:f t="shared" si="13"/>
        <x:v/>
      </x:c>
      <x:c r="X34" s="1329">
        <x:f t="shared" si="14"/>
        <x:v>0</x:v>
      </x:c>
      <x:c r="Y34" s="1377" t="str">
        <x:f t="shared" si="15"/>
        <x:v/>
      </x:c>
      <x:c r="Z34" s="1378" t="str">
        <x:f t="shared" si="16"/>
        <x:v/>
      </x:c>
      <x:c r="AA34" s="2159" t="s">
        <x:v>2122</x:v>
      </x:c>
      <x:c r="AC34" s="1226" t="b">
        <x:v>0</x:v>
      </x:c>
      <x:c r="AD34" s="525">
        <x:f t="shared" si="17"/>
        <x:v>2</x:v>
      </x:c>
      <x:c r="AE34" s="526">
        <x:f t="shared" si="18"/>
        <x:v>0</x:v>
      </x:c>
      <x:c r="AF34" s="526">
        <x:f t="shared" si="19"/>
        <x:v>0</x:v>
      </x:c>
      <x:c r="AG34" s="526">
        <x:f t="shared" si="20"/>
        <x:v>0</x:v>
      </x:c>
      <x:c r="AH34" s="527">
        <x:f t="shared" si="21"/>
        <x:v>0</x:v>
      </x:c>
      <x:c r="AI34" s="528" t="b">
        <x:v>0</x:v>
      </x:c>
      <x:c r="AJ34" s="284">
        <x:f t="shared" si="22"/>
        <x:v>30</x:v>
      </x:c>
      <x:c r="AK34" s="1063" t="str">
        <x:f t="shared" si="23"/>
        <x:v>K</x:v>
      </x:c>
      <x:c r="AL34" s="1202" t="str">
        <x:f t="shared" si="24"/>
        <x:v/>
      </x:c>
      <x:c r="AM34" s="1063">
        <x:f t="shared" si="25"/>
        <x:v>240</x:v>
      </x:c>
      <x:c r="AN34" s="1063">
        <x:f t="shared" si="26"/>
        <x:v>140</x:v>
      </x:c>
      <x:c r="AO34" s="1063" t="str">
        <x:f t="shared" si="27"/>
        <x:v/>
      </x:c>
      <x:c r="AP34" s="1063" t="b">
        <x:f>IF(ISERROR(AJ34),FALSE,IF(OR(AJ34=0,ISERROR(AL34),ISERROR(AM34),ISERROR(AN34),ISERROR(AO34)),FALSE,IF(AL34&lt;&gt;"",IF(ISERROR(VLOOKUP(SUBSTITUTE(SUBSTITUTE(C34,"R",""),"A",""),TblJoistSize!$A:$A,1,FALSE)),FALSE,TRUE),TRUE)))</x:f>
        <x:v>1</x:v>
      </x:c>
      <x:c r="AQ34" s="1305">
        <x:f t="shared" si="28"/>
        <x:v>4</x:v>
      </x:c>
      <x:c r="AR34" s="1305" t="b">
        <x:f t="shared" si="29"/>
        <x:v>0</x:v>
      </x:c>
      <x:c r="AS34" s="1305">
        <x:f t="shared" si="30"/>
        <x:v>5.375</x:v>
      </x:c>
      <x:c r="AT34" s="1305" t="b">
        <x:f t="shared" si="31"/>
        <x:v>0</x:v>
      </x:c>
      <x:c r="AU34" s="1203" t="str">
        <x:f t="shared" si="32"/>
        <x:v>K</x:v>
      </x:c>
      <x:c r="AV34" s="1063" t="str">
        <x:f t="shared" si="33"/>
        <x:v>K</x:v>
      </x:c>
      <x:c r="AW34" s="1063" t="str">
        <x:f t="shared" si="34"/>
        <x:v/>
      </x:c>
      <x:c r="AX34" s="1063" t="str">
        <x:f t="shared" si="107"/>
        <x:v>J85</x:v>
      </x:c>
      <x:c r="AY34" s="1306" t="b">
        <x:f t="shared" si="35"/>
        <x:v>0</x:v>
      </x:c>
      <x:c r="AZ34" s="1090" t="b">
        <x:f t="shared" si="36"/>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7"/>
        <x:v/>
      </x:c>
      <x:c r="CE34" s="935" t="str">
        <x:f t="shared" si="38"/>
        <x:v/>
      </x:c>
      <x:c r="CF34" s="1149"/>
      <x:c r="CG34" s="1150"/>
      <x:c r="CH34" s="738" t="str">
        <x:f t="shared" si="39"/>
        <x:v/>
      </x:c>
      <x:c r="CI34" s="739" t="str">
        <x:f t="shared" si="40"/>
        <x:v/>
      </x:c>
      <x:c r="CJ34" s="740" t="str">
        <x:f t="shared" si="41"/>
        <x:v/>
      </x:c>
      <x:c r="CK34" s="741" t="str">
        <x:f t="shared" si="42"/>
        <x:v/>
      </x:c>
      <x:c r="CL34" s="742" t="str">
        <x:f t="shared" si="43"/>
        <x:v/>
      </x:c>
      <x:c r="CM34" s="743" t="str">
        <x:f t="shared" si="44"/>
        <x:v/>
      </x:c>
      <x:c r="CN34" s="744" t="str">
        <x:f t="shared" si="45"/>
        <x:v/>
      </x:c>
      <x:c r="CO34" s="745" t="str">
        <x:f t="shared" si="46"/>
        <x:v/>
      </x:c>
      <x:c r="CP34" s="762" t="str">
        <x:f t="shared" si="47"/>
        <x:v/>
      </x:c>
      <x:c r="CQ34" s="763" t="str">
        <x:f t="shared" si="48"/>
        <x:v/>
      </x:c>
      <x:c r="CR34" s="953">
        <x:f t="shared" si="49"/>
        <x:v>2.5</x:v>
      </x:c>
      <x:c r="CS34" s="954">
        <x:f t="shared" si="50"/>
        <x:v>2.5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51"/>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52"/>
        <x:v>0</x:v>
      </x:c>
      <x:c r="DO34" s="1049">
        <x:f t="shared" si="53"/>
        <x:v>0</x:v>
      </x:c>
      <x:c r="DP34" s="1053" t="str">
        <x:f t="shared" si="54"/>
        <x:v/>
      </x:c>
      <x:c r="DQ34" s="1053" t="str">
        <x:f t="shared" si="55"/>
        <x:v/>
      </x:c>
      <x:c r="DR34" s="1053" t="str">
        <x:f t="shared" si="56"/>
        <x:v/>
      </x:c>
      <x:c r="DS34" s="1052">
        <x:f t="shared" si="57"/>
        <x:v>0</x:v>
      </x:c>
      <x:c r="DT34" s="1052">
        <x:f t="shared" si="58"/>
        <x:v>0</x:v>
      </x:c>
      <x:c r="DU34" s="1052" t="str">
        <x:f t="shared" si="59"/>
        <x:v/>
      </x:c>
      <x:c r="DV34" s="1053" t="str">
        <x:f t="shared" si="60"/>
        <x:v/>
      </x:c>
      <x:c r="DW34" s="1053" t="str">
        <x:f t="shared" si="61"/>
        <x:v/>
      </x:c>
      <x:c r="DX34" s="1269">
        <x:f t="shared" si="62"/>
        <x:v>0</x:v>
      </x:c>
      <x:c r="DY34" s="1053">
        <x:f t="shared" si="63"/>
        <x:v>0</x:v>
      </x:c>
      <x:c r="DZ34" s="1052">
        <x:f t="shared" si="64"/>
        <x:v>0</x:v>
      </x:c>
      <x:c r="EA34" s="1052" t="str">
        <x:f t="shared" si="65"/>
        <x:v/>
      </x:c>
      <x:c r="EB34" s="1053" t="str">
        <x:f t="shared" si="66"/>
        <x:v/>
      </x:c>
      <x:c r="EC34" s="1053" t="str">
        <x:f t="shared" si="67"/>
        <x:v/>
      </x:c>
      <x:c r="ED34" s="1269">
        <x:f t="shared" si="68"/>
        <x:v>0</x:v>
      </x:c>
      <x:c r="EE34" s="1090" t="str">
        <x:f t="shared" si="69"/>
        <x:v/>
      </x:c>
      <x:c r="EF34" s="1053" t="str">
        <x:f t="shared" si="70"/>
        <x:v/>
      </x:c>
      <x:c r="EG34" s="1053" t="str">
        <x:f t="shared" si="71"/>
        <x:v/>
      </x:c>
      <x:c r="EH34" s="1053" t="str">
        <x:f t="shared" si="72"/>
        <x:v>ERR</x:v>
      </x:c>
      <x:c r="EI34" s="1053" t="str">
        <x:f t="shared" si="73"/>
        <x:v>ERR</x:v>
      </x:c>
      <x:c r="EJ34" s="1053" t="str">
        <x:f t="shared" si="74"/>
        <x:v/>
      </x:c>
      <x:c r="EK34" s="1053" t="str">
        <x:f t="shared" si="74"/>
        <x:v/>
      </x:c>
      <x:c r="EL34" s="1090" t="str">
        <x:f t="shared" si="75"/>
        <x:v/>
      </x:c>
      <x:c r="EM34" s="1053" t="str">
        <x:f t="shared" si="76"/>
        <x:v/>
      </x:c>
      <x:c r="EN34" s="1053" t="str">
        <x:f t="shared" si="77"/>
        <x:v/>
      </x:c>
      <x:c r="EO34" s="1053" t="str">
        <x:f t="shared" si="78"/>
        <x:v>ERR</x:v>
      </x:c>
      <x:c r="EP34" s="1053" t="str">
        <x:f t="shared" si="79"/>
        <x:v>ERR</x:v>
      </x:c>
      <x:c r="EQ34" s="1053" t="str">
        <x:f t="shared" si="80"/>
        <x:v/>
      </x:c>
      <x:c r="ER34" s="1053" t="str">
        <x:f t="shared" si="80"/>
        <x:v/>
      </x:c>
      <x:c r="ES34" s="1053" t="str">
        <x:f t="shared" si="81"/>
        <x:v/>
      </x:c>
      <x:c r="ET34" s="1053" t="str">
        <x:f t="shared" si="82"/>
        <x:v/>
      </x:c>
      <x:c r="EU34" s="1061">
        <x:f t="shared" si="83"/>
        <x:v>3.5</x:v>
      </x:c>
      <x:c r="EV34" s="1055" t="str">
        <x:f t="shared" si="84"/>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5"/>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6"/>
        <x:v/>
      </x:c>
      <x:c r="FD34" s="1052">
        <x:f t="shared" si="108"/>
        <x:v>0</x:v>
      </x:c>
      <x:c r="FE34" s="1052">
        <x:f t="shared" si="87"/>
        <x:v>0</x:v>
      </x:c>
      <x:c r="FF34" s="1052">
        <x:f t="shared" si="88"/>
        <x:v>0</x:v>
      </x:c>
      <x:c r="FG34" s="1052" t="str">
        <x:f t="shared" si="89"/>
        <x:v/>
      </x:c>
      <x:c r="FH34" s="1053" t="str">
        <x:f t="shared" si="90"/>
        <x:v/>
      </x:c>
      <x:c r="FI34" s="1052">
        <x:f t="shared" si="109"/>
        <x:v>0</x:v>
      </x:c>
      <x:c r="FJ34" s="1052">
        <x:f t="shared" si="91"/>
        <x:v>0</x:v>
      </x:c>
      <x:c r="FK34" s="1052">
        <x:f t="shared" si="92"/>
        <x:v>0</x:v>
      </x:c>
      <x:c r="FL34" s="1052" t="str">
        <x:f t="shared" si="93"/>
        <x:v/>
      </x:c>
      <x:c r="FM34" s="1053" t="str">
        <x:f t="shared" si="94"/>
        <x:v/>
      </x:c>
      <x:c r="FN34" s="1053" t="e">
        <x:f t="shared" si="95"/>
        <x:v>#VALUE!</x:v>
      </x:c>
      <x:c r="FO34" s="1062" t="e">
        <x:f t="shared" si="96"/>
        <x:v>#VALUE!</x:v>
      </x:c>
      <x:c r="FP34" s="1062" t="e">
        <x:f t="shared" si="97"/>
        <x:v>#VALUE!</x:v>
      </x:c>
      <x:c r="FQ34" s="1063" t="e">
        <x:f t="shared" si="98"/>
        <x:v>#VALUE!</x:v>
      </x:c>
      <x:c r="FR34" s="1064" t="e">
        <x:f t="shared" si="99"/>
        <x:v>#VALUE!</x:v>
      </x:c>
      <x:c r="FS34" s="1065" t="str">
        <x:f t="shared" si="100"/>
        <x:v/>
      </x:c>
      <x:c r="FT34" s="1066" t="str">
        <x:f t="shared" si="101"/>
        <x:v/>
      </x:c>
      <x:c r="FU34" s="1105">
        <x:f t="shared" si="102"/>
        <x:v>0</x:v>
      </x:c>
      <x:c r="FV34" s="1106">
        <x:f t="shared" si="103"/>
        <x:v>0</x:v>
      </x:c>
      <x:c r="GA34" s="1975">
        <x:v>51</x:v>
      </x:c>
      <x:c r="GB34" s="1976">
        <x:v>2.75</x:v>
      </x:c>
      <x:c r="GC34" s="1977">
        <x:v>-1.875</x:v>
      </x:c>
      <x:c r="GD34" s="1978">
        <x:v>-0.25</x:v>
      </x:c>
      <x:c r="GE34" s="1979">
        <x:v>1.5789413790203381E-2</x:v>
      </x:c>
      <x:c r="GF34" s="1980" t="str">
        <x:f t="shared" si="104"/>
        <x:v>J85</x:v>
      </x:c>
      <x:c r="GG34" s="1453"/>
      <x:c r="GH34" s="1454"/>
      <x:c r="GI34" s="1453"/>
      <x:c r="GJ34" s="1454"/>
      <x:c r="GK34" s="533">
        <x:f t="shared" si="105"/>
        <x:v>612.625</x:v>
      </x:c>
      <x:c r="GL34" s="534">
        <x:f t="shared" si="106"/>
        <x:v>612.62553031517234</x:v>
      </x:c>
      <x:c r="GM34" s="535">
        <x:f>IF(ABS(GK34-GL34)&gt;='Job Info.'!$L$22,ABS(GK34-GL34),0)</x:f>
        <x:v>0</x:v>
      </x:c>
      <x:c r="HA34" s="1658" t="s">
        <x:v>1409</x:v>
      </x:c>
      <x:c r="HB34" s="1659">
        <x:v>2</x:v>
      </x:c>
      <x:c r="HC34" s="1659" t="s">
        <x:v>1979</x:v>
      </x:c>
      <x:c r="HD34" s="1660">
        <x:v>51</x:v>
      </x:c>
      <x:c r="HE34" s="1661">
        <x:v>0.625</x:v>
      </x:c>
      <x:c r="HF34" s="1659" t="s">
        <x:v>117</x:v>
      </x:c>
      <x:c r="HG34" s="1659" t="s">
        <x:v>117</x:v>
      </x:c>
      <x:c r="HH34" s="1659" t="s">
        <x:v>117</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2122</x:v>
      </x:c>
      <x:c r="IB34" s="1661"/>
      <x:c r="IC34" s="1661"/>
      <x:c r="ID34" s="1661"/>
      <x:c r="IE34" s="1661"/>
      <x:c r="IF34" s="1663"/>
    </x:row>
    <x:row r="35" spans="1:240" ht="12.6" customHeight="1" x14ac:dyDescent="0.25">
      <x:c r="A35" s="1264" t="s">
        <x:v>1410</x:v>
      </x:c>
      <x:c r="B35" s="1265">
        <x:v>1</x:v>
      </x:c>
      <x:c r="C35" s="1265" t="s">
        <x:v>1980</x:v>
      </x:c>
      <x:c r="D35" s="1261">
        <x:v>11</x:v>
      </x:c>
      <x:c r="E35" s="1366">
        <x:v>6.875</x:v>
      </x:c>
      <x:c r="F35" s="1328">
        <x:v>0</x:v>
      </x:c>
      <x:c r="G35" s="1262">
        <x:v>1.375</x:v>
      </x:c>
      <x:c r="H35" s="1266" t="s">
        <x:v>114</x:v>
      </x:c>
      <x:c r="I35" s="2195">
        <x:v>0</x:v>
      </x:c>
      <x:c r="J35" s="2122">
        <x:v>0.5</x:v>
      </x:c>
      <x:c r="K35" s="2209" t="s">
        <x:v>114</x:v>
      </x:c>
      <x:c r="L35" s="1327">
        <x:v>3</x:v>
      </x:c>
      <x:c r="M35" s="1329">
        <x:v>3</x:v>
      </x:c>
      <x:c r="N35" s="1263" t="str">
        <x:f t="shared" si="4"/>
        <x:v/>
      </x:c>
      <x:c r="O35" s="1262" t="str">
        <x:f t="shared" si="5"/>
        <x:v/>
      </x:c>
      <x:c r="P35" s="1260" t="str">
        <x:f t="shared" si="6"/>
        <x:v/>
      </x:c>
      <x:c r="Q35" s="1261" t="str">
        <x:f t="shared" si="7"/>
        <x:v/>
      </x:c>
      <x:c r="R35" s="1262" t="str">
        <x:f t="shared" si="8"/>
        <x:v/>
      </x:c>
      <x:c r="S35" s="1375" t="str">
        <x:f t="shared" si="9"/>
        <x:v/>
      </x:c>
      <x:c r="T35" s="1328" t="str">
        <x:f t="shared" si="10"/>
        <x:v/>
      </x:c>
      <x:c r="U35" s="1262" t="str">
        <x:f t="shared" si="11"/>
        <x:v/>
      </x:c>
      <x:c r="V35" s="1261" t="str">
        <x:f t="shared" si="12"/>
        <x:v/>
      </x:c>
      <x:c r="W35" s="1262" t="str">
        <x:f t="shared" si="13"/>
        <x:v/>
      </x:c>
      <x:c r="X35" s="1329">
        <x:f t="shared" si="14"/>
        <x:v>0</x:v>
      </x:c>
      <x:c r="Y35" s="1377" t="str">
        <x:f t="shared" si="15"/>
        <x:v/>
      </x:c>
      <x:c r="Z35" s="1378" t="str">
        <x:f t="shared" si="16"/>
        <x:v/>
      </x:c>
      <x:c r="AA35" s="2159" t="s">
        <x:v>2123</x:v>
      </x:c>
      <x:c r="AC35" s="1226" t="b">
        <x:v>0</x:v>
      </x:c>
      <x:c r="AD35" s="525">
        <x:f t="shared" si="17"/>
        <x:v>1</x:v>
      </x:c>
      <x:c r="AE35" s="526">
        <x:f t="shared" si="18"/>
        <x:v>0</x:v>
      </x:c>
      <x:c r="AF35" s="526">
        <x:f t="shared" si="19"/>
        <x:v>0</x:v>
      </x:c>
      <x:c r="AG35" s="526">
        <x:f t="shared" si="20"/>
        <x:v>0</x:v>
      </x:c>
      <x:c r="AH35" s="527">
        <x:f t="shared" si="21"/>
        <x:v>0</x:v>
      </x:c>
      <x:c r="AI35" s="528" t="b">
        <x:v>0</x:v>
      </x:c>
      <x:c r="AJ35" s="284">
        <x:f t="shared" si="22"/>
        <x:v>30</x:v>
      </x:c>
      <x:c r="AK35" s="1063" t="str">
        <x:f t="shared" si="23"/>
        <x:v>K</x:v>
      </x:c>
      <x:c r="AL35" s="1202" t="str">
        <x:f t="shared" si="24"/>
        <x:v/>
      </x:c>
      <x:c r="AM35" s="1063">
        <x:f t="shared" si="25"/>
        <x:v>310</x:v>
      </x:c>
      <x:c r="AN35" s="1063">
        <x:f t="shared" si="26"/>
        <x:v>160</x:v>
      </x:c>
      <x:c r="AO35" s="1063" t="str">
        <x:f t="shared" si="27"/>
        <x:v/>
      </x:c>
      <x:c r="AP35" s="1063" t="b">
        <x:f>IF(ISERROR(AJ35),FALSE,IF(OR(AJ35=0,ISERROR(AL35),ISERROR(AM35),ISERROR(AN35),ISERROR(AO35)),FALSE,IF(AL35&lt;&gt;"",IF(ISERROR(VLOOKUP(SUBSTITUTE(SUBSTITUTE(C35,"R",""),"A",""),TblJoistSize!$A:$A,1,FALSE)),FALSE,TRUE),TRUE)))</x:f>
        <x:v>1</x:v>
      </x:c>
      <x:c r="AQ35" s="1305">
        <x:f t="shared" si="28"/>
        <x:v>5.375</x:v>
      </x:c>
      <x:c r="AR35" s="1305" t="b">
        <x:f t="shared" si="29"/>
        <x:v>0</x:v>
      </x:c>
      <x:c r="AS35" s="1305">
        <x:f t="shared" si="30"/>
        <x:v>4.5</x:v>
      </x:c>
      <x:c r="AT35" s="1305" t="b">
        <x:f t="shared" si="31"/>
        <x:v>0</x:v>
      </x:c>
      <x:c r="AU35" s="1203" t="str">
        <x:f t="shared" si="32"/>
        <x:v>K</x:v>
      </x:c>
      <x:c r="AV35" s="1063" t="str">
        <x:f t="shared" si="33"/>
        <x:v>K</x:v>
      </x:c>
      <x:c r="AW35" s="1063" t="str">
        <x:f t="shared" si="34"/>
        <x:v/>
      </x:c>
      <x:c r="AX35" s="1063" t="str">
        <x:f t="shared" si="107"/>
        <x:v>J86</x:v>
      </x:c>
      <x:c r="AY35" s="1306" t="b">
        <x:f t="shared" si="35"/>
        <x:v>0</x:v>
      </x:c>
      <x:c r="AZ35" s="1090" t="b">
        <x:f t="shared" si="36"/>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7"/>
        <x:v/>
      </x:c>
      <x:c r="CE35" s="935" t="str">
        <x:f t="shared" si="38"/>
        <x:v/>
      </x:c>
      <x:c r="CF35" s="1149"/>
      <x:c r="CG35" s="1150"/>
      <x:c r="CH35" s="738" t="str">
        <x:f t="shared" si="39"/>
        <x:v/>
      </x:c>
      <x:c r="CI35" s="739" t="str">
        <x:f t="shared" si="40"/>
        <x:v/>
      </x:c>
      <x:c r="CJ35" s="740" t="str">
        <x:f t="shared" si="41"/>
        <x:v/>
      </x:c>
      <x:c r="CK35" s="741" t="str">
        <x:f t="shared" si="42"/>
        <x:v/>
      </x:c>
      <x:c r="CL35" s="742" t="str">
        <x:f t="shared" si="43"/>
        <x:v/>
      </x:c>
      <x:c r="CM35" s="743" t="str">
        <x:f t="shared" si="44"/>
        <x:v/>
      </x:c>
      <x:c r="CN35" s="744" t="str">
        <x:f t="shared" si="45"/>
        <x:v/>
      </x:c>
      <x:c r="CO35" s="745" t="str">
        <x:f t="shared" si="46"/>
        <x:v/>
      </x:c>
      <x:c r="CP35" s="762" t="str">
        <x:f t="shared" si="47"/>
        <x:v/>
      </x:c>
      <x:c r="CQ35" s="763" t="str">
        <x:f t="shared" si="48"/>
        <x:v/>
      </x:c>
      <x:c r="CR35" s="953">
        <x:f t="shared" si="49"/>
        <x:v>2.5</x:v>
      </x:c>
      <x:c r="CS35" s="954">
        <x:f t="shared" si="50"/>
        <x:v>2.5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51"/>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52"/>
        <x:v>0</x:v>
      </x:c>
      <x:c r="DO35" s="1049">
        <x:f t="shared" si="53"/>
        <x:v>0</x:v>
      </x:c>
      <x:c r="DP35" s="1053" t="str">
        <x:f t="shared" si="54"/>
        <x:v/>
      </x:c>
      <x:c r="DQ35" s="1053" t="str">
        <x:f t="shared" si="55"/>
        <x:v/>
      </x:c>
      <x:c r="DR35" s="1053" t="str">
        <x:f t="shared" si="56"/>
        <x:v/>
      </x:c>
      <x:c r="DS35" s="1052">
        <x:f t="shared" si="57"/>
        <x:v>0</x:v>
      </x:c>
      <x:c r="DT35" s="1052">
        <x:f t="shared" si="58"/>
        <x:v>0</x:v>
      </x:c>
      <x:c r="DU35" s="1052" t="str">
        <x:f t="shared" si="59"/>
        <x:v/>
      </x:c>
      <x:c r="DV35" s="1053" t="str">
        <x:f t="shared" si="60"/>
        <x:v/>
      </x:c>
      <x:c r="DW35" s="1053" t="str">
        <x:f t="shared" si="61"/>
        <x:v/>
      </x:c>
      <x:c r="DX35" s="1269">
        <x:f t="shared" si="62"/>
        <x:v>0</x:v>
      </x:c>
      <x:c r="DY35" s="1053">
        <x:f t="shared" si="63"/>
        <x:v>0</x:v>
      </x:c>
      <x:c r="DZ35" s="1052">
        <x:f t="shared" si="64"/>
        <x:v>0</x:v>
      </x:c>
      <x:c r="EA35" s="1052" t="str">
        <x:f t="shared" si="65"/>
        <x:v/>
      </x:c>
      <x:c r="EB35" s="1053" t="str">
        <x:f t="shared" si="66"/>
        <x:v/>
      </x:c>
      <x:c r="EC35" s="1053" t="str">
        <x:f t="shared" si="67"/>
        <x:v/>
      </x:c>
      <x:c r="ED35" s="1269">
        <x:f t="shared" si="68"/>
        <x:v>0</x:v>
      </x:c>
      <x:c r="EE35" s="1090" t="str">
        <x:f t="shared" si="69"/>
        <x:v/>
      </x:c>
      <x:c r="EF35" s="1053" t="str">
        <x:f t="shared" si="70"/>
        <x:v/>
      </x:c>
      <x:c r="EG35" s="1053" t="str">
        <x:f t="shared" si="71"/>
        <x:v/>
      </x:c>
      <x:c r="EH35" s="1053" t="str">
        <x:f t="shared" si="72"/>
        <x:v>ERR</x:v>
      </x:c>
      <x:c r="EI35" s="1053" t="str">
        <x:f t="shared" si="73"/>
        <x:v>ERR</x:v>
      </x:c>
      <x:c r="EJ35" s="1053" t="str">
        <x:f t="shared" si="74"/>
        <x:v/>
      </x:c>
      <x:c r="EK35" s="1053" t="str">
        <x:f t="shared" si="74"/>
        <x:v/>
      </x:c>
      <x:c r="EL35" s="1090" t="str">
        <x:f t="shared" si="75"/>
        <x:v/>
      </x:c>
      <x:c r="EM35" s="1053" t="str">
        <x:f t="shared" si="76"/>
        <x:v/>
      </x:c>
      <x:c r="EN35" s="1053" t="str">
        <x:f t="shared" si="77"/>
        <x:v/>
      </x:c>
      <x:c r="EO35" s="1053" t="str">
        <x:f t="shared" si="78"/>
        <x:v>ERR</x:v>
      </x:c>
      <x:c r="EP35" s="1053" t="str">
        <x:f t="shared" si="79"/>
        <x:v>ERR</x:v>
      </x:c>
      <x:c r="EQ35" s="1053" t="str">
        <x:f t="shared" si="80"/>
        <x:v/>
      </x:c>
      <x:c r="ER35" s="1053" t="str">
        <x:f t="shared" si="80"/>
        <x:v/>
      </x:c>
      <x:c r="ES35" s="1053" t="str">
        <x:f t="shared" si="81"/>
        <x:v/>
      </x:c>
      <x:c r="ET35" s="1053" t="str">
        <x:f t="shared" si="82"/>
        <x:v/>
      </x:c>
      <x:c r="EU35" s="1061">
        <x:f t="shared" si="83"/>
        <x:v>3.5</x:v>
      </x:c>
      <x:c r="EV35" s="1055" t="str">
        <x:f t="shared" si="84"/>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5"/>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6"/>
        <x:v/>
      </x:c>
      <x:c r="FD35" s="1052">
        <x:f t="shared" si="108"/>
        <x:v>0</x:v>
      </x:c>
      <x:c r="FE35" s="1052">
        <x:f t="shared" si="87"/>
        <x:v>0</x:v>
      </x:c>
      <x:c r="FF35" s="1052">
        <x:f t="shared" si="88"/>
        <x:v>0</x:v>
      </x:c>
      <x:c r="FG35" s="1052" t="str">
        <x:f t="shared" si="89"/>
        <x:v/>
      </x:c>
      <x:c r="FH35" s="1053" t="str">
        <x:f t="shared" si="90"/>
        <x:v/>
      </x:c>
      <x:c r="FI35" s="1052">
        <x:f t="shared" si="109"/>
        <x:v>0</x:v>
      </x:c>
      <x:c r="FJ35" s="1052">
        <x:f t="shared" si="91"/>
        <x:v>0</x:v>
      </x:c>
      <x:c r="FK35" s="1052">
        <x:f t="shared" si="92"/>
        <x:v>0</x:v>
      </x:c>
      <x:c r="FL35" s="1052" t="str">
        <x:f t="shared" si="93"/>
        <x:v/>
      </x:c>
      <x:c r="FM35" s="1053" t="str">
        <x:f t="shared" si="94"/>
        <x:v/>
      </x:c>
      <x:c r="FN35" s="1053" t="e">
        <x:f t="shared" si="95"/>
        <x:v>#VALUE!</x:v>
      </x:c>
      <x:c r="FO35" s="1062" t="e">
        <x:f t="shared" si="96"/>
        <x:v>#VALUE!</x:v>
      </x:c>
      <x:c r="FP35" s="1062" t="e">
        <x:f t="shared" si="97"/>
        <x:v>#VALUE!</x:v>
      </x:c>
      <x:c r="FQ35" s="1063" t="e">
        <x:f t="shared" si="98"/>
        <x:v>#VALUE!</x:v>
      </x:c>
      <x:c r="FR35" s="1064" t="e">
        <x:f t="shared" si="99"/>
        <x:v>#VALUE!</x:v>
      </x:c>
      <x:c r="FS35" s="1065" t="str">
        <x:f t="shared" si="100"/>
        <x:v/>
      </x:c>
      <x:c r="FT35" s="1066" t="str">
        <x:f t="shared" si="101"/>
        <x:v/>
      </x:c>
      <x:c r="FU35" s="1105">
        <x:f t="shared" si="102"/>
        <x:v>0</x:v>
      </x:c>
      <x:c r="FV35" s="1106">
        <x:f t="shared" si="103"/>
        <x:v>0</x:v>
      </x:c>
      <x:c r="GA35" s="1975">
        <x:v>11</x:v>
      </x:c>
      <x:c r="GB35" s="1976">
        <x:v>7.625</x:v>
      </x:c>
      <x:c r="GC35" s="1977">
        <x:v>-0.25</x:v>
      </x:c>
      <x:c r="GD35" s="1978">
        <x:v>-0.5</x:v>
      </x:c>
      <x:c r="GE35" s="1979">
        <x:v>-9.4348674618145098E-2</x:v>
      </x:c>
      <x:c r="GF35" s="1980" t="str">
        <x:f t="shared" si="104"/>
        <x:v>J86</x:v>
      </x:c>
      <x:c r="GG35" s="1453"/>
      <x:c r="GH35" s="1454"/>
      <x:c r="GI35" s="1453"/>
      <x:c r="GJ35" s="1454"/>
      <x:c r="GK35" s="533">
        <x:f t="shared" si="105"/>
        <x:v>138.875</x:v>
      </x:c>
      <x:c r="GL35" s="534">
        <x:f t="shared" si="106"/>
        <x:v>138.87929236336996</x:v>
      </x:c>
      <x:c r="GM35" s="535">
        <x:f>IF(ABS(GK35-GL35)&gt;='Job Info.'!$L$22,ABS(GK35-GL35),0)</x:f>
        <x:v>0</x:v>
      </x:c>
      <x:c r="HA35" s="1658" t="s">
        <x:v>1410</x:v>
      </x:c>
      <x:c r="HB35" s="1659">
        <x:v>1</x:v>
      </x:c>
      <x:c r="HC35" s="1659" t="s">
        <x:v>1980</x:v>
      </x:c>
      <x:c r="HD35" s="1660">
        <x:v>11</x:v>
      </x:c>
      <x:c r="HE35" s="1661">
        <x:v>6.875</x:v>
      </x:c>
      <x:c r="HF35" s="1659">
        <x:v>0</x:v>
      </x:c>
      <x:c r="HG35" s="1659">
        <x:v>1.375</x:v>
      </x:c>
      <x:c r="HH35" s="1659" t="s">
        <x:v>114</x:v>
      </x:c>
      <x:c r="HI35" s="1662" t="s">
        <x:v>117</x:v>
      </x:c>
      <x:c r="HJ35" s="1659" t="s">
        <x:v>117</x:v>
      </x:c>
      <x:c r="HK35" s="1659" t="s">
        <x:v>117</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2123</x:v>
      </x:c>
      <x:c r="IB35" s="1661"/>
      <x:c r="IC35" s="1661"/>
      <x:c r="ID35" s="1661"/>
      <x:c r="IE35" s="1661"/>
      <x:c r="IF35" s="1663"/>
    </x:row>
    <x:row r="36" spans="1:240" ht="12.6" customHeight="1" x14ac:dyDescent="0.25">
      <x:c r="A36" s="1264" t="s">
        <x:v>1411</x:v>
      </x:c>
      <x:c r="B36" s="1265">
        <x:v>1</x:v>
      </x:c>
      <x:c r="C36" s="1265" t="s">
        <x:v>1980</x:v>
      </x:c>
      <x:c r="D36" s="1261">
        <x:v>17</x:v>
      </x:c>
      <x:c r="E36" s="1366">
        <x:v>3.625</x:v>
      </x:c>
      <x:c r="F36" s="1328">
        <x:v>0</x:v>
      </x:c>
      <x:c r="G36" s="1262">
        <x:v>1.375</x:v>
      </x:c>
      <x:c r="H36" s="1266" t="s">
        <x:v>114</x:v>
      </x:c>
      <x:c r="I36" s="2195">
        <x:v>0</x:v>
      </x:c>
      <x:c r="J36" s="2122">
        <x:v>0.5</x:v>
      </x:c>
      <x:c r="K36" s="2209" t="s">
        <x:v>114</x:v>
      </x:c>
      <x:c r="L36" s="1327">
        <x:v>3</x:v>
      </x:c>
      <x:c r="M36" s="1329">
        <x:v>3</x:v>
      </x:c>
      <x:c r="N36" s="1263" t="str">
        <x:f t="shared" si="4"/>
        <x:v/>
      </x:c>
      <x:c r="O36" s="1262" t="str">
        <x:f t="shared" si="5"/>
        <x:v/>
      </x:c>
      <x:c r="P36" s="1260" t="str">
        <x:f t="shared" si="6"/>
        <x:v/>
      </x:c>
      <x:c r="Q36" s="1261" t="str">
        <x:f t="shared" si="7"/>
        <x:v/>
      </x:c>
      <x:c r="R36" s="1262" t="str">
        <x:f t="shared" si="8"/>
        <x:v/>
      </x:c>
      <x:c r="S36" s="1375" t="str">
        <x:f t="shared" si="9"/>
        <x:v/>
      </x:c>
      <x:c r="T36" s="1328" t="str">
        <x:f t="shared" si="10"/>
        <x:v/>
      </x:c>
      <x:c r="U36" s="1262" t="str">
        <x:f t="shared" si="11"/>
        <x:v/>
      </x:c>
      <x:c r="V36" s="1261" t="str">
        <x:f t="shared" si="12"/>
        <x:v/>
      </x:c>
      <x:c r="W36" s="1262" t="str">
        <x:f t="shared" si="13"/>
        <x:v/>
      </x:c>
      <x:c r="X36" s="1329">
        <x:f t="shared" si="14"/>
        <x:v>0</x:v>
      </x:c>
      <x:c r="Y36" s="1377" t="str">
        <x:f t="shared" si="15"/>
        <x:v/>
      </x:c>
      <x:c r="Z36" s="1378" t="str">
        <x:f t="shared" si="16"/>
        <x:v/>
      </x:c>
      <x:c r="AA36" s="2159" t="s">
        <x:v>2124</x:v>
      </x:c>
      <x:c r="AC36" s="1226" t="b">
        <x:v>0</x:v>
      </x:c>
      <x:c r="AD36" s="525">
        <x:f t="shared" si="17"/>
        <x:v>1</x:v>
      </x:c>
      <x:c r="AE36" s="526">
        <x:f t="shared" si="18"/>
        <x:v>0</x:v>
      </x:c>
      <x:c r="AF36" s="526">
        <x:f t="shared" si="19"/>
        <x:v>0</x:v>
      </x:c>
      <x:c r="AG36" s="526">
        <x:f t="shared" si="20"/>
        <x:v>0</x:v>
      </x:c>
      <x:c r="AH36" s="527">
        <x:f t="shared" si="21"/>
        <x:v>0</x:v>
      </x:c>
      <x:c r="AI36" s="528" t="b">
        <x:v>0</x:v>
      </x:c>
      <x:c r="AJ36" s="284">
        <x:f t="shared" si="22"/>
        <x:v>30</x:v>
      </x:c>
      <x:c r="AK36" s="1063" t="str">
        <x:f t="shared" si="23"/>
        <x:v>K</x:v>
      </x:c>
      <x:c r="AL36" s="1202" t="str">
        <x:f t="shared" si="24"/>
        <x:v/>
      </x:c>
      <x:c r="AM36" s="1063">
        <x:f t="shared" si="25"/>
        <x:v>310</x:v>
      </x:c>
      <x:c r="AN36" s="1063">
        <x:f t="shared" si="26"/>
        <x:v>160</x:v>
      </x:c>
      <x:c r="AO36" s="1063" t="str">
        <x:f t="shared" si="27"/>
        <x:v/>
      </x:c>
      <x:c r="AP36" s="1063" t="b">
        <x:f>IF(ISERROR(AJ36),FALSE,IF(OR(AJ36=0,ISERROR(AL36),ISERROR(AM36),ISERROR(AN36),ISERROR(AO36)),FALSE,IF(AL36&lt;&gt;"",IF(ISERROR(VLOOKUP(SUBSTITUTE(SUBSTITUTE(C36,"R",""),"A",""),TblJoistSize!$A:$A,1,FALSE)),FALSE,TRUE),TRUE)))</x:f>
        <x:v>1</x:v>
      </x:c>
      <x:c r="AQ36" s="1305">
        <x:f t="shared" si="28"/>
        <x:v>5.375</x:v>
      </x:c>
      <x:c r="AR36" s="1305" t="b">
        <x:f t="shared" si="29"/>
        <x:v>0</x:v>
      </x:c>
      <x:c r="AS36" s="1305">
        <x:f t="shared" si="30"/>
        <x:v>4.5</x:v>
      </x:c>
      <x:c r="AT36" s="1305" t="b">
        <x:f t="shared" si="31"/>
        <x:v>0</x:v>
      </x:c>
      <x:c r="AU36" s="1203" t="str">
        <x:f t="shared" si="32"/>
        <x:v>K</x:v>
      </x:c>
      <x:c r="AV36" s="1063" t="str">
        <x:f t="shared" si="33"/>
        <x:v>K</x:v>
      </x:c>
      <x:c r="AW36" s="1063" t="str">
        <x:f t="shared" si="34"/>
        <x:v/>
      </x:c>
      <x:c r="AX36" s="1063" t="str">
        <x:f t="shared" si="107"/>
        <x:v>J87</x:v>
      </x:c>
      <x:c r="AY36" s="1306" t="b">
        <x:f t="shared" si="35"/>
        <x:v>0</x:v>
      </x:c>
      <x:c r="AZ36" s="1090" t="b">
        <x:f t="shared" si="36"/>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7"/>
        <x:v/>
      </x:c>
      <x:c r="CE36" s="935" t="str">
        <x:f t="shared" si="38"/>
        <x:v/>
      </x:c>
      <x:c r="CF36" s="1149"/>
      <x:c r="CG36" s="1150"/>
      <x:c r="CH36" s="738" t="str">
        <x:f t="shared" si="39"/>
        <x:v/>
      </x:c>
      <x:c r="CI36" s="739" t="str">
        <x:f t="shared" si="40"/>
        <x:v/>
      </x:c>
      <x:c r="CJ36" s="740" t="str">
        <x:f t="shared" si="41"/>
        <x:v/>
      </x:c>
      <x:c r="CK36" s="741" t="str">
        <x:f t="shared" si="42"/>
        <x:v/>
      </x:c>
      <x:c r="CL36" s="742" t="str">
        <x:f t="shared" si="43"/>
        <x:v/>
      </x:c>
      <x:c r="CM36" s="743" t="str">
        <x:f t="shared" si="44"/>
        <x:v/>
      </x:c>
      <x:c r="CN36" s="744" t="str">
        <x:f t="shared" si="45"/>
        <x:v/>
      </x:c>
      <x:c r="CO36" s="745" t="str">
        <x:f t="shared" si="46"/>
        <x:v/>
      </x:c>
      <x:c r="CP36" s="762" t="str">
        <x:f t="shared" si="47"/>
        <x:v/>
      </x:c>
      <x:c r="CQ36" s="763" t="str">
        <x:f t="shared" si="48"/>
        <x:v/>
      </x:c>
      <x:c r="CR36" s="953">
        <x:f t="shared" si="49"/>
        <x:v>2.5</x:v>
      </x:c>
      <x:c r="CS36" s="954">
        <x:f t="shared" si="50"/>
        <x:v>2.5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51"/>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52"/>
        <x:v>0</x:v>
      </x:c>
      <x:c r="DO36" s="1049">
        <x:f t="shared" si="53"/>
        <x:v>0</x:v>
      </x:c>
      <x:c r="DP36" s="1053" t="str">
        <x:f t="shared" si="54"/>
        <x:v/>
      </x:c>
      <x:c r="DQ36" s="1053" t="str">
        <x:f t="shared" si="55"/>
        <x:v/>
      </x:c>
      <x:c r="DR36" s="1053" t="str">
        <x:f t="shared" si="56"/>
        <x:v/>
      </x:c>
      <x:c r="DS36" s="1052">
        <x:f t="shared" si="57"/>
        <x:v>0</x:v>
      </x:c>
      <x:c r="DT36" s="1052">
        <x:f t="shared" si="58"/>
        <x:v>0</x:v>
      </x:c>
      <x:c r="DU36" s="1052" t="str">
        <x:f t="shared" si="59"/>
        <x:v/>
      </x:c>
      <x:c r="DV36" s="1053" t="str">
        <x:f t="shared" si="60"/>
        <x:v/>
      </x:c>
      <x:c r="DW36" s="1053" t="str">
        <x:f t="shared" si="61"/>
        <x:v/>
      </x:c>
      <x:c r="DX36" s="1269">
        <x:f t="shared" si="62"/>
        <x:v>0</x:v>
      </x:c>
      <x:c r="DY36" s="1053">
        <x:f t="shared" si="63"/>
        <x:v>0</x:v>
      </x:c>
      <x:c r="DZ36" s="1052">
        <x:f t="shared" si="64"/>
        <x:v>0</x:v>
      </x:c>
      <x:c r="EA36" s="1052" t="str">
        <x:f t="shared" si="65"/>
        <x:v/>
      </x:c>
      <x:c r="EB36" s="1053" t="str">
        <x:f t="shared" si="66"/>
        <x:v/>
      </x:c>
      <x:c r="EC36" s="1053" t="str">
        <x:f t="shared" si="67"/>
        <x:v/>
      </x:c>
      <x:c r="ED36" s="1269">
        <x:f t="shared" si="68"/>
        <x:v>0</x:v>
      </x:c>
      <x:c r="EE36" s="1090" t="str">
        <x:f t="shared" si="69"/>
        <x:v/>
      </x:c>
      <x:c r="EF36" s="1053" t="str">
        <x:f t="shared" si="70"/>
        <x:v/>
      </x:c>
      <x:c r="EG36" s="1053" t="str">
        <x:f t="shared" si="71"/>
        <x:v/>
      </x:c>
      <x:c r="EH36" s="1053" t="str">
        <x:f t="shared" si="72"/>
        <x:v>ERR</x:v>
      </x:c>
      <x:c r="EI36" s="1053" t="str">
        <x:f t="shared" si="73"/>
        <x:v>ERR</x:v>
      </x:c>
      <x:c r="EJ36" s="1053" t="str">
        <x:f t="shared" si="74"/>
        <x:v/>
      </x:c>
      <x:c r="EK36" s="1053" t="str">
        <x:f t="shared" si="74"/>
        <x:v/>
      </x:c>
      <x:c r="EL36" s="1090" t="str">
        <x:f t="shared" si="75"/>
        <x:v/>
      </x:c>
      <x:c r="EM36" s="1053" t="str">
        <x:f t="shared" si="76"/>
        <x:v/>
      </x:c>
      <x:c r="EN36" s="1053" t="str">
        <x:f t="shared" si="77"/>
        <x:v/>
      </x:c>
      <x:c r="EO36" s="1053" t="str">
        <x:f t="shared" si="78"/>
        <x:v>ERR</x:v>
      </x:c>
      <x:c r="EP36" s="1053" t="str">
        <x:f t="shared" si="79"/>
        <x:v>ERR</x:v>
      </x:c>
      <x:c r="EQ36" s="1053" t="str">
        <x:f t="shared" si="80"/>
        <x:v/>
      </x:c>
      <x:c r="ER36" s="1053" t="str">
        <x:f t="shared" si="80"/>
        <x:v/>
      </x:c>
      <x:c r="ES36" s="1053" t="str">
        <x:f t="shared" si="81"/>
        <x:v/>
      </x:c>
      <x:c r="ET36" s="1053" t="str">
        <x:f t="shared" si="82"/>
        <x:v/>
      </x:c>
      <x:c r="EU36" s="1061">
        <x:f t="shared" si="83"/>
        <x:v>3.5</x:v>
      </x:c>
      <x:c r="EV36" s="1055" t="str">
        <x:f t="shared" si="84"/>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5"/>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6"/>
        <x:v/>
      </x:c>
      <x:c r="FD36" s="1052">
        <x:f t="shared" si="108"/>
        <x:v>0</x:v>
      </x:c>
      <x:c r="FE36" s="1052">
        <x:f t="shared" si="87"/>
        <x:v>0</x:v>
      </x:c>
      <x:c r="FF36" s="1052">
        <x:f t="shared" si="88"/>
        <x:v>0</x:v>
      </x:c>
      <x:c r="FG36" s="1052" t="str">
        <x:f t="shared" si="89"/>
        <x:v/>
      </x:c>
      <x:c r="FH36" s="1053" t="str">
        <x:f t="shared" si="90"/>
        <x:v/>
      </x:c>
      <x:c r="FI36" s="1052">
        <x:f t="shared" si="109"/>
        <x:v>0</x:v>
      </x:c>
      <x:c r="FJ36" s="1052">
        <x:f t="shared" si="91"/>
        <x:v>0</x:v>
      </x:c>
      <x:c r="FK36" s="1052">
        <x:f t="shared" si="92"/>
        <x:v>0</x:v>
      </x:c>
      <x:c r="FL36" s="1052" t="str">
        <x:f t="shared" si="93"/>
        <x:v/>
      </x:c>
      <x:c r="FM36" s="1053" t="str">
        <x:f t="shared" si="94"/>
        <x:v/>
      </x:c>
      <x:c r="FN36" s="1053" t="e">
        <x:f t="shared" si="95"/>
        <x:v>#VALUE!</x:v>
      </x:c>
      <x:c r="FO36" s="1062" t="e">
        <x:f t="shared" si="96"/>
        <x:v>#VALUE!</x:v>
      </x:c>
      <x:c r="FP36" s="1062" t="e">
        <x:f t="shared" si="97"/>
        <x:v>#VALUE!</x:v>
      </x:c>
      <x:c r="FQ36" s="1063" t="e">
        <x:f t="shared" si="98"/>
        <x:v>#VALUE!</x:v>
      </x:c>
      <x:c r="FR36" s="1064" t="e">
        <x:f t="shared" si="99"/>
        <x:v>#VALUE!</x:v>
      </x:c>
      <x:c r="FS36" s="1065" t="str">
        <x:f t="shared" si="100"/>
        <x:v/>
      </x:c>
      <x:c r="FT36" s="1066" t="str">
        <x:f t="shared" si="101"/>
        <x:v/>
      </x:c>
      <x:c r="FU36" s="1105">
        <x:f t="shared" si="102"/>
        <x:v>0</x:v>
      </x:c>
      <x:c r="FV36" s="1106">
        <x:f t="shared" si="103"/>
        <x:v>0</x:v>
      </x:c>
      <x:c r="GA36" s="1975">
        <x:v>17</x:v>
      </x:c>
      <x:c r="GB36" s="1976">
        <x:v>4.375</x:v>
      </x:c>
      <x:c r="GC36" s="1977">
        <x:v>-0.25</x:v>
      </x:c>
      <x:c r="GD36" s="1978">
        <x:v>-0.5</x:v>
      </x:c>
      <x:c r="GE36" s="1979">
        <x:v>-3.6571815511802899E-2</x:v>
      </x:c>
      <x:c r="GF36" s="1980" t="str">
        <x:f t="shared" si="104"/>
        <x:v>J87</x:v>
      </x:c>
      <x:c r="GG36" s="1453"/>
      <x:c r="GH36" s="1454"/>
      <x:c r="GI36" s="1453"/>
      <x:c r="GJ36" s="1454"/>
      <x:c r="GK36" s="533">
        <x:f t="shared" si="105"/>
        <x:v>207.625</x:v>
      </x:c>
      <x:c r="GL36" s="534">
        <x:f t="shared" si="106"/>
        <x:v>207.62596422678135</x:v>
      </x:c>
      <x:c r="GM36" s="535">
        <x:f>IF(ABS(GK36-GL36)&gt;='Job Info.'!$L$22,ABS(GK36-GL36),0)</x:f>
        <x:v>0</x:v>
      </x:c>
      <x:c r="HA36" s="1658" t="s">
        <x:v>1411</x:v>
      </x:c>
      <x:c r="HB36" s="1659">
        <x:v>1</x:v>
      </x:c>
      <x:c r="HC36" s="1659" t="s">
        <x:v>1980</x:v>
      </x:c>
      <x:c r="HD36" s="1660">
        <x:v>17</x:v>
      </x:c>
      <x:c r="HE36" s="1661">
        <x:v>3.625</x:v>
      </x:c>
      <x:c r="HF36" s="1659">
        <x:v>0</x:v>
      </x:c>
      <x:c r="HG36" s="1659">
        <x:v>1.375</x:v>
      </x:c>
      <x:c r="HH36" s="1659" t="s">
        <x:v>114</x:v>
      </x:c>
      <x:c r="HI36" s="1662" t="s">
        <x:v>117</x:v>
      </x:c>
      <x:c r="HJ36" s="1659" t="s">
        <x:v>117</x:v>
      </x:c>
      <x:c r="HK36" s="1659" t="s">
        <x:v>117</x:v>
      </x:c>
      <x:c r="HL36" s="1659">
        <x:v>3</x:v>
      </x:c>
      <x:c r="HM36" s="1659">
        <x:v>3</x:v>
      </x:c>
      <x:c r="HN36" s="1659" t="s">
        <x:v>117</x:v>
      </x:c>
      <x:c r="HO36" s="1659" t="s">
        <x:v>117</x:v>
      </x:c>
      <x:c r="HP36" s="1659" t="s">
        <x:v>117</x:v>
      </x:c>
      <x:c r="HQ36" s="1662" t="s">
        <x:v>117</x:v>
      </x:c>
      <x:c r="HR36" s="1659" t="s">
        <x:v>117</x:v>
      </x:c>
      <x:c r="HS36" s="1659" t="s">
        <x:v>117</x:v>
      </x:c>
      <x:c r="HT36" s="1659" t="s">
        <x:v>117</x:v>
      </x:c>
      <x:c r="HU36" s="1659" t="s">
        <x:v>117</x:v>
      </x:c>
      <x:c r="HV36" s="1659" t="s">
        <x:v>117</x:v>
      </x:c>
      <x:c r="HW36" s="1661" t="s">
        <x:v>117</x:v>
      </x:c>
      <x:c r="HX36" s="1661">
        <x:v>0</x:v>
      </x:c>
      <x:c r="HY36" s="1661" t="s">
        <x:v>117</x:v>
      </x:c>
      <x:c r="HZ36" s="1661" t="s">
        <x:v>117</x:v>
      </x:c>
      <x:c r="IA36" s="1661" t="s">
        <x:v>2124</x:v>
      </x:c>
      <x:c r="IB36" s="1661"/>
      <x:c r="IC36" s="1661"/>
      <x:c r="ID36" s="1661"/>
      <x:c r="IE36" s="1661"/>
      <x:c r="IF36" s="1663"/>
    </x:row>
    <x:row r="37" spans="1:240" ht="12.6" customHeight="1" x14ac:dyDescent="0.25">
      <x:c r="A37" s="1264" t="s">
        <x:v>1412</x:v>
      </x:c>
      <x:c r="B37" s="1265">
        <x:v>1</x:v>
      </x:c>
      <x:c r="C37" s="1265" t="s">
        <x:v>1980</x:v>
      </x:c>
      <x:c r="D37" s="1261">
        <x:v>23</x:v>
      </x:c>
      <x:c r="E37" s="1366">
        <x:v>0.5</x:v>
      </x:c>
      <x:c r="F37" s="1328">
        <x:v>0</x:v>
      </x:c>
      <x:c r="G37" s="1262">
        <x:v>1.375</x:v>
      </x:c>
      <x:c r="H37" s="1266" t="s">
        <x:v>114</x:v>
      </x:c>
      <x:c r="I37" s="2195">
        <x:v>0</x:v>
      </x:c>
      <x:c r="J37" s="2122">
        <x:v>0.5</x:v>
      </x:c>
      <x:c r="K37" s="2209" t="s">
        <x:v>114</x:v>
      </x:c>
      <x:c r="L37" s="1327">
        <x:v>3</x:v>
      </x:c>
      <x:c r="M37" s="1329">
        <x:v>3</x:v>
      </x:c>
      <x:c r="N37" s="1263" t="str">
        <x:f t="shared" si="4"/>
        <x:v/>
      </x:c>
      <x:c r="O37" s="1262" t="str">
        <x:f t="shared" si="5"/>
        <x:v/>
      </x:c>
      <x:c r="P37" s="1260" t="str">
        <x:f t="shared" si="6"/>
        <x:v/>
      </x:c>
      <x:c r="Q37" s="1261" t="str">
        <x:f t="shared" si="7"/>
        <x:v/>
      </x:c>
      <x:c r="R37" s="1262" t="str">
        <x:f t="shared" si="8"/>
        <x:v/>
      </x:c>
      <x:c r="S37" s="1375" t="str">
        <x:f t="shared" si="9"/>
        <x:v/>
      </x:c>
      <x:c r="T37" s="1328" t="str">
        <x:f t="shared" si="10"/>
        <x:v/>
      </x:c>
      <x:c r="U37" s="1262" t="str">
        <x:f t="shared" si="11"/>
        <x:v/>
      </x:c>
      <x:c r="V37" s="1261" t="str">
        <x:f t="shared" si="12"/>
        <x:v/>
      </x:c>
      <x:c r="W37" s="1262" t="str">
        <x:f t="shared" si="13"/>
        <x:v/>
      </x:c>
      <x:c r="X37" s="1329">
        <x:f t="shared" si="14"/>
        <x:v>0</x:v>
      </x:c>
      <x:c r="Y37" s="1377" t="str">
        <x:f t="shared" si="15"/>
        <x:v/>
      </x:c>
      <x:c r="Z37" s="1378" t="str">
        <x:f t="shared" si="16"/>
        <x:v/>
      </x:c>
      <x:c r="AA37" s="2159" t="s">
        <x:v>2124</x:v>
      </x:c>
      <x:c r="AC37" s="1226" t="b">
        <x:v>0</x:v>
      </x:c>
      <x:c r="AD37" s="525">
        <x:f t="shared" si="17"/>
        <x:v>1</x:v>
      </x:c>
      <x:c r="AE37" s="526">
        <x:f t="shared" si="18"/>
        <x:v>0</x:v>
      </x:c>
      <x:c r="AF37" s="526">
        <x:f t="shared" si="19"/>
        <x:v>0</x:v>
      </x:c>
      <x:c r="AG37" s="526">
        <x:f t="shared" si="20"/>
        <x:v>0</x:v>
      </x:c>
      <x:c r="AH37" s="527">
        <x:f t="shared" si="21"/>
        <x:v>0</x:v>
      </x:c>
      <x:c r="AI37" s="528" t="b">
        <x:v>0</x:v>
      </x:c>
      <x:c r="AJ37" s="284">
        <x:f t="shared" si="22"/>
        <x:v>30</x:v>
      </x:c>
      <x:c r="AK37" s="1063" t="str">
        <x:f t="shared" si="23"/>
        <x:v>K</x:v>
      </x:c>
      <x:c r="AL37" s="1202" t="str">
        <x:f t="shared" si="24"/>
        <x:v/>
      </x:c>
      <x:c r="AM37" s="1063">
        <x:f t="shared" si="25"/>
        <x:v>310</x:v>
      </x:c>
      <x:c r="AN37" s="1063">
        <x:f t="shared" si="26"/>
        <x:v>160</x:v>
      </x:c>
      <x:c r="AO37" s="1063" t="str">
        <x:f t="shared" si="27"/>
        <x:v/>
      </x:c>
      <x:c r="AP37" s="1063" t="b">
        <x:f>IF(ISERROR(AJ37),FALSE,IF(OR(AJ37=0,ISERROR(AL37),ISERROR(AM37),ISERROR(AN37),ISERROR(AO37)),FALSE,IF(AL37&lt;&gt;"",IF(ISERROR(VLOOKUP(SUBSTITUTE(SUBSTITUTE(C37,"R",""),"A",""),TblJoistSize!$A:$A,1,FALSE)),FALSE,TRUE),TRUE)))</x:f>
        <x:v>1</x:v>
      </x:c>
      <x:c r="AQ37" s="1305">
        <x:f t="shared" si="28"/>
        <x:v>5.375</x:v>
      </x:c>
      <x:c r="AR37" s="1305" t="b">
        <x:f t="shared" si="29"/>
        <x:v>0</x:v>
      </x:c>
      <x:c r="AS37" s="1305">
        <x:f t="shared" si="30"/>
        <x:v>4.5</x:v>
      </x:c>
      <x:c r="AT37" s="1305" t="b">
        <x:f t="shared" si="31"/>
        <x:v>0</x:v>
      </x:c>
      <x:c r="AU37" s="1203" t="str">
        <x:f t="shared" si="32"/>
        <x:v>K</x:v>
      </x:c>
      <x:c r="AV37" s="1063" t="str">
        <x:f t="shared" si="33"/>
        <x:v>K</x:v>
      </x:c>
      <x:c r="AW37" s="1063" t="str">
        <x:f t="shared" si="34"/>
        <x:v/>
      </x:c>
      <x:c r="AX37" s="1063" t="str">
        <x:f t="shared" si="107"/>
        <x:v>J88</x:v>
      </x:c>
      <x:c r="AY37" s="1306" t="b">
        <x:f t="shared" si="35"/>
        <x:v>0</x:v>
      </x:c>
      <x:c r="AZ37" s="1090" t="b">
        <x:f t="shared" si="36"/>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7"/>
        <x:v/>
      </x:c>
      <x:c r="CE37" s="935" t="str">
        <x:f t="shared" si="38"/>
        <x:v/>
      </x:c>
      <x:c r="CF37" s="1149"/>
      <x:c r="CG37" s="1150"/>
      <x:c r="CH37" s="738" t="str">
        <x:f t="shared" si="39"/>
        <x:v/>
      </x:c>
      <x:c r="CI37" s="739" t="str">
        <x:f t="shared" si="40"/>
        <x:v/>
      </x:c>
      <x:c r="CJ37" s="740" t="str">
        <x:f t="shared" si="41"/>
        <x:v/>
      </x:c>
      <x:c r="CK37" s="741" t="str">
        <x:f t="shared" si="42"/>
        <x:v/>
      </x:c>
      <x:c r="CL37" s="742" t="str">
        <x:f t="shared" si="43"/>
        <x:v/>
      </x:c>
      <x:c r="CM37" s="743" t="str">
        <x:f t="shared" si="44"/>
        <x:v/>
      </x:c>
      <x:c r="CN37" s="744" t="str">
        <x:f t="shared" si="45"/>
        <x:v/>
      </x:c>
      <x:c r="CO37" s="745" t="str">
        <x:f t="shared" si="46"/>
        <x:v/>
      </x:c>
      <x:c r="CP37" s="762" t="str">
        <x:f t="shared" si="47"/>
        <x:v/>
      </x:c>
      <x:c r="CQ37" s="763" t="str">
        <x:f t="shared" si="48"/>
        <x:v/>
      </x:c>
      <x:c r="CR37" s="953">
        <x:f t="shared" si="49"/>
        <x:v>2.5</x:v>
      </x:c>
      <x:c r="CS37" s="954">
        <x:f t="shared" si="50"/>
        <x:v>2.5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51"/>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52"/>
        <x:v>0</x:v>
      </x:c>
      <x:c r="DO37" s="1049">
        <x:f t="shared" si="53"/>
        <x:v>0</x:v>
      </x:c>
      <x:c r="DP37" s="1053" t="str">
        <x:f t="shared" si="54"/>
        <x:v/>
      </x:c>
      <x:c r="DQ37" s="1053" t="str">
        <x:f t="shared" si="55"/>
        <x:v/>
      </x:c>
      <x:c r="DR37" s="1053" t="str">
        <x:f t="shared" si="56"/>
        <x:v/>
      </x:c>
      <x:c r="DS37" s="1052">
        <x:f t="shared" si="57"/>
        <x:v>0</x:v>
      </x:c>
      <x:c r="DT37" s="1052">
        <x:f t="shared" si="58"/>
        <x:v>0</x:v>
      </x:c>
      <x:c r="DU37" s="1052" t="str">
        <x:f t="shared" si="59"/>
        <x:v/>
      </x:c>
      <x:c r="DV37" s="1053" t="str">
        <x:f t="shared" si="60"/>
        <x:v/>
      </x:c>
      <x:c r="DW37" s="1053" t="str">
        <x:f t="shared" si="61"/>
        <x:v/>
      </x:c>
      <x:c r="DX37" s="1269">
        <x:f t="shared" si="62"/>
        <x:v>0</x:v>
      </x:c>
      <x:c r="DY37" s="1053">
        <x:f t="shared" si="63"/>
        <x:v>0</x:v>
      </x:c>
      <x:c r="DZ37" s="1052">
        <x:f t="shared" si="64"/>
        <x:v>0</x:v>
      </x:c>
      <x:c r="EA37" s="1052" t="str">
        <x:f t="shared" si="65"/>
        <x:v/>
      </x:c>
      <x:c r="EB37" s="1053" t="str">
        <x:f t="shared" si="66"/>
        <x:v/>
      </x:c>
      <x:c r="EC37" s="1053" t="str">
        <x:f t="shared" si="67"/>
        <x:v/>
      </x:c>
      <x:c r="ED37" s="1269">
        <x:f t="shared" si="68"/>
        <x:v>0</x:v>
      </x:c>
      <x:c r="EE37" s="1090" t="str">
        <x:f t="shared" si="69"/>
        <x:v/>
      </x:c>
      <x:c r="EF37" s="1053" t="str">
        <x:f t="shared" si="70"/>
        <x:v/>
      </x:c>
      <x:c r="EG37" s="1053" t="str">
        <x:f t="shared" si="71"/>
        <x:v/>
      </x:c>
      <x:c r="EH37" s="1053" t="str">
        <x:f t="shared" si="72"/>
        <x:v>ERR</x:v>
      </x:c>
      <x:c r="EI37" s="1053" t="str">
        <x:f t="shared" si="73"/>
        <x:v>ERR</x:v>
      </x:c>
      <x:c r="EJ37" s="1053" t="str">
        <x:f t="shared" si="74"/>
        <x:v/>
      </x:c>
      <x:c r="EK37" s="1053" t="str">
        <x:f t="shared" si="74"/>
        <x:v/>
      </x:c>
      <x:c r="EL37" s="1090" t="str">
        <x:f t="shared" si="75"/>
        <x:v/>
      </x:c>
      <x:c r="EM37" s="1053" t="str">
        <x:f t="shared" si="76"/>
        <x:v/>
      </x:c>
      <x:c r="EN37" s="1053" t="str">
        <x:f t="shared" si="77"/>
        <x:v/>
      </x:c>
      <x:c r="EO37" s="1053" t="str">
        <x:f t="shared" si="78"/>
        <x:v>ERR</x:v>
      </x:c>
      <x:c r="EP37" s="1053" t="str">
        <x:f t="shared" si="79"/>
        <x:v>ERR</x:v>
      </x:c>
      <x:c r="EQ37" s="1053" t="str">
        <x:f t="shared" si="80"/>
        <x:v/>
      </x:c>
      <x:c r="ER37" s="1053" t="str">
        <x:f t="shared" si="80"/>
        <x:v/>
      </x:c>
      <x:c r="ES37" s="1053" t="str">
        <x:f t="shared" si="81"/>
        <x:v/>
      </x:c>
      <x:c r="ET37" s="1053" t="str">
        <x:f t="shared" si="82"/>
        <x:v/>
      </x:c>
      <x:c r="EU37" s="1061">
        <x:f t="shared" si="83"/>
        <x:v>3.5</x:v>
      </x:c>
      <x:c r="EV37" s="1055" t="str">
        <x:f t="shared" si="84"/>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5"/>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6"/>
        <x:v/>
      </x:c>
      <x:c r="FD37" s="1052">
        <x:f t="shared" si="108"/>
        <x:v>0</x:v>
      </x:c>
      <x:c r="FE37" s="1052">
        <x:f t="shared" si="87"/>
        <x:v>0</x:v>
      </x:c>
      <x:c r="FF37" s="1052">
        <x:f t="shared" si="88"/>
        <x:v>0</x:v>
      </x:c>
      <x:c r="FG37" s="1052" t="str">
        <x:f t="shared" si="89"/>
        <x:v/>
      </x:c>
      <x:c r="FH37" s="1053" t="str">
        <x:f t="shared" si="90"/>
        <x:v/>
      </x:c>
      <x:c r="FI37" s="1052">
        <x:f t="shared" si="109"/>
        <x:v>0</x:v>
      </x:c>
      <x:c r="FJ37" s="1052">
        <x:f t="shared" si="91"/>
        <x:v>0</x:v>
      </x:c>
      <x:c r="FK37" s="1052">
        <x:f t="shared" si="92"/>
        <x:v>0</x:v>
      </x:c>
      <x:c r="FL37" s="1052" t="str">
        <x:f t="shared" si="93"/>
        <x:v/>
      </x:c>
      <x:c r="FM37" s="1053" t="str">
        <x:f t="shared" si="94"/>
        <x:v/>
      </x:c>
      <x:c r="FN37" s="1053" t="e">
        <x:f t="shared" si="95"/>
        <x:v>#VALUE!</x:v>
      </x:c>
      <x:c r="FO37" s="1062" t="e">
        <x:f t="shared" si="96"/>
        <x:v>#VALUE!</x:v>
      </x:c>
      <x:c r="FP37" s="1062" t="e">
        <x:f t="shared" si="97"/>
        <x:v>#VALUE!</x:v>
      </x:c>
      <x:c r="FQ37" s="1063" t="e">
        <x:f t="shared" si="98"/>
        <x:v>#VALUE!</x:v>
      </x:c>
      <x:c r="FR37" s="1064" t="e">
        <x:f t="shared" si="99"/>
        <x:v>#VALUE!</x:v>
      </x:c>
      <x:c r="FS37" s="1065" t="str">
        <x:f t="shared" si="100"/>
        <x:v/>
      </x:c>
      <x:c r="FT37" s="1066" t="str">
        <x:f t="shared" si="101"/>
        <x:v/>
      </x:c>
      <x:c r="FU37" s="1105">
        <x:f t="shared" si="102"/>
        <x:v>0</x:v>
      </x:c>
      <x:c r="FV37" s="1106">
        <x:f t="shared" si="103"/>
        <x:v>0</x:v>
      </x:c>
      <x:c r="GA37" s="1975">
        <x:v>23</x:v>
      </x:c>
      <x:c r="GB37" s="1976">
        <x:v>1.25</x:v>
      </x:c>
      <x:c r="GC37" s="1977">
        <x:v>-0.25</x:v>
      </x:c>
      <x:c r="GD37" s="1978">
        <x:v>-0.5</x:v>
      </x:c>
      <x:c r="GE37" s="1979">
        <x:v>-7.48909368882606E-3</x:v>
      </x:c>
      <x:c r="GF37" s="1980" t="str">
        <x:f t="shared" si="104"/>
        <x:v>J88</x:v>
      </x:c>
      <x:c r="GG37" s="1453"/>
      <x:c r="GH37" s="1454"/>
      <x:c r="GI37" s="1453"/>
      <x:c r="GJ37" s="1454"/>
      <x:c r="GK37" s="533">
        <x:f t="shared" si="105"/>
        <x:v>276.5</x:v>
      </x:c>
      <x:c r="GL37" s="534">
        <x:f t="shared" si="106"/>
        <x:v>276.50005384695294</x:v>
      </x:c>
      <x:c r="GM37" s="535">
        <x:f>IF(ABS(GK37-GL37)&gt;='Job Info.'!$L$22,ABS(GK37-GL37),0)</x:f>
        <x:v>0</x:v>
      </x:c>
      <x:c r="HA37" s="1658" t="s">
        <x:v>1412</x:v>
      </x:c>
      <x:c r="HB37" s="1659">
        <x:v>1</x:v>
      </x:c>
      <x:c r="HC37" s="1659" t="s">
        <x:v>1980</x:v>
      </x:c>
      <x:c r="HD37" s="1660">
        <x:v>23</x:v>
      </x:c>
      <x:c r="HE37" s="1661">
        <x:v>0.5</x:v>
      </x:c>
      <x:c r="HF37" s="1659">
        <x:v>0</x:v>
      </x:c>
      <x:c r="HG37" s="1659">
        <x:v>1.375</x:v>
      </x:c>
      <x:c r="HH37" s="1659" t="s">
        <x:v>114</x:v>
      </x:c>
      <x:c r="HI37" s="1662" t="s">
        <x:v>117</x:v>
      </x:c>
      <x:c r="HJ37" s="1659" t="s">
        <x:v>117</x:v>
      </x:c>
      <x:c r="HK37" s="1659" t="s">
        <x:v>117</x:v>
      </x:c>
      <x:c r="HL37" s="1659">
        <x:v>3</x:v>
      </x:c>
      <x:c r="HM37" s="1659">
        <x:v>3</x:v>
      </x:c>
      <x:c r="HN37" s="1659" t="s">
        <x:v>117</x:v>
      </x:c>
      <x:c r="HO37" s="1659" t="s">
        <x:v>117</x:v>
      </x:c>
      <x:c r="HP37" s="1659" t="s">
        <x:v>117</x:v>
      </x:c>
      <x:c r="HQ37" s="1662" t="s">
        <x:v>117</x:v>
      </x:c>
      <x:c r="HR37" s="1659" t="s">
        <x:v>117</x:v>
      </x:c>
      <x:c r="HS37" s="1659" t="s">
        <x:v>117</x:v>
      </x:c>
      <x:c r="HT37" s="1659" t="s">
        <x:v>117</x:v>
      </x:c>
      <x:c r="HU37" s="1659" t="s">
        <x:v>117</x:v>
      </x:c>
      <x:c r="HV37" s="1659" t="s">
        <x:v>117</x:v>
      </x:c>
      <x:c r="HW37" s="1661" t="s">
        <x:v>117</x:v>
      </x:c>
      <x:c r="HX37" s="1661">
        <x:v>0</x:v>
      </x:c>
      <x:c r="HY37" s="1661" t="s">
        <x:v>117</x:v>
      </x:c>
      <x:c r="HZ37" s="1661" t="s">
        <x:v>117</x:v>
      </x:c>
      <x:c r="IA37" s="1661" t="s">
        <x:v>2124</x:v>
      </x:c>
      <x:c r="IB37" s="1661"/>
      <x:c r="IC37" s="1661"/>
      <x:c r="ID37" s="1661"/>
      <x:c r="IE37" s="1661"/>
      <x:c r="IF37" s="1663"/>
    </x:row>
    <x:row r="38" spans="1:240" ht="12.6" customHeight="1" x14ac:dyDescent="0.25">
      <x:c r="A38" s="1264" t="s">
        <x:v>1413</x:v>
      </x:c>
      <x:c r="B38" s="1265">
        <x:v>1</x:v>
      </x:c>
      <x:c r="C38" s="1265" t="s">
        <x:v>1980</x:v>
      </x:c>
      <x:c r="D38" s="1261">
        <x:v>28</x:v>
      </x:c>
      <x:c r="E38" s="1366">
        <x:v>9.375</x:v>
      </x:c>
      <x:c r="F38" s="1328">
        <x:v>0</x:v>
      </x:c>
      <x:c r="G38" s="1262">
        <x:v>1.375</x:v>
      </x:c>
      <x:c r="H38" s="1266" t="s">
        <x:v>114</x:v>
      </x:c>
      <x:c r="I38" s="2195">
        <x:v>0</x:v>
      </x:c>
      <x:c r="J38" s="2122">
        <x:v>0.5</x:v>
      </x:c>
      <x:c r="K38" s="2209" t="s">
        <x:v>114</x:v>
      </x:c>
      <x:c r="L38" s="1327">
        <x:v>3</x:v>
      </x:c>
      <x:c r="M38" s="1329">
        <x:v>3</x:v>
      </x:c>
      <x:c r="N38" s="1263" t="str">
        <x:f t="shared" si="4"/>
        <x:v/>
      </x:c>
      <x:c r="O38" s="1262" t="str">
        <x:f t="shared" si="5"/>
        <x:v/>
      </x:c>
      <x:c r="P38" s="1260" t="str">
        <x:f t="shared" si="6"/>
        <x:v/>
      </x:c>
      <x:c r="Q38" s="1261" t="str">
        <x:f t="shared" si="7"/>
        <x:v/>
      </x:c>
      <x:c r="R38" s="1262" t="str">
        <x:f t="shared" si="8"/>
        <x:v/>
      </x:c>
      <x:c r="S38" s="1375" t="str">
        <x:f t="shared" si="9"/>
        <x:v/>
      </x:c>
      <x:c r="T38" s="1328" t="str">
        <x:f t="shared" si="10"/>
        <x:v/>
      </x:c>
      <x:c r="U38" s="1262" t="str">
        <x:f t="shared" si="11"/>
        <x:v/>
      </x:c>
      <x:c r="V38" s="1261" t="str">
        <x:f t="shared" si="12"/>
        <x:v/>
      </x:c>
      <x:c r="W38" s="1262" t="str">
        <x:f t="shared" si="13"/>
        <x:v/>
      </x:c>
      <x:c r="X38" s="1329">
        <x:f t="shared" si="14"/>
        <x:v>0</x:v>
      </x:c>
      <x:c r="Y38" s="1377" t="str">
        <x:f t="shared" si="15"/>
        <x:v/>
      </x:c>
      <x:c r="Z38" s="1378" t="str">
        <x:f t="shared" si="16"/>
        <x:v/>
      </x:c>
      <x:c r="AA38" s="2159" t="s">
        <x:v>2125</x:v>
      </x:c>
      <x:c r="AC38" s="1226" t="b">
        <x:v>0</x:v>
      </x:c>
      <x:c r="AD38" s="525">
        <x:f t="shared" si="17"/>
        <x:v>1</x:v>
      </x:c>
      <x:c r="AE38" s="526">
        <x:f t="shared" si="18"/>
        <x:v>0</x:v>
      </x:c>
      <x:c r="AF38" s="526">
        <x:f t="shared" si="19"/>
        <x:v>0</x:v>
      </x:c>
      <x:c r="AG38" s="526">
        <x:f t="shared" si="20"/>
        <x:v>0</x:v>
      </x:c>
      <x:c r="AH38" s="527">
        <x:f t="shared" si="21"/>
        <x:v>0</x:v>
      </x:c>
      <x:c r="AI38" s="528" t="b">
        <x:v>0</x:v>
      </x:c>
      <x:c r="AJ38" s="284">
        <x:f t="shared" si="22"/>
        <x:v>30</x:v>
      </x:c>
      <x:c r="AK38" s="1063" t="str">
        <x:f t="shared" si="23"/>
        <x:v>K</x:v>
      </x:c>
      <x:c r="AL38" s="1202" t="str">
        <x:f t="shared" si="24"/>
        <x:v/>
      </x:c>
      <x:c r="AM38" s="1063">
        <x:f t="shared" si="25"/>
        <x:v>310</x:v>
      </x:c>
      <x:c r="AN38" s="1063">
        <x:f t="shared" si="26"/>
        <x:v>160</x:v>
      </x:c>
      <x:c r="AO38" s="1063" t="str">
        <x:f t="shared" si="27"/>
        <x:v/>
      </x:c>
      <x:c r="AP38" s="1063" t="b">
        <x:f>IF(ISERROR(AJ38),FALSE,IF(OR(AJ38=0,ISERROR(AL38),ISERROR(AM38),ISERROR(AN38),ISERROR(AO38)),FALSE,IF(AL38&lt;&gt;"",IF(ISERROR(VLOOKUP(SUBSTITUTE(SUBSTITUTE(C38,"R",""),"A",""),TblJoistSize!$A:$A,1,FALSE)),FALSE,TRUE),TRUE)))</x:f>
        <x:v>1</x:v>
      </x:c>
      <x:c r="AQ38" s="1305">
        <x:f t="shared" si="28"/>
        <x:v>5.375</x:v>
      </x:c>
      <x:c r="AR38" s="1305" t="b">
        <x:f t="shared" si="29"/>
        <x:v>0</x:v>
      </x:c>
      <x:c r="AS38" s="1305">
        <x:f t="shared" si="30"/>
        <x:v>4.5</x:v>
      </x:c>
      <x:c r="AT38" s="1305" t="b">
        <x:f t="shared" si="31"/>
        <x:v>0</x:v>
      </x:c>
      <x:c r="AU38" s="1203" t="str">
        <x:f t="shared" si="32"/>
        <x:v>K</x:v>
      </x:c>
      <x:c r="AV38" s="1063" t="str">
        <x:f t="shared" si="33"/>
        <x:v>K</x:v>
      </x:c>
      <x:c r="AW38" s="1063" t="str">
        <x:f t="shared" si="34"/>
        <x:v/>
      </x:c>
      <x:c r="AX38" s="1063" t="str">
        <x:f t="shared" si="107"/>
        <x:v>J89</x:v>
      </x:c>
      <x:c r="AY38" s="1306" t="b">
        <x:f t="shared" si="35"/>
        <x:v>0</x:v>
      </x:c>
      <x:c r="AZ38" s="1090" t="b">
        <x:f t="shared" si="36"/>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7"/>
        <x:v/>
      </x:c>
      <x:c r="CE38" s="935" t="str">
        <x:f t="shared" si="38"/>
        <x:v/>
      </x:c>
      <x:c r="CF38" s="1149"/>
      <x:c r="CG38" s="1150"/>
      <x:c r="CH38" s="738" t="str">
        <x:f t="shared" si="39"/>
        <x:v/>
      </x:c>
      <x:c r="CI38" s="739" t="str">
        <x:f t="shared" si="40"/>
        <x:v/>
      </x:c>
      <x:c r="CJ38" s="740" t="str">
        <x:f t="shared" si="41"/>
        <x:v/>
      </x:c>
      <x:c r="CK38" s="741" t="str">
        <x:f t="shared" si="42"/>
        <x:v/>
      </x:c>
      <x:c r="CL38" s="742" t="str">
        <x:f t="shared" si="43"/>
        <x:v/>
      </x:c>
      <x:c r="CM38" s="743" t="str">
        <x:f t="shared" si="44"/>
        <x:v/>
      </x:c>
      <x:c r="CN38" s="744" t="str">
        <x:f t="shared" si="45"/>
        <x:v/>
      </x:c>
      <x:c r="CO38" s="745" t="str">
        <x:f t="shared" si="46"/>
        <x:v/>
      </x:c>
      <x:c r="CP38" s="762" t="str">
        <x:f t="shared" si="47"/>
        <x:v/>
      </x:c>
      <x:c r="CQ38" s="763" t="str">
        <x:f t="shared" si="48"/>
        <x:v/>
      </x:c>
      <x:c r="CR38" s="953">
        <x:f t="shared" si="49"/>
        <x:v>2.5</x:v>
      </x:c>
      <x:c r="CS38" s="954">
        <x:f t="shared" si="50"/>
        <x:v>2.5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51"/>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52"/>
        <x:v>0</x:v>
      </x:c>
      <x:c r="DO38" s="1049">
        <x:f t="shared" si="53"/>
        <x:v>0</x:v>
      </x:c>
      <x:c r="DP38" s="1053" t="str">
        <x:f t="shared" si="54"/>
        <x:v/>
      </x:c>
      <x:c r="DQ38" s="1053" t="str">
        <x:f t="shared" si="55"/>
        <x:v/>
      </x:c>
      <x:c r="DR38" s="1053" t="str">
        <x:f t="shared" si="56"/>
        <x:v/>
      </x:c>
      <x:c r="DS38" s="1052">
        <x:f t="shared" si="57"/>
        <x:v>0</x:v>
      </x:c>
      <x:c r="DT38" s="1052">
        <x:f t="shared" si="58"/>
        <x:v>0</x:v>
      </x:c>
      <x:c r="DU38" s="1052" t="str">
        <x:f t="shared" si="59"/>
        <x:v/>
      </x:c>
      <x:c r="DV38" s="1053" t="str">
        <x:f t="shared" si="60"/>
        <x:v/>
      </x:c>
      <x:c r="DW38" s="1053" t="str">
        <x:f t="shared" si="61"/>
        <x:v/>
      </x:c>
      <x:c r="DX38" s="1269">
        <x:f t="shared" si="62"/>
        <x:v>0</x:v>
      </x:c>
      <x:c r="DY38" s="1053">
        <x:f t="shared" si="63"/>
        <x:v>0</x:v>
      </x:c>
      <x:c r="DZ38" s="1052">
        <x:f t="shared" si="64"/>
        <x:v>0</x:v>
      </x:c>
      <x:c r="EA38" s="1052" t="str">
        <x:f t="shared" si="65"/>
        <x:v/>
      </x:c>
      <x:c r="EB38" s="1053" t="str">
        <x:f t="shared" si="66"/>
        <x:v/>
      </x:c>
      <x:c r="EC38" s="1053" t="str">
        <x:f t="shared" si="67"/>
        <x:v/>
      </x:c>
      <x:c r="ED38" s="1269">
        <x:f t="shared" si="68"/>
        <x:v>0</x:v>
      </x:c>
      <x:c r="EE38" s="1090" t="str">
        <x:f t="shared" si="69"/>
        <x:v/>
      </x:c>
      <x:c r="EF38" s="1053" t="str">
        <x:f t="shared" si="70"/>
        <x:v/>
      </x:c>
      <x:c r="EG38" s="1053" t="str">
        <x:f t="shared" si="71"/>
        <x:v/>
      </x:c>
      <x:c r="EH38" s="1053" t="str">
        <x:f t="shared" si="72"/>
        <x:v>ERR</x:v>
      </x:c>
      <x:c r="EI38" s="1053" t="str">
        <x:f t="shared" si="73"/>
        <x:v>ERR</x:v>
      </x:c>
      <x:c r="EJ38" s="1053" t="str">
        <x:f t="shared" si="74"/>
        <x:v/>
      </x:c>
      <x:c r="EK38" s="1053" t="str">
        <x:f t="shared" si="74"/>
        <x:v/>
      </x:c>
      <x:c r="EL38" s="1090" t="str">
        <x:f t="shared" si="75"/>
        <x:v/>
      </x:c>
      <x:c r="EM38" s="1053" t="str">
        <x:f t="shared" si="76"/>
        <x:v/>
      </x:c>
      <x:c r="EN38" s="1053" t="str">
        <x:f t="shared" si="77"/>
        <x:v/>
      </x:c>
      <x:c r="EO38" s="1053" t="str">
        <x:f t="shared" si="78"/>
        <x:v>ERR</x:v>
      </x:c>
      <x:c r="EP38" s="1053" t="str">
        <x:f t="shared" si="79"/>
        <x:v>ERR</x:v>
      </x:c>
      <x:c r="EQ38" s="1053" t="str">
        <x:f t="shared" si="80"/>
        <x:v/>
      </x:c>
      <x:c r="ER38" s="1053" t="str">
        <x:f t="shared" si="80"/>
        <x:v/>
      </x:c>
      <x:c r="ES38" s="1053" t="str">
        <x:f t="shared" si="81"/>
        <x:v/>
      </x:c>
      <x:c r="ET38" s="1053" t="str">
        <x:f t="shared" si="82"/>
        <x:v/>
      </x:c>
      <x:c r="EU38" s="1061">
        <x:f t="shared" si="83"/>
        <x:v>3.5</x:v>
      </x:c>
      <x:c r="EV38" s="1055" t="str">
        <x:f t="shared" si="84"/>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5"/>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6"/>
        <x:v/>
      </x:c>
      <x:c r="FD38" s="1052">
        <x:f t="shared" si="108"/>
        <x:v>0</x:v>
      </x:c>
      <x:c r="FE38" s="1052">
        <x:f t="shared" si="87"/>
        <x:v>0</x:v>
      </x:c>
      <x:c r="FF38" s="1052">
        <x:f t="shared" si="88"/>
        <x:v>0</x:v>
      </x:c>
      <x:c r="FG38" s="1052" t="str">
        <x:f t="shared" si="89"/>
        <x:v/>
      </x:c>
      <x:c r="FH38" s="1053" t="str">
        <x:f t="shared" si="90"/>
        <x:v/>
      </x:c>
      <x:c r="FI38" s="1052">
        <x:f t="shared" si="109"/>
        <x:v>0</x:v>
      </x:c>
      <x:c r="FJ38" s="1052">
        <x:f t="shared" si="91"/>
        <x:v>0</x:v>
      </x:c>
      <x:c r="FK38" s="1052">
        <x:f t="shared" si="92"/>
        <x:v>0</x:v>
      </x:c>
      <x:c r="FL38" s="1052" t="str">
        <x:f t="shared" si="93"/>
        <x:v/>
      </x:c>
      <x:c r="FM38" s="1053" t="str">
        <x:f t="shared" si="94"/>
        <x:v/>
      </x:c>
      <x:c r="FN38" s="1053" t="e">
        <x:f t="shared" si="95"/>
        <x:v>#VALUE!</x:v>
      </x:c>
      <x:c r="FO38" s="1062" t="e">
        <x:f t="shared" si="96"/>
        <x:v>#VALUE!</x:v>
      </x:c>
      <x:c r="FP38" s="1062" t="e">
        <x:f t="shared" si="97"/>
        <x:v>#VALUE!</x:v>
      </x:c>
      <x:c r="FQ38" s="1063" t="e">
        <x:f t="shared" si="98"/>
        <x:v>#VALUE!</x:v>
      </x:c>
      <x:c r="FR38" s="1064" t="e">
        <x:f t="shared" si="99"/>
        <x:v>#VALUE!</x:v>
      </x:c>
      <x:c r="FS38" s="1065" t="str">
        <x:f t="shared" si="100"/>
        <x:v/>
      </x:c>
      <x:c r="FT38" s="1066" t="str">
        <x:f t="shared" si="101"/>
        <x:v/>
      </x:c>
      <x:c r="FU38" s="1105">
        <x:f t="shared" si="102"/>
        <x:v>0</x:v>
      </x:c>
      <x:c r="FV38" s="1106">
        <x:f t="shared" si="103"/>
        <x:v>0</x:v>
      </x:c>
      <x:c r="GA38" s="1975">
        <x:v>28</x:v>
      </x:c>
      <x:c r="GB38" s="1976">
        <x:v>10.125</x:v>
      </x:c>
      <x:c r="GC38" s="1977">
        <x:v>-0.25</x:v>
      </x:c>
      <x:c r="GD38" s="1978">
        <x:v>-0.5</x:v>
      </x:c>
      <x:c r="GE38" s="1979">
        <x:v>1.00232262269783E-2</x:v>
      </x:c>
      <x:c r="GF38" s="1980" t="str">
        <x:f t="shared" si="104"/>
        <x:v>J89</x:v>
      </x:c>
      <x:c r="GG38" s="1453"/>
      <x:c r="GH38" s="1454"/>
      <x:c r="GI38" s="1453"/>
      <x:c r="GJ38" s="1454"/>
      <x:c r="GK38" s="533">
        <x:f t="shared" si="105"/>
        <x:v>345.375</x:v>
      </x:c>
      <x:c r="GL38" s="534">
        <x:f t="shared" si="106"/>
        <x:v>345.37512047956744</x:v>
      </x:c>
      <x:c r="GM38" s="535">
        <x:f>IF(ABS(GK38-GL38)&gt;='Job Info.'!$L$22,ABS(GK38-GL38),0)</x:f>
        <x:v>0</x:v>
      </x:c>
      <x:c r="HA38" s="1658" t="s">
        <x:v>1413</x:v>
      </x:c>
      <x:c r="HB38" s="1659">
        <x:v>1</x:v>
      </x:c>
      <x:c r="HC38" s="1659" t="s">
        <x:v>1980</x:v>
      </x:c>
      <x:c r="HD38" s="1660">
        <x:v>28</x:v>
      </x:c>
      <x:c r="HE38" s="1661">
        <x:v>9.375</x:v>
      </x:c>
      <x:c r="HF38" s="1659">
        <x:v>0</x:v>
      </x:c>
      <x:c r="HG38" s="1659">
        <x:v>1.375</x:v>
      </x:c>
      <x:c r="HH38" s="1659" t="s">
        <x:v>114</x:v>
      </x:c>
      <x:c r="HI38" s="1662" t="s">
        <x:v>117</x:v>
      </x:c>
      <x:c r="HJ38" s="1659" t="s">
        <x:v>117</x:v>
      </x:c>
      <x:c r="HK38" s="1659" t="s">
        <x:v>117</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2125</x:v>
      </x:c>
      <x:c r="IB38" s="1661"/>
      <x:c r="IC38" s="1661"/>
      <x:c r="ID38" s="1661"/>
      <x:c r="IE38" s="1661"/>
      <x:c r="IF38" s="1663"/>
    </x:row>
    <x:row r="39" spans="1:240" ht="12.6" customHeight="1" x14ac:dyDescent="0.25">
      <x:c r="A39" s="1264" t="s">
        <x:v>1414</x:v>
      </x:c>
      <x:c r="B39" s="1265">
        <x:v>1</x:v>
      </x:c>
      <x:c r="C39" s="1265" t="s">
        <x:v>1980</x:v>
      </x:c>
      <x:c r="D39" s="1261">
        <x:v>34</x:v>
      </x:c>
      <x:c r="E39" s="1366">
        <x:v>6.25</x:v>
      </x:c>
      <x:c r="F39" s="1328">
        <x:v>0</x:v>
      </x:c>
      <x:c r="G39" s="1262">
        <x:v>1.375</x:v>
      </x:c>
      <x:c r="H39" s="1266" t="s">
        <x:v>114</x:v>
      </x:c>
      <x:c r="I39" s="2195">
        <x:v>0</x:v>
      </x:c>
      <x:c r="J39" s="2122">
        <x:v>0.5</x:v>
      </x:c>
      <x:c r="K39" s="2209" t="s">
        <x:v>114</x:v>
      </x:c>
      <x:c r="L39" s="1327">
        <x:v>3</x:v>
      </x:c>
      <x:c r="M39" s="1329">
        <x:v>3</x:v>
      </x:c>
      <x:c r="N39" s="1263" t="str">
        <x:f t="shared" si="4"/>
        <x:v/>
      </x:c>
      <x:c r="O39" s="1262" t="str">
        <x:f t="shared" si="5"/>
        <x:v/>
      </x:c>
      <x:c r="P39" s="1260" t="str">
        <x:f t="shared" si="6"/>
        <x:v/>
      </x:c>
      <x:c r="Q39" s="1261" t="str">
        <x:f t="shared" si="7"/>
        <x:v/>
      </x:c>
      <x:c r="R39" s="1262" t="str">
        <x:f t="shared" si="8"/>
        <x:v/>
      </x:c>
      <x:c r="S39" s="1375" t="str">
        <x:f t="shared" si="9"/>
        <x:v/>
      </x:c>
      <x:c r="T39" s="1328" t="str">
        <x:f t="shared" si="10"/>
        <x:v/>
      </x:c>
      <x:c r="U39" s="1262" t="str">
        <x:f t="shared" si="11"/>
        <x:v/>
      </x:c>
      <x:c r="V39" s="1261" t="str">
        <x:f t="shared" si="12"/>
        <x:v/>
      </x:c>
      <x:c r="W39" s="1262" t="str">
        <x:f t="shared" si="13"/>
        <x:v/>
      </x:c>
      <x:c r="X39" s="1329">
        <x:f t="shared" si="14"/>
        <x:v>0</x:v>
      </x:c>
      <x:c r="Y39" s="1377" t="str">
        <x:f t="shared" si="15"/>
        <x:v/>
      </x:c>
      <x:c r="Z39" s="1378" t="str">
        <x:f t="shared" si="16"/>
        <x:v/>
      </x:c>
      <x:c r="AA39" s="2159" t="s">
        <x:v>2125</x:v>
      </x:c>
      <x:c r="AC39" s="1226" t="b">
        <x:v>0</x:v>
      </x:c>
      <x:c r="AD39" s="525">
        <x:f t="shared" si="17"/>
        <x:v>1</x:v>
      </x:c>
      <x:c r="AE39" s="526">
        <x:f t="shared" si="18"/>
        <x:v>0</x:v>
      </x:c>
      <x:c r="AF39" s="526">
        <x:f t="shared" si="19"/>
        <x:v>0</x:v>
      </x:c>
      <x:c r="AG39" s="526">
        <x:f t="shared" si="20"/>
        <x:v>0</x:v>
      </x:c>
      <x:c r="AH39" s="527">
        <x:f t="shared" si="21"/>
        <x:v>0</x:v>
      </x:c>
      <x:c r="AI39" s="528" t="b">
        <x:v>0</x:v>
      </x:c>
      <x:c r="AJ39" s="284">
        <x:f t="shared" si="22"/>
        <x:v>30</x:v>
      </x:c>
      <x:c r="AK39" s="1063" t="str">
        <x:f t="shared" si="23"/>
        <x:v>K</x:v>
      </x:c>
      <x:c r="AL39" s="1202" t="str">
        <x:f t="shared" si="24"/>
        <x:v/>
      </x:c>
      <x:c r="AM39" s="1063">
        <x:f t="shared" si="25"/>
        <x:v>310</x:v>
      </x:c>
      <x:c r="AN39" s="1063">
        <x:f t="shared" si="26"/>
        <x:v>160</x:v>
      </x:c>
      <x:c r="AO39" s="1063" t="str">
        <x:f t="shared" si="27"/>
        <x:v/>
      </x:c>
      <x:c r="AP39" s="1063" t="b">
        <x:f>IF(ISERROR(AJ39),FALSE,IF(OR(AJ39=0,ISERROR(AL39),ISERROR(AM39),ISERROR(AN39),ISERROR(AO39)),FALSE,IF(AL39&lt;&gt;"",IF(ISERROR(VLOOKUP(SUBSTITUTE(SUBSTITUTE(C39,"R",""),"A",""),TblJoistSize!$A:$A,1,FALSE)),FALSE,TRUE),TRUE)))</x:f>
        <x:v>1</x:v>
      </x:c>
      <x:c r="AQ39" s="1305">
        <x:f t="shared" si="28"/>
        <x:v>5.375</x:v>
      </x:c>
      <x:c r="AR39" s="1305" t="b">
        <x:f t="shared" si="29"/>
        <x:v>0</x:v>
      </x:c>
      <x:c r="AS39" s="1305">
        <x:f t="shared" si="30"/>
        <x:v>4.5</x:v>
      </x:c>
      <x:c r="AT39" s="1305" t="b">
        <x:f t="shared" si="31"/>
        <x:v>0</x:v>
      </x:c>
      <x:c r="AU39" s="1203" t="str">
        <x:f t="shared" si="32"/>
        <x:v>K</x:v>
      </x:c>
      <x:c r="AV39" s="1063" t="str">
        <x:f t="shared" si="33"/>
        <x:v>K</x:v>
      </x:c>
      <x:c r="AW39" s="1063" t="str">
        <x:f t="shared" si="34"/>
        <x:v/>
      </x:c>
      <x:c r="AX39" s="1063" t="str">
        <x:f t="shared" si="107"/>
        <x:v>J90</x:v>
      </x:c>
      <x:c r="AY39" s="1306" t="b">
        <x:f t="shared" si="35"/>
        <x:v>0</x:v>
      </x:c>
      <x:c r="AZ39" s="1090" t="b">
        <x:f t="shared" si="36"/>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7"/>
        <x:v/>
      </x:c>
      <x:c r="CE39" s="935" t="str">
        <x:f t="shared" si="38"/>
        <x:v/>
      </x:c>
      <x:c r="CF39" s="1149"/>
      <x:c r="CG39" s="1150"/>
      <x:c r="CH39" s="738" t="str">
        <x:f t="shared" si="39"/>
        <x:v/>
      </x:c>
      <x:c r="CI39" s="739" t="str">
        <x:f t="shared" si="40"/>
        <x:v/>
      </x:c>
      <x:c r="CJ39" s="740" t="str">
        <x:f t="shared" si="41"/>
        <x:v/>
      </x:c>
      <x:c r="CK39" s="741" t="str">
        <x:f t="shared" si="42"/>
        <x:v/>
      </x:c>
      <x:c r="CL39" s="742" t="str">
        <x:f t="shared" si="43"/>
        <x:v/>
      </x:c>
      <x:c r="CM39" s="743" t="str">
        <x:f t="shared" si="44"/>
        <x:v/>
      </x:c>
      <x:c r="CN39" s="744" t="str">
        <x:f t="shared" si="45"/>
        <x:v/>
      </x:c>
      <x:c r="CO39" s="745" t="str">
        <x:f t="shared" si="46"/>
        <x:v/>
      </x:c>
      <x:c r="CP39" s="762" t="str">
        <x:f t="shared" si="47"/>
        <x:v/>
      </x:c>
      <x:c r="CQ39" s="763" t="str">
        <x:f t="shared" si="48"/>
        <x:v/>
      </x:c>
      <x:c r="CR39" s="953">
        <x:f t="shared" si="49"/>
        <x:v>2.5</x:v>
      </x:c>
      <x:c r="CS39" s="954">
        <x:f t="shared" si="50"/>
        <x:v>2.5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51"/>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52"/>
        <x:v>0</x:v>
      </x:c>
      <x:c r="DO39" s="1049">
        <x:f t="shared" si="53"/>
        <x:v>0</x:v>
      </x:c>
      <x:c r="DP39" s="1053" t="str">
        <x:f t="shared" si="54"/>
        <x:v/>
      </x:c>
      <x:c r="DQ39" s="1053" t="str">
        <x:f t="shared" si="55"/>
        <x:v/>
      </x:c>
      <x:c r="DR39" s="1053" t="str">
        <x:f t="shared" si="56"/>
        <x:v/>
      </x:c>
      <x:c r="DS39" s="1052">
        <x:f t="shared" si="57"/>
        <x:v>0</x:v>
      </x:c>
      <x:c r="DT39" s="1052">
        <x:f t="shared" si="58"/>
        <x:v>0</x:v>
      </x:c>
      <x:c r="DU39" s="1052" t="str">
        <x:f t="shared" si="59"/>
        <x:v/>
      </x:c>
      <x:c r="DV39" s="1053" t="str">
        <x:f t="shared" si="60"/>
        <x:v/>
      </x:c>
      <x:c r="DW39" s="1053" t="str">
        <x:f t="shared" si="61"/>
        <x:v/>
      </x:c>
      <x:c r="DX39" s="1269">
        <x:f t="shared" si="62"/>
        <x:v>0</x:v>
      </x:c>
      <x:c r="DY39" s="1053">
        <x:f t="shared" si="63"/>
        <x:v>0</x:v>
      </x:c>
      <x:c r="DZ39" s="1052">
        <x:f t="shared" si="64"/>
        <x:v>0</x:v>
      </x:c>
      <x:c r="EA39" s="1052" t="str">
        <x:f t="shared" si="65"/>
        <x:v/>
      </x:c>
      <x:c r="EB39" s="1053" t="str">
        <x:f t="shared" si="66"/>
        <x:v/>
      </x:c>
      <x:c r="EC39" s="1053" t="str">
        <x:f t="shared" si="67"/>
        <x:v/>
      </x:c>
      <x:c r="ED39" s="1269">
        <x:f t="shared" si="68"/>
        <x:v>0</x:v>
      </x:c>
      <x:c r="EE39" s="1090" t="str">
        <x:f t="shared" si="69"/>
        <x:v/>
      </x:c>
      <x:c r="EF39" s="1053" t="str">
        <x:f t="shared" si="70"/>
        <x:v/>
      </x:c>
      <x:c r="EG39" s="1053" t="str">
        <x:f t="shared" si="71"/>
        <x:v/>
      </x:c>
      <x:c r="EH39" s="1053" t="str">
        <x:f t="shared" si="72"/>
        <x:v>ERR</x:v>
      </x:c>
      <x:c r="EI39" s="1053" t="str">
        <x:f t="shared" si="73"/>
        <x:v>ERR</x:v>
      </x:c>
      <x:c r="EJ39" s="1053" t="str">
        <x:f t="shared" si="74"/>
        <x:v/>
      </x:c>
      <x:c r="EK39" s="1053" t="str">
        <x:f t="shared" si="74"/>
        <x:v/>
      </x:c>
      <x:c r="EL39" s="1090" t="str">
        <x:f t="shared" si="75"/>
        <x:v/>
      </x:c>
      <x:c r="EM39" s="1053" t="str">
        <x:f t="shared" si="76"/>
        <x:v/>
      </x:c>
      <x:c r="EN39" s="1053" t="str">
        <x:f t="shared" si="77"/>
        <x:v/>
      </x:c>
      <x:c r="EO39" s="1053" t="str">
        <x:f t="shared" si="78"/>
        <x:v>ERR</x:v>
      </x:c>
      <x:c r="EP39" s="1053" t="str">
        <x:f t="shared" si="79"/>
        <x:v>ERR</x:v>
      </x:c>
      <x:c r="EQ39" s="1053" t="str">
        <x:f t="shared" si="80"/>
        <x:v/>
      </x:c>
      <x:c r="ER39" s="1053" t="str">
        <x:f t="shared" si="80"/>
        <x:v/>
      </x:c>
      <x:c r="ES39" s="1053" t="str">
        <x:f t="shared" si="81"/>
        <x:v/>
      </x:c>
      <x:c r="ET39" s="1053" t="str">
        <x:f t="shared" si="82"/>
        <x:v/>
      </x:c>
      <x:c r="EU39" s="1061">
        <x:f t="shared" si="83"/>
        <x:v>3.5</x:v>
      </x:c>
      <x:c r="EV39" s="1055" t="str">
        <x:f t="shared" si="84"/>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5"/>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6"/>
        <x:v/>
      </x:c>
      <x:c r="FD39" s="1052">
        <x:f t="shared" si="108"/>
        <x:v>0</x:v>
      </x:c>
      <x:c r="FE39" s="1052">
        <x:f t="shared" si="87"/>
        <x:v>0</x:v>
      </x:c>
      <x:c r="FF39" s="1052">
        <x:f t="shared" si="88"/>
        <x:v>0</x:v>
      </x:c>
      <x:c r="FG39" s="1052" t="str">
        <x:f t="shared" si="89"/>
        <x:v/>
      </x:c>
      <x:c r="FH39" s="1053" t="str">
        <x:f t="shared" si="90"/>
        <x:v/>
      </x:c>
      <x:c r="FI39" s="1052">
        <x:f t="shared" si="109"/>
        <x:v>0</x:v>
      </x:c>
      <x:c r="FJ39" s="1052">
        <x:f t="shared" si="91"/>
        <x:v>0</x:v>
      </x:c>
      <x:c r="FK39" s="1052">
        <x:f t="shared" si="92"/>
        <x:v>0</x:v>
      </x:c>
      <x:c r="FL39" s="1052" t="str">
        <x:f t="shared" si="93"/>
        <x:v/>
      </x:c>
      <x:c r="FM39" s="1053" t="str">
        <x:f t="shared" si="94"/>
        <x:v/>
      </x:c>
      <x:c r="FN39" s="1053" t="e">
        <x:f t="shared" si="95"/>
        <x:v>#VALUE!</x:v>
      </x:c>
      <x:c r="FO39" s="1062" t="e">
        <x:f t="shared" si="96"/>
        <x:v>#VALUE!</x:v>
      </x:c>
      <x:c r="FP39" s="1062" t="e">
        <x:f t="shared" si="97"/>
        <x:v>#VALUE!</x:v>
      </x:c>
      <x:c r="FQ39" s="1063" t="e">
        <x:f t="shared" si="98"/>
        <x:v>#VALUE!</x:v>
      </x:c>
      <x:c r="FR39" s="1064" t="e">
        <x:f t="shared" si="99"/>
        <x:v>#VALUE!</x:v>
      </x:c>
      <x:c r="FS39" s="1065" t="str">
        <x:f t="shared" si="100"/>
        <x:v/>
      </x:c>
      <x:c r="FT39" s="1066" t="str">
        <x:f t="shared" si="101"/>
        <x:v/>
      </x:c>
      <x:c r="FU39" s="1105">
        <x:f t="shared" si="102"/>
        <x:v>0</x:v>
      </x:c>
      <x:c r="FV39" s="1106">
        <x:f t="shared" si="103"/>
        <x:v>0</x:v>
      </x:c>
      <x:c r="GA39" s="1975">
        <x:v>34</x:v>
      </x:c>
      <x:c r="GB39" s="1976">
        <x:v>7</x:v>
      </x:c>
      <x:c r="GC39" s="1977">
        <x:v>-0.25</x:v>
      </x:c>
      <x:c r="GD39" s="1978">
        <x:v>-0.5</x:v>
      </x:c>
      <x:c r="GE39" s="1979">
        <x:v>2.1724333224726999E-2</x:v>
      </x:c>
      <x:c r="GF39" s="1980" t="str">
        <x:f t="shared" si="104"/>
        <x:v>J90</x:v>
      </x:c>
      <x:c r="GG39" s="1453"/>
      <x:c r="GH39" s="1454"/>
      <x:c r="GI39" s="1453"/>
      <x:c r="GJ39" s="1454"/>
      <x:c r="GK39" s="533">
        <x:f t="shared" si="105"/>
        <x:v>414.25</x:v>
      </x:c>
      <x:c r="GL39" s="534">
        <x:f t="shared" si="106"/>
        <x:v>414.25067883243491</x:v>
      </x:c>
      <x:c r="GM39" s="535">
        <x:f>IF(ABS(GK39-GL39)&gt;='Job Info.'!$L$22,ABS(GK39-GL39),0)</x:f>
        <x:v>0</x:v>
      </x:c>
      <x:c r="HA39" s="1658" t="s">
        <x:v>1414</x:v>
      </x:c>
      <x:c r="HB39" s="1659">
        <x:v>1</x:v>
      </x:c>
      <x:c r="HC39" s="1659" t="s">
        <x:v>1980</x:v>
      </x:c>
      <x:c r="HD39" s="1660">
        <x:v>34</x:v>
      </x:c>
      <x:c r="HE39" s="1661">
        <x:v>6.25</x:v>
      </x:c>
      <x:c r="HF39" s="1659">
        <x:v>0</x:v>
      </x:c>
      <x:c r="HG39" s="1659">
        <x:v>1.375</x:v>
      </x:c>
      <x:c r="HH39" s="1659" t="s">
        <x:v>114</x:v>
      </x:c>
      <x:c r="HI39" s="1662" t="s">
        <x:v>117</x:v>
      </x:c>
      <x:c r="HJ39" s="1659" t="s">
        <x:v>117</x:v>
      </x:c>
      <x:c r="HK39" s="1659" t="s">
        <x:v>117</x:v>
      </x:c>
      <x:c r="HL39" s="1659">
        <x:v>3</x:v>
      </x:c>
      <x:c r="HM39" s="1659">
        <x:v>3</x:v>
      </x:c>
      <x:c r="HN39" s="1659" t="s">
        <x:v>117</x:v>
      </x:c>
      <x:c r="HO39" s="1659" t="s">
        <x:v>117</x:v>
      </x:c>
      <x:c r="HP39" s="1659" t="s">
        <x:v>117</x:v>
      </x:c>
      <x:c r="HQ39" s="1662" t="s">
        <x:v>117</x:v>
      </x:c>
      <x:c r="HR39" s="1659" t="s">
        <x:v>117</x:v>
      </x:c>
      <x:c r="HS39" s="1659" t="s">
        <x:v>117</x:v>
      </x:c>
      <x:c r="HT39" s="1659" t="s">
        <x:v>117</x:v>
      </x:c>
      <x:c r="HU39" s="1659" t="s">
        <x:v>117</x:v>
      </x:c>
      <x:c r="HV39" s="1659" t="s">
        <x:v>117</x:v>
      </x:c>
      <x:c r="HW39" s="1661" t="s">
        <x:v>117</x:v>
      </x:c>
      <x:c r="HX39" s="1661">
        <x:v>0</x:v>
      </x:c>
      <x:c r="HY39" s="1661" t="s">
        <x:v>117</x:v>
      </x:c>
      <x:c r="HZ39" s="1661" t="s">
        <x:v>117</x:v>
      </x:c>
      <x:c r="IA39" s="1661" t="s">
        <x:v>2125</x:v>
      </x:c>
      <x:c r="IB39" s="1661"/>
      <x:c r="IC39" s="1661"/>
      <x:c r="ID39" s="1661"/>
      <x:c r="IE39" s="1661"/>
      <x:c r="IF39" s="1663"/>
    </x:row>
    <x:row r="40" spans="1:240" ht="12.6" customHeight="1" x14ac:dyDescent="0.25">
      <x:c r="A40" s="1264" t="s">
        <x:v>1415</x:v>
      </x:c>
      <x:c r="B40" s="1265">
        <x:v>1</x:v>
      </x:c>
      <x:c r="C40" s="1265" t="s">
        <x:v>1979</x:v>
      </x:c>
      <x:c r="D40" s="1261">
        <x:v>40</x:v>
      </x:c>
      <x:c r="E40" s="1366">
        <x:v>3.125</x:v>
      </x:c>
      <x:c r="F40" s="1328">
        <x:v>0</x:v>
      </x:c>
      <x:c r="G40" s="1262">
        <x:v>1.375</x:v>
      </x:c>
      <x:c r="H40" s="1266" t="s">
        <x:v>114</x:v>
      </x:c>
      <x:c r="I40" s="2195">
        <x:v>0</x:v>
      </x:c>
      <x:c r="J40" s="2122">
        <x:v>0.5</x:v>
      </x:c>
      <x:c r="K40" s="2209" t="s">
        <x:v>114</x:v>
      </x:c>
      <x:c r="L40" s="1327">
        <x:v>3</x:v>
      </x:c>
      <x:c r="M40" s="1329">
        <x:v>3</x:v>
      </x:c>
      <x:c r="N40" s="1263" t="str">
        <x:f t="shared" si="4"/>
        <x:v/>
      </x:c>
      <x:c r="O40" s="1262" t="str">
        <x:f t="shared" si="5"/>
        <x:v/>
      </x:c>
      <x:c r="P40" s="1260" t="str">
        <x:f t="shared" si="6"/>
        <x:v/>
      </x:c>
      <x:c r="Q40" s="1261" t="str">
        <x:f t="shared" si="7"/>
        <x:v/>
      </x:c>
      <x:c r="R40" s="1262" t="str">
        <x:f t="shared" si="8"/>
        <x:v/>
      </x:c>
      <x:c r="S40" s="1375" t="str">
        <x:f t="shared" si="9"/>
        <x:v/>
      </x:c>
      <x:c r="T40" s="1328" t="str">
        <x:f t="shared" si="10"/>
        <x:v/>
      </x:c>
      <x:c r="U40" s="1262" t="str">
        <x:f t="shared" si="11"/>
        <x:v/>
      </x:c>
      <x:c r="V40" s="1261" t="str">
        <x:f t="shared" si="12"/>
        <x:v/>
      </x:c>
      <x:c r="W40" s="1262" t="str">
        <x:f t="shared" si="13"/>
        <x:v/>
      </x:c>
      <x:c r="X40" s="1329">
        <x:f t="shared" si="14"/>
        <x:v>0</x:v>
      </x:c>
      <x:c r="Y40" s="1377" t="str">
        <x:f t="shared" si="15"/>
        <x:v/>
      </x:c>
      <x:c r="Z40" s="1378" t="str">
        <x:f t="shared" si="16"/>
        <x:v/>
      </x:c>
      <x:c r="AA40" s="2159" t="s">
        <x:v>2126</x:v>
      </x:c>
      <x:c r="AC40" s="1226" t="b">
        <x:v>0</x:v>
      </x:c>
      <x:c r="AD40" s="525">
        <x:f t="shared" si="17"/>
        <x:v>1</x:v>
      </x:c>
      <x:c r="AE40" s="526">
        <x:f t="shared" si="18"/>
        <x:v>0</x:v>
      </x:c>
      <x:c r="AF40" s="526">
        <x:f t="shared" si="19"/>
        <x:v>0</x:v>
      </x:c>
      <x:c r="AG40" s="526">
        <x:f t="shared" si="20"/>
        <x:v>0</x:v>
      </x:c>
      <x:c r="AH40" s="527">
        <x:f t="shared" si="21"/>
        <x:v>0</x:v>
      </x:c>
      <x:c r="AI40" s="528" t="b">
        <x:v>0</x:v>
      </x:c>
      <x:c r="AJ40" s="284">
        <x:f t="shared" si="22"/>
        <x:v>30</x:v>
      </x:c>
      <x:c r="AK40" s="1063" t="str">
        <x:f t="shared" si="23"/>
        <x:v>K</x:v>
      </x:c>
      <x:c r="AL40" s="1202" t="str">
        <x:f t="shared" si="24"/>
        <x:v/>
      </x:c>
      <x:c r="AM40" s="1063">
        <x:f t="shared" si="25"/>
        <x:v>240</x:v>
      </x:c>
      <x:c r="AN40" s="1063">
        <x:f t="shared" si="26"/>
        <x:v>140</x:v>
      </x:c>
      <x:c r="AO40" s="1063" t="str">
        <x:f t="shared" si="27"/>
        <x:v/>
      </x:c>
      <x:c r="AP40" s="1063" t="b">
        <x:f>IF(ISERROR(AJ40),FALSE,IF(OR(AJ40=0,ISERROR(AL40),ISERROR(AM40),ISERROR(AN40),ISERROR(AO40)),FALSE,IF(AL40&lt;&gt;"",IF(ISERROR(VLOOKUP(SUBSTITUTE(SUBSTITUTE(C40,"R",""),"A",""),TblJoistSize!$A:$A,1,FALSE)),FALSE,TRUE),TRUE)))</x:f>
        <x:v>1</x:v>
      </x:c>
      <x:c r="AQ40" s="1305">
        <x:f t="shared" si="28"/>
        <x:v>5.375</x:v>
      </x:c>
      <x:c r="AR40" s="1305" t="b">
        <x:f t="shared" si="29"/>
        <x:v>0</x:v>
      </x:c>
      <x:c r="AS40" s="1305">
        <x:f t="shared" si="30"/>
        <x:v>4.5</x:v>
      </x:c>
      <x:c r="AT40" s="1305" t="b">
        <x:f t="shared" si="31"/>
        <x:v>0</x:v>
      </x:c>
      <x:c r="AU40" s="1203" t="str">
        <x:f t="shared" si="32"/>
        <x:v>K</x:v>
      </x:c>
      <x:c r="AV40" s="1063" t="str">
        <x:f t="shared" si="33"/>
        <x:v>K</x:v>
      </x:c>
      <x:c r="AW40" s="1063" t="str">
        <x:f t="shared" si="34"/>
        <x:v/>
      </x:c>
      <x:c r="AX40" s="1063" t="str">
        <x:f t="shared" si="107"/>
        <x:v>J91</x:v>
      </x:c>
      <x:c r="AY40" s="1306" t="b">
        <x:f t="shared" si="35"/>
        <x:v>0</x:v>
      </x:c>
      <x:c r="AZ40" s="1090" t="b">
        <x:f t="shared" si="36"/>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7"/>
        <x:v/>
      </x:c>
      <x:c r="CE40" s="935" t="str">
        <x:f t="shared" si="38"/>
        <x:v/>
      </x:c>
      <x:c r="CF40" s="1149"/>
      <x:c r="CG40" s="1150"/>
      <x:c r="CH40" s="738" t="str">
        <x:f t="shared" si="39"/>
        <x:v/>
      </x:c>
      <x:c r="CI40" s="739" t="str">
        <x:f t="shared" si="40"/>
        <x:v/>
      </x:c>
      <x:c r="CJ40" s="740" t="str">
        <x:f t="shared" si="41"/>
        <x:v/>
      </x:c>
      <x:c r="CK40" s="741" t="str">
        <x:f t="shared" si="42"/>
        <x:v/>
      </x:c>
      <x:c r="CL40" s="742" t="str">
        <x:f t="shared" si="43"/>
        <x:v/>
      </x:c>
      <x:c r="CM40" s="743" t="str">
        <x:f t="shared" si="44"/>
        <x:v/>
      </x:c>
      <x:c r="CN40" s="744" t="str">
        <x:f t="shared" si="45"/>
        <x:v/>
      </x:c>
      <x:c r="CO40" s="745" t="str">
        <x:f t="shared" si="46"/>
        <x:v/>
      </x:c>
      <x:c r="CP40" s="762" t="str">
        <x:f t="shared" si="47"/>
        <x:v/>
      </x:c>
      <x:c r="CQ40" s="763" t="str">
        <x:f t="shared" si="48"/>
        <x:v/>
      </x:c>
      <x:c r="CR40" s="953">
        <x:f t="shared" si="49"/>
        <x:v>2.5</x:v>
      </x:c>
      <x:c r="CS40" s="954">
        <x:f t="shared" si="50"/>
        <x:v>2.5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51"/>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52"/>
        <x:v>0</x:v>
      </x:c>
      <x:c r="DO40" s="1049">
        <x:f t="shared" si="53"/>
        <x:v>0</x:v>
      </x:c>
      <x:c r="DP40" s="1053" t="str">
        <x:f t="shared" si="54"/>
        <x:v/>
      </x:c>
      <x:c r="DQ40" s="1053" t="str">
        <x:f t="shared" si="55"/>
        <x:v/>
      </x:c>
      <x:c r="DR40" s="1053" t="str">
        <x:f t="shared" si="56"/>
        <x:v/>
      </x:c>
      <x:c r="DS40" s="1052">
        <x:f t="shared" si="57"/>
        <x:v>0</x:v>
      </x:c>
      <x:c r="DT40" s="1052">
        <x:f t="shared" si="58"/>
        <x:v>0</x:v>
      </x:c>
      <x:c r="DU40" s="1052" t="str">
        <x:f t="shared" si="59"/>
        <x:v/>
      </x:c>
      <x:c r="DV40" s="1053" t="str">
        <x:f t="shared" si="60"/>
        <x:v/>
      </x:c>
      <x:c r="DW40" s="1053" t="str">
        <x:f t="shared" si="61"/>
        <x:v/>
      </x:c>
      <x:c r="DX40" s="1269">
        <x:f t="shared" si="62"/>
        <x:v>0</x:v>
      </x:c>
      <x:c r="DY40" s="1053">
        <x:f t="shared" si="63"/>
        <x:v>0</x:v>
      </x:c>
      <x:c r="DZ40" s="1052">
        <x:f t="shared" si="64"/>
        <x:v>0</x:v>
      </x:c>
      <x:c r="EA40" s="1052" t="str">
        <x:f t="shared" si="65"/>
        <x:v/>
      </x:c>
      <x:c r="EB40" s="1053" t="str">
        <x:f t="shared" si="66"/>
        <x:v/>
      </x:c>
      <x:c r="EC40" s="1053" t="str">
        <x:f t="shared" si="67"/>
        <x:v/>
      </x:c>
      <x:c r="ED40" s="1269">
        <x:f t="shared" si="68"/>
        <x:v>0</x:v>
      </x:c>
      <x:c r="EE40" s="1090" t="str">
        <x:f t="shared" si="69"/>
        <x:v/>
      </x:c>
      <x:c r="EF40" s="1053" t="str">
        <x:f t="shared" si="70"/>
        <x:v/>
      </x:c>
      <x:c r="EG40" s="1053" t="str">
        <x:f t="shared" si="71"/>
        <x:v/>
      </x:c>
      <x:c r="EH40" s="1053" t="str">
        <x:f t="shared" si="72"/>
        <x:v>ERR</x:v>
      </x:c>
      <x:c r="EI40" s="1053" t="str">
        <x:f t="shared" si="73"/>
        <x:v>ERR</x:v>
      </x:c>
      <x:c r="EJ40" s="1053" t="str">
        <x:f t="shared" si="74"/>
        <x:v/>
      </x:c>
      <x:c r="EK40" s="1053" t="str">
        <x:f t="shared" si="74"/>
        <x:v/>
      </x:c>
      <x:c r="EL40" s="1090" t="str">
        <x:f t="shared" si="75"/>
        <x:v/>
      </x:c>
      <x:c r="EM40" s="1053" t="str">
        <x:f t="shared" si="76"/>
        <x:v/>
      </x:c>
      <x:c r="EN40" s="1053" t="str">
        <x:f t="shared" si="77"/>
        <x:v/>
      </x:c>
      <x:c r="EO40" s="1053" t="str">
        <x:f t="shared" si="78"/>
        <x:v>ERR</x:v>
      </x:c>
      <x:c r="EP40" s="1053" t="str">
        <x:f t="shared" si="79"/>
        <x:v>ERR</x:v>
      </x:c>
      <x:c r="EQ40" s="1053" t="str">
        <x:f t="shared" si="80"/>
        <x:v/>
      </x:c>
      <x:c r="ER40" s="1053" t="str">
        <x:f t="shared" si="80"/>
        <x:v/>
      </x:c>
      <x:c r="ES40" s="1053" t="str">
        <x:f t="shared" si="81"/>
        <x:v/>
      </x:c>
      <x:c r="ET40" s="1053" t="str">
        <x:f t="shared" si="82"/>
        <x:v/>
      </x:c>
      <x:c r="EU40" s="1061">
        <x:f t="shared" si="83"/>
        <x:v>3.5</x:v>
      </x:c>
      <x:c r="EV40" s="1055" t="str">
        <x:f t="shared" si="84"/>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5"/>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6"/>
        <x:v/>
      </x:c>
      <x:c r="FD40" s="1052">
        <x:f t="shared" si="108"/>
        <x:v>0</x:v>
      </x:c>
      <x:c r="FE40" s="1052">
        <x:f t="shared" si="87"/>
        <x:v>0</x:v>
      </x:c>
      <x:c r="FF40" s="1052">
        <x:f t="shared" si="88"/>
        <x:v>0</x:v>
      </x:c>
      <x:c r="FG40" s="1052" t="str">
        <x:f t="shared" si="89"/>
        <x:v/>
      </x:c>
      <x:c r="FH40" s="1053" t="str">
        <x:f t="shared" si="90"/>
        <x:v/>
      </x:c>
      <x:c r="FI40" s="1052">
        <x:f t="shared" si="109"/>
        <x:v>0</x:v>
      </x:c>
      <x:c r="FJ40" s="1052">
        <x:f t="shared" si="91"/>
        <x:v>0</x:v>
      </x:c>
      <x:c r="FK40" s="1052">
        <x:f t="shared" si="92"/>
        <x:v>0</x:v>
      </x:c>
      <x:c r="FL40" s="1052" t="str">
        <x:f t="shared" si="93"/>
        <x:v/>
      </x:c>
      <x:c r="FM40" s="1053" t="str">
        <x:f t="shared" si="94"/>
        <x:v/>
      </x:c>
      <x:c r="FN40" s="1053" t="e">
        <x:f t="shared" si="95"/>
        <x:v>#VALUE!</x:v>
      </x:c>
      <x:c r="FO40" s="1062" t="e">
        <x:f t="shared" si="96"/>
        <x:v>#VALUE!</x:v>
      </x:c>
      <x:c r="FP40" s="1062" t="e">
        <x:f t="shared" si="97"/>
        <x:v>#VALUE!</x:v>
      </x:c>
      <x:c r="FQ40" s="1063" t="e">
        <x:f t="shared" si="98"/>
        <x:v>#VALUE!</x:v>
      </x:c>
      <x:c r="FR40" s="1064" t="e">
        <x:f t="shared" si="99"/>
        <x:v>#VALUE!</x:v>
      </x:c>
      <x:c r="FS40" s="1065" t="str">
        <x:f t="shared" si="100"/>
        <x:v/>
      </x:c>
      <x:c r="FT40" s="1066" t="str">
        <x:f t="shared" si="101"/>
        <x:v/>
      </x:c>
      <x:c r="FU40" s="1105">
        <x:f t="shared" si="102"/>
        <x:v>0</x:v>
      </x:c>
      <x:c r="FV40" s="1106">
        <x:f t="shared" si="103"/>
        <x:v>0</x:v>
      </x:c>
      <x:c r="GA40" s="1975">
        <x:v>40</x:v>
      </x:c>
      <x:c r="GB40" s="1976">
        <x:v>3.875</x:v>
      </x:c>
      <x:c r="GC40" s="1977">
        <x:v>-0.25</x:v>
      </x:c>
      <x:c r="GD40" s="1978">
        <x:v>-0.5</x:v>
      </x:c>
      <x:c r="GE40" s="1979">
        <x:v>3.0095158834666E-2</x:v>
      </x:c>
      <x:c r="GF40" s="1980" t="str">
        <x:f t="shared" si="104"/>
        <x:v>J91</x:v>
      </x:c>
      <x:c r="GG40" s="1453"/>
      <x:c r="GH40" s="1454"/>
      <x:c r="GI40" s="1453"/>
      <x:c r="GJ40" s="1454"/>
      <x:c r="GK40" s="533">
        <x:f t="shared" si="105"/>
        <x:v>483.125</x:v>
      </x:c>
      <x:c r="GL40" s="534">
        <x:f t="shared" si="106"/>
        <x:v>483.12651935626201</x:v>
      </x:c>
      <x:c r="GM40" s="535">
        <x:f>IF(ABS(GK40-GL40)&gt;='Job Info.'!$L$22,ABS(GK40-GL40),0)</x:f>
        <x:v>0</x:v>
      </x:c>
      <x:c r="HA40" s="1658" t="s">
        <x:v>1415</x:v>
      </x:c>
      <x:c r="HB40" s="1659">
        <x:v>1</x:v>
      </x:c>
      <x:c r="HC40" s="1659" t="s">
        <x:v>1979</x:v>
      </x:c>
      <x:c r="HD40" s="1660">
        <x:v>40</x:v>
      </x:c>
      <x:c r="HE40" s="1661">
        <x:v>3.125</x:v>
      </x:c>
      <x:c r="HF40" s="1659">
        <x:v>0</x:v>
      </x:c>
      <x:c r="HG40" s="1659">
        <x:v>1.375</x:v>
      </x:c>
      <x:c r="HH40" s="1659" t="s">
        <x:v>114</x:v>
      </x:c>
      <x:c r="HI40" s="1662" t="s">
        <x:v>117</x:v>
      </x:c>
      <x:c r="HJ40" s="1659" t="s">
        <x:v>117</x:v>
      </x:c>
      <x:c r="HK40" s="1659" t="s">
        <x:v>117</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2126</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
        <x:v/>
      </x:c>
      <x:c r="G41" s="1262" t="str">
        <x:f t="shared" si="2"/>
        <x:v/>
      </x:c>
      <x:c r="H41" s="1266" t="str">
        <x:f t="shared" si="3"/>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4"/>
        <x:v/>
      </x:c>
      <x:c r="O41" s="1262" t="str">
        <x:f t="shared" si="5"/>
        <x:v/>
      </x:c>
      <x:c r="P41" s="1260" t="str">
        <x:f t="shared" si="6"/>
        <x:v/>
      </x:c>
      <x:c r="Q41" s="1261" t="str">
        <x:f t="shared" si="7"/>
        <x:v/>
      </x:c>
      <x:c r="R41" s="1262" t="str">
        <x:f t="shared" si="8"/>
        <x:v/>
      </x:c>
      <x:c r="S41" s="1375" t="str">
        <x:f t="shared" si="9"/>
        <x:v/>
      </x:c>
      <x:c r="T41" s="1328" t="str">
        <x:f t="shared" si="10"/>
        <x:v/>
      </x:c>
      <x:c r="U41" s="1262" t="str">
        <x:f t="shared" si="11"/>
        <x:v/>
      </x:c>
      <x:c r="V41" s="1261" t="str">
        <x:f t="shared" si="12"/>
        <x:v/>
      </x:c>
      <x:c r="W41" s="1262" t="str">
        <x:f t="shared" si="13"/>
        <x:v/>
      </x:c>
      <x:c r="X41" s="1329">
        <x:f t="shared" si="14"/>
        <x:v>0</x:v>
      </x:c>
      <x:c r="Y41" s="1377" t="str">
        <x:f t="shared" si="15"/>
        <x:v/>
      </x:c>
      <x:c r="Z41" s="1378" t="str">
        <x:f t="shared" si="16"/>
        <x:v/>
      </x:c>
      <x:c r="AA41" s="2159"/>
      <x:c r="AC41" s="1226" t="b">
        <x:v>0</x:v>
      </x:c>
      <x:c r="AD41" s="525">
        <x:f t="shared" si="17"/>
        <x:v>0</x:v>
      </x:c>
      <x:c r="AE41" s="526">
        <x:f t="shared" si="18"/>
        <x:v>0</x:v>
      </x:c>
      <x:c r="AF41" s="526">
        <x:f t="shared" si="19"/>
        <x:v>0</x:v>
      </x:c>
      <x:c r="AG41" s="526">
        <x:f t="shared" si="20"/>
        <x:v>0</x:v>
      </x:c>
      <x:c r="AH41" s="527">
        <x:f t="shared" si="21"/>
        <x:v>0</x:v>
      </x:c>
      <x:c r="AI41" s="528" t="b">
        <x:v>0</x:v>
      </x:c>
      <x:c r="AJ41" s="284">
        <x:f t="shared" si="22"/>
        <x:v>0</x:v>
      </x:c>
      <x:c r="AK41" s="1063" t="str">
        <x:f t="shared" si="23"/>
        <x:v/>
      </x:c>
      <x:c r="AL41" s="1202" t="str">
        <x:f t="shared" si="24"/>
        <x:v/>
      </x:c>
      <x:c r="AM41" s="1063" t="str">
        <x:f t="shared" si="25"/>
        <x:v/>
      </x:c>
      <x:c r="AN41" s="1063" t="str">
        <x:f t="shared" si="26"/>
        <x:v/>
      </x:c>
      <x:c r="AO41" s="1063" t="str">
        <x:f t="shared" si="27"/>
        <x:v/>
      </x:c>
      <x:c r="AP41" s="1063" t="b">
        <x:f>IF(ISERROR(AJ41),FALSE,IF(OR(AJ41=0,ISERROR(AL41),ISERROR(AM41),ISERROR(AN41),ISERROR(AO41)),FALSE,IF(AL41&lt;&gt;"",IF(ISERROR(VLOOKUP(SUBSTITUTE(SUBSTITUTE(C41,"R",""),"A",""),TblJoistSize!$A:$A,1,FALSE)),FALSE,TRUE),TRUE)))</x:f>
        <x:v>0</x:v>
      </x:c>
      <x:c r="AQ41" s="1305" t="e">
        <x:f t="shared" si="28"/>
        <x:v>#N/A</x:v>
      </x:c>
      <x:c r="AR41" s="1305" t="b">
        <x:f t="shared" si="29"/>
        <x:v>0</x:v>
      </x:c>
      <x:c r="AS41" s="1305" t="e">
        <x:f t="shared" si="30"/>
        <x:v>#N/A</x:v>
      </x:c>
      <x:c r="AT41" s="1305" t="b">
        <x:f t="shared" si="31"/>
        <x:v>0</x:v>
      </x:c>
      <x:c r="AU41" s="1203" t="str">
        <x:f t="shared" si="32"/>
        <x:v/>
      </x:c>
      <x:c r="AV41" s="1063" t="str">
        <x:f t="shared" si="33"/>
        <x:v/>
      </x:c>
      <x:c r="AW41" s="1063" t="str">
        <x:f t="shared" si="34"/>
        <x:v/>
      </x:c>
      <x:c r="AX41" s="1063" t="str">
        <x:f t="shared" si="107"/>
        <x:v/>
      </x:c>
      <x:c r="AY41" s="1306" t="b">
        <x:f t="shared" si="35"/>
        <x:v>0</x:v>
      </x:c>
      <x:c r="AZ41" s="1090" t="str">
        <x:f t="shared" si="36"/>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7"/>
        <x:v/>
      </x:c>
      <x:c r="CE41" s="935" t="str">
        <x:f t="shared" si="38"/>
        <x:v/>
      </x:c>
      <x:c r="CF41" s="1149"/>
      <x:c r="CG41" s="1150"/>
      <x:c r="CH41" s="738" t="str">
        <x:f t="shared" si="39"/>
        <x:v/>
      </x:c>
      <x:c r="CI41" s="739" t="str">
        <x:f t="shared" si="40"/>
        <x:v/>
      </x:c>
      <x:c r="CJ41" s="740" t="str">
        <x:f t="shared" si="41"/>
        <x:v/>
      </x:c>
      <x:c r="CK41" s="741" t="str">
        <x:f t="shared" si="42"/>
        <x:v/>
      </x:c>
      <x:c r="CL41" s="742" t="str">
        <x:f t="shared" si="43"/>
        <x:v/>
      </x:c>
      <x:c r="CM41" s="743" t="str">
        <x:f t="shared" si="44"/>
        <x:v/>
      </x:c>
      <x:c r="CN41" s="744" t="str">
        <x:f t="shared" si="45"/>
        <x:v/>
      </x:c>
      <x:c r="CO41" s="745" t="str">
        <x:f t="shared" si="46"/>
        <x:v/>
      </x:c>
      <x:c r="CP41" s="762" t="str">
        <x:f t="shared" si="47"/>
        <x:v/>
      </x:c>
      <x:c r="CQ41" s="763" t="str">
        <x:f t="shared" si="48"/>
        <x:v/>
      </x:c>
      <x:c r="CR41" s="953" t="str">
        <x:f t="shared" si="49"/>
        <x:v/>
      </x:c>
      <x:c r="CS41" s="954" t="str">
        <x:f t="shared" si="50"/>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51"/>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52"/>
        <x:v>0</x:v>
      </x:c>
      <x:c r="DO41" s="1049">
        <x:f t="shared" si="53"/>
        <x:v>0</x:v>
      </x:c>
      <x:c r="DP41" s="1053" t="str">
        <x:f t="shared" si="54"/>
        <x:v/>
      </x:c>
      <x:c r="DQ41" s="1053" t="str">
        <x:f t="shared" si="55"/>
        <x:v/>
      </x:c>
      <x:c r="DR41" s="1053" t="str">
        <x:f t="shared" si="56"/>
        <x:v/>
      </x:c>
      <x:c r="DS41" s="1052">
        <x:f t="shared" si="57"/>
        <x:v>0</x:v>
      </x:c>
      <x:c r="DT41" s="1052">
        <x:f t="shared" si="58"/>
        <x:v>0</x:v>
      </x:c>
      <x:c r="DU41" s="1052" t="str">
        <x:f t="shared" si="59"/>
        <x:v/>
      </x:c>
      <x:c r="DV41" s="1053" t="str">
        <x:f t="shared" si="60"/>
        <x:v/>
      </x:c>
      <x:c r="DW41" s="1053" t="str">
        <x:f t="shared" si="61"/>
        <x:v/>
      </x:c>
      <x:c r="DX41" s="1269">
        <x:f t="shared" si="62"/>
        <x:v>0</x:v>
      </x:c>
      <x:c r="DY41" s="1053">
        <x:f t="shared" si="63"/>
        <x:v>0</x:v>
      </x:c>
      <x:c r="DZ41" s="1052">
        <x:f t="shared" si="64"/>
        <x:v>0</x:v>
      </x:c>
      <x:c r="EA41" s="1052" t="str">
        <x:f t="shared" si="65"/>
        <x:v/>
      </x:c>
      <x:c r="EB41" s="1053" t="str">
        <x:f t="shared" si="66"/>
        <x:v/>
      </x:c>
      <x:c r="EC41" s="1053" t="str">
        <x:f t="shared" si="67"/>
        <x:v/>
      </x:c>
      <x:c r="ED41" s="1269">
        <x:f t="shared" si="68"/>
        <x:v>0</x:v>
      </x:c>
      <x:c r="EE41" s="1090" t="str">
        <x:f t="shared" si="69"/>
        <x:v/>
      </x:c>
      <x:c r="EF41" s="1053" t="str">
        <x:f t="shared" si="70"/>
        <x:v/>
      </x:c>
      <x:c r="EG41" s="1053" t="str">
        <x:f t="shared" si="71"/>
        <x:v/>
      </x:c>
      <x:c r="EH41" s="1053" t="e">
        <x:f t="shared" si="72"/>
        <x:v>#N/A</x:v>
      </x:c>
      <x:c r="EI41" s="1053" t="e">
        <x:f t="shared" si="73"/>
        <x:v>#N/A</x:v>
      </x:c>
      <x:c r="EJ41" s="1053" t="str">
        <x:f t="shared" si="74"/>
        <x:v/>
      </x:c>
      <x:c r="EK41" s="1053" t="str">
        <x:f t="shared" si="74"/>
        <x:v/>
      </x:c>
      <x:c r="EL41" s="1090" t="str">
        <x:f t="shared" si="75"/>
        <x:v/>
      </x:c>
      <x:c r="EM41" s="1053" t="str">
        <x:f t="shared" si="76"/>
        <x:v/>
      </x:c>
      <x:c r="EN41" s="1053" t="str">
        <x:f t="shared" si="77"/>
        <x:v/>
      </x:c>
      <x:c r="EO41" s="1053" t="e">
        <x:f t="shared" si="78"/>
        <x:v>#N/A</x:v>
      </x:c>
      <x:c r="EP41" s="1053" t="e">
        <x:f t="shared" si="79"/>
        <x:v>#N/A</x:v>
      </x:c>
      <x:c r="EQ41" s="1053" t="str">
        <x:f t="shared" si="80"/>
        <x:v/>
      </x:c>
      <x:c r="ER41" s="1053" t="str">
        <x:f t="shared" si="80"/>
        <x:v/>
      </x:c>
      <x:c r="ES41" s="1053" t="str">
        <x:f t="shared" si="81"/>
        <x:v/>
      </x:c>
      <x:c r="ET41" s="1053" t="str">
        <x:f t="shared" si="82"/>
        <x:v/>
      </x:c>
      <x:c r="EU41" s="1061" t="str">
        <x:f t="shared" si="83"/>
        <x:v/>
      </x:c>
      <x:c r="EV41" s="1055" t="str">
        <x:f t="shared" si="84"/>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5"/>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6"/>
        <x:v/>
      </x:c>
      <x:c r="FD41" s="1052">
        <x:f t="shared" si="108"/>
        <x:v>0</x:v>
      </x:c>
      <x:c r="FE41" s="1052">
        <x:f t="shared" si="87"/>
        <x:v>0</x:v>
      </x:c>
      <x:c r="FF41" s="1052">
        <x:f t="shared" si="88"/>
        <x:v>0</x:v>
      </x:c>
      <x:c r="FG41" s="1052" t="str">
        <x:f t="shared" si="89"/>
        <x:v/>
      </x:c>
      <x:c r="FH41" s="1053" t="str">
        <x:f t="shared" si="90"/>
        <x:v/>
      </x:c>
      <x:c r="FI41" s="1052">
        <x:f t="shared" si="109"/>
        <x:v>0</x:v>
      </x:c>
      <x:c r="FJ41" s="1052">
        <x:f t="shared" si="91"/>
        <x:v>0</x:v>
      </x:c>
      <x:c r="FK41" s="1052">
        <x:f t="shared" si="92"/>
        <x:v>0</x:v>
      </x:c>
      <x:c r="FL41" s="1052" t="str">
        <x:f t="shared" si="93"/>
        <x:v/>
      </x:c>
      <x:c r="FM41" s="1053" t="str">
        <x:f t="shared" si="94"/>
        <x:v/>
      </x:c>
      <x:c r="FN41" s="1053" t="e">
        <x:f t="shared" si="95"/>
        <x:v>#VALUE!</x:v>
      </x:c>
      <x:c r="FO41" s="1062" t="e">
        <x:f t="shared" si="96"/>
        <x:v>#VALUE!</x:v>
      </x:c>
      <x:c r="FP41" s="1062" t="e">
        <x:f t="shared" si="97"/>
        <x:v>#VALUE!</x:v>
      </x:c>
      <x:c r="FQ41" s="1063" t="e">
        <x:f t="shared" si="98"/>
        <x:v>#VALUE!</x:v>
      </x:c>
      <x:c r="FR41" s="1064" t="e">
        <x:f t="shared" si="99"/>
        <x:v>#VALUE!</x:v>
      </x:c>
      <x:c r="FS41" s="1065" t="str">
        <x:f t="shared" si="100"/>
        <x:v/>
      </x:c>
      <x:c r="FT41" s="1066" t="str">
        <x:f t="shared" si="101"/>
        <x:v/>
      </x:c>
      <x:c r="FU41" s="1105">
        <x:f t="shared" si="102"/>
        <x:v>0</x:v>
      </x:c>
      <x:c r="FV41" s="1106">
        <x:f t="shared" si="103"/>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104"/>
        <x:v/>
      </x:c>
      <x:c r="GG41" s="1453"/>
      <x:c r="GH41" s="1454"/>
      <x:c r="GI41" s="1453"/>
      <x:c r="GJ41" s="1454"/>
      <x:c r="GK41" s="533">
        <x:f t="shared" si="105"/>
        <x:v>0</x:v>
      </x:c>
      <x:c r="GL41" s="534" t="e">
        <x:f t="shared" si="106"/>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
        <x:v/>
      </x:c>
      <x:c r="G42" s="1262" t="str">
        <x:f t="shared" si="2"/>
        <x:v/>
      </x:c>
      <x:c r="H42" s="1266" t="str">
        <x:f t="shared" si="3"/>
        <x:v/>
      </x:c>
      <x:c r="I42" s="1261" t="str">
        <x:f t="shared" si="114"/>
        <x:v/>
      </x:c>
      <x:c r="J42" s="1262" t="str">
        <x:f t="shared" si="115"/>
        <x:v/>
      </x:c>
      <x:c r="K42" s="1370" t="str">
        <x:f t="shared" si="116"/>
        <x:v/>
      </x:c>
      <x:c r="L42" s="1327" t="str">
        <x:f t="shared" si="117"/>
        <x:v/>
      </x:c>
      <x:c r="M42" s="1329" t="str">
        <x:f t="shared" si="117"/>
        <x:v/>
      </x:c>
      <x:c r="N42" s="1263" t="str">
        <x:f t="shared" si="4"/>
        <x:v/>
      </x:c>
      <x:c r="O42" s="1262" t="str">
        <x:f t="shared" si="5"/>
        <x:v/>
      </x:c>
      <x:c r="P42" s="1260" t="str">
        <x:f t="shared" si="6"/>
        <x:v/>
      </x:c>
      <x:c r="Q42" s="1261" t="str">
        <x:f t="shared" si="7"/>
        <x:v/>
      </x:c>
      <x:c r="R42" s="1262" t="str">
        <x:f t="shared" si="8"/>
        <x:v/>
      </x:c>
      <x:c r="S42" s="1375" t="str">
        <x:f t="shared" si="9"/>
        <x:v/>
      </x:c>
      <x:c r="T42" s="1328" t="str">
        <x:f t="shared" si="10"/>
        <x:v/>
      </x:c>
      <x:c r="U42" s="1262" t="str">
        <x:f t="shared" si="11"/>
        <x:v/>
      </x:c>
      <x:c r="V42" s="1261" t="str">
        <x:f t="shared" si="12"/>
        <x:v/>
      </x:c>
      <x:c r="W42" s="1262" t="str">
        <x:f t="shared" si="13"/>
        <x:v/>
      </x:c>
      <x:c r="X42" s="1329">
        <x:f t="shared" si="14"/>
        <x:v>0</x:v>
      </x:c>
      <x:c r="Y42" s="1377" t="str">
        <x:f t="shared" si="15"/>
        <x:v/>
      </x:c>
      <x:c r="Z42" s="1378" t="str">
        <x:f t="shared" si="16"/>
        <x:v/>
      </x:c>
      <x:c r="AA42" s="2159"/>
      <x:c r="AC42" s="1226" t="b">
        <x:v>0</x:v>
      </x:c>
      <x:c r="AD42" s="525">
        <x:f t="shared" si="17"/>
        <x:v>0</x:v>
      </x:c>
      <x:c r="AE42" s="526">
        <x:f t="shared" si="18"/>
        <x:v>0</x:v>
      </x:c>
      <x:c r="AF42" s="526">
        <x:f t="shared" si="19"/>
        <x:v>0</x:v>
      </x:c>
      <x:c r="AG42" s="526">
        <x:f t="shared" si="20"/>
        <x:v>0</x:v>
      </x:c>
      <x:c r="AH42" s="527">
        <x:f t="shared" si="21"/>
        <x:v>0</x:v>
      </x:c>
      <x:c r="AI42" s="528" t="b">
        <x:v>0</x:v>
      </x:c>
      <x:c r="AJ42" s="284">
        <x:f t="shared" si="22"/>
        <x:v>0</x:v>
      </x:c>
      <x:c r="AK42" s="1063" t="str">
        <x:f t="shared" si="23"/>
        <x:v/>
      </x:c>
      <x:c r="AL42" s="1202" t="str">
        <x:f t="shared" si="24"/>
        <x:v/>
      </x:c>
      <x:c r="AM42" s="1063" t="str">
        <x:f t="shared" si="25"/>
        <x:v/>
      </x:c>
      <x:c r="AN42" s="1063" t="str">
        <x:f t="shared" si="26"/>
        <x:v/>
      </x:c>
      <x:c r="AO42" s="1063" t="str">
        <x:f t="shared" si="27"/>
        <x:v/>
      </x:c>
      <x:c r="AP42" s="1063" t="b">
        <x:f>IF(ISERROR(AJ42),FALSE,IF(OR(AJ42=0,ISERROR(AL42),ISERROR(AM42),ISERROR(AN42),ISERROR(AO42)),FALSE,IF(AL42&lt;&gt;"",IF(ISERROR(VLOOKUP(SUBSTITUTE(SUBSTITUTE(C42,"R",""),"A",""),TblJoistSize!$A:$A,1,FALSE)),FALSE,TRUE),TRUE)))</x:f>
        <x:v>0</x:v>
      </x:c>
      <x:c r="AQ42" s="1305" t="e">
        <x:f t="shared" si="28"/>
        <x:v>#N/A</x:v>
      </x:c>
      <x:c r="AR42" s="1305" t="b">
        <x:f t="shared" si="29"/>
        <x:v>0</x:v>
      </x:c>
      <x:c r="AS42" s="1305" t="e">
        <x:f t="shared" si="30"/>
        <x:v>#N/A</x:v>
      </x:c>
      <x:c r="AT42" s="1305" t="b">
        <x:f t="shared" si="31"/>
        <x:v>0</x:v>
      </x:c>
      <x:c r="AU42" s="1203" t="str">
        <x:f t="shared" si="32"/>
        <x:v/>
      </x:c>
      <x:c r="AV42" s="1063" t="str">
        <x:f t="shared" si="33"/>
        <x:v/>
      </x:c>
      <x:c r="AW42" s="1063" t="str">
        <x:f t="shared" si="34"/>
        <x:v/>
      </x:c>
      <x:c r="AX42" s="1063" t="str">
        <x:f t="shared" si="107"/>
        <x:v/>
      </x:c>
      <x:c r="AY42" s="1306" t="b">
        <x:f t="shared" si="35"/>
        <x:v>0</x:v>
      </x:c>
      <x:c r="AZ42" s="1090" t="str">
        <x:f t="shared" si="36"/>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7"/>
        <x:v/>
      </x:c>
      <x:c r="CE42" s="935" t="str">
        <x:f t="shared" si="38"/>
        <x:v/>
      </x:c>
      <x:c r="CF42" s="1149"/>
      <x:c r="CG42" s="1150"/>
      <x:c r="CH42" s="738" t="str">
        <x:f t="shared" si="39"/>
        <x:v/>
      </x:c>
      <x:c r="CI42" s="739" t="str">
        <x:f t="shared" si="40"/>
        <x:v/>
      </x:c>
      <x:c r="CJ42" s="740" t="str">
        <x:f t="shared" si="41"/>
        <x:v/>
      </x:c>
      <x:c r="CK42" s="741" t="str">
        <x:f t="shared" si="42"/>
        <x:v/>
      </x:c>
      <x:c r="CL42" s="742" t="str">
        <x:f t="shared" si="43"/>
        <x:v/>
      </x:c>
      <x:c r="CM42" s="743" t="str">
        <x:f t="shared" si="44"/>
        <x:v/>
      </x:c>
      <x:c r="CN42" s="744" t="str">
        <x:f t="shared" si="45"/>
        <x:v/>
      </x:c>
      <x:c r="CO42" s="745" t="str">
        <x:f t="shared" si="46"/>
        <x:v/>
      </x:c>
      <x:c r="CP42" s="762" t="str">
        <x:f t="shared" si="47"/>
        <x:v/>
      </x:c>
      <x:c r="CQ42" s="763" t="str">
        <x:f t="shared" si="48"/>
        <x:v/>
      </x:c>
      <x:c r="CR42" s="953" t="str">
        <x:f t="shared" si="49"/>
        <x:v/>
      </x:c>
      <x:c r="CS42" s="954" t="str">
        <x:f t="shared" si="50"/>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51"/>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52"/>
        <x:v>0</x:v>
      </x:c>
      <x:c r="DO42" s="1049">
        <x:f t="shared" si="53"/>
        <x:v>0</x:v>
      </x:c>
      <x:c r="DP42" s="1053" t="str">
        <x:f t="shared" si="54"/>
        <x:v/>
      </x:c>
      <x:c r="DQ42" s="1053" t="str">
        <x:f t="shared" si="55"/>
        <x:v/>
      </x:c>
      <x:c r="DR42" s="1053" t="str">
        <x:f t="shared" si="56"/>
        <x:v/>
      </x:c>
      <x:c r="DS42" s="1052">
        <x:f t="shared" si="57"/>
        <x:v>0</x:v>
      </x:c>
      <x:c r="DT42" s="1052">
        <x:f t="shared" si="58"/>
        <x:v>0</x:v>
      </x:c>
      <x:c r="DU42" s="1052" t="str">
        <x:f t="shared" si="59"/>
        <x:v/>
      </x:c>
      <x:c r="DV42" s="1053" t="str">
        <x:f t="shared" si="60"/>
        <x:v/>
      </x:c>
      <x:c r="DW42" s="1053" t="str">
        <x:f t="shared" si="61"/>
        <x:v/>
      </x:c>
      <x:c r="DX42" s="1269">
        <x:f t="shared" si="62"/>
        <x:v>0</x:v>
      </x:c>
      <x:c r="DY42" s="1053">
        <x:f t="shared" si="63"/>
        <x:v>0</x:v>
      </x:c>
      <x:c r="DZ42" s="1052">
        <x:f t="shared" si="64"/>
        <x:v>0</x:v>
      </x:c>
      <x:c r="EA42" s="1052" t="str">
        <x:f t="shared" si="65"/>
        <x:v/>
      </x:c>
      <x:c r="EB42" s="1053" t="str">
        <x:f t="shared" si="66"/>
        <x:v/>
      </x:c>
      <x:c r="EC42" s="1053" t="str">
        <x:f t="shared" si="67"/>
        <x:v/>
      </x:c>
      <x:c r="ED42" s="1269">
        <x:f t="shared" si="68"/>
        <x:v>0</x:v>
      </x:c>
      <x:c r="EE42" s="1090" t="str">
        <x:f t="shared" si="69"/>
        <x:v/>
      </x:c>
      <x:c r="EF42" s="1053" t="str">
        <x:f t="shared" si="70"/>
        <x:v/>
      </x:c>
      <x:c r="EG42" s="1053" t="str">
        <x:f t="shared" si="71"/>
        <x:v/>
      </x:c>
      <x:c r="EH42" s="1053" t="e">
        <x:f t="shared" si="72"/>
        <x:v>#N/A</x:v>
      </x:c>
      <x:c r="EI42" s="1053" t="e">
        <x:f t="shared" si="73"/>
        <x:v>#N/A</x:v>
      </x:c>
      <x:c r="EJ42" s="1053" t="str">
        <x:f t="shared" si="74"/>
        <x:v/>
      </x:c>
      <x:c r="EK42" s="1053" t="str">
        <x:f t="shared" si="74"/>
        <x:v/>
      </x:c>
      <x:c r="EL42" s="1090" t="str">
        <x:f t="shared" si="75"/>
        <x:v/>
      </x:c>
      <x:c r="EM42" s="1053" t="str">
        <x:f t="shared" si="76"/>
        <x:v/>
      </x:c>
      <x:c r="EN42" s="1053" t="str">
        <x:f t="shared" si="77"/>
        <x:v/>
      </x:c>
      <x:c r="EO42" s="1053" t="e">
        <x:f t="shared" si="78"/>
        <x:v>#N/A</x:v>
      </x:c>
      <x:c r="EP42" s="1053" t="e">
        <x:f t="shared" si="79"/>
        <x:v>#N/A</x:v>
      </x:c>
      <x:c r="EQ42" s="1053" t="str">
        <x:f t="shared" si="80"/>
        <x:v/>
      </x:c>
      <x:c r="ER42" s="1053" t="str">
        <x:f t="shared" si="80"/>
        <x:v/>
      </x:c>
      <x:c r="ES42" s="1053" t="str">
        <x:f t="shared" si="81"/>
        <x:v/>
      </x:c>
      <x:c r="ET42" s="1053" t="str">
        <x:f t="shared" si="82"/>
        <x:v/>
      </x:c>
      <x:c r="EU42" s="1061" t="str">
        <x:f t="shared" si="83"/>
        <x:v/>
      </x:c>
      <x:c r="EV42" s="1055" t="str">
        <x:f t="shared" si="84"/>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5"/>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6"/>
        <x:v/>
      </x:c>
      <x:c r="FD42" s="1052">
        <x:f t="shared" si="108"/>
        <x:v>0</x:v>
      </x:c>
      <x:c r="FE42" s="1052">
        <x:f t="shared" si="87"/>
        <x:v>0</x:v>
      </x:c>
      <x:c r="FF42" s="1052">
        <x:f t="shared" si="88"/>
        <x:v>0</x:v>
      </x:c>
      <x:c r="FG42" s="1052" t="str">
        <x:f t="shared" si="89"/>
        <x:v/>
      </x:c>
      <x:c r="FH42" s="1053" t="str">
        <x:f t="shared" si="90"/>
        <x:v/>
      </x:c>
      <x:c r="FI42" s="1052">
        <x:f t="shared" si="109"/>
        <x:v>0</x:v>
      </x:c>
      <x:c r="FJ42" s="1052">
        <x:f t="shared" si="91"/>
        <x:v>0</x:v>
      </x:c>
      <x:c r="FK42" s="1052">
        <x:f t="shared" si="92"/>
        <x:v>0</x:v>
      </x:c>
      <x:c r="FL42" s="1052" t="str">
        <x:f t="shared" si="93"/>
        <x:v/>
      </x:c>
      <x:c r="FM42" s="1053" t="str">
        <x:f t="shared" si="94"/>
        <x:v/>
      </x:c>
      <x:c r="FN42" s="1053" t="e">
        <x:f t="shared" si="95"/>
        <x:v>#VALUE!</x:v>
      </x:c>
      <x:c r="FO42" s="1062" t="e">
        <x:f t="shared" si="96"/>
        <x:v>#VALUE!</x:v>
      </x:c>
      <x:c r="FP42" s="1062" t="e">
        <x:f t="shared" si="97"/>
        <x:v>#VALUE!</x:v>
      </x:c>
      <x:c r="FQ42" s="1063" t="e">
        <x:f t="shared" si="98"/>
        <x:v>#VALUE!</x:v>
      </x:c>
      <x:c r="FR42" s="1064" t="e">
        <x:f t="shared" si="99"/>
        <x:v>#VALUE!</x:v>
      </x:c>
      <x:c r="FS42" s="1065" t="str">
        <x:f t="shared" si="100"/>
        <x:v/>
      </x:c>
      <x:c r="FT42" s="1066" t="str">
        <x:f t="shared" si="101"/>
        <x:v/>
      </x:c>
      <x:c r="FU42" s="1105">
        <x:f t="shared" si="102"/>
        <x:v>0</x:v>
      </x:c>
      <x:c r="FV42" s="1106">
        <x:f t="shared" si="103"/>
        <x:v>0</x:v>
      </x:c>
      <x:c r="GA42" s="1975" t="str">
        <x:f t="shared" si="118"/>
        <x:v/>
      </x:c>
      <x:c r="GB42" s="1976" t="str">
        <x:f t="shared" si="119"/>
        <x:v/>
      </x:c>
      <x:c r="GC42" s="1977" t="str">
        <x:f t="shared" si="120"/>
        <x:v/>
      </x:c>
      <x:c r="GD42" s="1978" t="str">
        <x:f t="shared" si="121"/>
        <x:v/>
      </x:c>
      <x:c r="GE42" s="1979" t="str">
        <x:f t="shared" si="122"/>
        <x:v/>
      </x:c>
      <x:c r="GF42" s="1980" t="str">
        <x:f t="shared" si="104"/>
        <x:v/>
      </x:c>
      <x:c r="GG42" s="1453"/>
      <x:c r="GH42" s="1454"/>
      <x:c r="GI42" s="1453"/>
      <x:c r="GJ42" s="1454"/>
      <x:c r="GK42" s="533">
        <x:f t="shared" si="105"/>
        <x:v>0</x:v>
      </x:c>
      <x:c r="GL42" s="534" t="e">
        <x:f t="shared" si="106"/>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
        <x:v/>
      </x:c>
      <x:c r="G43" s="1262" t="str">
        <x:f t="shared" si="2"/>
        <x:v/>
      </x:c>
      <x:c r="H43" s="1266" t="str">
        <x:f t="shared" si="3"/>
        <x:v/>
      </x:c>
      <x:c r="I43" s="1261" t="str">
        <x:f t="shared" si="114"/>
        <x:v/>
      </x:c>
      <x:c r="J43" s="1262" t="str">
        <x:f t="shared" si="115"/>
        <x:v/>
      </x:c>
      <x:c r="K43" s="1370" t="str">
        <x:f t="shared" si="116"/>
        <x:v/>
      </x:c>
      <x:c r="L43" s="1327" t="str">
        <x:f t="shared" si="117"/>
        <x:v/>
      </x:c>
      <x:c r="M43" s="1329" t="str">
        <x:f t="shared" si="117"/>
        <x:v/>
      </x:c>
      <x:c r="N43" s="1263" t="str">
        <x:f t="shared" si="4"/>
        <x:v/>
      </x:c>
      <x:c r="O43" s="1262" t="str">
        <x:f t="shared" si="5"/>
        <x:v/>
      </x:c>
      <x:c r="P43" s="1260" t="str">
        <x:f t="shared" si="6"/>
        <x:v/>
      </x:c>
      <x:c r="Q43" s="1261" t="str">
        <x:f t="shared" si="7"/>
        <x:v/>
      </x:c>
      <x:c r="R43" s="1262" t="str">
        <x:f t="shared" si="8"/>
        <x:v/>
      </x:c>
      <x:c r="S43" s="1375" t="str">
        <x:f t="shared" si="9"/>
        <x:v/>
      </x:c>
      <x:c r="T43" s="1328" t="str">
        <x:f t="shared" si="10"/>
        <x:v/>
      </x:c>
      <x:c r="U43" s="1262" t="str">
        <x:f t="shared" si="11"/>
        <x:v/>
      </x:c>
      <x:c r="V43" s="1261" t="str">
        <x:f t="shared" si="12"/>
        <x:v/>
      </x:c>
      <x:c r="W43" s="1262" t="str">
        <x:f t="shared" si="13"/>
        <x:v/>
      </x:c>
      <x:c r="X43" s="1329">
        <x:f t="shared" si="14"/>
        <x:v>0</x:v>
      </x:c>
      <x:c r="Y43" s="1377" t="str">
        <x:f t="shared" si="15"/>
        <x:v/>
      </x:c>
      <x:c r="Z43" s="1378" t="str">
        <x:f t="shared" si="16"/>
        <x:v/>
      </x:c>
      <x:c r="AA43" s="2159"/>
      <x:c r="AC43" s="1226" t="b">
        <x:v>0</x:v>
      </x:c>
      <x:c r="AD43" s="525">
        <x:f t="shared" si="17"/>
        <x:v>0</x:v>
      </x:c>
      <x:c r="AE43" s="526">
        <x:f t="shared" si="18"/>
        <x:v>0</x:v>
      </x:c>
      <x:c r="AF43" s="526">
        <x:f t="shared" si="19"/>
        <x:v>0</x:v>
      </x:c>
      <x:c r="AG43" s="526">
        <x:f t="shared" si="20"/>
        <x:v>0</x:v>
      </x:c>
      <x:c r="AH43" s="527">
        <x:f t="shared" si="21"/>
        <x:v>0</x:v>
      </x:c>
      <x:c r="AI43" s="528" t="b">
        <x:v>0</x:v>
      </x:c>
      <x:c r="AJ43" s="284">
        <x:f t="shared" si="22"/>
        <x:v>0</x:v>
      </x:c>
      <x:c r="AK43" s="1063" t="str">
        <x:f t="shared" si="23"/>
        <x:v/>
      </x:c>
      <x:c r="AL43" s="1202" t="str">
        <x:f t="shared" si="24"/>
        <x:v/>
      </x:c>
      <x:c r="AM43" s="1063" t="str">
        <x:f t="shared" si="25"/>
        <x:v/>
      </x:c>
      <x:c r="AN43" s="1063" t="str">
        <x:f t="shared" si="26"/>
        <x:v/>
      </x:c>
      <x:c r="AO43" s="1063" t="str">
        <x:f t="shared" si="27"/>
        <x:v/>
      </x:c>
      <x:c r="AP43" s="1063" t="b">
        <x:f>IF(ISERROR(AJ43),FALSE,IF(OR(AJ43=0,ISERROR(AL43),ISERROR(AM43),ISERROR(AN43),ISERROR(AO43)),FALSE,IF(AL43&lt;&gt;"",IF(ISERROR(VLOOKUP(SUBSTITUTE(SUBSTITUTE(C43,"R",""),"A",""),TblJoistSize!$A:$A,1,FALSE)),FALSE,TRUE),TRUE)))</x:f>
        <x:v>0</x:v>
      </x:c>
      <x:c r="AQ43" s="1305" t="e">
        <x:f t="shared" si="28"/>
        <x:v>#N/A</x:v>
      </x:c>
      <x:c r="AR43" s="1305" t="b">
        <x:f t="shared" si="29"/>
        <x:v>0</x:v>
      </x:c>
      <x:c r="AS43" s="1305" t="e">
        <x:f t="shared" si="30"/>
        <x:v>#N/A</x:v>
      </x:c>
      <x:c r="AT43" s="1305" t="b">
        <x:f t="shared" si="31"/>
        <x:v>0</x:v>
      </x:c>
      <x:c r="AU43" s="1203" t="str">
        <x:f t="shared" si="32"/>
        <x:v/>
      </x:c>
      <x:c r="AV43" s="1063" t="str">
        <x:f t="shared" si="33"/>
        <x:v/>
      </x:c>
      <x:c r="AW43" s="1063" t="str">
        <x:f t="shared" si="34"/>
        <x:v/>
      </x:c>
      <x:c r="AX43" s="1063" t="str">
        <x:f t="shared" si="107"/>
        <x:v/>
      </x:c>
      <x:c r="AY43" s="1306" t="b">
        <x:f t="shared" si="35"/>
        <x:v>0</x:v>
      </x:c>
      <x:c r="AZ43" s="1090" t="str">
        <x:f t="shared" si="36"/>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7"/>
        <x:v/>
      </x:c>
      <x:c r="CE43" s="935" t="str">
        <x:f t="shared" si="38"/>
        <x:v/>
      </x:c>
      <x:c r="CF43" s="1149"/>
      <x:c r="CG43" s="1150"/>
      <x:c r="CH43" s="738" t="str">
        <x:f t="shared" si="39"/>
        <x:v/>
      </x:c>
      <x:c r="CI43" s="739" t="str">
        <x:f t="shared" si="40"/>
        <x:v/>
      </x:c>
      <x:c r="CJ43" s="740" t="str">
        <x:f t="shared" si="41"/>
        <x:v/>
      </x:c>
      <x:c r="CK43" s="741" t="str">
        <x:f t="shared" si="42"/>
        <x:v/>
      </x:c>
      <x:c r="CL43" s="742" t="str">
        <x:f t="shared" si="43"/>
        <x:v/>
      </x:c>
      <x:c r="CM43" s="743" t="str">
        <x:f t="shared" si="44"/>
        <x:v/>
      </x:c>
      <x:c r="CN43" s="744" t="str">
        <x:f t="shared" si="45"/>
        <x:v/>
      </x:c>
      <x:c r="CO43" s="745" t="str">
        <x:f t="shared" si="46"/>
        <x:v/>
      </x:c>
      <x:c r="CP43" s="762" t="str">
        <x:f t="shared" si="47"/>
        <x:v/>
      </x:c>
      <x:c r="CQ43" s="763" t="str">
        <x:f t="shared" si="48"/>
        <x:v/>
      </x:c>
      <x:c r="CR43" s="953" t="str">
        <x:f t="shared" si="49"/>
        <x:v/>
      </x:c>
      <x:c r="CS43" s="954" t="str">
        <x:f t="shared" si="50"/>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51"/>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52"/>
        <x:v>0</x:v>
      </x:c>
      <x:c r="DO43" s="1049">
        <x:f t="shared" si="53"/>
        <x:v>0</x:v>
      </x:c>
      <x:c r="DP43" s="1053" t="str">
        <x:f t="shared" si="54"/>
        <x:v/>
      </x:c>
      <x:c r="DQ43" s="1053" t="str">
        <x:f t="shared" si="55"/>
        <x:v/>
      </x:c>
      <x:c r="DR43" s="1053" t="str">
        <x:f t="shared" si="56"/>
        <x:v/>
      </x:c>
      <x:c r="DS43" s="1052">
        <x:f t="shared" si="57"/>
        <x:v>0</x:v>
      </x:c>
      <x:c r="DT43" s="1052">
        <x:f t="shared" si="58"/>
        <x:v>0</x:v>
      </x:c>
      <x:c r="DU43" s="1052" t="str">
        <x:f t="shared" si="59"/>
        <x:v/>
      </x:c>
      <x:c r="DV43" s="1053" t="str">
        <x:f t="shared" si="60"/>
        <x:v/>
      </x:c>
      <x:c r="DW43" s="1053" t="str">
        <x:f t="shared" si="61"/>
        <x:v/>
      </x:c>
      <x:c r="DX43" s="1269">
        <x:f t="shared" si="62"/>
        <x:v>0</x:v>
      </x:c>
      <x:c r="DY43" s="1053">
        <x:f t="shared" si="63"/>
        <x:v>0</x:v>
      </x:c>
      <x:c r="DZ43" s="1052">
        <x:f t="shared" si="64"/>
        <x:v>0</x:v>
      </x:c>
      <x:c r="EA43" s="1052" t="str">
        <x:f t="shared" si="65"/>
        <x:v/>
      </x:c>
      <x:c r="EB43" s="1053" t="str">
        <x:f t="shared" si="66"/>
        <x:v/>
      </x:c>
      <x:c r="EC43" s="1053" t="str">
        <x:f t="shared" si="67"/>
        <x:v/>
      </x:c>
      <x:c r="ED43" s="1269">
        <x:f t="shared" si="68"/>
        <x:v>0</x:v>
      </x:c>
      <x:c r="EE43" s="1090" t="str">
        <x:f t="shared" si="69"/>
        <x:v/>
      </x:c>
      <x:c r="EF43" s="1053" t="str">
        <x:f t="shared" si="70"/>
        <x:v/>
      </x:c>
      <x:c r="EG43" s="1053" t="str">
        <x:f t="shared" si="71"/>
        <x:v/>
      </x:c>
      <x:c r="EH43" s="1053" t="e">
        <x:f t="shared" si="72"/>
        <x:v>#N/A</x:v>
      </x:c>
      <x:c r="EI43" s="1053" t="e">
        <x:f t="shared" si="73"/>
        <x:v>#N/A</x:v>
      </x:c>
      <x:c r="EJ43" s="1053" t="str">
        <x:f t="shared" si="74"/>
        <x:v/>
      </x:c>
      <x:c r="EK43" s="1053" t="str">
        <x:f t="shared" si="74"/>
        <x:v/>
      </x:c>
      <x:c r="EL43" s="1090" t="str">
        <x:f t="shared" si="75"/>
        <x:v/>
      </x:c>
      <x:c r="EM43" s="1053" t="str">
        <x:f t="shared" si="76"/>
        <x:v/>
      </x:c>
      <x:c r="EN43" s="1053" t="str">
        <x:f t="shared" si="77"/>
        <x:v/>
      </x:c>
      <x:c r="EO43" s="1053" t="e">
        <x:f t="shared" si="78"/>
        <x:v>#N/A</x:v>
      </x:c>
      <x:c r="EP43" s="1053" t="e">
        <x:f t="shared" si="79"/>
        <x:v>#N/A</x:v>
      </x:c>
      <x:c r="EQ43" s="1053" t="str">
        <x:f t="shared" si="80"/>
        <x:v/>
      </x:c>
      <x:c r="ER43" s="1053" t="str">
        <x:f t="shared" si="80"/>
        <x:v/>
      </x:c>
      <x:c r="ES43" s="1053" t="str">
        <x:f t="shared" si="81"/>
        <x:v/>
      </x:c>
      <x:c r="ET43" s="1053" t="str">
        <x:f t="shared" si="82"/>
        <x:v/>
      </x:c>
      <x:c r="EU43" s="1061" t="str">
        <x:f t="shared" si="83"/>
        <x:v/>
      </x:c>
      <x:c r="EV43" s="1055" t="str">
        <x:f t="shared" si="84"/>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5"/>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6"/>
        <x:v/>
      </x:c>
      <x:c r="FD43" s="1052">
        <x:f t="shared" si="108"/>
        <x:v>0</x:v>
      </x:c>
      <x:c r="FE43" s="1052">
        <x:f t="shared" si="87"/>
        <x:v>0</x:v>
      </x:c>
      <x:c r="FF43" s="1052">
        <x:f t="shared" si="88"/>
        <x:v>0</x:v>
      </x:c>
      <x:c r="FG43" s="1052" t="str">
        <x:f t="shared" si="89"/>
        <x:v/>
      </x:c>
      <x:c r="FH43" s="1053" t="str">
        <x:f t="shared" si="90"/>
        <x:v/>
      </x:c>
      <x:c r="FI43" s="1052">
        <x:f t="shared" si="109"/>
        <x:v>0</x:v>
      </x:c>
      <x:c r="FJ43" s="1052">
        <x:f t="shared" si="91"/>
        <x:v>0</x:v>
      </x:c>
      <x:c r="FK43" s="1052">
        <x:f t="shared" si="92"/>
        <x:v>0</x:v>
      </x:c>
      <x:c r="FL43" s="1052" t="str">
        <x:f t="shared" si="93"/>
        <x:v/>
      </x:c>
      <x:c r="FM43" s="1053" t="str">
        <x:f t="shared" si="94"/>
        <x:v/>
      </x:c>
      <x:c r="FN43" s="1053" t="e">
        <x:f t="shared" si="95"/>
        <x:v>#VALUE!</x:v>
      </x:c>
      <x:c r="FO43" s="1062" t="e">
        <x:f t="shared" si="96"/>
        <x:v>#VALUE!</x:v>
      </x:c>
      <x:c r="FP43" s="1062" t="e">
        <x:f t="shared" si="97"/>
        <x:v>#VALUE!</x:v>
      </x:c>
      <x:c r="FQ43" s="1063" t="e">
        <x:f t="shared" si="98"/>
        <x:v>#VALUE!</x:v>
      </x:c>
      <x:c r="FR43" s="1064" t="e">
        <x:f t="shared" si="99"/>
        <x:v>#VALUE!</x:v>
      </x:c>
      <x:c r="FS43" s="1065" t="str">
        <x:f t="shared" si="100"/>
        <x:v/>
      </x:c>
      <x:c r="FT43" s="1066" t="str">
        <x:f t="shared" si="101"/>
        <x:v/>
      </x:c>
      <x:c r="FU43" s="1105">
        <x:f t="shared" si="102"/>
        <x:v>0</x:v>
      </x:c>
      <x:c r="FV43" s="1106">
        <x:f t="shared" si="103"/>
        <x:v>0</x:v>
      </x:c>
      <x:c r="GA43" s="1975" t="str">
        <x:f t="shared" si="118"/>
        <x:v/>
      </x:c>
      <x:c r="GB43" s="1976" t="str">
        <x:f t="shared" si="119"/>
        <x:v/>
      </x:c>
      <x:c r="GC43" s="1977" t="str">
        <x:f t="shared" si="120"/>
        <x:v/>
      </x:c>
      <x:c r="GD43" s="1978" t="str">
        <x:f t="shared" si="121"/>
        <x:v/>
      </x:c>
      <x:c r="GE43" s="1979" t="str">
        <x:f t="shared" si="122"/>
        <x:v/>
      </x:c>
      <x:c r="GF43" s="1980" t="str">
        <x:f t="shared" si="104"/>
        <x:v/>
      </x:c>
      <x:c r="GG43" s="1453"/>
      <x:c r="GH43" s="1454"/>
      <x:c r="GI43" s="1453"/>
      <x:c r="GJ43" s="1454"/>
      <x:c r="GK43" s="533">
        <x:f t="shared" si="105"/>
        <x:v>0</x:v>
      </x:c>
      <x:c r="GL43" s="534" t="e">
        <x:f t="shared" si="106"/>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
        <x:v/>
      </x:c>
      <x:c r="G44" s="1262" t="str">
        <x:f t="shared" si="2"/>
        <x:v/>
      </x:c>
      <x:c r="H44" s="1266" t="str">
        <x:f t="shared" si="3"/>
        <x:v/>
      </x:c>
      <x:c r="I44" s="1261" t="str">
        <x:f t="shared" si="114"/>
        <x:v/>
      </x:c>
      <x:c r="J44" s="1262" t="str">
        <x:f t="shared" si="115"/>
        <x:v/>
      </x:c>
      <x:c r="K44" s="1370" t="str">
        <x:f t="shared" si="116"/>
        <x:v/>
      </x:c>
      <x:c r="L44" s="1327" t="str">
        <x:f t="shared" si="117"/>
        <x:v/>
      </x:c>
      <x:c r="M44" s="1329" t="str">
        <x:f t="shared" si="117"/>
        <x:v/>
      </x:c>
      <x:c r="N44" s="1263" t="str">
        <x:f t="shared" si="4"/>
        <x:v/>
      </x:c>
      <x:c r="O44" s="1262" t="str">
        <x:f t="shared" si="5"/>
        <x:v/>
      </x:c>
      <x:c r="P44" s="1260" t="str">
        <x:f t="shared" si="6"/>
        <x:v/>
      </x:c>
      <x:c r="Q44" s="1261" t="str">
        <x:f t="shared" si="7"/>
        <x:v/>
      </x:c>
      <x:c r="R44" s="1262" t="str">
        <x:f t="shared" si="8"/>
        <x:v/>
      </x:c>
      <x:c r="S44" s="1375" t="str">
        <x:f t="shared" si="9"/>
        <x:v/>
      </x:c>
      <x:c r="T44" s="1328" t="str">
        <x:f t="shared" si="10"/>
        <x:v/>
      </x:c>
      <x:c r="U44" s="1262" t="str">
        <x:f t="shared" si="11"/>
        <x:v/>
      </x:c>
      <x:c r="V44" s="1261" t="str">
        <x:f t="shared" si="12"/>
        <x:v/>
      </x:c>
      <x:c r="W44" s="1262" t="str">
        <x:f t="shared" si="13"/>
        <x:v/>
      </x:c>
      <x:c r="X44" s="1329">
        <x:f t="shared" si="14"/>
        <x:v>0</x:v>
      </x:c>
      <x:c r="Y44" s="1377" t="str">
        <x:f t="shared" si="15"/>
        <x:v/>
      </x:c>
      <x:c r="Z44" s="1378" t="str">
        <x:f t="shared" si="16"/>
        <x:v/>
      </x:c>
      <x:c r="AA44" s="2159"/>
      <x:c r="AC44" s="1226" t="b">
        <x:v>0</x:v>
      </x:c>
      <x:c r="AD44" s="525">
        <x:f t="shared" si="17"/>
        <x:v>0</x:v>
      </x:c>
      <x:c r="AE44" s="526">
        <x:f t="shared" si="18"/>
        <x:v>0</x:v>
      </x:c>
      <x:c r="AF44" s="526">
        <x:f t="shared" si="19"/>
        <x:v>0</x:v>
      </x:c>
      <x:c r="AG44" s="526">
        <x:f t="shared" si="20"/>
        <x:v>0</x:v>
      </x:c>
      <x:c r="AH44" s="527">
        <x:f t="shared" si="21"/>
        <x:v>0</x:v>
      </x:c>
      <x:c r="AI44" s="528" t="b">
        <x:v>0</x:v>
      </x:c>
      <x:c r="AJ44" s="284">
        <x:f t="shared" si="22"/>
        <x:v>0</x:v>
      </x:c>
      <x:c r="AK44" s="1063" t="str">
        <x:f t="shared" si="23"/>
        <x:v/>
      </x:c>
      <x:c r="AL44" s="1202" t="str">
        <x:f t="shared" si="24"/>
        <x:v/>
      </x:c>
      <x:c r="AM44" s="1063" t="str">
        <x:f t="shared" si="25"/>
        <x:v/>
      </x:c>
      <x:c r="AN44" s="1063" t="str">
        <x:f t="shared" si="26"/>
        <x:v/>
      </x:c>
      <x:c r="AO44" s="1063" t="str">
        <x:f t="shared" si="27"/>
        <x:v/>
      </x:c>
      <x:c r="AP44" s="1063" t="b">
        <x:f>IF(ISERROR(AJ44),FALSE,IF(OR(AJ44=0,ISERROR(AL44),ISERROR(AM44),ISERROR(AN44),ISERROR(AO44)),FALSE,IF(AL44&lt;&gt;"",IF(ISERROR(VLOOKUP(SUBSTITUTE(SUBSTITUTE(C44,"R",""),"A",""),TblJoistSize!$A:$A,1,FALSE)),FALSE,TRUE),TRUE)))</x:f>
        <x:v>0</x:v>
      </x:c>
      <x:c r="AQ44" s="1305" t="e">
        <x:f t="shared" si="28"/>
        <x:v>#N/A</x:v>
      </x:c>
      <x:c r="AR44" s="1305" t="b">
        <x:f t="shared" si="29"/>
        <x:v>0</x:v>
      </x:c>
      <x:c r="AS44" s="1305" t="e">
        <x:f t="shared" si="30"/>
        <x:v>#N/A</x:v>
      </x:c>
      <x:c r="AT44" s="1305" t="b">
        <x:f t="shared" si="31"/>
        <x:v>0</x:v>
      </x:c>
      <x:c r="AU44" s="1203" t="str">
        <x:f t="shared" si="32"/>
        <x:v/>
      </x:c>
      <x:c r="AV44" s="1063" t="str">
        <x:f t="shared" si="33"/>
        <x:v/>
      </x:c>
      <x:c r="AW44" s="1063" t="str">
        <x:f t="shared" si="34"/>
        <x:v/>
      </x:c>
      <x:c r="AX44" s="1063" t="str">
        <x:f t="shared" si="107"/>
        <x:v/>
      </x:c>
      <x:c r="AY44" s="1306" t="b">
        <x:f t="shared" si="35"/>
        <x:v>0</x:v>
      </x:c>
      <x:c r="AZ44" s="1090" t="str">
        <x:f t="shared" si="36"/>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7"/>
        <x:v/>
      </x:c>
      <x:c r="CE44" s="935" t="str">
        <x:f t="shared" si="38"/>
        <x:v/>
      </x:c>
      <x:c r="CF44" s="1149"/>
      <x:c r="CG44" s="1150"/>
      <x:c r="CH44" s="738" t="str">
        <x:f t="shared" si="39"/>
        <x:v/>
      </x:c>
      <x:c r="CI44" s="739" t="str">
        <x:f t="shared" si="40"/>
        <x:v/>
      </x:c>
      <x:c r="CJ44" s="740" t="str">
        <x:f t="shared" si="41"/>
        <x:v/>
      </x:c>
      <x:c r="CK44" s="741" t="str">
        <x:f t="shared" si="42"/>
        <x:v/>
      </x:c>
      <x:c r="CL44" s="742" t="str">
        <x:f t="shared" si="43"/>
        <x:v/>
      </x:c>
      <x:c r="CM44" s="743" t="str">
        <x:f t="shared" si="44"/>
        <x:v/>
      </x:c>
      <x:c r="CN44" s="744" t="str">
        <x:f t="shared" si="45"/>
        <x:v/>
      </x:c>
      <x:c r="CO44" s="745" t="str">
        <x:f t="shared" si="46"/>
        <x:v/>
      </x:c>
      <x:c r="CP44" s="762" t="str">
        <x:f t="shared" si="47"/>
        <x:v/>
      </x:c>
      <x:c r="CQ44" s="763" t="str">
        <x:f t="shared" si="48"/>
        <x:v/>
      </x:c>
      <x:c r="CR44" s="953" t="str">
        <x:f t="shared" si="49"/>
        <x:v/>
      </x:c>
      <x:c r="CS44" s="954" t="str">
        <x:f t="shared" si="50"/>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51"/>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52"/>
        <x:v>0</x:v>
      </x:c>
      <x:c r="DO44" s="1049">
        <x:f t="shared" si="53"/>
        <x:v>0</x:v>
      </x:c>
      <x:c r="DP44" s="1053" t="str">
        <x:f t="shared" si="54"/>
        <x:v/>
      </x:c>
      <x:c r="DQ44" s="1053" t="str">
        <x:f t="shared" si="55"/>
        <x:v/>
      </x:c>
      <x:c r="DR44" s="1053" t="str">
        <x:f t="shared" si="56"/>
        <x:v/>
      </x:c>
      <x:c r="DS44" s="1052">
        <x:f t="shared" si="57"/>
        <x:v>0</x:v>
      </x:c>
      <x:c r="DT44" s="1052">
        <x:f t="shared" si="58"/>
        <x:v>0</x:v>
      </x:c>
      <x:c r="DU44" s="1052" t="str">
        <x:f t="shared" si="59"/>
        <x:v/>
      </x:c>
      <x:c r="DV44" s="1053" t="str">
        <x:f t="shared" si="60"/>
        <x:v/>
      </x:c>
      <x:c r="DW44" s="1053" t="str">
        <x:f t="shared" si="61"/>
        <x:v/>
      </x:c>
      <x:c r="DX44" s="1269">
        <x:f t="shared" si="62"/>
        <x:v>0</x:v>
      </x:c>
      <x:c r="DY44" s="1053">
        <x:f t="shared" si="63"/>
        <x:v>0</x:v>
      </x:c>
      <x:c r="DZ44" s="1052">
        <x:f t="shared" si="64"/>
        <x:v>0</x:v>
      </x:c>
      <x:c r="EA44" s="1052" t="str">
        <x:f t="shared" si="65"/>
        <x:v/>
      </x:c>
      <x:c r="EB44" s="1053" t="str">
        <x:f t="shared" si="66"/>
        <x:v/>
      </x:c>
      <x:c r="EC44" s="1053" t="str">
        <x:f t="shared" si="67"/>
        <x:v/>
      </x:c>
      <x:c r="ED44" s="1269">
        <x:f t="shared" si="68"/>
        <x:v>0</x:v>
      </x:c>
      <x:c r="EE44" s="1090" t="str">
        <x:f t="shared" si="69"/>
        <x:v/>
      </x:c>
      <x:c r="EF44" s="1053" t="str">
        <x:f t="shared" si="70"/>
        <x:v/>
      </x:c>
      <x:c r="EG44" s="1053" t="str">
        <x:f t="shared" si="71"/>
        <x:v/>
      </x:c>
      <x:c r="EH44" s="1053" t="e">
        <x:f t="shared" si="72"/>
        <x:v>#N/A</x:v>
      </x:c>
      <x:c r="EI44" s="1053" t="e">
        <x:f t="shared" si="73"/>
        <x:v>#N/A</x:v>
      </x:c>
      <x:c r="EJ44" s="1053" t="str">
        <x:f t="shared" si="74"/>
        <x:v/>
      </x:c>
      <x:c r="EK44" s="1053" t="str">
        <x:f t="shared" si="74"/>
        <x:v/>
      </x:c>
      <x:c r="EL44" s="1090" t="str">
        <x:f t="shared" si="75"/>
        <x:v/>
      </x:c>
      <x:c r="EM44" s="1053" t="str">
        <x:f t="shared" si="76"/>
        <x:v/>
      </x:c>
      <x:c r="EN44" s="1053" t="str">
        <x:f t="shared" si="77"/>
        <x:v/>
      </x:c>
      <x:c r="EO44" s="1053" t="e">
        <x:f t="shared" si="78"/>
        <x:v>#N/A</x:v>
      </x:c>
      <x:c r="EP44" s="1053" t="e">
        <x:f t="shared" si="79"/>
        <x:v>#N/A</x:v>
      </x:c>
      <x:c r="EQ44" s="1053" t="str">
        <x:f t="shared" si="80"/>
        <x:v/>
      </x:c>
      <x:c r="ER44" s="1053" t="str">
        <x:f t="shared" si="80"/>
        <x:v/>
      </x:c>
      <x:c r="ES44" s="1053" t="str">
        <x:f t="shared" si="81"/>
        <x:v/>
      </x:c>
      <x:c r="ET44" s="1053" t="str">
        <x:f t="shared" si="82"/>
        <x:v/>
      </x:c>
      <x:c r="EU44" s="1061" t="str">
        <x:f t="shared" si="83"/>
        <x:v/>
      </x:c>
      <x:c r="EV44" s="1055" t="str">
        <x:f t="shared" si="84"/>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5"/>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6"/>
        <x:v/>
      </x:c>
      <x:c r="FD44" s="1052">
        <x:f t="shared" si="108"/>
        <x:v>0</x:v>
      </x:c>
      <x:c r="FE44" s="1052">
        <x:f t="shared" si="87"/>
        <x:v>0</x:v>
      </x:c>
      <x:c r="FF44" s="1052">
        <x:f t="shared" si="88"/>
        <x:v>0</x:v>
      </x:c>
      <x:c r="FG44" s="1052" t="str">
        <x:f t="shared" si="89"/>
        <x:v/>
      </x:c>
      <x:c r="FH44" s="1053" t="str">
        <x:f t="shared" si="90"/>
        <x:v/>
      </x:c>
      <x:c r="FI44" s="1052">
        <x:f t="shared" si="109"/>
        <x:v>0</x:v>
      </x:c>
      <x:c r="FJ44" s="1052">
        <x:f t="shared" si="91"/>
        <x:v>0</x:v>
      </x:c>
      <x:c r="FK44" s="1052">
        <x:f t="shared" si="92"/>
        <x:v>0</x:v>
      </x:c>
      <x:c r="FL44" s="1052" t="str">
        <x:f t="shared" si="93"/>
        <x:v/>
      </x:c>
      <x:c r="FM44" s="1053" t="str">
        <x:f t="shared" si="94"/>
        <x:v/>
      </x:c>
      <x:c r="FN44" s="1053" t="e">
        <x:f t="shared" si="95"/>
        <x:v>#VALUE!</x:v>
      </x:c>
      <x:c r="FO44" s="1062" t="e">
        <x:f t="shared" si="96"/>
        <x:v>#VALUE!</x:v>
      </x:c>
      <x:c r="FP44" s="1062" t="e">
        <x:f t="shared" si="97"/>
        <x:v>#VALUE!</x:v>
      </x:c>
      <x:c r="FQ44" s="1063" t="e">
        <x:f t="shared" si="98"/>
        <x:v>#VALUE!</x:v>
      </x:c>
      <x:c r="FR44" s="1064" t="e">
        <x:f t="shared" si="99"/>
        <x:v>#VALUE!</x:v>
      </x:c>
      <x:c r="FS44" s="1065" t="str">
        <x:f t="shared" si="100"/>
        <x:v/>
      </x:c>
      <x:c r="FT44" s="1066" t="str">
        <x:f t="shared" si="101"/>
        <x:v/>
      </x:c>
      <x:c r="FU44" s="1105">
        <x:f t="shared" si="102"/>
        <x:v>0</x:v>
      </x:c>
      <x:c r="FV44" s="1106">
        <x:f t="shared" si="103"/>
        <x:v>0</x:v>
      </x:c>
      <x:c r="GA44" s="1975" t="str">
        <x:f t="shared" si="118"/>
        <x:v/>
      </x:c>
      <x:c r="GB44" s="1976" t="str">
        <x:f t="shared" si="119"/>
        <x:v/>
      </x:c>
      <x:c r="GC44" s="1977" t="str">
        <x:f t="shared" si="120"/>
        <x:v/>
      </x:c>
      <x:c r="GD44" s="1978" t="str">
        <x:f t="shared" si="121"/>
        <x:v/>
      </x:c>
      <x:c r="GE44" s="1979" t="str">
        <x:f t="shared" si="122"/>
        <x:v/>
      </x:c>
      <x:c r="GF44" s="1980" t="str">
        <x:f t="shared" si="104"/>
        <x:v/>
      </x:c>
      <x:c r="GG44" s="1453"/>
      <x:c r="GH44" s="1454"/>
      <x:c r="GI44" s="1453"/>
      <x:c r="GJ44" s="1454"/>
      <x:c r="GK44" s="533">
        <x:f t="shared" si="105"/>
        <x:v>0</x:v>
      </x:c>
      <x:c r="GL44" s="534" t="e">
        <x:f t="shared" si="106"/>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7"/>
        <x:v>0</x:v>
      </x:c>
      <x:c r="AE45" s="526">
        <x:f t="shared" si="18"/>
        <x:v>0</x:v>
      </x:c>
      <x:c r="AF45" s="526">
        <x:f t="shared" si="19"/>
        <x:v>0</x:v>
      </x:c>
      <x:c r="AG45" s="526">
        <x:f t="shared" si="20"/>
        <x:v>0</x:v>
      </x:c>
      <x:c r="AH45" s="527">
        <x:f t="shared" si="21"/>
        <x:v>0</x:v>
      </x:c>
      <x:c r="AI45" s="528" t="b">
        <x:v>0</x:v>
      </x:c>
      <x:c r="AJ45" s="284">
        <x:f t="shared" si="22"/>
        <x:v>0</x:v>
      </x:c>
      <x:c r="AK45" s="1063" t="str">
        <x:f t="shared" si="23"/>
        <x:v/>
      </x:c>
      <x:c r="AL45" s="1202" t="str">
        <x:f t="shared" si="24"/>
        <x:v/>
      </x:c>
      <x:c r="AM45" s="1063" t="str">
        <x:f t="shared" si="25"/>
        <x:v/>
      </x:c>
      <x:c r="AN45" s="1063" t="str">
        <x:f t="shared" si="26"/>
        <x:v/>
      </x:c>
      <x:c r="AO45" s="1063" t="str">
        <x:f t="shared" si="27"/>
        <x:v/>
      </x:c>
      <x:c r="AP45" s="1063" t="b">
        <x:f>IF(ISERROR(AJ45),FALSE,IF(OR(AJ45=0,ISERROR(AL45),ISERROR(AM45),ISERROR(AN45),ISERROR(AO45)),FALSE,IF(AL45&lt;&gt;"",IF(ISERROR(VLOOKUP(SUBSTITUTE(SUBSTITUTE(C45,"R",""),"A",""),TblJoistSize!$A:$A,1,FALSE)),FALSE,TRUE),TRUE)))</x:f>
        <x:v>0</x:v>
      </x:c>
      <x:c r="AQ45" s="1305" t="e">
        <x:f t="shared" si="28"/>
        <x:v>#N/A</x:v>
      </x:c>
      <x:c r="AR45" s="1305" t="b">
        <x:f t="shared" si="29"/>
        <x:v>0</x:v>
      </x:c>
      <x:c r="AS45" s="1305" t="e">
        <x:f t="shared" si="30"/>
        <x:v>#N/A</x:v>
      </x:c>
      <x:c r="AT45" s="1305" t="b">
        <x:f t="shared" si="31"/>
        <x:v>0</x:v>
      </x:c>
      <x:c r="AU45" s="1203" t="str">
        <x:f t="shared" si="32"/>
        <x:v/>
      </x:c>
      <x:c r="AV45" s="1063" t="str">
        <x:f t="shared" si="33"/>
        <x:v/>
      </x:c>
      <x:c r="AW45" s="1063" t="str">
        <x:f t="shared" si="34"/>
        <x:v/>
      </x:c>
      <x:c r="AX45" s="1063" t="str">
        <x:f t="shared" si="107"/>
        <x:v/>
      </x:c>
      <x:c r="AY45" s="1306" t="b">
        <x:f t="shared" si="35"/>
        <x:v>0</x:v>
      </x:c>
      <x:c r="AZ45" s="1090" t="str">
        <x:f t="shared" si="36"/>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7"/>
        <x:v/>
      </x:c>
      <x:c r="CE45" s="942" t="str">
        <x:f t="shared" si="38"/>
        <x:v/>
      </x:c>
      <x:c r="CF45" s="1151"/>
      <x:c r="CG45" s="1152"/>
      <x:c r="CH45" s="748" t="str">
        <x:f t="shared" si="39"/>
        <x:v/>
      </x:c>
      <x:c r="CI45" s="749" t="str">
        <x:f t="shared" si="40"/>
        <x:v/>
      </x:c>
      <x:c r="CJ45" s="750" t="str">
        <x:f t="shared" si="41"/>
        <x:v/>
      </x:c>
      <x:c r="CK45" s="751" t="str">
        <x:f t="shared" si="42"/>
        <x:v/>
      </x:c>
      <x:c r="CL45" s="752" t="str">
        <x:f t="shared" si="43"/>
        <x:v/>
      </x:c>
      <x:c r="CM45" s="753" t="str">
        <x:f t="shared" si="44"/>
        <x:v/>
      </x:c>
      <x:c r="CN45" s="754" t="str">
        <x:f t="shared" si="45"/>
        <x:v/>
      </x:c>
      <x:c r="CO45" s="755" t="str">
        <x:f t="shared" si="46"/>
        <x:v/>
      </x:c>
      <x:c r="CP45" s="764" t="str">
        <x:f t="shared" si="47"/>
        <x:v/>
      </x:c>
      <x:c r="CQ45" s="765" t="str">
        <x:f t="shared" si="48"/>
        <x:v/>
      </x:c>
      <x:c r="CR45" s="955" t="str">
        <x:f t="shared" si="49"/>
        <x:v/>
      </x:c>
      <x:c r="CS45" s="956" t="str">
        <x:f t="shared" si="50"/>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51"/>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52"/>
        <x:v>0</x:v>
      </x:c>
      <x:c r="DO45" s="1049">
        <x:f t="shared" si="53"/>
        <x:v>0</x:v>
      </x:c>
      <x:c r="DP45" s="1053" t="str">
        <x:f t="shared" si="54"/>
        <x:v/>
      </x:c>
      <x:c r="DQ45" s="1053" t="str">
        <x:f t="shared" si="55"/>
        <x:v/>
      </x:c>
      <x:c r="DR45" s="1053" t="str">
        <x:f t="shared" si="56"/>
        <x:v/>
      </x:c>
      <x:c r="DS45" s="1052">
        <x:f t="shared" si="57"/>
        <x:v>0</x:v>
      </x:c>
      <x:c r="DT45" s="1052">
        <x:f t="shared" si="58"/>
        <x:v>0</x:v>
      </x:c>
      <x:c r="DU45" s="1052" t="str">
        <x:f t="shared" si="59"/>
        <x:v/>
      </x:c>
      <x:c r="DV45" s="1053" t="str">
        <x:f t="shared" si="60"/>
        <x:v/>
      </x:c>
      <x:c r="DW45" s="1053" t="str">
        <x:f t="shared" si="61"/>
        <x:v/>
      </x:c>
      <x:c r="DX45" s="1269">
        <x:f t="shared" si="62"/>
        <x:v>0</x:v>
      </x:c>
      <x:c r="DY45" s="1053">
        <x:f t="shared" si="63"/>
        <x:v>0</x:v>
      </x:c>
      <x:c r="DZ45" s="1052">
        <x:f t="shared" si="64"/>
        <x:v>0</x:v>
      </x:c>
      <x:c r="EA45" s="1052" t="str">
        <x:f t="shared" si="65"/>
        <x:v/>
      </x:c>
      <x:c r="EB45" s="1053" t="str">
        <x:f t="shared" si="66"/>
        <x:v/>
      </x:c>
      <x:c r="EC45" s="1053" t="str">
        <x:f t="shared" si="67"/>
        <x:v/>
      </x:c>
      <x:c r="ED45" s="1269">
        <x:f t="shared" si="68"/>
        <x:v>0</x:v>
      </x:c>
      <x:c r="EE45" s="1090" t="str">
        <x:f t="shared" si="69"/>
        <x:v/>
      </x:c>
      <x:c r="EF45" s="1053" t="str">
        <x:f t="shared" si="70"/>
        <x:v/>
      </x:c>
      <x:c r="EG45" s="1053" t="str">
        <x:f t="shared" si="71"/>
        <x:v/>
      </x:c>
      <x:c r="EH45" s="1053" t="e">
        <x:f t="shared" si="72"/>
        <x:v>#N/A</x:v>
      </x:c>
      <x:c r="EI45" s="1053" t="e">
        <x:f t="shared" si="73"/>
        <x:v>#N/A</x:v>
      </x:c>
      <x:c r="EJ45" s="1053" t="str">
        <x:f t="shared" si="74"/>
        <x:v/>
      </x:c>
      <x:c r="EK45" s="1053" t="str">
        <x:f t="shared" si="74"/>
        <x:v/>
      </x:c>
      <x:c r="EL45" s="1090" t="str">
        <x:f t="shared" si="75"/>
        <x:v/>
      </x:c>
      <x:c r="EM45" s="1053" t="str">
        <x:f t="shared" si="76"/>
        <x:v/>
      </x:c>
      <x:c r="EN45" s="1053" t="str">
        <x:f t="shared" si="77"/>
        <x:v/>
      </x:c>
      <x:c r="EO45" s="1053" t="e">
        <x:f t="shared" si="78"/>
        <x:v>#N/A</x:v>
      </x:c>
      <x:c r="EP45" s="1053" t="e">
        <x:f t="shared" si="79"/>
        <x:v>#N/A</x:v>
      </x:c>
      <x:c r="EQ45" s="1053" t="str">
        <x:f t="shared" si="80"/>
        <x:v/>
      </x:c>
      <x:c r="ER45" s="1053" t="str">
        <x:f t="shared" si="80"/>
        <x:v/>
      </x:c>
      <x:c r="ES45" s="1053" t="str">
        <x:f t="shared" si="81"/>
        <x:v/>
      </x:c>
      <x:c r="ET45" s="1053" t="str">
        <x:f t="shared" si="82"/>
        <x:v/>
      </x:c>
      <x:c r="EU45" s="1061" t="str">
        <x:f t="shared" si="83"/>
        <x:v/>
      </x:c>
      <x:c r="EV45" s="1055" t="str">
        <x:f t="shared" si="84"/>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5"/>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6"/>
        <x:v/>
      </x:c>
      <x:c r="FD45" s="1052">
        <x:f t="shared" si="108"/>
        <x:v>0</x:v>
      </x:c>
      <x:c r="FE45" s="1052">
        <x:f t="shared" si="87"/>
        <x:v>0</x:v>
      </x:c>
      <x:c r="FF45" s="1052">
        <x:f t="shared" si="88"/>
        <x:v>0</x:v>
      </x:c>
      <x:c r="FG45" s="1052" t="str">
        <x:f t="shared" si="89"/>
        <x:v/>
      </x:c>
      <x:c r="FH45" s="1053" t="str">
        <x:f t="shared" si="90"/>
        <x:v/>
      </x:c>
      <x:c r="FI45" s="1052">
        <x:f t="shared" si="109"/>
        <x:v>0</x:v>
      </x:c>
      <x:c r="FJ45" s="1052">
        <x:f t="shared" si="91"/>
        <x:v>0</x:v>
      </x:c>
      <x:c r="FK45" s="1052">
        <x:f t="shared" si="92"/>
        <x:v>0</x:v>
      </x:c>
      <x:c r="FL45" s="1052" t="str">
        <x:f t="shared" si="93"/>
        <x:v/>
      </x:c>
      <x:c r="FM45" s="1053" t="str">
        <x:f t="shared" si="94"/>
        <x:v/>
      </x:c>
      <x:c r="FN45" s="1053" t="e">
        <x:f t="shared" si="95"/>
        <x:v>#VALUE!</x:v>
      </x:c>
      <x:c r="FO45" s="1062" t="e">
        <x:f t="shared" si="96"/>
        <x:v>#VALUE!</x:v>
      </x:c>
      <x:c r="FP45" s="1062" t="e">
        <x:f t="shared" si="97"/>
        <x:v>#VALUE!</x:v>
      </x:c>
      <x:c r="FQ45" s="1063" t="e">
        <x:f t="shared" si="98"/>
        <x:v>#VALUE!</x:v>
      </x:c>
      <x:c r="FR45" s="1064" t="e">
        <x:f t="shared" si="99"/>
        <x:v>#VALUE!</x:v>
      </x:c>
      <x:c r="FS45" s="1065" t="str">
        <x:f t="shared" si="100"/>
        <x:v/>
      </x:c>
      <x:c r="FT45" s="1066" t="str">
        <x:f t="shared" si="101"/>
        <x:v/>
      </x:c>
      <x:c r="FU45" s="1105">
        <x:f t="shared" si="102"/>
        <x:v>0</x:v>
      </x:c>
      <x:c r="FV45" s="1106">
        <x:f t="shared" si="103"/>
        <x:v>0</x:v>
      </x:c>
      <x:c r="GA45" s="1975" t="str">
        <x:f t="shared" si="118"/>
        <x:v/>
      </x:c>
      <x:c r="GB45" s="1976" t="str">
        <x:f t="shared" si="119"/>
        <x:v/>
      </x:c>
      <x:c r="GC45" s="1977" t="str">
        <x:f t="shared" si="120"/>
        <x:v/>
      </x:c>
      <x:c r="GD45" s="1978" t="str">
        <x:f t="shared" si="121"/>
        <x:v/>
      </x:c>
      <x:c r="GE45" s="1979" t="str">
        <x:f t="shared" si="122"/>
        <x:v/>
      </x:c>
      <x:c r="GF45" s="1980" t="str">
        <x:f t="shared" si="104"/>
        <x:v/>
      </x:c>
      <x:c r="GG45" s="1455"/>
      <x:c r="GH45" s="1456"/>
      <x:c r="GI45" s="1455"/>
      <x:c r="GJ45" s="1456"/>
      <x:c r="GK45" s="533">
        <x:f t="shared" si="105"/>
        <x:v>0</x:v>
      </x:c>
      <x:c r="GL45" s="534" t="e">
        <x:f t="shared" si="106"/>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15</x:v>
      </x:c>
      <x:c r="AE46" s="540">
        <x:f>SUM(AE16:AE45)</x:f>
        <x:v>1</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16</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2109</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XDLOz5inNPbRsAAm47G9wPkh66Yb//YJ1lovPaU7r6/cv3XM0JEJRzMPSLmPcwVybwfKvy4q+uJXNgh0QZqygQ==" saltValue="/aLT78+FpcuaCEh1lUmVOg=="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794" priority="69" stopIfTrue="1">
      <x:formula>GM57&gt;=0.125</x:formula>
    </x:cfRule>
  </x:conditionalFormatting>
  <x:conditionalFormatting sqref="EF57">
    <x:cfRule type="cellIs" dxfId="793" priority="70" stopIfTrue="1" operator="notEqual">
      <x:formula>$EG57</x:formula>
    </x:cfRule>
  </x:conditionalFormatting>
  <x:conditionalFormatting sqref="EM57">
    <x:cfRule type="cellIs" dxfId="792" priority="71" stopIfTrue="1" operator="notEqual">
      <x:formula>$EN57</x:formula>
    </x:cfRule>
  </x:conditionalFormatting>
  <x:conditionalFormatting sqref="CD16:CD45">
    <x:cfRule type="expression" dxfId="791" priority="62">
      <x:formula>AND(CD16="X",CY16="")</x:formula>
    </x:cfRule>
    <x:cfRule type="expression" dxfId="790" priority="72">
      <x:formula>AND(CD16="",CY16&lt;&gt;"")</x:formula>
    </x:cfRule>
  </x:conditionalFormatting>
  <x:conditionalFormatting sqref="CE16:CE45">
    <x:cfRule type="expression" dxfId="789" priority="73">
      <x:formula>AND(CE16="X",DI16="")</x:formula>
    </x:cfRule>
    <x:cfRule type="expression" dxfId="788" priority="74">
      <x:formula>AND(CE16="",DI16&lt;&gt;"")</x:formula>
    </x:cfRule>
  </x:conditionalFormatting>
  <x:conditionalFormatting sqref="P2:S4">
    <x:cfRule type="cellIs" dxfId="787" priority="76" stopIfTrue="1" operator="equal">
      <x:formula>""</x:formula>
    </x:cfRule>
  </x:conditionalFormatting>
  <x:conditionalFormatting sqref="EF16:EF45">
    <x:cfRule type="cellIs" dxfId="786" priority="68" stopIfTrue="1" operator="notEqual">
      <x:formula>$EG16</x:formula>
    </x:cfRule>
  </x:conditionalFormatting>
  <x:conditionalFormatting sqref="EM16:EM45">
    <x:cfRule type="cellIs" dxfId="785" priority="67" stopIfTrue="1" operator="notEqual">
      <x:formula>$EN16</x:formula>
    </x:cfRule>
  </x:conditionalFormatting>
  <x:conditionalFormatting sqref="CC12">
    <x:cfRule type="expression" dxfId="784" priority="66" stopIfTrue="1">
      <x:formula>ISBLANK($CC$12)</x:formula>
    </x:cfRule>
  </x:conditionalFormatting>
  <x:conditionalFormatting sqref="CC11">
    <x:cfRule type="expression" dxfId="783" priority="65" stopIfTrue="1">
      <x:formula>ISBLANK($CC$11)</x:formula>
    </x:cfRule>
  </x:conditionalFormatting>
  <x:conditionalFormatting sqref="M7">
    <x:cfRule type="expression" dxfId="782" priority="63" stopIfTrue="1">
      <x:formula>OR(ISBLANK($M$7),$M$7="")</x:formula>
    </x:cfRule>
    <x:cfRule type="expression" dxfId="781" priority="64" stopIfTrue="1">
      <x:formula>AND(LOWER($M$7)&lt;&gt;"std gray primer: one shop coat",LOWER($M$7)&lt;&gt;"gray",$M$7&lt;&gt;"")</x:formula>
    </x:cfRule>
  </x:conditionalFormatting>
  <x:conditionalFormatting sqref="BV16:BV45">
    <x:cfRule type="expression" dxfId="780" priority="60">
      <x:formula>AND(NOT($AY16),AND(ISBLANK(BV16),AND(NOT(ISBLANK(BU16)),$BW16&lt;&gt;0)))</x:formula>
    </x:cfRule>
  </x:conditionalFormatting>
  <x:conditionalFormatting sqref="BD16:BD45">
    <x:cfRule type="expression" dxfId="779" priority="61">
      <x:formula>AND(NOT($AY16),NOT($AP16))</x:formula>
    </x:cfRule>
  </x:conditionalFormatting>
  <x:conditionalFormatting sqref="U16:U45">
    <x:cfRule type="expression" dxfId="778" priority="57">
      <x:formula>AND(NOT($AY16),NOT(AR16))</x:formula>
    </x:cfRule>
  </x:conditionalFormatting>
  <x:conditionalFormatting sqref="W16:W45">
    <x:cfRule type="expression" dxfId="777" priority="59">
      <x:formula>AND(NOT($AY16),NOT(AT16))</x:formula>
    </x:cfRule>
  </x:conditionalFormatting>
  <x:conditionalFormatting sqref="T16:T45">
    <x:cfRule type="expression" dxfId="776" priority="56">
      <x:formula>AND(NOT($AY16),NOT(AR16))</x:formula>
    </x:cfRule>
  </x:conditionalFormatting>
  <x:conditionalFormatting sqref="V16:V45">
    <x:cfRule type="expression" dxfId="775" priority="58">
      <x:formula>AND(NOT($AY16),NOT(AT16))</x:formula>
    </x:cfRule>
  </x:conditionalFormatting>
  <x:conditionalFormatting sqref="C16:C45">
    <x:cfRule type="expression" dxfId="774" priority="54">
      <x:formula>AND(NOT($AY16),NOT($AP16))</x:formula>
    </x:cfRule>
  </x:conditionalFormatting>
  <x:conditionalFormatting sqref="X16:X45">
    <x:cfRule type="expression" dxfId="773" priority="14">
      <x:formula>$X16=0</x:formula>
    </x:cfRule>
  </x:conditionalFormatting>
  <x:conditionalFormatting sqref="CB16:CB45">
    <x:cfRule type="expression" dxfId="772" priority="53">
      <x:formula>OR(CB16&gt;CV16,CB16&lt;0)</x:formula>
    </x:cfRule>
  </x:conditionalFormatting>
  <x:conditionalFormatting sqref="CC16:CC45">
    <x:cfRule type="expression" dxfId="771" priority="51">
      <x:formula>OR(CC16&gt;DF16,CC16&lt;0)</x:formula>
    </x:cfRule>
  </x:conditionalFormatting>
  <x:conditionalFormatting sqref="BY16:BY45">
    <x:cfRule type="expression" dxfId="770" priority="75">
      <x:formula>OR(CH16&lt;&gt;"",CI16&lt;&gt;"",CJ16&lt;&gt;"",CK16&lt;&gt;"",CL16&lt;&gt;"",CM16&lt;&gt;"")</x:formula>
    </x:cfRule>
  </x:conditionalFormatting>
  <x:conditionalFormatting sqref="BE16:BF45">
    <x:cfRule type="expression" dxfId="769" priority="77">
      <x:formula>AND(NOT($AY16),AND($AZ16,AND($AK16&lt;&gt;"HDR",$AK16&lt;&gt;"JS",$AJ16&gt;=8)))</x:formula>
    </x:cfRule>
  </x:conditionalFormatting>
  <x:conditionalFormatting sqref="D16:E45">
    <x:cfRule type="expression" dxfId="768" priority="55">
      <x:formula>AND(NOT($AY16),AND($AZ16,AND($AK16&lt;&gt;"HDR",$AK16&lt;&gt;"JS",$AJ16&gt;=8)))</x:formula>
    </x:cfRule>
  </x:conditionalFormatting>
  <x:conditionalFormatting sqref="AA12">
    <x:cfRule type="expression" dxfId="767" priority="52">
      <x:formula>OR(ISBLANK(AA12),AA12="")</x:formula>
    </x:cfRule>
  </x:conditionalFormatting>
  <x:conditionalFormatting sqref="A16:Z45 BB16:CG45">
    <x:cfRule type="expression" dxfId="766" priority="78">
      <x:formula>$AC16</x:formula>
    </x:cfRule>
  </x:conditionalFormatting>
  <x:conditionalFormatting sqref="BN16:BN45">
    <x:cfRule type="expression" dxfId="765" priority="17">
      <x:formula>AND(NOT($AY16),AND(ISBLANK(BN16),AND(NOT(ISBLANK(BM16)),$BW16&lt;&gt;0)))</x:formula>
    </x:cfRule>
  </x:conditionalFormatting>
  <x:conditionalFormatting sqref="BO16:BO45">
    <x:cfRule type="expression" dxfId="764" priority="16">
      <x:formula>AND(NOT($AY16),ISERROR(DE16))</x:formula>
    </x:cfRule>
    <x:cfRule type="expression" dxfId="763" priority="43">
      <x:formula>AND(NOT($AY16),OR(DE16="", CQ16&lt;&gt;""))</x:formula>
    </x:cfRule>
  </x:conditionalFormatting>
  <x:conditionalFormatting sqref="BG16:BG45">
    <x:cfRule type="expression" dxfId="762" priority="15">
      <x:formula>AND(NOT($AY16),ISERROR(CU16))</x:formula>
    </x:cfRule>
    <x:cfRule type="expression" dxfId="761" priority="42">
      <x:formula>AND(NOT($AY16),OR(CP16&lt;&gt;"", CU16=""))</x:formula>
    </x:cfRule>
  </x:conditionalFormatting>
  <x:conditionalFormatting sqref="BH16:BH45">
    <x:cfRule type="expression" dxfId="760" priority="30">
      <x:formula>AND(NOT($AY16),OR($CU16="M",$CU16="C",AND($CU16="B",$DC16&gt;0)))</x:formula>
    </x:cfRule>
    <x:cfRule type="expression" dxfId="759" priority="31">
      <x:formula>AND(NOT($AY16),AND(BH16="",BI16="",OR($CU16="B",$CU16="G")))</x:formula>
    </x:cfRule>
    <x:cfRule type="expression" dxfId="758" priority="32">
      <x:formula>AND(NOT($AY16),(BH16/2)/COS(RADIANS(BM16))+CV16-DW16&lt;VLOOKUP(AU16,$DF$2:$DJ$9,5,FALSE))</x:formula>
    </x:cfRule>
  </x:conditionalFormatting>
  <x:conditionalFormatting sqref="BI16:BI45">
    <x:cfRule type="expression" dxfId="757" priority="39">
      <x:formula>AND(NOT($AY16),OR($CU16="M",$CU16="C",AND($CU16="B",$DC16&gt;0)))</x:formula>
    </x:cfRule>
    <x:cfRule type="expression" dxfId="756" priority="40">
      <x:formula>AND(NOT($AY16),AND(BH16="",BI16="",OR($CU16="B",$CU16="G")))</x:formula>
    </x:cfRule>
    <x:cfRule type="expression" dxfId="755" priority="41">
      <x:formula>AND(NOT($AY16),(BI16/2)/COS(RADIANS(BM16))+CV16-DW16&lt;VLOOKUP(AU16,$DF$2:$DJ$9,5,FALSE))</x:formula>
    </x:cfRule>
  </x:conditionalFormatting>
  <x:conditionalFormatting sqref="BK16:BK45">
    <x:cfRule type="expression" dxfId="754" priority="18">
      <x:formula>AND(NOT($AY16),OR($CU16="M",$CU16="C",AND($CU16="B",$DA16&lt;&gt;"")))</x:formula>
    </x:cfRule>
    <x:cfRule type="expression" dxfId="753" priority="19">
      <x:formula>AND(NOT($AY16),AND(BJ16="X",BK16="",BL16=""))</x:formula>
    </x:cfRule>
    <x:cfRule type="expression" dxfId="752" priority="20">
      <x:formula>AND(NOT($AY16),EZ16="ERR")</x:formula>
    </x:cfRule>
  </x:conditionalFormatting>
  <x:conditionalFormatting sqref="BL16:BL45">
    <x:cfRule type="expression" dxfId="751" priority="21">
      <x:formula>AND(NOT($AY16),OR($CU16="M",$CU16="C",AND($CU16="B",$DA16&lt;&gt;"")))</x:formula>
    </x:cfRule>
    <x:cfRule type="expression" dxfId="750" priority="22">
      <x:formula>AND(NOT($AY16),AND(BJ16="X",BK16="",BL16=""))</x:formula>
    </x:cfRule>
    <x:cfRule type="expression" dxfId="749" priority="23">
      <x:formula>AND(NOT($AY16),EZ16="ERR")</x:formula>
    </x:cfRule>
  </x:conditionalFormatting>
  <x:conditionalFormatting sqref="BS16:BS45">
    <x:cfRule type="expression" dxfId="748" priority="24">
      <x:formula>AND(NOT($AY16),OR($DE16="M",$DE16="C",AND($DE16="B",$DK16&lt;&gt;"")))</x:formula>
    </x:cfRule>
    <x:cfRule type="expression" dxfId="747" priority="25">
      <x:formula>AND(NOT($AY16),AND(BR16="X",BS16="",BT16=""))</x:formula>
    </x:cfRule>
    <x:cfRule type="expression" dxfId="746" priority="26">
      <x:formula>AND(NOT($AY16),FC16="ERR")</x:formula>
    </x:cfRule>
  </x:conditionalFormatting>
  <x:conditionalFormatting sqref="BT16:BT45">
    <x:cfRule type="expression" dxfId="745" priority="27">
      <x:formula>AND(NOT($AY16),OR($DE16="M",$DE16="C",AND($DE16="B",$DK16&lt;&gt;"")))</x:formula>
    </x:cfRule>
    <x:cfRule type="expression" dxfId="744" priority="28">
      <x:formula>AND(NOT($AY16),AND(BR16="X",BS16="",BT16=""))</x:formula>
    </x:cfRule>
    <x:cfRule type="expression" dxfId="743" priority="29">
      <x:formula>AND(NOT($AY16),FC16="ERR")</x:formula>
    </x:cfRule>
  </x:conditionalFormatting>
  <x:conditionalFormatting sqref="BP16:BP45">
    <x:cfRule type="expression" dxfId="742" priority="33">
      <x:formula>AND(NOT($AY16),OR($DE16="M",$DE16="C",AND($DE16="B",$DM16&gt;0)))</x:formula>
    </x:cfRule>
    <x:cfRule type="expression" dxfId="741" priority="34">
      <x:formula>AND(NOT($AY16),AND(BP16="",BQ16="",OR($DE16="B",$DE16="G")))</x:formula>
    </x:cfRule>
    <x:cfRule type="expression" dxfId="740" priority="35">
      <x:formula>AND(NOT($AY16),(BP16/2)/COS(RADIANS(BU16))+DF16-EC16&lt;VLOOKUP(AU16,$DF$2:$DJ$9,5,FALSE))</x:formula>
    </x:cfRule>
  </x:conditionalFormatting>
  <x:conditionalFormatting sqref="BQ16:BQ45">
    <x:cfRule type="expression" dxfId="739" priority="36">
      <x:formula>AND(NOT($AY16),OR($DE16="M",$DE16="C",AND($DE16="B",$DM16&gt;0)))</x:formula>
    </x:cfRule>
    <x:cfRule type="expression" dxfId="738" priority="37">
      <x:formula>AND(NOT($AY16),AND(BP16="",BQ16="",OR($DE16="B",$DE16="G")))</x:formula>
    </x:cfRule>
    <x:cfRule type="expression" dxfId="737" priority="38">
      <x:formula>AND(NOT($AY16),(BQ16/2)/COS(RADIANS(BU16))+DF16-EC16&lt;VLOOKUP(AU16,$DF$2:$DJ$9,5,FALSE))</x:formula>
    </x:cfRule>
  </x:conditionalFormatting>
  <x:conditionalFormatting sqref="BJ16:BJ45">
    <x:cfRule type="expression" dxfId="736" priority="44">
      <x:formula>AND(NOT($AY16),OR($CU16="C",AND($CU16="M",$DA16&gt;0)))</x:formula>
    </x:cfRule>
    <x:cfRule type="expression" dxfId="735" priority="45">
      <x:formula>AND(NOT($AY16),OR(NOT(IF(AND(OR(MID($BB16,1,1)="T",($BE16+$BF16/12)/IF(ABS($BW16)&gt;$DQ$1,COS($DO16),1)&gt;=40),OR($CU16="B",$CU16="G")),"X","")="X"),$EZ16="ERR"))</x:formula>
    </x:cfRule>
    <x:cfRule type="expression" dxfId="734" priority="46">
      <x:formula>AND(NOT($AY16),$BJ16&lt;&gt;"X",$BJ16&lt;&gt;IF(AND(OR(MID(BB16,1,1)="T",($BE16+$BF16/12)/IF(ABS($BW16)&gt;$DQ$1,COS($DO16),1)&gt;=40),OR($CU16="B",$CU16="G")),"X",""))</x:formula>
    </x:cfRule>
  </x:conditionalFormatting>
  <x:conditionalFormatting sqref="BR16:BR45">
    <x:cfRule type="expression" dxfId="733" priority="47">
      <x:formula>AND(NOT($AY16),OR($DE16="C",AND($DE16="M",$DK16&gt;0)))</x:formula>
    </x:cfRule>
    <x:cfRule type="expression" dxfId="732" priority="48">
      <x:formula>AND(NOT($AY16),OR(NOT(IF(AND(OR(MID($BB16,1,1)="T",($BE16+$BF16/12)/IF(ABS($BW16)&gt;$DQ$1,COS($DO16),1)&gt;=40),OR($DE16="B",$DE16="G")),"X","")="X"),$FC16="ERR"))</x:formula>
    </x:cfRule>
    <x:cfRule type="expression" dxfId="731" priority="49">
      <x:formula>AND(NOT($AY16),$BR16&lt;&gt;"X",$BR16&lt;&gt;IF(AND(OR(MID(BB16,1,1)="T",($BE16+$BF16/12)/IF(ABS($BW16)&gt;$DQ$1,COS($DO16),1)&gt;=40),OR($DE16="B",$DE16="G")),"X",""))</x:formula>
    </x:cfRule>
  </x:conditionalFormatting>
  <x:conditionalFormatting sqref="A16:B45 BB16:BC45">
    <x:cfRule type="expression" dxfId="730" priority="50">
      <x:formula>AND(NOT($AE$1),$B16=0,$AD$1="M")</x:formula>
    </x:cfRule>
  </x:conditionalFormatting>
  <x:conditionalFormatting sqref="U57">
    <x:cfRule type="expression" dxfId="729" priority="11" stopIfTrue="1">
      <x:formula>AND(NOT($AY57),NOT(AR57))</x:formula>
    </x:cfRule>
  </x:conditionalFormatting>
  <x:conditionalFormatting sqref="W57">
    <x:cfRule type="expression" dxfId="728" priority="13" stopIfTrue="1">
      <x:formula>AND(NOT($AY57),NOT(AT57))</x:formula>
    </x:cfRule>
  </x:conditionalFormatting>
  <x:conditionalFormatting sqref="T57">
    <x:cfRule type="expression" dxfId="727" priority="10" stopIfTrue="1">
      <x:formula>AND(NOT($AY57),NOT(AR57))</x:formula>
    </x:cfRule>
  </x:conditionalFormatting>
  <x:conditionalFormatting sqref="V57">
    <x:cfRule type="expression" dxfId="726" priority="12" stopIfTrue="1">
      <x:formula>AND(NOT($AY57),NOT(AT57))</x:formula>
    </x:cfRule>
  </x:conditionalFormatting>
  <x:conditionalFormatting sqref="C57">
    <x:cfRule type="expression" dxfId="725" priority="8" stopIfTrue="1">
      <x:formula>AND(NOT($AY57),NOT($AP57))</x:formula>
    </x:cfRule>
  </x:conditionalFormatting>
  <x:conditionalFormatting sqref="X57">
    <x:cfRule type="expression" dxfId="724" priority="4">
      <x:formula>$X57=0</x:formula>
    </x:cfRule>
  </x:conditionalFormatting>
  <x:conditionalFormatting sqref="D57:E57">
    <x:cfRule type="expression" dxfId="723" priority="9" stopIfTrue="1">
      <x:formula>AND(NOT($AY57),AND($AZ57,AND($AK57&lt;&gt;"HDR",$AK57&lt;&gt;"JS",$AJ57&gt;=8)))</x:formula>
    </x:cfRule>
  </x:conditionalFormatting>
  <x:conditionalFormatting sqref="A57:AA57">
    <x:cfRule type="expression" dxfId="722" priority="5">
      <x:formula>$AC57</x:formula>
    </x:cfRule>
  </x:conditionalFormatting>
  <x:conditionalFormatting sqref="AA57">
    <x:cfRule type="expression" dxfId="721" priority="6" stopIfTrue="1">
      <x:formula>AND(NOT($AY57),LEN(AA57)&gt;31)</x:formula>
    </x:cfRule>
  </x:conditionalFormatting>
  <x:conditionalFormatting sqref="A57:B57">
    <x:cfRule type="expression" dxfId="720" priority="7">
      <x:formula>AND(NOT($AE$1),$B57=0,$AD$1="M")</x:formula>
    </x:cfRule>
  </x:conditionalFormatting>
  <x:conditionalFormatting sqref="AA16:AA45">
    <x:cfRule type="expression" dxfId="719" priority="2">
      <x:formula>$AC16</x:formula>
    </x:cfRule>
  </x:conditionalFormatting>
  <x:conditionalFormatting sqref="AA16:AA45">
    <x:cfRule type="expression" dxfId="718" priority="3" stopIfTrue="1">
      <x:formula>AND(NOT($AY16),LEN(AA16)&gt;31)</x:formula>
    </x:cfRule>
  </x:conditionalFormatting>
  <x:conditionalFormatting sqref="GA16:GB45">
    <x:cfRule type="expression" dxfId="717"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5.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0">
    <x:tabColor indexed="43"/>
  </x:sheetPr>
  <x:dimension ref="A1:IG104"/>
  <x:sheetViews>
    <x:sheetView showGridLines="0" zoomScaleNormal="100" zoomScaleSheetLayoutView="75" workbookViewId="0">
      <x:selection activeCell="GA27" sqref="GA27"/>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34 of 42</x:v>
      </x:c>
      <x:c r="Z7" s="822"/>
      <x:c r="AA7" s="444"/>
      <x:c r="AB7" s="449"/>
      <x:c r="AC7" s="1393">
        <x:v>34</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1416</x:v>
      </x:c>
      <x:c r="B16" s="1265">
        <x:v>1</x:v>
      </x:c>
      <x:c r="C16" s="1265" t="s">
        <x:v>1979</x:v>
      </x:c>
      <x:c r="D16" s="1261">
        <x:v>46</x:v>
      </x:c>
      <x:c r="E16" s="1366">
        <x:v>0</x:v>
      </x:c>
      <x:c r="F16" s="1328">
        <x:v>0</x:v>
      </x:c>
      <x:c r="G16" s="1262">
        <x:v>1.375</x:v>
      </x:c>
      <x:c r="H16" s="1266" t="s">
        <x:v>114</x:v>
      </x:c>
      <x:c r="I16" s="2195">
        <x:v>0</x:v>
      </x:c>
      <x:c r="J16" s="2122">
        <x:v>0.5</x:v>
      </x:c>
      <x:c r="K16" s="2209"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t="str">
        <x:f t="shared" ref="T16:T44" si="7">IF(CH16="ERR","",IF(EK16="","",IF(EK16="ERR",TRUNC(EJ16/12),TRUNC(EK16/12))))</x:f>
        <x:v/>
      </x:c>
      <x:c r="U16" s="1262" t="str">
        <x:f t="shared" ref="U16:U44" si="8">IF(CH16="ERR","",IF(EK16="","",IF(EK16="ERR",EJ16-(T16*12),EK16-(T16*12))))</x:f>
        <x:v/>
      </x:c>
      <x:c r="V16" s="1261" t="str">
        <x:f t="shared" ref="V16:V44" si="9">IF(CI16="ERR","",IF(ER16="","",IF(ER16="ERR",TRUNC(EQ16/12),TRUNC(ER16/12))))</x:f>
        <x:v/>
      </x:c>
      <x:c r="W16" s="1262" t="str">
        <x:f t="shared" ref="W16:W44" si="10">IF(CI16="ERR","",IF(ER16="","",IF(ER16="ERR",EQ16-(V16*12),ER16-(V16*12))))</x:f>
        <x:v/>
      </x:c>
      <x:c r="X16" s="1329">
        <x:f t="shared" ref="X16:X44" si="11">IF(EV16="",0,EV16)</x:f>
        <x:v>0</x:v>
      </x:c>
      <x:c r="Y16" s="1377" t="str">
        <x:f t="shared" ref="Y16:Y44" si="12">FG16</x:f>
        <x:v/>
      </x:c>
      <x:c r="Z16" s="1378" t="str">
        <x:f t="shared" ref="Z16:Z44" si="13">FL16</x:f>
        <x:v/>
      </x:c>
      <x:c r="AA16" s="2159" t="s">
        <x:v>2128</x:v>
      </x:c>
      <x:c r="AC16" s="1226" t="b">
        <x:v>0</x:v>
      </x:c>
      <x:c r="AD16" s="525">
        <x:f t="shared" ref="AD16:AD45" si="14">IF($C16="",0,IF(SUM(AE16:AG16)&gt;0,0,IF(ISERROR(SEARCH("K",$C16,1))=TRUE,0,$B16)))</x:f>
        <x:v>1</x:v>
      </x:c>
      <x:c r="AE16" s="526">
        <x:f t="shared" ref="AE16:AE45" si="15">IF(ISERROR(SEARCH("LH",$C16,1))=TRUE,0,$B16)</x:f>
        <x:v>0</x:v>
      </x:c>
      <x:c r="AF16" s="526">
        <x:f t="shared" ref="AF16:AF45" si="16">IF(ISERROR(SEARCH("JS",$C16))=TRUE,IF(ISERROR(SEARCH("2.5K",$C16))=TRUE,0,$B16),$B16)</x:f>
        <x:v>0</x:v>
      </x:c>
      <x:c r="AG16" s="526">
        <x:f t="shared" ref="AG16:AG45" si="17">IF(ISERROR(SEARCH("HDR",$C16,1))=TRUE,0,$B16)</x:f>
        <x:v>0</x:v>
      </x:c>
      <x:c r="AH16" s="527">
        <x:f t="shared" ref="AH16:AH45" si="18">IF(ISERROR(SEARCH("CJ",$C16,1))=TRUE,0,$B16)</x:f>
        <x:v>0</x:v>
      </x:c>
      <x:c r="AI16" s="528" t="b">
        <x:v>0</x:v>
      </x:c>
      <x:c r="AJ16" s="284">
        <x:f t="shared" ref="AJ16:AJ45" si="19">IF(OR(ISERROR(VALUE(LEFT(C16,SEARCH(AK16,C16)-1))),AK16=""),0,VALUE(LEFT(C16,SEARCH(AK16,C16)-1)))</x:f>
        <x:v>30</x:v>
      </x:c>
      <x:c r="AK16" s="1063" t="str">
        <x:f t="shared" ref="AK16:AK45" si="20">IF(AV16="",AW16,AV16)</x:f>
        <x:v>K</x:v>
      </x:c>
      <x:c r="AL16" s="1202" t="str">
        <x:f t="shared" ref="AL16:AL45" si="21">IF(AK16="","",IF(ISERROR(SEARCH("/",C16)),IF(VALUE(MID(C16,SEARCH(AK16,C16)+LEN(AK16),LEN(C16)))&gt;25,"",VALUE(MID(C16,SEARCH(AK16,C16)+LEN(AK16),LEN(C16)))),""))</x:f>
        <x:v/>
      </x:c>
      <x:c r="AM16" s="1063">
        <x:f t="shared" ref="AM16:AM45" si="22">IF(AK16="","",IF(ISERROR(SEARCH("/",C16)),IF(VALUE(MID(C16,SEARCH(AK16,C16)+LEN(AK16),LEN(C16)))&lt;26,"",VALUE(MID(C16,SEARCH(AK16,C16)+LEN(AK16),LEN(C16)))),VALUE(MID(C16,SEARCH(AK16,C16)+LEN(AK16),SEARCH("/",C16)-SEARCH(AK16,C16)-LEN(AK16)))))</x:f>
        <x:v>240</x:v>
      </x:c>
      <x:c r="AN16" s="1063">
        <x:f t="shared" ref="AN16:AN45" si="23">IF(AK16="","",IF(AK16="CJ",MID(MID(C16,SEARCH("/",C16)+1,LEN(C16)),1,SEARCH("/",MID(C16,SEARCH("/",C16)+1,LEN(C16)))-1),IF(ISERROR(SEARCH("/",C16)),"",VALUE(MID(C16,SEARCH("/",C16)+1,LEN(C16))))))</x:f>
        <x:v>140</x:v>
      </x:c>
      <x:c r="AO16" s="1063" t="str">
        <x:f t="shared" ref="AO16:AO45" si="24">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5">VLOOKUP(AK16,$DF$2:$DN$9,4,FALSE)+IF(LEFT(H16,1)="R",IF(ISNUMBER(F16),F16*12,0)+IF(ISNUMBER(G16),G16,0),0)</x:f>
        <x:v>5.375</x:v>
      </x:c>
      <x:c r="AR16" s="1305" t="b">
        <x:f t="shared" ref="AR16:AR45" si="26">IF(IF(ISNUMBER(T16),T16*12,0)+IF(ISNUMBER(U16),U16,0)&gt;0,IF(AND((IF(ISNUMBER(T16),T16*12,0)+IF(ISNUMBER(U16),U16,0))&gt;=1,(IF(ISNUMBER(T16),T16*12,0)+IF(ISNUMBER(U16),U16,0))&lt;=(AQ16-1)+IF(H16="X",2,0)),TRUE,FALSE),FALSE)</x:f>
        <x:v>0</x:v>
      </x:c>
      <x:c r="AS16" s="1305">
        <x:f t="shared" ref="AS16:AS45" si="27">VLOOKUP(AK16,$DF$2:$DN$9,4,FALSE)+IF(LEFT(K16,1)="R",(IF(ISNUMBER(I16),I16*12,0)+IF(ISNUMBER(J16),J16,0)),0)</x:f>
        <x:v>4.5</x:v>
      </x:c>
      <x:c r="AT16" s="1305" t="b">
        <x:f t="shared" ref="AT16:AT45" si="28">IF(IF(ISNUMBER(V16),V16*12,0)+IF(ISNUMBER(W16),W16,0)&gt;0,IF(AND((IF(ISNUMBER(V16),V16*12,0)+IF(ISNUMBER(W16),W16,0))&gt;=1,(IF(ISNUMBER(V16),V16*12,0)+IF(ISNUMBER(W16),W16,0))&lt;=(AS16-1)+IF(K16="X",2,0)),TRUE,FALSE),FALSE)</x:f>
        <x:v>0</x:v>
      </x:c>
      <x:c r="AU16" s="1203" t="str">
        <x:f t="shared" ref="AU16:AU45" si="29">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K</x:v>
      </x:c>
      <x:c r="AV16" s="1063" t="str">
        <x:f t="shared" ref="AV16:AV45" si="30">IF(NOT(ISERROR(SEARCH("KCSR",C16))),"KCSR",IF(NOT(ISERROR(SEARCH("KCSA",C16))),"KCSA",IF(NOT(ISERROR(SEARCH("KCS",C16))),"KCS",IF(NOT(ISERROR(SEARCH("KR",C16))),"KR",IF(NOT(ISERROR(SEARCH("KA",C16))),"KA",IF(NOT(ISERROR(SEARCH("K",C16))),"K",IF(NOT(ISERROR(SEARCH("CJ",C16))),"CJ","")))))))</x:f>
        <x:v>K</x:v>
      </x:c>
      <x:c r="AW16" s="1063" t="str">
        <x:f t="shared" ref="AW16:AW45" si="31">IF(NOT(ISERROR(SEARCH("HDR",C16))),"HDR",IF(NOT(ISERROR(SEARCH("JS",C16))),"JS",IF(NOT(ISERROR(SEARCH("SLH",C16))),"SLH",IF(NOT(ISERROR(SEARCH("DLH",C16))),"DLH",IF(NOT(ISERROR(SEARCH("LH",C16))),"LH","")))))</x:f>
        <x:v/>
      </x:c>
      <x:c r="AX16" s="1063" t="str">
        <x:f>IF(OR(ISBLANK(A16),A16=""),"",A16)</x:f>
        <x:v>J92</x:v>
      </x:c>
      <x:c r="AY16" s="1306" t="b">
        <x:f t="shared" ref="AY16:AY45" si="32">IF($AE$1,IF(AX16=AX15,AY15,IF(AND(AX16&lt;&gt;"",OR(B16=0,B16="")),TRUE,FALSE)),FALSE)</x:f>
        <x:v>0</x:v>
      </x:c>
      <x:c r="AZ16" s="1090" t="b">
        <x:f t="shared" ref="AZ16:AZ45" si="33">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4">IF(CY16="","","X")</x:f>
        <x:v/>
      </x:c>
      <x:c r="CE16" s="925" t="str">
        <x:f t="shared" ref="CE16:CE45" si="35">IF(DI16="","","X")</x:f>
        <x:v/>
      </x:c>
      <x:c r="CF16" s="1147"/>
      <x:c r="CG16" s="1148"/>
      <x:c r="CH16" s="730" t="str">
        <x:f t="shared" ref="CH16:CH45" si="36">IF(EJ16=EK16,IF(EK16="ERR","ERR",""),CONCATENATE(IF(BM16&lt;0,"NS ","FS "),IF(EK16="ERR","Slot Only",CONCATENATE("Slot @ ",EJ16))))</x:f>
        <x:v/>
      </x:c>
      <x:c r="CI16" s="731" t="str">
        <x:f t="shared" ref="CI16:CI45" si="37">IF(EQ16=ER16,IF(ER16="ERR","ERR",""),CONCATENATE(IF(BU16&lt;0,"FS ","NS "),IF(ER16="ERR","Slot Only",CONCATENATE("Slot @ ",EQ16))))</x:f>
        <x:v/>
      </x:c>
      <x:c r="CJ16" s="732" t="str">
        <x:f t="shared" ref="CJ16:CJ45" si="38">IF(EV16="","",IF(AND(DB16&lt;&gt;EV16,OR(NOT(ISBLANK(BJ16)),CU16="C")),CONCATENATE("LE slots @ ",DB16," Ga."),IF(AND(DL16&lt;&gt;EV16,OR(NOT(ISBLANK(BR16)),DE16="C")),CONCATENATE("RE slots @ ",DL16," Ga."),"")))</x:f>
        <x:v/>
      </x:c>
      <x:c r="CK16" s="733" t="str">
        <x:f t="shared" ref="CK16:CK45" si="39">IF(AND(CP16&lt;&gt;"",BM16&lt;&gt;"",CQ16&lt;&gt;"",BU16&lt;&gt;""),"BE",IF(AND(CP16&lt;&gt;"",BM16&lt;&gt;""),"LE",IF(AND(CQ16&lt;&gt;"",BU16&lt;&gt;""),"RE","")))</x:f>
        <x:v/>
      </x:c>
      <x:c r="CL16" s="734" t="str">
        <x:f t="shared" ref="CL16:CL45" si="40">IF(ISBLANK(CB16),"",CEILING(DV16,0.125))</x:f>
        <x:v/>
      </x:c>
      <x:c r="CM16" s="735" t="str">
        <x:f t="shared" ref="CM16:CM45" si="41">IF(ISBLANK(CC16),"",CEILING(EB16,0.125))</x:f>
        <x:v/>
      </x:c>
      <x:c r="CN16" s="736" t="str">
        <x:f t="shared" ref="CN16:CN45" si="42">IF(AND(BW16&lt;&gt;0,BM16&lt;&gt;0),BW16*COS(RADIANS(90-BM16))/(1/COS(RADIANS(90-BM16)))*-1,"")</x:f>
        <x:v/>
      </x:c>
      <x:c r="CO16" s="737" t="str">
        <x:f t="shared" ref="CO16:CO45" si="43">IF(AND(BW16&lt;&gt;0,BU16&lt;&gt;0),BW16*COS(RADIANS(90-BU16))/(1/COS(RADIANS(90-BU16))),"")</x:f>
        <x:v/>
      </x:c>
      <x:c r="CP16" s="760" t="str">
        <x:f t="shared" ref="CP16:CP45" si="44">IF(BG16="","",IF(AU16="JS","",IF(VLOOKUP(AU16,$DF$2:$DN$9,5,FALSE)&gt;FO16,IF(FO16&gt;=0.0625,CEILING(FO16-0.0625,0.125),FO16),"")))</x:f>
        <x:v/>
      </x:c>
      <x:c r="CQ16" s="761" t="str">
        <x:f t="shared" ref="CQ16:CQ45" si="45">IF(BO16="","",IF(AU16="JS","",IF(VLOOKUP(AU16,$DF$2:$DN$9,5,FALSE)&gt;FP16,IF(FP16&gt;=0.0625,CEILING(FP16-0.0625,0.125),FP16),"")))</x:f>
        <x:v/>
      </x:c>
      <x:c r="CR16" s="951">
        <x:f t="shared" ref="CR16:CR45" si="46">IF(AU16="","",IF(ABS(FF16)&lt;ABS($CX$2),VLOOKUP(AU16,$DF$2:$DN$9,3,FALSE),CEILING(VLOOKUP(AU16,$DF$2:$DN$9,3,FALSE)/COS(FE16)+0.375+IF(CU16="M",IF(FE16&gt;0,(DV16-DW16)/12,0),IF(FE16&gt;0,0,(DV16-CV16)/12))*ABS(FF16),0.125)))</x:f>
        <x:v>2.5</x:v>
      </x:c>
      <x:c r="CS16" s="952">
        <x:f t="shared" ref="CS16:CS45" si="47">IF(AU16="","",IF(ABS(FK16)&lt;ABS($CX$2),VLOOKUP(AU16,$DF$2:$DN$9,3,FALSE),CEILING(VLOOKUP(AU16,$DF$2:$DN$9,3,FALSE)/COS(FJ16)+0.375+IF(DE16="M",IF(FJ16&lt;0,(EB16-EC16)/12,0),IF(FJ16&lt;0,0,(EB16-DF16)/12))*ABS(FK16),0.125)))</x:f>
        <x:v>2.5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8">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9">BV16*-1</x:f>
        <x:v>0</x:v>
      </x:c>
      <x:c r="DO16" s="1094">
        <x:f t="shared" ref="DO16:DO45" si="50">IF(BW16="",0,ATAN(BW16/12))</x:f>
        <x:v>0</x:v>
      </x:c>
      <x:c r="DP16" s="1095" t="str">
        <x:f t="shared" ref="DP16:DP45" si="51">IF(OR(CV16="",BE16="",DF16=""),"",CEILING(IF(AND(BE16="",BF16=""),"",((BE16*12+BF16)+CV16+DF16)/COS(FN16))-0.0625,0.125))</x:f>
        <x:v/>
      </x:c>
      <x:c r="DQ16" s="1095" t="str">
        <x:f t="shared" ref="DQ16:DQ45" si="52">IF(AU16="","",IF(ABS(FF16)&lt;ABS($CX$2),CX16,IF(FF16=0,CX16,CEILING((CX16+((DW16-CV16)/12)*FF16)-0.0625,0.125))))</x:f>
        <x:v/>
      </x:c>
      <x:c r="DR16" s="1095" t="str">
        <x:f t="shared" ref="DR16:DR45" si="53">IF(AU16="","",IF(ABS(FK16)&lt;ABS($CX$2),DH16,IF(FK16=0,DH16,CEILING((DH16+((EC16-DF16)/12)*FK16)-0.0625,0.125))))</x:f>
        <x:v/>
      </x:c>
      <x:c r="DS16" s="1096">
        <x:f t="shared" ref="DS16:DS45" si="54">IF(BM16="",0,RADIANS(ABS(BM16)))</x:f>
        <x:v>0</x:v>
      </x:c>
      <x:c r="DT16" s="1052">
        <x:f t="shared" ref="DT16:DT45" si="55">MIN(IF(BH16&gt;0,BH16/2,MAX(BI16/2,DC16)),IF(BI16&gt;0,BI16/2,MAX(BH16/2,DC16)),IF(DC16&gt;0,DC16,MAX(BI16/2,BH16/2)))/IF(OR(CU16="C",AND(CU16="M",$DD$1="N")),1,COS(DS16))</x:f>
        <x:v>0</x:v>
      </x:c>
      <x:c r="DU16" s="1052" t="str">
        <x:f t="shared" ref="DU16:DU45" si="56">IF(CV16="","",IF(DC16&gt;=0,MAX(BH16/2,BI16/2,DC16),DC16)/IF(OR(CU16="C",AND(CU16="M",$DD$1="N")),1,COS(DS16)))</x:f>
        <x:v/>
      </x:c>
      <x:c r="DV16" s="1095" t="str">
        <x:f t="shared" ref="DV16:DV45" si="57">IF(CV16="","",(CV16+DU16+(VLOOKUP(IF(AU16="HDR","K",AU16),$DF$2:$DN$9,2,FALSE))*TAN(DS16))/COS(FD16)-FH16)</x:f>
        <x:v/>
      </x:c>
      <x:c r="DW16" s="1095" t="str">
        <x:f t="shared" ref="DW16:DW45" si="58">IF(CV16="","",MAX(0,IF(NOT(ISBLANK(CB16)),CV16-CB16,DV16-VLOOKUP(IF(AU16="HDR","K",AU16),$DF$2:$DN$9,4,FALSE))))</x:f>
        <x:v/>
      </x:c>
      <x:c r="DX16" s="1451">
        <x:f t="shared" ref="DX16:DX45" si="59">IF(CV16="",0,IF(DW16/COS(FN16-FD16)&lt;0.0625,0,CEILING(DW16/COS(FN16-FD16)-0.03125,0.125)))</x:f>
        <x:v>0</x:v>
      </x:c>
      <x:c r="DY16" s="1095">
        <x:f t="shared" ref="DY16:DY45" si="60">RADIANS(ABS(BU16))</x:f>
        <x:v>0</x:v>
      </x:c>
      <x:c r="DZ16" s="1052">
        <x:f t="shared" ref="DZ16:DZ45" si="61">MIN(IF(BP16&gt;0,BP16/2,MAX(BQ16/2,DM16)),IF(BQ16&gt;0,BQ16/2,MAX(BP16/2,DM16)),IF(DM16&gt;0,DM16,MAX(BQ16/2,BP16/2)))/IF(OR(DE16="C",AND(DE16="M",$DD$1="N")),1,COS(DY16))</x:f>
        <x:v>0</x:v>
      </x:c>
      <x:c r="EA16" s="1052" t="str">
        <x:f t="shared" ref="EA16:EA45" si="62">IF(DF16="","",IF(DM16&gt;=0,MAX(BP16/2,BQ16/2,DM16),DM16)/IF(OR(DE16="C",AND(DE16="M",$DD$1="N")),1,COS(DY16)))</x:f>
        <x:v/>
      </x:c>
      <x:c r="EB16" s="1095" t="str">
        <x:f t="shared" ref="EB16:EB45" si="63">IF(DF16="","",(DF16+EA16+(VLOOKUP(IF(AU16="HDR","K",AU16),$DF$2:$DN$9,2,FALSE))*TAN(DY16))/COS(FI16)-FM16)</x:f>
        <x:v/>
      </x:c>
      <x:c r="EC16" s="1095" t="str">
        <x:f t="shared" ref="EC16:EC45" si="64">IF(DF16="","",MAX(0,IF(NOT(ISBLANK(CC16)),DF16-CC16,EB16-VLOOKUP(IF(AU16="HDR","K",AU16),$DF$2:$DN$9,4,FALSE))))</x:f>
        <x:v/>
      </x:c>
      <x:c r="ED16" s="1451">
        <x:f t="shared" ref="ED16:ED45" si="65">IF(DF16="",0,IF(EC16/COS(FN16+FI16)&lt;0.0625,0,CEILING(EC16/COS(FN16+FI16)-0.03125,0.125)))</x:f>
        <x:v>0</x:v>
      </x:c>
      <x:c r="EE16" s="1107" t="str">
        <x:f t="shared" ref="EE16:EE45" si="66">IF(AND(EZ16="",DA16=""),"",IF(EZ16="ERR","ERR",IF(CU16="C",DA16,IF(BJ16="","",IF(DA16="",(EZ16/2)*-1,DA16)))))</x:f>
        <x:v/>
      </x:c>
      <x:c r="EF16" s="1095" t="str">
        <x:f t="shared" ref="EF16:EF45" si="67">IF(EE16="ERR","ERR",IF(EE16="","",IF(DB16*TAN(DS16)&lt;=(VLOOKUP(AU16,$DF$2:$DN$9,8,FALSE)-(VLOOKUP(AU16,$DF$2:$DN$9,7,FALSE)-0.0625)),CV16-(EE16-FH16)/IF(OR(CU16="C",AND(CU16="M",$DD$1="N")),1,COS(DS16))-IF(MID(CW16,1,1)="R",0,DW16),(ABS(EE16-FH16)/IF(OR(CU16="C",AND(CU16="M",$DD$1="N")),1,COS(DS16))+CV16)-((DB16/2)*TAN(DS16))-IF(MID(CW16,1,1)="R",0,DW16))))</x:f>
        <x:v/>
      </x:c>
      <x:c r="EG16" s="1095" t="str">
        <x:f t="shared" ref="EG16:EG45" si="68">IF(EE16="ERR","ERR",IF(EE16="","",IF(DB16*TAN(DS16)&lt;=(VLOOKUP(AU16,$DF$2:$DN$9,8,FALSE)-(VLOOKUP(AU16,$DF$2:$DN$9,7,FALSE)-0.0625)),CV16-(EE16-FH16)/IF(OR(CU16="C",AND(CU16="M",$DD$1="N")),1,COS(DS16))-IF(MID(CW16,1,1)="R",0,DW16),(ABS(EE16-FH16)/IF(OR(CU16="C",AND(CU16="M",$DD$1="N")),1,COS(DS16))+CV16)+((DB16/2)*TAN(DS16))-IF(MID(CW16,1,1)="R",0,DW16))))</x:f>
        <x:v/>
      </x:c>
      <x:c r="EH16" s="1095" t="str">
        <x:f t="shared" ref="EH16:EH45" si="69">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0">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1">IF(ISERROR(EF16),"ERR",IF(EF16="","",IF(EH16="ERR","ERR",CEILING(EH16-0.0625,0.125))))</x:f>
        <x:v/>
      </x:c>
      <x:c r="EK16" s="1095" t="str">
        <x:f t="shared" si="71"/>
        <x:v/>
      </x:c>
      <x:c r="EL16" s="1107" t="str">
        <x:f t="shared" ref="EL16:EL45" si="72">IF(AND(FC16="",DK16=""),"",IF(FC16="ERR","ERR",IF(DE16="C",DK16,IF(BR16="","",IF(DK16="",(FC16/2)*-1,DK16)))))</x:f>
        <x:v/>
      </x:c>
      <x:c r="EM16" s="1095" t="str">
        <x:f t="shared" ref="EM16:EM45" si="73">IF(EL16="ERR","ERR",IF(EL16="","",IF(DL16*TAN(DY16)&lt;=(VLOOKUP(AU16,$DF$2:$DN$9,8,FALSE)-(VLOOKUP(AU16,$DF$2:$DN$9,7,FALSE)-0.0625)),DF16-(EL16-FM16)/IF(OR(DE16="C",AND(DE16="M",$DD$1="N")),1,COS(DY16))-IF(MID(DG16,1,1)="R",0,EC16),(ABS(EL16-FM16)/IF(OR(DE16="C",AND(DE16="M",$DD$1="N")),1,COS(DY16))+DF16)-((DL16/2)*TAN(DY16))-IF(MID(DG16,1,1)="R",0,EC16))))</x:f>
        <x:v/>
      </x:c>
      <x:c r="EN16" s="1095" t="str">
        <x:f t="shared" ref="EN16:EN45" si="74">IF(EL16="ERR","ERR",IF(EL16="","",IF(DL16*TAN(DY16)&lt;=(VLOOKUP(AU16,$DF$2:$DN$9,8,FALSE)-(VLOOKUP(AU16,$DF$2:$DN$9,7,FALSE)-0.0625)),DF16-(EL16-FM16)/IF(OR(DE16="C",AND(DE16="M",$DD$1="N")),1,COS(DY16))-IF(MID(DG16,1,1)="R",0,EC16),(ABS(EL16-FM16)/IF(OR(DE16="C",AND(DE16="M",$DD$1="N")),1,COS(DY16))+DF16)+((DL16/2)*TAN(DY16))-IF(MID(DG16,1,1)="R",0,EC16))))</x:f>
        <x:v/>
      </x:c>
      <x:c r="EO16" s="1095" t="str">
        <x:f t="shared" ref="EO16:EO45" si="75">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6">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7">IF(ISERROR(EM16),"ERR",IF(EM16="","",IF(EO16="ERR","ERR",CEILING(EO16-0.0625,0.125))))</x:f>
        <x:v/>
      </x:c>
      <x:c r="ER16" s="1095" t="str">
        <x:f t="shared" si="77"/>
        <x:v/>
      </x:c>
      <x:c r="ES16" s="1053" t="str">
        <x:f t="shared" ref="ES16:ES45" si="78">IF(OR(CY16="",AU16="JS",AU16="HDR",CD16=""),"",IF((CV16-CY16)/COS(DO16)-FS16&lt;=-0.0625,CEILING((CV16-CY16)/COS(DO16)-FS16+0.0625,-0.125),IF((CV16-CY16)/COS(DO16)-FS16&gt;=0.0625,CEILING((CV16-CY16)/COS(DO16)-FS16-0.0625,0.125),0)))</x:f>
        <x:v/>
      </x:c>
      <x:c r="ET16" s="1053" t="str">
        <x:f t="shared" ref="ET16:ET45" si="79">IF(OR(DI16="",AU16="JS",AU16="HDR",CE16=""),"",IF((DF16-DI16)/COS(DO16)-FT16&lt;=-0.0625,CEILING((DF16-DI16)/COS(DO16)-FT16+0.0625,-0.125),IF((DF16-DI16)/COS(DO16)-FT16&gt;=0.0625,CEILING((DF16-DI16)/COS(DO16)-FT16-0.0625,0.125),0)))</x:f>
        <x:v/>
      </x:c>
      <x:c r="EU16" s="1097">
        <x:f t="shared" ref="EU16:EU45" si="80">IF(AU16="","",VLOOKUP(AU16,$DF$2:$DN$9,6,FALSE))</x:f>
        <x:v>3.5</x:v>
      </x:c>
      <x:c r="EV16" s="1055" t="str">
        <x:f t="shared" ref="EV16:EV45" si="81">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2">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3">IF(BR16="X",IF(OR(DE16="M",DE16="C"),"",IF((FB16-FA16)/2&lt;=(VLOOKUP(AU16,$DF$2:$DN$9,8,FALSE)-(VLOOKUP(AU16,$DF$2:$DN$9,7,FALSE)-0.0625)),(FA16+FB16)/2,"ERR")),"")</x:f>
        <x:v/>
      </x:c>
      <x:c r="FD16" s="1096">
        <x:f>IF(DD16="",0,ATAN(DD16/12))</x:f>
        <x:v>0</x:v>
      </x:c>
      <x:c r="FE16" s="1096">
        <x:f t="shared" ref="FE16:FE45" si="84">DO16-FD16</x:f>
        <x:v>0</x:v>
      </x:c>
      <x:c r="FF16" s="1096">
        <x:f t="shared" ref="FF16:FF45" si="85">TAN(FE16)*12</x:f>
        <x:v>0</x:v>
      </x:c>
      <x:c r="FG16" s="1096" t="str">
        <x:f t="shared" ref="FG16:FG45" si="86">IF(FF16=0,"",IF(ABS(FF16)&lt;$CX$2,IF(AND(ABS(MIN(DV16,FQ16)/12*FF16)&gt;$DD$2,FF16&gt;0),IF(FF16&gt;0,CEILING(FF16-0.0625,0.125),CEILING(FF16+0.0625,-0.125)),""),IF(FF16&gt;0,CEILING(FF16-0.0625,0.125),CEILING(FF16+0.0625,-0.125))))</x:f>
        <x:v/>
      </x:c>
      <x:c r="FH16" s="1095" t="str">
        <x:f t="shared" ref="FH16:FH45" si="87">IF(CX16="","",CX16*TAN(FD16))</x:f>
        <x:v/>
      </x:c>
      <x:c r="FI16" s="1096">
        <x:f>IF(DN16="",0,ATAN(DN16/12))</x:f>
        <x:v>0</x:v>
      </x:c>
      <x:c r="FJ16" s="1096">
        <x:f t="shared" ref="FJ16:FJ45" si="88">DO16+FI16</x:f>
        <x:v>0</x:v>
      </x:c>
      <x:c r="FK16" s="1096">
        <x:f t="shared" ref="FK16:FK45" si="89">TAN(FJ16)*-12</x:f>
        <x:v>0</x:v>
      </x:c>
      <x:c r="FL16" s="1096" t="str">
        <x:f t="shared" ref="FL16:FL45" si="90">IF(FK16=0,"",IF(ABS(FK16)&lt;$CX$2,IF(AND(ABS(MIN(EB16,FR16)/12*FK16)&gt;$DD$2,FK16&gt;0),IF(FK16&gt;0,CEILING(FK16-0.0625,0.125),CEILING(FK16+0.0625,-0.125)),""),IF(FK16&gt;0,CEILING(FK16-0.0625,0.125),CEILING(FK16+0.0625,-0.125))))</x:f>
        <x:v/>
      </x:c>
      <x:c r="FM16" s="1095" t="str">
        <x:f t="shared" ref="FM16:FM45" si="91">IF(DH16="","",DH16*TAN(FI16))</x:f>
        <x:v/>
      </x:c>
      <x:c r="FN16" s="1095" t="e">
        <x:f t="shared" ref="FN16:FN45" si="92">IF(((BE16*12+BF16)+CV16+DF16)/COS(DO16)-((BE16*12+BF16)+CV16+DF16)&lt;$DB$2,0,DO16)</x:f>
        <x:v>#VALUE!</x:v>
      </x:c>
      <x:c r="FO16" s="1098" t="e">
        <x:f t="shared" ref="FO16:FO45" si="93">MIN(IF(BH16&gt;0,BH16/2,MAX(BI16/2,DC16)),IF(BI16&gt;0,BI16/2,MAX(BH16/2,DC16)),IF(DC16&gt;0,DC16,MAX(BI16/2,BH16/2)))/COS(DS16)+CV16-DW16</x:f>
        <x:v>#VALUE!</x:v>
      </x:c>
      <x:c r="FP16" s="1098" t="e">
        <x:f t="shared" ref="FP16:FP45" si="94">MIN(IF(BP16&gt;0,BP16/2,MAX(BQ16/2,DM16)),IF(BQ16&gt;0,BQ16/2,MAX(BP16/2,DM16)),IF(DM16&gt;0,DM16,MAX(BQ16/2,BP16/2)))/COS(DY16)+DF16-EC16</x:f>
        <x:v>#VALUE!</x:v>
      </x:c>
      <x:c r="FQ16" s="1099" t="e">
        <x:f t="shared" ref="FQ16:FQ45" si="95">IF(OR(CU16="M", CU16="B",CU16="G"),MAX(BH16,BI16),DC16+CV16)</x:f>
        <x:v>#VALUE!</x:v>
      </x:c>
      <x:c r="FR16" s="1100" t="e">
        <x:f t="shared" ref="FR16:FR45" si="96">IF(OR(DE16="M", DE16="B",DE16="G"),MAX(BP16,BQ16),DM16+DF16)</x:f>
        <x:v>#VALUE!</x:v>
      </x:c>
      <x:c r="FS16" s="1101" t="str">
        <x:f t="shared" ref="FS16:FS45" si="97">IF(CY16="","",IF(ABS(BW16*((AJ16-IF(BW16&gt;0,VLOOKUP(AU16,$DF$2:$DN$9,9,FALSE),0))/12))&gt;$CZ$2,BW16*((AJ16-IF(BW16&gt;0,VLOOKUP(AU16,$DF$2:$DN$9,9,FALSE),0))/12),0))</x:f>
        <x:v/>
      </x:c>
      <x:c r="FT16" s="1102" t="str">
        <x:f t="shared" ref="FT16:FT45" si="98">IF(DI16="","",IF(ABS(BW16*((AJ16-IF(BW16&lt;0,VLOOKUP(AU16,$DF$2:$DN$9,9,FALSE),0))/12))&gt;$CZ$2,BW16*((AJ16-IF(BW16&lt;0,VLOOKUP(AU16,$DF$2:$DN$9,9,FALSE),0))/12)*-1,0))</x:f>
        <x:v/>
      </x:c>
      <x:c r="FU16" s="1103">
        <x:f t="shared" ref="FU16:FU45" si="99">IF(CX16="",0,MAX(0,MIN(DV16-VLOOKUP(AU16,DF$2:DN$9,4,FALSE),(MAX(0,CX16-VLOOKUP(AU16,DF$2:DN$9,3,FALSE))+VLOOKUP(AU16,DF$2:DN$9,4,FALSE))*COS(DO16)+((MAX(0,CX16-VLOOKUP(AU16,DF$2:DN$9,3,FALSE))+VLOOKUP(AU16,DF$2:DN$9,4,FALSE))*COS(PI()/2-DO16))/TAN(PI()/2-(DO16+PI()/4))-VLOOKUP(AU16,DF$2:DN$9,4,FALSE))))</x:f>
        <x:v>0</x:v>
      </x:c>
      <x:c r="FV16" s="1104">
        <x:f t="shared" ref="FV16:FV45" si="100">IF(DH16="",0,MAX(0,MIN(EB16-VLOOKUP(AU16,DF$2:DN$9,4,FALSE),(MAX(0,DH16-VLOOKUP(AU16,DF$2:DN$9,3,FALSE))+VLOOKUP(AU16,DF$2:DN$9,4,FALSE))*COS(DO16)+((MAX(0,DH16-VLOOKUP(AU16,DF$2:DN$9,3,FALSE))+VLOOKUP(AU16,DF$2:DN$9,4,FALSE))*COS(PI()/2-DO16))/TAN(PI()/2-(DO16+PI()/4))-VLOOKUP(AU16,DF$2:DN$9,4,FALSE))))</x:f>
        <x:v>0</x:v>
      </x:c>
      <x:c r="GA16" s="1975">
        <x:v>46</x:v>
      </x:c>
      <x:c r="GB16" s="1976">
        <x:v>0.75</x:v>
      </x:c>
      <x:c r="GC16" s="1977">
        <x:v>-0.25</x:v>
      </x:c>
      <x:c r="GD16" s="1978">
        <x:v>-0.5</x:v>
      </x:c>
      <x:c r="GE16" s="1979">
        <x:v>3.6380334583409502E-2</x:v>
      </x:c>
      <x:c r="GF16" s="1980" t="str">
        <x:f t="shared" ref="GF16:GF45" si="101">IF(A16=0,"",A16)</x:f>
        <x:v>J92</x:v>
      </x:c>
      <x:c r="GG16" s="1453"/>
      <x:c r="GH16" s="1454"/>
      <x:c r="GI16" s="1453"/>
      <x:c r="GJ16" s="1454"/>
      <x:c r="GK16" s="533">
        <x:f t="shared" ref="GK16:GK45" si="102">IF(D16="",0,D16*12+E16)</x:f>
        <x:v>552</x:v>
      </x:c>
      <x:c r="GL16" s="534">
        <x:f t="shared" ref="GL16:GL45" si="103">(GA16*12+GB16+GC16+GD16)/COS(ATAN(ABS(GE16/12)))</x:f>
        <x:v>552.0025367575978</x:v>
      </x:c>
      <x:c r="GM16" s="535">
        <x:f>IF(ABS(GK16-GL16)&gt;='Job Info.'!$L$22,ABS(GK16-GL16),0)</x:f>
        <x:v>0</x:v>
      </x:c>
      <x:c r="HA16" s="1652" t="s">
        <x:v>1416</x:v>
      </x:c>
      <x:c r="HB16" s="1653">
        <x:v>1</x:v>
      </x:c>
      <x:c r="HC16" s="1653" t="s">
        <x:v>1979</x:v>
      </x:c>
      <x:c r="HD16" s="1654">
        <x:v>46</x:v>
      </x:c>
      <x:c r="HE16" s="1655">
        <x:v>0</x:v>
      </x:c>
      <x:c r="HF16" s="1653">
        <x:v>0</x:v>
      </x:c>
      <x:c r="HG16" s="1653">
        <x:v>1.375</x:v>
      </x:c>
      <x:c r="HH16" s="1653" t="s">
        <x:v>114</x:v>
      </x:c>
      <x:c r="HI16" s="1656" t="s">
        <x:v>117</x:v>
      </x:c>
      <x:c r="HJ16" s="1653" t="s">
        <x:v>117</x:v>
      </x:c>
      <x:c r="HK16" s="1653" t="s">
        <x:v>117</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2128</x:v>
      </x:c>
      <x:c r="IB16" s="1655"/>
      <x:c r="IC16" s="1655"/>
      <x:c r="ID16" s="1655"/>
      <x:c r="IE16" s="1655"/>
      <x:c r="IF16" s="1657"/>
    </x:row>
    <x:row r="17" spans="1:240" ht="12.6" customHeight="1" x14ac:dyDescent="0.25">
      <x:c r="A17" s="1264" t="s">
        <x:v>1417</x:v>
      </x:c>
      <x:c r="B17" s="1265">
        <x:v>1</x:v>
      </x:c>
      <x:c r="C17" s="1265" t="s">
        <x:v>1979</x:v>
      </x:c>
      <x:c r="D17" s="1261">
        <x:v>50</x:v>
      </x:c>
      <x:c r="E17" s="1366">
        <x:v>3.5</x:v>
      </x:c>
      <x:c r="F17" s="1328">
        <x:v>0</x:v>
      </x:c>
      <x:c r="G17" s="1262">
        <x:v>4.625</x:v>
      </x:c>
      <x:c r="H17" s="1266" t="s">
        <x:v>114</x:v>
      </x:c>
      <x:c r="I17" s="2195">
        <x:v>0</x:v>
      </x:c>
      <x:c r="J17" s="2122">
        <x:v>0.5</x:v>
      </x:c>
      <x:c r="K17" s="2209" t="s">
        <x:v>114</x:v>
      </x:c>
      <x:c r="L17" s="1327">
        <x:v>3</x:v>
      </x:c>
      <x:c r="M17" s="1329">
        <x:v>3</x:v>
      </x:c>
      <x:c r="N17" s="1263">
        <x:v>0</x:v>
      </x:c>
      <x:c r="O17" s="1262">
        <x:v>10</x:v>
      </x:c>
      <x:c r="P17" s="1260">
        <x:v>2</x:v>
      </x:c>
      <x:c r="Q17" s="1261" t="str">
        <x:f t="shared" si="4"/>
        <x:v/>
      </x:c>
      <x:c r="R17" s="1262" t="str">
        <x:f t="shared" si="5"/>
        <x:v/>
      </x:c>
      <x:c r="S17" s="1375" t="str">
        <x:f t="shared" si="6"/>
        <x:v/>
      </x:c>
      <x:c r="T17" s="1328">
        <x:v>0</x:v>
      </x:c>
      <x:c r="U17" s="1262">
        <x:v>5.5</x:v>
      </x:c>
      <x:c r="V17" s="1261">
        <x:v>0</x:v>
      </x:c>
      <x:c r="W17" s="1262">
        <x:v>2.5</x:v>
      </x:c>
      <x:c r="X17" s="1329">
        <x:v>4</x:v>
      </x:c>
      <x:c r="Y17" s="1377" t="str">
        <x:f t="shared" si="12"/>
        <x:v/>
      </x:c>
      <x:c r="Z17" s="1378" t="str">
        <x:f t="shared" si="13"/>
        <x:v/>
      </x:c>
      <x:c r="AA17" s="2159" t="s">
        <x:v>2129</x:v>
      </x:c>
      <x:c r="AC17" s="1226" t="b">
        <x:v>0</x:v>
      </x:c>
      <x:c r="AD17" s="525">
        <x:f t="shared" si="14"/>
        <x:v>1</x:v>
      </x:c>
      <x:c r="AE17" s="526">
        <x:f t="shared" si="15"/>
        <x:v>0</x:v>
      </x:c>
      <x:c r="AF17" s="526">
        <x:f t="shared" si="16"/>
        <x:v>0</x:v>
      </x:c>
      <x:c r="AG17" s="526">
        <x:f t="shared" si="17"/>
        <x:v>0</x:v>
      </x:c>
      <x:c r="AH17" s="527">
        <x:f t="shared" si="18"/>
        <x:v>0</x:v>
      </x:c>
      <x:c r="AI17" s="528" t="b">
        <x:v>0</x:v>
      </x:c>
      <x:c r="AJ17" s="284">
        <x:f t="shared" si="19"/>
        <x:v>30</x:v>
      </x:c>
      <x:c r="AK17" s="1063" t="str">
        <x:f t="shared" si="20"/>
        <x:v>K</x:v>
      </x:c>
      <x:c r="AL17" s="1202" t="str">
        <x:f t="shared" si="21"/>
        <x:v/>
      </x:c>
      <x:c r="AM17" s="1063">
        <x:f t="shared" si="22"/>
        <x:v>240</x:v>
      </x:c>
      <x:c r="AN17" s="1063">
        <x:f t="shared" si="23"/>
        <x:v>140</x:v>
      </x:c>
      <x:c r="AO17" s="1063" t="str">
        <x:f t="shared" si="24"/>
        <x:v/>
      </x:c>
      <x:c r="AP17" s="1063" t="b">
        <x:f>IF(ISERROR(AJ17),FALSE,IF(OR(AJ17=0,ISERROR(AL17),ISERROR(AM17),ISERROR(AN17),ISERROR(AO17)),FALSE,IF(AL17&lt;&gt;"",IF(ISERROR(VLOOKUP(SUBSTITUTE(SUBSTITUTE(C17,"R",""),"A",""),TblJoistSize!$A:$A,1,FALSE)),FALSE,TRUE),TRUE)))</x:f>
        <x:v>1</x:v>
      </x:c>
      <x:c r="AQ17" s="1305">
        <x:f t="shared" si="25"/>
        <x:v>8.625</x:v>
      </x:c>
      <x:c r="AR17" s="1305" t="b">
        <x:f t="shared" si="26"/>
        <x:v>1</x:v>
      </x:c>
      <x:c r="AS17" s="1305">
        <x:f t="shared" si="27"/>
        <x:v>4.5</x:v>
      </x:c>
      <x:c r="AT17" s="1305" t="b">
        <x:f t="shared" si="28"/>
        <x:v>1</x:v>
      </x:c>
      <x:c r="AU17" s="1203" t="str">
        <x:f t="shared" si="29"/>
        <x:v>K</x:v>
      </x:c>
      <x:c r="AV17" s="1063" t="str">
        <x:f t="shared" si="30"/>
        <x:v>K</x:v>
      </x:c>
      <x:c r="AW17" s="1063" t="str">
        <x:f t="shared" si="31"/>
        <x:v/>
      </x:c>
      <x:c r="AX17" s="1063" t="str">
        <x:f t="shared" ref="AX17:AX45" si="104">IF(AND(OR(ISBLANK(A17),A17=""),AA17&lt;&gt;""),AX16,IF(OR(ISBLANK(A17),A17=""),"",A17))</x:f>
        <x:v>TJ93</x:v>
      </x:c>
      <x:c r="AY17" s="1306" t="b">
        <x:f t="shared" si="32"/>
        <x:v>0</x:v>
      </x:c>
      <x:c r="AZ17" s="1090" t="b">
        <x:f t="shared" si="33"/>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4"/>
        <x:v/>
      </x:c>
      <x:c r="CE17" s="935" t="str">
        <x:f t="shared" si="35"/>
        <x:v/>
      </x:c>
      <x:c r="CF17" s="1149"/>
      <x:c r="CG17" s="1150"/>
      <x:c r="CH17" s="738" t="str">
        <x:f t="shared" si="36"/>
        <x:v/>
      </x:c>
      <x:c r="CI17" s="739" t="str">
        <x:f t="shared" si="37"/>
        <x:v/>
      </x:c>
      <x:c r="CJ17" s="740" t="str">
        <x:f t="shared" si="38"/>
        <x:v/>
      </x:c>
      <x:c r="CK17" s="741" t="str">
        <x:f t="shared" si="39"/>
        <x:v/>
      </x:c>
      <x:c r="CL17" s="742" t="str">
        <x:f t="shared" si="40"/>
        <x:v/>
      </x:c>
      <x:c r="CM17" s="743" t="str">
        <x:f t="shared" si="41"/>
        <x:v/>
      </x:c>
      <x:c r="CN17" s="744" t="str">
        <x:f t="shared" si="42"/>
        <x:v/>
      </x:c>
      <x:c r="CO17" s="745" t="str">
        <x:f t="shared" si="43"/>
        <x:v/>
      </x:c>
      <x:c r="CP17" s="762" t="str">
        <x:f t="shared" si="44"/>
        <x:v/>
      </x:c>
      <x:c r="CQ17" s="763" t="str">
        <x:f t="shared" si="45"/>
        <x:v/>
      </x:c>
      <x:c r="CR17" s="953">
        <x:f t="shared" si="46"/>
        <x:v>2.5</x:v>
      </x:c>
      <x:c r="CS17" s="954">
        <x:f t="shared" si="47"/>
        <x:v>2.5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8"/>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9"/>
        <x:v>0</x:v>
      </x:c>
      <x:c r="DO17" s="1049">
        <x:f t="shared" si="50"/>
        <x:v>0</x:v>
      </x:c>
      <x:c r="DP17" s="1053" t="str">
        <x:f t="shared" si="51"/>
        <x:v/>
      </x:c>
      <x:c r="DQ17" s="1053" t="str">
        <x:f t="shared" si="52"/>
        <x:v/>
      </x:c>
      <x:c r="DR17" s="1053" t="str">
        <x:f t="shared" si="53"/>
        <x:v/>
      </x:c>
      <x:c r="DS17" s="1052">
        <x:f t="shared" si="54"/>
        <x:v>0</x:v>
      </x:c>
      <x:c r="DT17" s="1052">
        <x:f t="shared" si="55"/>
        <x:v>0</x:v>
      </x:c>
      <x:c r="DU17" s="1052" t="str">
        <x:f t="shared" si="56"/>
        <x:v/>
      </x:c>
      <x:c r="DV17" s="1053" t="str">
        <x:f t="shared" si="57"/>
        <x:v/>
      </x:c>
      <x:c r="DW17" s="1053" t="str">
        <x:f t="shared" si="58"/>
        <x:v/>
      </x:c>
      <x:c r="DX17" s="1269">
        <x:f t="shared" si="59"/>
        <x:v>0</x:v>
      </x:c>
      <x:c r="DY17" s="1053">
        <x:f t="shared" si="60"/>
        <x:v>0</x:v>
      </x:c>
      <x:c r="DZ17" s="1052">
        <x:f t="shared" si="61"/>
        <x:v>0</x:v>
      </x:c>
      <x:c r="EA17" s="1052" t="str">
        <x:f t="shared" si="62"/>
        <x:v/>
      </x:c>
      <x:c r="EB17" s="1053" t="str">
        <x:f t="shared" si="63"/>
        <x:v/>
      </x:c>
      <x:c r="EC17" s="1053" t="str">
        <x:f t="shared" si="64"/>
        <x:v/>
      </x:c>
      <x:c r="ED17" s="1269">
        <x:f t="shared" si="65"/>
        <x:v>0</x:v>
      </x:c>
      <x:c r="EE17" s="1090" t="str">
        <x:f t="shared" si="66"/>
        <x:v/>
      </x:c>
      <x:c r="EF17" s="1053" t="str">
        <x:f t="shared" si="67"/>
        <x:v/>
      </x:c>
      <x:c r="EG17" s="1053" t="str">
        <x:f t="shared" si="68"/>
        <x:v/>
      </x:c>
      <x:c r="EH17" s="1053" t="str">
        <x:f t="shared" si="69"/>
        <x:v>ERR</x:v>
      </x:c>
      <x:c r="EI17" s="1053" t="str">
        <x:f t="shared" si="70"/>
        <x:v>ERR</x:v>
      </x:c>
      <x:c r="EJ17" s="1053" t="str">
        <x:f t="shared" si="71"/>
        <x:v/>
      </x:c>
      <x:c r="EK17" s="1053" t="str">
        <x:f t="shared" si="71"/>
        <x:v/>
      </x:c>
      <x:c r="EL17" s="1090" t="str">
        <x:f t="shared" si="72"/>
        <x:v/>
      </x:c>
      <x:c r="EM17" s="1053" t="str">
        <x:f t="shared" si="73"/>
        <x:v/>
      </x:c>
      <x:c r="EN17" s="1053" t="str">
        <x:f t="shared" si="74"/>
        <x:v/>
      </x:c>
      <x:c r="EO17" s="1053" t="str">
        <x:f t="shared" si="75"/>
        <x:v>ERR</x:v>
      </x:c>
      <x:c r="EP17" s="1053" t="str">
        <x:f t="shared" si="76"/>
        <x:v>ERR</x:v>
      </x:c>
      <x:c r="EQ17" s="1053" t="str">
        <x:f t="shared" si="77"/>
        <x:v/>
      </x:c>
      <x:c r="ER17" s="1053" t="str">
        <x:f t="shared" si="77"/>
        <x:v/>
      </x:c>
      <x:c r="ES17" s="1053" t="str">
        <x:f t="shared" si="78"/>
        <x:v/>
      </x:c>
      <x:c r="ET17" s="1053" t="str">
        <x:f t="shared" si="79"/>
        <x:v/>
      </x:c>
      <x:c r="EU17" s="1061">
        <x:f t="shared" si="80"/>
        <x:v>3.5</x:v>
      </x:c>
      <x:c r="EV17" s="1055" t="str">
        <x:f t="shared" si="81"/>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2"/>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3"/>
        <x:v/>
      </x:c>
      <x:c r="FD17" s="1052">
        <x:f t="shared" ref="FD17:FD45" si="105">IF(DD17="",0,ATAN(DD17/12))</x:f>
        <x:v>0</x:v>
      </x:c>
      <x:c r="FE17" s="1052">
        <x:f t="shared" si="84"/>
        <x:v>0</x:v>
      </x:c>
      <x:c r="FF17" s="1052">
        <x:f t="shared" si="85"/>
        <x:v>0</x:v>
      </x:c>
      <x:c r="FG17" s="1052" t="str">
        <x:f t="shared" si="86"/>
        <x:v/>
      </x:c>
      <x:c r="FH17" s="1053" t="str">
        <x:f t="shared" si="87"/>
        <x:v/>
      </x:c>
      <x:c r="FI17" s="1052">
        <x:f t="shared" ref="FI17:FI45" si="106">IF(DN17="",0,ATAN(DN17/12))</x:f>
        <x:v>0</x:v>
      </x:c>
      <x:c r="FJ17" s="1052">
        <x:f t="shared" si="88"/>
        <x:v>0</x:v>
      </x:c>
      <x:c r="FK17" s="1052">
        <x:f t="shared" si="89"/>
        <x:v>0</x:v>
      </x:c>
      <x:c r="FL17" s="1052" t="str">
        <x:f t="shared" si="90"/>
        <x:v/>
      </x:c>
      <x:c r="FM17" s="1053" t="str">
        <x:f t="shared" si="91"/>
        <x:v/>
      </x:c>
      <x:c r="FN17" s="1053" t="e">
        <x:f t="shared" si="92"/>
        <x:v>#VALUE!</x:v>
      </x:c>
      <x:c r="FO17" s="1062" t="e">
        <x:f t="shared" si="93"/>
        <x:v>#VALUE!</x:v>
      </x:c>
      <x:c r="FP17" s="1062" t="e">
        <x:f t="shared" si="94"/>
        <x:v>#VALUE!</x:v>
      </x:c>
      <x:c r="FQ17" s="1063" t="e">
        <x:f t="shared" si="95"/>
        <x:v>#VALUE!</x:v>
      </x:c>
      <x:c r="FR17" s="1064" t="e">
        <x:f t="shared" si="96"/>
        <x:v>#VALUE!</x:v>
      </x:c>
      <x:c r="FS17" s="1065" t="str">
        <x:f t="shared" si="97"/>
        <x:v/>
      </x:c>
      <x:c r="FT17" s="1066" t="str">
        <x:f t="shared" si="98"/>
        <x:v/>
      </x:c>
      <x:c r="FU17" s="1105">
        <x:f t="shared" si="99"/>
        <x:v>0</x:v>
      </x:c>
      <x:c r="FV17" s="1106">
        <x:f t="shared" si="100"/>
        <x:v>0</x:v>
      </x:c>
      <x:c r="GA17" s="1975">
        <x:v>50</x:v>
      </x:c>
      <x:c r="GB17" s="1976">
        <x:v>1</x:v>
      </x:c>
      <x:c r="GC17" s="1977">
        <x:v>3</x:v>
      </x:c>
      <x:c r="GD17" s="1978">
        <x:v>-0.5</x:v>
      </x:c>
      <x:c r="GE17" s="1979">
        <x:v>3.9931416461180702E-2</x:v>
      </x:c>
      <x:c r="GF17" s="1980" t="str">
        <x:f t="shared" si="101"/>
        <x:v>TJ93</x:v>
      </x:c>
      <x:c r="GG17" s="1453"/>
      <x:c r="GH17" s="1454"/>
      <x:c r="GI17" s="1453"/>
      <x:c r="GJ17" s="1454"/>
      <x:c r="GK17" s="533">
        <x:f t="shared" si="102"/>
        <x:v>603.5</x:v>
      </x:c>
      <x:c r="GL17" s="534">
        <x:f t="shared" si="103"/>
        <x:v>603.50334128111649</x:v>
      </x:c>
      <x:c r="GM17" s="535">
        <x:f>IF(ABS(GK17-GL17)&gt;='Job Info.'!$L$22,ABS(GK17-GL17),0)</x:f>
        <x:v>0</x:v>
      </x:c>
      <x:c r="HA17" s="1658" t="s">
        <x:v>1417</x:v>
      </x:c>
      <x:c r="HB17" s="1659">
        <x:v>1</x:v>
      </x:c>
      <x:c r="HC17" s="1659" t="s">
        <x:v>1979</x:v>
      </x:c>
      <x:c r="HD17" s="1660">
        <x:v>50</x:v>
      </x:c>
      <x:c r="HE17" s="1661">
        <x:v>3.5</x:v>
      </x:c>
      <x:c r="HF17" s="1659">
        <x:v>0</x:v>
      </x:c>
      <x:c r="HG17" s="1659">
        <x:v>4.625</x:v>
      </x:c>
      <x:c r="HH17" s="1659" t="s">
        <x:v>114</x:v>
      </x:c>
      <x:c r="HI17" s="1662" t="s">
        <x:v>117</x:v>
      </x:c>
      <x:c r="HJ17" s="1659" t="s">
        <x:v>117</x:v>
      </x:c>
      <x:c r="HK17" s="1659" t="s">
        <x:v>117</x:v>
      </x:c>
      <x:c r="HL17" s="1659">
        <x:v>3</x:v>
      </x:c>
      <x:c r="HM17" s="1659">
        <x:v>3</x:v>
      </x:c>
      <x:c r="HN17" s="1659">
        <x:v>0</x:v>
      </x:c>
      <x:c r="HO17" s="1659">
        <x:v>10</x:v>
      </x:c>
      <x:c r="HP17" s="1659">
        <x:v>2</x:v>
      </x:c>
      <x:c r="HQ17" s="1662" t="s">
        <x:v>117</x:v>
      </x:c>
      <x:c r="HR17" s="1659" t="s">
        <x:v>117</x:v>
      </x:c>
      <x:c r="HS17" s="1659" t="s">
        <x:v>117</x:v>
      </x:c>
      <x:c r="HT17" s="1659">
        <x:v>0</x:v>
      </x:c>
      <x:c r="HU17" s="1659">
        <x:v>5.5</x:v>
      </x:c>
      <x:c r="HV17" s="1659">
        <x:v>0</x:v>
      </x:c>
      <x:c r="HW17" s="1661">
        <x:v>2.5</x:v>
      </x:c>
      <x:c r="HX17" s="1661">
        <x:v>4</x:v>
      </x:c>
      <x:c r="HY17" s="1661" t="s">
        <x:v>117</x:v>
      </x:c>
      <x:c r="HZ17" s="1661" t="s">
        <x:v>117</x:v>
      </x:c>
      <x:c r="IA17" s="1661" t="s">
        <x:v>2129</x:v>
      </x:c>
      <x:c r="IB17" s="1661"/>
      <x:c r="IC17" s="1661"/>
      <x:c r="ID17" s="1661"/>
      <x:c r="IE17" s="1661"/>
      <x:c r="IF17" s="1663"/>
    </x:row>
    <x:row r="18" spans="1:240" ht="12.6" customHeight="1" x14ac:dyDescent="0.25">
      <x:c r="A18" s="1264" t="s">
        <x:v>1418</x:v>
      </x:c>
      <x:c r="B18" s="1265">
        <x:v>1</x:v>
      </x:c>
      <x:c r="C18" s="1265" t="s">
        <x:v>1979</x:v>
      </x:c>
      <x:c r="D18" s="1261">
        <x:v>52</x:v>
      </x:c>
      <x:c r="E18" s="1366">
        <x:v>4</x:v>
      </x:c>
      <x:c r="F18" s="1328">
        <x:v>0</x:v>
      </x:c>
      <x:c r="G18" s="1262">
        <x:v>3.625</x:v>
      </x:c>
      <x:c r="H18" s="1266" t="s">
        <x:v>114</x:v>
      </x:c>
      <x:c r="I18" s="1261">
        <x:v>0</x:v>
      </x:c>
      <x:c r="J18" s="1262">
        <x:v>3.625</x:v>
      </x:c>
      <x:c r="K18" s="1370" t="s">
        <x:v>114</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t="str">
        <x:f t="shared" si="7"/>
        <x:v/>
      </x:c>
      <x:c r="U18" s="1262" t="str">
        <x:f t="shared" si="8"/>
        <x:v/>
      </x:c>
      <x:c r="V18" s="1261" t="str">
        <x:f t="shared" si="9"/>
        <x:v/>
      </x:c>
      <x:c r="W18" s="1262" t="str">
        <x:f t="shared" si="10"/>
        <x:v/>
      </x:c>
      <x:c r="X18" s="1329">
        <x:f t="shared" si="11"/>
        <x:v>0</x:v>
      </x:c>
      <x:c r="Y18" s="1377" t="str">
        <x:f t="shared" si="12"/>
        <x:v/>
      </x:c>
      <x:c r="Z18" s="1378" t="str">
        <x:f t="shared" si="13"/>
        <x:v/>
      </x:c>
      <x:c r="AA18" s="2211" t="s">
        <x:v>2329</x:v>
      </x:c>
      <x:c r="AC18" s="1226" t="b">
        <x:v>0</x:v>
      </x:c>
      <x:c r="AD18" s="525">
        <x:f t="shared" si="14"/>
        <x:v>1</x:v>
      </x:c>
      <x:c r="AE18" s="526">
        <x:f t="shared" si="15"/>
        <x:v>0</x:v>
      </x:c>
      <x:c r="AF18" s="526">
        <x:f t="shared" si="16"/>
        <x:v>0</x:v>
      </x:c>
      <x:c r="AG18" s="526">
        <x:f t="shared" si="17"/>
        <x:v>0</x:v>
      </x:c>
      <x:c r="AH18" s="527">
        <x:f t="shared" si="18"/>
        <x:v>0</x:v>
      </x:c>
      <x:c r="AI18" s="528" t="b">
        <x:v>0</x:v>
      </x:c>
      <x:c r="AJ18" s="284">
        <x:f t="shared" si="19"/>
        <x:v>30</x:v>
      </x:c>
      <x:c r="AK18" s="1063" t="str">
        <x:f t="shared" si="20"/>
        <x:v>K</x:v>
      </x:c>
      <x:c r="AL18" s="1202" t="str">
        <x:f t="shared" si="21"/>
        <x:v/>
      </x:c>
      <x:c r="AM18" s="1063">
        <x:f t="shared" si="22"/>
        <x:v>240</x:v>
      </x:c>
      <x:c r="AN18" s="1063">
        <x:f t="shared" si="23"/>
        <x:v>140</x:v>
      </x:c>
      <x:c r="AO18" s="1063" t="str">
        <x:f t="shared" si="24"/>
        <x:v/>
      </x:c>
      <x:c r="AP18" s="1063" t="b">
        <x:f>IF(ISERROR(AJ18),FALSE,IF(OR(AJ18=0,ISERROR(AL18),ISERROR(AM18),ISERROR(AN18),ISERROR(AO18)),FALSE,IF(AL18&lt;&gt;"",IF(ISERROR(VLOOKUP(SUBSTITUTE(SUBSTITUTE(C18,"R",""),"A",""),TblJoistSize!$A:$A,1,FALSE)),FALSE,TRUE),TRUE)))</x:f>
        <x:v>1</x:v>
      </x:c>
      <x:c r="AQ18" s="1305">
        <x:f t="shared" si="25"/>
        <x:v>7.625</x:v>
      </x:c>
      <x:c r="AR18" s="1305" t="b">
        <x:f t="shared" si="26"/>
        <x:v>0</x:v>
      </x:c>
      <x:c r="AS18" s="1305">
        <x:f t="shared" si="27"/>
        <x:v>7.625</x:v>
      </x:c>
      <x:c r="AT18" s="1305" t="b">
        <x:f t="shared" si="28"/>
        <x:v>0</x:v>
      </x:c>
      <x:c r="AU18" s="1203" t="str">
        <x:f t="shared" si="29"/>
        <x:v>K</x:v>
      </x:c>
      <x:c r="AV18" s="1063" t="str">
        <x:f t="shared" si="30"/>
        <x:v>K</x:v>
      </x:c>
      <x:c r="AW18" s="1063" t="str">
        <x:f t="shared" si="31"/>
        <x:v/>
      </x:c>
      <x:c r="AX18" s="1063" t="str">
        <x:f t="shared" si="104"/>
        <x:v>J94</x:v>
      </x:c>
      <x:c r="AY18" s="1306" t="b">
        <x:f t="shared" si="32"/>
        <x:v>0</x:v>
      </x:c>
      <x:c r="AZ18" s="1090" t="b">
        <x:f t="shared" si="33"/>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4"/>
        <x:v/>
      </x:c>
      <x:c r="CE18" s="935" t="str">
        <x:f t="shared" si="35"/>
        <x:v/>
      </x:c>
      <x:c r="CF18" s="1149"/>
      <x:c r="CG18" s="1150"/>
      <x:c r="CH18" s="738" t="str">
        <x:f t="shared" si="36"/>
        <x:v/>
      </x:c>
      <x:c r="CI18" s="739" t="str">
        <x:f t="shared" si="37"/>
        <x:v/>
      </x:c>
      <x:c r="CJ18" s="740" t="str">
        <x:f t="shared" si="38"/>
        <x:v/>
      </x:c>
      <x:c r="CK18" s="741" t="str">
        <x:f t="shared" si="39"/>
        <x:v/>
      </x:c>
      <x:c r="CL18" s="742" t="str">
        <x:f t="shared" si="40"/>
        <x:v/>
      </x:c>
      <x:c r="CM18" s="743" t="str">
        <x:f t="shared" si="41"/>
        <x:v/>
      </x:c>
      <x:c r="CN18" s="744" t="str">
        <x:f t="shared" si="42"/>
        <x:v/>
      </x:c>
      <x:c r="CO18" s="745" t="str">
        <x:f t="shared" si="43"/>
        <x:v/>
      </x:c>
      <x:c r="CP18" s="762" t="str">
        <x:f t="shared" si="44"/>
        <x:v/>
      </x:c>
      <x:c r="CQ18" s="763" t="str">
        <x:f t="shared" si="45"/>
        <x:v/>
      </x:c>
      <x:c r="CR18" s="953">
        <x:f t="shared" si="46"/>
        <x:v>2.5</x:v>
      </x:c>
      <x:c r="CS18" s="954">
        <x:f t="shared" si="47"/>
        <x:v>2.5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8"/>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9"/>
        <x:v>0</x:v>
      </x:c>
      <x:c r="DO18" s="1049">
        <x:f t="shared" si="50"/>
        <x:v>0</x:v>
      </x:c>
      <x:c r="DP18" s="1053" t="str">
        <x:f t="shared" si="51"/>
        <x:v/>
      </x:c>
      <x:c r="DQ18" s="1053" t="str">
        <x:f t="shared" si="52"/>
        <x:v/>
      </x:c>
      <x:c r="DR18" s="1053" t="str">
        <x:f t="shared" si="53"/>
        <x:v/>
      </x:c>
      <x:c r="DS18" s="1052">
        <x:f t="shared" si="54"/>
        <x:v>0</x:v>
      </x:c>
      <x:c r="DT18" s="1052">
        <x:f t="shared" si="55"/>
        <x:v>0</x:v>
      </x:c>
      <x:c r="DU18" s="1052" t="str">
        <x:f t="shared" si="56"/>
        <x:v/>
      </x:c>
      <x:c r="DV18" s="1053" t="str">
        <x:f t="shared" si="57"/>
        <x:v/>
      </x:c>
      <x:c r="DW18" s="1053" t="str">
        <x:f t="shared" si="58"/>
        <x:v/>
      </x:c>
      <x:c r="DX18" s="1269">
        <x:f t="shared" si="59"/>
        <x:v>0</x:v>
      </x:c>
      <x:c r="DY18" s="1053">
        <x:f t="shared" si="60"/>
        <x:v>0</x:v>
      </x:c>
      <x:c r="DZ18" s="1052">
        <x:f t="shared" si="61"/>
        <x:v>0</x:v>
      </x:c>
      <x:c r="EA18" s="1052" t="str">
        <x:f t="shared" si="62"/>
        <x:v/>
      </x:c>
      <x:c r="EB18" s="1053" t="str">
        <x:f t="shared" si="63"/>
        <x:v/>
      </x:c>
      <x:c r="EC18" s="1053" t="str">
        <x:f t="shared" si="64"/>
        <x:v/>
      </x:c>
      <x:c r="ED18" s="1269">
        <x:f t="shared" si="65"/>
        <x:v>0</x:v>
      </x:c>
      <x:c r="EE18" s="1090" t="str">
        <x:f t="shared" si="66"/>
        <x:v/>
      </x:c>
      <x:c r="EF18" s="1053" t="str">
        <x:f t="shared" si="67"/>
        <x:v/>
      </x:c>
      <x:c r="EG18" s="1053" t="str">
        <x:f t="shared" si="68"/>
        <x:v/>
      </x:c>
      <x:c r="EH18" s="1053" t="str">
        <x:f t="shared" si="69"/>
        <x:v>ERR</x:v>
      </x:c>
      <x:c r="EI18" s="1053" t="str">
        <x:f t="shared" si="70"/>
        <x:v>ERR</x:v>
      </x:c>
      <x:c r="EJ18" s="1053" t="str">
        <x:f t="shared" si="71"/>
        <x:v/>
      </x:c>
      <x:c r="EK18" s="1053" t="str">
        <x:f t="shared" si="71"/>
        <x:v/>
      </x:c>
      <x:c r="EL18" s="1090" t="str">
        <x:f t="shared" si="72"/>
        <x:v/>
      </x:c>
      <x:c r="EM18" s="1053" t="str">
        <x:f t="shared" si="73"/>
        <x:v/>
      </x:c>
      <x:c r="EN18" s="1053" t="str">
        <x:f t="shared" si="74"/>
        <x:v/>
      </x:c>
      <x:c r="EO18" s="1053" t="str">
        <x:f t="shared" si="75"/>
        <x:v>ERR</x:v>
      </x:c>
      <x:c r="EP18" s="1053" t="str">
        <x:f t="shared" si="76"/>
        <x:v>ERR</x:v>
      </x:c>
      <x:c r="EQ18" s="1053" t="str">
        <x:f t="shared" si="77"/>
        <x:v/>
      </x:c>
      <x:c r="ER18" s="1053" t="str">
        <x:f t="shared" si="77"/>
        <x:v/>
      </x:c>
      <x:c r="ES18" s="1053" t="str">
        <x:f t="shared" si="78"/>
        <x:v/>
      </x:c>
      <x:c r="ET18" s="1053" t="str">
        <x:f t="shared" si="79"/>
        <x:v/>
      </x:c>
      <x:c r="EU18" s="1061">
        <x:f t="shared" si="80"/>
        <x:v>3.5</x:v>
      </x:c>
      <x:c r="EV18" s="1055" t="str">
        <x:f t="shared" si="81"/>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2"/>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3"/>
        <x:v/>
      </x:c>
      <x:c r="FD18" s="1052">
        <x:f t="shared" si="105"/>
        <x:v>0</x:v>
      </x:c>
      <x:c r="FE18" s="1052">
        <x:f t="shared" si="84"/>
        <x:v>0</x:v>
      </x:c>
      <x:c r="FF18" s="1052">
        <x:f t="shared" si="85"/>
        <x:v>0</x:v>
      </x:c>
      <x:c r="FG18" s="1052" t="str">
        <x:f t="shared" si="86"/>
        <x:v/>
      </x:c>
      <x:c r="FH18" s="1053" t="str">
        <x:f t="shared" si="87"/>
        <x:v/>
      </x:c>
      <x:c r="FI18" s="1052">
        <x:f t="shared" si="106"/>
        <x:v>0</x:v>
      </x:c>
      <x:c r="FJ18" s="1052">
        <x:f t="shared" si="88"/>
        <x:v>0</x:v>
      </x:c>
      <x:c r="FK18" s="1052">
        <x:f t="shared" si="89"/>
        <x:v>0</x:v>
      </x:c>
      <x:c r="FL18" s="1052" t="str">
        <x:f t="shared" si="90"/>
        <x:v/>
      </x:c>
      <x:c r="FM18" s="1053" t="str">
        <x:f t="shared" si="91"/>
        <x:v/>
      </x:c>
      <x:c r="FN18" s="1053" t="e">
        <x:f t="shared" si="92"/>
        <x:v>#VALUE!</x:v>
      </x:c>
      <x:c r="FO18" s="1062" t="e">
        <x:f t="shared" si="93"/>
        <x:v>#VALUE!</x:v>
      </x:c>
      <x:c r="FP18" s="1062" t="e">
        <x:f t="shared" si="94"/>
        <x:v>#VALUE!</x:v>
      </x:c>
      <x:c r="FQ18" s="1063" t="e">
        <x:f t="shared" si="95"/>
        <x:v>#VALUE!</x:v>
      </x:c>
      <x:c r="FR18" s="1064" t="e">
        <x:f t="shared" si="96"/>
        <x:v>#VALUE!</x:v>
      </x:c>
      <x:c r="FS18" s="1065" t="str">
        <x:f t="shared" si="97"/>
        <x:v/>
      </x:c>
      <x:c r="FT18" s="1066" t="str">
        <x:f t="shared" si="98"/>
        <x:v/>
      </x:c>
      <x:c r="FU18" s="1105">
        <x:f t="shared" si="99"/>
        <x:v>0</x:v>
      </x:c>
      <x:c r="FV18" s="1106">
        <x:f t="shared" si="100"/>
        <x:v>0</x:v>
      </x:c>
      <x:c r="GA18" s="1975">
        <x:v>52</x:v>
      </x:c>
      <x:c r="GB18" s="1976">
        <x:v>0</x:v>
      </x:c>
      <x:c r="GC18" s="1977">
        <x:v>2</x:v>
      </x:c>
      <x:c r="GD18" s="1978">
        <x:v>2</x:v>
      </x:c>
      <x:c r="GE18" s="1979">
        <x:v>3.1719936742283898E-2</x:v>
      </x:c>
      <x:c r="GF18" s="1980" t="str">
        <x:f t="shared" si="101"/>
        <x:v>J94</x:v>
      </x:c>
      <x:c r="GG18" s="1453"/>
      <x:c r="GH18" s="1454"/>
      <x:c r="GI18" s="1453"/>
      <x:c r="GJ18" s="1454"/>
      <x:c r="GK18" s="533">
        <x:f t="shared" si="102"/>
        <x:v>628</x:v>
      </x:c>
      <x:c r="GL18" s="534">
        <x:f t="shared" si="103"/>
        <x:v>628.00219397170576</x:v>
      </x:c>
      <x:c r="GM18" s="535">
        <x:f>IF(ABS(GK18-GL18)&gt;='Job Info.'!$L$22,ABS(GK18-GL18),0)</x:f>
        <x:v>0</x:v>
      </x:c>
      <x:c r="HA18" s="1658" t="s">
        <x:v>1418</x:v>
      </x:c>
      <x:c r="HB18" s="1659">
        <x:v>1</x:v>
      </x:c>
      <x:c r="HC18" s="1659" t="s">
        <x:v>1979</x:v>
      </x:c>
      <x:c r="HD18" s="1660">
        <x:v>52</x:v>
      </x:c>
      <x:c r="HE18" s="1661">
        <x:v>4</x:v>
      </x:c>
      <x:c r="HF18" s="1659">
        <x:v>0</x:v>
      </x:c>
      <x:c r="HG18" s="1659">
        <x:v>3.625</x:v>
      </x:c>
      <x:c r="HH18" s="1659" t="s">
        <x:v>114</x:v>
      </x:c>
      <x:c r="HI18" s="1662">
        <x:v>0</x:v>
      </x:c>
      <x:c r="HJ18" s="1659">
        <x:v>3.625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2130</x:v>
      </x:c>
      <x:c r="IB18" s="1661"/>
      <x:c r="IC18" s="1661"/>
      <x:c r="ID18" s="1661"/>
      <x:c r="IE18" s="1661"/>
      <x:c r="IF18" s="1663"/>
    </x:row>
    <x:row r="19" spans="1:240" ht="12.6" customHeight="1" x14ac:dyDescent="0.25">
      <x:c r="A19" s="1264" t="s">
        <x:v>1419</x:v>
      </x:c>
      <x:c r="B19" s="1265">
        <x:v>5</x:v>
      </x:c>
      <x:c r="C19" s="1265" t="s">
        <x:v>1979</x:v>
      </x:c>
      <x:c r="D19" s="1261">
        <x:v>52</x:v>
      </x:c>
      <x:c r="E19" s="1366">
        <x:v>4</x:v>
      </x:c>
      <x:c r="F19" s="1328">
        <x:v>0</x:v>
      </x:c>
      <x:c r="G19" s="1262">
        <x:v>3.625</x:v>
      </x:c>
      <x:c r="H19" s="1266" t="s">
        <x:v>114</x:v>
      </x:c>
      <x:c r="I19" s="1261">
        <x:v>0</x:v>
      </x:c>
      <x:c r="J19" s="1262">
        <x:v>3.625</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si="7"/>
        <x:v/>
      </x:c>
      <x:c r="U19" s="1262" t="str">
        <x:f t="shared" si="8"/>
        <x:v/>
      </x:c>
      <x:c r="V19" s="1261" t="str">
        <x:f t="shared" si="9"/>
        <x:v/>
      </x:c>
      <x:c r="W19" s="1262" t="str">
        <x:f t="shared" si="10"/>
        <x:v/>
      </x:c>
      <x:c r="X19" s="1329">
        <x:f t="shared" si="11"/>
        <x:v>0</x:v>
      </x:c>
      <x:c r="Y19" s="1377" t="str">
        <x:f t="shared" si="12"/>
        <x:v/>
      </x:c>
      <x:c r="Z19" s="1378" t="str">
        <x:f t="shared" si="13"/>
        <x:v/>
      </x:c>
      <x:c r="AA19" s="2159" t="s">
        <x:v>2131</x:v>
      </x:c>
      <x:c r="AC19" s="1226" t="b">
        <x:v>0</x:v>
      </x:c>
      <x:c r="AD19" s="525">
        <x:f t="shared" si="14"/>
        <x:v>5</x:v>
      </x:c>
      <x:c r="AE19" s="526">
        <x:f t="shared" si="15"/>
        <x:v>0</x:v>
      </x:c>
      <x:c r="AF19" s="526">
        <x:f t="shared" si="16"/>
        <x:v>0</x:v>
      </x:c>
      <x:c r="AG19" s="526">
        <x:f t="shared" si="17"/>
        <x:v>0</x:v>
      </x:c>
      <x:c r="AH19" s="527">
        <x:f t="shared" si="18"/>
        <x:v>0</x:v>
      </x:c>
      <x:c r="AI19" s="528" t="b">
        <x:v>0</x:v>
      </x:c>
      <x:c r="AJ19" s="284">
        <x:f t="shared" si="19"/>
        <x:v>30</x:v>
      </x:c>
      <x:c r="AK19" s="1063" t="str">
        <x:f t="shared" si="20"/>
        <x:v>K</x:v>
      </x:c>
      <x:c r="AL19" s="1202" t="str">
        <x:f t="shared" si="21"/>
        <x:v/>
      </x:c>
      <x:c r="AM19" s="1063">
        <x:f t="shared" si="22"/>
        <x:v>240</x:v>
      </x:c>
      <x:c r="AN19" s="1063">
        <x:f t="shared" si="23"/>
        <x:v>140</x:v>
      </x:c>
      <x:c r="AO19" s="1063" t="str">
        <x:f t="shared" si="24"/>
        <x:v/>
      </x:c>
      <x:c r="AP19" s="1063" t="b">
        <x:f>IF(ISERROR(AJ19),FALSE,IF(OR(AJ19=0,ISERROR(AL19),ISERROR(AM19),ISERROR(AN19),ISERROR(AO19)),FALSE,IF(AL19&lt;&gt;"",IF(ISERROR(VLOOKUP(SUBSTITUTE(SUBSTITUTE(C19,"R",""),"A",""),TblJoistSize!$A:$A,1,FALSE)),FALSE,TRUE),TRUE)))</x:f>
        <x:v>1</x:v>
      </x:c>
      <x:c r="AQ19" s="1305">
        <x:f t="shared" si="25"/>
        <x:v>7.625</x:v>
      </x:c>
      <x:c r="AR19" s="1305" t="b">
        <x:f t="shared" si="26"/>
        <x:v>0</x:v>
      </x:c>
      <x:c r="AS19" s="1305">
        <x:f t="shared" si="27"/>
        <x:v>7.625</x:v>
      </x:c>
      <x:c r="AT19" s="1305" t="b">
        <x:f t="shared" si="28"/>
        <x:v>0</x:v>
      </x:c>
      <x:c r="AU19" s="1203" t="str">
        <x:f t="shared" si="29"/>
        <x:v>K</x:v>
      </x:c>
      <x:c r="AV19" s="1063" t="str">
        <x:f t="shared" si="30"/>
        <x:v>K</x:v>
      </x:c>
      <x:c r="AW19" s="1063" t="str">
        <x:f t="shared" si="31"/>
        <x:v/>
      </x:c>
      <x:c r="AX19" s="1063" t="str">
        <x:f t="shared" si="104"/>
        <x:v>J95</x:v>
      </x:c>
      <x:c r="AY19" s="1306" t="b">
        <x:f t="shared" si="32"/>
        <x:v>0</x:v>
      </x:c>
      <x:c r="AZ19" s="1090" t="b">
        <x:f t="shared" si="33"/>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4"/>
        <x:v/>
      </x:c>
      <x:c r="CE19" s="935" t="str">
        <x:f t="shared" si="35"/>
        <x:v/>
      </x:c>
      <x:c r="CF19" s="1149"/>
      <x:c r="CG19" s="1150"/>
      <x:c r="CH19" s="738" t="str">
        <x:f t="shared" si="36"/>
        <x:v/>
      </x:c>
      <x:c r="CI19" s="739" t="str">
        <x:f t="shared" si="37"/>
        <x:v/>
      </x:c>
      <x:c r="CJ19" s="740" t="str">
        <x:f t="shared" si="38"/>
        <x:v/>
      </x:c>
      <x:c r="CK19" s="741" t="str">
        <x:f t="shared" si="39"/>
        <x:v/>
      </x:c>
      <x:c r="CL19" s="742" t="str">
        <x:f t="shared" si="40"/>
        <x:v/>
      </x:c>
      <x:c r="CM19" s="743" t="str">
        <x:f t="shared" si="41"/>
        <x:v/>
      </x:c>
      <x:c r="CN19" s="744" t="str">
        <x:f t="shared" si="42"/>
        <x:v/>
      </x:c>
      <x:c r="CO19" s="745" t="str">
        <x:f t="shared" si="43"/>
        <x:v/>
      </x:c>
      <x:c r="CP19" s="762" t="str">
        <x:f t="shared" si="44"/>
        <x:v/>
      </x:c>
      <x:c r="CQ19" s="763" t="str">
        <x:f t="shared" si="45"/>
        <x:v/>
      </x:c>
      <x:c r="CR19" s="953">
        <x:f t="shared" si="46"/>
        <x:v>2.5</x:v>
      </x:c>
      <x:c r="CS19" s="954">
        <x:f t="shared" si="47"/>
        <x:v>2.5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8"/>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9"/>
        <x:v>0</x:v>
      </x:c>
      <x:c r="DO19" s="1049">
        <x:f t="shared" si="50"/>
        <x:v>0</x:v>
      </x:c>
      <x:c r="DP19" s="1053" t="str">
        <x:f t="shared" si="51"/>
        <x:v/>
      </x:c>
      <x:c r="DQ19" s="1053" t="str">
        <x:f t="shared" si="52"/>
        <x:v/>
      </x:c>
      <x:c r="DR19" s="1053" t="str">
        <x:f t="shared" si="53"/>
        <x:v/>
      </x:c>
      <x:c r="DS19" s="1052">
        <x:f t="shared" si="54"/>
        <x:v>0</x:v>
      </x:c>
      <x:c r="DT19" s="1052">
        <x:f t="shared" si="55"/>
        <x:v>0</x:v>
      </x:c>
      <x:c r="DU19" s="1052" t="str">
        <x:f t="shared" si="56"/>
        <x:v/>
      </x:c>
      <x:c r="DV19" s="1053" t="str">
        <x:f t="shared" si="57"/>
        <x:v/>
      </x:c>
      <x:c r="DW19" s="1053" t="str">
        <x:f t="shared" si="58"/>
        <x:v/>
      </x:c>
      <x:c r="DX19" s="1269">
        <x:f t="shared" si="59"/>
        <x:v>0</x:v>
      </x:c>
      <x:c r="DY19" s="1053">
        <x:f t="shared" si="60"/>
        <x:v>0</x:v>
      </x:c>
      <x:c r="DZ19" s="1052">
        <x:f t="shared" si="61"/>
        <x:v>0</x:v>
      </x:c>
      <x:c r="EA19" s="1052" t="str">
        <x:f t="shared" si="62"/>
        <x:v/>
      </x:c>
      <x:c r="EB19" s="1053" t="str">
        <x:f t="shared" si="63"/>
        <x:v/>
      </x:c>
      <x:c r="EC19" s="1053" t="str">
        <x:f t="shared" si="64"/>
        <x:v/>
      </x:c>
      <x:c r="ED19" s="1269">
        <x:f t="shared" si="65"/>
        <x:v>0</x:v>
      </x:c>
      <x:c r="EE19" s="1090" t="str">
        <x:f t="shared" si="66"/>
        <x:v/>
      </x:c>
      <x:c r="EF19" s="1053" t="str">
        <x:f t="shared" si="67"/>
        <x:v/>
      </x:c>
      <x:c r="EG19" s="1053" t="str">
        <x:f t="shared" si="68"/>
        <x:v/>
      </x:c>
      <x:c r="EH19" s="1053" t="str">
        <x:f t="shared" si="69"/>
        <x:v>ERR</x:v>
      </x:c>
      <x:c r="EI19" s="1053" t="str">
        <x:f t="shared" si="70"/>
        <x:v>ERR</x:v>
      </x:c>
      <x:c r="EJ19" s="1053" t="str">
        <x:f t="shared" si="71"/>
        <x:v/>
      </x:c>
      <x:c r="EK19" s="1053" t="str">
        <x:f t="shared" si="71"/>
        <x:v/>
      </x:c>
      <x:c r="EL19" s="1090" t="str">
        <x:f t="shared" si="72"/>
        <x:v/>
      </x:c>
      <x:c r="EM19" s="1053" t="str">
        <x:f t="shared" si="73"/>
        <x:v/>
      </x:c>
      <x:c r="EN19" s="1053" t="str">
        <x:f t="shared" si="74"/>
        <x:v/>
      </x:c>
      <x:c r="EO19" s="1053" t="str">
        <x:f t="shared" si="75"/>
        <x:v>ERR</x:v>
      </x:c>
      <x:c r="EP19" s="1053" t="str">
        <x:f t="shared" si="76"/>
        <x:v>ERR</x:v>
      </x:c>
      <x:c r="EQ19" s="1053" t="str">
        <x:f t="shared" si="77"/>
        <x:v/>
      </x:c>
      <x:c r="ER19" s="1053" t="str">
        <x:f t="shared" si="77"/>
        <x:v/>
      </x:c>
      <x:c r="ES19" s="1053" t="str">
        <x:f t="shared" si="78"/>
        <x:v/>
      </x:c>
      <x:c r="ET19" s="1053" t="str">
        <x:f t="shared" si="79"/>
        <x:v/>
      </x:c>
      <x:c r="EU19" s="1061">
        <x:f t="shared" si="80"/>
        <x:v>3.5</x:v>
      </x:c>
      <x:c r="EV19" s="1055" t="str">
        <x:f t="shared" si="81"/>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2"/>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3"/>
        <x:v/>
      </x:c>
      <x:c r="FD19" s="1052">
        <x:f t="shared" si="105"/>
        <x:v>0</x:v>
      </x:c>
      <x:c r="FE19" s="1052">
        <x:f t="shared" si="84"/>
        <x:v>0</x:v>
      </x:c>
      <x:c r="FF19" s="1052">
        <x:f t="shared" si="85"/>
        <x:v>0</x:v>
      </x:c>
      <x:c r="FG19" s="1052" t="str">
        <x:f t="shared" si="86"/>
        <x:v/>
      </x:c>
      <x:c r="FH19" s="1053" t="str">
        <x:f t="shared" si="87"/>
        <x:v/>
      </x:c>
      <x:c r="FI19" s="1052">
        <x:f t="shared" si="106"/>
        <x:v>0</x:v>
      </x:c>
      <x:c r="FJ19" s="1052">
        <x:f t="shared" si="88"/>
        <x:v>0</x:v>
      </x:c>
      <x:c r="FK19" s="1052">
        <x:f t="shared" si="89"/>
        <x:v>0</x:v>
      </x:c>
      <x:c r="FL19" s="1052" t="str">
        <x:f t="shared" si="90"/>
        <x:v/>
      </x:c>
      <x:c r="FM19" s="1053" t="str">
        <x:f t="shared" si="91"/>
        <x:v/>
      </x:c>
      <x:c r="FN19" s="1053" t="e">
        <x:f t="shared" si="92"/>
        <x:v>#VALUE!</x:v>
      </x:c>
      <x:c r="FO19" s="1062" t="e">
        <x:f t="shared" si="93"/>
        <x:v>#VALUE!</x:v>
      </x:c>
      <x:c r="FP19" s="1062" t="e">
        <x:f t="shared" si="94"/>
        <x:v>#VALUE!</x:v>
      </x:c>
      <x:c r="FQ19" s="1063" t="e">
        <x:f t="shared" si="95"/>
        <x:v>#VALUE!</x:v>
      </x:c>
      <x:c r="FR19" s="1064" t="e">
        <x:f t="shared" si="96"/>
        <x:v>#VALUE!</x:v>
      </x:c>
      <x:c r="FS19" s="1065" t="str">
        <x:f t="shared" si="97"/>
        <x:v/>
      </x:c>
      <x:c r="FT19" s="1066" t="str">
        <x:f t="shared" si="98"/>
        <x:v/>
      </x:c>
      <x:c r="FU19" s="1105">
        <x:f t="shared" si="99"/>
        <x:v>0</x:v>
      </x:c>
      <x:c r="FV19" s="1106">
        <x:f t="shared" si="100"/>
        <x:v>0</x:v>
      </x:c>
      <x:c r="GA19" s="1975">
        <x:v>52</x:v>
      </x:c>
      <x:c r="GB19" s="1976">
        <x:v>0</x:v>
      </x:c>
      <x:c r="GC19" s="1977">
        <x:v>2</x:v>
      </x:c>
      <x:c r="GD19" s="1978">
        <x:v>2</x:v>
      </x:c>
      <x:c r="GE19" s="1979">
        <x:v>1.5859968371141966E-2</x:v>
      </x:c>
      <x:c r="GF19" s="1980" t="str">
        <x:f t="shared" si="101"/>
        <x:v>J95</x:v>
      </x:c>
      <x:c r="GG19" s="1453"/>
      <x:c r="GH19" s="1454"/>
      <x:c r="GI19" s="1453"/>
      <x:c r="GJ19" s="1454"/>
      <x:c r="GK19" s="533">
        <x:f t="shared" si="102"/>
        <x:v>628</x:v>
      </x:c>
      <x:c r="GL19" s="534">
        <x:f t="shared" si="103"/>
        <x:v>628.00054849364506</x:v>
      </x:c>
      <x:c r="GM19" s="535">
        <x:f>IF(ABS(GK19-GL19)&gt;='Job Info.'!$L$22,ABS(GK19-GL19),0)</x:f>
        <x:v>0</x:v>
      </x:c>
      <x:c r="HA19" s="1658" t="s">
        <x:v>1419</x:v>
      </x:c>
      <x:c r="HB19" s="1659">
        <x:v>6</x:v>
      </x:c>
      <x:c r="HC19" s="1659" t="s">
        <x:v>1979</x:v>
      </x:c>
      <x:c r="HD19" s="1660">
        <x:v>52</x:v>
      </x:c>
      <x:c r="HE19" s="1661">
        <x:v>4</x:v>
      </x:c>
      <x:c r="HF19" s="1659">
        <x:v>0</x:v>
      </x:c>
      <x:c r="HG19" s="1659">
        <x:v>3.625</x:v>
      </x:c>
      <x:c r="HH19" s="1659" t="s">
        <x:v>114</x:v>
      </x:c>
      <x:c r="HI19" s="1662">
        <x:v>0</x:v>
      </x:c>
      <x:c r="HJ19" s="1659">
        <x:v>3.625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2131</x:v>
      </x:c>
      <x:c r="IB19" s="1661"/>
      <x:c r="IC19" s="1661"/>
      <x:c r="ID19" s="1661"/>
      <x:c r="IE19" s="1661"/>
      <x:c r="IF19" s="1663"/>
    </x:row>
    <x:row r="20" spans="1:240" ht="12.6" customHeight="1" x14ac:dyDescent="0.25">
      <x:c r="A20" s="1264" t="s">
        <x:v>1420</x:v>
      </x:c>
      <x:c r="B20" s="1265">
        <x:v>1</x:v>
      </x:c>
      <x:c r="C20" s="1265" t="s">
        <x:v>1981</x:v>
      </x:c>
      <x:c r="D20" s="1261">
        <x:v>6</x:v>
      </x:c>
      <x:c r="E20" s="1366">
        <x:v>9.875</x:v>
      </x:c>
      <x:c r="F20" s="1328">
        <x:v>0</x:v>
      </x:c>
      <x:c r="G20" s="1262">
        <x:v>3.625</x:v>
      </x:c>
      <x:c r="H20" s="1266" t="s">
        <x:v>114</x:v>
      </x:c>
      <x:c r="I20" s="2195">
        <x:v>0</x:v>
      </x:c>
      <x:c r="J20" s="2122">
        <x:v>0.5</x:v>
      </x:c>
      <x:c r="K20" s="2209" t="s">
        <x:v>114</x:v>
      </x:c>
      <x:c r="L20" s="1327">
        <x:v>3</x:v>
      </x:c>
      <x:c r="M20" s="1329">
        <x:v>3</x:v>
      </x:c>
      <x:c r="N20" s="1263" t="str">
        <x:f t="shared" si="1"/>
        <x:v/>
      </x:c>
      <x:c r="O20" s="1262" t="str">
        <x:f t="shared" si="2"/>
        <x:v/>
      </x:c>
      <x:c r="P20" s="1260" t="str">
        <x:f t="shared" si="3"/>
        <x:v/>
      </x:c>
      <x:c r="Q20" s="1261" t="str">
        <x:f t="shared" si="4"/>
        <x:v/>
      </x:c>
      <x:c r="R20" s="1262" t="str">
        <x:f t="shared" si="5"/>
        <x:v/>
      </x:c>
      <x:c r="S20" s="1375" t="str">
        <x:f t="shared" si="6"/>
        <x:v/>
      </x:c>
      <x:c r="T20" s="1328" t="str">
        <x:f t="shared" si="7"/>
        <x:v/>
      </x:c>
      <x:c r="U20" s="1262" t="str">
        <x:f t="shared" si="8"/>
        <x:v/>
      </x:c>
      <x:c r="V20" s="1261" t="str">
        <x:f t="shared" si="9"/>
        <x:v/>
      </x:c>
      <x:c r="W20" s="1262" t="str">
        <x:f t="shared" si="10"/>
        <x:v/>
      </x:c>
      <x:c r="X20" s="1329">
        <x:f t="shared" si="11"/>
        <x:v>0</x:v>
      </x:c>
      <x:c r="Y20" s="1377">
        <x:v>0.38641635358364201</x:v>
      </x:c>
      <x:c r="Z20" s="1378">
        <x:v>-0.38641635358364201</x:v>
      </x:c>
      <x:c r="AA20" s="2211"/>
      <x:c r="AC20" s="1226" t="b">
        <x:v>0</x:v>
      </x:c>
      <x:c r="AD20" s="525">
        <x:f t="shared" si="14"/>
        <x:v>0</x:v>
      </x:c>
      <x:c r="AE20" s="526">
        <x:f t="shared" si="15"/>
        <x:v>0</x:v>
      </x:c>
      <x:c r="AF20" s="526">
        <x:f t="shared" si="16"/>
        <x:v>1</x:v>
      </x:c>
      <x:c r="AG20" s="526">
        <x:f t="shared" si="17"/>
        <x:v>0</x:v>
      </x:c>
      <x:c r="AH20" s="527">
        <x:f t="shared" si="18"/>
        <x:v>0</x:v>
      </x:c>
      <x:c r="AI20" s="528" t="b">
        <x:v>0</x:v>
      </x:c>
      <x:c r="AJ20" s="284">
        <x:f t="shared" si="19"/>
        <x:v>2.5</x:v>
      </x:c>
      <x:c r="AK20" s="1063" t="str">
        <x:f t="shared" si="20"/>
        <x:v>K</x:v>
      </x:c>
      <x:c r="AL20" s="1202" t="str">
        <x:f t="shared" si="21"/>
        <x:v/>
      </x:c>
      <x:c r="AM20" s="1063">
        <x:f t="shared" si="22"/>
        <x:v>310</x:v>
      </x:c>
      <x:c r="AN20" s="1063">
        <x:f t="shared" si="23"/>
        <x:v>160</x:v>
      </x:c>
      <x:c r="AO20" s="1063" t="str">
        <x:f t="shared" si="24"/>
        <x:v/>
      </x:c>
      <x:c r="AP20" s="1063" t="b">
        <x:f>IF(ISERROR(AJ20),FALSE,IF(OR(AJ20=0,ISERROR(AL20),ISERROR(AM20),ISERROR(AN20),ISERROR(AO20)),FALSE,IF(AL20&lt;&gt;"",IF(ISERROR(VLOOKUP(SUBSTITUTE(SUBSTITUTE(C20,"R",""),"A",""),TblJoistSize!$A:$A,1,FALSE)),FALSE,TRUE),TRUE)))</x:f>
        <x:v>1</x:v>
      </x:c>
      <x:c r="AQ20" s="1305">
        <x:f t="shared" si="25"/>
        <x:v>7.625</x:v>
      </x:c>
      <x:c r="AR20" s="1305" t="b">
        <x:f t="shared" si="26"/>
        <x:v>0</x:v>
      </x:c>
      <x:c r="AS20" s="1305">
        <x:f t="shared" si="27"/>
        <x:v>4.5</x:v>
      </x:c>
      <x:c r="AT20" s="1305" t="b">
        <x:f t="shared" si="28"/>
        <x:v>0</x:v>
      </x:c>
      <x:c r="AU20" s="1203" t="str">
        <x:f t="shared" si="29"/>
        <x:v>JS</x:v>
      </x:c>
      <x:c r="AV20" s="1063" t="str">
        <x:f t="shared" si="30"/>
        <x:v>K</x:v>
      </x:c>
      <x:c r="AW20" s="1063" t="str">
        <x:f t="shared" si="31"/>
        <x:v/>
      </x:c>
      <x:c r="AX20" s="1063" t="str">
        <x:f t="shared" si="104"/>
        <x:v>J96</x:v>
      </x:c>
      <x:c r="AY20" s="1306" t="b">
        <x:f t="shared" si="32"/>
        <x:v>0</x:v>
      </x:c>
      <x:c r="AZ20" s="1090" t="b">
        <x:f t="shared" si="33"/>
        <x:v>1</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4"/>
        <x:v/>
      </x:c>
      <x:c r="CE20" s="935" t="str">
        <x:f t="shared" si="35"/>
        <x:v/>
      </x:c>
      <x:c r="CF20" s="1149"/>
      <x:c r="CG20" s="1150"/>
      <x:c r="CH20" s="738" t="str">
        <x:f t="shared" si="36"/>
        <x:v/>
      </x:c>
      <x:c r="CI20" s="739" t="str">
        <x:f t="shared" si="37"/>
        <x:v/>
      </x:c>
      <x:c r="CJ20" s="740" t="str">
        <x:f t="shared" si="38"/>
        <x:v/>
      </x:c>
      <x:c r="CK20" s="741" t="str">
        <x:f t="shared" si="39"/>
        <x:v/>
      </x:c>
      <x:c r="CL20" s="742" t="str">
        <x:f t="shared" si="40"/>
        <x:v/>
      </x:c>
      <x:c r="CM20" s="743" t="str">
        <x:f t="shared" si="41"/>
        <x:v/>
      </x:c>
      <x:c r="CN20" s="744" t="str">
        <x:f t="shared" si="42"/>
        <x:v/>
      </x:c>
      <x:c r="CO20" s="745" t="str">
        <x:f t="shared" si="43"/>
        <x:v/>
      </x:c>
      <x:c r="CP20" s="762" t="str">
        <x:f t="shared" si="44"/>
        <x:v/>
      </x:c>
      <x:c r="CQ20" s="763" t="str">
        <x:f t="shared" si="45"/>
        <x:v/>
      </x:c>
      <x:c r="CR20" s="953">
        <x:f t="shared" si="46"/>
        <x:v>2.5</x:v>
      </x:c>
      <x:c r="CS20" s="954">
        <x:f t="shared" si="47"/>
        <x:v>2.5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8"/>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9"/>
        <x:v>0</x:v>
      </x:c>
      <x:c r="DO20" s="1049">
        <x:f t="shared" si="50"/>
        <x:v>0</x:v>
      </x:c>
      <x:c r="DP20" s="1053" t="str">
        <x:f t="shared" si="51"/>
        <x:v/>
      </x:c>
      <x:c r="DQ20" s="1053" t="str">
        <x:f t="shared" si="52"/>
        <x:v/>
      </x:c>
      <x:c r="DR20" s="1053" t="str">
        <x:f t="shared" si="53"/>
        <x:v/>
      </x:c>
      <x:c r="DS20" s="1052">
        <x:f t="shared" si="54"/>
        <x:v>0</x:v>
      </x:c>
      <x:c r="DT20" s="1052">
        <x:f t="shared" si="55"/>
        <x:v>0</x:v>
      </x:c>
      <x:c r="DU20" s="1052" t="str">
        <x:f t="shared" si="56"/>
        <x:v/>
      </x:c>
      <x:c r="DV20" s="1053" t="str">
        <x:f t="shared" si="57"/>
        <x:v/>
      </x:c>
      <x:c r="DW20" s="1053" t="str">
        <x:f t="shared" si="58"/>
        <x:v/>
      </x:c>
      <x:c r="DX20" s="1269">
        <x:f t="shared" si="59"/>
        <x:v>0</x:v>
      </x:c>
      <x:c r="DY20" s="1053">
        <x:f t="shared" si="60"/>
        <x:v>0</x:v>
      </x:c>
      <x:c r="DZ20" s="1052">
        <x:f t="shared" si="61"/>
        <x:v>0</x:v>
      </x:c>
      <x:c r="EA20" s="1052" t="str">
        <x:f t="shared" si="62"/>
        <x:v/>
      </x:c>
      <x:c r="EB20" s="1053" t="str">
        <x:f t="shared" si="63"/>
        <x:v/>
      </x:c>
      <x:c r="EC20" s="1053" t="str">
        <x:f t="shared" si="64"/>
        <x:v/>
      </x:c>
      <x:c r="ED20" s="1269">
        <x:f t="shared" si="65"/>
        <x:v>0</x:v>
      </x:c>
      <x:c r="EE20" s="1090" t="str">
        <x:f t="shared" si="66"/>
        <x:v/>
      </x:c>
      <x:c r="EF20" s="1053" t="str">
        <x:f t="shared" si="67"/>
        <x:v/>
      </x:c>
      <x:c r="EG20" s="1053" t="str">
        <x:f t="shared" si="68"/>
        <x:v/>
      </x:c>
      <x:c r="EH20" s="1053" t="str">
        <x:f t="shared" si="69"/>
        <x:v>ERR</x:v>
      </x:c>
      <x:c r="EI20" s="1053" t="str">
        <x:f t="shared" si="70"/>
        <x:v>ERR</x:v>
      </x:c>
      <x:c r="EJ20" s="1053" t="str">
        <x:f t="shared" si="71"/>
        <x:v/>
      </x:c>
      <x:c r="EK20" s="1053" t="str">
        <x:f t="shared" si="71"/>
        <x:v/>
      </x:c>
      <x:c r="EL20" s="1090" t="str">
        <x:f t="shared" si="72"/>
        <x:v/>
      </x:c>
      <x:c r="EM20" s="1053" t="str">
        <x:f t="shared" si="73"/>
        <x:v/>
      </x:c>
      <x:c r="EN20" s="1053" t="str">
        <x:f t="shared" si="74"/>
        <x:v/>
      </x:c>
      <x:c r="EO20" s="1053" t="str">
        <x:f t="shared" si="75"/>
        <x:v>ERR</x:v>
      </x:c>
      <x:c r="EP20" s="1053" t="str">
        <x:f t="shared" si="76"/>
        <x:v>ERR</x:v>
      </x:c>
      <x:c r="EQ20" s="1053" t="str">
        <x:f t="shared" si="77"/>
        <x:v/>
      </x:c>
      <x:c r="ER20" s="1053" t="str">
        <x:f t="shared" si="77"/>
        <x:v/>
      </x:c>
      <x:c r="ES20" s="1053" t="str">
        <x:f t="shared" si="78"/>
        <x:v/>
      </x:c>
      <x:c r="ET20" s="1053" t="str">
        <x:f t="shared" si="79"/>
        <x:v/>
      </x:c>
      <x:c r="EU20" s="1061">
        <x:f t="shared" si="80"/>
        <x:v>3.5</x:v>
      </x:c>
      <x:c r="EV20" s="1055" t="str">
        <x:f t="shared" si="81"/>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2"/>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3"/>
        <x:v/>
      </x:c>
      <x:c r="FD20" s="1052">
        <x:f t="shared" si="105"/>
        <x:v>0</x:v>
      </x:c>
      <x:c r="FE20" s="1052">
        <x:f t="shared" si="84"/>
        <x:v>0</x:v>
      </x:c>
      <x:c r="FF20" s="1052">
        <x:f t="shared" si="85"/>
        <x:v>0</x:v>
      </x:c>
      <x:c r="FG20" s="1052" t="str">
        <x:f t="shared" si="86"/>
        <x:v/>
      </x:c>
      <x:c r="FH20" s="1053" t="str">
        <x:f t="shared" si="87"/>
        <x:v/>
      </x:c>
      <x:c r="FI20" s="1052">
        <x:f t="shared" si="106"/>
        <x:v>0</x:v>
      </x:c>
      <x:c r="FJ20" s="1052">
        <x:f t="shared" si="88"/>
        <x:v>0</x:v>
      </x:c>
      <x:c r="FK20" s="1052">
        <x:f t="shared" si="89"/>
        <x:v>0</x:v>
      </x:c>
      <x:c r="FL20" s="1052" t="str">
        <x:f t="shared" si="90"/>
        <x:v/>
      </x:c>
      <x:c r="FM20" s="1053" t="str">
        <x:f t="shared" si="91"/>
        <x:v/>
      </x:c>
      <x:c r="FN20" s="1053" t="e">
        <x:f t="shared" si="92"/>
        <x:v>#VALUE!</x:v>
      </x:c>
      <x:c r="FO20" s="1062" t="e">
        <x:f t="shared" si="93"/>
        <x:v>#VALUE!</x:v>
      </x:c>
      <x:c r="FP20" s="1062" t="e">
        <x:f t="shared" si="94"/>
        <x:v>#VALUE!</x:v>
      </x:c>
      <x:c r="FQ20" s="1063" t="e">
        <x:f t="shared" si="95"/>
        <x:v>#VALUE!</x:v>
      </x:c>
      <x:c r="FR20" s="1064" t="e">
        <x:f t="shared" si="96"/>
        <x:v>#VALUE!</x:v>
      </x:c>
      <x:c r="FS20" s="1065" t="str">
        <x:f t="shared" si="97"/>
        <x:v/>
      </x:c>
      <x:c r="FT20" s="1066" t="str">
        <x:f t="shared" si="98"/>
        <x:v/>
      </x:c>
      <x:c r="FU20" s="1105">
        <x:f t="shared" si="99"/>
        <x:v>0</x:v>
      </x:c>
      <x:c r="FV20" s="1106">
        <x:f t="shared" si="100"/>
        <x:v>0</x:v>
      </x:c>
      <x:c r="GA20" s="1975">
        <x:v>6</x:v>
      </x:c>
      <x:c r="GB20" s="1976">
        <x:v>8.375</x:v>
      </x:c>
      <x:c r="GC20" s="1977">
        <x:v>2</x:v>
      </x:c>
      <x:c r="GD20" s="1978">
        <x:v>-0.5</x:v>
      </x:c>
      <x:c r="GE20" s="1979">
        <x:v>0.38641635358364201</x:v>
      </x:c>
      <x:c r="GF20" s="1980" t="str">
        <x:f t="shared" si="101"/>
        <x:v>J96</x:v>
      </x:c>
      <x:c r="GG20" s="1453"/>
      <x:c r="GH20" s="1454"/>
      <x:c r="GI20" s="1453"/>
      <x:c r="GJ20" s="1454"/>
      <x:c r="GK20" s="533">
        <x:f t="shared" si="102"/>
        <x:v>81.875</x:v>
      </x:c>
      <x:c r="GL20" s="534">
        <x:f t="shared" si="103"/>
        <x:v>81.917438231929452</x:v>
      </x:c>
      <x:c r="GM20" s="535">
        <x:f>IF(ABS(GK20-GL20)&gt;='Job Info.'!$L$22,ABS(GK20-GL20),0)</x:f>
        <x:v>0</x:v>
      </x:c>
      <x:c r="HA20" s="1658" t="s">
        <x:v>1420</x:v>
      </x:c>
      <x:c r="HB20" s="1659">
        <x:v>1</x:v>
      </x:c>
      <x:c r="HC20" s="1659" t="s">
        <x:v>1981</x:v>
      </x:c>
      <x:c r="HD20" s="1660">
        <x:v>6</x:v>
      </x:c>
      <x:c r="HE20" s="1661">
        <x:v>9.875</x:v>
      </x:c>
      <x:c r="HF20" s="1659">
        <x:v>0</x:v>
      </x:c>
      <x:c r="HG20" s="1659">
        <x:v>3.625</x:v>
      </x:c>
      <x:c r="HH20" s="1659" t="s">
        <x:v>114</x:v>
      </x:c>
      <x:c r="HI20" s="1662" t="s">
        <x:v>117</x:v>
      </x:c>
      <x:c r="HJ20" s="1659" t="s">
        <x:v>117</x:v>
      </x:c>
      <x:c r="HK20" s="1659" t="s">
        <x:v>117</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x:v>0.38641635358364201</x:v>
      </x:c>
      <x:c r="HZ20" s="1661">
        <x:v>-0.38641635358364201</x:v>
      </x:c>
      <x:c r="IA20" s="1661" t="s">
        <x:v>2132</x:v>
      </x:c>
      <x:c r="IB20" s="1661"/>
      <x:c r="IC20" s="1661"/>
      <x:c r="ID20" s="1661"/>
      <x:c r="IE20" s="1661"/>
      <x:c r="IF20" s="1663"/>
    </x:row>
    <x:row r="21" spans="1:240" ht="12.6" customHeight="1" x14ac:dyDescent="0.25">
      <x:c r="A21" s="1264" t="s">
        <x:v>1421</x:v>
      </x:c>
      <x:c r="B21" s="1265">
        <x:v>1</x:v>
      </x:c>
      <x:c r="C21" s="1265" t="s">
        <x:v>1980</x:v>
      </x:c>
      <x:c r="D21" s="1261">
        <x:v>12</x:v>
      </x:c>
      <x:c r="E21" s="1366">
        <x:v>6.625</x:v>
      </x:c>
      <x:c r="F21" s="1328">
        <x:v>0</x:v>
      </x:c>
      <x:c r="G21" s="1262">
        <x:v>3.625</x:v>
      </x:c>
      <x:c r="H21" s="1266" t="s">
        <x:v>114</x:v>
      </x:c>
      <x:c r="I21" s="2195">
        <x:v>0</x:v>
      </x:c>
      <x:c r="J21" s="2122">
        <x:v>0.5</x:v>
      </x:c>
      <x:c r="K21" s="2209" t="s">
        <x:v>114</x:v>
      </x:c>
      <x:c r="L21" s="1327">
        <x:v>3</x:v>
      </x:c>
      <x:c r="M21" s="1329">
        <x:v>3</x:v>
      </x:c>
      <x:c r="N21" s="1263" t="str">
        <x:f t="shared" si="1"/>
        <x:v/>
      </x:c>
      <x:c r="O21" s="1262" t="str">
        <x:f t="shared" si="2"/>
        <x:v/>
      </x:c>
      <x:c r="P21" s="1260" t="str">
        <x:f t="shared" si="3"/>
        <x:v/>
      </x:c>
      <x:c r="Q21" s="1261" t="str">
        <x:f t="shared" si="4"/>
        <x:v/>
      </x:c>
      <x:c r="R21" s="1262" t="str">
        <x:f t="shared" si="5"/>
        <x:v/>
      </x:c>
      <x:c r="S21" s="1375" t="str">
        <x:f t="shared" si="6"/>
        <x:v/>
      </x:c>
      <x:c r="T21" s="1328" t="str">
        <x:f t="shared" si="7"/>
        <x:v/>
      </x:c>
      <x:c r="U21" s="1262" t="str">
        <x:f t="shared" si="8"/>
        <x:v/>
      </x:c>
      <x:c r="V21" s="1261" t="str">
        <x:f t="shared" si="9"/>
        <x:v/>
      </x:c>
      <x:c r="W21" s="1262" t="str">
        <x:f t="shared" si="10"/>
        <x:v/>
      </x:c>
      <x:c r="X21" s="1329">
        <x:f t="shared" si="11"/>
        <x:v>0</x:v>
      </x:c>
      <x:c r="Y21" s="1377">
        <x:v>0.33426620588644901</x:v>
      </x:c>
      <x:c r="Z21" s="1378" t="str">
        <x:f t="shared" si="13"/>
        <x:v/>
      </x:c>
      <x:c r="AA21" s="2159" t="s">
        <x:v>2132</x:v>
      </x:c>
      <x:c r="AC21" s="1226" t="b">
        <x:v>0</x:v>
      </x:c>
      <x:c r="AD21" s="525">
        <x:f t="shared" si="14"/>
        <x:v>1</x:v>
      </x:c>
      <x:c r="AE21" s="526">
        <x:f t="shared" si="15"/>
        <x:v>0</x:v>
      </x:c>
      <x:c r="AF21" s="526">
        <x:f t="shared" si="16"/>
        <x:v>0</x:v>
      </x:c>
      <x:c r="AG21" s="526">
        <x:f t="shared" si="17"/>
        <x:v>0</x:v>
      </x:c>
      <x:c r="AH21" s="527">
        <x:f t="shared" si="18"/>
        <x:v>0</x:v>
      </x:c>
      <x:c r="AI21" s="528" t="b">
        <x:v>0</x:v>
      </x:c>
      <x:c r="AJ21" s="284">
        <x:f t="shared" si="19"/>
        <x:v>30</x:v>
      </x:c>
      <x:c r="AK21" s="1063" t="str">
        <x:f t="shared" si="20"/>
        <x:v>K</x:v>
      </x:c>
      <x:c r="AL21" s="1202" t="str">
        <x:f t="shared" si="21"/>
        <x:v/>
      </x:c>
      <x:c r="AM21" s="1063">
        <x:f t="shared" si="22"/>
        <x:v>310</x:v>
      </x:c>
      <x:c r="AN21" s="1063">
        <x:f t="shared" si="23"/>
        <x:v>160</x:v>
      </x:c>
      <x:c r="AO21" s="1063" t="str">
        <x:f t="shared" si="24"/>
        <x:v/>
      </x:c>
      <x:c r="AP21" s="1063" t="b">
        <x:f>IF(ISERROR(AJ21),FALSE,IF(OR(AJ21=0,ISERROR(AL21),ISERROR(AM21),ISERROR(AN21),ISERROR(AO21)),FALSE,IF(AL21&lt;&gt;"",IF(ISERROR(VLOOKUP(SUBSTITUTE(SUBSTITUTE(C21,"R",""),"A",""),TblJoistSize!$A:$A,1,FALSE)),FALSE,TRUE),TRUE)))</x:f>
        <x:v>1</x:v>
      </x:c>
      <x:c r="AQ21" s="1305">
        <x:f t="shared" si="25"/>
        <x:v>7.625</x:v>
      </x:c>
      <x:c r="AR21" s="1305" t="b">
        <x:f t="shared" si="26"/>
        <x:v>0</x:v>
      </x:c>
      <x:c r="AS21" s="1305">
        <x:f t="shared" si="27"/>
        <x:v>4.5</x:v>
      </x:c>
      <x:c r="AT21" s="1305" t="b">
        <x:f t="shared" si="28"/>
        <x:v>0</x:v>
      </x:c>
      <x:c r="AU21" s="1203" t="str">
        <x:f t="shared" si="29"/>
        <x:v>K</x:v>
      </x:c>
      <x:c r="AV21" s="1063" t="str">
        <x:f t="shared" si="30"/>
        <x:v>K</x:v>
      </x:c>
      <x:c r="AW21" s="1063" t="str">
        <x:f t="shared" si="31"/>
        <x:v/>
      </x:c>
      <x:c r="AX21" s="1063" t="str">
        <x:f t="shared" si="104"/>
        <x:v>J97</x:v>
      </x:c>
      <x:c r="AY21" s="1306" t="b">
        <x:f t="shared" si="32"/>
        <x:v>0</x:v>
      </x:c>
      <x:c r="AZ21" s="1090" t="b">
        <x:f t="shared" si="33"/>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4"/>
        <x:v/>
      </x:c>
      <x:c r="CE21" s="1812" t="str">
        <x:f t="shared" si="35"/>
        <x:v/>
      </x:c>
      <x:c r="CF21" s="1813"/>
      <x:c r="CG21" s="1814"/>
      <x:c r="CH21" s="738" t="str">
        <x:f t="shared" si="36"/>
        <x:v/>
      </x:c>
      <x:c r="CI21" s="739" t="str">
        <x:f t="shared" si="37"/>
        <x:v/>
      </x:c>
      <x:c r="CJ21" s="740" t="str">
        <x:f t="shared" si="38"/>
        <x:v/>
      </x:c>
      <x:c r="CK21" s="741" t="str">
        <x:f t="shared" si="39"/>
        <x:v/>
      </x:c>
      <x:c r="CL21" s="742" t="str">
        <x:f t="shared" si="40"/>
        <x:v/>
      </x:c>
      <x:c r="CM21" s="743" t="str">
        <x:f t="shared" si="41"/>
        <x:v/>
      </x:c>
      <x:c r="CN21" s="744" t="str">
        <x:f t="shared" si="42"/>
        <x:v/>
      </x:c>
      <x:c r="CO21" s="745" t="str">
        <x:f t="shared" si="43"/>
        <x:v/>
      </x:c>
      <x:c r="CP21" s="762" t="str">
        <x:f t="shared" si="44"/>
        <x:v/>
      </x:c>
      <x:c r="CQ21" s="763" t="str">
        <x:f t="shared" si="45"/>
        <x:v/>
      </x:c>
      <x:c r="CR21" s="953">
        <x:f t="shared" si="46"/>
        <x:v>2.5</x:v>
      </x:c>
      <x:c r="CS21" s="954">
        <x:f t="shared" si="47"/>
        <x:v>2.5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8"/>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9"/>
        <x:v>0</x:v>
      </x:c>
      <x:c r="DO21" s="1049">
        <x:f t="shared" si="50"/>
        <x:v>0</x:v>
      </x:c>
      <x:c r="DP21" s="1053" t="str">
        <x:f t="shared" si="51"/>
        <x:v/>
      </x:c>
      <x:c r="DQ21" s="1053" t="str">
        <x:f t="shared" si="52"/>
        <x:v/>
      </x:c>
      <x:c r="DR21" s="1053" t="str">
        <x:f t="shared" si="53"/>
        <x:v/>
      </x:c>
      <x:c r="DS21" s="1052">
        <x:f t="shared" si="54"/>
        <x:v>0</x:v>
      </x:c>
      <x:c r="DT21" s="1052">
        <x:f t="shared" si="55"/>
        <x:v>0</x:v>
      </x:c>
      <x:c r="DU21" s="1052" t="str">
        <x:f t="shared" si="56"/>
        <x:v/>
      </x:c>
      <x:c r="DV21" s="1053" t="str">
        <x:f t="shared" si="57"/>
        <x:v/>
      </x:c>
      <x:c r="DW21" s="1053" t="str">
        <x:f t="shared" si="58"/>
        <x:v/>
      </x:c>
      <x:c r="DX21" s="1269">
        <x:f t="shared" si="59"/>
        <x:v>0</x:v>
      </x:c>
      <x:c r="DY21" s="1053">
        <x:f t="shared" si="60"/>
        <x:v>0</x:v>
      </x:c>
      <x:c r="DZ21" s="1052">
        <x:f t="shared" si="61"/>
        <x:v>0</x:v>
      </x:c>
      <x:c r="EA21" s="1052" t="str">
        <x:f t="shared" si="62"/>
        <x:v/>
      </x:c>
      <x:c r="EB21" s="1053" t="str">
        <x:f t="shared" si="63"/>
        <x:v/>
      </x:c>
      <x:c r="EC21" s="1053" t="str">
        <x:f t="shared" si="64"/>
        <x:v/>
      </x:c>
      <x:c r="ED21" s="1269">
        <x:f t="shared" si="65"/>
        <x:v>0</x:v>
      </x:c>
      <x:c r="EE21" s="1090" t="str">
        <x:f t="shared" si="66"/>
        <x:v/>
      </x:c>
      <x:c r="EF21" s="1053" t="str">
        <x:f t="shared" si="67"/>
        <x:v/>
      </x:c>
      <x:c r="EG21" s="1053" t="str">
        <x:f t="shared" si="68"/>
        <x:v/>
      </x:c>
      <x:c r="EH21" s="1053" t="str">
        <x:f t="shared" si="69"/>
        <x:v>ERR</x:v>
      </x:c>
      <x:c r="EI21" s="1053" t="str">
        <x:f t="shared" si="70"/>
        <x:v>ERR</x:v>
      </x:c>
      <x:c r="EJ21" s="1053" t="str">
        <x:f t="shared" si="71"/>
        <x:v/>
      </x:c>
      <x:c r="EK21" s="1053" t="str">
        <x:f t="shared" si="71"/>
        <x:v/>
      </x:c>
      <x:c r="EL21" s="1090" t="str">
        <x:f t="shared" si="72"/>
        <x:v/>
      </x:c>
      <x:c r="EM21" s="1053" t="str">
        <x:f t="shared" si="73"/>
        <x:v/>
      </x:c>
      <x:c r="EN21" s="1053" t="str">
        <x:f t="shared" si="74"/>
        <x:v/>
      </x:c>
      <x:c r="EO21" s="1053" t="str">
        <x:f t="shared" si="75"/>
        <x:v>ERR</x:v>
      </x:c>
      <x:c r="EP21" s="1053" t="str">
        <x:f t="shared" si="76"/>
        <x:v>ERR</x:v>
      </x:c>
      <x:c r="EQ21" s="1053" t="str">
        <x:f t="shared" si="77"/>
        <x:v/>
      </x:c>
      <x:c r="ER21" s="1053" t="str">
        <x:f t="shared" si="77"/>
        <x:v/>
      </x:c>
      <x:c r="ES21" s="1053" t="str">
        <x:f t="shared" si="78"/>
        <x:v/>
      </x:c>
      <x:c r="ET21" s="1053" t="str">
        <x:f t="shared" si="79"/>
        <x:v/>
      </x:c>
      <x:c r="EU21" s="1061">
        <x:f t="shared" si="80"/>
        <x:v>3.5</x:v>
      </x:c>
      <x:c r="EV21" s="1055" t="str">
        <x:f t="shared" si="81"/>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2"/>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3"/>
        <x:v/>
      </x:c>
      <x:c r="FD21" s="1052">
        <x:f t="shared" si="105"/>
        <x:v>0</x:v>
      </x:c>
      <x:c r="FE21" s="1052">
        <x:f t="shared" si="84"/>
        <x:v>0</x:v>
      </x:c>
      <x:c r="FF21" s="1052">
        <x:f t="shared" si="85"/>
        <x:v>0</x:v>
      </x:c>
      <x:c r="FG21" s="1052" t="str">
        <x:f t="shared" si="86"/>
        <x:v/>
      </x:c>
      <x:c r="FH21" s="1053" t="str">
        <x:f t="shared" si="87"/>
        <x:v/>
      </x:c>
      <x:c r="FI21" s="1052">
        <x:f t="shared" si="106"/>
        <x:v>0</x:v>
      </x:c>
      <x:c r="FJ21" s="1052">
        <x:f t="shared" si="88"/>
        <x:v>0</x:v>
      </x:c>
      <x:c r="FK21" s="1052">
        <x:f t="shared" si="89"/>
        <x:v>0</x:v>
      </x:c>
      <x:c r="FL21" s="1052" t="str">
        <x:f t="shared" si="90"/>
        <x:v/>
      </x:c>
      <x:c r="FM21" s="1053" t="str">
        <x:f t="shared" si="91"/>
        <x:v/>
      </x:c>
      <x:c r="FN21" s="1053" t="e">
        <x:f t="shared" si="92"/>
        <x:v>#VALUE!</x:v>
      </x:c>
      <x:c r="FO21" s="1062" t="e">
        <x:f t="shared" si="93"/>
        <x:v>#VALUE!</x:v>
      </x:c>
      <x:c r="FP21" s="1062" t="e">
        <x:f t="shared" si="94"/>
        <x:v>#VALUE!</x:v>
      </x:c>
      <x:c r="FQ21" s="1063" t="e">
        <x:f t="shared" si="95"/>
        <x:v>#VALUE!</x:v>
      </x:c>
      <x:c r="FR21" s="1064" t="e">
        <x:f t="shared" si="96"/>
        <x:v>#VALUE!</x:v>
      </x:c>
      <x:c r="FS21" s="1065" t="str">
        <x:f t="shared" si="97"/>
        <x:v/>
      </x:c>
      <x:c r="FT21" s="1066" t="str">
        <x:f t="shared" si="98"/>
        <x:v/>
      </x:c>
      <x:c r="FU21" s="1105">
        <x:f t="shared" si="99"/>
        <x:v>0</x:v>
      </x:c>
      <x:c r="FV21" s="1106">
        <x:f t="shared" si="100"/>
        <x:v>0</x:v>
      </x:c>
      <x:c r="GA21" s="1975">
        <x:v>12</x:v>
      </x:c>
      <x:c r="GB21" s="1976">
        <x:v>5.125</x:v>
      </x:c>
      <x:c r="GC21" s="1977">
        <x:v>2</x:v>
      </x:c>
      <x:c r="GD21" s="1978">
        <x:v>-0.5</x:v>
      </x:c>
      <x:c r="GE21" s="1979">
        <x:v>0.33426620588644901</x:v>
      </x:c>
      <x:c r="GF21" s="1980" t="str">
        <x:f t="shared" si="101"/>
        <x:v>J97</x:v>
      </x:c>
      <x:c r="GG21" s="1453"/>
      <x:c r="GH21" s="1454"/>
      <x:c r="GI21" s="1453"/>
      <x:c r="GJ21" s="1454"/>
      <x:c r="GK21" s="533">
        <x:f t="shared" si="102"/>
        <x:v>150.625</x:v>
      </x:c>
      <x:c r="GL21" s="534">
        <x:f t="shared" si="103"/>
        <x:v>150.68342588438188</x:v>
      </x:c>
      <x:c r="GM21" s="535">
        <x:f>IF(ABS(GK21-GL21)&gt;='Job Info.'!$L$22,ABS(GK21-GL21),0)</x:f>
        <x:v>0</x:v>
      </x:c>
      <x:c r="HA21" s="1658" t="s">
        <x:v>1421</x:v>
      </x:c>
      <x:c r="HB21" s="1659">
        <x:v>1</x:v>
      </x:c>
      <x:c r="HC21" s="1659" t="s">
        <x:v>1980</x:v>
      </x:c>
      <x:c r="HD21" s="1660">
        <x:v>12</x:v>
      </x:c>
      <x:c r="HE21" s="1661">
        <x:v>6.625</x:v>
      </x:c>
      <x:c r="HF21" s="1659">
        <x:v>0</x:v>
      </x:c>
      <x:c r="HG21" s="1659">
        <x:v>3.625</x:v>
      </x:c>
      <x:c r="HH21" s="1659" t="s">
        <x:v>114</x:v>
      </x:c>
      <x:c r="HI21" s="1662" t="s">
        <x:v>117</x:v>
      </x:c>
      <x:c r="HJ21" s="1659" t="s">
        <x:v>117</x:v>
      </x:c>
      <x:c r="HK21" s="1659" t="s">
        <x:v>117</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x:v>0.33426620588644901</x:v>
      </x:c>
      <x:c r="HZ21" s="1661" t="s">
        <x:v>117</x:v>
      </x:c>
      <x:c r="IA21" s="1661" t="s">
        <x:v>2132</x:v>
      </x:c>
      <x:c r="IB21" s="1661"/>
      <x:c r="IC21" s="1661"/>
      <x:c r="ID21" s="1661"/>
      <x:c r="IE21" s="1661"/>
      <x:c r="IF21" s="1663"/>
    </x:row>
    <x:row r="22" spans="1:240" ht="12.6" customHeight="1" x14ac:dyDescent="0.25">
      <x:c r="A22" s="1264" t="s">
        <x:v>1422</x:v>
      </x:c>
      <x:c r="B22" s="1265">
        <x:v>1</x:v>
      </x:c>
      <x:c r="C22" s="1265" t="s">
        <x:v>1980</x:v>
      </x:c>
      <x:c r="D22" s="1261">
        <x:v>18</x:v>
      </x:c>
      <x:c r="E22" s="1366">
        <x:v>3.5</x:v>
      </x:c>
      <x:c r="F22" s="1328">
        <x:v>0</x:v>
      </x:c>
      <x:c r="G22" s="1262">
        <x:v>3.625</x:v>
      </x:c>
      <x:c r="H22" s="1266" t="s">
        <x:v>114</x:v>
      </x:c>
      <x:c r="I22" s="2195">
        <x:v>0</x:v>
      </x:c>
      <x:c r="J22" s="2122">
        <x:v>0.5</x:v>
      </x:c>
      <x:c r="K22" s="2209" t="s">
        <x:v>114</x:v>
      </x:c>
      <x:c r="L22" s="1327">
        <x:v>3</x:v>
      </x:c>
      <x:c r="M22" s="1329">
        <x:v>3</x:v>
      </x:c>
      <x:c r="N22" s="1263" t="str">
        <x:f t="shared" si="1"/>
        <x:v/>
      </x:c>
      <x:c r="O22" s="1262" t="str">
        <x:f t="shared" si="2"/>
        <x:v/>
      </x:c>
      <x:c r="P22" s="1260" t="str">
        <x:f t="shared" si="3"/>
        <x:v/>
      </x:c>
      <x:c r="Q22" s="1261" t="str">
        <x:f t="shared" si="4"/>
        <x:v/>
      </x:c>
      <x:c r="R22" s="1262" t="str">
        <x:f t="shared" si="5"/>
        <x:v/>
      </x:c>
      <x:c r="S22" s="1375" t="str">
        <x:f t="shared" si="6"/>
        <x:v/>
      </x:c>
      <x:c r="T22" s="1328" t="str">
        <x:f t="shared" si="7"/>
        <x:v/>
      </x:c>
      <x:c r="U22" s="1262" t="str">
        <x:f t="shared" si="8"/>
        <x:v/>
      </x:c>
      <x:c r="V22" s="1261" t="str">
        <x:f t="shared" si="9"/>
        <x:v/>
      </x:c>
      <x:c r="W22" s="1262" t="str">
        <x:f t="shared" si="10"/>
        <x:v/>
      </x:c>
      <x:c r="X22" s="1329">
        <x:f t="shared" si="11"/>
        <x:v>0</x:v>
      </x:c>
      <x:c r="Y22" s="1377">
        <x:v>0.31505565031931598</x:v>
      </x:c>
      <x:c r="Z22" s="1378" t="str">
        <x:f t="shared" si="13"/>
        <x:v/>
      </x:c>
      <x:c r="AA22" s="2159" t="s">
        <x:v>2133</x:v>
      </x:c>
      <x:c r="AC22" s="1226" t="b">
        <x:v>0</x:v>
      </x:c>
      <x:c r="AD22" s="525">
        <x:f t="shared" si="14"/>
        <x:v>1</x:v>
      </x:c>
      <x:c r="AE22" s="526">
        <x:f t="shared" si="15"/>
        <x:v>0</x:v>
      </x:c>
      <x:c r="AF22" s="526">
        <x:f t="shared" si="16"/>
        <x:v>0</x:v>
      </x:c>
      <x:c r="AG22" s="526">
        <x:f t="shared" si="17"/>
        <x:v>0</x:v>
      </x:c>
      <x:c r="AH22" s="527">
        <x:f t="shared" si="18"/>
        <x:v>0</x:v>
      </x:c>
      <x:c r="AI22" s="528" t="b">
        <x:v>0</x:v>
      </x:c>
      <x:c r="AJ22" s="284">
        <x:f t="shared" si="19"/>
        <x:v>30</x:v>
      </x:c>
      <x:c r="AK22" s="1063" t="str">
        <x:f t="shared" si="20"/>
        <x:v>K</x:v>
      </x:c>
      <x:c r="AL22" s="1202" t="str">
        <x:f t="shared" si="21"/>
        <x:v/>
      </x:c>
      <x:c r="AM22" s="1063">
        <x:f t="shared" si="22"/>
        <x:v>310</x:v>
      </x:c>
      <x:c r="AN22" s="1063">
        <x:f t="shared" si="23"/>
        <x:v>160</x:v>
      </x:c>
      <x:c r="AO22" s="1063" t="str">
        <x:f t="shared" si="24"/>
        <x:v/>
      </x:c>
      <x:c r="AP22" s="1063" t="b">
        <x:f>IF(ISERROR(AJ22),FALSE,IF(OR(AJ22=0,ISERROR(AL22),ISERROR(AM22),ISERROR(AN22),ISERROR(AO22)),FALSE,IF(AL22&lt;&gt;"",IF(ISERROR(VLOOKUP(SUBSTITUTE(SUBSTITUTE(C22,"R",""),"A",""),TblJoistSize!$A:$A,1,FALSE)),FALSE,TRUE),TRUE)))</x:f>
        <x:v>1</x:v>
      </x:c>
      <x:c r="AQ22" s="1305">
        <x:f t="shared" si="25"/>
        <x:v>7.625</x:v>
      </x:c>
      <x:c r="AR22" s="1305" t="b">
        <x:f t="shared" si="26"/>
        <x:v>0</x:v>
      </x:c>
      <x:c r="AS22" s="1305">
        <x:f t="shared" si="27"/>
        <x:v>4.5</x:v>
      </x:c>
      <x:c r="AT22" s="1305" t="b">
        <x:f t="shared" si="28"/>
        <x:v>0</x:v>
      </x:c>
      <x:c r="AU22" s="1203" t="str">
        <x:f t="shared" si="29"/>
        <x:v>K</x:v>
      </x:c>
      <x:c r="AV22" s="1063" t="str">
        <x:f t="shared" si="30"/>
        <x:v>K</x:v>
      </x:c>
      <x:c r="AW22" s="1063" t="str">
        <x:f t="shared" si="31"/>
        <x:v/>
      </x:c>
      <x:c r="AX22" s="1063" t="str">
        <x:f t="shared" si="104"/>
        <x:v>J98</x:v>
      </x:c>
      <x:c r="AY22" s="1306" t="b">
        <x:f t="shared" si="32"/>
        <x:v>0</x:v>
      </x:c>
      <x:c r="AZ22" s="1090" t="b">
        <x:f t="shared" si="33"/>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4"/>
        <x:v/>
      </x:c>
      <x:c r="CE22" s="935" t="str">
        <x:f t="shared" si="35"/>
        <x:v/>
      </x:c>
      <x:c r="CF22" s="1149"/>
      <x:c r="CG22" s="1150"/>
      <x:c r="CH22" s="738" t="str">
        <x:f t="shared" si="36"/>
        <x:v/>
      </x:c>
      <x:c r="CI22" s="739" t="str">
        <x:f t="shared" si="37"/>
        <x:v/>
      </x:c>
      <x:c r="CJ22" s="740" t="str">
        <x:f t="shared" si="38"/>
        <x:v/>
      </x:c>
      <x:c r="CK22" s="741" t="str">
        <x:f t="shared" si="39"/>
        <x:v/>
      </x:c>
      <x:c r="CL22" s="742" t="str">
        <x:f t="shared" si="40"/>
        <x:v/>
      </x:c>
      <x:c r="CM22" s="743" t="str">
        <x:f t="shared" si="41"/>
        <x:v/>
      </x:c>
      <x:c r="CN22" s="744" t="str">
        <x:f t="shared" si="42"/>
        <x:v/>
      </x:c>
      <x:c r="CO22" s="745" t="str">
        <x:f t="shared" si="43"/>
        <x:v/>
      </x:c>
      <x:c r="CP22" s="762" t="str">
        <x:f t="shared" si="44"/>
        <x:v/>
      </x:c>
      <x:c r="CQ22" s="763" t="str">
        <x:f t="shared" si="45"/>
        <x:v/>
      </x:c>
      <x:c r="CR22" s="953">
        <x:f t="shared" si="46"/>
        <x:v>2.5</x:v>
      </x:c>
      <x:c r="CS22" s="954">
        <x:f t="shared" si="47"/>
        <x:v>2.5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8"/>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9"/>
        <x:v>0</x:v>
      </x:c>
      <x:c r="DO22" s="1049">
        <x:f t="shared" si="50"/>
        <x:v>0</x:v>
      </x:c>
      <x:c r="DP22" s="1053" t="str">
        <x:f t="shared" si="51"/>
        <x:v/>
      </x:c>
      <x:c r="DQ22" s="1053" t="str">
        <x:f t="shared" si="52"/>
        <x:v/>
      </x:c>
      <x:c r="DR22" s="1053" t="str">
        <x:f t="shared" si="53"/>
        <x:v/>
      </x:c>
      <x:c r="DS22" s="1052">
        <x:f t="shared" si="54"/>
        <x:v>0</x:v>
      </x:c>
      <x:c r="DT22" s="1052">
        <x:f t="shared" si="55"/>
        <x:v>0</x:v>
      </x:c>
      <x:c r="DU22" s="1052" t="str">
        <x:f t="shared" si="56"/>
        <x:v/>
      </x:c>
      <x:c r="DV22" s="1053" t="str">
        <x:f t="shared" si="57"/>
        <x:v/>
      </x:c>
      <x:c r="DW22" s="1053" t="str">
        <x:f t="shared" si="58"/>
        <x:v/>
      </x:c>
      <x:c r="DX22" s="1269">
        <x:f t="shared" si="59"/>
        <x:v>0</x:v>
      </x:c>
      <x:c r="DY22" s="1053">
        <x:f t="shared" si="60"/>
        <x:v>0</x:v>
      </x:c>
      <x:c r="DZ22" s="1052">
        <x:f t="shared" si="61"/>
        <x:v>0</x:v>
      </x:c>
      <x:c r="EA22" s="1052" t="str">
        <x:f t="shared" si="62"/>
        <x:v/>
      </x:c>
      <x:c r="EB22" s="1053" t="str">
        <x:f t="shared" si="63"/>
        <x:v/>
      </x:c>
      <x:c r="EC22" s="1053" t="str">
        <x:f t="shared" si="64"/>
        <x:v/>
      </x:c>
      <x:c r="ED22" s="1269">
        <x:f t="shared" si="65"/>
        <x:v>0</x:v>
      </x:c>
      <x:c r="EE22" s="1090" t="str">
        <x:f t="shared" si="66"/>
        <x:v/>
      </x:c>
      <x:c r="EF22" s="1053" t="str">
        <x:f t="shared" si="67"/>
        <x:v/>
      </x:c>
      <x:c r="EG22" s="1053" t="str">
        <x:f t="shared" si="68"/>
        <x:v/>
      </x:c>
      <x:c r="EH22" s="1053" t="str">
        <x:f t="shared" si="69"/>
        <x:v>ERR</x:v>
      </x:c>
      <x:c r="EI22" s="1053" t="str">
        <x:f t="shared" si="70"/>
        <x:v>ERR</x:v>
      </x:c>
      <x:c r="EJ22" s="1053" t="str">
        <x:f t="shared" si="71"/>
        <x:v/>
      </x:c>
      <x:c r="EK22" s="1053" t="str">
        <x:f t="shared" si="71"/>
        <x:v/>
      </x:c>
      <x:c r="EL22" s="1090" t="str">
        <x:f t="shared" si="72"/>
        <x:v/>
      </x:c>
      <x:c r="EM22" s="1053" t="str">
        <x:f t="shared" si="73"/>
        <x:v/>
      </x:c>
      <x:c r="EN22" s="1053" t="str">
        <x:f t="shared" si="74"/>
        <x:v/>
      </x:c>
      <x:c r="EO22" s="1053" t="str">
        <x:f t="shared" si="75"/>
        <x:v>ERR</x:v>
      </x:c>
      <x:c r="EP22" s="1053" t="str">
        <x:f t="shared" si="76"/>
        <x:v>ERR</x:v>
      </x:c>
      <x:c r="EQ22" s="1053" t="str">
        <x:f t="shared" si="77"/>
        <x:v/>
      </x:c>
      <x:c r="ER22" s="1053" t="str">
        <x:f t="shared" si="77"/>
        <x:v/>
      </x:c>
      <x:c r="ES22" s="1053" t="str">
        <x:f t="shared" si="78"/>
        <x:v/>
      </x:c>
      <x:c r="ET22" s="1053" t="str">
        <x:f t="shared" si="79"/>
        <x:v/>
      </x:c>
      <x:c r="EU22" s="1061">
        <x:f t="shared" si="80"/>
        <x:v>3.5</x:v>
      </x:c>
      <x:c r="EV22" s="1055" t="str">
        <x:f t="shared" si="81"/>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2"/>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3"/>
        <x:v/>
      </x:c>
      <x:c r="FD22" s="1052">
        <x:f t="shared" si="105"/>
        <x:v>0</x:v>
      </x:c>
      <x:c r="FE22" s="1052">
        <x:f t="shared" si="84"/>
        <x:v>0</x:v>
      </x:c>
      <x:c r="FF22" s="1052">
        <x:f t="shared" si="85"/>
        <x:v>0</x:v>
      </x:c>
      <x:c r="FG22" s="1052" t="str">
        <x:f t="shared" si="86"/>
        <x:v/>
      </x:c>
      <x:c r="FH22" s="1053" t="str">
        <x:f t="shared" si="87"/>
        <x:v/>
      </x:c>
      <x:c r="FI22" s="1052">
        <x:f t="shared" si="106"/>
        <x:v>0</x:v>
      </x:c>
      <x:c r="FJ22" s="1052">
        <x:f t="shared" si="88"/>
        <x:v>0</x:v>
      </x:c>
      <x:c r="FK22" s="1052">
        <x:f t="shared" si="89"/>
        <x:v>0</x:v>
      </x:c>
      <x:c r="FL22" s="1052" t="str">
        <x:f t="shared" si="90"/>
        <x:v/>
      </x:c>
      <x:c r="FM22" s="1053" t="str">
        <x:f t="shared" si="91"/>
        <x:v/>
      </x:c>
      <x:c r="FN22" s="1053" t="e">
        <x:f t="shared" si="92"/>
        <x:v>#VALUE!</x:v>
      </x:c>
      <x:c r="FO22" s="1062" t="e">
        <x:f t="shared" si="93"/>
        <x:v>#VALUE!</x:v>
      </x:c>
      <x:c r="FP22" s="1062" t="e">
        <x:f t="shared" si="94"/>
        <x:v>#VALUE!</x:v>
      </x:c>
      <x:c r="FQ22" s="1063" t="e">
        <x:f t="shared" si="95"/>
        <x:v>#VALUE!</x:v>
      </x:c>
      <x:c r="FR22" s="1064" t="e">
        <x:f t="shared" si="96"/>
        <x:v>#VALUE!</x:v>
      </x:c>
      <x:c r="FS22" s="1065" t="str">
        <x:f t="shared" si="97"/>
        <x:v/>
      </x:c>
      <x:c r="FT22" s="1066" t="str">
        <x:f t="shared" si="98"/>
        <x:v/>
      </x:c>
      <x:c r="FU22" s="1105">
        <x:f t="shared" si="99"/>
        <x:v>0</x:v>
      </x:c>
      <x:c r="FV22" s="1106">
        <x:f t="shared" si="100"/>
        <x:v>0</x:v>
      </x:c>
      <x:c r="GA22" s="1975">
        <x:v>18</x:v>
      </x:c>
      <x:c r="GB22" s="1976">
        <x:v>2</x:v>
      </x:c>
      <x:c r="GC22" s="1977">
        <x:v>2</x:v>
      </x:c>
      <x:c r="GD22" s="1978">
        <x:v>-0.5</x:v>
      </x:c>
      <x:c r="GE22" s="1979">
        <x:v>0.31505565031931598</x:v>
      </x:c>
      <x:c r="GF22" s="1980" t="str">
        <x:f t="shared" si="101"/>
        <x:v>J98</x:v>
      </x:c>
      <x:c r="GG22" s="1453"/>
      <x:c r="GH22" s="1454"/>
      <x:c r="GI22" s="1453"/>
      <x:c r="GJ22" s="1454"/>
      <x:c r="GK22" s="533">
        <x:f t="shared" si="102"/>
        <x:v>219.5</x:v>
      </x:c>
      <x:c r="GL22" s="534">
        <x:f t="shared" si="103"/>
        <x:v>219.57563830034599</x:v>
      </x:c>
      <x:c r="GM22" s="535">
        <x:f>IF(ABS(GK22-GL22)&gt;='Job Info.'!$L$22,ABS(GK22-GL22),0)</x:f>
        <x:v>0</x:v>
      </x:c>
      <x:c r="HA22" s="1658" t="s">
        <x:v>1422</x:v>
      </x:c>
      <x:c r="HB22" s="1659">
        <x:v>1</x:v>
      </x:c>
      <x:c r="HC22" s="1659" t="s">
        <x:v>1980</x:v>
      </x:c>
      <x:c r="HD22" s="1660">
        <x:v>18</x:v>
      </x:c>
      <x:c r="HE22" s="1661">
        <x:v>3.5</x:v>
      </x:c>
      <x:c r="HF22" s="1659">
        <x:v>0</x:v>
      </x:c>
      <x:c r="HG22" s="1659">
        <x:v>3.625</x:v>
      </x:c>
      <x:c r="HH22" s="1659" t="s">
        <x:v>114</x:v>
      </x:c>
      <x:c r="HI22" s="1662" t="s">
        <x:v>117</x:v>
      </x:c>
      <x:c r="HJ22" s="1659" t="s">
        <x:v>117</x:v>
      </x:c>
      <x:c r="HK22" s="1659" t="s">
        <x:v>117</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x:v>0.31505565031931598</x:v>
      </x:c>
      <x:c r="HZ22" s="1661" t="s">
        <x:v>117</x:v>
      </x:c>
      <x:c r="IA22" s="1661" t="s">
        <x:v>2133</x:v>
      </x:c>
      <x:c r="IB22" s="1661"/>
      <x:c r="IC22" s="1661"/>
      <x:c r="ID22" s="1661"/>
      <x:c r="IE22" s="1661"/>
      <x:c r="IF22" s="1663"/>
    </x:row>
    <x:row r="23" spans="1:240" ht="12.6" customHeight="1" x14ac:dyDescent="0.25">
      <x:c r="A23" s="1264" t="s">
        <x:v>1423</x:v>
      </x:c>
      <x:c r="B23" s="1265">
        <x:v>1</x:v>
      </x:c>
      <x:c r="C23" s="1265" t="s">
        <x:v>1980</x:v>
      </x:c>
      <x:c r="D23" s="1261">
        <x:v>24</x:v>
      </x:c>
      <x:c r="E23" s="1366">
        <x:v>0.375</x:v>
      </x:c>
      <x:c r="F23" s="1328">
        <x:v>0</x:v>
      </x:c>
      <x:c r="G23" s="1262">
        <x:v>3.625</x:v>
      </x:c>
      <x:c r="H23" s="1266" t="s">
        <x:v>114</x:v>
      </x:c>
      <x:c r="I23" s="2195">
        <x:v>0</x:v>
      </x:c>
      <x:c r="J23" s="2122">
        <x:v>0.5</x:v>
      </x:c>
      <x:c r="K23" s="2209" t="s">
        <x:v>114</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t="str">
        <x:f t="shared" si="7"/>
        <x:v/>
      </x:c>
      <x:c r="U23" s="1262" t="str">
        <x:f t="shared" si="8"/>
        <x:v/>
      </x:c>
      <x:c r="V23" s="1261" t="str">
        <x:f t="shared" si="9"/>
        <x:v/>
      </x:c>
      <x:c r="W23" s="1262" t="str">
        <x:f t="shared" si="10"/>
        <x:v/>
      </x:c>
      <x:c r="X23" s="1329">
        <x:f t="shared" si="11"/>
        <x:v>0</x:v>
      </x:c>
      <x:c r="Y23" s="1377">
        <x:v>0.30506675136729899</x:v>
      </x:c>
      <x:c r="Z23" s="1378" t="str">
        <x:f t="shared" si="13"/>
        <x:v/>
      </x:c>
      <x:c r="AA23" s="2159" t="s">
        <x:v>2134</x:v>
      </x:c>
      <x:c r="AC23" s="1226" t="b">
        <x:v>0</x:v>
      </x:c>
      <x:c r="AD23" s="525">
        <x:f t="shared" si="14"/>
        <x:v>1</x:v>
      </x:c>
      <x:c r="AE23" s="526">
        <x:f t="shared" si="15"/>
        <x:v>0</x:v>
      </x:c>
      <x:c r="AF23" s="526">
        <x:f t="shared" si="16"/>
        <x:v>0</x:v>
      </x:c>
      <x:c r="AG23" s="526">
        <x:f t="shared" si="17"/>
        <x:v>0</x:v>
      </x:c>
      <x:c r="AH23" s="527">
        <x:f t="shared" si="18"/>
        <x:v>0</x:v>
      </x:c>
      <x:c r="AI23" s="528" t="b">
        <x:v>0</x:v>
      </x:c>
      <x:c r="AJ23" s="284">
        <x:f t="shared" si="19"/>
        <x:v>30</x:v>
      </x:c>
      <x:c r="AK23" s="1063" t="str">
        <x:f t="shared" si="20"/>
        <x:v>K</x:v>
      </x:c>
      <x:c r="AL23" s="1202" t="str">
        <x:f t="shared" si="21"/>
        <x:v/>
      </x:c>
      <x:c r="AM23" s="1063">
        <x:f t="shared" si="22"/>
        <x:v>310</x:v>
      </x:c>
      <x:c r="AN23" s="1063">
        <x:f t="shared" si="23"/>
        <x:v>160</x:v>
      </x:c>
      <x:c r="AO23" s="1063" t="str">
        <x:f t="shared" si="24"/>
        <x:v/>
      </x:c>
      <x:c r="AP23" s="1063" t="b">
        <x:f>IF(ISERROR(AJ23),FALSE,IF(OR(AJ23=0,ISERROR(AL23),ISERROR(AM23),ISERROR(AN23),ISERROR(AO23)),FALSE,IF(AL23&lt;&gt;"",IF(ISERROR(VLOOKUP(SUBSTITUTE(SUBSTITUTE(C23,"R",""),"A",""),TblJoistSize!$A:$A,1,FALSE)),FALSE,TRUE),TRUE)))</x:f>
        <x:v>1</x:v>
      </x:c>
      <x:c r="AQ23" s="1305">
        <x:f t="shared" si="25"/>
        <x:v>7.625</x:v>
      </x:c>
      <x:c r="AR23" s="1305" t="b">
        <x:f t="shared" si="26"/>
        <x:v>0</x:v>
      </x:c>
      <x:c r="AS23" s="1305">
        <x:f t="shared" si="27"/>
        <x:v>4.5</x:v>
      </x:c>
      <x:c r="AT23" s="1305" t="b">
        <x:f t="shared" si="28"/>
        <x:v>0</x:v>
      </x:c>
      <x:c r="AU23" s="1203" t="str">
        <x:f t="shared" si="29"/>
        <x:v>K</x:v>
      </x:c>
      <x:c r="AV23" s="1063" t="str">
        <x:f t="shared" si="30"/>
        <x:v>K</x:v>
      </x:c>
      <x:c r="AW23" s="1063" t="str">
        <x:f t="shared" si="31"/>
        <x:v/>
      </x:c>
      <x:c r="AX23" s="1063" t="str">
        <x:f t="shared" si="104"/>
        <x:v>J99</x:v>
      </x:c>
      <x:c r="AY23" s="1306" t="b">
        <x:f t="shared" si="32"/>
        <x:v>0</x:v>
      </x:c>
      <x:c r="AZ23" s="1090" t="b">
        <x:f t="shared" si="33"/>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4"/>
        <x:v/>
      </x:c>
      <x:c r="CE23" s="935" t="str">
        <x:f t="shared" si="35"/>
        <x:v/>
      </x:c>
      <x:c r="CF23" s="1149"/>
      <x:c r="CG23" s="1150"/>
      <x:c r="CH23" s="738" t="str">
        <x:f t="shared" si="36"/>
        <x:v/>
      </x:c>
      <x:c r="CI23" s="739" t="str">
        <x:f t="shared" si="37"/>
        <x:v/>
      </x:c>
      <x:c r="CJ23" s="740" t="str">
        <x:f t="shared" si="38"/>
        <x:v/>
      </x:c>
      <x:c r="CK23" s="741" t="str">
        <x:f t="shared" si="39"/>
        <x:v/>
      </x:c>
      <x:c r="CL23" s="742" t="str">
        <x:f t="shared" si="40"/>
        <x:v/>
      </x:c>
      <x:c r="CM23" s="743" t="str">
        <x:f t="shared" si="41"/>
        <x:v/>
      </x:c>
      <x:c r="CN23" s="744" t="str">
        <x:f t="shared" si="42"/>
        <x:v/>
      </x:c>
      <x:c r="CO23" s="745" t="str">
        <x:f t="shared" si="43"/>
        <x:v/>
      </x:c>
      <x:c r="CP23" s="762" t="str">
        <x:f t="shared" si="44"/>
        <x:v/>
      </x:c>
      <x:c r="CQ23" s="763" t="str">
        <x:f t="shared" si="45"/>
        <x:v/>
      </x:c>
      <x:c r="CR23" s="953">
        <x:f t="shared" si="46"/>
        <x:v>2.5</x:v>
      </x:c>
      <x:c r="CS23" s="954">
        <x:f t="shared" si="47"/>
        <x:v>2.5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8"/>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9"/>
        <x:v>0</x:v>
      </x:c>
      <x:c r="DO23" s="1049">
        <x:f t="shared" si="50"/>
        <x:v>0</x:v>
      </x:c>
      <x:c r="DP23" s="1053" t="str">
        <x:f t="shared" si="51"/>
        <x:v/>
      </x:c>
      <x:c r="DQ23" s="1053" t="str">
        <x:f t="shared" si="52"/>
        <x:v/>
      </x:c>
      <x:c r="DR23" s="1053" t="str">
        <x:f t="shared" si="53"/>
        <x:v/>
      </x:c>
      <x:c r="DS23" s="1052">
        <x:f t="shared" si="54"/>
        <x:v>0</x:v>
      </x:c>
      <x:c r="DT23" s="1052">
        <x:f t="shared" si="55"/>
        <x:v>0</x:v>
      </x:c>
      <x:c r="DU23" s="1052" t="str">
        <x:f t="shared" si="56"/>
        <x:v/>
      </x:c>
      <x:c r="DV23" s="1053" t="str">
        <x:f t="shared" si="57"/>
        <x:v/>
      </x:c>
      <x:c r="DW23" s="1053" t="str">
        <x:f t="shared" si="58"/>
        <x:v/>
      </x:c>
      <x:c r="DX23" s="1269">
        <x:f t="shared" si="59"/>
        <x:v>0</x:v>
      </x:c>
      <x:c r="DY23" s="1053">
        <x:f t="shared" si="60"/>
        <x:v>0</x:v>
      </x:c>
      <x:c r="DZ23" s="1052">
        <x:f t="shared" si="61"/>
        <x:v>0</x:v>
      </x:c>
      <x:c r="EA23" s="1052" t="str">
        <x:f t="shared" si="62"/>
        <x:v/>
      </x:c>
      <x:c r="EB23" s="1053" t="str">
        <x:f t="shared" si="63"/>
        <x:v/>
      </x:c>
      <x:c r="EC23" s="1053" t="str">
        <x:f t="shared" si="64"/>
        <x:v/>
      </x:c>
      <x:c r="ED23" s="1269">
        <x:f t="shared" si="65"/>
        <x:v>0</x:v>
      </x:c>
      <x:c r="EE23" s="1090" t="str">
        <x:f t="shared" si="66"/>
        <x:v/>
      </x:c>
      <x:c r="EF23" s="1053" t="str">
        <x:f t="shared" si="67"/>
        <x:v/>
      </x:c>
      <x:c r="EG23" s="1053" t="str">
        <x:f t="shared" si="68"/>
        <x:v/>
      </x:c>
      <x:c r="EH23" s="1053" t="str">
        <x:f t="shared" si="69"/>
        <x:v>ERR</x:v>
      </x:c>
      <x:c r="EI23" s="1053" t="str">
        <x:f t="shared" si="70"/>
        <x:v>ERR</x:v>
      </x:c>
      <x:c r="EJ23" s="1053" t="str">
        <x:f t="shared" si="71"/>
        <x:v/>
      </x:c>
      <x:c r="EK23" s="1053" t="str">
        <x:f t="shared" si="71"/>
        <x:v/>
      </x:c>
      <x:c r="EL23" s="1090" t="str">
        <x:f t="shared" si="72"/>
        <x:v/>
      </x:c>
      <x:c r="EM23" s="1053" t="str">
        <x:f t="shared" si="73"/>
        <x:v/>
      </x:c>
      <x:c r="EN23" s="1053" t="str">
        <x:f t="shared" si="74"/>
        <x:v/>
      </x:c>
      <x:c r="EO23" s="1053" t="str">
        <x:f t="shared" si="75"/>
        <x:v>ERR</x:v>
      </x:c>
      <x:c r="EP23" s="1053" t="str">
        <x:f t="shared" si="76"/>
        <x:v>ERR</x:v>
      </x:c>
      <x:c r="EQ23" s="1053" t="str">
        <x:f t="shared" si="77"/>
        <x:v/>
      </x:c>
      <x:c r="ER23" s="1053" t="str">
        <x:f t="shared" si="77"/>
        <x:v/>
      </x:c>
      <x:c r="ES23" s="1053" t="str">
        <x:f t="shared" si="78"/>
        <x:v/>
      </x:c>
      <x:c r="ET23" s="1053" t="str">
        <x:f t="shared" si="79"/>
        <x:v/>
      </x:c>
      <x:c r="EU23" s="1061">
        <x:f t="shared" si="80"/>
        <x:v>3.5</x:v>
      </x:c>
      <x:c r="EV23" s="1055" t="str">
        <x:f t="shared" si="81"/>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2"/>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3"/>
        <x:v/>
      </x:c>
      <x:c r="FD23" s="1052">
        <x:f t="shared" si="105"/>
        <x:v>0</x:v>
      </x:c>
      <x:c r="FE23" s="1052">
        <x:f t="shared" si="84"/>
        <x:v>0</x:v>
      </x:c>
      <x:c r="FF23" s="1052">
        <x:f t="shared" si="85"/>
        <x:v>0</x:v>
      </x:c>
      <x:c r="FG23" s="1052" t="str">
        <x:f t="shared" si="86"/>
        <x:v/>
      </x:c>
      <x:c r="FH23" s="1053" t="str">
        <x:f t="shared" si="87"/>
        <x:v/>
      </x:c>
      <x:c r="FI23" s="1052">
        <x:f t="shared" si="106"/>
        <x:v>0</x:v>
      </x:c>
      <x:c r="FJ23" s="1052">
        <x:f t="shared" si="88"/>
        <x:v>0</x:v>
      </x:c>
      <x:c r="FK23" s="1052">
        <x:f t="shared" si="89"/>
        <x:v>0</x:v>
      </x:c>
      <x:c r="FL23" s="1052" t="str">
        <x:f t="shared" si="90"/>
        <x:v/>
      </x:c>
      <x:c r="FM23" s="1053" t="str">
        <x:f t="shared" si="91"/>
        <x:v/>
      </x:c>
      <x:c r="FN23" s="1053" t="e">
        <x:f t="shared" si="92"/>
        <x:v>#VALUE!</x:v>
      </x:c>
      <x:c r="FO23" s="1062" t="e">
        <x:f t="shared" si="93"/>
        <x:v>#VALUE!</x:v>
      </x:c>
      <x:c r="FP23" s="1062" t="e">
        <x:f t="shared" si="94"/>
        <x:v>#VALUE!</x:v>
      </x:c>
      <x:c r="FQ23" s="1063" t="e">
        <x:f t="shared" si="95"/>
        <x:v>#VALUE!</x:v>
      </x:c>
      <x:c r="FR23" s="1064" t="e">
        <x:f t="shared" si="96"/>
        <x:v>#VALUE!</x:v>
      </x:c>
      <x:c r="FS23" s="1065" t="str">
        <x:f t="shared" si="97"/>
        <x:v/>
      </x:c>
      <x:c r="FT23" s="1066" t="str">
        <x:f t="shared" si="98"/>
        <x:v/>
      </x:c>
      <x:c r="FU23" s="1105">
        <x:f t="shared" si="99"/>
        <x:v>0</x:v>
      </x:c>
      <x:c r="FV23" s="1106">
        <x:f t="shared" si="100"/>
        <x:v>0</x:v>
      </x:c>
      <x:c r="GA23" s="1975">
        <x:v>23</x:v>
      </x:c>
      <x:c r="GB23" s="1976">
        <x:v>10.875</x:v>
      </x:c>
      <x:c r="GC23" s="1977">
        <x:v>2</x:v>
      </x:c>
      <x:c r="GD23" s="1978">
        <x:v>-0.5</x:v>
      </x:c>
      <x:c r="GE23" s="1979">
        <x:v>0.30506675136729899</x:v>
      </x:c>
      <x:c r="GF23" s="1980" t="str">
        <x:f t="shared" si="101"/>
        <x:v>J99</x:v>
      </x:c>
      <x:c r="GG23" s="1453"/>
      <x:c r="GH23" s="1454"/>
      <x:c r="GI23" s="1453"/>
      <x:c r="GJ23" s="1454"/>
      <x:c r="GK23" s="533">
        <x:f t="shared" si="102"/>
        <x:v>288.375</x:v>
      </x:c>
      <x:c r="GL23" s="534">
        <x:f t="shared" si="103"/>
        <x:v>288.46817185054505</x:v>
      </x:c>
      <x:c r="GM23" s="535">
        <x:f>IF(ABS(GK23-GL23)&gt;='Job Info.'!$L$22,ABS(GK23-GL23),0)</x:f>
        <x:v>0</x:v>
      </x:c>
      <x:c r="HA23" s="1658" t="s">
        <x:v>1423</x:v>
      </x:c>
      <x:c r="HB23" s="1659">
        <x:v>1</x:v>
      </x:c>
      <x:c r="HC23" s="1659" t="s">
        <x:v>1980</x:v>
      </x:c>
      <x:c r="HD23" s="1660">
        <x:v>24</x:v>
      </x:c>
      <x:c r="HE23" s="1661">
        <x:v>0.375</x:v>
      </x:c>
      <x:c r="HF23" s="1659">
        <x:v>0</x:v>
      </x:c>
      <x:c r="HG23" s="1659">
        <x:v>3.625</x:v>
      </x:c>
      <x:c r="HH23" s="1659" t="s">
        <x:v>114</x:v>
      </x:c>
      <x:c r="HI23" s="1662" t="s">
        <x:v>117</x:v>
      </x:c>
      <x:c r="HJ23" s="1659" t="s">
        <x:v>117</x:v>
      </x:c>
      <x:c r="HK23" s="1659" t="s">
        <x:v>117</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x:v>0.30506675136729899</x:v>
      </x:c>
      <x:c r="HZ23" s="1661" t="s">
        <x:v>117</x:v>
      </x:c>
      <x:c r="IA23" s="1661" t="s">
        <x:v>2134</x:v>
      </x:c>
      <x:c r="IB23" s="1661"/>
      <x:c r="IC23" s="1661"/>
      <x:c r="ID23" s="1661"/>
      <x:c r="IE23" s="1661"/>
      <x:c r="IF23" s="1663"/>
    </x:row>
    <x:row r="24" spans="1:240" ht="12.6" customHeight="1" x14ac:dyDescent="0.25">
      <x:c r="A24" s="1264" t="s">
        <x:v>1424</x:v>
      </x:c>
      <x:c r="B24" s="1265">
        <x:v>1</x:v>
      </x:c>
      <x:c r="C24" s="1265" t="s">
        <x:v>1980</x:v>
      </x:c>
      <x:c r="D24" s="1261">
        <x:v>29</x:v>
      </x:c>
      <x:c r="E24" s="1366">
        <x:v>9.25</x:v>
      </x:c>
      <x:c r="F24" s="1328">
        <x:v>0</x:v>
      </x:c>
      <x:c r="G24" s="1262">
        <x:v>3.625</x:v>
      </x:c>
      <x:c r="H24" s="1266" t="s">
        <x:v>114</x:v>
      </x:c>
      <x:c r="I24" s="2195">
        <x:v>0</x:v>
      </x:c>
      <x:c r="J24" s="2122">
        <x:v>0.5</x:v>
      </x:c>
      <x:c r="K24" s="2209" t="s">
        <x:v>114</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t="str">
        <x:f t="shared" si="7"/>
        <x:v/>
      </x:c>
      <x:c r="U24" s="1262" t="str">
        <x:f t="shared" si="8"/>
        <x:v/>
      </x:c>
      <x:c r="V24" s="1261" t="str">
        <x:f t="shared" si="9"/>
        <x:v/>
      </x:c>
      <x:c r="W24" s="1262" t="str">
        <x:f t="shared" si="10"/>
        <x:v/>
      </x:c>
      <x:c r="X24" s="1329">
        <x:f t="shared" si="11"/>
        <x:v>0</x:v>
      </x:c>
      <x:c r="Y24" s="1377">
        <x:v>0.29894470934927603</x:v>
      </x:c>
      <x:c r="Z24" s="1378" t="str">
        <x:f t="shared" si="13"/>
        <x:v/>
      </x:c>
      <x:c r="AA24" s="2159" t="s">
        <x:v>2135</x:v>
      </x:c>
      <x:c r="AC24" s="1226" t="b">
        <x:v>0</x:v>
      </x:c>
      <x:c r="AD24" s="525">
        <x:f t="shared" si="14"/>
        <x:v>1</x:v>
      </x:c>
      <x:c r="AE24" s="526">
        <x:f t="shared" si="15"/>
        <x:v>0</x:v>
      </x:c>
      <x:c r="AF24" s="526">
        <x:f t="shared" si="16"/>
        <x:v>0</x:v>
      </x:c>
      <x:c r="AG24" s="526">
        <x:f t="shared" si="17"/>
        <x:v>0</x:v>
      </x:c>
      <x:c r="AH24" s="527">
        <x:f t="shared" si="18"/>
        <x:v>0</x:v>
      </x:c>
      <x:c r="AI24" s="528" t="b">
        <x:v>0</x:v>
      </x:c>
      <x:c r="AJ24" s="284">
        <x:f t="shared" si="19"/>
        <x:v>30</x:v>
      </x:c>
      <x:c r="AK24" s="1063" t="str">
        <x:f t="shared" si="20"/>
        <x:v>K</x:v>
      </x:c>
      <x:c r="AL24" s="1202" t="str">
        <x:f t="shared" si="21"/>
        <x:v/>
      </x:c>
      <x:c r="AM24" s="1063">
        <x:f t="shared" si="22"/>
        <x:v>310</x:v>
      </x:c>
      <x:c r="AN24" s="1063">
        <x:f t="shared" si="23"/>
        <x:v>160</x:v>
      </x:c>
      <x:c r="AO24" s="1063" t="str">
        <x:f t="shared" si="24"/>
        <x:v/>
      </x:c>
      <x:c r="AP24" s="1063" t="b">
        <x:f>IF(ISERROR(AJ24),FALSE,IF(OR(AJ24=0,ISERROR(AL24),ISERROR(AM24),ISERROR(AN24),ISERROR(AO24)),FALSE,IF(AL24&lt;&gt;"",IF(ISERROR(VLOOKUP(SUBSTITUTE(SUBSTITUTE(C24,"R",""),"A",""),TblJoistSize!$A:$A,1,FALSE)),FALSE,TRUE),TRUE)))</x:f>
        <x:v>1</x:v>
      </x:c>
      <x:c r="AQ24" s="1305">
        <x:f t="shared" si="25"/>
        <x:v>7.625</x:v>
      </x:c>
      <x:c r="AR24" s="1305" t="b">
        <x:f t="shared" si="26"/>
        <x:v>0</x:v>
      </x:c>
      <x:c r="AS24" s="1305">
        <x:f t="shared" si="27"/>
        <x:v>4.5</x:v>
      </x:c>
      <x:c r="AT24" s="1305" t="b">
        <x:f t="shared" si="28"/>
        <x:v>0</x:v>
      </x:c>
      <x:c r="AU24" s="1203" t="str">
        <x:f t="shared" si="29"/>
        <x:v>K</x:v>
      </x:c>
      <x:c r="AV24" s="1063" t="str">
        <x:f t="shared" si="30"/>
        <x:v>K</x:v>
      </x:c>
      <x:c r="AW24" s="1063" t="str">
        <x:f t="shared" si="31"/>
        <x:v/>
      </x:c>
      <x:c r="AX24" s="1063" t="str">
        <x:f t="shared" si="104"/>
        <x:v>J100</x:v>
      </x:c>
      <x:c r="AY24" s="1306" t="b">
        <x:f t="shared" si="32"/>
        <x:v>0</x:v>
      </x:c>
      <x:c r="AZ24" s="1090" t="b">
        <x:f t="shared" si="33"/>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4"/>
        <x:v/>
      </x:c>
      <x:c r="CE24" s="935" t="str">
        <x:f t="shared" si="35"/>
        <x:v/>
      </x:c>
      <x:c r="CF24" s="1149"/>
      <x:c r="CG24" s="1150"/>
      <x:c r="CH24" s="738" t="str">
        <x:f t="shared" si="36"/>
        <x:v/>
      </x:c>
      <x:c r="CI24" s="739" t="str">
        <x:f t="shared" si="37"/>
        <x:v/>
      </x:c>
      <x:c r="CJ24" s="740" t="str">
        <x:f t="shared" si="38"/>
        <x:v/>
      </x:c>
      <x:c r="CK24" s="741" t="str">
        <x:f t="shared" si="39"/>
        <x:v/>
      </x:c>
      <x:c r="CL24" s="742" t="str">
        <x:f t="shared" si="40"/>
        <x:v/>
      </x:c>
      <x:c r="CM24" s="743" t="str">
        <x:f t="shared" si="41"/>
        <x:v/>
      </x:c>
      <x:c r="CN24" s="744" t="str">
        <x:f t="shared" si="42"/>
        <x:v/>
      </x:c>
      <x:c r="CO24" s="745" t="str">
        <x:f t="shared" si="43"/>
        <x:v/>
      </x:c>
      <x:c r="CP24" s="762" t="str">
        <x:f t="shared" si="44"/>
        <x:v/>
      </x:c>
      <x:c r="CQ24" s="763" t="str">
        <x:f t="shared" si="45"/>
        <x:v/>
      </x:c>
      <x:c r="CR24" s="953">
        <x:f t="shared" si="46"/>
        <x:v>2.5</x:v>
      </x:c>
      <x:c r="CS24" s="954">
        <x:f t="shared" si="47"/>
        <x:v>2.5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8"/>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9"/>
        <x:v>0</x:v>
      </x:c>
      <x:c r="DO24" s="1049">
        <x:f t="shared" si="50"/>
        <x:v>0</x:v>
      </x:c>
      <x:c r="DP24" s="1053" t="str">
        <x:f t="shared" si="51"/>
        <x:v/>
      </x:c>
      <x:c r="DQ24" s="1053" t="str">
        <x:f t="shared" si="52"/>
        <x:v/>
      </x:c>
      <x:c r="DR24" s="1053" t="str">
        <x:f t="shared" si="53"/>
        <x:v/>
      </x:c>
      <x:c r="DS24" s="1052">
        <x:f t="shared" si="54"/>
        <x:v>0</x:v>
      </x:c>
      <x:c r="DT24" s="1052">
        <x:f t="shared" si="55"/>
        <x:v>0</x:v>
      </x:c>
      <x:c r="DU24" s="1052" t="str">
        <x:f t="shared" si="56"/>
        <x:v/>
      </x:c>
      <x:c r="DV24" s="1053" t="str">
        <x:f t="shared" si="57"/>
        <x:v/>
      </x:c>
      <x:c r="DW24" s="1053" t="str">
        <x:f t="shared" si="58"/>
        <x:v/>
      </x:c>
      <x:c r="DX24" s="1269">
        <x:f t="shared" si="59"/>
        <x:v>0</x:v>
      </x:c>
      <x:c r="DY24" s="1053">
        <x:f t="shared" si="60"/>
        <x:v>0</x:v>
      </x:c>
      <x:c r="DZ24" s="1052">
        <x:f t="shared" si="61"/>
        <x:v>0</x:v>
      </x:c>
      <x:c r="EA24" s="1052" t="str">
        <x:f t="shared" si="62"/>
        <x:v/>
      </x:c>
      <x:c r="EB24" s="1053" t="str">
        <x:f t="shared" si="63"/>
        <x:v/>
      </x:c>
      <x:c r="EC24" s="1053" t="str">
        <x:f t="shared" si="64"/>
        <x:v/>
      </x:c>
      <x:c r="ED24" s="1269">
        <x:f t="shared" si="65"/>
        <x:v>0</x:v>
      </x:c>
      <x:c r="EE24" s="1090" t="str">
        <x:f t="shared" si="66"/>
        <x:v/>
      </x:c>
      <x:c r="EF24" s="1053" t="str">
        <x:f t="shared" si="67"/>
        <x:v/>
      </x:c>
      <x:c r="EG24" s="1053" t="str">
        <x:f t="shared" si="68"/>
        <x:v/>
      </x:c>
      <x:c r="EH24" s="1053" t="str">
        <x:f t="shared" si="69"/>
        <x:v>ERR</x:v>
      </x:c>
      <x:c r="EI24" s="1053" t="str">
        <x:f t="shared" si="70"/>
        <x:v>ERR</x:v>
      </x:c>
      <x:c r="EJ24" s="1053" t="str">
        <x:f t="shared" si="71"/>
        <x:v/>
      </x:c>
      <x:c r="EK24" s="1053" t="str">
        <x:f t="shared" si="71"/>
        <x:v/>
      </x:c>
      <x:c r="EL24" s="1090" t="str">
        <x:f t="shared" si="72"/>
        <x:v/>
      </x:c>
      <x:c r="EM24" s="1053" t="str">
        <x:f t="shared" si="73"/>
        <x:v/>
      </x:c>
      <x:c r="EN24" s="1053" t="str">
        <x:f t="shared" si="74"/>
        <x:v/>
      </x:c>
      <x:c r="EO24" s="1053" t="str">
        <x:f t="shared" si="75"/>
        <x:v>ERR</x:v>
      </x:c>
      <x:c r="EP24" s="1053" t="str">
        <x:f t="shared" si="76"/>
        <x:v>ERR</x:v>
      </x:c>
      <x:c r="EQ24" s="1053" t="str">
        <x:f t="shared" si="77"/>
        <x:v/>
      </x:c>
      <x:c r="ER24" s="1053" t="str">
        <x:f t="shared" si="77"/>
        <x:v/>
      </x:c>
      <x:c r="ES24" s="1053" t="str">
        <x:f t="shared" si="78"/>
        <x:v/>
      </x:c>
      <x:c r="ET24" s="1053" t="str">
        <x:f t="shared" si="79"/>
        <x:v/>
      </x:c>
      <x:c r="EU24" s="1061">
        <x:f t="shared" si="80"/>
        <x:v>3.5</x:v>
      </x:c>
      <x:c r="EV24" s="1055" t="str">
        <x:f t="shared" si="81"/>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2"/>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3"/>
        <x:v/>
      </x:c>
      <x:c r="FD24" s="1052">
        <x:f t="shared" si="105"/>
        <x:v>0</x:v>
      </x:c>
      <x:c r="FE24" s="1052">
        <x:f t="shared" si="84"/>
        <x:v>0</x:v>
      </x:c>
      <x:c r="FF24" s="1052">
        <x:f t="shared" si="85"/>
        <x:v>0</x:v>
      </x:c>
      <x:c r="FG24" s="1052" t="str">
        <x:f t="shared" si="86"/>
        <x:v/>
      </x:c>
      <x:c r="FH24" s="1053" t="str">
        <x:f t="shared" si="87"/>
        <x:v/>
      </x:c>
      <x:c r="FI24" s="1052">
        <x:f t="shared" si="106"/>
        <x:v>0</x:v>
      </x:c>
      <x:c r="FJ24" s="1052">
        <x:f t="shared" si="88"/>
        <x:v>0</x:v>
      </x:c>
      <x:c r="FK24" s="1052">
        <x:f t="shared" si="89"/>
        <x:v>0</x:v>
      </x:c>
      <x:c r="FL24" s="1052" t="str">
        <x:f t="shared" si="90"/>
        <x:v/>
      </x:c>
      <x:c r="FM24" s="1053" t="str">
        <x:f t="shared" si="91"/>
        <x:v/>
      </x:c>
      <x:c r="FN24" s="1053" t="e">
        <x:f t="shared" si="92"/>
        <x:v>#VALUE!</x:v>
      </x:c>
      <x:c r="FO24" s="1062" t="e">
        <x:f t="shared" si="93"/>
        <x:v>#VALUE!</x:v>
      </x:c>
      <x:c r="FP24" s="1062" t="e">
        <x:f t="shared" si="94"/>
        <x:v>#VALUE!</x:v>
      </x:c>
      <x:c r="FQ24" s="1063" t="e">
        <x:f t="shared" si="95"/>
        <x:v>#VALUE!</x:v>
      </x:c>
      <x:c r="FR24" s="1064" t="e">
        <x:f t="shared" si="96"/>
        <x:v>#VALUE!</x:v>
      </x:c>
      <x:c r="FS24" s="1065" t="str">
        <x:f t="shared" si="97"/>
        <x:v/>
      </x:c>
      <x:c r="FT24" s="1066" t="str">
        <x:f t="shared" si="98"/>
        <x:v/>
      </x:c>
      <x:c r="FU24" s="1105">
        <x:f t="shared" si="99"/>
        <x:v>0</x:v>
      </x:c>
      <x:c r="FV24" s="1106">
        <x:f t="shared" si="100"/>
        <x:v>0</x:v>
      </x:c>
      <x:c r="GA24" s="1975">
        <x:v>29</x:v>
      </x:c>
      <x:c r="GB24" s="1976">
        <x:v>7.75</x:v>
      </x:c>
      <x:c r="GC24" s="1977">
        <x:v>2</x:v>
      </x:c>
      <x:c r="GD24" s="1978">
        <x:v>-0.5</x:v>
      </x:c>
      <x:c r="GE24" s="1979">
        <x:v>0.29894470934927603</x:v>
      </x:c>
      <x:c r="GF24" s="1980" t="str">
        <x:f t="shared" si="101"/>
        <x:v>J100</x:v>
      </x:c>
      <x:c r="GG24" s="1453"/>
      <x:c r="GH24" s="1454"/>
      <x:c r="GI24" s="1453"/>
      <x:c r="GJ24" s="1454"/>
      <x:c r="GK24" s="533">
        <x:f t="shared" si="102"/>
        <x:v>357.25</x:v>
      </x:c>
      <x:c r="GL24" s="534">
        <x:f t="shared" si="103"/>
        <x:v>357.36083939000201</x:v>
      </x:c>
      <x:c r="GM24" s="535">
        <x:f>IF(ABS(GK24-GL24)&gt;='Job Info.'!$L$22,ABS(GK24-GL24),0)</x:f>
        <x:v>0</x:v>
      </x:c>
      <x:c r="HA24" s="1658" t="s">
        <x:v>1424</x:v>
      </x:c>
      <x:c r="HB24" s="1659">
        <x:v>1</x:v>
      </x:c>
      <x:c r="HC24" s="1659" t="s">
        <x:v>1980</x:v>
      </x:c>
      <x:c r="HD24" s="1660">
        <x:v>29</x:v>
      </x:c>
      <x:c r="HE24" s="1661">
        <x:v>9.25</x:v>
      </x:c>
      <x:c r="HF24" s="1659">
        <x:v>0</x:v>
      </x:c>
      <x:c r="HG24" s="1659">
        <x:v>3.625</x:v>
      </x:c>
      <x:c r="HH24" s="1659" t="s">
        <x:v>114</x:v>
      </x:c>
      <x:c r="HI24" s="1662" t="s">
        <x:v>117</x:v>
      </x:c>
      <x:c r="HJ24" s="1659" t="s">
        <x:v>117</x:v>
      </x:c>
      <x:c r="HK24" s="1659" t="s">
        <x:v>117</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x:v>0.29894470934927603</x:v>
      </x:c>
      <x:c r="HZ24" s="1661" t="s">
        <x:v>117</x:v>
      </x:c>
      <x:c r="IA24" s="1661" t="s">
        <x:v>2135</x:v>
      </x:c>
      <x:c r="IB24" s="1661"/>
      <x:c r="IC24" s="1661"/>
      <x:c r="ID24" s="1661"/>
      <x:c r="IE24" s="1661"/>
      <x:c r="IF24" s="1663"/>
    </x:row>
    <x:row r="25" spans="1:240" ht="12.6" customHeight="1" x14ac:dyDescent="0.25">
      <x:c r="A25" s="1264" t="s">
        <x:v>1425</x:v>
      </x:c>
      <x:c r="B25" s="1265">
        <x:v>1</x:v>
      </x:c>
      <x:c r="C25" s="1265" t="s">
        <x:v>1980</x:v>
      </x:c>
      <x:c r="D25" s="1261">
        <x:v>35</x:v>
      </x:c>
      <x:c r="E25" s="1366">
        <x:v>6.125</x:v>
      </x:c>
      <x:c r="F25" s="1328">
        <x:v>0</x:v>
      </x:c>
      <x:c r="G25" s="1262">
        <x:v>3.625</x:v>
      </x:c>
      <x:c r="H25" s="1266" t="s">
        <x:v>114</x:v>
      </x:c>
      <x:c r="I25" s="2195">
        <x:v>0</x:v>
      </x:c>
      <x:c r="J25" s="2122">
        <x:v>0.5</x:v>
      </x:c>
      <x:c r="K25" s="2209"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t="str">
        <x:f t="shared" si="7"/>
        <x:v/>
      </x:c>
      <x:c r="U25" s="1262" t="str">
        <x:f t="shared" si="8"/>
        <x:v/>
      </x:c>
      <x:c r="V25" s="1261" t="str">
        <x:f t="shared" si="9"/>
        <x:v/>
      </x:c>
      <x:c r="W25" s="1262" t="str">
        <x:f t="shared" si="10"/>
        <x:v/>
      </x:c>
      <x:c r="X25" s="1329">
        <x:f t="shared" si="11"/>
        <x:v>0</x:v>
      </x:c>
      <x:c r="Y25" s="1377" t="str">
        <x:f t="shared" si="12"/>
        <x:v/>
      </x:c>
      <x:c r="Z25" s="1378" t="str">
        <x:f t="shared" si="13"/>
        <x:v/>
      </x:c>
      <x:c r="AA25" s="2159" t="s">
        <x:v>2136</x:v>
      </x:c>
      <x:c r="AC25" s="1226" t="b">
        <x:v>0</x:v>
      </x:c>
      <x:c r="AD25" s="525">
        <x:f t="shared" si="14"/>
        <x:v>1</x:v>
      </x:c>
      <x:c r="AE25" s="526">
        <x:f t="shared" si="15"/>
        <x:v>0</x:v>
      </x:c>
      <x:c r="AF25" s="526">
        <x:f t="shared" si="16"/>
        <x:v>0</x:v>
      </x:c>
      <x:c r="AG25" s="526">
        <x:f t="shared" si="17"/>
        <x:v>0</x:v>
      </x:c>
      <x:c r="AH25" s="527">
        <x:f t="shared" si="18"/>
        <x:v>0</x:v>
      </x:c>
      <x:c r="AI25" s="528" t="b">
        <x:v>0</x:v>
      </x:c>
      <x:c r="AJ25" s="284">
        <x:f t="shared" si="19"/>
        <x:v>30</x:v>
      </x:c>
      <x:c r="AK25" s="1063" t="str">
        <x:f t="shared" si="20"/>
        <x:v>K</x:v>
      </x:c>
      <x:c r="AL25" s="1202" t="str">
        <x:f t="shared" si="21"/>
        <x:v/>
      </x:c>
      <x:c r="AM25" s="1063">
        <x:f t="shared" si="22"/>
        <x:v>310</x:v>
      </x:c>
      <x:c r="AN25" s="1063">
        <x:f t="shared" si="23"/>
        <x:v>160</x:v>
      </x:c>
      <x:c r="AO25" s="1063" t="str">
        <x:f t="shared" si="24"/>
        <x:v/>
      </x:c>
      <x:c r="AP25" s="1063" t="b">
        <x:f>IF(ISERROR(AJ25),FALSE,IF(OR(AJ25=0,ISERROR(AL25),ISERROR(AM25),ISERROR(AN25),ISERROR(AO25)),FALSE,IF(AL25&lt;&gt;"",IF(ISERROR(VLOOKUP(SUBSTITUTE(SUBSTITUTE(C25,"R",""),"A",""),TblJoistSize!$A:$A,1,FALSE)),FALSE,TRUE),TRUE)))</x:f>
        <x:v>1</x:v>
      </x:c>
      <x:c r="AQ25" s="1305">
        <x:f t="shared" si="25"/>
        <x:v>7.625</x:v>
      </x:c>
      <x:c r="AR25" s="1305" t="b">
        <x:f t="shared" si="26"/>
        <x:v>0</x:v>
      </x:c>
      <x:c r="AS25" s="1305">
        <x:f t="shared" si="27"/>
        <x:v>4.5</x:v>
      </x:c>
      <x:c r="AT25" s="1305" t="b">
        <x:f t="shared" si="28"/>
        <x:v>0</x:v>
      </x:c>
      <x:c r="AU25" s="1203" t="str">
        <x:f t="shared" si="29"/>
        <x:v>K</x:v>
      </x:c>
      <x:c r="AV25" s="1063" t="str">
        <x:f t="shared" si="30"/>
        <x:v>K</x:v>
      </x:c>
      <x:c r="AW25" s="1063" t="str">
        <x:f t="shared" si="31"/>
        <x:v/>
      </x:c>
      <x:c r="AX25" s="1063" t="str">
        <x:f t="shared" si="104"/>
        <x:v>J101</x:v>
      </x:c>
      <x:c r="AY25" s="1306" t="b">
        <x:f t="shared" si="32"/>
        <x:v>0</x:v>
      </x:c>
      <x:c r="AZ25" s="1090" t="b">
        <x:f t="shared" si="33"/>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4"/>
        <x:v/>
      </x:c>
      <x:c r="CE25" s="935" t="str">
        <x:f t="shared" si="35"/>
        <x:v/>
      </x:c>
      <x:c r="CF25" s="1149"/>
      <x:c r="CG25" s="1150"/>
      <x:c r="CH25" s="738" t="str">
        <x:f t="shared" si="36"/>
        <x:v/>
      </x:c>
      <x:c r="CI25" s="739" t="str">
        <x:f t="shared" si="37"/>
        <x:v/>
      </x:c>
      <x:c r="CJ25" s="740" t="str">
        <x:f t="shared" si="38"/>
        <x:v/>
      </x:c>
      <x:c r="CK25" s="741" t="str">
        <x:f t="shared" si="39"/>
        <x:v/>
      </x:c>
      <x:c r="CL25" s="742" t="str">
        <x:f t="shared" si="40"/>
        <x:v/>
      </x:c>
      <x:c r="CM25" s="743" t="str">
        <x:f t="shared" si="41"/>
        <x:v/>
      </x:c>
      <x:c r="CN25" s="744" t="str">
        <x:f t="shared" si="42"/>
        <x:v/>
      </x:c>
      <x:c r="CO25" s="745" t="str">
        <x:f t="shared" si="43"/>
        <x:v/>
      </x:c>
      <x:c r="CP25" s="762" t="str">
        <x:f t="shared" si="44"/>
        <x:v/>
      </x:c>
      <x:c r="CQ25" s="763" t="str">
        <x:f t="shared" si="45"/>
        <x:v/>
      </x:c>
      <x:c r="CR25" s="953">
        <x:f t="shared" si="46"/>
        <x:v>2.5</x:v>
      </x:c>
      <x:c r="CS25" s="954">
        <x:f t="shared" si="47"/>
        <x:v>2.5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8"/>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9"/>
        <x:v>0</x:v>
      </x:c>
      <x:c r="DO25" s="1049">
        <x:f t="shared" si="50"/>
        <x:v>0</x:v>
      </x:c>
      <x:c r="DP25" s="1053" t="str">
        <x:f t="shared" si="51"/>
        <x:v/>
      </x:c>
      <x:c r="DQ25" s="1053" t="str">
        <x:f t="shared" si="52"/>
        <x:v/>
      </x:c>
      <x:c r="DR25" s="1053" t="str">
        <x:f t="shared" si="53"/>
        <x:v/>
      </x:c>
      <x:c r="DS25" s="1052">
        <x:f t="shared" si="54"/>
        <x:v>0</x:v>
      </x:c>
      <x:c r="DT25" s="1052">
        <x:f t="shared" si="55"/>
        <x:v>0</x:v>
      </x:c>
      <x:c r="DU25" s="1052" t="str">
        <x:f t="shared" si="56"/>
        <x:v/>
      </x:c>
      <x:c r="DV25" s="1053" t="str">
        <x:f t="shared" si="57"/>
        <x:v/>
      </x:c>
      <x:c r="DW25" s="1053" t="str">
        <x:f t="shared" si="58"/>
        <x:v/>
      </x:c>
      <x:c r="DX25" s="1269">
        <x:f t="shared" si="59"/>
        <x:v>0</x:v>
      </x:c>
      <x:c r="DY25" s="1053">
        <x:f t="shared" si="60"/>
        <x:v>0</x:v>
      </x:c>
      <x:c r="DZ25" s="1052">
        <x:f t="shared" si="61"/>
        <x:v>0</x:v>
      </x:c>
      <x:c r="EA25" s="1052" t="str">
        <x:f t="shared" si="62"/>
        <x:v/>
      </x:c>
      <x:c r="EB25" s="1053" t="str">
        <x:f t="shared" si="63"/>
        <x:v/>
      </x:c>
      <x:c r="EC25" s="1053" t="str">
        <x:f t="shared" si="64"/>
        <x:v/>
      </x:c>
      <x:c r="ED25" s="1269">
        <x:f t="shared" si="65"/>
        <x:v>0</x:v>
      </x:c>
      <x:c r="EE25" s="1090" t="str">
        <x:f t="shared" si="66"/>
        <x:v/>
      </x:c>
      <x:c r="EF25" s="1053" t="str">
        <x:f t="shared" si="67"/>
        <x:v/>
      </x:c>
      <x:c r="EG25" s="1053" t="str">
        <x:f t="shared" si="68"/>
        <x:v/>
      </x:c>
      <x:c r="EH25" s="1053" t="str">
        <x:f t="shared" si="69"/>
        <x:v>ERR</x:v>
      </x:c>
      <x:c r="EI25" s="1053" t="str">
        <x:f t="shared" si="70"/>
        <x:v>ERR</x:v>
      </x:c>
      <x:c r="EJ25" s="1053" t="str">
        <x:f t="shared" si="71"/>
        <x:v/>
      </x:c>
      <x:c r="EK25" s="1053" t="str">
        <x:f t="shared" si="71"/>
        <x:v/>
      </x:c>
      <x:c r="EL25" s="1090" t="str">
        <x:f t="shared" si="72"/>
        <x:v/>
      </x:c>
      <x:c r="EM25" s="1053" t="str">
        <x:f t="shared" si="73"/>
        <x:v/>
      </x:c>
      <x:c r="EN25" s="1053" t="str">
        <x:f t="shared" si="74"/>
        <x:v/>
      </x:c>
      <x:c r="EO25" s="1053" t="str">
        <x:f t="shared" si="75"/>
        <x:v>ERR</x:v>
      </x:c>
      <x:c r="EP25" s="1053" t="str">
        <x:f t="shared" si="76"/>
        <x:v>ERR</x:v>
      </x:c>
      <x:c r="EQ25" s="1053" t="str">
        <x:f t="shared" si="77"/>
        <x:v/>
      </x:c>
      <x:c r="ER25" s="1053" t="str">
        <x:f t="shared" si="77"/>
        <x:v/>
      </x:c>
      <x:c r="ES25" s="1053" t="str">
        <x:f t="shared" si="78"/>
        <x:v/>
      </x:c>
      <x:c r="ET25" s="1053" t="str">
        <x:f t="shared" si="79"/>
        <x:v/>
      </x:c>
      <x:c r="EU25" s="1061">
        <x:f t="shared" si="80"/>
        <x:v>3.5</x:v>
      </x:c>
      <x:c r="EV25" s="1055" t="str">
        <x:f t="shared" si="81"/>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2"/>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3"/>
        <x:v/>
      </x:c>
      <x:c r="FD25" s="1052">
        <x:f t="shared" si="105"/>
        <x:v>0</x:v>
      </x:c>
      <x:c r="FE25" s="1052">
        <x:f t="shared" si="84"/>
        <x:v>0</x:v>
      </x:c>
      <x:c r="FF25" s="1052">
        <x:f t="shared" si="85"/>
        <x:v>0</x:v>
      </x:c>
      <x:c r="FG25" s="1052" t="str">
        <x:f t="shared" si="86"/>
        <x:v/>
      </x:c>
      <x:c r="FH25" s="1053" t="str">
        <x:f t="shared" si="87"/>
        <x:v/>
      </x:c>
      <x:c r="FI25" s="1052">
        <x:f t="shared" si="106"/>
        <x:v>0</x:v>
      </x:c>
      <x:c r="FJ25" s="1052">
        <x:f t="shared" si="88"/>
        <x:v>0</x:v>
      </x:c>
      <x:c r="FK25" s="1052">
        <x:f t="shared" si="89"/>
        <x:v>0</x:v>
      </x:c>
      <x:c r="FL25" s="1052" t="str">
        <x:f t="shared" si="90"/>
        <x:v/>
      </x:c>
      <x:c r="FM25" s="1053" t="str">
        <x:f t="shared" si="91"/>
        <x:v/>
      </x:c>
      <x:c r="FN25" s="1053" t="e">
        <x:f t="shared" si="92"/>
        <x:v>#VALUE!</x:v>
      </x:c>
      <x:c r="FO25" s="1062" t="e">
        <x:f t="shared" si="93"/>
        <x:v>#VALUE!</x:v>
      </x:c>
      <x:c r="FP25" s="1062" t="e">
        <x:f t="shared" si="94"/>
        <x:v>#VALUE!</x:v>
      </x:c>
      <x:c r="FQ25" s="1063" t="e">
        <x:f t="shared" si="95"/>
        <x:v>#VALUE!</x:v>
      </x:c>
      <x:c r="FR25" s="1064" t="e">
        <x:f t="shared" si="96"/>
        <x:v>#VALUE!</x:v>
      </x:c>
      <x:c r="FS25" s="1065" t="str">
        <x:f t="shared" si="97"/>
        <x:v/>
      </x:c>
      <x:c r="FT25" s="1066" t="str">
        <x:f t="shared" si="98"/>
        <x:v/>
      </x:c>
      <x:c r="FU25" s="1105">
        <x:f t="shared" si="99"/>
        <x:v>0</x:v>
      </x:c>
      <x:c r="FV25" s="1106">
        <x:f t="shared" si="100"/>
        <x:v>0</x:v>
      </x:c>
      <x:c r="GA25" s="1975">
        <x:v>35</x:v>
      </x:c>
      <x:c r="GB25" s="1976">
        <x:v>4.625</x:v>
      </x:c>
      <x:c r="GC25" s="1977">
        <x:v>2</x:v>
      </x:c>
      <x:c r="GD25" s="1978">
        <x:v>-0.5</x:v>
      </x:c>
      <x:c r="GE25" s="1979">
        <x:v>0.29480828286101401</x:v>
      </x:c>
      <x:c r="GF25" s="1980" t="str">
        <x:f t="shared" si="101"/>
        <x:v>J101</x:v>
      </x:c>
      <x:c r="GG25" s="1453"/>
      <x:c r="GH25" s="1454"/>
      <x:c r="GI25" s="1453"/>
      <x:c r="GJ25" s="1454"/>
      <x:c r="GK25" s="533">
        <x:f t="shared" si="102"/>
        <x:v>426.125</x:v>
      </x:c>
      <x:c r="GL25" s="534">
        <x:f t="shared" si="103"/>
        <x:v>426.25357554490074</x:v>
      </x:c>
      <x:c r="GM25" s="535">
        <x:f>IF(ABS(GK25-GL25)&gt;='Job Info.'!$L$22,ABS(GK25-GL25),0)</x:f>
        <x:v>0</x:v>
      </x:c>
      <x:c r="HA25" s="1658" t="s">
        <x:v>1425</x:v>
      </x:c>
      <x:c r="HB25" s="1659">
        <x:v>1</x:v>
      </x:c>
      <x:c r="HC25" s="1659" t="s">
        <x:v>1980</x:v>
      </x:c>
      <x:c r="HD25" s="1660">
        <x:v>35</x:v>
      </x:c>
      <x:c r="HE25" s="1661">
        <x:v>6.125</x:v>
      </x:c>
      <x:c r="HF25" s="1659">
        <x:v>0</x:v>
      </x:c>
      <x:c r="HG25" s="1659">
        <x:v>3.625</x:v>
      </x:c>
      <x:c r="HH25" s="1659" t="s">
        <x:v>114</x:v>
      </x:c>
      <x:c r="HI25" s="1662" t="s">
        <x:v>117</x:v>
      </x:c>
      <x:c r="HJ25" s="1659" t="s">
        <x:v>117</x:v>
      </x:c>
      <x:c r="HK25" s="1659" t="s">
        <x:v>117</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2136</x:v>
      </x:c>
      <x:c r="IB25" s="1661"/>
      <x:c r="IC25" s="1661"/>
      <x:c r="ID25" s="1661"/>
      <x:c r="IE25" s="1661"/>
      <x:c r="IF25" s="1663"/>
    </x:row>
    <x:row r="26" spans="1:240" ht="12.6" customHeight="1" x14ac:dyDescent="0.25">
      <x:c r="A26" s="1264" t="s">
        <x:v>1426</x:v>
      </x:c>
      <x:c r="B26" s="1265">
        <x:v>1</x:v>
      </x:c>
      <x:c r="C26" s="1265" t="s">
        <x:v>1979</x:v>
      </x:c>
      <x:c r="D26" s="1261">
        <x:v>41</x:v>
      </x:c>
      <x:c r="E26" s="1366">
        <x:v>4</x:v>
      </x:c>
      <x:c r="F26" s="1328">
        <x:v>0</x:v>
      </x:c>
      <x:c r="G26" s="1262">
        <x:v>4.625</x:v>
      </x:c>
      <x:c r="H26" s="1266" t="s">
        <x:v>114</x:v>
      </x:c>
      <x:c r="I26" s="2195">
        <x:v>0</x:v>
      </x:c>
      <x:c r="J26" s="2122">
        <x:v>0.5</x:v>
      </x:c>
      <x:c r="K26" s="2209" t="s">
        <x:v>114</x:v>
      </x:c>
      <x:c r="L26" s="1327">
        <x:v>3</x:v>
      </x:c>
      <x:c r="M26" s="1329">
        <x:v>3</x:v>
      </x:c>
      <x:c r="N26" s="1263">
        <x:v>0</x:v>
      </x:c>
      <x:c r="O26" s="1262">
        <x:v>9.375</x:v>
      </x:c>
      <x:c r="P26" s="1260">
        <x:v>2</x:v>
      </x:c>
      <x:c r="Q26" s="1261" t="str">
        <x:f t="shared" si="4"/>
        <x:v/>
      </x:c>
      <x:c r="R26" s="1262" t="str">
        <x:f t="shared" si="5"/>
        <x:v/>
      </x:c>
      <x:c r="S26" s="1375" t="str">
        <x:f t="shared" si="6"/>
        <x:v/>
      </x:c>
      <x:c r="T26" s="1328">
        <x:v>0</x:v>
      </x:c>
      <x:c r="U26" s="1262">
        <x:v>5.5</x:v>
      </x:c>
      <x:c r="V26" s="1261">
        <x:v>0</x:v>
      </x:c>
      <x:c r="W26" s="1262">
        <x:v>2.5</x:v>
      </x:c>
      <x:c r="X26" s="1329">
        <x:v>4</x:v>
      </x:c>
      <x:c r="Y26" s="1377">
        <x:v>0.29182623887534098</x:v>
      </x:c>
      <x:c r="Z26" s="1378" t="str">
        <x:f t="shared" si="13"/>
        <x:v/>
      </x:c>
      <x:c r="AA26" s="2159" t="s">
        <x:v>2137</x:v>
      </x:c>
      <x:c r="AC26" s="1226" t="b">
        <x:v>0</x:v>
      </x:c>
      <x:c r="AD26" s="525">
        <x:f t="shared" si="14"/>
        <x:v>1</x:v>
      </x:c>
      <x:c r="AE26" s="526">
        <x:f t="shared" si="15"/>
        <x:v>0</x:v>
      </x:c>
      <x:c r="AF26" s="526">
        <x:f t="shared" si="16"/>
        <x:v>0</x:v>
      </x:c>
      <x:c r="AG26" s="526">
        <x:f t="shared" si="17"/>
        <x:v>0</x:v>
      </x:c>
      <x:c r="AH26" s="527">
        <x:f t="shared" si="18"/>
        <x:v>0</x:v>
      </x:c>
      <x:c r="AI26" s="528" t="b">
        <x:v>0</x:v>
      </x:c>
      <x:c r="AJ26" s="284">
        <x:f t="shared" si="19"/>
        <x:v>30</x:v>
      </x:c>
      <x:c r="AK26" s="1063" t="str">
        <x:f t="shared" si="20"/>
        <x:v>K</x:v>
      </x:c>
      <x:c r="AL26" s="1202" t="str">
        <x:f t="shared" si="21"/>
        <x:v/>
      </x:c>
      <x:c r="AM26" s="1063">
        <x:f t="shared" si="22"/>
        <x:v>240</x:v>
      </x:c>
      <x:c r="AN26" s="1063">
        <x:f t="shared" si="23"/>
        <x:v>140</x:v>
      </x:c>
      <x:c r="AO26" s="1063" t="str">
        <x:f t="shared" si="24"/>
        <x:v/>
      </x:c>
      <x:c r="AP26" s="1063" t="b">
        <x:f>IF(ISERROR(AJ26),FALSE,IF(OR(AJ26=0,ISERROR(AL26),ISERROR(AM26),ISERROR(AN26),ISERROR(AO26)),FALSE,IF(AL26&lt;&gt;"",IF(ISERROR(VLOOKUP(SUBSTITUTE(SUBSTITUTE(C26,"R",""),"A",""),TblJoistSize!$A:$A,1,FALSE)),FALSE,TRUE),TRUE)))</x:f>
        <x:v>1</x:v>
      </x:c>
      <x:c r="AQ26" s="1305">
        <x:f t="shared" si="25"/>
        <x:v>8.625</x:v>
      </x:c>
      <x:c r="AR26" s="1305" t="b">
        <x:f t="shared" si="26"/>
        <x:v>1</x:v>
      </x:c>
      <x:c r="AS26" s="1305">
        <x:f t="shared" si="27"/>
        <x:v>4.5</x:v>
      </x:c>
      <x:c r="AT26" s="1305" t="b">
        <x:f t="shared" si="28"/>
        <x:v>1</x:v>
      </x:c>
      <x:c r="AU26" s="1203" t="str">
        <x:f t="shared" si="29"/>
        <x:v>K</x:v>
      </x:c>
      <x:c r="AV26" s="1063" t="str">
        <x:f t="shared" si="30"/>
        <x:v>K</x:v>
      </x:c>
      <x:c r="AW26" s="1063" t="str">
        <x:f t="shared" si="31"/>
        <x:v/>
      </x:c>
      <x:c r="AX26" s="1063" t="str">
        <x:f t="shared" si="104"/>
        <x:v>TJ102</x:v>
      </x:c>
      <x:c r="AY26" s="1306" t="b">
        <x:f t="shared" si="32"/>
        <x:v>0</x:v>
      </x:c>
      <x:c r="AZ26" s="1090" t="b">
        <x:f t="shared" si="33"/>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4"/>
        <x:v/>
      </x:c>
      <x:c r="CE26" s="935" t="str">
        <x:f t="shared" si="35"/>
        <x:v/>
      </x:c>
      <x:c r="CF26" s="1149"/>
      <x:c r="CG26" s="1150"/>
      <x:c r="CH26" s="738" t="str">
        <x:f t="shared" si="36"/>
        <x:v/>
      </x:c>
      <x:c r="CI26" s="739" t="str">
        <x:f t="shared" si="37"/>
        <x:v/>
      </x:c>
      <x:c r="CJ26" s="740" t="str">
        <x:f t="shared" si="38"/>
        <x:v/>
      </x:c>
      <x:c r="CK26" s="741" t="str">
        <x:f t="shared" si="39"/>
        <x:v/>
      </x:c>
      <x:c r="CL26" s="742" t="str">
        <x:f t="shared" si="40"/>
        <x:v/>
      </x:c>
      <x:c r="CM26" s="743" t="str">
        <x:f t="shared" si="41"/>
        <x:v/>
      </x:c>
      <x:c r="CN26" s="744" t="str">
        <x:f t="shared" si="42"/>
        <x:v/>
      </x:c>
      <x:c r="CO26" s="745" t="str">
        <x:f t="shared" si="43"/>
        <x:v/>
      </x:c>
      <x:c r="CP26" s="762" t="str">
        <x:f t="shared" si="44"/>
        <x:v/>
      </x:c>
      <x:c r="CQ26" s="763" t="str">
        <x:f t="shared" si="45"/>
        <x:v/>
      </x:c>
      <x:c r="CR26" s="953">
        <x:f t="shared" si="46"/>
        <x:v>2.5</x:v>
      </x:c>
      <x:c r="CS26" s="954">
        <x:f t="shared" si="47"/>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8"/>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9"/>
        <x:v>0</x:v>
      </x:c>
      <x:c r="DO26" s="1049">
        <x:f t="shared" si="50"/>
        <x:v>0</x:v>
      </x:c>
      <x:c r="DP26" s="1053" t="str">
        <x:f t="shared" si="51"/>
        <x:v/>
      </x:c>
      <x:c r="DQ26" s="1053" t="str">
        <x:f t="shared" si="52"/>
        <x:v/>
      </x:c>
      <x:c r="DR26" s="1053" t="str">
        <x:f t="shared" si="53"/>
        <x:v/>
      </x:c>
      <x:c r="DS26" s="1052">
        <x:f t="shared" si="54"/>
        <x:v>0</x:v>
      </x:c>
      <x:c r="DT26" s="1052">
        <x:f t="shared" si="55"/>
        <x:v>0</x:v>
      </x:c>
      <x:c r="DU26" s="1052" t="str">
        <x:f t="shared" si="56"/>
        <x:v/>
      </x:c>
      <x:c r="DV26" s="1053" t="str">
        <x:f t="shared" si="57"/>
        <x:v/>
      </x:c>
      <x:c r="DW26" s="1053" t="str">
        <x:f t="shared" si="58"/>
        <x:v/>
      </x:c>
      <x:c r="DX26" s="1269">
        <x:f t="shared" si="59"/>
        <x:v>0</x:v>
      </x:c>
      <x:c r="DY26" s="1053">
        <x:f t="shared" si="60"/>
        <x:v>0</x:v>
      </x:c>
      <x:c r="DZ26" s="1052">
        <x:f t="shared" si="61"/>
        <x:v>0</x:v>
      </x:c>
      <x:c r="EA26" s="1052" t="str">
        <x:f t="shared" si="62"/>
        <x:v/>
      </x:c>
      <x:c r="EB26" s="1053" t="str">
        <x:f t="shared" si="63"/>
        <x:v/>
      </x:c>
      <x:c r="EC26" s="1053" t="str">
        <x:f t="shared" si="64"/>
        <x:v/>
      </x:c>
      <x:c r="ED26" s="1269">
        <x:f t="shared" si="65"/>
        <x:v>0</x:v>
      </x:c>
      <x:c r="EE26" s="1090" t="str">
        <x:f t="shared" si="66"/>
        <x:v/>
      </x:c>
      <x:c r="EF26" s="1053" t="str">
        <x:f t="shared" si="67"/>
        <x:v/>
      </x:c>
      <x:c r="EG26" s="1053" t="str">
        <x:f t="shared" si="68"/>
        <x:v/>
      </x:c>
      <x:c r="EH26" s="1053" t="str">
        <x:f t="shared" si="69"/>
        <x:v>ERR</x:v>
      </x:c>
      <x:c r="EI26" s="1053" t="str">
        <x:f t="shared" si="70"/>
        <x:v>ERR</x:v>
      </x:c>
      <x:c r="EJ26" s="1053" t="str">
        <x:f t="shared" si="71"/>
        <x:v/>
      </x:c>
      <x:c r="EK26" s="1053" t="str">
        <x:f t="shared" si="71"/>
        <x:v/>
      </x:c>
      <x:c r="EL26" s="1090" t="str">
        <x:f t="shared" si="72"/>
        <x:v/>
      </x:c>
      <x:c r="EM26" s="1053" t="str">
        <x:f t="shared" si="73"/>
        <x:v/>
      </x:c>
      <x:c r="EN26" s="1053" t="str">
        <x:f t="shared" si="74"/>
        <x:v/>
      </x:c>
      <x:c r="EO26" s="1053" t="str">
        <x:f t="shared" si="75"/>
        <x:v>ERR</x:v>
      </x:c>
      <x:c r="EP26" s="1053" t="str">
        <x:f t="shared" si="76"/>
        <x:v>ERR</x:v>
      </x:c>
      <x:c r="EQ26" s="1053" t="str">
        <x:f t="shared" si="77"/>
        <x:v/>
      </x:c>
      <x:c r="ER26" s="1053" t="str">
        <x:f t="shared" si="77"/>
        <x:v/>
      </x:c>
      <x:c r="ES26" s="1053" t="str">
        <x:f t="shared" si="78"/>
        <x:v/>
      </x:c>
      <x:c r="ET26" s="1053" t="str">
        <x:f t="shared" si="79"/>
        <x:v/>
      </x:c>
      <x:c r="EU26" s="1061">
        <x:f t="shared" si="80"/>
        <x:v>3.5</x:v>
      </x:c>
      <x:c r="EV26" s="1055" t="str">
        <x:f t="shared" si="81"/>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2"/>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3"/>
        <x:v/>
      </x:c>
      <x:c r="FD26" s="1052">
        <x:f t="shared" si="105"/>
        <x:v>0</x:v>
      </x:c>
      <x:c r="FE26" s="1052">
        <x:f t="shared" si="84"/>
        <x:v>0</x:v>
      </x:c>
      <x:c r="FF26" s="1052">
        <x:f t="shared" si="85"/>
        <x:v>0</x:v>
      </x:c>
      <x:c r="FG26" s="1052" t="str">
        <x:f t="shared" si="86"/>
        <x:v/>
      </x:c>
      <x:c r="FH26" s="1053" t="str">
        <x:f t="shared" si="87"/>
        <x:v/>
      </x:c>
      <x:c r="FI26" s="1052">
        <x:f t="shared" si="106"/>
        <x:v>0</x:v>
      </x:c>
      <x:c r="FJ26" s="1052">
        <x:f t="shared" si="88"/>
        <x:v>0</x:v>
      </x:c>
      <x:c r="FK26" s="1052">
        <x:f t="shared" si="89"/>
        <x:v>0</x:v>
      </x:c>
      <x:c r="FL26" s="1052" t="str">
        <x:f t="shared" si="90"/>
        <x:v/>
      </x:c>
      <x:c r="FM26" s="1053" t="str">
        <x:f t="shared" si="91"/>
        <x:v/>
      </x:c>
      <x:c r="FN26" s="1053" t="e">
        <x:f t="shared" si="92"/>
        <x:v>#VALUE!</x:v>
      </x:c>
      <x:c r="FO26" s="1062" t="e">
        <x:f t="shared" si="93"/>
        <x:v>#VALUE!</x:v>
      </x:c>
      <x:c r="FP26" s="1062" t="e">
        <x:f t="shared" si="94"/>
        <x:v>#VALUE!</x:v>
      </x:c>
      <x:c r="FQ26" s="1063" t="e">
        <x:f t="shared" si="95"/>
        <x:v>#VALUE!</x:v>
      </x:c>
      <x:c r="FR26" s="1064" t="e">
        <x:f t="shared" si="96"/>
        <x:v>#VALUE!</x:v>
      </x:c>
      <x:c r="FS26" s="1065" t="str">
        <x:f t="shared" si="97"/>
        <x:v/>
      </x:c>
      <x:c r="FT26" s="1066" t="str">
        <x:f t="shared" si="98"/>
        <x:v/>
      </x:c>
      <x:c r="FU26" s="1105">
        <x:f t="shared" si="99"/>
        <x:v>0</x:v>
      </x:c>
      <x:c r="FV26" s="1106">
        <x:f t="shared" si="100"/>
        <x:v>0</x:v>
      </x:c>
      <x:c r="GA26" s="1975">
        <x:v>41</x:v>
      </x:c>
      <x:c r="GB26" s="1976">
        <x:v>1.5</x:v>
      </x:c>
      <x:c r="GC26" s="1977">
        <x:v>3</x:v>
      </x:c>
      <x:c r="GD26" s="1978">
        <x:v>-0.5</x:v>
      </x:c>
      <x:c r="GE26" s="1979">
        <x:v>0.29182623887534098</x:v>
      </x:c>
      <x:c r="GF26" s="1980" t="str">
        <x:f t="shared" si="101"/>
        <x:v>TJ102</x:v>
      </x:c>
      <x:c r="GG26" s="1453"/>
      <x:c r="GH26" s="1454"/>
      <x:c r="GI26" s="1453"/>
      <x:c r="GJ26" s="1454"/>
      <x:c r="GK26" s="533">
        <x:f t="shared" si="102"/>
        <x:v>496</x:v>
      </x:c>
      <x:c r="GL26" s="534">
        <x:f t="shared" si="103"/>
        <x:v>496.14664716365547</x:v>
      </x:c>
      <x:c r="GM26" s="535">
        <x:f>IF(ABS(GK26-GL26)&gt;='Job Info.'!$L$22,ABS(GK26-GL26),0)</x:f>
        <x:v>0</x:v>
      </x:c>
      <x:c r="HA26" s="1658" t="s">
        <x:v>1426</x:v>
      </x:c>
      <x:c r="HB26" s="1659">
        <x:v>1</x:v>
      </x:c>
      <x:c r="HC26" s="1659" t="s">
        <x:v>1979</x:v>
      </x:c>
      <x:c r="HD26" s="1660">
        <x:v>41</x:v>
      </x:c>
      <x:c r="HE26" s="1661">
        <x:v>4</x:v>
      </x:c>
      <x:c r="HF26" s="1659">
        <x:v>0</x:v>
      </x:c>
      <x:c r="HG26" s="1659">
        <x:v>4.625</x:v>
      </x:c>
      <x:c r="HH26" s="1659" t="s">
        <x:v>114</x:v>
      </x:c>
      <x:c r="HI26" s="1662" t="s">
        <x:v>117</x:v>
      </x:c>
      <x:c r="HJ26" s="1659" t="s">
        <x:v>117</x:v>
      </x:c>
      <x:c r="HK26" s="1659" t="s">
        <x:v>117</x:v>
      </x:c>
      <x:c r="HL26" s="1659">
        <x:v>3</x:v>
      </x:c>
      <x:c r="HM26" s="1659">
        <x:v>3</x:v>
      </x:c>
      <x:c r="HN26" s="1659">
        <x:v>0</x:v>
      </x:c>
      <x:c r="HO26" s="1659">
        <x:v>9.375</x:v>
      </x:c>
      <x:c r="HP26" s="1659">
        <x:v>2</x:v>
      </x:c>
      <x:c r="HQ26" s="1662" t="s">
        <x:v>117</x:v>
      </x:c>
      <x:c r="HR26" s="1659" t="s">
        <x:v>117</x:v>
      </x:c>
      <x:c r="HS26" s="1659" t="s">
        <x:v>117</x:v>
      </x:c>
      <x:c r="HT26" s="1659">
        <x:v>0</x:v>
      </x:c>
      <x:c r="HU26" s="1659">
        <x:v>5.5</x:v>
      </x:c>
      <x:c r="HV26" s="1659">
        <x:v>0</x:v>
      </x:c>
      <x:c r="HW26" s="1661">
        <x:v>2.5</x:v>
      </x:c>
      <x:c r="HX26" s="1661">
        <x:v>4</x:v>
      </x:c>
      <x:c r="HY26" s="1661">
        <x:v>0.29182623887534098</x:v>
      </x:c>
      <x:c r="HZ26" s="1661" t="s">
        <x:v>117</x:v>
      </x:c>
      <x:c r="IA26" s="1661" t="s">
        <x:v>2137</x:v>
      </x:c>
      <x:c r="IB26" s="1661"/>
      <x:c r="IC26" s="1661"/>
      <x:c r="ID26" s="1661"/>
      <x:c r="IE26" s="1661"/>
      <x:c r="IF26" s="1663"/>
    </x:row>
    <x:row r="27" spans="1:240" ht="12.6" customHeight="1" x14ac:dyDescent="0.25">
      <x:c r="A27" s="1264" t="s">
        <x:v>1427</x:v>
      </x:c>
      <x:c r="B27" s="1265">
        <x:v>1</x:v>
      </x:c>
      <x:c r="C27" s="1265" t="s">
        <x:v>1979</x:v>
      </x:c>
      <x:c r="D27" s="1261">
        <x:v>46</x:v>
      </x:c>
      <x:c r="E27" s="1366">
        <x:v>11.75</x:v>
      </x:c>
      <x:c r="F27" s="1328">
        <x:v>0</x:v>
      </x:c>
      <x:c r="G27" s="1262">
        <x:v>3.625</x:v>
      </x:c>
      <x:c r="H27" s="1266" t="s">
        <x:v>114</x:v>
      </x:c>
      <x:c r="I27" s="2195">
        <x:v>0</x:v>
      </x:c>
      <x:c r="J27" s="2122">
        <x:v>0.5</x:v>
      </x:c>
      <x:c r="K27" s="2209" t="s">
        <x:v>114</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7"/>
        <x:v/>
      </x:c>
      <x:c r="U27" s="1262" t="str">
        <x:f t="shared" si="8"/>
        <x:v/>
      </x:c>
      <x:c r="V27" s="1261" t="str">
        <x:f t="shared" si="9"/>
        <x:v/>
      </x:c>
      <x:c r="W27" s="1262" t="str">
        <x:f t="shared" si="10"/>
        <x:v/>
      </x:c>
      <x:c r="X27" s="1329">
        <x:f t="shared" si="11"/>
        <x:v>0</x:v>
      </x:c>
      <x:c r="Y27" s="1377" t="str">
        <x:f t="shared" si="12"/>
        <x:v/>
      </x:c>
      <x:c r="Z27" s="1378" t="str">
        <x:f t="shared" si="13"/>
        <x:v/>
      </x:c>
      <x:c r="AA27" s="2159" t="s">
        <x:v>2138</x:v>
      </x:c>
      <x:c r="AC27" s="1226" t="b">
        <x:v>0</x:v>
      </x:c>
      <x:c r="AD27" s="525">
        <x:f t="shared" si="14"/>
        <x:v>1</x:v>
      </x:c>
      <x:c r="AE27" s="526">
        <x:f t="shared" si="15"/>
        <x:v>0</x:v>
      </x:c>
      <x:c r="AF27" s="526">
        <x:f t="shared" si="16"/>
        <x:v>0</x:v>
      </x:c>
      <x:c r="AG27" s="526">
        <x:f t="shared" si="17"/>
        <x:v>0</x:v>
      </x:c>
      <x:c r="AH27" s="527">
        <x:f t="shared" si="18"/>
        <x:v>0</x:v>
      </x:c>
      <x:c r="AI27" s="528" t="b">
        <x:v>0</x:v>
      </x:c>
      <x:c r="AJ27" s="284">
        <x:f t="shared" si="19"/>
        <x:v>30</x:v>
      </x:c>
      <x:c r="AK27" s="1063" t="str">
        <x:f t="shared" si="20"/>
        <x:v>K</x:v>
      </x:c>
      <x:c r="AL27" s="1202" t="str">
        <x:f t="shared" si="21"/>
        <x:v/>
      </x:c>
      <x:c r="AM27" s="1063">
        <x:f t="shared" si="22"/>
        <x:v>240</x:v>
      </x:c>
      <x:c r="AN27" s="1063">
        <x:f t="shared" si="23"/>
        <x:v>140</x:v>
      </x:c>
      <x:c r="AO27" s="1063" t="str">
        <x:f t="shared" si="24"/>
        <x:v/>
      </x:c>
      <x:c r="AP27" s="1063" t="b">
        <x:f>IF(ISERROR(AJ27),FALSE,IF(OR(AJ27=0,ISERROR(AL27),ISERROR(AM27),ISERROR(AN27),ISERROR(AO27)),FALSE,IF(AL27&lt;&gt;"",IF(ISERROR(VLOOKUP(SUBSTITUTE(SUBSTITUTE(C27,"R",""),"A",""),TblJoistSize!$A:$A,1,FALSE)),FALSE,TRUE),TRUE)))</x:f>
        <x:v>1</x:v>
      </x:c>
      <x:c r="AQ27" s="1305">
        <x:f t="shared" si="25"/>
        <x:v>7.625</x:v>
      </x:c>
      <x:c r="AR27" s="1305" t="b">
        <x:f t="shared" si="26"/>
        <x:v>0</x:v>
      </x:c>
      <x:c r="AS27" s="1305">
        <x:f t="shared" si="27"/>
        <x:v>4.5</x:v>
      </x:c>
      <x:c r="AT27" s="1305" t="b">
        <x:f t="shared" si="28"/>
        <x:v>0</x:v>
      </x:c>
      <x:c r="AU27" s="1203" t="str">
        <x:f t="shared" si="29"/>
        <x:v>K</x:v>
      </x:c>
      <x:c r="AV27" s="1063" t="str">
        <x:f t="shared" si="30"/>
        <x:v>K</x:v>
      </x:c>
      <x:c r="AW27" s="1063" t="str">
        <x:f t="shared" si="31"/>
        <x:v/>
      </x:c>
      <x:c r="AX27" s="1063" t="str">
        <x:f t="shared" si="104"/>
        <x:v>J103</x:v>
      </x:c>
      <x:c r="AY27" s="1306" t="b">
        <x:f t="shared" si="32"/>
        <x:v>0</x:v>
      </x:c>
      <x:c r="AZ27" s="1090" t="b">
        <x:f t="shared" si="33"/>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4"/>
        <x:v/>
      </x:c>
      <x:c r="CE27" s="935" t="str">
        <x:f t="shared" si="35"/>
        <x:v/>
      </x:c>
      <x:c r="CF27" s="1149"/>
      <x:c r="CG27" s="1150"/>
      <x:c r="CH27" s="738" t="str">
        <x:f t="shared" si="36"/>
        <x:v/>
      </x:c>
      <x:c r="CI27" s="739" t="str">
        <x:f t="shared" si="37"/>
        <x:v/>
      </x:c>
      <x:c r="CJ27" s="740" t="str">
        <x:f t="shared" si="38"/>
        <x:v/>
      </x:c>
      <x:c r="CK27" s="741" t="str">
        <x:f t="shared" si="39"/>
        <x:v/>
      </x:c>
      <x:c r="CL27" s="742" t="str">
        <x:f t="shared" si="40"/>
        <x:v/>
      </x:c>
      <x:c r="CM27" s="743" t="str">
        <x:f t="shared" si="41"/>
        <x:v/>
      </x:c>
      <x:c r="CN27" s="744" t="str">
        <x:f t="shared" si="42"/>
        <x:v/>
      </x:c>
      <x:c r="CO27" s="745" t="str">
        <x:f t="shared" si="43"/>
        <x:v/>
      </x:c>
      <x:c r="CP27" s="762" t="str">
        <x:f t="shared" si="44"/>
        <x:v/>
      </x:c>
      <x:c r="CQ27" s="763" t="str">
        <x:f t="shared" si="45"/>
        <x:v/>
      </x:c>
      <x:c r="CR27" s="953">
        <x:f t="shared" si="46"/>
        <x:v>2.5</x:v>
      </x:c>
      <x:c r="CS27" s="954">
        <x:f t="shared" si="47"/>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8"/>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9"/>
        <x:v>0</x:v>
      </x:c>
      <x:c r="DO27" s="1049">
        <x:f t="shared" si="50"/>
        <x:v>0</x:v>
      </x:c>
      <x:c r="DP27" s="1053" t="str">
        <x:f t="shared" si="51"/>
        <x:v/>
      </x:c>
      <x:c r="DQ27" s="1053" t="str">
        <x:f t="shared" si="52"/>
        <x:v/>
      </x:c>
      <x:c r="DR27" s="1053" t="str">
        <x:f t="shared" si="53"/>
        <x:v/>
      </x:c>
      <x:c r="DS27" s="1052">
        <x:f t="shared" si="54"/>
        <x:v>0</x:v>
      </x:c>
      <x:c r="DT27" s="1052">
        <x:f t="shared" si="55"/>
        <x:v>0</x:v>
      </x:c>
      <x:c r="DU27" s="1052" t="str">
        <x:f t="shared" si="56"/>
        <x:v/>
      </x:c>
      <x:c r="DV27" s="1053" t="str">
        <x:f t="shared" si="57"/>
        <x:v/>
      </x:c>
      <x:c r="DW27" s="1053" t="str">
        <x:f t="shared" si="58"/>
        <x:v/>
      </x:c>
      <x:c r="DX27" s="1269">
        <x:f t="shared" si="59"/>
        <x:v>0</x:v>
      </x:c>
      <x:c r="DY27" s="1053">
        <x:f t="shared" si="60"/>
        <x:v>0</x:v>
      </x:c>
      <x:c r="DZ27" s="1052">
        <x:f t="shared" si="61"/>
        <x:v>0</x:v>
      </x:c>
      <x:c r="EA27" s="1052" t="str">
        <x:f t="shared" si="62"/>
        <x:v/>
      </x:c>
      <x:c r="EB27" s="1053" t="str">
        <x:f t="shared" si="63"/>
        <x:v/>
      </x:c>
      <x:c r="EC27" s="1053" t="str">
        <x:f t="shared" si="64"/>
        <x:v/>
      </x:c>
      <x:c r="ED27" s="1269">
        <x:f t="shared" si="65"/>
        <x:v>0</x:v>
      </x:c>
      <x:c r="EE27" s="1090" t="str">
        <x:f t="shared" si="66"/>
        <x:v/>
      </x:c>
      <x:c r="EF27" s="1053" t="str">
        <x:f t="shared" si="67"/>
        <x:v/>
      </x:c>
      <x:c r="EG27" s="1053" t="str">
        <x:f t="shared" si="68"/>
        <x:v/>
      </x:c>
      <x:c r="EH27" s="1053" t="str">
        <x:f t="shared" si="69"/>
        <x:v>ERR</x:v>
      </x:c>
      <x:c r="EI27" s="1053" t="str">
        <x:f t="shared" si="70"/>
        <x:v>ERR</x:v>
      </x:c>
      <x:c r="EJ27" s="1053" t="str">
        <x:f t="shared" si="71"/>
        <x:v/>
      </x:c>
      <x:c r="EK27" s="1053" t="str">
        <x:f t="shared" si="71"/>
        <x:v/>
      </x:c>
      <x:c r="EL27" s="1090" t="str">
        <x:f t="shared" si="72"/>
        <x:v/>
      </x:c>
      <x:c r="EM27" s="1053" t="str">
        <x:f t="shared" si="73"/>
        <x:v/>
      </x:c>
      <x:c r="EN27" s="1053" t="str">
        <x:f t="shared" si="74"/>
        <x:v/>
      </x:c>
      <x:c r="EO27" s="1053" t="str">
        <x:f t="shared" si="75"/>
        <x:v>ERR</x:v>
      </x:c>
      <x:c r="EP27" s="1053" t="str">
        <x:f t="shared" si="76"/>
        <x:v>ERR</x:v>
      </x:c>
      <x:c r="EQ27" s="1053" t="str">
        <x:f t="shared" si="77"/>
        <x:v/>
      </x:c>
      <x:c r="ER27" s="1053" t="str">
        <x:f t="shared" si="77"/>
        <x:v/>
      </x:c>
      <x:c r="ES27" s="1053" t="str">
        <x:f t="shared" si="78"/>
        <x:v/>
      </x:c>
      <x:c r="ET27" s="1053" t="str">
        <x:f t="shared" si="79"/>
        <x:v/>
      </x:c>
      <x:c r="EU27" s="1061">
        <x:f t="shared" si="80"/>
        <x:v>3.5</x:v>
      </x:c>
      <x:c r="EV27" s="1055" t="str">
        <x:f t="shared" si="81"/>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2"/>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3"/>
        <x:v/>
      </x:c>
      <x:c r="FD27" s="1052">
        <x:f t="shared" si="105"/>
        <x:v>0</x:v>
      </x:c>
      <x:c r="FE27" s="1052">
        <x:f t="shared" si="84"/>
        <x:v>0</x:v>
      </x:c>
      <x:c r="FF27" s="1052">
        <x:f t="shared" si="85"/>
        <x:v>0</x:v>
      </x:c>
      <x:c r="FG27" s="1052" t="str">
        <x:f t="shared" si="86"/>
        <x:v/>
      </x:c>
      <x:c r="FH27" s="1053" t="str">
        <x:f t="shared" si="87"/>
        <x:v/>
      </x:c>
      <x:c r="FI27" s="1052">
        <x:f t="shared" si="106"/>
        <x:v>0</x:v>
      </x:c>
      <x:c r="FJ27" s="1052">
        <x:f t="shared" si="88"/>
        <x:v>0</x:v>
      </x:c>
      <x:c r="FK27" s="1052">
        <x:f t="shared" si="89"/>
        <x:v>0</x:v>
      </x:c>
      <x:c r="FL27" s="1052" t="str">
        <x:f t="shared" si="90"/>
        <x:v/>
      </x:c>
      <x:c r="FM27" s="1053" t="str">
        <x:f t="shared" si="91"/>
        <x:v/>
      </x:c>
      <x:c r="FN27" s="1053" t="e">
        <x:f t="shared" si="92"/>
        <x:v>#VALUE!</x:v>
      </x:c>
      <x:c r="FO27" s="1062" t="e">
        <x:f t="shared" si="93"/>
        <x:v>#VALUE!</x:v>
      </x:c>
      <x:c r="FP27" s="1062" t="e">
        <x:f t="shared" si="94"/>
        <x:v>#VALUE!</x:v>
      </x:c>
      <x:c r="FQ27" s="1063" t="e">
        <x:f t="shared" si="95"/>
        <x:v>#VALUE!</x:v>
      </x:c>
      <x:c r="FR27" s="1064" t="e">
        <x:f t="shared" si="96"/>
        <x:v>#VALUE!</x:v>
      </x:c>
      <x:c r="FS27" s="1065" t="str">
        <x:f t="shared" si="97"/>
        <x:v/>
      </x:c>
      <x:c r="FT27" s="1066" t="str">
        <x:f t="shared" si="98"/>
        <x:v/>
      </x:c>
      <x:c r="FU27" s="1105">
        <x:f t="shared" si="99"/>
        <x:v>0</x:v>
      </x:c>
      <x:c r="FV27" s="1106">
        <x:f t="shared" si="100"/>
        <x:v>0</x:v>
      </x:c>
      <x:c r="GA27" s="1975">
        <x:v>46</x:v>
      </x:c>
      <x:c r="GB27" s="1976">
        <x:v>10.25</x:v>
      </x:c>
      <x:c r="GC27" s="1977">
        <x:v>2</x:v>
      </x:c>
      <x:c r="GD27" s="1978">
        <x:v>-0.5</x:v>
      </x:c>
      <x:c r="GE27" s="1979">
        <x:v>0.26579861085019701</x:v>
      </x:c>
      <x:c r="GF27" s="1980" t="str">
        <x:f t="shared" si="101"/>
        <x:v>J103</x:v>
      </x:c>
      <x:c r="GG27" s="1453"/>
      <x:c r="GH27" s="1454"/>
      <x:c r="GI27" s="1453"/>
      <x:c r="GJ27" s="1454"/>
      <x:c r="GK27" s="533">
        <x:f t="shared" si="102"/>
        <x:v>563.75</x:v>
      </x:c>
      <x:c r="GL27" s="534">
        <x:f t="shared" si="103"/>
        <x:v>563.88827581360852</x:v>
      </x:c>
      <x:c r="GM27" s="535">
        <x:f>IF(ABS(GK27-GL27)&gt;='Job Info.'!$L$22,ABS(GK27-GL27),0)</x:f>
        <x:v>0</x:v>
      </x:c>
      <x:c r="HA27" s="1658" t="s">
        <x:v>1427</x:v>
      </x:c>
      <x:c r="HB27" s="1659">
        <x:v>1</x:v>
      </x:c>
      <x:c r="HC27" s="1659" t="s">
        <x:v>1979</x:v>
      </x:c>
      <x:c r="HD27" s="1660">
        <x:v>46</x:v>
      </x:c>
      <x:c r="HE27" s="1661">
        <x:v>11.75</x:v>
      </x:c>
      <x:c r="HF27" s="1659">
        <x:v>0</x:v>
      </x:c>
      <x:c r="HG27" s="1659">
        <x:v>3.625</x:v>
      </x:c>
      <x:c r="HH27" s="1659" t="s">
        <x:v>114</x:v>
      </x:c>
      <x:c r="HI27" s="1662" t="s">
        <x:v>117</x:v>
      </x:c>
      <x:c r="HJ27" s="1659" t="s">
        <x:v>117</x:v>
      </x:c>
      <x:c r="HK27" s="1659" t="s">
        <x:v>117</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2138</x:v>
      </x:c>
      <x:c r="IB27" s="1661"/>
      <x:c r="IC27" s="1661"/>
      <x:c r="ID27" s="1661"/>
      <x:c r="IE27" s="1661"/>
      <x:c r="IF27" s="1663"/>
    </x:row>
    <x:row r="28" spans="1:240" ht="12.6" customHeight="1" x14ac:dyDescent="0.25">
      <x:c r="A28" s="1264" t="s">
        <x:v>1428</x:v>
      </x:c>
      <x:c r="B28" s="1265">
        <x:v>1</x:v>
      </x:c>
      <x:c r="C28" s="1265" t="s">
        <x:v>1978</x:v>
      </x:c>
      <x:c r="D28" s="1261">
        <x:v>52</x:v>
      </x:c>
      <x:c r="E28" s="1366">
        <x:v>8.625</x:v>
      </x:c>
      <x:c r="F28" s="1328">
        <x:v>0</x:v>
      </x:c>
      <x:c r="G28" s="1262">
        <x:v>3.625</x:v>
      </x:c>
      <x:c r="H28" s="1266" t="s">
        <x:v>114</x:v>
      </x:c>
      <x:c r="I28" s="1261">
        <x:v>0</x:v>
      </x:c>
      <x:c r="J28" s="2122">
        <x:v>0.5</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7"/>
        <x:v/>
      </x:c>
      <x:c r="U28" s="1262" t="str">
        <x:f t="shared" si="8"/>
        <x:v/>
      </x:c>
      <x:c r="V28" s="1261" t="str">
        <x:f t="shared" si="9"/>
        <x:v/>
      </x:c>
      <x:c r="W28" s="1262" t="str">
        <x:f t="shared" si="10"/>
        <x:v/>
      </x:c>
      <x:c r="X28" s="1329">
        <x:f t="shared" si="11"/>
        <x:v>0</x:v>
      </x:c>
      <x:c r="Y28" s="1377" t="str">
        <x:f t="shared" si="12"/>
        <x:v/>
      </x:c>
      <x:c r="Z28" s="1378" t="str">
        <x:f t="shared" si="13"/>
        <x:v/>
      </x:c>
      <x:c r="AA28" s="2159" t="s">
        <x:v>2139</x:v>
      </x:c>
      <x:c r="AC28" s="1226" t="b">
        <x:v>0</x:v>
      </x:c>
      <x:c r="AD28" s="525">
        <x:f t="shared" si="14"/>
        <x:v>0</x:v>
      </x:c>
      <x:c r="AE28" s="526">
        <x:f t="shared" si="15"/>
        <x:v>1</x:v>
      </x:c>
      <x:c r="AF28" s="526">
        <x:f t="shared" si="16"/>
        <x:v>0</x:v>
      </x:c>
      <x:c r="AG28" s="526">
        <x:f t="shared" si="17"/>
        <x:v>0</x:v>
      </x:c>
      <x:c r="AH28" s="527">
        <x:f t="shared" si="18"/>
        <x:v>0</x:v>
      </x:c>
      <x:c r="AI28" s="528" t="b">
        <x:v>0</x:v>
      </x:c>
      <x:c r="AJ28" s="284">
        <x:f t="shared" si="19"/>
        <x:v>36</x:v>
      </x:c>
      <x:c r="AK28" s="1063" t="str">
        <x:f t="shared" si="20"/>
        <x:v>LH</x:v>
      </x:c>
      <x:c r="AL28" s="1202" t="str">
        <x:f t="shared" si="21"/>
        <x:v/>
      </x:c>
      <x:c r="AM28" s="1063">
        <x:f t="shared" si="22"/>
        <x:v>270</x:v>
      </x:c>
      <x:c r="AN28" s="1063">
        <x:f t="shared" si="23"/>
        <x:v>120</x:v>
      </x:c>
      <x:c r="AO28" s="1063" t="str">
        <x:f t="shared" si="24"/>
        <x:v/>
      </x:c>
      <x:c r="AP28" s="1063" t="b">
        <x:f>IF(ISERROR(AJ28),FALSE,IF(OR(AJ28=0,ISERROR(AL28),ISERROR(AM28),ISERROR(AN28),ISERROR(AO28)),FALSE,IF(AL28&lt;&gt;"",IF(ISERROR(VLOOKUP(SUBSTITUTE(SUBSTITUTE(C28,"R",""),"A",""),TblJoistSize!$A:$A,1,FALSE)),FALSE,TRUE),TRUE)))</x:f>
        <x:v>1</x:v>
      </x:c>
      <x:c r="AQ28" s="1305">
        <x:f t="shared" si="25"/>
        <x:v>9.625</x:v>
      </x:c>
      <x:c r="AR28" s="1305" t="b">
        <x:f t="shared" si="26"/>
        <x:v>0</x:v>
      </x:c>
      <x:c r="AS28" s="1305">
        <x:f t="shared" si="27"/>
        <x:v>6.5</x:v>
      </x:c>
      <x:c r="AT28" s="1305" t="b">
        <x:f t="shared" si="28"/>
        <x:v>0</x:v>
      </x:c>
      <x:c r="AU28" s="1203" t="str">
        <x:f t="shared" si="29"/>
        <x:v>LH</x:v>
      </x:c>
      <x:c r="AV28" s="1063" t="str">
        <x:f t="shared" si="30"/>
        <x:v/>
      </x:c>
      <x:c r="AW28" s="1063" t="str">
        <x:f t="shared" si="31"/>
        <x:v>LH</x:v>
      </x:c>
      <x:c r="AX28" s="1063" t="str">
        <x:f t="shared" si="104"/>
        <x:v>J104</x:v>
      </x:c>
      <x:c r="AY28" s="1306" t="b">
        <x:f t="shared" si="32"/>
        <x:v>0</x:v>
      </x:c>
      <x:c r="AZ28" s="1090" t="b">
        <x:f t="shared" si="33"/>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4"/>
        <x:v/>
      </x:c>
      <x:c r="CE28" s="935" t="str">
        <x:f t="shared" si="35"/>
        <x:v/>
      </x:c>
      <x:c r="CF28" s="1149"/>
      <x:c r="CG28" s="1150"/>
      <x:c r="CH28" s="738" t="str">
        <x:f t="shared" si="36"/>
        <x:v/>
      </x:c>
      <x:c r="CI28" s="739" t="str">
        <x:f t="shared" si="37"/>
        <x:v/>
      </x:c>
      <x:c r="CJ28" s="740" t="str">
        <x:f t="shared" si="38"/>
        <x:v/>
      </x:c>
      <x:c r="CK28" s="741" t="str">
        <x:f t="shared" si="39"/>
        <x:v/>
      </x:c>
      <x:c r="CL28" s="742" t="str">
        <x:f t="shared" si="40"/>
        <x:v/>
      </x:c>
      <x:c r="CM28" s="743" t="str">
        <x:f t="shared" si="41"/>
        <x:v/>
      </x:c>
      <x:c r="CN28" s="744" t="str">
        <x:f t="shared" si="42"/>
        <x:v/>
      </x:c>
      <x:c r="CO28" s="745" t="str">
        <x:f t="shared" si="43"/>
        <x:v/>
      </x:c>
      <x:c r="CP28" s="762" t="str">
        <x:f t="shared" si="44"/>
        <x:v/>
      </x:c>
      <x:c r="CQ28" s="763" t="str">
        <x:f t="shared" si="45"/>
        <x:v/>
      </x:c>
      <x:c r="CR28" s="953">
        <x:f t="shared" si="46"/>
        <x:v>5</x:v>
      </x:c>
      <x:c r="CS28" s="954">
        <x:f t="shared" si="47"/>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8"/>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9"/>
        <x:v>0</x:v>
      </x:c>
      <x:c r="DO28" s="1049">
        <x:f t="shared" si="50"/>
        <x:v>0</x:v>
      </x:c>
      <x:c r="DP28" s="1053" t="str">
        <x:f t="shared" si="51"/>
        <x:v/>
      </x:c>
      <x:c r="DQ28" s="1053" t="str">
        <x:f t="shared" si="52"/>
        <x:v/>
      </x:c>
      <x:c r="DR28" s="1053" t="str">
        <x:f t="shared" si="53"/>
        <x:v/>
      </x:c>
      <x:c r="DS28" s="1052">
        <x:f t="shared" si="54"/>
        <x:v>0</x:v>
      </x:c>
      <x:c r="DT28" s="1052">
        <x:f t="shared" si="55"/>
        <x:v>0</x:v>
      </x:c>
      <x:c r="DU28" s="1052" t="str">
        <x:f t="shared" si="56"/>
        <x:v/>
      </x:c>
      <x:c r="DV28" s="1053" t="str">
        <x:f t="shared" si="57"/>
        <x:v/>
      </x:c>
      <x:c r="DW28" s="1053" t="str">
        <x:f t="shared" si="58"/>
        <x:v/>
      </x:c>
      <x:c r="DX28" s="1269">
        <x:f t="shared" si="59"/>
        <x:v>0</x:v>
      </x:c>
      <x:c r="DY28" s="1053">
        <x:f t="shared" si="60"/>
        <x:v>0</x:v>
      </x:c>
      <x:c r="DZ28" s="1052">
        <x:f t="shared" si="61"/>
        <x:v>0</x:v>
      </x:c>
      <x:c r="EA28" s="1052" t="str">
        <x:f t="shared" si="62"/>
        <x:v/>
      </x:c>
      <x:c r="EB28" s="1053" t="str">
        <x:f t="shared" si="63"/>
        <x:v/>
      </x:c>
      <x:c r="EC28" s="1053" t="str">
        <x:f t="shared" si="64"/>
        <x:v/>
      </x:c>
      <x:c r="ED28" s="1269">
        <x:f t="shared" si="65"/>
        <x:v>0</x:v>
      </x:c>
      <x:c r="EE28" s="1090" t="str">
        <x:f t="shared" si="66"/>
        <x:v/>
      </x:c>
      <x:c r="EF28" s="1053" t="str">
        <x:f t="shared" si="67"/>
        <x:v/>
      </x:c>
      <x:c r="EG28" s="1053" t="str">
        <x:f t="shared" si="68"/>
        <x:v/>
      </x:c>
      <x:c r="EH28" s="1053" t="str">
        <x:f t="shared" si="69"/>
        <x:v>ERR</x:v>
      </x:c>
      <x:c r="EI28" s="1053" t="str">
        <x:f t="shared" si="70"/>
        <x:v>ERR</x:v>
      </x:c>
      <x:c r="EJ28" s="1053" t="str">
        <x:f t="shared" si="71"/>
        <x:v/>
      </x:c>
      <x:c r="EK28" s="1053" t="str">
        <x:f t="shared" si="71"/>
        <x:v/>
      </x:c>
      <x:c r="EL28" s="1090" t="str">
        <x:f t="shared" si="72"/>
        <x:v/>
      </x:c>
      <x:c r="EM28" s="1053" t="str">
        <x:f t="shared" si="73"/>
        <x:v/>
      </x:c>
      <x:c r="EN28" s="1053" t="str">
        <x:f t="shared" si="74"/>
        <x:v/>
      </x:c>
      <x:c r="EO28" s="1053" t="str">
        <x:f t="shared" si="75"/>
        <x:v>ERR</x:v>
      </x:c>
      <x:c r="EP28" s="1053" t="str">
        <x:f t="shared" si="76"/>
        <x:v>ERR</x:v>
      </x:c>
      <x:c r="EQ28" s="1053" t="str">
        <x:f t="shared" si="77"/>
        <x:v/>
      </x:c>
      <x:c r="ER28" s="1053" t="str">
        <x:f t="shared" si="77"/>
        <x:v/>
      </x:c>
      <x:c r="ES28" s="1053" t="str">
        <x:f t="shared" si="78"/>
        <x:v/>
      </x:c>
      <x:c r="ET28" s="1053" t="str">
        <x:f t="shared" si="79"/>
        <x:v/>
      </x:c>
      <x:c r="EU28" s="1061">
        <x:f t="shared" si="80"/>
        <x:v>4</x:v>
      </x:c>
      <x:c r="EV28" s="1055" t="str">
        <x:f t="shared" si="81"/>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2"/>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3"/>
        <x:v/>
      </x:c>
      <x:c r="FD28" s="1052">
        <x:f t="shared" si="105"/>
        <x:v>0</x:v>
      </x:c>
      <x:c r="FE28" s="1052">
        <x:f t="shared" si="84"/>
        <x:v>0</x:v>
      </x:c>
      <x:c r="FF28" s="1052">
        <x:f t="shared" si="85"/>
        <x:v>0</x:v>
      </x:c>
      <x:c r="FG28" s="1052" t="str">
        <x:f t="shared" si="86"/>
        <x:v/>
      </x:c>
      <x:c r="FH28" s="1053" t="str">
        <x:f t="shared" si="87"/>
        <x:v/>
      </x:c>
      <x:c r="FI28" s="1052">
        <x:f t="shared" si="106"/>
        <x:v>0</x:v>
      </x:c>
      <x:c r="FJ28" s="1052">
        <x:f t="shared" si="88"/>
        <x:v>0</x:v>
      </x:c>
      <x:c r="FK28" s="1052">
        <x:f t="shared" si="89"/>
        <x:v>0</x:v>
      </x:c>
      <x:c r="FL28" s="1052" t="str">
        <x:f t="shared" si="90"/>
        <x:v/>
      </x:c>
      <x:c r="FM28" s="1053" t="str">
        <x:f t="shared" si="91"/>
        <x:v/>
      </x:c>
      <x:c r="FN28" s="1053" t="e">
        <x:f t="shared" si="92"/>
        <x:v>#VALUE!</x:v>
      </x:c>
      <x:c r="FO28" s="1062" t="e">
        <x:f t="shared" si="93"/>
        <x:v>#VALUE!</x:v>
      </x:c>
      <x:c r="FP28" s="1062" t="e">
        <x:f t="shared" si="94"/>
        <x:v>#VALUE!</x:v>
      </x:c>
      <x:c r="FQ28" s="1063" t="e">
        <x:f t="shared" si="95"/>
        <x:v>#VALUE!</x:v>
      </x:c>
      <x:c r="FR28" s="1064" t="e">
        <x:f t="shared" si="96"/>
        <x:v>#VALUE!</x:v>
      </x:c>
      <x:c r="FS28" s="1065" t="str">
        <x:f t="shared" si="97"/>
        <x:v/>
      </x:c>
      <x:c r="FT28" s="1066" t="str">
        <x:f t="shared" si="98"/>
        <x:v/>
      </x:c>
      <x:c r="FU28" s="1105">
        <x:f t="shared" si="99"/>
        <x:v>0</x:v>
      </x:c>
      <x:c r="FV28" s="1106">
        <x:f t="shared" si="100"/>
        <x:v>0</x:v>
      </x:c>
      <x:c r="GA28" s="1975">
        <x:v>52</x:v>
      </x:c>
      <x:c r="GB28" s="1976">
        <x:v>7.125</x:v>
      </x:c>
      <x:c r="GC28" s="1977">
        <x:v>2</x:v>
      </x:c>
      <x:c r="GD28" s="1978">
        <x:v>-0.5</x:v>
      </x:c>
      <x:c r="GE28" s="1979">
        <x:v>0.24544990164903099</x:v>
      </x:c>
      <x:c r="GF28" s="1980" t="str">
        <x:f t="shared" si="101"/>
        <x:v>J104</x:v>
      </x:c>
      <x:c r="GG28" s="1453"/>
      <x:c r="GH28" s="1454"/>
      <x:c r="GI28" s="1453"/>
      <x:c r="GJ28" s="1454"/>
      <x:c r="GK28" s="533">
        <x:f t="shared" si="102"/>
        <x:v>632.625</x:v>
      </x:c>
      <x:c r="GL28" s="534">
        <x:f t="shared" si="103"/>
        <x:v>632.75732264404621</x:v>
      </x:c>
      <x:c r="GM28" s="535">
        <x:f>IF(ABS(GK28-GL28)&gt;='Job Info.'!$L$22,ABS(GK28-GL28),0)</x:f>
        <x:v>0</x:v>
      </x:c>
      <x:c r="HA28" s="1658" t="s">
        <x:v>1428</x:v>
      </x:c>
      <x:c r="HB28" s="1659">
        <x:v>1</x:v>
      </x:c>
      <x:c r="HC28" s="1659" t="s">
        <x:v>1978</x:v>
      </x:c>
      <x:c r="HD28" s="1660">
        <x:v>52</x:v>
      </x:c>
      <x:c r="HE28" s="1661">
        <x:v>8.625</x:v>
      </x:c>
      <x:c r="HF28" s="1659">
        <x:v>0</x:v>
      </x:c>
      <x:c r="HG28" s="1659">
        <x:v>3.625</x:v>
      </x:c>
      <x:c r="HH28" s="1659" t="s">
        <x:v>114</x:v>
      </x:c>
      <x:c r="HI28" s="1662">
        <x:v>0</x:v>
      </x:c>
      <x:c r="HJ28" s="1659">
        <x:v>0.25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2139</x:v>
      </x:c>
      <x:c r="IB28" s="1661"/>
      <x:c r="IC28" s="1661"/>
      <x:c r="ID28" s="1661"/>
      <x:c r="IE28" s="1661"/>
      <x:c r="IF28" s="1663"/>
    </x:row>
    <x:row r="29" spans="1:240" ht="12.6" customHeight="1" x14ac:dyDescent="0.25">
      <x:c r="A29" s="1264" t="s">
        <x:v>1429</x:v>
      </x:c>
      <x:c r="B29" s="1265">
        <x:v>1</x:v>
      </x:c>
      <x:c r="C29" s="1265" t="s">
        <x:v>1978</x:v>
      </x:c>
      <x:c r="D29" s="1261">
        <x:v>58</x:v>
      </x:c>
      <x:c r="E29" s="1366">
        <x:v>5.5</x:v>
      </x:c>
      <x:c r="F29" s="1328">
        <x:v>0</x:v>
      </x:c>
      <x:c r="G29" s="1262">
        <x:v>3.625</x:v>
      </x:c>
      <x:c r="H29" s="1266" t="s">
        <x:v>114</x:v>
      </x:c>
      <x:c r="I29" s="1261">
        <x:v>0</x:v>
      </x:c>
      <x:c r="J29" s="2122">
        <x:v>0.5</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7"/>
        <x:v/>
      </x:c>
      <x:c r="U29" s="1262" t="str">
        <x:f t="shared" si="8"/>
        <x:v/>
      </x:c>
      <x:c r="V29" s="1261" t="str">
        <x:f t="shared" si="9"/>
        <x:v/>
      </x:c>
      <x:c r="W29" s="1262" t="str">
        <x:f t="shared" si="10"/>
        <x:v/>
      </x:c>
      <x:c r="X29" s="1329">
        <x:f t="shared" si="11"/>
        <x:v>0</x:v>
      </x:c>
      <x:c r="Y29" s="1377" t="str">
        <x:f t="shared" si="12"/>
        <x:v/>
      </x:c>
      <x:c r="Z29" s="1378" t="str">
        <x:f t="shared" si="13"/>
        <x:v/>
      </x:c>
      <x:c r="AA29" s="2159" t="s">
        <x:v>2140</x:v>
      </x:c>
      <x:c r="AC29" s="1226" t="b">
        <x:v>0</x:v>
      </x:c>
      <x:c r="AD29" s="525">
        <x:f t="shared" si="14"/>
        <x:v>0</x:v>
      </x:c>
      <x:c r="AE29" s="526">
        <x:f t="shared" si="15"/>
        <x:v>1</x:v>
      </x:c>
      <x:c r="AF29" s="526">
        <x:f t="shared" si="16"/>
        <x:v>0</x:v>
      </x:c>
      <x:c r="AG29" s="526">
        <x:f t="shared" si="17"/>
        <x:v>0</x:v>
      </x:c>
      <x:c r="AH29" s="527">
        <x:f t="shared" si="18"/>
        <x:v>0</x:v>
      </x:c>
      <x:c r="AI29" s="528" t="b">
        <x:v>0</x:v>
      </x:c>
      <x:c r="AJ29" s="284">
        <x:f t="shared" si="19"/>
        <x:v>36</x:v>
      </x:c>
      <x:c r="AK29" s="1063" t="str">
        <x:f t="shared" si="20"/>
        <x:v>LH</x:v>
      </x:c>
      <x:c r="AL29" s="1202" t="str">
        <x:f t="shared" si="21"/>
        <x:v/>
      </x:c>
      <x:c r="AM29" s="1063">
        <x:f t="shared" si="22"/>
        <x:v>270</x:v>
      </x:c>
      <x:c r="AN29" s="1063">
        <x:f t="shared" si="23"/>
        <x:v>120</x:v>
      </x:c>
      <x:c r="AO29" s="1063" t="str">
        <x:f t="shared" si="24"/>
        <x:v/>
      </x:c>
      <x:c r="AP29" s="1063" t="b">
        <x:f>IF(ISERROR(AJ29),FALSE,IF(OR(AJ29=0,ISERROR(AL29),ISERROR(AM29),ISERROR(AN29),ISERROR(AO29)),FALSE,IF(AL29&lt;&gt;"",IF(ISERROR(VLOOKUP(SUBSTITUTE(SUBSTITUTE(C29,"R",""),"A",""),TblJoistSize!$A:$A,1,FALSE)),FALSE,TRUE),TRUE)))</x:f>
        <x:v>1</x:v>
      </x:c>
      <x:c r="AQ29" s="1305">
        <x:f t="shared" si="25"/>
        <x:v>9.625</x:v>
      </x:c>
      <x:c r="AR29" s="1305" t="b">
        <x:f t="shared" si="26"/>
        <x:v>0</x:v>
      </x:c>
      <x:c r="AS29" s="1305">
        <x:f t="shared" si="27"/>
        <x:v>6.5</x:v>
      </x:c>
      <x:c r="AT29" s="1305" t="b">
        <x:f t="shared" si="28"/>
        <x:v>0</x:v>
      </x:c>
      <x:c r="AU29" s="1203" t="str">
        <x:f t="shared" si="29"/>
        <x:v>LH</x:v>
      </x:c>
      <x:c r="AV29" s="1063" t="str">
        <x:f t="shared" si="30"/>
        <x:v/>
      </x:c>
      <x:c r="AW29" s="1063" t="str">
        <x:f t="shared" si="31"/>
        <x:v>LH</x:v>
      </x:c>
      <x:c r="AX29" s="1063" t="str">
        <x:f t="shared" si="104"/>
        <x:v>J105</x:v>
      </x:c>
      <x:c r="AY29" s="1306" t="b">
        <x:f t="shared" si="32"/>
        <x:v>0</x:v>
      </x:c>
      <x:c r="AZ29" s="1090" t="b">
        <x:f t="shared" si="33"/>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4"/>
        <x:v/>
      </x:c>
      <x:c r="CE29" s="935" t="str">
        <x:f t="shared" si="35"/>
        <x:v/>
      </x:c>
      <x:c r="CF29" s="1149"/>
      <x:c r="CG29" s="1150"/>
      <x:c r="CH29" s="738" t="str">
        <x:f t="shared" si="36"/>
        <x:v/>
      </x:c>
      <x:c r="CI29" s="739" t="str">
        <x:f t="shared" si="37"/>
        <x:v/>
      </x:c>
      <x:c r="CJ29" s="740" t="str">
        <x:f t="shared" si="38"/>
        <x:v/>
      </x:c>
      <x:c r="CK29" s="741" t="str">
        <x:f t="shared" si="39"/>
        <x:v/>
      </x:c>
      <x:c r="CL29" s="742" t="str">
        <x:f t="shared" si="40"/>
        <x:v/>
      </x:c>
      <x:c r="CM29" s="743" t="str">
        <x:f t="shared" si="41"/>
        <x:v/>
      </x:c>
      <x:c r="CN29" s="744" t="str">
        <x:f t="shared" si="42"/>
        <x:v/>
      </x:c>
      <x:c r="CO29" s="745" t="str">
        <x:f t="shared" si="43"/>
        <x:v/>
      </x:c>
      <x:c r="CP29" s="762" t="str">
        <x:f t="shared" si="44"/>
        <x:v/>
      </x:c>
      <x:c r="CQ29" s="763" t="str">
        <x:f t="shared" si="45"/>
        <x:v/>
      </x:c>
      <x:c r="CR29" s="953">
        <x:f t="shared" si="46"/>
        <x:v>5</x:v>
      </x:c>
      <x:c r="CS29" s="954">
        <x:f t="shared" si="47"/>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8"/>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9"/>
        <x:v>0</x:v>
      </x:c>
      <x:c r="DO29" s="1049">
        <x:f t="shared" si="50"/>
        <x:v>0</x:v>
      </x:c>
      <x:c r="DP29" s="1053" t="str">
        <x:f t="shared" si="51"/>
        <x:v/>
      </x:c>
      <x:c r="DQ29" s="1053" t="str">
        <x:f t="shared" si="52"/>
        <x:v/>
      </x:c>
      <x:c r="DR29" s="1053" t="str">
        <x:f t="shared" si="53"/>
        <x:v/>
      </x:c>
      <x:c r="DS29" s="1052">
        <x:f t="shared" si="54"/>
        <x:v>0</x:v>
      </x:c>
      <x:c r="DT29" s="1052">
        <x:f t="shared" si="55"/>
        <x:v>0</x:v>
      </x:c>
      <x:c r="DU29" s="1052" t="str">
        <x:f t="shared" si="56"/>
        <x:v/>
      </x:c>
      <x:c r="DV29" s="1053" t="str">
        <x:f t="shared" si="57"/>
        <x:v/>
      </x:c>
      <x:c r="DW29" s="1053" t="str">
        <x:f t="shared" si="58"/>
        <x:v/>
      </x:c>
      <x:c r="DX29" s="1269">
        <x:f t="shared" si="59"/>
        <x:v>0</x:v>
      </x:c>
      <x:c r="DY29" s="1053">
        <x:f t="shared" si="60"/>
        <x:v>0</x:v>
      </x:c>
      <x:c r="DZ29" s="1052">
        <x:f t="shared" si="61"/>
        <x:v>0</x:v>
      </x:c>
      <x:c r="EA29" s="1052" t="str">
        <x:f t="shared" si="62"/>
        <x:v/>
      </x:c>
      <x:c r="EB29" s="1053" t="str">
        <x:f t="shared" si="63"/>
        <x:v/>
      </x:c>
      <x:c r="EC29" s="1053" t="str">
        <x:f t="shared" si="64"/>
        <x:v/>
      </x:c>
      <x:c r="ED29" s="1269">
        <x:f t="shared" si="65"/>
        <x:v>0</x:v>
      </x:c>
      <x:c r="EE29" s="1090" t="str">
        <x:f t="shared" si="66"/>
        <x:v/>
      </x:c>
      <x:c r="EF29" s="1053" t="str">
        <x:f t="shared" si="67"/>
        <x:v/>
      </x:c>
      <x:c r="EG29" s="1053" t="str">
        <x:f t="shared" si="68"/>
        <x:v/>
      </x:c>
      <x:c r="EH29" s="1053" t="str">
        <x:f t="shared" si="69"/>
        <x:v>ERR</x:v>
      </x:c>
      <x:c r="EI29" s="1053" t="str">
        <x:f t="shared" si="70"/>
        <x:v>ERR</x:v>
      </x:c>
      <x:c r="EJ29" s="1053" t="str">
        <x:f t="shared" si="71"/>
        <x:v/>
      </x:c>
      <x:c r="EK29" s="1053" t="str">
        <x:f t="shared" si="71"/>
        <x:v/>
      </x:c>
      <x:c r="EL29" s="1090" t="str">
        <x:f t="shared" si="72"/>
        <x:v/>
      </x:c>
      <x:c r="EM29" s="1053" t="str">
        <x:f t="shared" si="73"/>
        <x:v/>
      </x:c>
      <x:c r="EN29" s="1053" t="str">
        <x:f t="shared" si="74"/>
        <x:v/>
      </x:c>
      <x:c r="EO29" s="1053" t="str">
        <x:f t="shared" si="75"/>
        <x:v>ERR</x:v>
      </x:c>
      <x:c r="EP29" s="1053" t="str">
        <x:f t="shared" si="76"/>
        <x:v>ERR</x:v>
      </x:c>
      <x:c r="EQ29" s="1053" t="str">
        <x:f t="shared" si="77"/>
        <x:v/>
      </x:c>
      <x:c r="ER29" s="1053" t="str">
        <x:f t="shared" si="77"/>
        <x:v/>
      </x:c>
      <x:c r="ES29" s="1053" t="str">
        <x:f t="shared" si="78"/>
        <x:v/>
      </x:c>
      <x:c r="ET29" s="1053" t="str">
        <x:f t="shared" si="79"/>
        <x:v/>
      </x:c>
      <x:c r="EU29" s="1061">
        <x:f t="shared" si="80"/>
        <x:v>4</x:v>
      </x:c>
      <x:c r="EV29" s="1055" t="str">
        <x:f t="shared" si="81"/>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2"/>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3"/>
        <x:v/>
      </x:c>
      <x:c r="FD29" s="1052">
        <x:f t="shared" si="105"/>
        <x:v>0</x:v>
      </x:c>
      <x:c r="FE29" s="1052">
        <x:f t="shared" si="84"/>
        <x:v>0</x:v>
      </x:c>
      <x:c r="FF29" s="1052">
        <x:f t="shared" si="85"/>
        <x:v>0</x:v>
      </x:c>
      <x:c r="FG29" s="1052" t="str">
        <x:f t="shared" si="86"/>
        <x:v/>
      </x:c>
      <x:c r="FH29" s="1053" t="str">
        <x:f t="shared" si="87"/>
        <x:v/>
      </x:c>
      <x:c r="FI29" s="1052">
        <x:f t="shared" si="106"/>
        <x:v>0</x:v>
      </x:c>
      <x:c r="FJ29" s="1052">
        <x:f t="shared" si="88"/>
        <x:v>0</x:v>
      </x:c>
      <x:c r="FK29" s="1052">
        <x:f t="shared" si="89"/>
        <x:v>0</x:v>
      </x:c>
      <x:c r="FL29" s="1052" t="str">
        <x:f t="shared" si="90"/>
        <x:v/>
      </x:c>
      <x:c r="FM29" s="1053" t="str">
        <x:f t="shared" si="91"/>
        <x:v/>
      </x:c>
      <x:c r="FN29" s="1053" t="e">
        <x:f t="shared" si="92"/>
        <x:v>#VALUE!</x:v>
      </x:c>
      <x:c r="FO29" s="1062" t="e">
        <x:f t="shared" si="93"/>
        <x:v>#VALUE!</x:v>
      </x:c>
      <x:c r="FP29" s="1062" t="e">
        <x:f t="shared" si="94"/>
        <x:v>#VALUE!</x:v>
      </x:c>
      <x:c r="FQ29" s="1063" t="e">
        <x:f t="shared" si="95"/>
        <x:v>#VALUE!</x:v>
      </x:c>
      <x:c r="FR29" s="1064" t="e">
        <x:f t="shared" si="96"/>
        <x:v>#VALUE!</x:v>
      </x:c>
      <x:c r="FS29" s="1065" t="str">
        <x:f t="shared" si="97"/>
        <x:v/>
      </x:c>
      <x:c r="FT29" s="1066" t="str">
        <x:f t="shared" si="98"/>
        <x:v/>
      </x:c>
      <x:c r="FU29" s="1105">
        <x:f t="shared" si="99"/>
        <x:v>0</x:v>
      </x:c>
      <x:c r="FV29" s="1106">
        <x:f t="shared" si="100"/>
        <x:v>0</x:v>
      </x:c>
      <x:c r="GA29" s="1975">
        <x:v>58</x:v>
      </x:c>
      <x:c r="GB29" s="1976">
        <x:v>4</x:v>
      </x:c>
      <x:c r="GC29" s="1977">
        <x:v>2</x:v>
      </x:c>
      <x:c r="GD29" s="1978">
        <x:v>-0.5</x:v>
      </x:c>
      <x:c r="GE29" s="1979">
        <x:v>0.229104314929551</x:v>
      </x:c>
      <x:c r="GF29" s="1980" t="str">
        <x:f t="shared" si="101"/>
        <x:v>J105</x:v>
      </x:c>
      <x:c r="GG29" s="1453"/>
      <x:c r="GH29" s="1454"/>
      <x:c r="GI29" s="1453"/>
      <x:c r="GJ29" s="1454"/>
      <x:c r="GK29" s="533">
        <x:f t="shared" si="102"/>
        <x:v>701.5</x:v>
      </x:c>
      <x:c r="GL29" s="534">
        <x:f t="shared" si="103"/>
        <x:v>701.62783864382709</x:v>
      </x:c>
      <x:c r="GM29" s="535">
        <x:f>IF(ABS(GK29-GL29)&gt;='Job Info.'!$L$22,ABS(GK29-GL29),0)</x:f>
        <x:v>0</x:v>
      </x:c>
      <x:c r="HA29" s="1658" t="s">
        <x:v>1429</x:v>
      </x:c>
      <x:c r="HB29" s="1659">
        <x:v>1</x:v>
      </x:c>
      <x:c r="HC29" s="1659" t="s">
        <x:v>1978</x:v>
      </x:c>
      <x:c r="HD29" s="1660">
        <x:v>58</x:v>
      </x:c>
      <x:c r="HE29" s="1661">
        <x:v>5.5</x:v>
      </x:c>
      <x:c r="HF29" s="1659">
        <x:v>0</x:v>
      </x:c>
      <x:c r="HG29" s="1659">
        <x:v>3.625</x:v>
      </x:c>
      <x:c r="HH29" s="1659" t="s">
        <x:v>114</x:v>
      </x:c>
      <x:c r="HI29" s="1662">
        <x:v>0</x:v>
      </x:c>
      <x:c r="HJ29" s="1659">
        <x:v>0.25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2140</x:v>
      </x:c>
      <x:c r="IB29" s="1661"/>
      <x:c r="IC29" s="1661"/>
      <x:c r="ID29" s="1661"/>
      <x:c r="IE29" s="1661"/>
      <x:c r="IF29" s="1663"/>
    </x:row>
    <x:row r="30" spans="1:240" ht="12.6" customHeight="1" x14ac:dyDescent="0.25">
      <x:c r="A30" s="1264" t="s">
        <x:v>1430</x:v>
      </x:c>
      <x:c r="B30" s="1265">
        <x:v>1</x:v>
      </x:c>
      <x:c r="C30" s="1265" t="s">
        <x:v>1978</x:v>
      </x:c>
      <x:c r="D30" s="1261">
        <x:v>59</x:v>
      </x:c>
      <x:c r="E30" s="1366">
        <x:v>4.25</x:v>
      </x:c>
      <x:c r="F30" s="1328">
        <x:v>0</x:v>
      </x:c>
      <x:c r="G30" s="1262">
        <x:v>3.625</x:v>
      </x:c>
      <x:c r="H30" s="1266" t="s">
        <x:v>114</x:v>
      </x:c>
      <x:c r="I30" s="1261" t="str">
        <x:f t="shared" ref="I30:I44" si="107">IF(ED30=0,"",TRUNC(ED30/12))</x:f>
        <x:v/>
      </x:c>
      <x:c r="J30" s="1262" t="str">
        <x:f t="shared" ref="J30:J44" si="108">IF(ED30=0,"",ED30-(I30*12))</x:f>
        <x:v/>
      </x:c>
      <x:c r="K30" s="1370" t="str">
        <x:f t="shared" ref="K30:K44" si="109">IF(ED30=0,"",DG30)</x:f>
        <x:v/>
      </x:c>
      <x:c r="L30" s="1327">
        <x:v>3</x:v>
      </x:c>
      <x:c r="M30" s="1329">
        <x:v>3</x:v>
      </x:c>
      <x:c r="N30" s="1263" t="str">
        <x:f t="shared" si="1"/>
        <x:v/>
      </x:c>
      <x:c r="O30" s="1262" t="str">
        <x:f t="shared" si="2"/>
        <x:v/>
      </x:c>
      <x:c r="P30" s="1260" t="str">
        <x:f t="shared" si="3"/>
        <x:v/>
      </x:c>
      <x:c r="Q30" s="1261" t="str">
        <x:f t="shared" si="4"/>
        <x:v/>
      </x:c>
      <x:c r="R30" s="1262" t="str">
        <x:f t="shared" si="5"/>
        <x:v/>
      </x:c>
      <x:c r="S30" s="1375" t="str">
        <x:f t="shared" si="6"/>
        <x:v/>
      </x:c>
      <x:c r="T30" s="1328" t="str">
        <x:f t="shared" si="7"/>
        <x:v/>
      </x:c>
      <x:c r="U30" s="1262" t="str">
        <x:f t="shared" si="8"/>
        <x:v/>
      </x:c>
      <x:c r="V30" s="1261" t="str">
        <x:f t="shared" si="9"/>
        <x:v/>
      </x:c>
      <x:c r="W30" s="1262" t="str">
        <x:f t="shared" si="10"/>
        <x:v/>
      </x:c>
      <x:c r="X30" s="1329">
        <x:f t="shared" si="11"/>
        <x:v>0</x:v>
      </x:c>
      <x:c r="Y30" s="1377" t="str">
        <x:f t="shared" si="12"/>
        <x:v/>
      </x:c>
      <x:c r="Z30" s="1378" t="str">
        <x:f t="shared" si="13"/>
        <x:v/>
      </x:c>
      <x:c r="AA30" s="2159" t="s">
        <x:v>2141</x:v>
      </x:c>
      <x:c r="AC30" s="1226" t="b">
        <x:v>0</x:v>
      </x:c>
      <x:c r="AD30" s="525">
        <x:f t="shared" si="14"/>
        <x:v>0</x:v>
      </x:c>
      <x:c r="AE30" s="526">
        <x:f t="shared" si="15"/>
        <x:v>1</x:v>
      </x:c>
      <x:c r="AF30" s="526">
        <x:f t="shared" si="16"/>
        <x:v>0</x:v>
      </x:c>
      <x:c r="AG30" s="526">
        <x:f t="shared" si="17"/>
        <x:v>0</x:v>
      </x:c>
      <x:c r="AH30" s="527">
        <x:f t="shared" si="18"/>
        <x:v>0</x:v>
      </x:c>
      <x:c r="AI30" s="528" t="b">
        <x:v>0</x:v>
      </x:c>
      <x:c r="AJ30" s="284">
        <x:f t="shared" si="19"/>
        <x:v>36</x:v>
      </x:c>
      <x:c r="AK30" s="1063" t="str">
        <x:f t="shared" si="20"/>
        <x:v>LH</x:v>
      </x:c>
      <x:c r="AL30" s="1202" t="str">
        <x:f t="shared" si="21"/>
        <x:v/>
      </x:c>
      <x:c r="AM30" s="1063">
        <x:f t="shared" si="22"/>
        <x:v>270</x:v>
      </x:c>
      <x:c r="AN30" s="1063">
        <x:f t="shared" si="23"/>
        <x:v>120</x:v>
      </x:c>
      <x:c r="AO30" s="1063" t="str">
        <x:f t="shared" si="24"/>
        <x:v/>
      </x:c>
      <x:c r="AP30" s="1063" t="b">
        <x:f>IF(ISERROR(AJ30),FALSE,IF(OR(AJ30=0,ISERROR(AL30),ISERROR(AM30),ISERROR(AN30),ISERROR(AO30)),FALSE,IF(AL30&lt;&gt;"",IF(ISERROR(VLOOKUP(SUBSTITUTE(SUBSTITUTE(C30,"R",""),"A",""),TblJoistSize!$A:$A,1,FALSE)),FALSE,TRUE),TRUE)))</x:f>
        <x:v>1</x:v>
      </x:c>
      <x:c r="AQ30" s="1305">
        <x:f t="shared" si="25"/>
        <x:v>9.625</x:v>
      </x:c>
      <x:c r="AR30" s="1305" t="b">
        <x:f t="shared" si="26"/>
        <x:v>0</x:v>
      </x:c>
      <x:c r="AS30" s="1305">
        <x:f t="shared" si="27"/>
        <x:v>6</x:v>
      </x:c>
      <x:c r="AT30" s="1305" t="b">
        <x:f t="shared" si="28"/>
        <x:v>0</x:v>
      </x:c>
      <x:c r="AU30" s="1203" t="str">
        <x:f t="shared" si="29"/>
        <x:v>LH</x:v>
      </x:c>
      <x:c r="AV30" s="1063" t="str">
        <x:f t="shared" si="30"/>
        <x:v/>
      </x:c>
      <x:c r="AW30" s="1063" t="str">
        <x:f t="shared" si="31"/>
        <x:v>LH</x:v>
      </x:c>
      <x:c r="AX30" s="1063" t="str">
        <x:f t="shared" si="104"/>
        <x:v>J106</x:v>
      </x:c>
      <x:c r="AY30" s="1306" t="b">
        <x:f t="shared" si="32"/>
        <x:v>0</x:v>
      </x:c>
      <x:c r="AZ30" s="1090" t="b">
        <x:f t="shared" si="33"/>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4"/>
        <x:v/>
      </x:c>
      <x:c r="CE30" s="935" t="str">
        <x:f t="shared" si="35"/>
        <x:v/>
      </x:c>
      <x:c r="CF30" s="1149"/>
      <x:c r="CG30" s="1150"/>
      <x:c r="CH30" s="738" t="str">
        <x:f t="shared" si="36"/>
        <x:v/>
      </x:c>
      <x:c r="CI30" s="739" t="str">
        <x:f t="shared" si="37"/>
        <x:v/>
      </x:c>
      <x:c r="CJ30" s="740" t="str">
        <x:f t="shared" si="38"/>
        <x:v/>
      </x:c>
      <x:c r="CK30" s="741" t="str">
        <x:f t="shared" si="39"/>
        <x:v/>
      </x:c>
      <x:c r="CL30" s="742" t="str">
        <x:f t="shared" si="40"/>
        <x:v/>
      </x:c>
      <x:c r="CM30" s="743" t="str">
        <x:f t="shared" si="41"/>
        <x:v/>
      </x:c>
      <x:c r="CN30" s="744" t="str">
        <x:f t="shared" si="42"/>
        <x:v/>
      </x:c>
      <x:c r="CO30" s="745" t="str">
        <x:f t="shared" si="43"/>
        <x:v/>
      </x:c>
      <x:c r="CP30" s="762" t="str">
        <x:f t="shared" si="44"/>
        <x:v/>
      </x:c>
      <x:c r="CQ30" s="763" t="str">
        <x:f t="shared" si="45"/>
        <x:v/>
      </x:c>
      <x:c r="CR30" s="953">
        <x:f t="shared" si="46"/>
        <x:v>5</x:v>
      </x:c>
      <x:c r="CS30" s="954">
        <x:f t="shared" si="47"/>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8"/>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9"/>
        <x:v>0</x:v>
      </x:c>
      <x:c r="DO30" s="1049">
        <x:f t="shared" si="50"/>
        <x:v>0</x:v>
      </x:c>
      <x:c r="DP30" s="1053" t="str">
        <x:f t="shared" si="51"/>
        <x:v/>
      </x:c>
      <x:c r="DQ30" s="1053" t="str">
        <x:f t="shared" si="52"/>
        <x:v/>
      </x:c>
      <x:c r="DR30" s="1053" t="str">
        <x:f t="shared" si="53"/>
        <x:v/>
      </x:c>
      <x:c r="DS30" s="1052">
        <x:f t="shared" si="54"/>
        <x:v>0</x:v>
      </x:c>
      <x:c r="DT30" s="1052">
        <x:f t="shared" si="55"/>
        <x:v>0</x:v>
      </x:c>
      <x:c r="DU30" s="1052" t="str">
        <x:f t="shared" si="56"/>
        <x:v/>
      </x:c>
      <x:c r="DV30" s="1053" t="str">
        <x:f t="shared" si="57"/>
        <x:v/>
      </x:c>
      <x:c r="DW30" s="1053" t="str">
        <x:f t="shared" si="58"/>
        <x:v/>
      </x:c>
      <x:c r="DX30" s="1269">
        <x:f t="shared" si="59"/>
        <x:v>0</x:v>
      </x:c>
      <x:c r="DY30" s="1053">
        <x:f t="shared" si="60"/>
        <x:v>0</x:v>
      </x:c>
      <x:c r="DZ30" s="1052">
        <x:f t="shared" si="61"/>
        <x:v>0</x:v>
      </x:c>
      <x:c r="EA30" s="1052" t="str">
        <x:f t="shared" si="62"/>
        <x:v/>
      </x:c>
      <x:c r="EB30" s="1053" t="str">
        <x:f t="shared" si="63"/>
        <x:v/>
      </x:c>
      <x:c r="EC30" s="1053" t="str">
        <x:f t="shared" si="64"/>
        <x:v/>
      </x:c>
      <x:c r="ED30" s="1269">
        <x:f t="shared" si="65"/>
        <x:v>0</x:v>
      </x:c>
      <x:c r="EE30" s="1090" t="str">
        <x:f t="shared" si="66"/>
        <x:v/>
      </x:c>
      <x:c r="EF30" s="1053" t="str">
        <x:f t="shared" si="67"/>
        <x:v/>
      </x:c>
      <x:c r="EG30" s="1053" t="str">
        <x:f t="shared" si="68"/>
        <x:v/>
      </x:c>
      <x:c r="EH30" s="1053" t="str">
        <x:f t="shared" si="69"/>
        <x:v>ERR</x:v>
      </x:c>
      <x:c r="EI30" s="1053" t="str">
        <x:f t="shared" si="70"/>
        <x:v>ERR</x:v>
      </x:c>
      <x:c r="EJ30" s="1053" t="str">
        <x:f t="shared" si="71"/>
        <x:v/>
      </x:c>
      <x:c r="EK30" s="1053" t="str">
        <x:f t="shared" si="71"/>
        <x:v/>
      </x:c>
      <x:c r="EL30" s="1090" t="str">
        <x:f t="shared" si="72"/>
        <x:v/>
      </x:c>
      <x:c r="EM30" s="1053" t="str">
        <x:f t="shared" si="73"/>
        <x:v/>
      </x:c>
      <x:c r="EN30" s="1053" t="str">
        <x:f t="shared" si="74"/>
        <x:v/>
      </x:c>
      <x:c r="EO30" s="1053" t="str">
        <x:f t="shared" si="75"/>
        <x:v>ERR</x:v>
      </x:c>
      <x:c r="EP30" s="1053" t="str">
        <x:f t="shared" si="76"/>
        <x:v>ERR</x:v>
      </x:c>
      <x:c r="EQ30" s="1053" t="str">
        <x:f t="shared" si="77"/>
        <x:v/>
      </x:c>
      <x:c r="ER30" s="1053" t="str">
        <x:f t="shared" si="77"/>
        <x:v/>
      </x:c>
      <x:c r="ES30" s="1053" t="str">
        <x:f t="shared" si="78"/>
        <x:v/>
      </x:c>
      <x:c r="ET30" s="1053" t="str">
        <x:f t="shared" si="79"/>
        <x:v/>
      </x:c>
      <x:c r="EU30" s="1061">
        <x:f t="shared" si="80"/>
        <x:v>4</x:v>
      </x:c>
      <x:c r="EV30" s="1055" t="str">
        <x:f t="shared" si="81"/>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2"/>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3"/>
        <x:v/>
      </x:c>
      <x:c r="FD30" s="1052">
        <x:f t="shared" si="105"/>
        <x:v>0</x:v>
      </x:c>
      <x:c r="FE30" s="1052">
        <x:f t="shared" si="84"/>
        <x:v>0</x:v>
      </x:c>
      <x:c r="FF30" s="1052">
        <x:f t="shared" si="85"/>
        <x:v>0</x:v>
      </x:c>
      <x:c r="FG30" s="1052" t="str">
        <x:f t="shared" si="86"/>
        <x:v/>
      </x:c>
      <x:c r="FH30" s="1053" t="str">
        <x:f t="shared" si="87"/>
        <x:v/>
      </x:c>
      <x:c r="FI30" s="1052">
        <x:f t="shared" si="106"/>
        <x:v>0</x:v>
      </x:c>
      <x:c r="FJ30" s="1052">
        <x:f t="shared" si="88"/>
        <x:v>0</x:v>
      </x:c>
      <x:c r="FK30" s="1052">
        <x:f t="shared" si="89"/>
        <x:v>0</x:v>
      </x:c>
      <x:c r="FL30" s="1052" t="str">
        <x:f t="shared" si="90"/>
        <x:v/>
      </x:c>
      <x:c r="FM30" s="1053" t="str">
        <x:f t="shared" si="91"/>
        <x:v/>
      </x:c>
      <x:c r="FN30" s="1053" t="e">
        <x:f t="shared" si="92"/>
        <x:v>#VALUE!</x:v>
      </x:c>
      <x:c r="FO30" s="1062" t="e">
        <x:f t="shared" si="93"/>
        <x:v>#VALUE!</x:v>
      </x:c>
      <x:c r="FP30" s="1062" t="e">
        <x:f t="shared" si="94"/>
        <x:v>#VALUE!</x:v>
      </x:c>
      <x:c r="FQ30" s="1063" t="e">
        <x:f t="shared" si="95"/>
        <x:v>#VALUE!</x:v>
      </x:c>
      <x:c r="FR30" s="1064" t="e">
        <x:f t="shared" si="96"/>
        <x:v>#VALUE!</x:v>
      </x:c>
      <x:c r="FS30" s="1065" t="str">
        <x:f t="shared" si="97"/>
        <x:v/>
      </x:c>
      <x:c r="FT30" s="1066" t="str">
        <x:f t="shared" si="98"/>
        <x:v/>
      </x:c>
      <x:c r="FU30" s="1105">
        <x:f t="shared" si="99"/>
        <x:v>0</x:v>
      </x:c>
      <x:c r="FV30" s="1106">
        <x:f t="shared" si="100"/>
        <x:v>0</x:v>
      </x:c>
      <x:c r="GA30" s="1975">
        <x:v>59</x:v>
      </x:c>
      <x:c r="GB30" s="1976">
        <x:v>2.75</x:v>
      </x:c>
      <x:c r="GC30" s="1977">
        <x:v>2</x:v>
      </x:c>
      <x:c r="GD30" s="1978">
        <x:v>-0.5</x:v>
      </x:c>
      <x:c r="GE30" s="1979">
        <x:v>0.22483495264540701</x:v>
      </x:c>
      <x:c r="GF30" s="1980" t="str">
        <x:f t="shared" si="101"/>
        <x:v>J106</x:v>
      </x:c>
      <x:c r="GG30" s="1453"/>
      <x:c r="GH30" s="1454"/>
      <x:c r="GI30" s="1453"/>
      <x:c r="GJ30" s="1454"/>
      <x:c r="GK30" s="533">
        <x:f t="shared" si="102"/>
        <x:v>712.25</x:v>
      </x:c>
      <x:c r="GL30" s="534">
        <x:f t="shared" si="103"/>
        <x:v>712.37500561328136</x:v>
      </x:c>
      <x:c r="GM30" s="535">
        <x:f>IF(ABS(GK30-GL30)&gt;='Job Info.'!$L$22,ABS(GK30-GL30),0)</x:f>
        <x:v>0</x:v>
      </x:c>
      <x:c r="HA30" s="1658" t="s">
        <x:v>1430</x:v>
      </x:c>
      <x:c r="HB30" s="1659">
        <x:v>1</x:v>
      </x:c>
      <x:c r="HC30" s="1659" t="s">
        <x:v>1978</x:v>
      </x:c>
      <x:c r="HD30" s="1660">
        <x:v>59</x:v>
      </x:c>
      <x:c r="HE30" s="1661">
        <x:v>4.25</x:v>
      </x:c>
      <x:c r="HF30" s="1659">
        <x:v>0</x:v>
      </x:c>
      <x:c r="HG30" s="1659">
        <x:v>3.625</x:v>
      </x:c>
      <x:c r="HH30" s="1659" t="s">
        <x:v>114</x:v>
      </x:c>
      <x:c r="HI30" s="1662" t="s">
        <x:v>117</x:v>
      </x:c>
      <x:c r="HJ30" s="1659" t="s">
        <x:v>117</x:v>
      </x:c>
      <x:c r="HK30" s="1659" t="s">
        <x:v>117</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2141</x:v>
      </x:c>
      <x:c r="IB30" s="1661"/>
      <x:c r="IC30" s="1661"/>
      <x:c r="ID30" s="1661"/>
      <x:c r="IE30" s="1661"/>
      <x:c r="IF30" s="1663"/>
    </x:row>
    <x:row r="31" spans="1:240" ht="12.6" customHeight="1" x14ac:dyDescent="0.25">
      <x:c r="A31" s="1264" t="s">
        <x:v>1431</x:v>
      </x:c>
      <x:c r="B31" s="1265">
        <x:v>1</x:v>
      </x:c>
      <x:c r="C31" s="1265" t="s">
        <x:v>1978</x:v>
      </x:c>
      <x:c r="D31" s="1261">
        <x:v>59</x:v>
      </x:c>
      <x:c r="E31" s="1366">
        <x:v>4.25</x:v>
      </x:c>
      <x:c r="F31" s="1328">
        <x:v>0</x:v>
      </x:c>
      <x:c r="G31" s="1262">
        <x:v>3.625</x:v>
      </x:c>
      <x:c r="H31" s="1266" t="s">
        <x:v>114</x:v>
      </x:c>
      <x:c r="I31" s="1261" t="str">
        <x:f t="shared" si="107"/>
        <x:v/>
      </x:c>
      <x:c r="J31" s="1262" t="str">
        <x:f t="shared" si="108"/>
        <x:v/>
      </x:c>
      <x:c r="K31" s="1370" t="str">
        <x:f t="shared" si="109"/>
        <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7"/>
        <x:v/>
      </x:c>
      <x:c r="U31" s="1262" t="str">
        <x:f t="shared" si="8"/>
        <x:v/>
      </x:c>
      <x:c r="V31" s="1261" t="str">
        <x:f t="shared" si="9"/>
        <x:v/>
      </x:c>
      <x:c r="W31" s="1262" t="str">
        <x:f t="shared" si="10"/>
        <x:v/>
      </x:c>
      <x:c r="X31" s="1329">
        <x:f t="shared" si="11"/>
        <x:v>0</x:v>
      </x:c>
      <x:c r="Y31" s="1377" t="str">
        <x:f t="shared" si="12"/>
        <x:v/>
      </x:c>
      <x:c r="Z31" s="1378" t="str">
        <x:f t="shared" si="13"/>
        <x:v/>
      </x:c>
      <x:c r="AA31" s="2159" t="s">
        <x:v>2142</x:v>
      </x:c>
      <x:c r="AC31" s="1226" t="b">
        <x:v>0</x:v>
      </x:c>
      <x:c r="AD31" s="525">
        <x:f t="shared" si="14"/>
        <x:v>0</x:v>
      </x:c>
      <x:c r="AE31" s="526">
        <x:f t="shared" si="15"/>
        <x:v>1</x:v>
      </x:c>
      <x:c r="AF31" s="526">
        <x:f t="shared" si="16"/>
        <x:v>0</x:v>
      </x:c>
      <x:c r="AG31" s="526">
        <x:f t="shared" si="17"/>
        <x:v>0</x:v>
      </x:c>
      <x:c r="AH31" s="527">
        <x:f t="shared" si="18"/>
        <x:v>0</x:v>
      </x:c>
      <x:c r="AI31" s="528" t="b">
        <x:v>0</x:v>
      </x:c>
      <x:c r="AJ31" s="284">
        <x:f t="shared" si="19"/>
        <x:v>36</x:v>
      </x:c>
      <x:c r="AK31" s="1063" t="str">
        <x:f t="shared" si="20"/>
        <x:v>LH</x:v>
      </x:c>
      <x:c r="AL31" s="1202" t="str">
        <x:f t="shared" si="21"/>
        <x:v/>
      </x:c>
      <x:c r="AM31" s="1063">
        <x:f t="shared" si="22"/>
        <x:v>270</x:v>
      </x:c>
      <x:c r="AN31" s="1063">
        <x:f t="shared" si="23"/>
        <x:v>120</x:v>
      </x:c>
      <x:c r="AO31" s="1063" t="str">
        <x:f t="shared" si="24"/>
        <x:v/>
      </x:c>
      <x:c r="AP31" s="1063" t="b">
        <x:f>IF(ISERROR(AJ31),FALSE,IF(OR(AJ31=0,ISERROR(AL31),ISERROR(AM31),ISERROR(AN31),ISERROR(AO31)),FALSE,IF(AL31&lt;&gt;"",IF(ISERROR(VLOOKUP(SUBSTITUTE(SUBSTITUTE(C31,"R",""),"A",""),TblJoistSize!$A:$A,1,FALSE)),FALSE,TRUE),TRUE)))</x:f>
        <x:v>1</x:v>
      </x:c>
      <x:c r="AQ31" s="1305">
        <x:f t="shared" si="25"/>
        <x:v>9.625</x:v>
      </x:c>
      <x:c r="AR31" s="1305" t="b">
        <x:f t="shared" si="26"/>
        <x:v>0</x:v>
      </x:c>
      <x:c r="AS31" s="1305">
        <x:f t="shared" si="27"/>
        <x:v>6</x:v>
      </x:c>
      <x:c r="AT31" s="1305" t="b">
        <x:f t="shared" si="28"/>
        <x:v>0</x:v>
      </x:c>
      <x:c r="AU31" s="1203" t="str">
        <x:f t="shared" si="29"/>
        <x:v>LH</x:v>
      </x:c>
      <x:c r="AV31" s="1063" t="str">
        <x:f t="shared" si="30"/>
        <x:v/>
      </x:c>
      <x:c r="AW31" s="1063" t="str">
        <x:f t="shared" si="31"/>
        <x:v>LH</x:v>
      </x:c>
      <x:c r="AX31" s="1063" t="str">
        <x:f t="shared" si="104"/>
        <x:v>J107</x:v>
      </x:c>
      <x:c r="AY31" s="1306" t="b">
        <x:f t="shared" si="32"/>
        <x:v>0</x:v>
      </x:c>
      <x:c r="AZ31" s="1090" t="b">
        <x:f t="shared" si="33"/>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4"/>
        <x:v/>
      </x:c>
      <x:c r="CE31" s="935" t="str">
        <x:f t="shared" si="35"/>
        <x:v/>
      </x:c>
      <x:c r="CF31" s="1149"/>
      <x:c r="CG31" s="1150"/>
      <x:c r="CH31" s="738" t="str">
        <x:f t="shared" si="36"/>
        <x:v/>
      </x:c>
      <x:c r="CI31" s="739" t="str">
        <x:f t="shared" si="37"/>
        <x:v/>
      </x:c>
      <x:c r="CJ31" s="740" t="str">
        <x:f t="shared" si="38"/>
        <x:v/>
      </x:c>
      <x:c r="CK31" s="741" t="str">
        <x:f t="shared" si="39"/>
        <x:v/>
      </x:c>
      <x:c r="CL31" s="742" t="str">
        <x:f t="shared" si="40"/>
        <x:v/>
      </x:c>
      <x:c r="CM31" s="743" t="str">
        <x:f t="shared" si="41"/>
        <x:v/>
      </x:c>
      <x:c r="CN31" s="744" t="str">
        <x:f t="shared" si="42"/>
        <x:v/>
      </x:c>
      <x:c r="CO31" s="745" t="str">
        <x:f t="shared" si="43"/>
        <x:v/>
      </x:c>
      <x:c r="CP31" s="762" t="str">
        <x:f t="shared" si="44"/>
        <x:v/>
      </x:c>
      <x:c r="CQ31" s="763" t="str">
        <x:f t="shared" si="45"/>
        <x:v/>
      </x:c>
      <x:c r="CR31" s="953">
        <x:f t="shared" si="46"/>
        <x:v>5</x:v>
      </x:c>
      <x:c r="CS31" s="954">
        <x:f t="shared" si="47"/>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8"/>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9"/>
        <x:v>0</x:v>
      </x:c>
      <x:c r="DO31" s="1049">
        <x:f t="shared" si="50"/>
        <x:v>0</x:v>
      </x:c>
      <x:c r="DP31" s="1053" t="str">
        <x:f t="shared" si="51"/>
        <x:v/>
      </x:c>
      <x:c r="DQ31" s="1053" t="str">
        <x:f t="shared" si="52"/>
        <x:v/>
      </x:c>
      <x:c r="DR31" s="1053" t="str">
        <x:f t="shared" si="53"/>
        <x:v/>
      </x:c>
      <x:c r="DS31" s="1052">
        <x:f t="shared" si="54"/>
        <x:v>0</x:v>
      </x:c>
      <x:c r="DT31" s="1052">
        <x:f t="shared" si="55"/>
        <x:v>0</x:v>
      </x:c>
      <x:c r="DU31" s="1052" t="str">
        <x:f t="shared" si="56"/>
        <x:v/>
      </x:c>
      <x:c r="DV31" s="1053" t="str">
        <x:f t="shared" si="57"/>
        <x:v/>
      </x:c>
      <x:c r="DW31" s="1053" t="str">
        <x:f t="shared" si="58"/>
        <x:v/>
      </x:c>
      <x:c r="DX31" s="1269">
        <x:f t="shared" si="59"/>
        <x:v>0</x:v>
      </x:c>
      <x:c r="DY31" s="1053">
        <x:f t="shared" si="60"/>
        <x:v>0</x:v>
      </x:c>
      <x:c r="DZ31" s="1052">
        <x:f t="shared" si="61"/>
        <x:v>0</x:v>
      </x:c>
      <x:c r="EA31" s="1052" t="str">
        <x:f t="shared" si="62"/>
        <x:v/>
      </x:c>
      <x:c r="EB31" s="1053" t="str">
        <x:f t="shared" si="63"/>
        <x:v/>
      </x:c>
      <x:c r="EC31" s="1053" t="str">
        <x:f t="shared" si="64"/>
        <x:v/>
      </x:c>
      <x:c r="ED31" s="1269">
        <x:f t="shared" si="65"/>
        <x:v>0</x:v>
      </x:c>
      <x:c r="EE31" s="1090" t="str">
        <x:f t="shared" si="66"/>
        <x:v/>
      </x:c>
      <x:c r="EF31" s="1053" t="str">
        <x:f t="shared" si="67"/>
        <x:v/>
      </x:c>
      <x:c r="EG31" s="1053" t="str">
        <x:f t="shared" si="68"/>
        <x:v/>
      </x:c>
      <x:c r="EH31" s="1053" t="str">
        <x:f t="shared" si="69"/>
        <x:v>ERR</x:v>
      </x:c>
      <x:c r="EI31" s="1053" t="str">
        <x:f t="shared" si="70"/>
        <x:v>ERR</x:v>
      </x:c>
      <x:c r="EJ31" s="1053" t="str">
        <x:f t="shared" si="71"/>
        <x:v/>
      </x:c>
      <x:c r="EK31" s="1053" t="str">
        <x:f t="shared" si="71"/>
        <x:v/>
      </x:c>
      <x:c r="EL31" s="1090" t="str">
        <x:f t="shared" si="72"/>
        <x:v/>
      </x:c>
      <x:c r="EM31" s="1053" t="str">
        <x:f t="shared" si="73"/>
        <x:v/>
      </x:c>
      <x:c r="EN31" s="1053" t="str">
        <x:f t="shared" si="74"/>
        <x:v/>
      </x:c>
      <x:c r="EO31" s="1053" t="str">
        <x:f t="shared" si="75"/>
        <x:v>ERR</x:v>
      </x:c>
      <x:c r="EP31" s="1053" t="str">
        <x:f t="shared" si="76"/>
        <x:v>ERR</x:v>
      </x:c>
      <x:c r="EQ31" s="1053" t="str">
        <x:f t="shared" si="77"/>
        <x:v/>
      </x:c>
      <x:c r="ER31" s="1053" t="str">
        <x:f t="shared" si="77"/>
        <x:v/>
      </x:c>
      <x:c r="ES31" s="1053" t="str">
        <x:f t="shared" si="78"/>
        <x:v/>
      </x:c>
      <x:c r="ET31" s="1053" t="str">
        <x:f t="shared" si="79"/>
        <x:v/>
      </x:c>
      <x:c r="EU31" s="1061">
        <x:f t="shared" si="80"/>
        <x:v>4</x:v>
      </x:c>
      <x:c r="EV31" s="1055" t="str">
        <x:f t="shared" si="81"/>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2"/>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3"/>
        <x:v/>
      </x:c>
      <x:c r="FD31" s="1052">
        <x:f t="shared" si="105"/>
        <x:v>0</x:v>
      </x:c>
      <x:c r="FE31" s="1052">
        <x:f t="shared" si="84"/>
        <x:v>0</x:v>
      </x:c>
      <x:c r="FF31" s="1052">
        <x:f t="shared" si="85"/>
        <x:v>0</x:v>
      </x:c>
      <x:c r="FG31" s="1052" t="str">
        <x:f t="shared" si="86"/>
        <x:v/>
      </x:c>
      <x:c r="FH31" s="1053" t="str">
        <x:f t="shared" si="87"/>
        <x:v/>
      </x:c>
      <x:c r="FI31" s="1052">
        <x:f t="shared" si="106"/>
        <x:v>0</x:v>
      </x:c>
      <x:c r="FJ31" s="1052">
        <x:f t="shared" si="88"/>
        <x:v>0</x:v>
      </x:c>
      <x:c r="FK31" s="1052">
        <x:f t="shared" si="89"/>
        <x:v>0</x:v>
      </x:c>
      <x:c r="FL31" s="1052" t="str">
        <x:f t="shared" si="90"/>
        <x:v/>
      </x:c>
      <x:c r="FM31" s="1053" t="str">
        <x:f t="shared" si="91"/>
        <x:v/>
      </x:c>
      <x:c r="FN31" s="1053" t="e">
        <x:f t="shared" si="92"/>
        <x:v>#VALUE!</x:v>
      </x:c>
      <x:c r="FO31" s="1062" t="e">
        <x:f t="shared" si="93"/>
        <x:v>#VALUE!</x:v>
      </x:c>
      <x:c r="FP31" s="1062" t="e">
        <x:f t="shared" si="94"/>
        <x:v>#VALUE!</x:v>
      </x:c>
      <x:c r="FQ31" s="1063" t="e">
        <x:f t="shared" si="95"/>
        <x:v>#VALUE!</x:v>
      </x:c>
      <x:c r="FR31" s="1064" t="e">
        <x:f t="shared" si="96"/>
        <x:v>#VALUE!</x:v>
      </x:c>
      <x:c r="FS31" s="1065" t="str">
        <x:f t="shared" si="97"/>
        <x:v/>
      </x:c>
      <x:c r="FT31" s="1066" t="str">
        <x:f t="shared" si="98"/>
        <x:v/>
      </x:c>
      <x:c r="FU31" s="1105">
        <x:f t="shared" si="99"/>
        <x:v>0</x:v>
      </x:c>
      <x:c r="FV31" s="1106">
        <x:f t="shared" si="100"/>
        <x:v>0</x:v>
      </x:c>
      <x:c r="GA31" s="1975">
        <x:v>59</x:v>
      </x:c>
      <x:c r="GB31" s="1976">
        <x:v>2.75</x:v>
      </x:c>
      <x:c r="GC31" s="1977">
        <x:v>2</x:v>
      </x:c>
      <x:c r="GD31" s="1978">
        <x:v>-0.5</x:v>
      </x:c>
      <x:c r="GE31" s="1979">
        <x:v>0.222457843899421</x:v>
      </x:c>
      <x:c r="GF31" s="1980" t="str">
        <x:f t="shared" si="101"/>
        <x:v>J107</x:v>
      </x:c>
      <x:c r="GG31" s="1453"/>
      <x:c r="GH31" s="1454"/>
      <x:c r="GI31" s="1453"/>
      <x:c r="GJ31" s="1454"/>
      <x:c r="GK31" s="533">
        <x:f t="shared" si="102"/>
        <x:v>712.25</x:v>
      </x:c>
      <x:c r="GL31" s="534">
        <x:f t="shared" si="103"/>
        <x:v>712.37237652293743</x:v>
      </x:c>
      <x:c r="GM31" s="535">
        <x:f>IF(ABS(GK31-GL31)&gt;='Job Info.'!$L$22,ABS(GK31-GL31),0)</x:f>
        <x:v>0</x:v>
      </x:c>
      <x:c r="HA31" s="1658" t="s">
        <x:v>1431</x:v>
      </x:c>
      <x:c r="HB31" s="1659">
        <x:v>1</x:v>
      </x:c>
      <x:c r="HC31" s="1659" t="s">
        <x:v>1978</x:v>
      </x:c>
      <x:c r="HD31" s="1660">
        <x:v>59</x:v>
      </x:c>
      <x:c r="HE31" s="1661">
        <x:v>4.25</x:v>
      </x:c>
      <x:c r="HF31" s="1659">
        <x:v>0</x:v>
      </x:c>
      <x:c r="HG31" s="1659">
        <x:v>3.625</x:v>
      </x:c>
      <x:c r="HH31" s="1659" t="s">
        <x:v>114</x:v>
      </x:c>
      <x:c r="HI31" s="1662" t="s">
        <x:v>117</x:v>
      </x:c>
      <x:c r="HJ31" s="1659" t="s">
        <x:v>117</x:v>
      </x:c>
      <x:c r="HK31" s="1659" t="s">
        <x:v>117</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2142</x:v>
      </x:c>
      <x:c r="IB31" s="1661"/>
      <x:c r="IC31" s="1661"/>
      <x:c r="ID31" s="1661"/>
      <x:c r="IE31" s="1661"/>
      <x:c r="IF31" s="1663"/>
    </x:row>
    <x:row r="32" spans="1:240" ht="12.6" customHeight="1" x14ac:dyDescent="0.25">
      <x:c r="A32" s="1264" t="s">
        <x:v>1432</x:v>
      </x:c>
      <x:c r="B32" s="1265">
        <x:v>15</x:v>
      </x:c>
      <x:c r="C32" s="1265" t="s">
        <x:v>1978</x:v>
      </x:c>
      <x:c r="D32" s="1261">
        <x:v>59</x:v>
      </x:c>
      <x:c r="E32" s="1366">
        <x:v>4.25</x:v>
      </x:c>
      <x:c r="F32" s="1328">
        <x:v>0</x:v>
      </x:c>
      <x:c r="G32" s="1262">
        <x:v>3.625</x:v>
      </x:c>
      <x:c r="H32" s="1266" t="s">
        <x:v>114</x:v>
      </x:c>
      <x:c r="I32" s="1261" t="str">
        <x:f t="shared" si="107"/>
        <x:v/>
      </x:c>
      <x:c r="J32" s="1262" t="str">
        <x:f t="shared" si="108"/>
        <x:v/>
      </x:c>
      <x:c r="K32" s="1370" t="str">
        <x:f t="shared" si="109"/>
        <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t="str">
        <x:f t="shared" si="7"/>
        <x:v/>
      </x:c>
      <x:c r="U32" s="1262" t="str">
        <x:f t="shared" si="8"/>
        <x:v/>
      </x:c>
      <x:c r="V32" s="1261" t="str">
        <x:f t="shared" si="9"/>
        <x:v/>
      </x:c>
      <x:c r="W32" s="1262" t="str">
        <x:f t="shared" si="10"/>
        <x:v/>
      </x:c>
      <x:c r="X32" s="1329">
        <x:f t="shared" si="11"/>
        <x:v>0</x:v>
      </x:c>
      <x:c r="Y32" s="1377" t="str">
        <x:f t="shared" si="12"/>
        <x:v/>
      </x:c>
      <x:c r="Z32" s="1378" t="str">
        <x:f t="shared" si="13"/>
        <x:v/>
      </x:c>
      <x:c r="AA32" s="2159" t="s">
        <x:v>2143</x:v>
      </x:c>
      <x:c r="AC32" s="1226" t="b">
        <x:v>0</x:v>
      </x:c>
      <x:c r="AD32" s="525">
        <x:f t="shared" si="14"/>
        <x:v>0</x:v>
      </x:c>
      <x:c r="AE32" s="526">
        <x:f t="shared" si="15"/>
        <x:v>15</x:v>
      </x:c>
      <x:c r="AF32" s="526">
        <x:f t="shared" si="16"/>
        <x:v>0</x:v>
      </x:c>
      <x:c r="AG32" s="526">
        <x:f t="shared" si="17"/>
        <x:v>0</x:v>
      </x:c>
      <x:c r="AH32" s="527">
        <x:f t="shared" si="18"/>
        <x:v>0</x:v>
      </x:c>
      <x:c r="AI32" s="528" t="b">
        <x:v>0</x:v>
      </x:c>
      <x:c r="AJ32" s="284">
        <x:f t="shared" si="19"/>
        <x:v>36</x:v>
      </x:c>
      <x:c r="AK32" s="1063" t="str">
        <x:f t="shared" si="20"/>
        <x:v>LH</x:v>
      </x:c>
      <x:c r="AL32" s="1202" t="str">
        <x:f t="shared" si="21"/>
        <x:v/>
      </x:c>
      <x:c r="AM32" s="1063">
        <x:f t="shared" si="22"/>
        <x:v>270</x:v>
      </x:c>
      <x:c r="AN32" s="1063">
        <x:f t="shared" si="23"/>
        <x:v>120</x:v>
      </x:c>
      <x:c r="AO32" s="1063" t="str">
        <x:f t="shared" si="24"/>
        <x:v/>
      </x:c>
      <x:c r="AP32" s="1063" t="b">
        <x:f>IF(ISERROR(AJ32),FALSE,IF(OR(AJ32=0,ISERROR(AL32),ISERROR(AM32),ISERROR(AN32),ISERROR(AO32)),FALSE,IF(AL32&lt;&gt;"",IF(ISERROR(VLOOKUP(SUBSTITUTE(SUBSTITUTE(C32,"R",""),"A",""),TblJoistSize!$A:$A,1,FALSE)),FALSE,TRUE),TRUE)))</x:f>
        <x:v>1</x:v>
      </x:c>
      <x:c r="AQ32" s="1305">
        <x:f t="shared" si="25"/>
        <x:v>9.625</x:v>
      </x:c>
      <x:c r="AR32" s="1305" t="b">
        <x:f t="shared" si="26"/>
        <x:v>0</x:v>
      </x:c>
      <x:c r="AS32" s="1305">
        <x:f t="shared" si="27"/>
        <x:v>6</x:v>
      </x:c>
      <x:c r="AT32" s="1305" t="b">
        <x:f t="shared" si="28"/>
        <x:v>0</x:v>
      </x:c>
      <x:c r="AU32" s="1203" t="str">
        <x:f t="shared" si="29"/>
        <x:v>LH</x:v>
      </x:c>
      <x:c r="AV32" s="1063" t="str">
        <x:f t="shared" si="30"/>
        <x:v/>
      </x:c>
      <x:c r="AW32" s="1063" t="str">
        <x:f t="shared" si="31"/>
        <x:v>LH</x:v>
      </x:c>
      <x:c r="AX32" s="1063" t="str">
        <x:f t="shared" si="104"/>
        <x:v>J108</x:v>
      </x:c>
      <x:c r="AY32" s="1306" t="b">
        <x:f t="shared" si="32"/>
        <x:v>0</x:v>
      </x:c>
      <x:c r="AZ32" s="1090" t="b">
        <x:f t="shared" si="33"/>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4"/>
        <x:v/>
      </x:c>
      <x:c r="CE32" s="935" t="str">
        <x:f t="shared" si="35"/>
        <x:v/>
      </x:c>
      <x:c r="CF32" s="1149"/>
      <x:c r="CG32" s="1150"/>
      <x:c r="CH32" s="738" t="str">
        <x:f t="shared" si="36"/>
        <x:v/>
      </x:c>
      <x:c r="CI32" s="739" t="str">
        <x:f t="shared" si="37"/>
        <x:v/>
      </x:c>
      <x:c r="CJ32" s="740" t="str">
        <x:f t="shared" si="38"/>
        <x:v/>
      </x:c>
      <x:c r="CK32" s="741" t="str">
        <x:f t="shared" si="39"/>
        <x:v/>
      </x:c>
      <x:c r="CL32" s="742" t="str">
        <x:f t="shared" si="40"/>
        <x:v/>
      </x:c>
      <x:c r="CM32" s="743" t="str">
        <x:f t="shared" si="41"/>
        <x:v/>
      </x:c>
      <x:c r="CN32" s="744" t="str">
        <x:f t="shared" si="42"/>
        <x:v/>
      </x:c>
      <x:c r="CO32" s="745" t="str">
        <x:f t="shared" si="43"/>
        <x:v/>
      </x:c>
      <x:c r="CP32" s="762" t="str">
        <x:f t="shared" si="44"/>
        <x:v/>
      </x:c>
      <x:c r="CQ32" s="763" t="str">
        <x:f t="shared" si="45"/>
        <x:v/>
      </x:c>
      <x:c r="CR32" s="953">
        <x:f t="shared" si="46"/>
        <x:v>5</x:v>
      </x:c>
      <x:c r="CS32" s="954">
        <x:f t="shared" si="47"/>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8"/>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9"/>
        <x:v>0</x:v>
      </x:c>
      <x:c r="DO32" s="1049">
        <x:f t="shared" si="50"/>
        <x:v>0</x:v>
      </x:c>
      <x:c r="DP32" s="1053" t="str">
        <x:f t="shared" si="51"/>
        <x:v/>
      </x:c>
      <x:c r="DQ32" s="1053" t="str">
        <x:f t="shared" si="52"/>
        <x:v/>
      </x:c>
      <x:c r="DR32" s="1053" t="str">
        <x:f t="shared" si="53"/>
        <x:v/>
      </x:c>
      <x:c r="DS32" s="1052">
        <x:f t="shared" si="54"/>
        <x:v>0</x:v>
      </x:c>
      <x:c r="DT32" s="1052">
        <x:f t="shared" si="55"/>
        <x:v>0</x:v>
      </x:c>
      <x:c r="DU32" s="1052" t="str">
        <x:f t="shared" si="56"/>
        <x:v/>
      </x:c>
      <x:c r="DV32" s="1053" t="str">
        <x:f t="shared" si="57"/>
        <x:v/>
      </x:c>
      <x:c r="DW32" s="1053" t="str">
        <x:f t="shared" si="58"/>
        <x:v/>
      </x:c>
      <x:c r="DX32" s="1269">
        <x:f t="shared" si="59"/>
        <x:v>0</x:v>
      </x:c>
      <x:c r="DY32" s="1053">
        <x:f t="shared" si="60"/>
        <x:v>0</x:v>
      </x:c>
      <x:c r="DZ32" s="1052">
        <x:f t="shared" si="61"/>
        <x:v>0</x:v>
      </x:c>
      <x:c r="EA32" s="1052" t="str">
        <x:f t="shared" si="62"/>
        <x:v/>
      </x:c>
      <x:c r="EB32" s="1053" t="str">
        <x:f t="shared" si="63"/>
        <x:v/>
      </x:c>
      <x:c r="EC32" s="1053" t="str">
        <x:f t="shared" si="64"/>
        <x:v/>
      </x:c>
      <x:c r="ED32" s="1269">
        <x:f t="shared" si="65"/>
        <x:v>0</x:v>
      </x:c>
      <x:c r="EE32" s="1090" t="str">
        <x:f t="shared" si="66"/>
        <x:v/>
      </x:c>
      <x:c r="EF32" s="1053" t="str">
        <x:f t="shared" si="67"/>
        <x:v/>
      </x:c>
      <x:c r="EG32" s="1053" t="str">
        <x:f t="shared" si="68"/>
        <x:v/>
      </x:c>
      <x:c r="EH32" s="1053" t="str">
        <x:f t="shared" si="69"/>
        <x:v>ERR</x:v>
      </x:c>
      <x:c r="EI32" s="1053" t="str">
        <x:f t="shared" si="70"/>
        <x:v>ERR</x:v>
      </x:c>
      <x:c r="EJ32" s="1053" t="str">
        <x:f t="shared" si="71"/>
        <x:v/>
      </x:c>
      <x:c r="EK32" s="1053" t="str">
        <x:f t="shared" si="71"/>
        <x:v/>
      </x:c>
      <x:c r="EL32" s="1090" t="str">
        <x:f t="shared" si="72"/>
        <x:v/>
      </x:c>
      <x:c r="EM32" s="1053" t="str">
        <x:f t="shared" si="73"/>
        <x:v/>
      </x:c>
      <x:c r="EN32" s="1053" t="str">
        <x:f t="shared" si="74"/>
        <x:v/>
      </x:c>
      <x:c r="EO32" s="1053" t="str">
        <x:f t="shared" si="75"/>
        <x:v>ERR</x:v>
      </x:c>
      <x:c r="EP32" s="1053" t="str">
        <x:f t="shared" si="76"/>
        <x:v>ERR</x:v>
      </x:c>
      <x:c r="EQ32" s="1053" t="str">
        <x:f t="shared" si="77"/>
        <x:v/>
      </x:c>
      <x:c r="ER32" s="1053" t="str">
        <x:f t="shared" si="77"/>
        <x:v/>
      </x:c>
      <x:c r="ES32" s="1053" t="str">
        <x:f t="shared" si="78"/>
        <x:v/>
      </x:c>
      <x:c r="ET32" s="1053" t="str">
        <x:f t="shared" si="79"/>
        <x:v/>
      </x:c>
      <x:c r="EU32" s="1061">
        <x:f t="shared" si="80"/>
        <x:v>4</x:v>
      </x:c>
      <x:c r="EV32" s="1055" t="str">
        <x:f t="shared" si="81"/>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2"/>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3"/>
        <x:v/>
      </x:c>
      <x:c r="FD32" s="1052">
        <x:f t="shared" si="105"/>
        <x:v>0</x:v>
      </x:c>
      <x:c r="FE32" s="1052">
        <x:f t="shared" si="84"/>
        <x:v>0</x:v>
      </x:c>
      <x:c r="FF32" s="1052">
        <x:f t="shared" si="85"/>
        <x:v>0</x:v>
      </x:c>
      <x:c r="FG32" s="1052" t="str">
        <x:f t="shared" si="86"/>
        <x:v/>
      </x:c>
      <x:c r="FH32" s="1053" t="str">
        <x:f t="shared" si="87"/>
        <x:v/>
      </x:c>
      <x:c r="FI32" s="1052">
        <x:f t="shared" si="106"/>
        <x:v>0</x:v>
      </x:c>
      <x:c r="FJ32" s="1052">
        <x:f t="shared" si="88"/>
        <x:v>0</x:v>
      </x:c>
      <x:c r="FK32" s="1052">
        <x:f t="shared" si="89"/>
        <x:v>0</x:v>
      </x:c>
      <x:c r="FL32" s="1052" t="str">
        <x:f t="shared" si="90"/>
        <x:v/>
      </x:c>
      <x:c r="FM32" s="1053" t="str">
        <x:f t="shared" si="91"/>
        <x:v/>
      </x:c>
      <x:c r="FN32" s="1053" t="e">
        <x:f t="shared" si="92"/>
        <x:v>#VALUE!</x:v>
      </x:c>
      <x:c r="FO32" s="1062" t="e">
        <x:f t="shared" si="93"/>
        <x:v>#VALUE!</x:v>
      </x:c>
      <x:c r="FP32" s="1062" t="e">
        <x:f t="shared" si="94"/>
        <x:v>#VALUE!</x:v>
      </x:c>
      <x:c r="FQ32" s="1063" t="e">
        <x:f t="shared" si="95"/>
        <x:v>#VALUE!</x:v>
      </x:c>
      <x:c r="FR32" s="1064" t="e">
        <x:f t="shared" si="96"/>
        <x:v>#VALUE!</x:v>
      </x:c>
      <x:c r="FS32" s="1065" t="str">
        <x:f t="shared" si="97"/>
        <x:v/>
      </x:c>
      <x:c r="FT32" s="1066" t="str">
        <x:f t="shared" si="98"/>
        <x:v/>
      </x:c>
      <x:c r="FU32" s="1105">
        <x:f t="shared" si="99"/>
        <x:v>0</x:v>
      </x:c>
      <x:c r="FV32" s="1106">
        <x:f t="shared" si="100"/>
        <x:v>0</x:v>
      </x:c>
      <x:c r="GA32" s="1975">
        <x:v>59</x:v>
      </x:c>
      <x:c r="GB32" s="1976">
        <x:v>2.75</x:v>
      </x:c>
      <x:c r="GC32" s="1977">
        <x:v>2</x:v>
      </x:c>
      <x:c r="GD32" s="1978">
        <x:v>-0.5</x:v>
      </x:c>
      <x:c r="GE32" s="1979">
        <x:v>0.11004036757671649</x:v>
      </x:c>
      <x:c r="GF32" s="1980" t="str">
        <x:f t="shared" si="101"/>
        <x:v>J108</x:v>
      </x:c>
      <x:c r="GG32" s="1453"/>
      <x:c r="GH32" s="1454"/>
      <x:c r="GI32" s="1453"/>
      <x:c r="GJ32" s="1454"/>
      <x:c r="GK32" s="533">
        <x:f t="shared" si="102"/>
        <x:v>712.25</x:v>
      </x:c>
      <x:c r="GL32" s="534">
        <x:f t="shared" si="103"/>
        <x:v>712.27994573005981</x:v>
      </x:c>
      <x:c r="GM32" s="535">
        <x:f>IF(ABS(GK32-GL32)&gt;='Job Info.'!$L$22,ABS(GK32-GL32),0)</x:f>
        <x:v>0</x:v>
      </x:c>
      <x:c r="HA32" s="1658" t="s">
        <x:v>1432</x:v>
      </x:c>
      <x:c r="HB32" s="1659">
        <x:v>15</x:v>
      </x:c>
      <x:c r="HC32" s="1659" t="s">
        <x:v>1978</x:v>
      </x:c>
      <x:c r="HD32" s="1660">
        <x:v>59</x:v>
      </x:c>
      <x:c r="HE32" s="1661">
        <x:v>4.25</x:v>
      </x:c>
      <x:c r="HF32" s="1659">
        <x:v>0</x:v>
      </x:c>
      <x:c r="HG32" s="1659">
        <x:v>3.625</x:v>
      </x:c>
      <x:c r="HH32" s="1659" t="s">
        <x:v>114</x:v>
      </x:c>
      <x:c r="HI32" s="1662" t="s">
        <x:v>117</x:v>
      </x:c>
      <x:c r="HJ32" s="1659" t="s">
        <x:v>117</x:v>
      </x:c>
      <x:c r="HK32" s="1659" t="s">
        <x:v>117</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2143</x:v>
      </x:c>
      <x:c r="IB32" s="1661"/>
      <x:c r="IC32" s="1661"/>
      <x:c r="ID32" s="1661"/>
      <x:c r="IE32" s="1661"/>
      <x:c r="IF32" s="1663"/>
    </x:row>
    <x:row r="33" spans="1:240" ht="12.6" customHeight="1" x14ac:dyDescent="0.25">
      <x:c r="A33" s="1264" t="s">
        <x:v>1433</x:v>
      </x:c>
      <x:c r="B33" s="1265">
        <x:v>3</x:v>
      </x:c>
      <x:c r="C33" s="1265" t="s">
        <x:v>1978</x:v>
      </x:c>
      <x:c r="D33" s="1261">
        <x:v>59</x:v>
      </x:c>
      <x:c r="E33" s="1366">
        <x:v>5.25</x:v>
      </x:c>
      <x:c r="F33" s="1328">
        <x:v>0</x:v>
      </x:c>
      <x:c r="G33" s="1262">
        <x:v>4.625</x:v>
      </x:c>
      <x:c r="H33" s="1266" t="s">
        <x:v>114</x:v>
      </x:c>
      <x:c r="I33" s="1261" t="str">
        <x:f t="shared" si="107"/>
        <x:v/>
      </x:c>
      <x:c r="J33" s="1262" t="str">
        <x:f t="shared" si="108"/>
        <x:v/>
      </x:c>
      <x:c r="K33" s="1370" t="str">
        <x:f t="shared" si="109"/>
        <x:v/>
      </x:c>
      <x:c r="L33" s="1327">
        <x:v>3</x:v>
      </x:c>
      <x:c r="M33" s="1329">
        <x:v>3</x:v>
      </x:c>
      <x:c r="N33" s="1263">
        <x:v>0</x:v>
      </x:c>
      <x:c r="O33" s="1262">
        <x:v>10</x:v>
      </x:c>
      <x:c r="P33" s="1260">
        <x:v>2</x:v>
      </x:c>
      <x:c r="Q33" s="1261" t="str">
        <x:f t="shared" si="4"/>
        <x:v/>
      </x:c>
      <x:c r="R33" s="1262" t="str">
        <x:f t="shared" si="5"/>
        <x:v/>
      </x:c>
      <x:c r="S33" s="1375" t="str">
        <x:f t="shared" si="6"/>
        <x:v/>
      </x:c>
      <x:c r="T33" s="1328">
        <x:v>0</x:v>
      </x:c>
      <x:c r="U33" s="1262">
        <x:v>5.5</x:v>
      </x:c>
      <x:c r="V33" s="1261">
        <x:v>0</x:v>
      </x:c>
      <x:c r="W33" s="1262">
        <x:v>2</x:v>
      </x:c>
      <x:c r="X33" s="1329">
        <x:v>4</x:v>
      </x:c>
      <x:c r="Y33" s="1377" t="str">
        <x:f t="shared" si="12"/>
        <x:v/>
      </x:c>
      <x:c r="Z33" s="1378" t="str">
        <x:f t="shared" si="13"/>
        <x:v/>
      </x:c>
      <x:c r="AA33" s="2159" t="s">
        <x:v>2144</x:v>
      </x:c>
      <x:c r="AC33" s="1226" t="b">
        <x:v>0</x:v>
      </x:c>
      <x:c r="AD33" s="525">
        <x:f t="shared" si="14"/>
        <x:v>0</x:v>
      </x:c>
      <x:c r="AE33" s="526">
        <x:f t="shared" si="15"/>
        <x:v>3</x:v>
      </x:c>
      <x:c r="AF33" s="526">
        <x:f t="shared" si="16"/>
        <x:v>0</x:v>
      </x:c>
      <x:c r="AG33" s="526">
        <x:f t="shared" si="17"/>
        <x:v>0</x:v>
      </x:c>
      <x:c r="AH33" s="527">
        <x:f t="shared" si="18"/>
        <x:v>0</x:v>
      </x:c>
      <x:c r="AI33" s="528" t="b">
        <x:v>0</x:v>
      </x:c>
      <x:c r="AJ33" s="284">
        <x:f t="shared" si="19"/>
        <x:v>36</x:v>
      </x:c>
      <x:c r="AK33" s="1063" t="str">
        <x:f t="shared" si="20"/>
        <x:v>LH</x:v>
      </x:c>
      <x:c r="AL33" s="1202" t="str">
        <x:f t="shared" si="21"/>
        <x:v/>
      </x:c>
      <x:c r="AM33" s="1063">
        <x:f t="shared" si="22"/>
        <x:v>270</x:v>
      </x:c>
      <x:c r="AN33" s="1063">
        <x:f t="shared" si="23"/>
        <x:v>120</x:v>
      </x:c>
      <x:c r="AO33" s="1063" t="str">
        <x:f t="shared" si="24"/>
        <x:v/>
      </x:c>
      <x:c r="AP33" s="1063" t="b">
        <x:f>IF(ISERROR(AJ33),FALSE,IF(OR(AJ33=0,ISERROR(AL33),ISERROR(AM33),ISERROR(AN33),ISERROR(AO33)),FALSE,IF(AL33&lt;&gt;"",IF(ISERROR(VLOOKUP(SUBSTITUTE(SUBSTITUTE(C33,"R",""),"A",""),TblJoistSize!$A:$A,1,FALSE)),FALSE,TRUE),TRUE)))</x:f>
        <x:v>1</x:v>
      </x:c>
      <x:c r="AQ33" s="1305">
        <x:f t="shared" si="25"/>
        <x:v>10.625</x:v>
      </x:c>
      <x:c r="AR33" s="1305" t="b">
        <x:f t="shared" si="26"/>
        <x:v>1</x:v>
      </x:c>
      <x:c r="AS33" s="1305">
        <x:f t="shared" si="27"/>
        <x:v>6</x:v>
      </x:c>
      <x:c r="AT33" s="1305" t="b">
        <x:f t="shared" si="28"/>
        <x:v>1</x:v>
      </x:c>
      <x:c r="AU33" s="1203" t="str">
        <x:f t="shared" si="29"/>
        <x:v>LH</x:v>
      </x:c>
      <x:c r="AV33" s="1063" t="str">
        <x:f t="shared" si="30"/>
        <x:v/>
      </x:c>
      <x:c r="AW33" s="1063" t="str">
        <x:f t="shared" si="31"/>
        <x:v>LH</x:v>
      </x:c>
      <x:c r="AX33" s="1063" t="str">
        <x:f t="shared" si="104"/>
        <x:v>TJ109</x:v>
      </x:c>
      <x:c r="AY33" s="1306" t="b">
        <x:f t="shared" si="32"/>
        <x:v>0</x:v>
      </x:c>
      <x:c r="AZ33" s="1090" t="b">
        <x:f t="shared" si="33"/>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4"/>
        <x:v/>
      </x:c>
      <x:c r="CE33" s="935" t="str">
        <x:f t="shared" si="35"/>
        <x:v/>
      </x:c>
      <x:c r="CF33" s="1149"/>
      <x:c r="CG33" s="1150"/>
      <x:c r="CH33" s="738" t="str">
        <x:f t="shared" si="36"/>
        <x:v/>
      </x:c>
      <x:c r="CI33" s="739" t="str">
        <x:f t="shared" si="37"/>
        <x:v/>
      </x:c>
      <x:c r="CJ33" s="740" t="str">
        <x:f t="shared" si="38"/>
        <x:v/>
      </x:c>
      <x:c r="CK33" s="741" t="str">
        <x:f t="shared" si="39"/>
        <x:v/>
      </x:c>
      <x:c r="CL33" s="742" t="str">
        <x:f t="shared" si="40"/>
        <x:v/>
      </x:c>
      <x:c r="CM33" s="743" t="str">
        <x:f t="shared" si="41"/>
        <x:v/>
      </x:c>
      <x:c r="CN33" s="744" t="str">
        <x:f t="shared" si="42"/>
        <x:v/>
      </x:c>
      <x:c r="CO33" s="745" t="str">
        <x:f t="shared" si="43"/>
        <x:v/>
      </x:c>
      <x:c r="CP33" s="762" t="str">
        <x:f t="shared" si="44"/>
        <x:v/>
      </x:c>
      <x:c r="CQ33" s="763" t="str">
        <x:f t="shared" si="45"/>
        <x:v/>
      </x:c>
      <x:c r="CR33" s="953">
        <x:f t="shared" si="46"/>
        <x:v>5</x:v>
      </x:c>
      <x:c r="CS33" s="954">
        <x:f t="shared" si="47"/>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8"/>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9"/>
        <x:v>0</x:v>
      </x:c>
      <x:c r="DO33" s="1049">
        <x:f t="shared" si="50"/>
        <x:v>0</x:v>
      </x:c>
      <x:c r="DP33" s="1053" t="str">
        <x:f t="shared" si="51"/>
        <x:v/>
      </x:c>
      <x:c r="DQ33" s="1053" t="str">
        <x:f t="shared" si="52"/>
        <x:v/>
      </x:c>
      <x:c r="DR33" s="1053" t="str">
        <x:f t="shared" si="53"/>
        <x:v/>
      </x:c>
      <x:c r="DS33" s="1052">
        <x:f t="shared" si="54"/>
        <x:v>0</x:v>
      </x:c>
      <x:c r="DT33" s="1052">
        <x:f t="shared" si="55"/>
        <x:v>0</x:v>
      </x:c>
      <x:c r="DU33" s="1052" t="str">
        <x:f t="shared" si="56"/>
        <x:v/>
      </x:c>
      <x:c r="DV33" s="1053" t="str">
        <x:f t="shared" si="57"/>
        <x:v/>
      </x:c>
      <x:c r="DW33" s="1053" t="str">
        <x:f t="shared" si="58"/>
        <x:v/>
      </x:c>
      <x:c r="DX33" s="1269">
        <x:f t="shared" si="59"/>
        <x:v>0</x:v>
      </x:c>
      <x:c r="DY33" s="1053">
        <x:f t="shared" si="60"/>
        <x:v>0</x:v>
      </x:c>
      <x:c r="DZ33" s="1052">
        <x:f t="shared" si="61"/>
        <x:v>0</x:v>
      </x:c>
      <x:c r="EA33" s="1052" t="str">
        <x:f t="shared" si="62"/>
        <x:v/>
      </x:c>
      <x:c r="EB33" s="1053" t="str">
        <x:f t="shared" si="63"/>
        <x:v/>
      </x:c>
      <x:c r="EC33" s="1053" t="str">
        <x:f t="shared" si="64"/>
        <x:v/>
      </x:c>
      <x:c r="ED33" s="1269">
        <x:f t="shared" si="65"/>
        <x:v>0</x:v>
      </x:c>
      <x:c r="EE33" s="1090" t="str">
        <x:f t="shared" si="66"/>
        <x:v/>
      </x:c>
      <x:c r="EF33" s="1053" t="str">
        <x:f t="shared" si="67"/>
        <x:v/>
      </x:c>
      <x:c r="EG33" s="1053" t="str">
        <x:f t="shared" si="68"/>
        <x:v/>
      </x:c>
      <x:c r="EH33" s="1053" t="str">
        <x:f t="shared" si="69"/>
        <x:v>ERR</x:v>
      </x:c>
      <x:c r="EI33" s="1053" t="str">
        <x:f t="shared" si="70"/>
        <x:v>ERR</x:v>
      </x:c>
      <x:c r="EJ33" s="1053" t="str">
        <x:f t="shared" si="71"/>
        <x:v/>
      </x:c>
      <x:c r="EK33" s="1053" t="str">
        <x:f t="shared" si="71"/>
        <x:v/>
      </x:c>
      <x:c r="EL33" s="1090" t="str">
        <x:f t="shared" si="72"/>
        <x:v/>
      </x:c>
      <x:c r="EM33" s="1053" t="str">
        <x:f t="shared" si="73"/>
        <x:v/>
      </x:c>
      <x:c r="EN33" s="1053" t="str">
        <x:f t="shared" si="74"/>
        <x:v/>
      </x:c>
      <x:c r="EO33" s="1053" t="str">
        <x:f t="shared" si="75"/>
        <x:v>ERR</x:v>
      </x:c>
      <x:c r="EP33" s="1053" t="str">
        <x:f t="shared" si="76"/>
        <x:v>ERR</x:v>
      </x:c>
      <x:c r="EQ33" s="1053" t="str">
        <x:f t="shared" si="77"/>
        <x:v/>
      </x:c>
      <x:c r="ER33" s="1053" t="str">
        <x:f t="shared" si="77"/>
        <x:v/>
      </x:c>
      <x:c r="ES33" s="1053" t="str">
        <x:f t="shared" si="78"/>
        <x:v/>
      </x:c>
      <x:c r="ET33" s="1053" t="str">
        <x:f t="shared" si="79"/>
        <x:v/>
      </x:c>
      <x:c r="EU33" s="1061">
        <x:f t="shared" si="80"/>
        <x:v>4</x:v>
      </x:c>
      <x:c r="EV33" s="1055" t="str">
        <x:f t="shared" si="81"/>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2"/>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3"/>
        <x:v/>
      </x:c>
      <x:c r="FD33" s="1052">
        <x:f t="shared" si="105"/>
        <x:v>0</x:v>
      </x:c>
      <x:c r="FE33" s="1052">
        <x:f t="shared" si="84"/>
        <x:v>0</x:v>
      </x:c>
      <x:c r="FF33" s="1052">
        <x:f t="shared" si="85"/>
        <x:v>0</x:v>
      </x:c>
      <x:c r="FG33" s="1052" t="str">
        <x:f t="shared" si="86"/>
        <x:v/>
      </x:c>
      <x:c r="FH33" s="1053" t="str">
        <x:f t="shared" si="87"/>
        <x:v/>
      </x:c>
      <x:c r="FI33" s="1052">
        <x:f t="shared" si="106"/>
        <x:v>0</x:v>
      </x:c>
      <x:c r="FJ33" s="1052">
        <x:f t="shared" si="88"/>
        <x:v>0</x:v>
      </x:c>
      <x:c r="FK33" s="1052">
        <x:f t="shared" si="89"/>
        <x:v>0</x:v>
      </x:c>
      <x:c r="FL33" s="1052" t="str">
        <x:f t="shared" si="90"/>
        <x:v/>
      </x:c>
      <x:c r="FM33" s="1053" t="str">
        <x:f t="shared" si="91"/>
        <x:v/>
      </x:c>
      <x:c r="FN33" s="1053" t="e">
        <x:f t="shared" si="92"/>
        <x:v>#VALUE!</x:v>
      </x:c>
      <x:c r="FO33" s="1062" t="e">
        <x:f t="shared" si="93"/>
        <x:v>#VALUE!</x:v>
      </x:c>
      <x:c r="FP33" s="1062" t="e">
        <x:f t="shared" si="94"/>
        <x:v>#VALUE!</x:v>
      </x:c>
      <x:c r="FQ33" s="1063" t="e">
        <x:f t="shared" si="95"/>
        <x:v>#VALUE!</x:v>
      </x:c>
      <x:c r="FR33" s="1064" t="e">
        <x:f t="shared" si="96"/>
        <x:v>#VALUE!</x:v>
      </x:c>
      <x:c r="FS33" s="1065" t="str">
        <x:f t="shared" si="97"/>
        <x:v/>
      </x:c>
      <x:c r="FT33" s="1066" t="str">
        <x:f t="shared" si="98"/>
        <x:v/>
      </x:c>
      <x:c r="FU33" s="1105">
        <x:f t="shared" si="99"/>
        <x:v>0</x:v>
      </x:c>
      <x:c r="FV33" s="1106">
        <x:f t="shared" si="100"/>
        <x:v>0</x:v>
      </x:c>
      <x:c r="GA33" s="1975">
        <x:v>59</x:v>
      </x:c>
      <x:c r="GB33" s="1976">
        <x:v>2.75</x:v>
      </x:c>
      <x:c r="GC33" s="1977">
        <x:v>3</x:v>
      </x:c>
      <x:c r="GD33" s="1978">
        <x:v>-0.5</x:v>
      </x:c>
      <x:c r="GE33" s="1979">
        <x:v>0.109743228983468</x:v>
      </x:c>
      <x:c r="GF33" s="1980" t="str">
        <x:f t="shared" si="101"/>
        <x:v>TJ109</x:v>
      </x:c>
      <x:c r="GG33" s="1453"/>
      <x:c r="GH33" s="1454"/>
      <x:c r="GI33" s="1453"/>
      <x:c r="GJ33" s="1454"/>
      <x:c r="GK33" s="533">
        <x:f t="shared" si="102"/>
        <x:v>713.25</x:v>
      </x:c>
      <x:c r="GL33" s="534">
        <x:f t="shared" si="103"/>
        <x:v>713.27982604583019</x:v>
      </x:c>
      <x:c r="GM33" s="535">
        <x:f>IF(ABS(GK33-GL33)&gt;='Job Info.'!$L$22,ABS(GK33-GL33),0)</x:f>
        <x:v>0</x:v>
      </x:c>
      <x:c r="HA33" s="1658" t="s">
        <x:v>1433</x:v>
      </x:c>
      <x:c r="HB33" s="1659">
        <x:v>3</x:v>
      </x:c>
      <x:c r="HC33" s="1659" t="s">
        <x:v>1978</x:v>
      </x:c>
      <x:c r="HD33" s="1660">
        <x:v>59</x:v>
      </x:c>
      <x:c r="HE33" s="1661">
        <x:v>5.25</x:v>
      </x:c>
      <x:c r="HF33" s="1659">
        <x:v>0</x:v>
      </x:c>
      <x:c r="HG33" s="1659">
        <x:v>4.625</x:v>
      </x:c>
      <x:c r="HH33" s="1659" t="s">
        <x:v>114</x:v>
      </x:c>
      <x:c r="HI33" s="1662" t="s">
        <x:v>117</x:v>
      </x:c>
      <x:c r="HJ33" s="1659" t="s">
        <x:v>117</x:v>
      </x:c>
      <x:c r="HK33" s="1659" t="s">
        <x:v>117</x:v>
      </x:c>
      <x:c r="HL33" s="1659">
        <x:v>3</x:v>
      </x:c>
      <x:c r="HM33" s="1659">
        <x:v>3</x:v>
      </x:c>
      <x:c r="HN33" s="1659">
        <x:v>0</x:v>
      </x:c>
      <x:c r="HO33" s="1659">
        <x:v>10</x:v>
      </x:c>
      <x:c r="HP33" s="1659">
        <x:v>2</x:v>
      </x:c>
      <x:c r="HQ33" s="1662" t="s">
        <x:v>117</x:v>
      </x:c>
      <x:c r="HR33" s="1659" t="s">
        <x:v>117</x:v>
      </x:c>
      <x:c r="HS33" s="1659" t="s">
        <x:v>117</x:v>
      </x:c>
      <x:c r="HT33" s="1659">
        <x:v>0</x:v>
      </x:c>
      <x:c r="HU33" s="1659">
        <x:v>5.5</x:v>
      </x:c>
      <x:c r="HV33" s="1659">
        <x:v>0</x:v>
      </x:c>
      <x:c r="HW33" s="1661">
        <x:v>2</x:v>
      </x:c>
      <x:c r="HX33" s="1661">
        <x:v>4</x:v>
      </x:c>
      <x:c r="HY33" s="1661" t="s">
        <x:v>117</x:v>
      </x:c>
      <x:c r="HZ33" s="1661" t="s">
        <x:v>117</x:v>
      </x:c>
      <x:c r="IA33" s="1661" t="s">
        <x:v>2144</x:v>
      </x:c>
      <x:c r="IB33" s="1661"/>
      <x:c r="IC33" s="1661"/>
      <x:c r="ID33" s="1661"/>
      <x:c r="IE33" s="1661"/>
      <x:c r="IF33" s="1663"/>
    </x:row>
    <x:row r="34" spans="1:240" ht="12.6" customHeight="1" x14ac:dyDescent="0.25">
      <x:c r="A34" s="1264" t="s">
        <x:v>1434</x:v>
      </x:c>
      <x:c r="B34" s="1265">
        <x:v>2</x:v>
      </x:c>
      <x:c r="C34" s="1265" t="s">
        <x:v>1978</x:v>
      </x:c>
      <x:c r="D34" s="1261">
        <x:v>59</x:v>
      </x:c>
      <x:c r="E34" s="1366">
        <x:v>4.25</x:v>
      </x:c>
      <x:c r="F34" s="1328">
        <x:v>0</x:v>
      </x:c>
      <x:c r="G34" s="1262">
        <x:v>3.625</x:v>
      </x:c>
      <x:c r="H34" s="1266" t="s">
        <x:v>114</x:v>
      </x:c>
      <x:c r="I34" s="1261" t="str">
        <x:f t="shared" si="107"/>
        <x:v/>
      </x:c>
      <x:c r="J34" s="1262" t="str">
        <x:f t="shared" si="108"/>
        <x:v/>
      </x:c>
      <x:c r="K34" s="1370" t="str">
        <x:f t="shared" si="109"/>
        <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t="str">
        <x:f t="shared" si="7"/>
        <x:v/>
      </x:c>
      <x:c r="U34" s="1262" t="str">
        <x:f t="shared" si="8"/>
        <x:v/>
      </x:c>
      <x:c r="V34" s="1261" t="str">
        <x:f t="shared" si="9"/>
        <x:v/>
      </x:c>
      <x:c r="W34" s="1262" t="str">
        <x:f t="shared" si="10"/>
        <x:v/>
      </x:c>
      <x:c r="X34" s="1329">
        <x:f t="shared" si="11"/>
        <x:v>0</x:v>
      </x:c>
      <x:c r="Y34" s="1377" t="str">
        <x:f t="shared" si="12"/>
        <x:v/>
      </x:c>
      <x:c r="Z34" s="1378" t="str">
        <x:f t="shared" si="13"/>
        <x:v/>
      </x:c>
      <x:c r="AA34" s="2159" t="s">
        <x:v>2145</x:v>
      </x:c>
      <x:c r="AC34" s="1226" t="b">
        <x:v>0</x:v>
      </x:c>
      <x:c r="AD34" s="525">
        <x:f t="shared" si="14"/>
        <x:v>0</x:v>
      </x:c>
      <x:c r="AE34" s="526">
        <x:f t="shared" si="15"/>
        <x:v>2</x:v>
      </x:c>
      <x:c r="AF34" s="526">
        <x:f t="shared" si="16"/>
        <x:v>0</x:v>
      </x:c>
      <x:c r="AG34" s="526">
        <x:f t="shared" si="17"/>
        <x:v>0</x:v>
      </x:c>
      <x:c r="AH34" s="527">
        <x:f t="shared" si="18"/>
        <x:v>0</x:v>
      </x:c>
      <x:c r="AI34" s="528" t="b">
        <x:v>0</x:v>
      </x:c>
      <x:c r="AJ34" s="284">
        <x:f t="shared" si="19"/>
        <x:v>36</x:v>
      </x:c>
      <x:c r="AK34" s="1063" t="str">
        <x:f t="shared" si="20"/>
        <x:v>LH</x:v>
      </x:c>
      <x:c r="AL34" s="1202" t="str">
        <x:f t="shared" si="21"/>
        <x:v/>
      </x:c>
      <x:c r="AM34" s="1063">
        <x:f t="shared" si="22"/>
        <x:v>270</x:v>
      </x:c>
      <x:c r="AN34" s="1063">
        <x:f t="shared" si="23"/>
        <x:v>120</x:v>
      </x:c>
      <x:c r="AO34" s="1063" t="str">
        <x:f t="shared" si="24"/>
        <x:v/>
      </x:c>
      <x:c r="AP34" s="1063" t="b">
        <x:f>IF(ISERROR(AJ34),FALSE,IF(OR(AJ34=0,ISERROR(AL34),ISERROR(AM34),ISERROR(AN34),ISERROR(AO34)),FALSE,IF(AL34&lt;&gt;"",IF(ISERROR(VLOOKUP(SUBSTITUTE(SUBSTITUTE(C34,"R",""),"A",""),TblJoistSize!$A:$A,1,FALSE)),FALSE,TRUE),TRUE)))</x:f>
        <x:v>1</x:v>
      </x:c>
      <x:c r="AQ34" s="1305">
        <x:f t="shared" si="25"/>
        <x:v>9.625</x:v>
      </x:c>
      <x:c r="AR34" s="1305" t="b">
        <x:f t="shared" si="26"/>
        <x:v>0</x:v>
      </x:c>
      <x:c r="AS34" s="1305">
        <x:f t="shared" si="27"/>
        <x:v>6</x:v>
      </x:c>
      <x:c r="AT34" s="1305" t="b">
        <x:f t="shared" si="28"/>
        <x:v>0</x:v>
      </x:c>
      <x:c r="AU34" s="1203" t="str">
        <x:f t="shared" si="29"/>
        <x:v>LH</x:v>
      </x:c>
      <x:c r="AV34" s="1063" t="str">
        <x:f t="shared" si="30"/>
        <x:v/>
      </x:c>
      <x:c r="AW34" s="1063" t="str">
        <x:f t="shared" si="31"/>
        <x:v>LH</x:v>
      </x:c>
      <x:c r="AX34" s="1063" t="str">
        <x:f t="shared" si="104"/>
        <x:v>J110</x:v>
      </x:c>
      <x:c r="AY34" s="1306" t="b">
        <x:f t="shared" si="32"/>
        <x:v>0</x:v>
      </x:c>
      <x:c r="AZ34" s="1090" t="b">
        <x:f t="shared" si="33"/>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4"/>
        <x:v/>
      </x:c>
      <x:c r="CE34" s="935" t="str">
        <x:f t="shared" si="35"/>
        <x:v/>
      </x:c>
      <x:c r="CF34" s="1149"/>
      <x:c r="CG34" s="1150"/>
      <x:c r="CH34" s="738" t="str">
        <x:f t="shared" si="36"/>
        <x:v/>
      </x:c>
      <x:c r="CI34" s="739" t="str">
        <x:f t="shared" si="37"/>
        <x:v/>
      </x:c>
      <x:c r="CJ34" s="740" t="str">
        <x:f t="shared" si="38"/>
        <x:v/>
      </x:c>
      <x:c r="CK34" s="741" t="str">
        <x:f t="shared" si="39"/>
        <x:v/>
      </x:c>
      <x:c r="CL34" s="742" t="str">
        <x:f t="shared" si="40"/>
        <x:v/>
      </x:c>
      <x:c r="CM34" s="743" t="str">
        <x:f t="shared" si="41"/>
        <x:v/>
      </x:c>
      <x:c r="CN34" s="744" t="str">
        <x:f t="shared" si="42"/>
        <x:v/>
      </x:c>
      <x:c r="CO34" s="745" t="str">
        <x:f t="shared" si="43"/>
        <x:v/>
      </x:c>
      <x:c r="CP34" s="762" t="str">
        <x:f t="shared" si="44"/>
        <x:v/>
      </x:c>
      <x:c r="CQ34" s="763" t="str">
        <x:f t="shared" si="45"/>
        <x:v/>
      </x:c>
      <x:c r="CR34" s="953">
        <x:f t="shared" si="46"/>
        <x:v>5</x:v>
      </x:c>
      <x:c r="CS34" s="954">
        <x:f t="shared" si="47"/>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8"/>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9"/>
        <x:v>0</x:v>
      </x:c>
      <x:c r="DO34" s="1049">
        <x:f t="shared" si="50"/>
        <x:v>0</x:v>
      </x:c>
      <x:c r="DP34" s="1053" t="str">
        <x:f t="shared" si="51"/>
        <x:v/>
      </x:c>
      <x:c r="DQ34" s="1053" t="str">
        <x:f t="shared" si="52"/>
        <x:v/>
      </x:c>
      <x:c r="DR34" s="1053" t="str">
        <x:f t="shared" si="53"/>
        <x:v/>
      </x:c>
      <x:c r="DS34" s="1052">
        <x:f t="shared" si="54"/>
        <x:v>0</x:v>
      </x:c>
      <x:c r="DT34" s="1052">
        <x:f t="shared" si="55"/>
        <x:v>0</x:v>
      </x:c>
      <x:c r="DU34" s="1052" t="str">
        <x:f t="shared" si="56"/>
        <x:v/>
      </x:c>
      <x:c r="DV34" s="1053" t="str">
        <x:f t="shared" si="57"/>
        <x:v/>
      </x:c>
      <x:c r="DW34" s="1053" t="str">
        <x:f t="shared" si="58"/>
        <x:v/>
      </x:c>
      <x:c r="DX34" s="1269">
        <x:f t="shared" si="59"/>
        <x:v>0</x:v>
      </x:c>
      <x:c r="DY34" s="1053">
        <x:f t="shared" si="60"/>
        <x:v>0</x:v>
      </x:c>
      <x:c r="DZ34" s="1052">
        <x:f t="shared" si="61"/>
        <x:v>0</x:v>
      </x:c>
      <x:c r="EA34" s="1052" t="str">
        <x:f t="shared" si="62"/>
        <x:v/>
      </x:c>
      <x:c r="EB34" s="1053" t="str">
        <x:f t="shared" si="63"/>
        <x:v/>
      </x:c>
      <x:c r="EC34" s="1053" t="str">
        <x:f t="shared" si="64"/>
        <x:v/>
      </x:c>
      <x:c r="ED34" s="1269">
        <x:f t="shared" si="65"/>
        <x:v>0</x:v>
      </x:c>
      <x:c r="EE34" s="1090" t="str">
        <x:f t="shared" si="66"/>
        <x:v/>
      </x:c>
      <x:c r="EF34" s="1053" t="str">
        <x:f t="shared" si="67"/>
        <x:v/>
      </x:c>
      <x:c r="EG34" s="1053" t="str">
        <x:f t="shared" si="68"/>
        <x:v/>
      </x:c>
      <x:c r="EH34" s="1053" t="str">
        <x:f t="shared" si="69"/>
        <x:v>ERR</x:v>
      </x:c>
      <x:c r="EI34" s="1053" t="str">
        <x:f t="shared" si="70"/>
        <x:v>ERR</x:v>
      </x:c>
      <x:c r="EJ34" s="1053" t="str">
        <x:f t="shared" si="71"/>
        <x:v/>
      </x:c>
      <x:c r="EK34" s="1053" t="str">
        <x:f t="shared" si="71"/>
        <x:v/>
      </x:c>
      <x:c r="EL34" s="1090" t="str">
        <x:f t="shared" si="72"/>
        <x:v/>
      </x:c>
      <x:c r="EM34" s="1053" t="str">
        <x:f t="shared" si="73"/>
        <x:v/>
      </x:c>
      <x:c r="EN34" s="1053" t="str">
        <x:f t="shared" si="74"/>
        <x:v/>
      </x:c>
      <x:c r="EO34" s="1053" t="str">
        <x:f t="shared" si="75"/>
        <x:v>ERR</x:v>
      </x:c>
      <x:c r="EP34" s="1053" t="str">
        <x:f t="shared" si="76"/>
        <x:v>ERR</x:v>
      </x:c>
      <x:c r="EQ34" s="1053" t="str">
        <x:f t="shared" si="77"/>
        <x:v/>
      </x:c>
      <x:c r="ER34" s="1053" t="str">
        <x:f t="shared" si="77"/>
        <x:v/>
      </x:c>
      <x:c r="ES34" s="1053" t="str">
        <x:f t="shared" si="78"/>
        <x:v/>
      </x:c>
      <x:c r="ET34" s="1053" t="str">
        <x:f t="shared" si="79"/>
        <x:v/>
      </x:c>
      <x:c r="EU34" s="1061">
        <x:f t="shared" si="80"/>
        <x:v>4</x:v>
      </x:c>
      <x:c r="EV34" s="1055" t="str">
        <x:f t="shared" si="81"/>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2"/>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3"/>
        <x:v/>
      </x:c>
      <x:c r="FD34" s="1052">
        <x:f t="shared" si="105"/>
        <x:v>0</x:v>
      </x:c>
      <x:c r="FE34" s="1052">
        <x:f t="shared" si="84"/>
        <x:v>0</x:v>
      </x:c>
      <x:c r="FF34" s="1052">
        <x:f t="shared" si="85"/>
        <x:v>0</x:v>
      </x:c>
      <x:c r="FG34" s="1052" t="str">
        <x:f t="shared" si="86"/>
        <x:v/>
      </x:c>
      <x:c r="FH34" s="1053" t="str">
        <x:f t="shared" si="87"/>
        <x:v/>
      </x:c>
      <x:c r="FI34" s="1052">
        <x:f t="shared" si="106"/>
        <x:v>0</x:v>
      </x:c>
      <x:c r="FJ34" s="1052">
        <x:f t="shared" si="88"/>
        <x:v>0</x:v>
      </x:c>
      <x:c r="FK34" s="1052">
        <x:f t="shared" si="89"/>
        <x:v>0</x:v>
      </x:c>
      <x:c r="FL34" s="1052" t="str">
        <x:f t="shared" si="90"/>
        <x:v/>
      </x:c>
      <x:c r="FM34" s="1053" t="str">
        <x:f t="shared" si="91"/>
        <x:v/>
      </x:c>
      <x:c r="FN34" s="1053" t="e">
        <x:f t="shared" si="92"/>
        <x:v>#VALUE!</x:v>
      </x:c>
      <x:c r="FO34" s="1062" t="e">
        <x:f t="shared" si="93"/>
        <x:v>#VALUE!</x:v>
      </x:c>
      <x:c r="FP34" s="1062" t="e">
        <x:f t="shared" si="94"/>
        <x:v>#VALUE!</x:v>
      </x:c>
      <x:c r="FQ34" s="1063" t="e">
        <x:f t="shared" si="95"/>
        <x:v>#VALUE!</x:v>
      </x:c>
      <x:c r="FR34" s="1064" t="e">
        <x:f t="shared" si="96"/>
        <x:v>#VALUE!</x:v>
      </x:c>
      <x:c r="FS34" s="1065" t="str">
        <x:f t="shared" si="97"/>
        <x:v/>
      </x:c>
      <x:c r="FT34" s="1066" t="str">
        <x:f t="shared" si="98"/>
        <x:v/>
      </x:c>
      <x:c r="FU34" s="1105">
        <x:f t="shared" si="99"/>
        <x:v>0</x:v>
      </x:c>
      <x:c r="FV34" s="1106">
        <x:f t="shared" si="100"/>
        <x:v>0</x:v>
      </x:c>
      <x:c r="GA34" s="1975">
        <x:v>59</x:v>
      </x:c>
      <x:c r="GB34" s="1976">
        <x:v>2.75</x:v>
      </x:c>
      <x:c r="GC34" s="1977">
        <x:v>2</x:v>
      </x:c>
      <x:c r="GD34" s="1978">
        <x:v>-0.5</x:v>
      </x:c>
      <x:c r="GE34" s="1979">
        <x:v>0.1155173802238135</x:v>
      </x:c>
      <x:c r="GF34" s="1980" t="str">
        <x:f t="shared" si="101"/>
        <x:v>J110</x:v>
      </x:c>
      <x:c r="GG34" s="1453"/>
      <x:c r="GH34" s="1454"/>
      <x:c r="GI34" s="1453"/>
      <x:c r="GJ34" s="1454"/>
      <x:c r="GK34" s="533">
        <x:f t="shared" si="102"/>
        <x:v>712.25</x:v>
      </x:c>
      <x:c r="GL34" s="534">
        <x:f t="shared" si="103"/>
        <x:v>712.28300080785027</x:v>
      </x:c>
      <x:c r="GM34" s="535">
        <x:f>IF(ABS(GK34-GL34)&gt;='Job Info.'!$L$22,ABS(GK34-GL34),0)</x:f>
        <x:v>0</x:v>
      </x:c>
      <x:c r="HA34" s="1658" t="s">
        <x:v>1434</x:v>
      </x:c>
      <x:c r="HB34" s="1659">
        <x:v>2</x:v>
      </x:c>
      <x:c r="HC34" s="1659" t="s">
        <x:v>1978</x:v>
      </x:c>
      <x:c r="HD34" s="1660">
        <x:v>59</x:v>
      </x:c>
      <x:c r="HE34" s="1661">
        <x:v>4.25</x:v>
      </x:c>
      <x:c r="HF34" s="1659">
        <x:v>0</x:v>
      </x:c>
      <x:c r="HG34" s="1659">
        <x:v>3.625</x:v>
      </x:c>
      <x:c r="HH34" s="1659" t="s">
        <x:v>114</x:v>
      </x:c>
      <x:c r="HI34" s="1662" t="s">
        <x:v>117</x:v>
      </x:c>
      <x:c r="HJ34" s="1659" t="s">
        <x:v>117</x:v>
      </x:c>
      <x:c r="HK34" s="1659" t="s">
        <x:v>117</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2145</x:v>
      </x:c>
      <x:c r="IB34" s="1661"/>
      <x:c r="IC34" s="1661"/>
      <x:c r="ID34" s="1661"/>
      <x:c r="IE34" s="1661"/>
      <x:c r="IF34" s="1663"/>
    </x:row>
    <x:row r="35" spans="1:240" ht="12.6" customHeight="1" x14ac:dyDescent="0.25">
      <x:c r="A35" s="1264" t="s">
        <x:v>1435</x:v>
      </x:c>
      <x:c r="B35" s="1265">
        <x:v>2</x:v>
      </x:c>
      <x:c r="C35" s="1265" t="s">
        <x:v>1978</x:v>
      </x:c>
      <x:c r="D35" s="1261">
        <x:v>59</x:v>
      </x:c>
      <x:c r="E35" s="1366">
        <x:v>4.25</x:v>
      </x:c>
      <x:c r="F35" s="1328">
        <x:v>0</x:v>
      </x:c>
      <x:c r="G35" s="1262">
        <x:v>3.625</x:v>
      </x:c>
      <x:c r="H35" s="1266" t="s">
        <x:v>114</x:v>
      </x:c>
      <x:c r="I35" s="1261" t="str">
        <x:f t="shared" si="107"/>
        <x:v/>
      </x:c>
      <x:c r="J35" s="1262" t="str">
        <x:f t="shared" si="108"/>
        <x:v/>
      </x:c>
      <x:c r="K35" s="1370" t="str">
        <x:f t="shared" si="109"/>
        <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7"/>
        <x:v/>
      </x:c>
      <x:c r="U35" s="1262" t="str">
        <x:f t="shared" si="8"/>
        <x:v/>
      </x:c>
      <x:c r="V35" s="1261" t="str">
        <x:f t="shared" si="9"/>
        <x:v/>
      </x:c>
      <x:c r="W35" s="1262" t="str">
        <x:f t="shared" si="10"/>
        <x:v/>
      </x:c>
      <x:c r="X35" s="1329">
        <x:f t="shared" si="11"/>
        <x:v>0</x:v>
      </x:c>
      <x:c r="Y35" s="1377" t="str">
        <x:f t="shared" si="12"/>
        <x:v/>
      </x:c>
      <x:c r="Z35" s="1378" t="str">
        <x:f t="shared" si="13"/>
        <x:v/>
      </x:c>
      <x:c r="AA35" s="2159" t="s">
        <x:v>2146</x:v>
      </x:c>
      <x:c r="AC35" s="1226" t="b">
        <x:v>0</x:v>
      </x:c>
      <x:c r="AD35" s="525">
        <x:f t="shared" si="14"/>
        <x:v>0</x:v>
      </x:c>
      <x:c r="AE35" s="526">
        <x:f t="shared" si="15"/>
        <x:v>2</x:v>
      </x:c>
      <x:c r="AF35" s="526">
        <x:f t="shared" si="16"/>
        <x:v>0</x:v>
      </x:c>
      <x:c r="AG35" s="526">
        <x:f t="shared" si="17"/>
        <x:v>0</x:v>
      </x:c>
      <x:c r="AH35" s="527">
        <x:f t="shared" si="18"/>
        <x:v>0</x:v>
      </x:c>
      <x:c r="AI35" s="528" t="b">
        <x:v>0</x:v>
      </x:c>
      <x:c r="AJ35" s="284">
        <x:f t="shared" si="19"/>
        <x:v>36</x:v>
      </x:c>
      <x:c r="AK35" s="1063" t="str">
        <x:f t="shared" si="20"/>
        <x:v>LH</x:v>
      </x:c>
      <x:c r="AL35" s="1202" t="str">
        <x:f t="shared" si="21"/>
        <x:v/>
      </x:c>
      <x:c r="AM35" s="1063">
        <x:f t="shared" si="22"/>
        <x:v>270</x:v>
      </x:c>
      <x:c r="AN35" s="1063">
        <x:f t="shared" si="23"/>
        <x:v>120</x:v>
      </x:c>
      <x:c r="AO35" s="1063" t="str">
        <x:f t="shared" si="24"/>
        <x:v/>
      </x:c>
      <x:c r="AP35" s="1063" t="b">
        <x:f>IF(ISERROR(AJ35),FALSE,IF(OR(AJ35=0,ISERROR(AL35),ISERROR(AM35),ISERROR(AN35),ISERROR(AO35)),FALSE,IF(AL35&lt;&gt;"",IF(ISERROR(VLOOKUP(SUBSTITUTE(SUBSTITUTE(C35,"R",""),"A",""),TblJoistSize!$A:$A,1,FALSE)),FALSE,TRUE),TRUE)))</x:f>
        <x:v>1</x:v>
      </x:c>
      <x:c r="AQ35" s="1305">
        <x:f t="shared" si="25"/>
        <x:v>9.625</x:v>
      </x:c>
      <x:c r="AR35" s="1305" t="b">
        <x:f t="shared" si="26"/>
        <x:v>0</x:v>
      </x:c>
      <x:c r="AS35" s="1305">
        <x:f t="shared" si="27"/>
        <x:v>6</x:v>
      </x:c>
      <x:c r="AT35" s="1305" t="b">
        <x:f t="shared" si="28"/>
        <x:v>0</x:v>
      </x:c>
      <x:c r="AU35" s="1203" t="str">
        <x:f t="shared" si="29"/>
        <x:v>LH</x:v>
      </x:c>
      <x:c r="AV35" s="1063" t="str">
        <x:f t="shared" si="30"/>
        <x:v/>
      </x:c>
      <x:c r="AW35" s="1063" t="str">
        <x:f t="shared" si="31"/>
        <x:v>LH</x:v>
      </x:c>
      <x:c r="AX35" s="1063" t="str">
        <x:f t="shared" si="104"/>
        <x:v>J111</x:v>
      </x:c>
      <x:c r="AY35" s="1306" t="b">
        <x:f t="shared" si="32"/>
        <x:v>0</x:v>
      </x:c>
      <x:c r="AZ35" s="1090" t="b">
        <x:f t="shared" si="33"/>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4"/>
        <x:v/>
      </x:c>
      <x:c r="CE35" s="935" t="str">
        <x:f t="shared" si="35"/>
        <x:v/>
      </x:c>
      <x:c r="CF35" s="1149"/>
      <x:c r="CG35" s="1150"/>
      <x:c r="CH35" s="738" t="str">
        <x:f t="shared" si="36"/>
        <x:v/>
      </x:c>
      <x:c r="CI35" s="739" t="str">
        <x:f t="shared" si="37"/>
        <x:v/>
      </x:c>
      <x:c r="CJ35" s="740" t="str">
        <x:f t="shared" si="38"/>
        <x:v/>
      </x:c>
      <x:c r="CK35" s="741" t="str">
        <x:f t="shared" si="39"/>
        <x:v/>
      </x:c>
      <x:c r="CL35" s="742" t="str">
        <x:f t="shared" si="40"/>
        <x:v/>
      </x:c>
      <x:c r="CM35" s="743" t="str">
        <x:f t="shared" si="41"/>
        <x:v/>
      </x:c>
      <x:c r="CN35" s="744" t="str">
        <x:f t="shared" si="42"/>
        <x:v/>
      </x:c>
      <x:c r="CO35" s="745" t="str">
        <x:f t="shared" si="43"/>
        <x:v/>
      </x:c>
      <x:c r="CP35" s="762" t="str">
        <x:f t="shared" si="44"/>
        <x:v/>
      </x:c>
      <x:c r="CQ35" s="763" t="str">
        <x:f t="shared" si="45"/>
        <x:v/>
      </x:c>
      <x:c r="CR35" s="953">
        <x:f t="shared" si="46"/>
        <x:v>5</x:v>
      </x:c>
      <x:c r="CS35" s="954">
        <x:f t="shared" si="47"/>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8"/>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9"/>
        <x:v>0</x:v>
      </x:c>
      <x:c r="DO35" s="1049">
        <x:f t="shared" si="50"/>
        <x:v>0</x:v>
      </x:c>
      <x:c r="DP35" s="1053" t="str">
        <x:f t="shared" si="51"/>
        <x:v/>
      </x:c>
      <x:c r="DQ35" s="1053" t="str">
        <x:f t="shared" si="52"/>
        <x:v/>
      </x:c>
      <x:c r="DR35" s="1053" t="str">
        <x:f t="shared" si="53"/>
        <x:v/>
      </x:c>
      <x:c r="DS35" s="1052">
        <x:f t="shared" si="54"/>
        <x:v>0</x:v>
      </x:c>
      <x:c r="DT35" s="1052">
        <x:f t="shared" si="55"/>
        <x:v>0</x:v>
      </x:c>
      <x:c r="DU35" s="1052" t="str">
        <x:f t="shared" si="56"/>
        <x:v/>
      </x:c>
      <x:c r="DV35" s="1053" t="str">
        <x:f t="shared" si="57"/>
        <x:v/>
      </x:c>
      <x:c r="DW35" s="1053" t="str">
        <x:f t="shared" si="58"/>
        <x:v/>
      </x:c>
      <x:c r="DX35" s="1269">
        <x:f t="shared" si="59"/>
        <x:v>0</x:v>
      </x:c>
      <x:c r="DY35" s="1053">
        <x:f t="shared" si="60"/>
        <x:v>0</x:v>
      </x:c>
      <x:c r="DZ35" s="1052">
        <x:f t="shared" si="61"/>
        <x:v>0</x:v>
      </x:c>
      <x:c r="EA35" s="1052" t="str">
        <x:f t="shared" si="62"/>
        <x:v/>
      </x:c>
      <x:c r="EB35" s="1053" t="str">
        <x:f t="shared" si="63"/>
        <x:v/>
      </x:c>
      <x:c r="EC35" s="1053" t="str">
        <x:f t="shared" si="64"/>
        <x:v/>
      </x:c>
      <x:c r="ED35" s="1269">
        <x:f t="shared" si="65"/>
        <x:v>0</x:v>
      </x:c>
      <x:c r="EE35" s="1090" t="str">
        <x:f t="shared" si="66"/>
        <x:v/>
      </x:c>
      <x:c r="EF35" s="1053" t="str">
        <x:f t="shared" si="67"/>
        <x:v/>
      </x:c>
      <x:c r="EG35" s="1053" t="str">
        <x:f t="shared" si="68"/>
        <x:v/>
      </x:c>
      <x:c r="EH35" s="1053" t="str">
        <x:f t="shared" si="69"/>
        <x:v>ERR</x:v>
      </x:c>
      <x:c r="EI35" s="1053" t="str">
        <x:f t="shared" si="70"/>
        <x:v>ERR</x:v>
      </x:c>
      <x:c r="EJ35" s="1053" t="str">
        <x:f t="shared" si="71"/>
        <x:v/>
      </x:c>
      <x:c r="EK35" s="1053" t="str">
        <x:f t="shared" si="71"/>
        <x:v/>
      </x:c>
      <x:c r="EL35" s="1090" t="str">
        <x:f t="shared" si="72"/>
        <x:v/>
      </x:c>
      <x:c r="EM35" s="1053" t="str">
        <x:f t="shared" si="73"/>
        <x:v/>
      </x:c>
      <x:c r="EN35" s="1053" t="str">
        <x:f t="shared" si="74"/>
        <x:v/>
      </x:c>
      <x:c r="EO35" s="1053" t="str">
        <x:f t="shared" si="75"/>
        <x:v>ERR</x:v>
      </x:c>
      <x:c r="EP35" s="1053" t="str">
        <x:f t="shared" si="76"/>
        <x:v>ERR</x:v>
      </x:c>
      <x:c r="EQ35" s="1053" t="str">
        <x:f t="shared" si="77"/>
        <x:v/>
      </x:c>
      <x:c r="ER35" s="1053" t="str">
        <x:f t="shared" si="77"/>
        <x:v/>
      </x:c>
      <x:c r="ES35" s="1053" t="str">
        <x:f t="shared" si="78"/>
        <x:v/>
      </x:c>
      <x:c r="ET35" s="1053" t="str">
        <x:f t="shared" si="79"/>
        <x:v/>
      </x:c>
      <x:c r="EU35" s="1061">
        <x:f t="shared" si="80"/>
        <x:v>4</x:v>
      </x:c>
      <x:c r="EV35" s="1055" t="str">
        <x:f t="shared" si="81"/>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2"/>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3"/>
        <x:v/>
      </x:c>
      <x:c r="FD35" s="1052">
        <x:f t="shared" si="105"/>
        <x:v>0</x:v>
      </x:c>
      <x:c r="FE35" s="1052">
        <x:f t="shared" si="84"/>
        <x:v>0</x:v>
      </x:c>
      <x:c r="FF35" s="1052">
        <x:f t="shared" si="85"/>
        <x:v>0</x:v>
      </x:c>
      <x:c r="FG35" s="1052" t="str">
        <x:f t="shared" si="86"/>
        <x:v/>
      </x:c>
      <x:c r="FH35" s="1053" t="str">
        <x:f t="shared" si="87"/>
        <x:v/>
      </x:c>
      <x:c r="FI35" s="1052">
        <x:f t="shared" si="106"/>
        <x:v>0</x:v>
      </x:c>
      <x:c r="FJ35" s="1052">
        <x:f t="shared" si="88"/>
        <x:v>0</x:v>
      </x:c>
      <x:c r="FK35" s="1052">
        <x:f t="shared" si="89"/>
        <x:v>0</x:v>
      </x:c>
      <x:c r="FL35" s="1052" t="str">
        <x:f t="shared" si="90"/>
        <x:v/>
      </x:c>
      <x:c r="FM35" s="1053" t="str">
        <x:f t="shared" si="91"/>
        <x:v/>
      </x:c>
      <x:c r="FN35" s="1053" t="e">
        <x:f t="shared" si="92"/>
        <x:v>#VALUE!</x:v>
      </x:c>
      <x:c r="FO35" s="1062" t="e">
        <x:f t="shared" si="93"/>
        <x:v>#VALUE!</x:v>
      </x:c>
      <x:c r="FP35" s="1062" t="e">
        <x:f t="shared" si="94"/>
        <x:v>#VALUE!</x:v>
      </x:c>
      <x:c r="FQ35" s="1063" t="e">
        <x:f t="shared" si="95"/>
        <x:v>#VALUE!</x:v>
      </x:c>
      <x:c r="FR35" s="1064" t="e">
        <x:f t="shared" si="96"/>
        <x:v>#VALUE!</x:v>
      </x:c>
      <x:c r="FS35" s="1065" t="str">
        <x:f t="shared" si="97"/>
        <x:v/>
      </x:c>
      <x:c r="FT35" s="1066" t="str">
        <x:f t="shared" si="98"/>
        <x:v/>
      </x:c>
      <x:c r="FU35" s="1105">
        <x:f t="shared" si="99"/>
        <x:v>0</x:v>
      </x:c>
      <x:c r="FV35" s="1106">
        <x:f t="shared" si="100"/>
        <x:v>0</x:v>
      </x:c>
      <x:c r="GA35" s="1975">
        <x:v>59</x:v>
      </x:c>
      <x:c r="GB35" s="1976">
        <x:v>2.75</x:v>
      </x:c>
      <x:c r="GC35" s="1977">
        <x:v>2</x:v>
      </x:c>
      <x:c r="GD35" s="1978">
        <x:v>-0.5</x:v>
      </x:c>
      <x:c r="GE35" s="1979">
        <x:v>0.20277436365446949</x:v>
      </x:c>
      <x:c r="GF35" s="1980" t="str">
        <x:f t="shared" si="101"/>
        <x:v>J111</x:v>
      </x:c>
      <x:c r="GG35" s="1453"/>
      <x:c r="GH35" s="1454"/>
      <x:c r="GI35" s="1453"/>
      <x:c r="GJ35" s="1454"/>
      <x:c r="GK35" s="533">
        <x:f t="shared" si="102"/>
        <x:v>712.25</x:v>
      </x:c>
      <x:c r="GL35" s="534">
        <x:f t="shared" si="103"/>
        <x:v>712.35167988958619</x:v>
      </x:c>
      <x:c r="GM35" s="535">
        <x:f>IF(ABS(GK35-GL35)&gt;='Job Info.'!$L$22,ABS(GK35-GL35),0)</x:f>
        <x:v>0</x:v>
      </x:c>
      <x:c r="HA35" s="1658" t="s">
        <x:v>1435</x:v>
      </x:c>
      <x:c r="HB35" s="1659">
        <x:v>2</x:v>
      </x:c>
      <x:c r="HC35" s="1659" t="s">
        <x:v>1978</x:v>
      </x:c>
      <x:c r="HD35" s="1660">
        <x:v>59</x:v>
      </x:c>
      <x:c r="HE35" s="1661">
        <x:v>4.25</x:v>
      </x:c>
      <x:c r="HF35" s="1659">
        <x:v>0</x:v>
      </x:c>
      <x:c r="HG35" s="1659">
        <x:v>3.625</x:v>
      </x:c>
      <x:c r="HH35" s="1659" t="s">
        <x:v>114</x:v>
      </x:c>
      <x:c r="HI35" s="1662" t="s">
        <x:v>117</x:v>
      </x:c>
      <x:c r="HJ35" s="1659" t="s">
        <x:v>117</x:v>
      </x:c>
      <x:c r="HK35" s="1659" t="s">
        <x:v>117</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2146</x:v>
      </x:c>
      <x:c r="IB35" s="1661"/>
      <x:c r="IC35" s="1661"/>
      <x:c r="ID35" s="1661"/>
      <x:c r="IE35" s="1661"/>
      <x:c r="IF35" s="1663"/>
    </x:row>
    <x:row r="36" spans="1:240" ht="12.6" customHeight="1" x14ac:dyDescent="0.25">
      <x:c r="A36" s="1264" t="s">
        <x:v>1436</x:v>
      </x:c>
      <x:c r="B36" s="1265">
        <x:v>2</x:v>
      </x:c>
      <x:c r="C36" s="1265" t="s">
        <x:v>1978</x:v>
      </x:c>
      <x:c r="D36" s="1261">
        <x:v>60</x:v>
      </x:c>
      <x:c r="E36" s="1366">
        <x:v>1.75</x:v>
      </x:c>
      <x:c r="F36" s="1328">
        <x:v>0</x:v>
      </x:c>
      <x:c r="G36" s="1262">
        <x:v>3.625</x:v>
      </x:c>
      <x:c r="H36" s="1266" t="s">
        <x:v>114</x:v>
      </x:c>
      <x:c r="I36" s="1261">
        <x:v>0</x:v>
      </x:c>
      <x:c r="J36" s="1262">
        <x:v>1.375</x:v>
      </x:c>
      <x:c r="K36" s="1370" t="s">
        <x:v>114</x:v>
      </x:c>
      <x:c r="L36" s="1327">
        <x:v>3</x:v>
      </x:c>
      <x:c r="M36" s="1329">
        <x:v>3</x:v>
      </x:c>
      <x:c r="N36" s="1263" t="str">
        <x:f t="shared" si="1"/>
        <x:v/>
      </x:c>
      <x:c r="O36" s="1262" t="str">
        <x:f t="shared" si="2"/>
        <x:v/>
      </x:c>
      <x:c r="P36" s="1260" t="str">
        <x:f t="shared" si="3"/>
        <x:v/>
      </x:c>
      <x:c r="Q36" s="1261" t="str">
        <x:f t="shared" si="4"/>
        <x:v/>
      </x:c>
      <x:c r="R36" s="1262" t="str">
        <x:f t="shared" si="5"/>
        <x:v/>
      </x:c>
      <x:c r="S36" s="1375" t="str">
        <x:f t="shared" si="6"/>
        <x:v/>
      </x:c>
      <x:c r="T36" s="1328" t="str">
        <x:f t="shared" si="7"/>
        <x:v/>
      </x:c>
      <x:c r="U36" s="1262" t="str">
        <x:f t="shared" si="8"/>
        <x:v/>
      </x:c>
      <x:c r="V36" s="1261" t="str">
        <x:f t="shared" si="9"/>
        <x:v/>
      </x:c>
      <x:c r="W36" s="1262" t="str">
        <x:f t="shared" si="10"/>
        <x:v/>
      </x:c>
      <x:c r="X36" s="1329">
        <x:f t="shared" si="11"/>
        <x:v>0</x:v>
      </x:c>
      <x:c r="Y36" s="1377" t="str">
        <x:f t="shared" si="12"/>
        <x:v/>
      </x:c>
      <x:c r="Z36" s="1378" t="str">
        <x:f t="shared" si="13"/>
        <x:v/>
      </x:c>
      <x:c r="AA36" s="2159" t="s">
        <x:v>2147</x:v>
      </x:c>
      <x:c r="AC36" s="1226" t="b">
        <x:v>0</x:v>
      </x:c>
      <x:c r="AD36" s="525">
        <x:f t="shared" si="14"/>
        <x:v>0</x:v>
      </x:c>
      <x:c r="AE36" s="526">
        <x:f t="shared" si="15"/>
        <x:v>2</x:v>
      </x:c>
      <x:c r="AF36" s="526">
        <x:f t="shared" si="16"/>
        <x:v>0</x:v>
      </x:c>
      <x:c r="AG36" s="526">
        <x:f t="shared" si="17"/>
        <x:v>0</x:v>
      </x:c>
      <x:c r="AH36" s="527">
        <x:f t="shared" si="18"/>
        <x:v>0</x:v>
      </x:c>
      <x:c r="AI36" s="528" t="b">
        <x:v>0</x:v>
      </x:c>
      <x:c r="AJ36" s="284">
        <x:f t="shared" si="19"/>
        <x:v>36</x:v>
      </x:c>
      <x:c r="AK36" s="1063" t="str">
        <x:f t="shared" si="20"/>
        <x:v>LH</x:v>
      </x:c>
      <x:c r="AL36" s="1202" t="str">
        <x:f t="shared" si="21"/>
        <x:v/>
      </x:c>
      <x:c r="AM36" s="1063">
        <x:f t="shared" si="22"/>
        <x:v>270</x:v>
      </x:c>
      <x:c r="AN36" s="1063">
        <x:f t="shared" si="23"/>
        <x:v>120</x:v>
      </x:c>
      <x:c r="AO36" s="1063" t="str">
        <x:f t="shared" si="24"/>
        <x:v/>
      </x:c>
      <x:c r="AP36" s="1063" t="b">
        <x:f>IF(ISERROR(AJ36),FALSE,IF(OR(AJ36=0,ISERROR(AL36),ISERROR(AM36),ISERROR(AN36),ISERROR(AO36)),FALSE,IF(AL36&lt;&gt;"",IF(ISERROR(VLOOKUP(SUBSTITUTE(SUBSTITUTE(C36,"R",""),"A",""),TblJoistSize!$A:$A,1,FALSE)),FALSE,TRUE),TRUE)))</x:f>
        <x:v>1</x:v>
      </x:c>
      <x:c r="AQ36" s="1305">
        <x:f t="shared" si="25"/>
        <x:v>9.625</x:v>
      </x:c>
      <x:c r="AR36" s="1305" t="b">
        <x:f t="shared" si="26"/>
        <x:v>0</x:v>
      </x:c>
      <x:c r="AS36" s="1305">
        <x:f t="shared" si="27"/>
        <x:v>7.375</x:v>
      </x:c>
      <x:c r="AT36" s="1305" t="b">
        <x:f t="shared" si="28"/>
        <x:v>0</x:v>
      </x:c>
      <x:c r="AU36" s="1203" t="str">
        <x:f t="shared" si="29"/>
        <x:v>LH</x:v>
      </x:c>
      <x:c r="AV36" s="1063" t="str">
        <x:f t="shared" si="30"/>
        <x:v/>
      </x:c>
      <x:c r="AW36" s="1063" t="str">
        <x:f t="shared" si="31"/>
        <x:v>LH</x:v>
      </x:c>
      <x:c r="AX36" s="1063" t="str">
        <x:f t="shared" si="104"/>
        <x:v>J112</x:v>
      </x:c>
      <x:c r="AY36" s="1306" t="b">
        <x:f t="shared" si="32"/>
        <x:v>0</x:v>
      </x:c>
      <x:c r="AZ36" s="1090" t="b">
        <x:f t="shared" si="33"/>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4"/>
        <x:v/>
      </x:c>
      <x:c r="CE36" s="935" t="str">
        <x:f t="shared" si="35"/>
        <x:v/>
      </x:c>
      <x:c r="CF36" s="1149"/>
      <x:c r="CG36" s="1150"/>
      <x:c r="CH36" s="738" t="str">
        <x:f t="shared" si="36"/>
        <x:v/>
      </x:c>
      <x:c r="CI36" s="739" t="str">
        <x:f t="shared" si="37"/>
        <x:v/>
      </x:c>
      <x:c r="CJ36" s="740" t="str">
        <x:f t="shared" si="38"/>
        <x:v/>
      </x:c>
      <x:c r="CK36" s="741" t="str">
        <x:f t="shared" si="39"/>
        <x:v/>
      </x:c>
      <x:c r="CL36" s="742" t="str">
        <x:f t="shared" si="40"/>
        <x:v/>
      </x:c>
      <x:c r="CM36" s="743" t="str">
        <x:f t="shared" si="41"/>
        <x:v/>
      </x:c>
      <x:c r="CN36" s="744" t="str">
        <x:f t="shared" si="42"/>
        <x:v/>
      </x:c>
      <x:c r="CO36" s="745" t="str">
        <x:f t="shared" si="43"/>
        <x:v/>
      </x:c>
      <x:c r="CP36" s="762" t="str">
        <x:f t="shared" si="44"/>
        <x:v/>
      </x:c>
      <x:c r="CQ36" s="763" t="str">
        <x:f t="shared" si="45"/>
        <x:v/>
      </x:c>
      <x:c r="CR36" s="953">
        <x:f t="shared" si="46"/>
        <x:v>5</x:v>
      </x:c>
      <x:c r="CS36" s="954">
        <x:f t="shared" si="47"/>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8"/>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9"/>
        <x:v>0</x:v>
      </x:c>
      <x:c r="DO36" s="1049">
        <x:f t="shared" si="50"/>
        <x:v>0</x:v>
      </x:c>
      <x:c r="DP36" s="1053" t="str">
        <x:f t="shared" si="51"/>
        <x:v/>
      </x:c>
      <x:c r="DQ36" s="1053" t="str">
        <x:f t="shared" si="52"/>
        <x:v/>
      </x:c>
      <x:c r="DR36" s="1053" t="str">
        <x:f t="shared" si="53"/>
        <x:v/>
      </x:c>
      <x:c r="DS36" s="1052">
        <x:f t="shared" si="54"/>
        <x:v>0</x:v>
      </x:c>
      <x:c r="DT36" s="1052">
        <x:f t="shared" si="55"/>
        <x:v>0</x:v>
      </x:c>
      <x:c r="DU36" s="1052" t="str">
        <x:f t="shared" si="56"/>
        <x:v/>
      </x:c>
      <x:c r="DV36" s="1053" t="str">
        <x:f t="shared" si="57"/>
        <x:v/>
      </x:c>
      <x:c r="DW36" s="1053" t="str">
        <x:f t="shared" si="58"/>
        <x:v/>
      </x:c>
      <x:c r="DX36" s="1269">
        <x:f t="shared" si="59"/>
        <x:v>0</x:v>
      </x:c>
      <x:c r="DY36" s="1053">
        <x:f t="shared" si="60"/>
        <x:v>0</x:v>
      </x:c>
      <x:c r="DZ36" s="1052">
        <x:f t="shared" si="61"/>
        <x:v>0</x:v>
      </x:c>
      <x:c r="EA36" s="1052" t="str">
        <x:f t="shared" si="62"/>
        <x:v/>
      </x:c>
      <x:c r="EB36" s="1053" t="str">
        <x:f t="shared" si="63"/>
        <x:v/>
      </x:c>
      <x:c r="EC36" s="1053" t="str">
        <x:f t="shared" si="64"/>
        <x:v/>
      </x:c>
      <x:c r="ED36" s="1269">
        <x:f t="shared" si="65"/>
        <x:v>0</x:v>
      </x:c>
      <x:c r="EE36" s="1090" t="str">
        <x:f t="shared" si="66"/>
        <x:v/>
      </x:c>
      <x:c r="EF36" s="1053" t="str">
        <x:f t="shared" si="67"/>
        <x:v/>
      </x:c>
      <x:c r="EG36" s="1053" t="str">
        <x:f t="shared" si="68"/>
        <x:v/>
      </x:c>
      <x:c r="EH36" s="1053" t="str">
        <x:f t="shared" si="69"/>
        <x:v>ERR</x:v>
      </x:c>
      <x:c r="EI36" s="1053" t="str">
        <x:f t="shared" si="70"/>
        <x:v>ERR</x:v>
      </x:c>
      <x:c r="EJ36" s="1053" t="str">
        <x:f t="shared" si="71"/>
        <x:v/>
      </x:c>
      <x:c r="EK36" s="1053" t="str">
        <x:f t="shared" si="71"/>
        <x:v/>
      </x:c>
      <x:c r="EL36" s="1090" t="str">
        <x:f t="shared" si="72"/>
        <x:v/>
      </x:c>
      <x:c r="EM36" s="1053" t="str">
        <x:f t="shared" si="73"/>
        <x:v/>
      </x:c>
      <x:c r="EN36" s="1053" t="str">
        <x:f t="shared" si="74"/>
        <x:v/>
      </x:c>
      <x:c r="EO36" s="1053" t="str">
        <x:f t="shared" si="75"/>
        <x:v>ERR</x:v>
      </x:c>
      <x:c r="EP36" s="1053" t="str">
        <x:f t="shared" si="76"/>
        <x:v>ERR</x:v>
      </x:c>
      <x:c r="EQ36" s="1053" t="str">
        <x:f t="shared" si="77"/>
        <x:v/>
      </x:c>
      <x:c r="ER36" s="1053" t="str">
        <x:f t="shared" si="77"/>
        <x:v/>
      </x:c>
      <x:c r="ES36" s="1053" t="str">
        <x:f t="shared" si="78"/>
        <x:v/>
      </x:c>
      <x:c r="ET36" s="1053" t="str">
        <x:f t="shared" si="79"/>
        <x:v/>
      </x:c>
      <x:c r="EU36" s="1061">
        <x:f t="shared" si="80"/>
        <x:v>4</x:v>
      </x:c>
      <x:c r="EV36" s="1055" t="str">
        <x:f t="shared" si="81"/>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2"/>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3"/>
        <x:v/>
      </x:c>
      <x:c r="FD36" s="1052">
        <x:f t="shared" si="105"/>
        <x:v>0</x:v>
      </x:c>
      <x:c r="FE36" s="1052">
        <x:f t="shared" si="84"/>
        <x:v>0</x:v>
      </x:c>
      <x:c r="FF36" s="1052">
        <x:f t="shared" si="85"/>
        <x:v>0</x:v>
      </x:c>
      <x:c r="FG36" s="1052" t="str">
        <x:f t="shared" si="86"/>
        <x:v/>
      </x:c>
      <x:c r="FH36" s="1053" t="str">
        <x:f t="shared" si="87"/>
        <x:v/>
      </x:c>
      <x:c r="FI36" s="1052">
        <x:f t="shared" si="106"/>
        <x:v>0</x:v>
      </x:c>
      <x:c r="FJ36" s="1052">
        <x:f t="shared" si="88"/>
        <x:v>0</x:v>
      </x:c>
      <x:c r="FK36" s="1052">
        <x:f t="shared" si="89"/>
        <x:v>0</x:v>
      </x:c>
      <x:c r="FL36" s="1052" t="str">
        <x:f t="shared" si="90"/>
        <x:v/>
      </x:c>
      <x:c r="FM36" s="1053" t="str">
        <x:f t="shared" si="91"/>
        <x:v/>
      </x:c>
      <x:c r="FN36" s="1053" t="e">
        <x:f t="shared" si="92"/>
        <x:v>#VALUE!</x:v>
      </x:c>
      <x:c r="FO36" s="1062" t="e">
        <x:f t="shared" si="93"/>
        <x:v>#VALUE!</x:v>
      </x:c>
      <x:c r="FP36" s="1062" t="e">
        <x:f t="shared" si="94"/>
        <x:v>#VALUE!</x:v>
      </x:c>
      <x:c r="FQ36" s="1063" t="e">
        <x:f t="shared" si="95"/>
        <x:v>#VALUE!</x:v>
      </x:c>
      <x:c r="FR36" s="1064" t="e">
        <x:f t="shared" si="96"/>
        <x:v>#VALUE!</x:v>
      </x:c>
      <x:c r="FS36" s="1065" t="str">
        <x:f t="shared" si="97"/>
        <x:v/>
      </x:c>
      <x:c r="FT36" s="1066" t="str">
        <x:f t="shared" si="98"/>
        <x:v/>
      </x:c>
      <x:c r="FU36" s="1105">
        <x:f t="shared" si="99"/>
        <x:v>0</x:v>
      </x:c>
      <x:c r="FV36" s="1106">
        <x:f t="shared" si="100"/>
        <x:v>0</x:v>
      </x:c>
      <x:c r="GA36" s="1975">
        <x:v>60</x:v>
      </x:c>
      <x:c r="GB36" s="1976">
        <x:v>0</x:v>
      </x:c>
      <x:c r="GC36" s="1977">
        <x:v>2</x:v>
      </x:c>
      <x:c r="GD36" s="1978">
        <x:v>-0.25</x:v>
      </x:c>
      <x:c r="GE36" s="1979">
        <x:v>0.116666666666667</x:v>
      </x:c>
      <x:c r="GF36" s="1980" t="str">
        <x:f t="shared" si="101"/>
        <x:v>J112</x:v>
      </x:c>
      <x:c r="GG36" s="1453"/>
      <x:c r="GH36" s="1454"/>
      <x:c r="GI36" s="1453"/>
      <x:c r="GJ36" s="1454"/>
      <x:c r="GK36" s="533">
        <x:f t="shared" si="102"/>
        <x:v>721.75</x:v>
      </x:c>
      <x:c r="GL36" s="534">
        <x:f t="shared" si="103"/>
        <x:v>721.78410967817581</x:v>
      </x:c>
      <x:c r="GM36" s="535">
        <x:f>IF(ABS(GK36-GL36)&gt;='Job Info.'!$L$22,ABS(GK36-GL36),0)</x:f>
        <x:v>0</x:v>
      </x:c>
      <x:c r="HA36" s="1658" t="s">
        <x:v>1436</x:v>
      </x:c>
      <x:c r="HB36" s="1659">
        <x:v>2</x:v>
      </x:c>
      <x:c r="HC36" s="1659" t="s">
        <x:v>1978</x:v>
      </x:c>
      <x:c r="HD36" s="1660">
        <x:v>60</x:v>
      </x:c>
      <x:c r="HE36" s="1661">
        <x:v>1.75</x:v>
      </x:c>
      <x:c r="HF36" s="1659">
        <x:v>0</x:v>
      </x:c>
      <x:c r="HG36" s="1659">
        <x:v>3.625</x:v>
      </x:c>
      <x:c r="HH36" s="1659" t="s">
        <x:v>114</x:v>
      </x:c>
      <x:c r="HI36" s="1662">
        <x:v>0</x:v>
      </x:c>
      <x:c r="HJ36" s="1659">
        <x:v>1.375</x:v>
      </x:c>
      <x:c r="HK36" s="1659" t="s">
        <x:v>114</x:v>
      </x:c>
      <x:c r="HL36" s="1659">
        <x:v>3</x:v>
      </x:c>
      <x:c r="HM36" s="1659">
        <x:v>3</x:v>
      </x:c>
      <x:c r="HN36" s="1659" t="s">
        <x:v>117</x:v>
      </x:c>
      <x:c r="HO36" s="1659" t="s">
        <x:v>117</x:v>
      </x:c>
      <x:c r="HP36" s="1659" t="s">
        <x:v>117</x:v>
      </x:c>
      <x:c r="HQ36" s="1662" t="s">
        <x:v>117</x:v>
      </x:c>
      <x:c r="HR36" s="1659" t="s">
        <x:v>117</x:v>
      </x:c>
      <x:c r="HS36" s="1659" t="s">
        <x:v>117</x:v>
      </x:c>
      <x:c r="HT36" s="1659" t="s">
        <x:v>117</x:v>
      </x:c>
      <x:c r="HU36" s="1659" t="s">
        <x:v>117</x:v>
      </x:c>
      <x:c r="HV36" s="1659" t="s">
        <x:v>117</x:v>
      </x:c>
      <x:c r="HW36" s="1661" t="s">
        <x:v>117</x:v>
      </x:c>
      <x:c r="HX36" s="1661">
        <x:v>0</x:v>
      </x:c>
      <x:c r="HY36" s="1661" t="s">
        <x:v>117</x:v>
      </x:c>
      <x:c r="HZ36" s="1661" t="s">
        <x:v>117</x:v>
      </x:c>
      <x:c r="IA36" s="1661" t="s">
        <x:v>2147</x:v>
      </x:c>
      <x:c r="IB36" s="1661"/>
      <x:c r="IC36" s="1661"/>
      <x:c r="ID36" s="1661"/>
      <x:c r="IE36" s="1661"/>
      <x:c r="IF36" s="1663"/>
    </x:row>
    <x:row r="37" spans="1:240" ht="12.6" customHeight="1" x14ac:dyDescent="0.25">
      <x:c r="A37" s="1264" t="s">
        <x:v>1437</x:v>
      </x:c>
      <x:c r="B37" s="1265">
        <x:v>4</x:v>
      </x:c>
      <x:c r="C37" s="1265" t="s">
        <x:v>1978</x:v>
      </x:c>
      <x:c r="D37" s="1261">
        <x:v>60</x:v>
      </x:c>
      <x:c r="E37" s="1366">
        <x:v>1.75</x:v>
      </x:c>
      <x:c r="F37" s="1328">
        <x:v>0</x:v>
      </x:c>
      <x:c r="G37" s="1262">
        <x:v>3.625</x:v>
      </x:c>
      <x:c r="H37" s="1266" t="s">
        <x:v>114</x:v>
      </x:c>
      <x:c r="I37" s="1261">
        <x:v>0</x:v>
      </x:c>
      <x:c r="J37" s="1262">
        <x:v>1.375</x:v>
      </x:c>
      <x:c r="K37" s="1370" t="s">
        <x:v>114</x:v>
      </x:c>
      <x:c r="L37" s="1327">
        <x:v>3</x:v>
      </x:c>
      <x:c r="M37" s="1329">
        <x:v>3</x:v>
      </x:c>
      <x:c r="N37" s="1263" t="str">
        <x:f t="shared" si="1"/>
        <x:v/>
      </x:c>
      <x:c r="O37" s="1262" t="str">
        <x:f t="shared" si="2"/>
        <x:v/>
      </x:c>
      <x:c r="P37" s="1260" t="str">
        <x:f t="shared" si="3"/>
        <x:v/>
      </x:c>
      <x:c r="Q37" s="1261" t="str">
        <x:f t="shared" si="4"/>
        <x:v/>
      </x:c>
      <x:c r="R37" s="1262" t="str">
        <x:f t="shared" si="5"/>
        <x:v/>
      </x:c>
      <x:c r="S37" s="1375" t="str">
        <x:f t="shared" si="6"/>
        <x:v/>
      </x:c>
      <x:c r="T37" s="1328" t="str">
        <x:f t="shared" si="7"/>
        <x:v/>
      </x:c>
      <x:c r="U37" s="1262" t="str">
        <x:f t="shared" si="8"/>
        <x:v/>
      </x:c>
      <x:c r="V37" s="1261" t="str">
        <x:f t="shared" si="9"/>
        <x:v/>
      </x:c>
      <x:c r="W37" s="1262" t="str">
        <x:f t="shared" si="10"/>
        <x:v/>
      </x:c>
      <x:c r="X37" s="1329">
        <x:f t="shared" si="11"/>
        <x:v>0</x:v>
      </x:c>
      <x:c r="Y37" s="1377" t="str">
        <x:f t="shared" si="12"/>
        <x:v/>
      </x:c>
      <x:c r="Z37" s="1378" t="str">
        <x:f t="shared" si="13"/>
        <x:v/>
      </x:c>
      <x:c r="AA37" s="2159" t="s">
        <x:v>2148</x:v>
      </x:c>
      <x:c r="AC37" s="1226" t="b">
        <x:v>0</x:v>
      </x:c>
      <x:c r="AD37" s="525">
        <x:f t="shared" si="14"/>
        <x:v>0</x:v>
      </x:c>
      <x:c r="AE37" s="526">
        <x:f t="shared" si="15"/>
        <x:v>4</x:v>
      </x:c>
      <x:c r="AF37" s="526">
        <x:f t="shared" si="16"/>
        <x:v>0</x:v>
      </x:c>
      <x:c r="AG37" s="526">
        <x:f t="shared" si="17"/>
        <x:v>0</x:v>
      </x:c>
      <x:c r="AH37" s="527">
        <x:f t="shared" si="18"/>
        <x:v>0</x:v>
      </x:c>
      <x:c r="AI37" s="528" t="b">
        <x:v>0</x:v>
      </x:c>
      <x:c r="AJ37" s="284">
        <x:f t="shared" si="19"/>
        <x:v>36</x:v>
      </x:c>
      <x:c r="AK37" s="1063" t="str">
        <x:f t="shared" si="20"/>
        <x:v>LH</x:v>
      </x:c>
      <x:c r="AL37" s="1202" t="str">
        <x:f t="shared" si="21"/>
        <x:v/>
      </x:c>
      <x:c r="AM37" s="1063">
        <x:f t="shared" si="22"/>
        <x:v>270</x:v>
      </x:c>
      <x:c r="AN37" s="1063">
        <x:f t="shared" si="23"/>
        <x:v>120</x:v>
      </x:c>
      <x:c r="AO37" s="1063" t="str">
        <x:f t="shared" si="24"/>
        <x:v/>
      </x:c>
      <x:c r="AP37" s="1063" t="b">
        <x:f>IF(ISERROR(AJ37),FALSE,IF(OR(AJ37=0,ISERROR(AL37),ISERROR(AM37),ISERROR(AN37),ISERROR(AO37)),FALSE,IF(AL37&lt;&gt;"",IF(ISERROR(VLOOKUP(SUBSTITUTE(SUBSTITUTE(C37,"R",""),"A",""),TblJoistSize!$A:$A,1,FALSE)),FALSE,TRUE),TRUE)))</x:f>
        <x:v>1</x:v>
      </x:c>
      <x:c r="AQ37" s="1305">
        <x:f t="shared" si="25"/>
        <x:v>9.625</x:v>
      </x:c>
      <x:c r="AR37" s="1305" t="b">
        <x:f t="shared" si="26"/>
        <x:v>0</x:v>
      </x:c>
      <x:c r="AS37" s="1305">
        <x:f t="shared" si="27"/>
        <x:v>7.375</x:v>
      </x:c>
      <x:c r="AT37" s="1305" t="b">
        <x:f t="shared" si="28"/>
        <x:v>0</x:v>
      </x:c>
      <x:c r="AU37" s="1203" t="str">
        <x:f t="shared" si="29"/>
        <x:v>LH</x:v>
      </x:c>
      <x:c r="AV37" s="1063" t="str">
        <x:f t="shared" si="30"/>
        <x:v/>
      </x:c>
      <x:c r="AW37" s="1063" t="str">
        <x:f t="shared" si="31"/>
        <x:v>LH</x:v>
      </x:c>
      <x:c r="AX37" s="1063" t="str">
        <x:f t="shared" si="104"/>
        <x:v>J113</x:v>
      </x:c>
      <x:c r="AY37" s="1306" t="b">
        <x:f t="shared" si="32"/>
        <x:v>0</x:v>
      </x:c>
      <x:c r="AZ37" s="1090" t="b">
        <x:f t="shared" si="33"/>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4"/>
        <x:v/>
      </x:c>
      <x:c r="CE37" s="935" t="str">
        <x:f t="shared" si="35"/>
        <x:v/>
      </x:c>
      <x:c r="CF37" s="1149"/>
      <x:c r="CG37" s="1150"/>
      <x:c r="CH37" s="738" t="str">
        <x:f t="shared" si="36"/>
        <x:v/>
      </x:c>
      <x:c r="CI37" s="739" t="str">
        <x:f t="shared" si="37"/>
        <x:v/>
      </x:c>
      <x:c r="CJ37" s="740" t="str">
        <x:f t="shared" si="38"/>
        <x:v/>
      </x:c>
      <x:c r="CK37" s="741" t="str">
        <x:f t="shared" si="39"/>
        <x:v/>
      </x:c>
      <x:c r="CL37" s="742" t="str">
        <x:f t="shared" si="40"/>
        <x:v/>
      </x:c>
      <x:c r="CM37" s="743" t="str">
        <x:f t="shared" si="41"/>
        <x:v/>
      </x:c>
      <x:c r="CN37" s="744" t="str">
        <x:f t="shared" si="42"/>
        <x:v/>
      </x:c>
      <x:c r="CO37" s="745" t="str">
        <x:f t="shared" si="43"/>
        <x:v/>
      </x:c>
      <x:c r="CP37" s="762" t="str">
        <x:f t="shared" si="44"/>
        <x:v/>
      </x:c>
      <x:c r="CQ37" s="763" t="str">
        <x:f t="shared" si="45"/>
        <x:v/>
      </x:c>
      <x:c r="CR37" s="953">
        <x:f t="shared" si="46"/>
        <x:v>5</x:v>
      </x:c>
      <x:c r="CS37" s="954">
        <x:f t="shared" si="47"/>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8"/>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9"/>
        <x:v>0</x:v>
      </x:c>
      <x:c r="DO37" s="1049">
        <x:f t="shared" si="50"/>
        <x:v>0</x:v>
      </x:c>
      <x:c r="DP37" s="1053" t="str">
        <x:f t="shared" si="51"/>
        <x:v/>
      </x:c>
      <x:c r="DQ37" s="1053" t="str">
        <x:f t="shared" si="52"/>
        <x:v/>
      </x:c>
      <x:c r="DR37" s="1053" t="str">
        <x:f t="shared" si="53"/>
        <x:v/>
      </x:c>
      <x:c r="DS37" s="1052">
        <x:f t="shared" si="54"/>
        <x:v>0</x:v>
      </x:c>
      <x:c r="DT37" s="1052">
        <x:f t="shared" si="55"/>
        <x:v>0</x:v>
      </x:c>
      <x:c r="DU37" s="1052" t="str">
        <x:f t="shared" si="56"/>
        <x:v/>
      </x:c>
      <x:c r="DV37" s="1053" t="str">
        <x:f t="shared" si="57"/>
        <x:v/>
      </x:c>
      <x:c r="DW37" s="1053" t="str">
        <x:f t="shared" si="58"/>
        <x:v/>
      </x:c>
      <x:c r="DX37" s="1269">
        <x:f t="shared" si="59"/>
        <x:v>0</x:v>
      </x:c>
      <x:c r="DY37" s="1053">
        <x:f t="shared" si="60"/>
        <x:v>0</x:v>
      </x:c>
      <x:c r="DZ37" s="1052">
        <x:f t="shared" si="61"/>
        <x:v>0</x:v>
      </x:c>
      <x:c r="EA37" s="1052" t="str">
        <x:f t="shared" si="62"/>
        <x:v/>
      </x:c>
      <x:c r="EB37" s="1053" t="str">
        <x:f t="shared" si="63"/>
        <x:v/>
      </x:c>
      <x:c r="EC37" s="1053" t="str">
        <x:f t="shared" si="64"/>
        <x:v/>
      </x:c>
      <x:c r="ED37" s="1269">
        <x:f t="shared" si="65"/>
        <x:v>0</x:v>
      </x:c>
      <x:c r="EE37" s="1090" t="str">
        <x:f t="shared" si="66"/>
        <x:v/>
      </x:c>
      <x:c r="EF37" s="1053" t="str">
        <x:f t="shared" si="67"/>
        <x:v/>
      </x:c>
      <x:c r="EG37" s="1053" t="str">
        <x:f t="shared" si="68"/>
        <x:v/>
      </x:c>
      <x:c r="EH37" s="1053" t="str">
        <x:f t="shared" si="69"/>
        <x:v>ERR</x:v>
      </x:c>
      <x:c r="EI37" s="1053" t="str">
        <x:f t="shared" si="70"/>
        <x:v>ERR</x:v>
      </x:c>
      <x:c r="EJ37" s="1053" t="str">
        <x:f t="shared" si="71"/>
        <x:v/>
      </x:c>
      <x:c r="EK37" s="1053" t="str">
        <x:f t="shared" si="71"/>
        <x:v/>
      </x:c>
      <x:c r="EL37" s="1090" t="str">
        <x:f t="shared" si="72"/>
        <x:v/>
      </x:c>
      <x:c r="EM37" s="1053" t="str">
        <x:f t="shared" si="73"/>
        <x:v/>
      </x:c>
      <x:c r="EN37" s="1053" t="str">
        <x:f t="shared" si="74"/>
        <x:v/>
      </x:c>
      <x:c r="EO37" s="1053" t="str">
        <x:f t="shared" si="75"/>
        <x:v>ERR</x:v>
      </x:c>
      <x:c r="EP37" s="1053" t="str">
        <x:f t="shared" si="76"/>
        <x:v>ERR</x:v>
      </x:c>
      <x:c r="EQ37" s="1053" t="str">
        <x:f t="shared" si="77"/>
        <x:v/>
      </x:c>
      <x:c r="ER37" s="1053" t="str">
        <x:f t="shared" si="77"/>
        <x:v/>
      </x:c>
      <x:c r="ES37" s="1053" t="str">
        <x:f t="shared" si="78"/>
        <x:v/>
      </x:c>
      <x:c r="ET37" s="1053" t="str">
        <x:f t="shared" si="79"/>
        <x:v/>
      </x:c>
      <x:c r="EU37" s="1061">
        <x:f t="shared" si="80"/>
        <x:v>4</x:v>
      </x:c>
      <x:c r="EV37" s="1055" t="str">
        <x:f t="shared" si="81"/>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2"/>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3"/>
        <x:v/>
      </x:c>
      <x:c r="FD37" s="1052">
        <x:f t="shared" si="105"/>
        <x:v>0</x:v>
      </x:c>
      <x:c r="FE37" s="1052">
        <x:f t="shared" si="84"/>
        <x:v>0</x:v>
      </x:c>
      <x:c r="FF37" s="1052">
        <x:f t="shared" si="85"/>
        <x:v>0</x:v>
      </x:c>
      <x:c r="FG37" s="1052" t="str">
        <x:f t="shared" si="86"/>
        <x:v/>
      </x:c>
      <x:c r="FH37" s="1053" t="str">
        <x:f t="shared" si="87"/>
        <x:v/>
      </x:c>
      <x:c r="FI37" s="1052">
        <x:f t="shared" si="106"/>
        <x:v>0</x:v>
      </x:c>
      <x:c r="FJ37" s="1052">
        <x:f t="shared" si="88"/>
        <x:v>0</x:v>
      </x:c>
      <x:c r="FK37" s="1052">
        <x:f t="shared" si="89"/>
        <x:v>0</x:v>
      </x:c>
      <x:c r="FL37" s="1052" t="str">
        <x:f t="shared" si="90"/>
        <x:v/>
      </x:c>
      <x:c r="FM37" s="1053" t="str">
        <x:f t="shared" si="91"/>
        <x:v/>
      </x:c>
      <x:c r="FN37" s="1053" t="e">
        <x:f t="shared" si="92"/>
        <x:v>#VALUE!</x:v>
      </x:c>
      <x:c r="FO37" s="1062" t="e">
        <x:f t="shared" si="93"/>
        <x:v>#VALUE!</x:v>
      </x:c>
      <x:c r="FP37" s="1062" t="e">
        <x:f t="shared" si="94"/>
        <x:v>#VALUE!</x:v>
      </x:c>
      <x:c r="FQ37" s="1063" t="e">
        <x:f t="shared" si="95"/>
        <x:v>#VALUE!</x:v>
      </x:c>
      <x:c r="FR37" s="1064" t="e">
        <x:f t="shared" si="96"/>
        <x:v>#VALUE!</x:v>
      </x:c>
      <x:c r="FS37" s="1065" t="str">
        <x:f t="shared" si="97"/>
        <x:v/>
      </x:c>
      <x:c r="FT37" s="1066" t="str">
        <x:f t="shared" si="98"/>
        <x:v/>
      </x:c>
      <x:c r="FU37" s="1105">
        <x:f t="shared" si="99"/>
        <x:v>0</x:v>
      </x:c>
      <x:c r="FV37" s="1106">
        <x:f t="shared" si="100"/>
        <x:v>0</x:v>
      </x:c>
      <x:c r="GA37" s="1975">
        <x:v>60</x:v>
      </x:c>
      <x:c r="GB37" s="1976">
        <x:v>0</x:v>
      </x:c>
      <x:c r="GC37" s="1977">
        <x:v>2</x:v>
      </x:c>
      <x:c r="GD37" s="1978">
        <x:v>-0.25</x:v>
      </x:c>
      <x:c r="GE37" s="1979">
        <x:v>0.116666666666667</x:v>
      </x:c>
      <x:c r="GF37" s="1980" t="str">
        <x:f t="shared" si="101"/>
        <x:v>J113</x:v>
      </x:c>
      <x:c r="GG37" s="1453"/>
      <x:c r="GH37" s="1454"/>
      <x:c r="GI37" s="1453"/>
      <x:c r="GJ37" s="1454"/>
      <x:c r="GK37" s="533">
        <x:f t="shared" si="102"/>
        <x:v>721.75</x:v>
      </x:c>
      <x:c r="GL37" s="534">
        <x:f t="shared" si="103"/>
        <x:v>721.78410967817581</x:v>
      </x:c>
      <x:c r="GM37" s="535">
        <x:f>IF(ABS(GK37-GL37)&gt;='Job Info.'!$L$22,ABS(GK37-GL37),0)</x:f>
        <x:v>0</x:v>
      </x:c>
      <x:c r="HA37" s="1658" t="s">
        <x:v>1437</x:v>
      </x:c>
      <x:c r="HB37" s="1659">
        <x:v>4</x:v>
      </x:c>
      <x:c r="HC37" s="1659" t="s">
        <x:v>1978</x:v>
      </x:c>
      <x:c r="HD37" s="1660">
        <x:v>60</x:v>
      </x:c>
      <x:c r="HE37" s="1661">
        <x:v>1.75</x:v>
      </x:c>
      <x:c r="HF37" s="1659">
        <x:v>0</x:v>
      </x:c>
      <x:c r="HG37" s="1659">
        <x:v>3.625</x:v>
      </x:c>
      <x:c r="HH37" s="1659" t="s">
        <x:v>114</x:v>
      </x:c>
      <x:c r="HI37" s="1662">
        <x:v>0</x:v>
      </x:c>
      <x:c r="HJ37" s="1659">
        <x:v>1.375</x:v>
      </x:c>
      <x:c r="HK37" s="1659" t="s">
        <x:v>114</x:v>
      </x:c>
      <x:c r="HL37" s="1659">
        <x:v>3</x:v>
      </x:c>
      <x:c r="HM37" s="1659">
        <x:v>3</x:v>
      </x:c>
      <x:c r="HN37" s="1659" t="s">
        <x:v>117</x:v>
      </x:c>
      <x:c r="HO37" s="1659" t="s">
        <x:v>117</x:v>
      </x:c>
      <x:c r="HP37" s="1659" t="s">
        <x:v>117</x:v>
      </x:c>
      <x:c r="HQ37" s="1662" t="s">
        <x:v>117</x:v>
      </x:c>
      <x:c r="HR37" s="1659" t="s">
        <x:v>117</x:v>
      </x:c>
      <x:c r="HS37" s="1659" t="s">
        <x:v>117</x:v>
      </x:c>
      <x:c r="HT37" s="1659" t="s">
        <x:v>117</x:v>
      </x:c>
      <x:c r="HU37" s="1659" t="s">
        <x:v>117</x:v>
      </x:c>
      <x:c r="HV37" s="1659" t="s">
        <x:v>117</x:v>
      </x:c>
      <x:c r="HW37" s="1661" t="s">
        <x:v>117</x:v>
      </x:c>
      <x:c r="HX37" s="1661">
        <x:v>0</x:v>
      </x:c>
      <x:c r="HY37" s="1661" t="s">
        <x:v>117</x:v>
      </x:c>
      <x:c r="HZ37" s="1661" t="s">
        <x:v>117</x:v>
      </x:c>
      <x:c r="IA37" s="1661" t="s">
        <x:v>2148</x:v>
      </x:c>
      <x:c r="IB37" s="1661"/>
      <x:c r="IC37" s="1661"/>
      <x:c r="ID37" s="1661"/>
      <x:c r="IE37" s="1661"/>
      <x:c r="IF37" s="1663"/>
    </x:row>
    <x:row r="38" spans="1:240" ht="12.6" customHeight="1" x14ac:dyDescent="0.25">
      <x:c r="A38" s="1264" t="s">
        <x:v>1438</x:v>
      </x:c>
      <x:c r="B38" s="1265">
        <x:v>7</x:v>
      </x:c>
      <x:c r="C38" s="1265" t="s">
        <x:v>1978</x:v>
      </x:c>
      <x:c r="D38" s="1261">
        <x:v>59</x:v>
      </x:c>
      <x:c r="E38" s="1366">
        <x:v>0.625</x:v>
      </x:c>
      <x:c r="F38" s="1328" t="str">
        <x:f t="shared" ref="F38:F44" si="110">IF(DX38=0,"",TRUNC(DX38/12))</x:f>
        <x:v/>
      </x:c>
      <x:c r="G38" s="1262" t="str">
        <x:f t="shared" ref="G38:G44" si="111">IF(DX38=0,"",DX38-(F38*12))</x:f>
        <x:v/>
      </x:c>
      <x:c r="H38" s="1266" t="str">
        <x:f t="shared" ref="H38:H44" si="112">IF(DX38=0,"",CW38)</x:f>
        <x:v/>
      </x:c>
      <x:c r="I38" s="1261">
        <x:v>0</x:v>
      </x:c>
      <x:c r="J38" s="1262">
        <x:v>1.375</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7"/>
        <x:v/>
      </x:c>
      <x:c r="U38" s="1262" t="str">
        <x:f t="shared" si="8"/>
        <x:v/>
      </x:c>
      <x:c r="V38" s="1261" t="str">
        <x:f t="shared" si="9"/>
        <x:v/>
      </x:c>
      <x:c r="W38" s="1262" t="str">
        <x:f t="shared" si="10"/>
        <x:v/>
      </x:c>
      <x:c r="X38" s="1329">
        <x:f t="shared" si="11"/>
        <x:v>0</x:v>
      </x:c>
      <x:c r="Y38" s="1377" t="str">
        <x:f t="shared" si="12"/>
        <x:v/>
      </x:c>
      <x:c r="Z38" s="1378" t="str">
        <x:f t="shared" si="13"/>
        <x:v/>
      </x:c>
      <x:c r="AA38" s="2159" t="s">
        <x:v>2149</x:v>
      </x:c>
      <x:c r="AC38" s="1226" t="b">
        <x:v>0</x:v>
      </x:c>
      <x:c r="AD38" s="525">
        <x:f t="shared" si="14"/>
        <x:v>0</x:v>
      </x:c>
      <x:c r="AE38" s="526">
        <x:f t="shared" si="15"/>
        <x:v>7</x:v>
      </x:c>
      <x:c r="AF38" s="526">
        <x:f t="shared" si="16"/>
        <x:v>0</x:v>
      </x:c>
      <x:c r="AG38" s="526">
        <x:f t="shared" si="17"/>
        <x:v>0</x:v>
      </x:c>
      <x:c r="AH38" s="527">
        <x:f t="shared" si="18"/>
        <x:v>0</x:v>
      </x:c>
      <x:c r="AI38" s="528" t="b">
        <x:v>0</x:v>
      </x:c>
      <x:c r="AJ38" s="284">
        <x:f t="shared" si="19"/>
        <x:v>36</x:v>
      </x:c>
      <x:c r="AK38" s="1063" t="str">
        <x:f t="shared" si="20"/>
        <x:v>LH</x:v>
      </x:c>
      <x:c r="AL38" s="1202" t="str">
        <x:f t="shared" si="21"/>
        <x:v/>
      </x:c>
      <x:c r="AM38" s="1063">
        <x:f t="shared" si="22"/>
        <x:v>270</x:v>
      </x:c>
      <x:c r="AN38" s="1063">
        <x:f t="shared" si="23"/>
        <x:v>120</x:v>
      </x:c>
      <x:c r="AO38" s="1063" t="str">
        <x:f t="shared" si="24"/>
        <x:v/>
      </x:c>
      <x:c r="AP38" s="1063" t="b">
        <x:f>IF(ISERROR(AJ38),FALSE,IF(OR(AJ38=0,ISERROR(AL38),ISERROR(AM38),ISERROR(AN38),ISERROR(AO38)),FALSE,IF(AL38&lt;&gt;"",IF(ISERROR(VLOOKUP(SUBSTITUTE(SUBSTITUTE(C38,"R",""),"A",""),TblJoistSize!$A:$A,1,FALSE)),FALSE,TRUE),TRUE)))</x:f>
        <x:v>1</x:v>
      </x:c>
      <x:c r="AQ38" s="1305">
        <x:f t="shared" si="25"/>
        <x:v>6</x:v>
      </x:c>
      <x:c r="AR38" s="1305" t="b">
        <x:f t="shared" si="26"/>
        <x:v>0</x:v>
      </x:c>
      <x:c r="AS38" s="1305">
        <x:f t="shared" si="27"/>
        <x:v>7.375</x:v>
      </x:c>
      <x:c r="AT38" s="1305" t="b">
        <x:f t="shared" si="28"/>
        <x:v>0</x:v>
      </x:c>
      <x:c r="AU38" s="1203" t="str">
        <x:f t="shared" si="29"/>
        <x:v>LH</x:v>
      </x:c>
      <x:c r="AV38" s="1063" t="str">
        <x:f t="shared" si="30"/>
        <x:v/>
      </x:c>
      <x:c r="AW38" s="1063" t="str">
        <x:f t="shared" si="31"/>
        <x:v>LH</x:v>
      </x:c>
      <x:c r="AX38" s="1063" t="str">
        <x:f t="shared" si="104"/>
        <x:v>J114</x:v>
      </x:c>
      <x:c r="AY38" s="1306" t="b">
        <x:f t="shared" si="32"/>
        <x:v>0</x:v>
      </x:c>
      <x:c r="AZ38" s="1090" t="b">
        <x:f t="shared" si="33"/>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4"/>
        <x:v/>
      </x:c>
      <x:c r="CE38" s="935" t="str">
        <x:f t="shared" si="35"/>
        <x:v/>
      </x:c>
      <x:c r="CF38" s="1149"/>
      <x:c r="CG38" s="1150"/>
      <x:c r="CH38" s="738" t="str">
        <x:f t="shared" si="36"/>
        <x:v/>
      </x:c>
      <x:c r="CI38" s="739" t="str">
        <x:f t="shared" si="37"/>
        <x:v/>
      </x:c>
      <x:c r="CJ38" s="740" t="str">
        <x:f t="shared" si="38"/>
        <x:v/>
      </x:c>
      <x:c r="CK38" s="741" t="str">
        <x:f t="shared" si="39"/>
        <x:v/>
      </x:c>
      <x:c r="CL38" s="742" t="str">
        <x:f t="shared" si="40"/>
        <x:v/>
      </x:c>
      <x:c r="CM38" s="743" t="str">
        <x:f t="shared" si="41"/>
        <x:v/>
      </x:c>
      <x:c r="CN38" s="744" t="str">
        <x:f t="shared" si="42"/>
        <x:v/>
      </x:c>
      <x:c r="CO38" s="745" t="str">
        <x:f t="shared" si="43"/>
        <x:v/>
      </x:c>
      <x:c r="CP38" s="762" t="str">
        <x:f t="shared" si="44"/>
        <x:v/>
      </x:c>
      <x:c r="CQ38" s="763" t="str">
        <x:f t="shared" si="45"/>
        <x:v/>
      </x:c>
      <x:c r="CR38" s="953">
        <x:f t="shared" si="46"/>
        <x:v>5</x:v>
      </x:c>
      <x:c r="CS38" s="954">
        <x:f t="shared" si="47"/>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8"/>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9"/>
        <x:v>0</x:v>
      </x:c>
      <x:c r="DO38" s="1049">
        <x:f t="shared" si="50"/>
        <x:v>0</x:v>
      </x:c>
      <x:c r="DP38" s="1053" t="str">
        <x:f t="shared" si="51"/>
        <x:v/>
      </x:c>
      <x:c r="DQ38" s="1053" t="str">
        <x:f t="shared" si="52"/>
        <x:v/>
      </x:c>
      <x:c r="DR38" s="1053" t="str">
        <x:f t="shared" si="53"/>
        <x:v/>
      </x:c>
      <x:c r="DS38" s="1052">
        <x:f t="shared" si="54"/>
        <x:v>0</x:v>
      </x:c>
      <x:c r="DT38" s="1052">
        <x:f t="shared" si="55"/>
        <x:v>0</x:v>
      </x:c>
      <x:c r="DU38" s="1052" t="str">
        <x:f t="shared" si="56"/>
        <x:v/>
      </x:c>
      <x:c r="DV38" s="1053" t="str">
        <x:f t="shared" si="57"/>
        <x:v/>
      </x:c>
      <x:c r="DW38" s="1053" t="str">
        <x:f t="shared" si="58"/>
        <x:v/>
      </x:c>
      <x:c r="DX38" s="1269">
        <x:f t="shared" si="59"/>
        <x:v>0</x:v>
      </x:c>
      <x:c r="DY38" s="1053">
        <x:f t="shared" si="60"/>
        <x:v>0</x:v>
      </x:c>
      <x:c r="DZ38" s="1052">
        <x:f t="shared" si="61"/>
        <x:v>0</x:v>
      </x:c>
      <x:c r="EA38" s="1052" t="str">
        <x:f t="shared" si="62"/>
        <x:v/>
      </x:c>
      <x:c r="EB38" s="1053" t="str">
        <x:f t="shared" si="63"/>
        <x:v/>
      </x:c>
      <x:c r="EC38" s="1053" t="str">
        <x:f t="shared" si="64"/>
        <x:v/>
      </x:c>
      <x:c r="ED38" s="1269">
        <x:f t="shared" si="65"/>
        <x:v>0</x:v>
      </x:c>
      <x:c r="EE38" s="1090" t="str">
        <x:f t="shared" si="66"/>
        <x:v/>
      </x:c>
      <x:c r="EF38" s="1053" t="str">
        <x:f t="shared" si="67"/>
        <x:v/>
      </x:c>
      <x:c r="EG38" s="1053" t="str">
        <x:f t="shared" si="68"/>
        <x:v/>
      </x:c>
      <x:c r="EH38" s="1053" t="str">
        <x:f t="shared" si="69"/>
        <x:v>ERR</x:v>
      </x:c>
      <x:c r="EI38" s="1053" t="str">
        <x:f t="shared" si="70"/>
        <x:v>ERR</x:v>
      </x:c>
      <x:c r="EJ38" s="1053" t="str">
        <x:f t="shared" si="71"/>
        <x:v/>
      </x:c>
      <x:c r="EK38" s="1053" t="str">
        <x:f t="shared" si="71"/>
        <x:v/>
      </x:c>
      <x:c r="EL38" s="1090" t="str">
        <x:f t="shared" si="72"/>
        <x:v/>
      </x:c>
      <x:c r="EM38" s="1053" t="str">
        <x:f t="shared" si="73"/>
        <x:v/>
      </x:c>
      <x:c r="EN38" s="1053" t="str">
        <x:f t="shared" si="74"/>
        <x:v/>
      </x:c>
      <x:c r="EO38" s="1053" t="str">
        <x:f t="shared" si="75"/>
        <x:v>ERR</x:v>
      </x:c>
      <x:c r="EP38" s="1053" t="str">
        <x:f t="shared" si="76"/>
        <x:v>ERR</x:v>
      </x:c>
      <x:c r="EQ38" s="1053" t="str">
        <x:f t="shared" si="77"/>
        <x:v/>
      </x:c>
      <x:c r="ER38" s="1053" t="str">
        <x:f t="shared" si="77"/>
        <x:v/>
      </x:c>
      <x:c r="ES38" s="1053" t="str">
        <x:f t="shared" si="78"/>
        <x:v/>
      </x:c>
      <x:c r="ET38" s="1053" t="str">
        <x:f t="shared" si="79"/>
        <x:v/>
      </x:c>
      <x:c r="EU38" s="1061">
        <x:f t="shared" si="80"/>
        <x:v>4</x:v>
      </x:c>
      <x:c r="EV38" s="1055" t="str">
        <x:f t="shared" si="81"/>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2"/>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3"/>
        <x:v/>
      </x:c>
      <x:c r="FD38" s="1052">
        <x:f t="shared" si="105"/>
        <x:v>0</x:v>
      </x:c>
      <x:c r="FE38" s="1052">
        <x:f t="shared" si="84"/>
        <x:v>0</x:v>
      </x:c>
      <x:c r="FF38" s="1052">
        <x:f t="shared" si="85"/>
        <x:v>0</x:v>
      </x:c>
      <x:c r="FG38" s="1052" t="str">
        <x:f t="shared" si="86"/>
        <x:v/>
      </x:c>
      <x:c r="FH38" s="1053" t="str">
        <x:f t="shared" si="87"/>
        <x:v/>
      </x:c>
      <x:c r="FI38" s="1052">
        <x:f t="shared" si="106"/>
        <x:v>0</x:v>
      </x:c>
      <x:c r="FJ38" s="1052">
        <x:f t="shared" si="88"/>
        <x:v>0</x:v>
      </x:c>
      <x:c r="FK38" s="1052">
        <x:f t="shared" si="89"/>
        <x:v>0</x:v>
      </x:c>
      <x:c r="FL38" s="1052" t="str">
        <x:f t="shared" si="90"/>
        <x:v/>
      </x:c>
      <x:c r="FM38" s="1053" t="str">
        <x:f t="shared" si="91"/>
        <x:v/>
      </x:c>
      <x:c r="FN38" s="1053" t="e">
        <x:f t="shared" si="92"/>
        <x:v>#VALUE!</x:v>
      </x:c>
      <x:c r="FO38" s="1062" t="e">
        <x:f t="shared" si="93"/>
        <x:v>#VALUE!</x:v>
      </x:c>
      <x:c r="FP38" s="1062" t="e">
        <x:f t="shared" si="94"/>
        <x:v>#VALUE!</x:v>
      </x:c>
      <x:c r="FQ38" s="1063" t="e">
        <x:f t="shared" si="95"/>
        <x:v>#VALUE!</x:v>
      </x:c>
      <x:c r="FR38" s="1064" t="e">
        <x:f t="shared" si="96"/>
        <x:v>#VALUE!</x:v>
      </x:c>
      <x:c r="FS38" s="1065" t="str">
        <x:f t="shared" si="97"/>
        <x:v/>
      </x:c>
      <x:c r="FT38" s="1066" t="str">
        <x:f t="shared" si="98"/>
        <x:v/>
      </x:c>
      <x:c r="FU38" s="1105">
        <x:f t="shared" si="99"/>
        <x:v>0</x:v>
      </x:c>
      <x:c r="FV38" s="1106">
        <x:f t="shared" si="100"/>
        <x:v>0</x:v>
      </x:c>
      <x:c r="GA38" s="1975">
        <x:v>59</x:v>
      </x:c>
      <x:c r="GB38" s="1976">
        <x:v>2.75</x:v>
      </x:c>
      <x:c r="GC38" s="1977">
        <x:v>-1.875</x:v>
      </x:c>
      <x:c r="GD38" s="1978">
        <x:v>-0.25</x:v>
      </x:c>
      <x:c r="GE38" s="1979">
        <x:v>0.227928244811819</x:v>
      </x:c>
      <x:c r="GF38" s="1980" t="str">
        <x:f t="shared" si="101"/>
        <x:v>J114</x:v>
      </x:c>
      <x:c r="GG38" s="1453"/>
      <x:c r="GH38" s="1454"/>
      <x:c r="GI38" s="1453"/>
      <x:c r="GJ38" s="1454"/>
      <x:c r="GK38" s="533">
        <x:f t="shared" si="102"/>
        <x:v>708.625</x:v>
      </x:c>
      <x:c r="GL38" s="534">
        <x:f t="shared" si="103"/>
        <x:v>708.75281478960926</x:v>
      </x:c>
      <x:c r="GM38" s="535">
        <x:f>IF(ABS(GK38-GL38)&gt;='Job Info.'!$L$22,ABS(GK38-GL38),0)</x:f>
        <x:v>0</x:v>
      </x:c>
      <x:c r="HA38" s="1658" t="s">
        <x:v>1438</x:v>
      </x:c>
      <x:c r="HB38" s="1659">
        <x:v>7</x:v>
      </x:c>
      <x:c r="HC38" s="1659" t="s">
        <x:v>1978</x:v>
      </x:c>
      <x:c r="HD38" s="1660">
        <x:v>59</x:v>
      </x:c>
      <x:c r="HE38" s="1661">
        <x:v>0.625</x:v>
      </x:c>
      <x:c r="HF38" s="1659" t="s">
        <x:v>117</x:v>
      </x:c>
      <x:c r="HG38" s="1659" t="s">
        <x:v>117</x:v>
      </x:c>
      <x:c r="HH38" s="1659" t="s">
        <x:v>117</x:v>
      </x:c>
      <x:c r="HI38" s="1662">
        <x:v>0</x:v>
      </x:c>
      <x:c r="HJ38" s="1659">
        <x:v>1.375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2149</x:v>
      </x:c>
      <x:c r="IB38" s="1661"/>
      <x:c r="IC38" s="1661"/>
      <x:c r="ID38" s="1661"/>
      <x:c r="IE38" s="1661"/>
      <x:c r="IF38" s="1663"/>
    </x:row>
    <x:row r="39" spans="1:240" ht="12.6" customHeight="1" x14ac:dyDescent="0.25">
      <x:c r="A39" s="1264" t="s">
        <x:v>1439</x:v>
      </x:c>
      <x:c r="B39" s="1265">
        <x:v>2</x:v>
      </x:c>
      <x:c r="C39" s="1265" t="s">
        <x:v>1978</x:v>
      </x:c>
      <x:c r="D39" s="1261">
        <x:v>59</x:v>
      </x:c>
      <x:c r="E39" s="1366">
        <x:v>0.625</x:v>
      </x:c>
      <x:c r="F39" s="1328" t="str">
        <x:f t="shared" si="110"/>
        <x:v/>
      </x:c>
      <x:c r="G39" s="1262" t="str">
        <x:f t="shared" si="111"/>
        <x:v/>
      </x:c>
      <x:c r="H39" s="1266" t="str">
        <x:f t="shared" si="112"/>
        <x:v/>
      </x:c>
      <x:c r="I39" s="1261">
        <x:v>0</x:v>
      </x:c>
      <x:c r="J39" s="1262">
        <x:v>1.375</x:v>
      </x:c>
      <x:c r="K39" s="1370" t="s">
        <x:v>114</x:v>
      </x:c>
      <x:c r="L39" s="1327">
        <x:v>3</x:v>
      </x:c>
      <x:c r="M39" s="1329">
        <x:v>3</x:v>
      </x:c>
      <x:c r="N39" s="1263" t="str">
        <x:f t="shared" si="1"/>
        <x:v/>
      </x:c>
      <x:c r="O39" s="1262" t="str">
        <x:f t="shared" si="2"/>
        <x:v/>
      </x:c>
      <x:c r="P39" s="1260" t="str">
        <x:f t="shared" si="3"/>
        <x:v/>
      </x:c>
      <x:c r="Q39" s="1261" t="str">
        <x:f t="shared" si="4"/>
        <x:v/>
      </x:c>
      <x:c r="R39" s="1262" t="str">
        <x:f t="shared" si="5"/>
        <x:v/>
      </x:c>
      <x:c r="S39" s="1375" t="str">
        <x:f t="shared" si="6"/>
        <x:v/>
      </x:c>
      <x:c r="T39" s="1328">
        <x:v>0</x:v>
      </x:c>
      <x:c r="U39" s="1262">
        <x:v>1.125</x:v>
      </x:c>
      <x:c r="V39" s="1261">
        <x:v>0</x:v>
      </x:c>
      <x:c r="W39" s="1262">
        <x:v>2.25</x:v>
      </x:c>
      <x:c r="X39" s="1329">
        <x:v>4</x:v>
      </x:c>
      <x:c r="Y39" s="1377" t="str">
        <x:f t="shared" si="12"/>
        <x:v/>
      </x:c>
      <x:c r="Z39" s="1378" t="str">
        <x:f t="shared" si="13"/>
        <x:v/>
      </x:c>
      <x:c r="AA39" s="2159" t="s">
        <x:v>2149</x:v>
      </x:c>
      <x:c r="AC39" s="1226" t="b">
        <x:v>0</x:v>
      </x:c>
      <x:c r="AD39" s="525">
        <x:f t="shared" si="14"/>
        <x:v>0</x:v>
      </x:c>
      <x:c r="AE39" s="526">
        <x:f t="shared" si="15"/>
        <x:v>2</x:v>
      </x:c>
      <x:c r="AF39" s="526">
        <x:f t="shared" si="16"/>
        <x:v>0</x:v>
      </x:c>
      <x:c r="AG39" s="526">
        <x:f t="shared" si="17"/>
        <x:v>0</x:v>
      </x:c>
      <x:c r="AH39" s="527">
        <x:f t="shared" si="18"/>
        <x:v>0</x:v>
      </x:c>
      <x:c r="AI39" s="528" t="b">
        <x:v>0</x:v>
      </x:c>
      <x:c r="AJ39" s="284">
        <x:f t="shared" si="19"/>
        <x:v>36</x:v>
      </x:c>
      <x:c r="AK39" s="1063" t="str">
        <x:f t="shared" si="20"/>
        <x:v>LH</x:v>
      </x:c>
      <x:c r="AL39" s="1202" t="str">
        <x:f t="shared" si="21"/>
        <x:v/>
      </x:c>
      <x:c r="AM39" s="1063">
        <x:f t="shared" si="22"/>
        <x:v>270</x:v>
      </x:c>
      <x:c r="AN39" s="1063">
        <x:f t="shared" si="23"/>
        <x:v>120</x:v>
      </x:c>
      <x:c r="AO39" s="1063" t="str">
        <x:f t="shared" si="24"/>
        <x:v/>
      </x:c>
      <x:c r="AP39" s="1063" t="b">
        <x:f>IF(ISERROR(AJ39),FALSE,IF(OR(AJ39=0,ISERROR(AL39),ISERROR(AM39),ISERROR(AN39),ISERROR(AO39)),FALSE,IF(AL39&lt;&gt;"",IF(ISERROR(VLOOKUP(SUBSTITUTE(SUBSTITUTE(C39,"R",""),"A",""),TblJoistSize!$A:$A,1,FALSE)),FALSE,TRUE),TRUE)))</x:f>
        <x:v>1</x:v>
      </x:c>
      <x:c r="AQ39" s="1305">
        <x:f t="shared" si="25"/>
        <x:v>6</x:v>
      </x:c>
      <x:c r="AR39" s="1305" t="b">
        <x:f t="shared" si="26"/>
        <x:v>1</x:v>
      </x:c>
      <x:c r="AS39" s="1305">
        <x:f t="shared" si="27"/>
        <x:v>7.375</x:v>
      </x:c>
      <x:c r="AT39" s="1305" t="b">
        <x:f t="shared" si="28"/>
        <x:v>1</x:v>
      </x:c>
      <x:c r="AU39" s="1203" t="str">
        <x:f t="shared" si="29"/>
        <x:v>LH</x:v>
      </x:c>
      <x:c r="AV39" s="1063" t="str">
        <x:f t="shared" si="30"/>
        <x:v/>
      </x:c>
      <x:c r="AW39" s="1063" t="str">
        <x:f t="shared" si="31"/>
        <x:v>LH</x:v>
      </x:c>
      <x:c r="AX39" s="1063" t="str">
        <x:f t="shared" si="104"/>
        <x:v>TJ115</x:v>
      </x:c>
      <x:c r="AY39" s="1306" t="b">
        <x:f t="shared" si="32"/>
        <x:v>0</x:v>
      </x:c>
      <x:c r="AZ39" s="1090" t="b">
        <x:f t="shared" si="33"/>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4"/>
        <x:v/>
      </x:c>
      <x:c r="CE39" s="935" t="str">
        <x:f t="shared" si="35"/>
        <x:v/>
      </x:c>
      <x:c r="CF39" s="1149"/>
      <x:c r="CG39" s="1150"/>
      <x:c r="CH39" s="738" t="str">
        <x:f t="shared" si="36"/>
        <x:v/>
      </x:c>
      <x:c r="CI39" s="739" t="str">
        <x:f t="shared" si="37"/>
        <x:v/>
      </x:c>
      <x:c r="CJ39" s="740" t="str">
        <x:f t="shared" si="38"/>
        <x:v/>
      </x:c>
      <x:c r="CK39" s="741" t="str">
        <x:f t="shared" si="39"/>
        <x:v/>
      </x:c>
      <x:c r="CL39" s="742" t="str">
        <x:f t="shared" si="40"/>
        <x:v/>
      </x:c>
      <x:c r="CM39" s="743" t="str">
        <x:f t="shared" si="41"/>
        <x:v/>
      </x:c>
      <x:c r="CN39" s="744" t="str">
        <x:f t="shared" si="42"/>
        <x:v/>
      </x:c>
      <x:c r="CO39" s="745" t="str">
        <x:f t="shared" si="43"/>
        <x:v/>
      </x:c>
      <x:c r="CP39" s="762" t="str">
        <x:f t="shared" si="44"/>
        <x:v/>
      </x:c>
      <x:c r="CQ39" s="763" t="str">
        <x:f t="shared" si="45"/>
        <x:v/>
      </x:c>
      <x:c r="CR39" s="953">
        <x:f t="shared" si="46"/>
        <x:v>5</x:v>
      </x:c>
      <x:c r="CS39" s="954">
        <x:f t="shared" si="47"/>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8"/>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9"/>
        <x:v>0</x:v>
      </x:c>
      <x:c r="DO39" s="1049">
        <x:f t="shared" si="50"/>
        <x:v>0</x:v>
      </x:c>
      <x:c r="DP39" s="1053" t="str">
        <x:f t="shared" si="51"/>
        <x:v/>
      </x:c>
      <x:c r="DQ39" s="1053" t="str">
        <x:f t="shared" si="52"/>
        <x:v/>
      </x:c>
      <x:c r="DR39" s="1053" t="str">
        <x:f t="shared" si="53"/>
        <x:v/>
      </x:c>
      <x:c r="DS39" s="1052">
        <x:f t="shared" si="54"/>
        <x:v>0</x:v>
      </x:c>
      <x:c r="DT39" s="1052">
        <x:f t="shared" si="55"/>
        <x:v>0</x:v>
      </x:c>
      <x:c r="DU39" s="1052" t="str">
        <x:f t="shared" si="56"/>
        <x:v/>
      </x:c>
      <x:c r="DV39" s="1053" t="str">
        <x:f t="shared" si="57"/>
        <x:v/>
      </x:c>
      <x:c r="DW39" s="1053" t="str">
        <x:f t="shared" si="58"/>
        <x:v/>
      </x:c>
      <x:c r="DX39" s="1269">
        <x:f t="shared" si="59"/>
        <x:v>0</x:v>
      </x:c>
      <x:c r="DY39" s="1053">
        <x:f t="shared" si="60"/>
        <x:v>0</x:v>
      </x:c>
      <x:c r="DZ39" s="1052">
        <x:f t="shared" si="61"/>
        <x:v>0</x:v>
      </x:c>
      <x:c r="EA39" s="1052" t="str">
        <x:f t="shared" si="62"/>
        <x:v/>
      </x:c>
      <x:c r="EB39" s="1053" t="str">
        <x:f t="shared" si="63"/>
        <x:v/>
      </x:c>
      <x:c r="EC39" s="1053" t="str">
        <x:f t="shared" si="64"/>
        <x:v/>
      </x:c>
      <x:c r="ED39" s="1269">
        <x:f t="shared" si="65"/>
        <x:v>0</x:v>
      </x:c>
      <x:c r="EE39" s="1090" t="str">
        <x:f t="shared" si="66"/>
        <x:v/>
      </x:c>
      <x:c r="EF39" s="1053" t="str">
        <x:f t="shared" si="67"/>
        <x:v/>
      </x:c>
      <x:c r="EG39" s="1053" t="str">
        <x:f t="shared" si="68"/>
        <x:v/>
      </x:c>
      <x:c r="EH39" s="1053" t="str">
        <x:f t="shared" si="69"/>
        <x:v>ERR</x:v>
      </x:c>
      <x:c r="EI39" s="1053" t="str">
        <x:f t="shared" si="70"/>
        <x:v>ERR</x:v>
      </x:c>
      <x:c r="EJ39" s="1053" t="str">
        <x:f t="shared" si="71"/>
        <x:v/>
      </x:c>
      <x:c r="EK39" s="1053" t="str">
        <x:f t="shared" si="71"/>
        <x:v/>
      </x:c>
      <x:c r="EL39" s="1090" t="str">
        <x:f t="shared" si="72"/>
        <x:v/>
      </x:c>
      <x:c r="EM39" s="1053" t="str">
        <x:f t="shared" si="73"/>
        <x:v/>
      </x:c>
      <x:c r="EN39" s="1053" t="str">
        <x:f t="shared" si="74"/>
        <x:v/>
      </x:c>
      <x:c r="EO39" s="1053" t="str">
        <x:f t="shared" si="75"/>
        <x:v>ERR</x:v>
      </x:c>
      <x:c r="EP39" s="1053" t="str">
        <x:f t="shared" si="76"/>
        <x:v>ERR</x:v>
      </x:c>
      <x:c r="EQ39" s="1053" t="str">
        <x:f t="shared" si="77"/>
        <x:v/>
      </x:c>
      <x:c r="ER39" s="1053" t="str">
        <x:f t="shared" si="77"/>
        <x:v/>
      </x:c>
      <x:c r="ES39" s="1053" t="str">
        <x:f t="shared" si="78"/>
        <x:v/>
      </x:c>
      <x:c r="ET39" s="1053" t="str">
        <x:f t="shared" si="79"/>
        <x:v/>
      </x:c>
      <x:c r="EU39" s="1061">
        <x:f t="shared" si="80"/>
        <x:v>4</x:v>
      </x:c>
      <x:c r="EV39" s="1055" t="str">
        <x:f t="shared" si="81"/>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2"/>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3"/>
        <x:v/>
      </x:c>
      <x:c r="FD39" s="1052">
        <x:f t="shared" si="105"/>
        <x:v>0</x:v>
      </x:c>
      <x:c r="FE39" s="1052">
        <x:f t="shared" si="84"/>
        <x:v>0</x:v>
      </x:c>
      <x:c r="FF39" s="1052">
        <x:f t="shared" si="85"/>
        <x:v>0</x:v>
      </x:c>
      <x:c r="FG39" s="1052" t="str">
        <x:f t="shared" si="86"/>
        <x:v/>
      </x:c>
      <x:c r="FH39" s="1053" t="str">
        <x:f t="shared" si="87"/>
        <x:v/>
      </x:c>
      <x:c r="FI39" s="1052">
        <x:f t="shared" si="106"/>
        <x:v>0</x:v>
      </x:c>
      <x:c r="FJ39" s="1052">
        <x:f t="shared" si="88"/>
        <x:v>0</x:v>
      </x:c>
      <x:c r="FK39" s="1052">
        <x:f t="shared" si="89"/>
        <x:v>0</x:v>
      </x:c>
      <x:c r="FL39" s="1052" t="str">
        <x:f t="shared" si="90"/>
        <x:v/>
      </x:c>
      <x:c r="FM39" s="1053" t="str">
        <x:f t="shared" si="91"/>
        <x:v/>
      </x:c>
      <x:c r="FN39" s="1053" t="e">
        <x:f t="shared" si="92"/>
        <x:v>#VALUE!</x:v>
      </x:c>
      <x:c r="FO39" s="1062" t="e">
        <x:f t="shared" si="93"/>
        <x:v>#VALUE!</x:v>
      </x:c>
      <x:c r="FP39" s="1062" t="e">
        <x:f t="shared" si="94"/>
        <x:v>#VALUE!</x:v>
      </x:c>
      <x:c r="FQ39" s="1063" t="e">
        <x:f t="shared" si="95"/>
        <x:v>#VALUE!</x:v>
      </x:c>
      <x:c r="FR39" s="1064" t="e">
        <x:f t="shared" si="96"/>
        <x:v>#VALUE!</x:v>
      </x:c>
      <x:c r="FS39" s="1065" t="str">
        <x:f t="shared" si="97"/>
        <x:v/>
      </x:c>
      <x:c r="FT39" s="1066" t="str">
        <x:f t="shared" si="98"/>
        <x:v/>
      </x:c>
      <x:c r="FU39" s="1105">
        <x:f t="shared" si="99"/>
        <x:v>0</x:v>
      </x:c>
      <x:c r="FV39" s="1106">
        <x:f t="shared" si="100"/>
        <x:v>0</x:v>
      </x:c>
      <x:c r="GA39" s="1975">
        <x:v>59</x:v>
      </x:c>
      <x:c r="GB39" s="1976">
        <x:v>2.75</x:v>
      </x:c>
      <x:c r="GC39" s="1977">
        <x:v>-1.875</x:v>
      </x:c>
      <x:c r="GD39" s="1978">
        <x:v>-0.25</x:v>
      </x:c>
      <x:c r="GE39" s="1979">
        <x:v>0.227928244811819</x:v>
      </x:c>
      <x:c r="GF39" s="1980" t="str">
        <x:f t="shared" si="101"/>
        <x:v>TJ115</x:v>
      </x:c>
      <x:c r="GG39" s="1453"/>
      <x:c r="GH39" s="1454"/>
      <x:c r="GI39" s="1453"/>
      <x:c r="GJ39" s="1454"/>
      <x:c r="GK39" s="533">
        <x:f t="shared" si="102"/>
        <x:v>708.625</x:v>
      </x:c>
      <x:c r="GL39" s="534">
        <x:f t="shared" si="103"/>
        <x:v>708.75281478960926</x:v>
      </x:c>
      <x:c r="GM39" s="535">
        <x:f>IF(ABS(GK39-GL39)&gt;='Job Info.'!$L$22,ABS(GK39-GL39),0)</x:f>
        <x:v>0</x:v>
      </x:c>
      <x:c r="HA39" s="1658" t="s">
        <x:v>1439</x:v>
      </x:c>
      <x:c r="HB39" s="1659">
        <x:v>2</x:v>
      </x:c>
      <x:c r="HC39" s="1659" t="s">
        <x:v>1978</x:v>
      </x:c>
      <x:c r="HD39" s="1660">
        <x:v>59</x:v>
      </x:c>
      <x:c r="HE39" s="1661">
        <x:v>0.625</x:v>
      </x:c>
      <x:c r="HF39" s="1659" t="s">
        <x:v>117</x:v>
      </x:c>
      <x:c r="HG39" s="1659" t="s">
        <x:v>117</x:v>
      </x:c>
      <x:c r="HH39" s="1659" t="s">
        <x:v>117</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x:v>0</x:v>
      </x:c>
      <x:c r="HU39" s="1659">
        <x:v>1.125</x:v>
      </x:c>
      <x:c r="HV39" s="1659">
        <x:v>0</x:v>
      </x:c>
      <x:c r="HW39" s="1661">
        <x:v>2.25</x:v>
      </x:c>
      <x:c r="HX39" s="1661">
        <x:v>4</x:v>
      </x:c>
      <x:c r="HY39" s="1661" t="s">
        <x:v>117</x:v>
      </x:c>
      <x:c r="HZ39" s="1661" t="s">
        <x:v>117</x:v>
      </x:c>
      <x:c r="IA39" s="1661" t="s">
        <x:v>2149</x:v>
      </x:c>
      <x:c r="IB39" s="1661"/>
      <x:c r="IC39" s="1661"/>
      <x:c r="ID39" s="1661"/>
      <x:c r="IE39" s="1661"/>
      <x:c r="IF39" s="1663"/>
    </x:row>
    <x:row r="40" spans="1:240" ht="12.6" customHeight="1" x14ac:dyDescent="0.25">
      <x:c r="A40" s="1264" t="s">
        <x:v>1440</x:v>
      </x:c>
      <x:c r="B40" s="1265">
        <x:v>1</x:v>
      </x:c>
      <x:c r="C40" s="1265" t="s">
        <x:v>1978</x:v>
      </x:c>
      <x:c r="D40" s="1261">
        <x:v>59</x:v>
      </x:c>
      <x:c r="E40" s="1366">
        <x:v>0.625</x:v>
      </x:c>
      <x:c r="F40" s="1328" t="str">
        <x:f t="shared" si="110"/>
        <x:v/>
      </x:c>
      <x:c r="G40" s="1262" t="str">
        <x:f t="shared" si="111"/>
        <x:v/>
      </x:c>
      <x:c r="H40" s="1266" t="str">
        <x:f t="shared" si="112"/>
        <x:v/>
      </x:c>
      <x:c r="I40" s="1261">
        <x:v>0</x:v>
      </x:c>
      <x:c r="J40" s="1262">
        <x:v>1.375</x:v>
      </x:c>
      <x:c r="K40" s="1370" t="s">
        <x:v>114</x:v>
      </x:c>
      <x:c r="L40" s="1327">
        <x:v>3</x:v>
      </x:c>
      <x:c r="M40" s="1329">
        <x:v>3</x:v>
      </x:c>
      <x:c r="N40" s="1263" t="str">
        <x:f t="shared" si="1"/>
        <x:v/>
      </x:c>
      <x:c r="O40" s="1262" t="str">
        <x:f t="shared" si="2"/>
        <x:v/>
      </x:c>
      <x:c r="P40" s="1260" t="str">
        <x:f t="shared" si="3"/>
        <x:v/>
      </x:c>
      <x:c r="Q40" s="1261" t="str">
        <x:f t="shared" si="4"/>
        <x:v/>
      </x:c>
      <x:c r="R40" s="1262" t="str">
        <x:f t="shared" si="5"/>
        <x:v/>
      </x:c>
      <x:c r="S40" s="1375" t="str">
        <x:f t="shared" si="6"/>
        <x:v/>
      </x:c>
      <x:c r="T40" s="1328" t="str">
        <x:f t="shared" si="7"/>
        <x:v/>
      </x:c>
      <x:c r="U40" s="1262" t="str">
        <x:f t="shared" si="8"/>
        <x:v/>
      </x:c>
      <x:c r="V40" s="1261" t="str">
        <x:f t="shared" si="9"/>
        <x:v/>
      </x:c>
      <x:c r="W40" s="1262" t="str">
        <x:f t="shared" si="10"/>
        <x:v/>
      </x:c>
      <x:c r="X40" s="1329">
        <x:f t="shared" si="11"/>
        <x:v>0</x:v>
      </x:c>
      <x:c r="Y40" s="1377" t="str">
        <x:f t="shared" si="12"/>
        <x:v/>
      </x:c>
      <x:c r="Z40" s="1378" t="str">
        <x:f t="shared" si="13"/>
        <x:v/>
      </x:c>
      <x:c r="AA40" s="2159" t="s">
        <x:v>2150</x:v>
      </x:c>
      <x:c r="AC40" s="1226" t="b">
        <x:v>0</x:v>
      </x:c>
      <x:c r="AD40" s="525">
        <x:f t="shared" si="14"/>
        <x:v>0</x:v>
      </x:c>
      <x:c r="AE40" s="526">
        <x:f t="shared" si="15"/>
        <x:v>1</x:v>
      </x:c>
      <x:c r="AF40" s="526">
        <x:f t="shared" si="16"/>
        <x:v>0</x:v>
      </x:c>
      <x:c r="AG40" s="526">
        <x:f t="shared" si="17"/>
        <x:v>0</x:v>
      </x:c>
      <x:c r="AH40" s="527">
        <x:f t="shared" si="18"/>
        <x:v>0</x:v>
      </x:c>
      <x:c r="AI40" s="528" t="b">
        <x:v>0</x:v>
      </x:c>
      <x:c r="AJ40" s="284">
        <x:f t="shared" si="19"/>
        <x:v>36</x:v>
      </x:c>
      <x:c r="AK40" s="1063" t="str">
        <x:f t="shared" si="20"/>
        <x:v>LH</x:v>
      </x:c>
      <x:c r="AL40" s="1202" t="str">
        <x:f t="shared" si="21"/>
        <x:v/>
      </x:c>
      <x:c r="AM40" s="1063">
        <x:f t="shared" si="22"/>
        <x:v>270</x:v>
      </x:c>
      <x:c r="AN40" s="1063">
        <x:f t="shared" si="23"/>
        <x:v>120</x:v>
      </x:c>
      <x:c r="AO40" s="1063" t="str">
        <x:f t="shared" si="24"/>
        <x:v/>
      </x:c>
      <x:c r="AP40" s="1063" t="b">
        <x:f>IF(ISERROR(AJ40),FALSE,IF(OR(AJ40=0,ISERROR(AL40),ISERROR(AM40),ISERROR(AN40),ISERROR(AO40)),FALSE,IF(AL40&lt;&gt;"",IF(ISERROR(VLOOKUP(SUBSTITUTE(SUBSTITUTE(C40,"R",""),"A",""),TblJoistSize!$A:$A,1,FALSE)),FALSE,TRUE),TRUE)))</x:f>
        <x:v>1</x:v>
      </x:c>
      <x:c r="AQ40" s="1305">
        <x:f t="shared" si="25"/>
        <x:v>6</x:v>
      </x:c>
      <x:c r="AR40" s="1305" t="b">
        <x:f t="shared" si="26"/>
        <x:v>0</x:v>
      </x:c>
      <x:c r="AS40" s="1305">
        <x:f t="shared" si="27"/>
        <x:v>7.375</x:v>
      </x:c>
      <x:c r="AT40" s="1305" t="b">
        <x:f t="shared" si="28"/>
        <x:v>0</x:v>
      </x:c>
      <x:c r="AU40" s="1203" t="str">
        <x:f t="shared" si="29"/>
        <x:v>LH</x:v>
      </x:c>
      <x:c r="AV40" s="1063" t="str">
        <x:f t="shared" si="30"/>
        <x:v/>
      </x:c>
      <x:c r="AW40" s="1063" t="str">
        <x:f t="shared" si="31"/>
        <x:v>LH</x:v>
      </x:c>
      <x:c r="AX40" s="1063" t="str">
        <x:f t="shared" si="104"/>
        <x:v>J116</x:v>
      </x:c>
      <x:c r="AY40" s="1306" t="b">
        <x:f t="shared" si="32"/>
        <x:v>0</x:v>
      </x:c>
      <x:c r="AZ40" s="1090" t="b">
        <x:f t="shared" si="33"/>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4"/>
        <x:v/>
      </x:c>
      <x:c r="CE40" s="935" t="str">
        <x:f t="shared" si="35"/>
        <x:v/>
      </x:c>
      <x:c r="CF40" s="1149"/>
      <x:c r="CG40" s="1150"/>
      <x:c r="CH40" s="738" t="str">
        <x:f t="shared" si="36"/>
        <x:v/>
      </x:c>
      <x:c r="CI40" s="739" t="str">
        <x:f t="shared" si="37"/>
        <x:v/>
      </x:c>
      <x:c r="CJ40" s="740" t="str">
        <x:f t="shared" si="38"/>
        <x:v/>
      </x:c>
      <x:c r="CK40" s="741" t="str">
        <x:f t="shared" si="39"/>
        <x:v/>
      </x:c>
      <x:c r="CL40" s="742" t="str">
        <x:f t="shared" si="40"/>
        <x:v/>
      </x:c>
      <x:c r="CM40" s="743" t="str">
        <x:f t="shared" si="41"/>
        <x:v/>
      </x:c>
      <x:c r="CN40" s="744" t="str">
        <x:f t="shared" si="42"/>
        <x:v/>
      </x:c>
      <x:c r="CO40" s="745" t="str">
        <x:f t="shared" si="43"/>
        <x:v/>
      </x:c>
      <x:c r="CP40" s="762" t="str">
        <x:f t="shared" si="44"/>
        <x:v/>
      </x:c>
      <x:c r="CQ40" s="763" t="str">
        <x:f t="shared" si="45"/>
        <x:v/>
      </x:c>
      <x:c r="CR40" s="953">
        <x:f t="shared" si="46"/>
        <x:v>5</x:v>
      </x:c>
      <x:c r="CS40" s="954">
        <x:f t="shared" si="47"/>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8"/>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9"/>
        <x:v>0</x:v>
      </x:c>
      <x:c r="DO40" s="1049">
        <x:f t="shared" si="50"/>
        <x:v>0</x:v>
      </x:c>
      <x:c r="DP40" s="1053" t="str">
        <x:f t="shared" si="51"/>
        <x:v/>
      </x:c>
      <x:c r="DQ40" s="1053" t="str">
        <x:f t="shared" si="52"/>
        <x:v/>
      </x:c>
      <x:c r="DR40" s="1053" t="str">
        <x:f t="shared" si="53"/>
        <x:v/>
      </x:c>
      <x:c r="DS40" s="1052">
        <x:f t="shared" si="54"/>
        <x:v>0</x:v>
      </x:c>
      <x:c r="DT40" s="1052">
        <x:f t="shared" si="55"/>
        <x:v>0</x:v>
      </x:c>
      <x:c r="DU40" s="1052" t="str">
        <x:f t="shared" si="56"/>
        <x:v/>
      </x:c>
      <x:c r="DV40" s="1053" t="str">
        <x:f t="shared" si="57"/>
        <x:v/>
      </x:c>
      <x:c r="DW40" s="1053" t="str">
        <x:f t="shared" si="58"/>
        <x:v/>
      </x:c>
      <x:c r="DX40" s="1269">
        <x:f t="shared" si="59"/>
        <x:v>0</x:v>
      </x:c>
      <x:c r="DY40" s="1053">
        <x:f t="shared" si="60"/>
        <x:v>0</x:v>
      </x:c>
      <x:c r="DZ40" s="1052">
        <x:f t="shared" si="61"/>
        <x:v>0</x:v>
      </x:c>
      <x:c r="EA40" s="1052" t="str">
        <x:f t="shared" si="62"/>
        <x:v/>
      </x:c>
      <x:c r="EB40" s="1053" t="str">
        <x:f t="shared" si="63"/>
        <x:v/>
      </x:c>
      <x:c r="EC40" s="1053" t="str">
        <x:f t="shared" si="64"/>
        <x:v/>
      </x:c>
      <x:c r="ED40" s="1269">
        <x:f t="shared" si="65"/>
        <x:v>0</x:v>
      </x:c>
      <x:c r="EE40" s="1090" t="str">
        <x:f t="shared" si="66"/>
        <x:v/>
      </x:c>
      <x:c r="EF40" s="1053" t="str">
        <x:f t="shared" si="67"/>
        <x:v/>
      </x:c>
      <x:c r="EG40" s="1053" t="str">
        <x:f t="shared" si="68"/>
        <x:v/>
      </x:c>
      <x:c r="EH40" s="1053" t="str">
        <x:f t="shared" si="69"/>
        <x:v>ERR</x:v>
      </x:c>
      <x:c r="EI40" s="1053" t="str">
        <x:f t="shared" si="70"/>
        <x:v>ERR</x:v>
      </x:c>
      <x:c r="EJ40" s="1053" t="str">
        <x:f t="shared" si="71"/>
        <x:v/>
      </x:c>
      <x:c r="EK40" s="1053" t="str">
        <x:f t="shared" si="71"/>
        <x:v/>
      </x:c>
      <x:c r="EL40" s="1090" t="str">
        <x:f t="shared" si="72"/>
        <x:v/>
      </x:c>
      <x:c r="EM40" s="1053" t="str">
        <x:f t="shared" si="73"/>
        <x:v/>
      </x:c>
      <x:c r="EN40" s="1053" t="str">
        <x:f t="shared" si="74"/>
        <x:v/>
      </x:c>
      <x:c r="EO40" s="1053" t="str">
        <x:f t="shared" si="75"/>
        <x:v>ERR</x:v>
      </x:c>
      <x:c r="EP40" s="1053" t="str">
        <x:f t="shared" si="76"/>
        <x:v>ERR</x:v>
      </x:c>
      <x:c r="EQ40" s="1053" t="str">
        <x:f t="shared" si="77"/>
        <x:v/>
      </x:c>
      <x:c r="ER40" s="1053" t="str">
        <x:f t="shared" si="77"/>
        <x:v/>
      </x:c>
      <x:c r="ES40" s="1053" t="str">
        <x:f t="shared" si="78"/>
        <x:v/>
      </x:c>
      <x:c r="ET40" s="1053" t="str">
        <x:f t="shared" si="79"/>
        <x:v/>
      </x:c>
      <x:c r="EU40" s="1061">
        <x:f t="shared" si="80"/>
        <x:v>4</x:v>
      </x:c>
      <x:c r="EV40" s="1055" t="str">
        <x:f t="shared" si="81"/>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2"/>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3"/>
        <x:v/>
      </x:c>
      <x:c r="FD40" s="1052">
        <x:f t="shared" si="105"/>
        <x:v>0</x:v>
      </x:c>
      <x:c r="FE40" s="1052">
        <x:f t="shared" si="84"/>
        <x:v>0</x:v>
      </x:c>
      <x:c r="FF40" s="1052">
        <x:f t="shared" si="85"/>
        <x:v>0</x:v>
      </x:c>
      <x:c r="FG40" s="1052" t="str">
        <x:f t="shared" si="86"/>
        <x:v/>
      </x:c>
      <x:c r="FH40" s="1053" t="str">
        <x:f t="shared" si="87"/>
        <x:v/>
      </x:c>
      <x:c r="FI40" s="1052">
        <x:f t="shared" si="106"/>
        <x:v>0</x:v>
      </x:c>
      <x:c r="FJ40" s="1052">
        <x:f t="shared" si="88"/>
        <x:v>0</x:v>
      </x:c>
      <x:c r="FK40" s="1052">
        <x:f t="shared" si="89"/>
        <x:v>0</x:v>
      </x:c>
      <x:c r="FL40" s="1052" t="str">
        <x:f t="shared" si="90"/>
        <x:v/>
      </x:c>
      <x:c r="FM40" s="1053" t="str">
        <x:f t="shared" si="91"/>
        <x:v/>
      </x:c>
      <x:c r="FN40" s="1053" t="e">
        <x:f t="shared" si="92"/>
        <x:v>#VALUE!</x:v>
      </x:c>
      <x:c r="FO40" s="1062" t="e">
        <x:f t="shared" si="93"/>
        <x:v>#VALUE!</x:v>
      </x:c>
      <x:c r="FP40" s="1062" t="e">
        <x:f t="shared" si="94"/>
        <x:v>#VALUE!</x:v>
      </x:c>
      <x:c r="FQ40" s="1063" t="e">
        <x:f t="shared" si="95"/>
        <x:v>#VALUE!</x:v>
      </x:c>
      <x:c r="FR40" s="1064" t="e">
        <x:f t="shared" si="96"/>
        <x:v>#VALUE!</x:v>
      </x:c>
      <x:c r="FS40" s="1065" t="str">
        <x:f t="shared" si="97"/>
        <x:v/>
      </x:c>
      <x:c r="FT40" s="1066" t="str">
        <x:f t="shared" si="98"/>
        <x:v/>
      </x:c>
      <x:c r="FU40" s="1105">
        <x:f t="shared" si="99"/>
        <x:v>0</x:v>
      </x:c>
      <x:c r="FV40" s="1106">
        <x:f t="shared" si="100"/>
        <x:v>0</x:v>
      </x:c>
      <x:c r="GA40" s="1975">
        <x:v>59</x:v>
      </x:c>
      <x:c r="GB40" s="1976">
        <x:v>2.75</x:v>
      </x:c>
      <x:c r="GC40" s="1977">
        <x:v>-1.875</x:v>
      </x:c>
      <x:c r="GD40" s="1978">
        <x:v>-0.25</x:v>
      </x:c>
      <x:c r="GE40" s="1979">
        <x:v>0.227928244811819</x:v>
      </x:c>
      <x:c r="GF40" s="1980" t="str">
        <x:f t="shared" si="101"/>
        <x:v>J116</x:v>
      </x:c>
      <x:c r="GG40" s="1453"/>
      <x:c r="GH40" s="1454"/>
      <x:c r="GI40" s="1453"/>
      <x:c r="GJ40" s="1454"/>
      <x:c r="GK40" s="533">
        <x:f t="shared" si="102"/>
        <x:v>708.625</x:v>
      </x:c>
      <x:c r="GL40" s="534">
        <x:f t="shared" si="103"/>
        <x:v>708.75281478960926</x:v>
      </x:c>
      <x:c r="GM40" s="535">
        <x:f>IF(ABS(GK40-GL40)&gt;='Job Info.'!$L$22,ABS(GK40-GL40),0)</x:f>
        <x:v>0</x:v>
      </x:c>
      <x:c r="HA40" s="1658" t="s">
        <x:v>1440</x:v>
      </x:c>
      <x:c r="HB40" s="1659">
        <x:v>1</x:v>
      </x:c>
      <x:c r="HC40" s="1659" t="s">
        <x:v>1978</x:v>
      </x:c>
      <x:c r="HD40" s="1660">
        <x:v>59</x:v>
      </x:c>
      <x:c r="HE40" s="1661">
        <x:v>0.625</x:v>
      </x:c>
      <x:c r="HF40" s="1659" t="s">
        <x:v>117</x:v>
      </x:c>
      <x:c r="HG40" s="1659" t="s">
        <x:v>117</x:v>
      </x:c>
      <x:c r="HH40" s="1659" t="s">
        <x:v>117</x:v>
      </x:c>
      <x:c r="HI40" s="1662">
        <x:v>0</x:v>
      </x:c>
      <x:c r="HJ40" s="1659">
        <x:v>1.375</x:v>
      </x:c>
      <x:c r="HK40" s="1659" t="s">
        <x:v>114</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2150</x:v>
      </x:c>
      <x:c r="IB40" s="1661"/>
      <x:c r="IC40" s="1661"/>
      <x:c r="ID40" s="1661"/>
      <x:c r="IE40" s="1661"/>
      <x:c r="IF40" s="1663"/>
    </x:row>
    <x:row r="41" spans="1:240" ht="12.6" customHeight="1" x14ac:dyDescent="0.25">
      <x:c r="A41" s="1264" t="s">
        <x:v>2330</x:v>
      </x:c>
      <x:c r="B41" s="2212">
        <x:v>1</x:v>
      </x:c>
      <x:c r="C41" s="1265" t="s">
        <x:v>1979</x:v>
      </x:c>
      <x:c r="D41" s="1261">
        <x:v>52</x:v>
      </x:c>
      <x:c r="E41" s="1366">
        <x:v>4</x:v>
      </x:c>
      <x:c r="F41" s="1328">
        <x:v>0</x:v>
      </x:c>
      <x:c r="G41" s="1262">
        <x:v>3.625</x:v>
      </x:c>
      <x:c r="H41" s="1266" t="s">
        <x:v>114</x:v>
      </x:c>
      <x:c r="I41" s="1261">
        <x:v>0</x:v>
      </x:c>
      <x:c r="J41" s="1262">
        <x:v>3.625</x:v>
      </x:c>
      <x:c r="K41" s="1370" t="s">
        <x:v>114</x:v>
      </x:c>
      <x:c r="L41" s="1327">
        <x:v>3</x:v>
      </x:c>
      <x:c r="M41" s="1329">
        <x:v>3</x:v>
      </x:c>
      <x:c r="N41" s="1263"/>
      <x:c r="O41" s="1262"/>
      <x:c r="P41" s="1260"/>
      <x:c r="Q41" s="1261"/>
      <x:c r="R41" s="1262"/>
      <x:c r="S41" s="1375"/>
      <x:c r="T41" s="1328"/>
      <x:c r="U41" s="1262"/>
      <x:c r="V41" s="1261"/>
      <x:c r="W41" s="1262"/>
      <x:c r="X41" s="1329">
        <x:v>0</x:v>
      </x:c>
      <x:c r="Y41" s="1377"/>
      <x:c r="Z41" s="1378"/>
      <x:c r="AA41" s="2211" t="s">
        <x:v>2332</x:v>
      </x:c>
      <x:c r="AC41" s="1226" t="b">
        <x:v>0</x:v>
      </x:c>
      <x:c r="AD41" s="525">
        <x:f t="shared" si="14"/>
        <x:v>1</x:v>
      </x:c>
      <x:c r="AE41" s="526">
        <x:f t="shared" si="15"/>
        <x:v>0</x:v>
      </x:c>
      <x:c r="AF41" s="526">
        <x:f t="shared" si="16"/>
        <x:v>0</x:v>
      </x:c>
      <x:c r="AG41" s="526">
        <x:f t="shared" si="17"/>
        <x:v>0</x:v>
      </x:c>
      <x:c r="AH41" s="527">
        <x:f t="shared" si="18"/>
        <x:v>0</x:v>
      </x:c>
      <x:c r="AI41" s="528" t="b">
        <x:v>0</x:v>
      </x:c>
      <x:c r="AJ41" s="284">
        <x:f t="shared" si="19"/>
        <x:v>30</x:v>
      </x:c>
      <x:c r="AK41" s="1063" t="str">
        <x:f t="shared" si="20"/>
        <x:v>K</x:v>
      </x:c>
      <x:c r="AL41" s="1202" t="str">
        <x:f t="shared" si="21"/>
        <x:v/>
      </x:c>
      <x:c r="AM41" s="1063">
        <x:f t="shared" si="22"/>
        <x:v>240</x:v>
      </x:c>
      <x:c r="AN41" s="1063">
        <x:f t="shared" si="23"/>
        <x:v>140</x:v>
      </x:c>
      <x:c r="AO41" s="1063" t="str">
        <x:f t="shared" si="24"/>
        <x:v/>
      </x:c>
      <x:c r="AP41" s="1063" t="b">
        <x:f>IF(ISERROR(AJ41),FALSE,IF(OR(AJ41=0,ISERROR(AL41),ISERROR(AM41),ISERROR(AN41),ISERROR(AO41)),FALSE,IF(AL41&lt;&gt;"",IF(ISERROR(VLOOKUP(SUBSTITUTE(SUBSTITUTE(C41,"R",""),"A",""),TblJoistSize!$A:$A,1,FALSE)),FALSE,TRUE),TRUE)))</x:f>
        <x:v>1</x:v>
      </x:c>
      <x:c r="AQ41" s="1305">
        <x:f t="shared" si="25"/>
        <x:v>7.625</x:v>
      </x:c>
      <x:c r="AR41" s="1305" t="b">
        <x:f t="shared" si="26"/>
        <x:v>0</x:v>
      </x:c>
      <x:c r="AS41" s="1305">
        <x:f t="shared" si="27"/>
        <x:v>7.625</x:v>
      </x:c>
      <x:c r="AT41" s="1305" t="b">
        <x:f t="shared" si="28"/>
        <x:v>0</x:v>
      </x:c>
      <x:c r="AU41" s="1203" t="str">
        <x:f t="shared" si="29"/>
        <x:v>K</x:v>
      </x:c>
      <x:c r="AV41" s="1063" t="str">
        <x:f t="shared" si="30"/>
        <x:v>K</x:v>
      </x:c>
      <x:c r="AW41" s="1063" t="str">
        <x:f t="shared" si="31"/>
        <x:v/>
      </x:c>
      <x:c r="AX41" s="1063" t="str">
        <x:f t="shared" si="104"/>
        <x:v>J95A</x:v>
      </x:c>
      <x:c r="AY41" s="1306" t="b">
        <x:f t="shared" si="32"/>
        <x:v>0</x:v>
      </x:c>
      <x:c r="AZ41" s="1090" t="b">
        <x:f t="shared" si="33"/>
        <x:v>0</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4"/>
        <x:v/>
      </x:c>
      <x:c r="CE41" s="935" t="str">
        <x:f t="shared" si="35"/>
        <x:v/>
      </x:c>
      <x:c r="CF41" s="1149"/>
      <x:c r="CG41" s="1150"/>
      <x:c r="CH41" s="738" t="str">
        <x:f t="shared" si="36"/>
        <x:v/>
      </x:c>
      <x:c r="CI41" s="739" t="str">
        <x:f t="shared" si="37"/>
        <x:v/>
      </x:c>
      <x:c r="CJ41" s="740" t="str">
        <x:f t="shared" si="38"/>
        <x:v/>
      </x:c>
      <x:c r="CK41" s="741" t="str">
        <x:f t="shared" si="39"/>
        <x:v/>
      </x:c>
      <x:c r="CL41" s="742" t="str">
        <x:f t="shared" si="40"/>
        <x:v/>
      </x:c>
      <x:c r="CM41" s="743" t="str">
        <x:f t="shared" si="41"/>
        <x:v/>
      </x:c>
      <x:c r="CN41" s="744" t="str">
        <x:f t="shared" si="42"/>
        <x:v/>
      </x:c>
      <x:c r="CO41" s="745" t="str">
        <x:f t="shared" si="43"/>
        <x:v/>
      </x:c>
      <x:c r="CP41" s="762" t="str">
        <x:f t="shared" si="44"/>
        <x:v/>
      </x:c>
      <x:c r="CQ41" s="763" t="str">
        <x:f t="shared" si="45"/>
        <x:v/>
      </x:c>
      <x:c r="CR41" s="953">
        <x:f t="shared" si="46"/>
        <x:v>2.5</x:v>
      </x:c>
      <x:c r="CS41" s="954">
        <x:f t="shared" si="47"/>
        <x:v>2.5</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8"/>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9"/>
        <x:v>0</x:v>
      </x:c>
      <x:c r="DO41" s="1049">
        <x:f t="shared" si="50"/>
        <x:v>0</x:v>
      </x:c>
      <x:c r="DP41" s="1053" t="str">
        <x:f t="shared" si="51"/>
        <x:v/>
      </x:c>
      <x:c r="DQ41" s="1053" t="str">
        <x:f t="shared" si="52"/>
        <x:v/>
      </x:c>
      <x:c r="DR41" s="1053" t="str">
        <x:f t="shared" si="53"/>
        <x:v/>
      </x:c>
      <x:c r="DS41" s="1052">
        <x:f t="shared" si="54"/>
        <x:v>0</x:v>
      </x:c>
      <x:c r="DT41" s="1052">
        <x:f t="shared" si="55"/>
        <x:v>0</x:v>
      </x:c>
      <x:c r="DU41" s="1052" t="str">
        <x:f t="shared" si="56"/>
        <x:v/>
      </x:c>
      <x:c r="DV41" s="1053" t="str">
        <x:f t="shared" si="57"/>
        <x:v/>
      </x:c>
      <x:c r="DW41" s="1053" t="str">
        <x:f t="shared" si="58"/>
        <x:v/>
      </x:c>
      <x:c r="DX41" s="1269">
        <x:f t="shared" si="59"/>
        <x:v>0</x:v>
      </x:c>
      <x:c r="DY41" s="1053">
        <x:f t="shared" si="60"/>
        <x:v>0</x:v>
      </x:c>
      <x:c r="DZ41" s="1052">
        <x:f t="shared" si="61"/>
        <x:v>0</x:v>
      </x:c>
      <x:c r="EA41" s="1052" t="str">
        <x:f t="shared" si="62"/>
        <x:v/>
      </x:c>
      <x:c r="EB41" s="1053" t="str">
        <x:f t="shared" si="63"/>
        <x:v/>
      </x:c>
      <x:c r="EC41" s="1053" t="str">
        <x:f t="shared" si="64"/>
        <x:v/>
      </x:c>
      <x:c r="ED41" s="1269">
        <x:f t="shared" si="65"/>
        <x:v>0</x:v>
      </x:c>
      <x:c r="EE41" s="1090" t="str">
        <x:f t="shared" si="66"/>
        <x:v/>
      </x:c>
      <x:c r="EF41" s="1053" t="str">
        <x:f t="shared" si="67"/>
        <x:v/>
      </x:c>
      <x:c r="EG41" s="1053" t="str">
        <x:f t="shared" si="68"/>
        <x:v/>
      </x:c>
      <x:c r="EH41" s="1053" t="str">
        <x:f t="shared" si="69"/>
        <x:v>ERR</x:v>
      </x:c>
      <x:c r="EI41" s="1053" t="str">
        <x:f t="shared" si="70"/>
        <x:v>ERR</x:v>
      </x:c>
      <x:c r="EJ41" s="1053" t="str">
        <x:f t="shared" si="71"/>
        <x:v/>
      </x:c>
      <x:c r="EK41" s="1053" t="str">
        <x:f t="shared" si="71"/>
        <x:v/>
      </x:c>
      <x:c r="EL41" s="1090" t="str">
        <x:f t="shared" si="72"/>
        <x:v/>
      </x:c>
      <x:c r="EM41" s="1053" t="str">
        <x:f t="shared" si="73"/>
        <x:v/>
      </x:c>
      <x:c r="EN41" s="1053" t="str">
        <x:f t="shared" si="74"/>
        <x:v/>
      </x:c>
      <x:c r="EO41" s="1053" t="str">
        <x:f t="shared" si="75"/>
        <x:v>ERR</x:v>
      </x:c>
      <x:c r="EP41" s="1053" t="str">
        <x:f t="shared" si="76"/>
        <x:v>ERR</x:v>
      </x:c>
      <x:c r="EQ41" s="1053" t="str">
        <x:f t="shared" si="77"/>
        <x:v/>
      </x:c>
      <x:c r="ER41" s="1053" t="str">
        <x:f t="shared" si="77"/>
        <x:v/>
      </x:c>
      <x:c r="ES41" s="1053" t="str">
        <x:f t="shared" si="78"/>
        <x:v/>
      </x:c>
      <x:c r="ET41" s="1053" t="str">
        <x:f t="shared" si="79"/>
        <x:v/>
      </x:c>
      <x:c r="EU41" s="1061">
        <x:f t="shared" si="80"/>
        <x:v>3.5</x:v>
      </x:c>
      <x:c r="EV41" s="1055" t="str">
        <x:f t="shared" si="81"/>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2"/>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3"/>
        <x:v/>
      </x:c>
      <x:c r="FD41" s="1052">
        <x:f t="shared" si="105"/>
        <x:v>0</x:v>
      </x:c>
      <x:c r="FE41" s="1052">
        <x:f t="shared" si="84"/>
        <x:v>0</x:v>
      </x:c>
      <x:c r="FF41" s="1052">
        <x:f t="shared" si="85"/>
        <x:v>0</x:v>
      </x:c>
      <x:c r="FG41" s="1052" t="str">
        <x:f t="shared" si="86"/>
        <x:v/>
      </x:c>
      <x:c r="FH41" s="1053" t="str">
        <x:f t="shared" si="87"/>
        <x:v/>
      </x:c>
      <x:c r="FI41" s="1052">
        <x:f t="shared" si="106"/>
        <x:v>0</x:v>
      </x:c>
      <x:c r="FJ41" s="1052">
        <x:f t="shared" si="88"/>
        <x:v>0</x:v>
      </x:c>
      <x:c r="FK41" s="1052">
        <x:f t="shared" si="89"/>
        <x:v>0</x:v>
      </x:c>
      <x:c r="FL41" s="1052" t="str">
        <x:f t="shared" si="90"/>
        <x:v/>
      </x:c>
      <x:c r="FM41" s="1053" t="str">
        <x:f t="shared" si="91"/>
        <x:v/>
      </x:c>
      <x:c r="FN41" s="1053" t="e">
        <x:f t="shared" si="92"/>
        <x:v>#VALUE!</x:v>
      </x:c>
      <x:c r="FO41" s="1062" t="e">
        <x:f t="shared" si="93"/>
        <x:v>#VALUE!</x:v>
      </x:c>
      <x:c r="FP41" s="1062" t="e">
        <x:f t="shared" si="94"/>
        <x:v>#VALUE!</x:v>
      </x:c>
      <x:c r="FQ41" s="1063" t="e">
        <x:f t="shared" si="95"/>
        <x:v>#VALUE!</x:v>
      </x:c>
      <x:c r="FR41" s="1064" t="e">
        <x:f t="shared" si="96"/>
        <x:v>#VALUE!</x:v>
      </x:c>
      <x:c r="FS41" s="1065" t="str">
        <x:f t="shared" si="97"/>
        <x:v/>
      </x:c>
      <x:c r="FT41" s="1066" t="str">
        <x:f t="shared" si="98"/>
        <x:v/>
      </x:c>
      <x:c r="FU41" s="1105">
        <x:f t="shared" si="99"/>
        <x:v>0</x:v>
      </x:c>
      <x:c r="FV41" s="1106">
        <x:f t="shared" si="100"/>
        <x:v>0</x:v>
      </x:c>
      <x:c r="GA41" s="1975">
        <x:v>52</x:v>
      </x:c>
      <x:c r="GB41" s="1976">
        <x:v>0</x:v>
      </x:c>
      <x:c r="GC41" s="1977">
        <x:v>2</x:v>
      </x:c>
      <x:c r="GD41" s="1978">
        <x:v>2</x:v>
      </x:c>
      <x:c r="GE41" s="1979">
        <x:v>1.5859968371141966E-2</x:v>
      </x:c>
      <x:c r="GF41" s="1980" t="str">
        <x:f t="shared" si="101"/>
        <x:v>J95A</x:v>
      </x:c>
      <x:c r="GG41" s="1453"/>
      <x:c r="GH41" s="1454"/>
      <x:c r="GI41" s="1453"/>
      <x:c r="GJ41" s="1454"/>
      <x:c r="GK41" s="533">
        <x:f t="shared" si="102"/>
        <x:v>628</x:v>
      </x:c>
      <x:c r="GL41" s="534">
        <x:f t="shared" si="103"/>
        <x:v>628.00054849364506</x:v>
      </x:c>
      <x:c r="GM41" s="535">
        <x:f>IF(ABS(GK41-GL41)&gt;='Job Info.'!$L$22,ABS(GK41-GL41),0)</x:f>
        <x:v>0</x:v>
      </x:c>
      <x:c r="HA41" s="1658" t="s">
        <x:v>1419</x:v>
      </x:c>
      <x:c r="HB41" s="1659">
        <x:v>6</x:v>
      </x:c>
      <x:c r="HC41" s="1659" t="s">
        <x:v>1979</x:v>
      </x:c>
      <x:c r="HD41" s="1660">
        <x:v>52</x:v>
      </x:c>
      <x:c r="HE41" s="1661">
        <x:v>4</x:v>
      </x:c>
      <x:c r="HF41" s="1659">
        <x:v>0</x:v>
      </x:c>
      <x:c r="HG41" s="1659">
        <x:v>3.625</x:v>
      </x:c>
      <x:c r="HH41" s="1659" t="s">
        <x:v>114</x:v>
      </x:c>
      <x:c r="HI41" s="1662">
        <x:v>0</x:v>
      </x:c>
      <x:c r="HJ41" s="1659">
        <x:v>3.625</x:v>
      </x:c>
      <x:c r="HK41" s="1659" t="s">
        <x:v>114</x:v>
      </x:c>
      <x:c r="HL41" s="1659">
        <x:v>3</x:v>
      </x:c>
      <x:c r="HM41" s="1659">
        <x:v>3</x:v>
      </x:c>
      <x:c r="HN41" s="1659"/>
      <x:c r="HO41" s="1659"/>
      <x:c r="HP41" s="1659"/>
      <x:c r="HQ41" s="1662"/>
      <x:c r="HR41" s="1659"/>
      <x:c r="HS41" s="1659"/>
      <x:c r="HT41" s="1659"/>
      <x:c r="HU41" s="1659"/>
      <x:c r="HV41" s="1659"/>
      <x:c r="HW41" s="1661"/>
      <x:c r="HX41" s="1661">
        <x:v>0</x:v>
      </x:c>
      <x:c r="HY41" s="1661"/>
      <x:c r="HZ41" s="1661"/>
      <x:c r="IA41" s="1661" t="s">
        <x:v>2131</x:v>
      </x:c>
      <x:c r="IB41" s="1661"/>
      <x:c r="IC41" s="1661"/>
      <x:c r="ID41" s="1661"/>
      <x:c r="IE41" s="1661"/>
      <x:c r="IF41" s="1663"/>
    </x:row>
    <x:row r="42" spans="1:240" ht="12.6" customHeight="1" x14ac:dyDescent="0.25">
      <x:c r="A42" s="1264" t="str">
        <x:f t="shared" ref="A42:A44" si="113">IF(BB42="","",UPPER(BB42))</x:f>
        <x:v/>
      </x:c>
      <x:c r="B42" s="1265"/>
      <x:c r="C42" s="1265" t="str">
        <x:f t="shared" ref="C42:C44" si="114">IF(BD42="","",UPPER(BD42))</x:f>
        <x:v/>
      </x:c>
      <x:c r="D42" s="1261" t="str">
        <x:f t="shared" ref="D42:D44" si="115">IF(DP42="","",TRUNC(DP42/12))</x:f>
        <x:v/>
      </x:c>
      <x:c r="E42" s="1366" t="str">
        <x:f t="shared" ref="E42:E44" si="116">IF(DP42="","",DP42-(D42*12))</x:f>
        <x:v/>
      </x:c>
      <x:c r="F42" s="1328" t="str">
        <x:f t="shared" si="110"/>
        <x:v/>
      </x:c>
      <x:c r="G42" s="1262" t="str">
        <x:f t="shared" si="111"/>
        <x:v/>
      </x:c>
      <x:c r="H42" s="1266" t="str">
        <x:f t="shared" si="112"/>
        <x:v/>
      </x:c>
      <x:c r="I42" s="1261" t="str">
        <x:f t="shared" si="107"/>
        <x:v/>
      </x:c>
      <x:c r="J42" s="1262" t="str">
        <x:f t="shared" si="108"/>
        <x:v/>
      </x:c>
      <x:c r="K42" s="1370" t="str">
        <x:f t="shared" si="109"/>
        <x:v/>
      </x:c>
      <x:c r="L42" s="1327" t="str">
        <x:f t="shared" ref="L42:M44" si="117">DQ42</x:f>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7"/>
        <x:v/>
      </x:c>
      <x:c r="U42" s="1262" t="str">
        <x:f t="shared" si="8"/>
        <x:v/>
      </x:c>
      <x:c r="V42" s="1261" t="str">
        <x:f t="shared" si="9"/>
        <x:v/>
      </x:c>
      <x:c r="W42" s="1262" t="str">
        <x:f t="shared" si="10"/>
        <x:v/>
      </x:c>
      <x:c r="X42" s="1329">
        <x:f t="shared" si="11"/>
        <x:v>0</x:v>
      </x:c>
      <x:c r="Y42" s="1377" t="str">
        <x:f t="shared" si="12"/>
        <x:v/>
      </x:c>
      <x:c r="Z42" s="1378" t="str">
        <x:f t="shared" si="13"/>
        <x:v/>
      </x:c>
      <x:c r="AA42" s="2159"/>
      <x:c r="AC42" s="1226" t="b">
        <x:v>0</x:v>
      </x:c>
      <x:c r="AD42" s="525">
        <x:f t="shared" si="14"/>
        <x:v>0</x:v>
      </x:c>
      <x:c r="AE42" s="526">
        <x:f t="shared" si="15"/>
        <x:v>0</x:v>
      </x:c>
      <x:c r="AF42" s="526">
        <x:f t="shared" si="16"/>
        <x:v>0</x:v>
      </x:c>
      <x:c r="AG42" s="526">
        <x:f t="shared" si="17"/>
        <x:v>0</x:v>
      </x:c>
      <x:c r="AH42" s="527">
        <x:f t="shared" si="18"/>
        <x:v>0</x:v>
      </x:c>
      <x:c r="AI42" s="528" t="b">
        <x:v>0</x:v>
      </x:c>
      <x:c r="AJ42" s="284">
        <x:f t="shared" si="19"/>
        <x:v>0</x:v>
      </x:c>
      <x:c r="AK42" s="1063" t="str">
        <x:f t="shared" si="20"/>
        <x:v/>
      </x:c>
      <x:c r="AL42" s="1202" t="str">
        <x:f t="shared" si="21"/>
        <x:v/>
      </x:c>
      <x:c r="AM42" s="1063" t="str">
        <x:f t="shared" si="22"/>
        <x:v/>
      </x:c>
      <x:c r="AN42" s="1063" t="str">
        <x:f t="shared" si="23"/>
        <x:v/>
      </x:c>
      <x:c r="AO42" s="1063" t="str">
        <x:f t="shared" si="24"/>
        <x:v/>
      </x:c>
      <x:c r="AP42" s="1063" t="b">
        <x:f>IF(ISERROR(AJ42),FALSE,IF(OR(AJ42=0,ISERROR(AL42),ISERROR(AM42),ISERROR(AN42),ISERROR(AO42)),FALSE,IF(AL42&lt;&gt;"",IF(ISERROR(VLOOKUP(SUBSTITUTE(SUBSTITUTE(C42,"R",""),"A",""),TblJoistSize!$A:$A,1,FALSE)),FALSE,TRUE),TRUE)))</x:f>
        <x:v>0</x:v>
      </x:c>
      <x:c r="AQ42" s="1305" t="e">
        <x:f t="shared" si="25"/>
        <x:v>#N/A</x:v>
      </x:c>
      <x:c r="AR42" s="1305" t="b">
        <x:f t="shared" si="26"/>
        <x:v>0</x:v>
      </x:c>
      <x:c r="AS42" s="1305" t="e">
        <x:f t="shared" si="27"/>
        <x:v>#N/A</x:v>
      </x:c>
      <x:c r="AT42" s="1305" t="b">
        <x:f t="shared" si="28"/>
        <x:v>0</x:v>
      </x:c>
      <x:c r="AU42" s="1203" t="str">
        <x:f t="shared" si="29"/>
        <x:v/>
      </x:c>
      <x:c r="AV42" s="1063" t="str">
        <x:f t="shared" si="30"/>
        <x:v/>
      </x:c>
      <x:c r="AW42" s="1063" t="str">
        <x:f t="shared" si="31"/>
        <x:v/>
      </x:c>
      <x:c r="AX42" s="1063" t="str">
        <x:f t="shared" si="104"/>
        <x:v/>
      </x:c>
      <x:c r="AY42" s="1306" t="b">
        <x:f t="shared" si="32"/>
        <x:v>0</x:v>
      </x:c>
      <x:c r="AZ42" s="1090" t="str">
        <x:f t="shared" si="33"/>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4"/>
        <x:v/>
      </x:c>
      <x:c r="CE42" s="935" t="str">
        <x:f t="shared" si="35"/>
        <x:v/>
      </x:c>
      <x:c r="CF42" s="1149"/>
      <x:c r="CG42" s="1150"/>
      <x:c r="CH42" s="738" t="str">
        <x:f t="shared" si="36"/>
        <x:v/>
      </x:c>
      <x:c r="CI42" s="739" t="str">
        <x:f t="shared" si="37"/>
        <x:v/>
      </x:c>
      <x:c r="CJ42" s="740" t="str">
        <x:f t="shared" si="38"/>
        <x:v/>
      </x:c>
      <x:c r="CK42" s="741" t="str">
        <x:f t="shared" si="39"/>
        <x:v/>
      </x:c>
      <x:c r="CL42" s="742" t="str">
        <x:f t="shared" si="40"/>
        <x:v/>
      </x:c>
      <x:c r="CM42" s="743" t="str">
        <x:f t="shared" si="41"/>
        <x:v/>
      </x:c>
      <x:c r="CN42" s="744" t="str">
        <x:f t="shared" si="42"/>
        <x:v/>
      </x:c>
      <x:c r="CO42" s="745" t="str">
        <x:f t="shared" si="43"/>
        <x:v/>
      </x:c>
      <x:c r="CP42" s="762" t="str">
        <x:f t="shared" si="44"/>
        <x:v/>
      </x:c>
      <x:c r="CQ42" s="763" t="str">
        <x:f t="shared" si="45"/>
        <x:v/>
      </x:c>
      <x:c r="CR42" s="953" t="str">
        <x:f t="shared" si="46"/>
        <x:v/>
      </x:c>
      <x:c r="CS42" s="954" t="str">
        <x:f t="shared" si="47"/>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8"/>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9"/>
        <x:v>0</x:v>
      </x:c>
      <x:c r="DO42" s="1049">
        <x:f t="shared" si="50"/>
        <x:v>0</x:v>
      </x:c>
      <x:c r="DP42" s="1053" t="str">
        <x:f t="shared" si="51"/>
        <x:v/>
      </x:c>
      <x:c r="DQ42" s="1053" t="str">
        <x:f t="shared" si="52"/>
        <x:v/>
      </x:c>
      <x:c r="DR42" s="1053" t="str">
        <x:f t="shared" si="53"/>
        <x:v/>
      </x:c>
      <x:c r="DS42" s="1052">
        <x:f t="shared" si="54"/>
        <x:v>0</x:v>
      </x:c>
      <x:c r="DT42" s="1052">
        <x:f t="shared" si="55"/>
        <x:v>0</x:v>
      </x:c>
      <x:c r="DU42" s="1052" t="str">
        <x:f t="shared" si="56"/>
        <x:v/>
      </x:c>
      <x:c r="DV42" s="1053" t="str">
        <x:f t="shared" si="57"/>
        <x:v/>
      </x:c>
      <x:c r="DW42" s="1053" t="str">
        <x:f t="shared" si="58"/>
        <x:v/>
      </x:c>
      <x:c r="DX42" s="1269">
        <x:f t="shared" si="59"/>
        <x:v>0</x:v>
      </x:c>
      <x:c r="DY42" s="1053">
        <x:f t="shared" si="60"/>
        <x:v>0</x:v>
      </x:c>
      <x:c r="DZ42" s="1052">
        <x:f t="shared" si="61"/>
        <x:v>0</x:v>
      </x:c>
      <x:c r="EA42" s="1052" t="str">
        <x:f t="shared" si="62"/>
        <x:v/>
      </x:c>
      <x:c r="EB42" s="1053" t="str">
        <x:f t="shared" si="63"/>
        <x:v/>
      </x:c>
      <x:c r="EC42" s="1053" t="str">
        <x:f t="shared" si="64"/>
        <x:v/>
      </x:c>
      <x:c r="ED42" s="1269">
        <x:f t="shared" si="65"/>
        <x:v>0</x:v>
      </x:c>
      <x:c r="EE42" s="1090" t="str">
        <x:f t="shared" si="66"/>
        <x:v/>
      </x:c>
      <x:c r="EF42" s="1053" t="str">
        <x:f t="shared" si="67"/>
        <x:v/>
      </x:c>
      <x:c r="EG42" s="1053" t="str">
        <x:f t="shared" si="68"/>
        <x:v/>
      </x:c>
      <x:c r="EH42" s="1053" t="e">
        <x:f t="shared" si="69"/>
        <x:v>#N/A</x:v>
      </x:c>
      <x:c r="EI42" s="1053" t="e">
        <x:f t="shared" si="70"/>
        <x:v>#N/A</x:v>
      </x:c>
      <x:c r="EJ42" s="1053" t="str">
        <x:f t="shared" si="71"/>
        <x:v/>
      </x:c>
      <x:c r="EK42" s="1053" t="str">
        <x:f t="shared" si="71"/>
        <x:v/>
      </x:c>
      <x:c r="EL42" s="1090" t="str">
        <x:f t="shared" si="72"/>
        <x:v/>
      </x:c>
      <x:c r="EM42" s="1053" t="str">
        <x:f t="shared" si="73"/>
        <x:v/>
      </x:c>
      <x:c r="EN42" s="1053" t="str">
        <x:f t="shared" si="74"/>
        <x:v/>
      </x:c>
      <x:c r="EO42" s="1053" t="e">
        <x:f t="shared" si="75"/>
        <x:v>#N/A</x:v>
      </x:c>
      <x:c r="EP42" s="1053" t="e">
        <x:f t="shared" si="76"/>
        <x:v>#N/A</x:v>
      </x:c>
      <x:c r="EQ42" s="1053" t="str">
        <x:f t="shared" si="77"/>
        <x:v/>
      </x:c>
      <x:c r="ER42" s="1053" t="str">
        <x:f t="shared" si="77"/>
        <x:v/>
      </x:c>
      <x:c r="ES42" s="1053" t="str">
        <x:f t="shared" si="78"/>
        <x:v/>
      </x:c>
      <x:c r="ET42" s="1053" t="str">
        <x:f t="shared" si="79"/>
        <x:v/>
      </x:c>
      <x:c r="EU42" s="1061" t="str">
        <x:f t="shared" si="80"/>
        <x:v/>
      </x:c>
      <x:c r="EV42" s="1055" t="str">
        <x:f t="shared" si="81"/>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2"/>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3"/>
        <x:v/>
      </x:c>
      <x:c r="FD42" s="1052">
        <x:f t="shared" si="105"/>
        <x:v>0</x:v>
      </x:c>
      <x:c r="FE42" s="1052">
        <x:f t="shared" si="84"/>
        <x:v>0</x:v>
      </x:c>
      <x:c r="FF42" s="1052">
        <x:f t="shared" si="85"/>
        <x:v>0</x:v>
      </x:c>
      <x:c r="FG42" s="1052" t="str">
        <x:f t="shared" si="86"/>
        <x:v/>
      </x:c>
      <x:c r="FH42" s="1053" t="str">
        <x:f t="shared" si="87"/>
        <x:v/>
      </x:c>
      <x:c r="FI42" s="1052">
        <x:f t="shared" si="106"/>
        <x:v>0</x:v>
      </x:c>
      <x:c r="FJ42" s="1052">
        <x:f t="shared" si="88"/>
        <x:v>0</x:v>
      </x:c>
      <x:c r="FK42" s="1052">
        <x:f t="shared" si="89"/>
        <x:v>0</x:v>
      </x:c>
      <x:c r="FL42" s="1052" t="str">
        <x:f t="shared" si="90"/>
        <x:v/>
      </x:c>
      <x:c r="FM42" s="1053" t="str">
        <x:f t="shared" si="91"/>
        <x:v/>
      </x:c>
      <x:c r="FN42" s="1053" t="e">
        <x:f t="shared" si="92"/>
        <x:v>#VALUE!</x:v>
      </x:c>
      <x:c r="FO42" s="1062" t="e">
        <x:f t="shared" si="93"/>
        <x:v>#VALUE!</x:v>
      </x:c>
      <x:c r="FP42" s="1062" t="e">
        <x:f t="shared" si="94"/>
        <x:v>#VALUE!</x:v>
      </x:c>
      <x:c r="FQ42" s="1063" t="e">
        <x:f t="shared" si="95"/>
        <x:v>#VALUE!</x:v>
      </x:c>
      <x:c r="FR42" s="1064" t="e">
        <x:f t="shared" si="96"/>
        <x:v>#VALUE!</x:v>
      </x:c>
      <x:c r="FS42" s="1065" t="str">
        <x:f t="shared" si="97"/>
        <x:v/>
      </x:c>
      <x:c r="FT42" s="1066" t="str">
        <x:f t="shared" si="98"/>
        <x:v/>
      </x:c>
      <x:c r="FU42" s="1105">
        <x:f t="shared" si="99"/>
        <x:v>0</x:v>
      </x:c>
      <x:c r="FV42" s="1106">
        <x:f t="shared" si="100"/>
        <x:v>0</x:v>
      </x:c>
      <x:c r="GA42" s="1975" t="str">
        <x:f t="shared" ref="GA42:GA45" si="118">IF(GF42="","",BE42)</x:f>
        <x:v/>
      </x:c>
      <x:c r="GB42" s="1976" t="str">
        <x:f t="shared" ref="GB42:GB45" si="119">IF(GF42="","",BF42)</x:f>
        <x:v/>
      </x:c>
      <x:c r="GC42" s="1977" t="str">
        <x:f t="shared" ref="GC42:GC45" si="120">IF(GF42="","",IF(CV42="",0,CV42))</x:f>
        <x:v/>
      </x:c>
      <x:c r="GD42" s="1978" t="str">
        <x:f t="shared" ref="GD42:GD45" si="121">IF(GF42="","",IF(DF42="",0,DF42))</x:f>
        <x:v/>
      </x:c>
      <x:c r="GE42" s="1979" t="str">
        <x:f t="shared" ref="GE42:GE45" si="122">IF(GF42="","",BW42)</x:f>
        <x:v/>
      </x:c>
      <x:c r="GF42" s="1980" t="str">
        <x:f t="shared" si="101"/>
        <x:v/>
      </x:c>
      <x:c r="GG42" s="1453"/>
      <x:c r="GH42" s="1454"/>
      <x:c r="GI42" s="1453"/>
      <x:c r="GJ42" s="1454"/>
      <x:c r="GK42" s="533">
        <x:f t="shared" si="102"/>
        <x:v>0</x:v>
      </x:c>
      <x:c r="GL42" s="534" t="e">
        <x:f t="shared" si="103"/>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3"/>
        <x:v/>
      </x:c>
      <x:c r="B43" s="1265"/>
      <x:c r="C43" s="1265" t="str">
        <x:f t="shared" si="114"/>
        <x:v/>
      </x:c>
      <x:c r="D43" s="1261" t="str">
        <x:f t="shared" si="115"/>
        <x:v/>
      </x:c>
      <x:c r="E43" s="1366" t="str">
        <x:f t="shared" si="116"/>
        <x:v/>
      </x:c>
      <x:c r="F43" s="1328" t="str">
        <x:f t="shared" si="110"/>
        <x:v/>
      </x:c>
      <x:c r="G43" s="1262" t="str">
        <x:f t="shared" si="111"/>
        <x:v/>
      </x:c>
      <x:c r="H43" s="1266" t="str">
        <x:f t="shared" si="112"/>
        <x:v/>
      </x:c>
      <x:c r="I43" s="1261" t="str">
        <x:f t="shared" si="107"/>
        <x:v/>
      </x:c>
      <x:c r="J43" s="1262" t="str">
        <x:f t="shared" si="108"/>
        <x:v/>
      </x:c>
      <x:c r="K43" s="1370" t="str">
        <x:f t="shared" si="109"/>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7"/>
        <x:v/>
      </x:c>
      <x:c r="U43" s="1262" t="str">
        <x:f t="shared" si="8"/>
        <x:v/>
      </x:c>
      <x:c r="V43" s="1261" t="str">
        <x:f t="shared" si="9"/>
        <x:v/>
      </x:c>
      <x:c r="W43" s="1262" t="str">
        <x:f t="shared" si="10"/>
        <x:v/>
      </x:c>
      <x:c r="X43" s="1329">
        <x:f t="shared" si="11"/>
        <x:v>0</x:v>
      </x:c>
      <x:c r="Y43" s="1377" t="str">
        <x:f t="shared" si="12"/>
        <x:v/>
      </x:c>
      <x:c r="Z43" s="1378" t="str">
        <x:f t="shared" si="13"/>
        <x:v/>
      </x:c>
      <x:c r="AA43" s="2159"/>
      <x:c r="AC43" s="1226" t="b">
        <x:v>0</x:v>
      </x:c>
      <x:c r="AD43" s="525">
        <x:f t="shared" si="14"/>
        <x:v>0</x:v>
      </x:c>
      <x:c r="AE43" s="526">
        <x:f t="shared" si="15"/>
        <x:v>0</x:v>
      </x:c>
      <x:c r="AF43" s="526">
        <x:f t="shared" si="16"/>
        <x:v>0</x:v>
      </x:c>
      <x:c r="AG43" s="526">
        <x:f t="shared" si="17"/>
        <x:v>0</x:v>
      </x:c>
      <x:c r="AH43" s="527">
        <x:f t="shared" si="18"/>
        <x:v>0</x:v>
      </x:c>
      <x:c r="AI43" s="528" t="b">
        <x:v>0</x:v>
      </x:c>
      <x:c r="AJ43" s="284">
        <x:f t="shared" si="19"/>
        <x:v>0</x:v>
      </x:c>
      <x:c r="AK43" s="1063" t="str">
        <x:f t="shared" si="20"/>
        <x:v/>
      </x:c>
      <x:c r="AL43" s="1202" t="str">
        <x:f t="shared" si="21"/>
        <x:v/>
      </x:c>
      <x:c r="AM43" s="1063" t="str">
        <x:f t="shared" si="22"/>
        <x:v/>
      </x:c>
      <x:c r="AN43" s="1063" t="str">
        <x:f t="shared" si="23"/>
        <x:v/>
      </x:c>
      <x:c r="AO43" s="1063" t="str">
        <x:f t="shared" si="24"/>
        <x:v/>
      </x:c>
      <x:c r="AP43" s="1063" t="b">
        <x:f>IF(ISERROR(AJ43),FALSE,IF(OR(AJ43=0,ISERROR(AL43),ISERROR(AM43),ISERROR(AN43),ISERROR(AO43)),FALSE,IF(AL43&lt;&gt;"",IF(ISERROR(VLOOKUP(SUBSTITUTE(SUBSTITUTE(C43,"R",""),"A",""),TblJoistSize!$A:$A,1,FALSE)),FALSE,TRUE),TRUE)))</x:f>
        <x:v>0</x:v>
      </x:c>
      <x:c r="AQ43" s="1305" t="e">
        <x:f t="shared" si="25"/>
        <x:v>#N/A</x:v>
      </x:c>
      <x:c r="AR43" s="1305" t="b">
        <x:f t="shared" si="26"/>
        <x:v>0</x:v>
      </x:c>
      <x:c r="AS43" s="1305" t="e">
        <x:f t="shared" si="27"/>
        <x:v>#N/A</x:v>
      </x:c>
      <x:c r="AT43" s="1305" t="b">
        <x:f t="shared" si="28"/>
        <x:v>0</x:v>
      </x:c>
      <x:c r="AU43" s="1203" t="str">
        <x:f t="shared" si="29"/>
        <x:v/>
      </x:c>
      <x:c r="AV43" s="1063" t="str">
        <x:f t="shared" si="30"/>
        <x:v/>
      </x:c>
      <x:c r="AW43" s="1063" t="str">
        <x:f t="shared" si="31"/>
        <x:v/>
      </x:c>
      <x:c r="AX43" s="1063" t="str">
        <x:f t="shared" si="104"/>
        <x:v/>
      </x:c>
      <x:c r="AY43" s="1306" t="b">
        <x:f t="shared" si="32"/>
        <x:v>0</x:v>
      </x:c>
      <x:c r="AZ43" s="1090" t="str">
        <x:f t="shared" si="33"/>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4"/>
        <x:v/>
      </x:c>
      <x:c r="CE43" s="935" t="str">
        <x:f t="shared" si="35"/>
        <x:v/>
      </x:c>
      <x:c r="CF43" s="1149"/>
      <x:c r="CG43" s="1150"/>
      <x:c r="CH43" s="738" t="str">
        <x:f t="shared" si="36"/>
        <x:v/>
      </x:c>
      <x:c r="CI43" s="739" t="str">
        <x:f t="shared" si="37"/>
        <x:v/>
      </x:c>
      <x:c r="CJ43" s="740" t="str">
        <x:f t="shared" si="38"/>
        <x:v/>
      </x:c>
      <x:c r="CK43" s="741" t="str">
        <x:f t="shared" si="39"/>
        <x:v/>
      </x:c>
      <x:c r="CL43" s="742" t="str">
        <x:f t="shared" si="40"/>
        <x:v/>
      </x:c>
      <x:c r="CM43" s="743" t="str">
        <x:f t="shared" si="41"/>
        <x:v/>
      </x:c>
      <x:c r="CN43" s="744" t="str">
        <x:f t="shared" si="42"/>
        <x:v/>
      </x:c>
      <x:c r="CO43" s="745" t="str">
        <x:f t="shared" si="43"/>
        <x:v/>
      </x:c>
      <x:c r="CP43" s="762" t="str">
        <x:f t="shared" si="44"/>
        <x:v/>
      </x:c>
      <x:c r="CQ43" s="763" t="str">
        <x:f t="shared" si="45"/>
        <x:v/>
      </x:c>
      <x:c r="CR43" s="953" t="str">
        <x:f t="shared" si="46"/>
        <x:v/>
      </x:c>
      <x:c r="CS43" s="954" t="str">
        <x:f t="shared" si="47"/>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8"/>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9"/>
        <x:v>0</x:v>
      </x:c>
      <x:c r="DO43" s="1049">
        <x:f t="shared" si="50"/>
        <x:v>0</x:v>
      </x:c>
      <x:c r="DP43" s="1053" t="str">
        <x:f t="shared" si="51"/>
        <x:v/>
      </x:c>
      <x:c r="DQ43" s="1053" t="str">
        <x:f t="shared" si="52"/>
        <x:v/>
      </x:c>
      <x:c r="DR43" s="1053" t="str">
        <x:f t="shared" si="53"/>
        <x:v/>
      </x:c>
      <x:c r="DS43" s="1052">
        <x:f t="shared" si="54"/>
        <x:v>0</x:v>
      </x:c>
      <x:c r="DT43" s="1052">
        <x:f t="shared" si="55"/>
        <x:v>0</x:v>
      </x:c>
      <x:c r="DU43" s="1052" t="str">
        <x:f t="shared" si="56"/>
        <x:v/>
      </x:c>
      <x:c r="DV43" s="1053" t="str">
        <x:f t="shared" si="57"/>
        <x:v/>
      </x:c>
      <x:c r="DW43" s="1053" t="str">
        <x:f t="shared" si="58"/>
        <x:v/>
      </x:c>
      <x:c r="DX43" s="1269">
        <x:f t="shared" si="59"/>
        <x:v>0</x:v>
      </x:c>
      <x:c r="DY43" s="1053">
        <x:f t="shared" si="60"/>
        <x:v>0</x:v>
      </x:c>
      <x:c r="DZ43" s="1052">
        <x:f t="shared" si="61"/>
        <x:v>0</x:v>
      </x:c>
      <x:c r="EA43" s="1052" t="str">
        <x:f t="shared" si="62"/>
        <x:v/>
      </x:c>
      <x:c r="EB43" s="1053" t="str">
        <x:f t="shared" si="63"/>
        <x:v/>
      </x:c>
      <x:c r="EC43" s="1053" t="str">
        <x:f t="shared" si="64"/>
        <x:v/>
      </x:c>
      <x:c r="ED43" s="1269">
        <x:f t="shared" si="65"/>
        <x:v>0</x:v>
      </x:c>
      <x:c r="EE43" s="1090" t="str">
        <x:f t="shared" si="66"/>
        <x:v/>
      </x:c>
      <x:c r="EF43" s="1053" t="str">
        <x:f t="shared" si="67"/>
        <x:v/>
      </x:c>
      <x:c r="EG43" s="1053" t="str">
        <x:f t="shared" si="68"/>
        <x:v/>
      </x:c>
      <x:c r="EH43" s="1053" t="e">
        <x:f t="shared" si="69"/>
        <x:v>#N/A</x:v>
      </x:c>
      <x:c r="EI43" s="1053" t="e">
        <x:f t="shared" si="70"/>
        <x:v>#N/A</x:v>
      </x:c>
      <x:c r="EJ43" s="1053" t="str">
        <x:f t="shared" si="71"/>
        <x:v/>
      </x:c>
      <x:c r="EK43" s="1053" t="str">
        <x:f t="shared" si="71"/>
        <x:v/>
      </x:c>
      <x:c r="EL43" s="1090" t="str">
        <x:f t="shared" si="72"/>
        <x:v/>
      </x:c>
      <x:c r="EM43" s="1053" t="str">
        <x:f t="shared" si="73"/>
        <x:v/>
      </x:c>
      <x:c r="EN43" s="1053" t="str">
        <x:f t="shared" si="74"/>
        <x:v/>
      </x:c>
      <x:c r="EO43" s="1053" t="e">
        <x:f t="shared" si="75"/>
        <x:v>#N/A</x:v>
      </x:c>
      <x:c r="EP43" s="1053" t="e">
        <x:f t="shared" si="76"/>
        <x:v>#N/A</x:v>
      </x:c>
      <x:c r="EQ43" s="1053" t="str">
        <x:f t="shared" si="77"/>
        <x:v/>
      </x:c>
      <x:c r="ER43" s="1053" t="str">
        <x:f t="shared" si="77"/>
        <x:v/>
      </x:c>
      <x:c r="ES43" s="1053" t="str">
        <x:f t="shared" si="78"/>
        <x:v/>
      </x:c>
      <x:c r="ET43" s="1053" t="str">
        <x:f t="shared" si="79"/>
        <x:v/>
      </x:c>
      <x:c r="EU43" s="1061" t="str">
        <x:f t="shared" si="80"/>
        <x:v/>
      </x:c>
      <x:c r="EV43" s="1055" t="str">
        <x:f t="shared" si="81"/>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2"/>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3"/>
        <x:v/>
      </x:c>
      <x:c r="FD43" s="1052">
        <x:f t="shared" si="105"/>
        <x:v>0</x:v>
      </x:c>
      <x:c r="FE43" s="1052">
        <x:f t="shared" si="84"/>
        <x:v>0</x:v>
      </x:c>
      <x:c r="FF43" s="1052">
        <x:f t="shared" si="85"/>
        <x:v>0</x:v>
      </x:c>
      <x:c r="FG43" s="1052" t="str">
        <x:f t="shared" si="86"/>
        <x:v/>
      </x:c>
      <x:c r="FH43" s="1053" t="str">
        <x:f t="shared" si="87"/>
        <x:v/>
      </x:c>
      <x:c r="FI43" s="1052">
        <x:f t="shared" si="106"/>
        <x:v>0</x:v>
      </x:c>
      <x:c r="FJ43" s="1052">
        <x:f t="shared" si="88"/>
        <x:v>0</x:v>
      </x:c>
      <x:c r="FK43" s="1052">
        <x:f t="shared" si="89"/>
        <x:v>0</x:v>
      </x:c>
      <x:c r="FL43" s="1052" t="str">
        <x:f t="shared" si="90"/>
        <x:v/>
      </x:c>
      <x:c r="FM43" s="1053" t="str">
        <x:f t="shared" si="91"/>
        <x:v/>
      </x:c>
      <x:c r="FN43" s="1053" t="e">
        <x:f t="shared" si="92"/>
        <x:v>#VALUE!</x:v>
      </x:c>
      <x:c r="FO43" s="1062" t="e">
        <x:f t="shared" si="93"/>
        <x:v>#VALUE!</x:v>
      </x:c>
      <x:c r="FP43" s="1062" t="e">
        <x:f t="shared" si="94"/>
        <x:v>#VALUE!</x:v>
      </x:c>
      <x:c r="FQ43" s="1063" t="e">
        <x:f t="shared" si="95"/>
        <x:v>#VALUE!</x:v>
      </x:c>
      <x:c r="FR43" s="1064" t="e">
        <x:f t="shared" si="96"/>
        <x:v>#VALUE!</x:v>
      </x:c>
      <x:c r="FS43" s="1065" t="str">
        <x:f t="shared" si="97"/>
        <x:v/>
      </x:c>
      <x:c r="FT43" s="1066" t="str">
        <x:f t="shared" si="98"/>
        <x:v/>
      </x:c>
      <x:c r="FU43" s="1105">
        <x:f t="shared" si="99"/>
        <x:v>0</x:v>
      </x:c>
      <x:c r="FV43" s="1106">
        <x:f t="shared" si="100"/>
        <x:v>0</x:v>
      </x:c>
      <x:c r="GA43" s="1975" t="str">
        <x:f t="shared" si="118"/>
        <x:v/>
      </x:c>
      <x:c r="GB43" s="1976" t="str">
        <x:f t="shared" si="119"/>
        <x:v/>
      </x:c>
      <x:c r="GC43" s="1977" t="str">
        <x:f t="shared" si="120"/>
        <x:v/>
      </x:c>
      <x:c r="GD43" s="1978" t="str">
        <x:f t="shared" si="121"/>
        <x:v/>
      </x:c>
      <x:c r="GE43" s="1979" t="str">
        <x:f t="shared" si="122"/>
        <x:v/>
      </x:c>
      <x:c r="GF43" s="1980" t="str">
        <x:f t="shared" si="101"/>
        <x:v/>
      </x:c>
      <x:c r="GG43" s="1453"/>
      <x:c r="GH43" s="1454"/>
      <x:c r="GI43" s="1453"/>
      <x:c r="GJ43" s="1454"/>
      <x:c r="GK43" s="533">
        <x:f t="shared" si="102"/>
        <x:v>0</x:v>
      </x:c>
      <x:c r="GL43" s="534" t="e">
        <x:f t="shared" si="103"/>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3"/>
        <x:v/>
      </x:c>
      <x:c r="B44" s="1265"/>
      <x:c r="C44" s="1265" t="str">
        <x:f t="shared" si="114"/>
        <x:v/>
      </x:c>
      <x:c r="D44" s="1261" t="str">
        <x:f t="shared" si="115"/>
        <x:v/>
      </x:c>
      <x:c r="E44" s="1366" t="str">
        <x:f t="shared" si="116"/>
        <x:v/>
      </x:c>
      <x:c r="F44" s="1328" t="str">
        <x:f t="shared" si="110"/>
        <x:v/>
      </x:c>
      <x:c r="G44" s="1262" t="str">
        <x:f t="shared" si="111"/>
        <x:v/>
      </x:c>
      <x:c r="H44" s="1266" t="str">
        <x:f t="shared" si="112"/>
        <x:v/>
      </x:c>
      <x:c r="I44" s="1261" t="str">
        <x:f t="shared" si="107"/>
        <x:v/>
      </x:c>
      <x:c r="J44" s="1262" t="str">
        <x:f t="shared" si="108"/>
        <x:v/>
      </x:c>
      <x:c r="K44" s="1370" t="str">
        <x:f t="shared" si="109"/>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7"/>
        <x:v/>
      </x:c>
      <x:c r="U44" s="1262" t="str">
        <x:f t="shared" si="8"/>
        <x:v/>
      </x:c>
      <x:c r="V44" s="1261" t="str">
        <x:f t="shared" si="9"/>
        <x:v/>
      </x:c>
      <x:c r="W44" s="1262" t="str">
        <x:f t="shared" si="10"/>
        <x:v/>
      </x:c>
      <x:c r="X44" s="1329">
        <x:f t="shared" si="11"/>
        <x:v>0</x:v>
      </x:c>
      <x:c r="Y44" s="1377" t="str">
        <x:f t="shared" si="12"/>
        <x:v/>
      </x:c>
      <x:c r="Z44" s="1378" t="str">
        <x:f t="shared" si="13"/>
        <x:v/>
      </x:c>
      <x:c r="AA44" s="2159"/>
      <x:c r="AC44" s="1226" t="b">
        <x:v>0</x:v>
      </x:c>
      <x:c r="AD44" s="525">
        <x:f t="shared" si="14"/>
        <x:v>0</x:v>
      </x:c>
      <x:c r="AE44" s="526">
        <x:f t="shared" si="15"/>
        <x:v>0</x:v>
      </x:c>
      <x:c r="AF44" s="526">
        <x:f t="shared" si="16"/>
        <x:v>0</x:v>
      </x:c>
      <x:c r="AG44" s="526">
        <x:f t="shared" si="17"/>
        <x:v>0</x:v>
      </x:c>
      <x:c r="AH44" s="527">
        <x:f t="shared" si="18"/>
        <x:v>0</x:v>
      </x:c>
      <x:c r="AI44" s="528" t="b">
        <x:v>0</x:v>
      </x:c>
      <x:c r="AJ44" s="284">
        <x:f t="shared" si="19"/>
        <x:v>0</x:v>
      </x:c>
      <x:c r="AK44" s="1063" t="str">
        <x:f t="shared" si="20"/>
        <x:v/>
      </x:c>
      <x:c r="AL44" s="1202" t="str">
        <x:f t="shared" si="21"/>
        <x:v/>
      </x:c>
      <x:c r="AM44" s="1063" t="str">
        <x:f t="shared" si="22"/>
        <x:v/>
      </x:c>
      <x:c r="AN44" s="1063" t="str">
        <x:f t="shared" si="23"/>
        <x:v/>
      </x:c>
      <x:c r="AO44" s="1063" t="str">
        <x:f t="shared" si="24"/>
        <x:v/>
      </x:c>
      <x:c r="AP44" s="1063" t="b">
        <x:f>IF(ISERROR(AJ44),FALSE,IF(OR(AJ44=0,ISERROR(AL44),ISERROR(AM44),ISERROR(AN44),ISERROR(AO44)),FALSE,IF(AL44&lt;&gt;"",IF(ISERROR(VLOOKUP(SUBSTITUTE(SUBSTITUTE(C44,"R",""),"A",""),TblJoistSize!$A:$A,1,FALSE)),FALSE,TRUE),TRUE)))</x:f>
        <x:v>0</x:v>
      </x:c>
      <x:c r="AQ44" s="1305" t="e">
        <x:f t="shared" si="25"/>
        <x:v>#N/A</x:v>
      </x:c>
      <x:c r="AR44" s="1305" t="b">
        <x:f t="shared" si="26"/>
        <x:v>0</x:v>
      </x:c>
      <x:c r="AS44" s="1305" t="e">
        <x:f t="shared" si="27"/>
        <x:v>#N/A</x:v>
      </x:c>
      <x:c r="AT44" s="1305" t="b">
        <x:f t="shared" si="28"/>
        <x:v>0</x:v>
      </x:c>
      <x:c r="AU44" s="1203" t="str">
        <x:f t="shared" si="29"/>
        <x:v/>
      </x:c>
      <x:c r="AV44" s="1063" t="str">
        <x:f t="shared" si="30"/>
        <x:v/>
      </x:c>
      <x:c r="AW44" s="1063" t="str">
        <x:f t="shared" si="31"/>
        <x:v/>
      </x:c>
      <x:c r="AX44" s="1063" t="str">
        <x:f t="shared" si="104"/>
        <x:v/>
      </x:c>
      <x:c r="AY44" s="1306" t="b">
        <x:f t="shared" si="32"/>
        <x:v>0</x:v>
      </x:c>
      <x:c r="AZ44" s="1090" t="str">
        <x:f t="shared" si="33"/>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4"/>
        <x:v/>
      </x:c>
      <x:c r="CE44" s="935" t="str">
        <x:f t="shared" si="35"/>
        <x:v/>
      </x:c>
      <x:c r="CF44" s="1149"/>
      <x:c r="CG44" s="1150"/>
      <x:c r="CH44" s="738" t="str">
        <x:f t="shared" si="36"/>
        <x:v/>
      </x:c>
      <x:c r="CI44" s="739" t="str">
        <x:f t="shared" si="37"/>
        <x:v/>
      </x:c>
      <x:c r="CJ44" s="740" t="str">
        <x:f t="shared" si="38"/>
        <x:v/>
      </x:c>
      <x:c r="CK44" s="741" t="str">
        <x:f t="shared" si="39"/>
        <x:v/>
      </x:c>
      <x:c r="CL44" s="742" t="str">
        <x:f t="shared" si="40"/>
        <x:v/>
      </x:c>
      <x:c r="CM44" s="743" t="str">
        <x:f t="shared" si="41"/>
        <x:v/>
      </x:c>
      <x:c r="CN44" s="744" t="str">
        <x:f t="shared" si="42"/>
        <x:v/>
      </x:c>
      <x:c r="CO44" s="745" t="str">
        <x:f t="shared" si="43"/>
        <x:v/>
      </x:c>
      <x:c r="CP44" s="762" t="str">
        <x:f t="shared" si="44"/>
        <x:v/>
      </x:c>
      <x:c r="CQ44" s="763" t="str">
        <x:f t="shared" si="45"/>
        <x:v/>
      </x:c>
      <x:c r="CR44" s="953" t="str">
        <x:f t="shared" si="46"/>
        <x:v/>
      </x:c>
      <x:c r="CS44" s="954" t="str">
        <x:f t="shared" si="47"/>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8"/>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9"/>
        <x:v>0</x:v>
      </x:c>
      <x:c r="DO44" s="1049">
        <x:f t="shared" si="50"/>
        <x:v>0</x:v>
      </x:c>
      <x:c r="DP44" s="1053" t="str">
        <x:f t="shared" si="51"/>
        <x:v/>
      </x:c>
      <x:c r="DQ44" s="1053" t="str">
        <x:f t="shared" si="52"/>
        <x:v/>
      </x:c>
      <x:c r="DR44" s="1053" t="str">
        <x:f t="shared" si="53"/>
        <x:v/>
      </x:c>
      <x:c r="DS44" s="1052">
        <x:f t="shared" si="54"/>
        <x:v>0</x:v>
      </x:c>
      <x:c r="DT44" s="1052">
        <x:f t="shared" si="55"/>
        <x:v>0</x:v>
      </x:c>
      <x:c r="DU44" s="1052" t="str">
        <x:f t="shared" si="56"/>
        <x:v/>
      </x:c>
      <x:c r="DV44" s="1053" t="str">
        <x:f t="shared" si="57"/>
        <x:v/>
      </x:c>
      <x:c r="DW44" s="1053" t="str">
        <x:f t="shared" si="58"/>
        <x:v/>
      </x:c>
      <x:c r="DX44" s="1269">
        <x:f t="shared" si="59"/>
        <x:v>0</x:v>
      </x:c>
      <x:c r="DY44" s="1053">
        <x:f t="shared" si="60"/>
        <x:v>0</x:v>
      </x:c>
      <x:c r="DZ44" s="1052">
        <x:f t="shared" si="61"/>
        <x:v>0</x:v>
      </x:c>
      <x:c r="EA44" s="1052" t="str">
        <x:f t="shared" si="62"/>
        <x:v/>
      </x:c>
      <x:c r="EB44" s="1053" t="str">
        <x:f t="shared" si="63"/>
        <x:v/>
      </x:c>
      <x:c r="EC44" s="1053" t="str">
        <x:f t="shared" si="64"/>
        <x:v/>
      </x:c>
      <x:c r="ED44" s="1269">
        <x:f t="shared" si="65"/>
        <x:v>0</x:v>
      </x:c>
      <x:c r="EE44" s="1090" t="str">
        <x:f t="shared" si="66"/>
        <x:v/>
      </x:c>
      <x:c r="EF44" s="1053" t="str">
        <x:f t="shared" si="67"/>
        <x:v/>
      </x:c>
      <x:c r="EG44" s="1053" t="str">
        <x:f t="shared" si="68"/>
        <x:v/>
      </x:c>
      <x:c r="EH44" s="1053" t="e">
        <x:f t="shared" si="69"/>
        <x:v>#N/A</x:v>
      </x:c>
      <x:c r="EI44" s="1053" t="e">
        <x:f t="shared" si="70"/>
        <x:v>#N/A</x:v>
      </x:c>
      <x:c r="EJ44" s="1053" t="str">
        <x:f t="shared" si="71"/>
        <x:v/>
      </x:c>
      <x:c r="EK44" s="1053" t="str">
        <x:f t="shared" si="71"/>
        <x:v/>
      </x:c>
      <x:c r="EL44" s="1090" t="str">
        <x:f t="shared" si="72"/>
        <x:v/>
      </x:c>
      <x:c r="EM44" s="1053" t="str">
        <x:f t="shared" si="73"/>
        <x:v/>
      </x:c>
      <x:c r="EN44" s="1053" t="str">
        <x:f t="shared" si="74"/>
        <x:v/>
      </x:c>
      <x:c r="EO44" s="1053" t="e">
        <x:f t="shared" si="75"/>
        <x:v>#N/A</x:v>
      </x:c>
      <x:c r="EP44" s="1053" t="e">
        <x:f t="shared" si="76"/>
        <x:v>#N/A</x:v>
      </x:c>
      <x:c r="EQ44" s="1053" t="str">
        <x:f t="shared" si="77"/>
        <x:v/>
      </x:c>
      <x:c r="ER44" s="1053" t="str">
        <x:f t="shared" si="77"/>
        <x:v/>
      </x:c>
      <x:c r="ES44" s="1053" t="str">
        <x:f t="shared" si="78"/>
        <x:v/>
      </x:c>
      <x:c r="ET44" s="1053" t="str">
        <x:f t="shared" si="79"/>
        <x:v/>
      </x:c>
      <x:c r="EU44" s="1061" t="str">
        <x:f t="shared" si="80"/>
        <x:v/>
      </x:c>
      <x:c r="EV44" s="1055" t="str">
        <x:f t="shared" si="81"/>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2"/>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3"/>
        <x:v/>
      </x:c>
      <x:c r="FD44" s="1052">
        <x:f t="shared" si="105"/>
        <x:v>0</x:v>
      </x:c>
      <x:c r="FE44" s="1052">
        <x:f t="shared" si="84"/>
        <x:v>0</x:v>
      </x:c>
      <x:c r="FF44" s="1052">
        <x:f t="shared" si="85"/>
        <x:v>0</x:v>
      </x:c>
      <x:c r="FG44" s="1052" t="str">
        <x:f t="shared" si="86"/>
        <x:v/>
      </x:c>
      <x:c r="FH44" s="1053" t="str">
        <x:f t="shared" si="87"/>
        <x:v/>
      </x:c>
      <x:c r="FI44" s="1052">
        <x:f t="shared" si="106"/>
        <x:v>0</x:v>
      </x:c>
      <x:c r="FJ44" s="1052">
        <x:f t="shared" si="88"/>
        <x:v>0</x:v>
      </x:c>
      <x:c r="FK44" s="1052">
        <x:f t="shared" si="89"/>
        <x:v>0</x:v>
      </x:c>
      <x:c r="FL44" s="1052" t="str">
        <x:f t="shared" si="90"/>
        <x:v/>
      </x:c>
      <x:c r="FM44" s="1053" t="str">
        <x:f t="shared" si="91"/>
        <x:v/>
      </x:c>
      <x:c r="FN44" s="1053" t="e">
        <x:f t="shared" si="92"/>
        <x:v>#VALUE!</x:v>
      </x:c>
      <x:c r="FO44" s="1062" t="e">
        <x:f t="shared" si="93"/>
        <x:v>#VALUE!</x:v>
      </x:c>
      <x:c r="FP44" s="1062" t="e">
        <x:f t="shared" si="94"/>
        <x:v>#VALUE!</x:v>
      </x:c>
      <x:c r="FQ44" s="1063" t="e">
        <x:f t="shared" si="95"/>
        <x:v>#VALUE!</x:v>
      </x:c>
      <x:c r="FR44" s="1064" t="e">
        <x:f t="shared" si="96"/>
        <x:v>#VALUE!</x:v>
      </x:c>
      <x:c r="FS44" s="1065" t="str">
        <x:f t="shared" si="97"/>
        <x:v/>
      </x:c>
      <x:c r="FT44" s="1066" t="str">
        <x:f t="shared" si="98"/>
        <x:v/>
      </x:c>
      <x:c r="FU44" s="1105">
        <x:f t="shared" si="99"/>
        <x:v>0</x:v>
      </x:c>
      <x:c r="FV44" s="1106">
        <x:f t="shared" si="100"/>
        <x:v>0</x:v>
      </x:c>
      <x:c r="GA44" s="1975" t="str">
        <x:f t="shared" si="118"/>
        <x:v/>
      </x:c>
      <x:c r="GB44" s="1976" t="str">
        <x:f t="shared" si="119"/>
        <x:v/>
      </x:c>
      <x:c r="GC44" s="1977" t="str">
        <x:f t="shared" si="120"/>
        <x:v/>
      </x:c>
      <x:c r="GD44" s="1978" t="str">
        <x:f t="shared" si="121"/>
        <x:v/>
      </x:c>
      <x:c r="GE44" s="1979" t="str">
        <x:f t="shared" si="122"/>
        <x:v/>
      </x:c>
      <x:c r="GF44" s="1980" t="str">
        <x:f t="shared" si="101"/>
        <x:v/>
      </x:c>
      <x:c r="GG44" s="1453"/>
      <x:c r="GH44" s="1454"/>
      <x:c r="GI44" s="1453"/>
      <x:c r="GJ44" s="1454"/>
      <x:c r="GK44" s="533">
        <x:f t="shared" si="102"/>
        <x:v>0</x:v>
      </x:c>
      <x:c r="GL44" s="534" t="e">
        <x:f t="shared" si="103"/>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4"/>
        <x:v>0</x:v>
      </x:c>
      <x:c r="AE45" s="526">
        <x:f t="shared" si="15"/>
        <x:v>0</x:v>
      </x:c>
      <x:c r="AF45" s="526">
        <x:f t="shared" si="16"/>
        <x:v>0</x:v>
      </x:c>
      <x:c r="AG45" s="526">
        <x:f t="shared" si="17"/>
        <x:v>0</x:v>
      </x:c>
      <x:c r="AH45" s="527">
        <x:f t="shared" si="18"/>
        <x:v>0</x:v>
      </x:c>
      <x:c r="AI45" s="528" t="b">
        <x:v>0</x:v>
      </x:c>
      <x:c r="AJ45" s="284">
        <x:f t="shared" si="19"/>
        <x:v>0</x:v>
      </x:c>
      <x:c r="AK45" s="1063" t="str">
        <x:f t="shared" si="20"/>
        <x:v/>
      </x:c>
      <x:c r="AL45" s="1202" t="str">
        <x:f t="shared" si="21"/>
        <x:v/>
      </x:c>
      <x:c r="AM45" s="1063" t="str">
        <x:f t="shared" si="22"/>
        <x:v/>
      </x:c>
      <x:c r="AN45" s="1063" t="str">
        <x:f t="shared" si="23"/>
        <x:v/>
      </x:c>
      <x:c r="AO45" s="1063" t="str">
        <x:f t="shared" si="24"/>
        <x:v/>
      </x:c>
      <x:c r="AP45" s="1063" t="b">
        <x:f>IF(ISERROR(AJ45),FALSE,IF(OR(AJ45=0,ISERROR(AL45),ISERROR(AM45),ISERROR(AN45),ISERROR(AO45)),FALSE,IF(AL45&lt;&gt;"",IF(ISERROR(VLOOKUP(SUBSTITUTE(SUBSTITUTE(C45,"R",""),"A",""),TblJoistSize!$A:$A,1,FALSE)),FALSE,TRUE),TRUE)))</x:f>
        <x:v>0</x:v>
      </x:c>
      <x:c r="AQ45" s="1305" t="e">
        <x:f t="shared" si="25"/>
        <x:v>#N/A</x:v>
      </x:c>
      <x:c r="AR45" s="1305" t="b">
        <x:f t="shared" si="26"/>
        <x:v>0</x:v>
      </x:c>
      <x:c r="AS45" s="1305" t="e">
        <x:f t="shared" si="27"/>
        <x:v>#N/A</x:v>
      </x:c>
      <x:c r="AT45" s="1305" t="b">
        <x:f t="shared" si="28"/>
        <x:v>0</x:v>
      </x:c>
      <x:c r="AU45" s="1203" t="str">
        <x:f t="shared" si="29"/>
        <x:v/>
      </x:c>
      <x:c r="AV45" s="1063" t="str">
        <x:f t="shared" si="30"/>
        <x:v/>
      </x:c>
      <x:c r="AW45" s="1063" t="str">
        <x:f t="shared" si="31"/>
        <x:v/>
      </x:c>
      <x:c r="AX45" s="1063" t="str">
        <x:f t="shared" si="104"/>
        <x:v/>
      </x:c>
      <x:c r="AY45" s="1306" t="b">
        <x:f t="shared" si="32"/>
        <x:v>0</x:v>
      </x:c>
      <x:c r="AZ45" s="1090" t="str">
        <x:f t="shared" si="33"/>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4"/>
        <x:v/>
      </x:c>
      <x:c r="CE45" s="942" t="str">
        <x:f t="shared" si="35"/>
        <x:v/>
      </x:c>
      <x:c r="CF45" s="1151"/>
      <x:c r="CG45" s="1152"/>
      <x:c r="CH45" s="748" t="str">
        <x:f t="shared" si="36"/>
        <x:v/>
      </x:c>
      <x:c r="CI45" s="749" t="str">
        <x:f t="shared" si="37"/>
        <x:v/>
      </x:c>
      <x:c r="CJ45" s="750" t="str">
        <x:f t="shared" si="38"/>
        <x:v/>
      </x:c>
      <x:c r="CK45" s="751" t="str">
        <x:f t="shared" si="39"/>
        <x:v/>
      </x:c>
      <x:c r="CL45" s="752" t="str">
        <x:f t="shared" si="40"/>
        <x:v/>
      </x:c>
      <x:c r="CM45" s="753" t="str">
        <x:f t="shared" si="41"/>
        <x:v/>
      </x:c>
      <x:c r="CN45" s="754" t="str">
        <x:f t="shared" si="42"/>
        <x:v/>
      </x:c>
      <x:c r="CO45" s="755" t="str">
        <x:f t="shared" si="43"/>
        <x:v/>
      </x:c>
      <x:c r="CP45" s="764" t="str">
        <x:f t="shared" si="44"/>
        <x:v/>
      </x:c>
      <x:c r="CQ45" s="765" t="str">
        <x:f t="shared" si="45"/>
        <x:v/>
      </x:c>
      <x:c r="CR45" s="955" t="str">
        <x:f t="shared" si="46"/>
        <x:v/>
      </x:c>
      <x:c r="CS45" s="956" t="str">
        <x:f t="shared" si="47"/>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8"/>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9"/>
        <x:v>0</x:v>
      </x:c>
      <x:c r="DO45" s="1049">
        <x:f t="shared" si="50"/>
        <x:v>0</x:v>
      </x:c>
      <x:c r="DP45" s="1053" t="str">
        <x:f t="shared" si="51"/>
        <x:v/>
      </x:c>
      <x:c r="DQ45" s="1053" t="str">
        <x:f t="shared" si="52"/>
        <x:v/>
      </x:c>
      <x:c r="DR45" s="1053" t="str">
        <x:f t="shared" si="53"/>
        <x:v/>
      </x:c>
      <x:c r="DS45" s="1052">
        <x:f t="shared" si="54"/>
        <x:v>0</x:v>
      </x:c>
      <x:c r="DT45" s="1052">
        <x:f t="shared" si="55"/>
        <x:v>0</x:v>
      </x:c>
      <x:c r="DU45" s="1052" t="str">
        <x:f t="shared" si="56"/>
        <x:v/>
      </x:c>
      <x:c r="DV45" s="1053" t="str">
        <x:f t="shared" si="57"/>
        <x:v/>
      </x:c>
      <x:c r="DW45" s="1053" t="str">
        <x:f t="shared" si="58"/>
        <x:v/>
      </x:c>
      <x:c r="DX45" s="1269">
        <x:f t="shared" si="59"/>
        <x:v>0</x:v>
      </x:c>
      <x:c r="DY45" s="1053">
        <x:f t="shared" si="60"/>
        <x:v>0</x:v>
      </x:c>
      <x:c r="DZ45" s="1052">
        <x:f t="shared" si="61"/>
        <x:v>0</x:v>
      </x:c>
      <x:c r="EA45" s="1052" t="str">
        <x:f t="shared" si="62"/>
        <x:v/>
      </x:c>
      <x:c r="EB45" s="1053" t="str">
        <x:f t="shared" si="63"/>
        <x:v/>
      </x:c>
      <x:c r="EC45" s="1053" t="str">
        <x:f t="shared" si="64"/>
        <x:v/>
      </x:c>
      <x:c r="ED45" s="1269">
        <x:f t="shared" si="65"/>
        <x:v>0</x:v>
      </x:c>
      <x:c r="EE45" s="1090" t="str">
        <x:f t="shared" si="66"/>
        <x:v/>
      </x:c>
      <x:c r="EF45" s="1053" t="str">
        <x:f t="shared" si="67"/>
        <x:v/>
      </x:c>
      <x:c r="EG45" s="1053" t="str">
        <x:f t="shared" si="68"/>
        <x:v/>
      </x:c>
      <x:c r="EH45" s="1053" t="e">
        <x:f t="shared" si="69"/>
        <x:v>#N/A</x:v>
      </x:c>
      <x:c r="EI45" s="1053" t="e">
        <x:f t="shared" si="70"/>
        <x:v>#N/A</x:v>
      </x:c>
      <x:c r="EJ45" s="1053" t="str">
        <x:f t="shared" si="71"/>
        <x:v/>
      </x:c>
      <x:c r="EK45" s="1053" t="str">
        <x:f t="shared" si="71"/>
        <x:v/>
      </x:c>
      <x:c r="EL45" s="1090" t="str">
        <x:f t="shared" si="72"/>
        <x:v/>
      </x:c>
      <x:c r="EM45" s="1053" t="str">
        <x:f t="shared" si="73"/>
        <x:v/>
      </x:c>
      <x:c r="EN45" s="1053" t="str">
        <x:f t="shared" si="74"/>
        <x:v/>
      </x:c>
      <x:c r="EO45" s="1053" t="e">
        <x:f t="shared" si="75"/>
        <x:v>#N/A</x:v>
      </x:c>
      <x:c r="EP45" s="1053" t="e">
        <x:f t="shared" si="76"/>
        <x:v>#N/A</x:v>
      </x:c>
      <x:c r="EQ45" s="1053" t="str">
        <x:f t="shared" si="77"/>
        <x:v/>
      </x:c>
      <x:c r="ER45" s="1053" t="str">
        <x:f t="shared" si="77"/>
        <x:v/>
      </x:c>
      <x:c r="ES45" s="1053" t="str">
        <x:f t="shared" si="78"/>
        <x:v/>
      </x:c>
      <x:c r="ET45" s="1053" t="str">
        <x:f t="shared" si="79"/>
        <x:v/>
      </x:c>
      <x:c r="EU45" s="1061" t="str">
        <x:f t="shared" si="80"/>
        <x:v/>
      </x:c>
      <x:c r="EV45" s="1055" t="str">
        <x:f t="shared" si="81"/>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2"/>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3"/>
        <x:v/>
      </x:c>
      <x:c r="FD45" s="1052">
        <x:f t="shared" si="105"/>
        <x:v>0</x:v>
      </x:c>
      <x:c r="FE45" s="1052">
        <x:f t="shared" si="84"/>
        <x:v>0</x:v>
      </x:c>
      <x:c r="FF45" s="1052">
        <x:f t="shared" si="85"/>
        <x:v>0</x:v>
      </x:c>
      <x:c r="FG45" s="1052" t="str">
        <x:f t="shared" si="86"/>
        <x:v/>
      </x:c>
      <x:c r="FH45" s="1053" t="str">
        <x:f t="shared" si="87"/>
        <x:v/>
      </x:c>
      <x:c r="FI45" s="1052">
        <x:f t="shared" si="106"/>
        <x:v>0</x:v>
      </x:c>
      <x:c r="FJ45" s="1052">
        <x:f t="shared" si="88"/>
        <x:v>0</x:v>
      </x:c>
      <x:c r="FK45" s="1052">
        <x:f t="shared" si="89"/>
        <x:v>0</x:v>
      </x:c>
      <x:c r="FL45" s="1052" t="str">
        <x:f t="shared" si="90"/>
        <x:v/>
      </x:c>
      <x:c r="FM45" s="1053" t="str">
        <x:f t="shared" si="91"/>
        <x:v/>
      </x:c>
      <x:c r="FN45" s="1053" t="e">
        <x:f t="shared" si="92"/>
        <x:v>#VALUE!</x:v>
      </x:c>
      <x:c r="FO45" s="1062" t="e">
        <x:f t="shared" si="93"/>
        <x:v>#VALUE!</x:v>
      </x:c>
      <x:c r="FP45" s="1062" t="e">
        <x:f t="shared" si="94"/>
        <x:v>#VALUE!</x:v>
      </x:c>
      <x:c r="FQ45" s="1063" t="e">
        <x:f t="shared" si="95"/>
        <x:v>#VALUE!</x:v>
      </x:c>
      <x:c r="FR45" s="1064" t="e">
        <x:f t="shared" si="96"/>
        <x:v>#VALUE!</x:v>
      </x:c>
      <x:c r="FS45" s="1065" t="str">
        <x:f t="shared" si="97"/>
        <x:v/>
      </x:c>
      <x:c r="FT45" s="1066" t="str">
        <x:f t="shared" si="98"/>
        <x:v/>
      </x:c>
      <x:c r="FU45" s="1105">
        <x:f t="shared" si="99"/>
        <x:v>0</x:v>
      </x:c>
      <x:c r="FV45" s="1106">
        <x:f t="shared" si="100"/>
        <x:v>0</x:v>
      </x:c>
      <x:c r="GA45" s="1975" t="str">
        <x:f t="shared" si="118"/>
        <x:v/>
      </x:c>
      <x:c r="GB45" s="1976" t="str">
        <x:f t="shared" si="119"/>
        <x:v/>
      </x:c>
      <x:c r="GC45" s="1977" t="str">
        <x:f t="shared" si="120"/>
        <x:v/>
      </x:c>
      <x:c r="GD45" s="1978" t="str">
        <x:f t="shared" si="121"/>
        <x:v/>
      </x:c>
      <x:c r="GE45" s="1979" t="str">
        <x:f t="shared" si="122"/>
        <x:v/>
      </x:c>
      <x:c r="GF45" s="1980" t="str">
        <x:f t="shared" si="101"/>
        <x:v/>
      </x:c>
      <x:c r="GG45" s="1455"/>
      <x:c r="GH45" s="1456"/>
      <x:c r="GI45" s="1455"/>
      <x:c r="GJ45" s="1456"/>
      <x:c r="GK45" s="533">
        <x:f t="shared" si="102"/>
        <x:v>0</x:v>
      </x:c>
      <x:c r="GL45" s="534" t="e">
        <x:f t="shared" si="103"/>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16</x:v>
      </x:c>
      <x:c r="AE46" s="540">
        <x:f>SUM(AE16:AE45)</x:f>
        <x:v>42</x:v>
      </x:c>
      <x:c r="AF46" s="540">
        <x:f>SUM(AF16:AF45)</x:f>
        <x:v>1</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59</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2127</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t="str">
        <x:f t="shared" si="123"/>
        <x:v/>
      </x:c>
      <x:c r="EL79" s="529" t="str">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x:f t="shared" si="126"/>
        <x:v>0</x:v>
      </x:c>
      <x:c r="EL100" s="529" t="e">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#N/A</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71BwmgJvJQyBPmahK9ZMEvPg6wXHAebB1v8mbhV+O2wSJ1pvxH0PXKh6ZFX2i61uAe1P/OZSTF1ABzDu2pglvQ==" saltValue="2xagbz5w9n6rPBYVQC/zWA=="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716" priority="69" stopIfTrue="1">
      <x:formula>GM57&gt;=0.125</x:formula>
    </x:cfRule>
  </x:conditionalFormatting>
  <x:conditionalFormatting sqref="EF57">
    <x:cfRule type="cellIs" dxfId="715" priority="70" stopIfTrue="1" operator="notEqual">
      <x:formula>$EG57</x:formula>
    </x:cfRule>
  </x:conditionalFormatting>
  <x:conditionalFormatting sqref="EM57">
    <x:cfRule type="cellIs" dxfId="714" priority="71" stopIfTrue="1" operator="notEqual">
      <x:formula>$EN57</x:formula>
    </x:cfRule>
  </x:conditionalFormatting>
  <x:conditionalFormatting sqref="CD16:CD45">
    <x:cfRule type="expression" dxfId="713" priority="62">
      <x:formula>AND(CD16="X",CY16="")</x:formula>
    </x:cfRule>
    <x:cfRule type="expression" dxfId="712" priority="72">
      <x:formula>AND(CD16="",CY16&lt;&gt;"")</x:formula>
    </x:cfRule>
  </x:conditionalFormatting>
  <x:conditionalFormatting sqref="CE16:CE45">
    <x:cfRule type="expression" dxfId="711" priority="73">
      <x:formula>AND(CE16="X",DI16="")</x:formula>
    </x:cfRule>
    <x:cfRule type="expression" dxfId="710" priority="74">
      <x:formula>AND(CE16="",DI16&lt;&gt;"")</x:formula>
    </x:cfRule>
  </x:conditionalFormatting>
  <x:conditionalFormatting sqref="P2:S4">
    <x:cfRule type="cellIs" dxfId="709" priority="76" stopIfTrue="1" operator="equal">
      <x:formula>""</x:formula>
    </x:cfRule>
  </x:conditionalFormatting>
  <x:conditionalFormatting sqref="EF16:EF45">
    <x:cfRule type="cellIs" dxfId="708" priority="68" stopIfTrue="1" operator="notEqual">
      <x:formula>$EG16</x:formula>
    </x:cfRule>
  </x:conditionalFormatting>
  <x:conditionalFormatting sqref="EM16:EM45">
    <x:cfRule type="cellIs" dxfId="707" priority="67" stopIfTrue="1" operator="notEqual">
      <x:formula>$EN16</x:formula>
    </x:cfRule>
  </x:conditionalFormatting>
  <x:conditionalFormatting sqref="CC12">
    <x:cfRule type="expression" dxfId="706" priority="66" stopIfTrue="1">
      <x:formula>ISBLANK($CC$12)</x:formula>
    </x:cfRule>
  </x:conditionalFormatting>
  <x:conditionalFormatting sqref="CC11">
    <x:cfRule type="expression" dxfId="705" priority="65" stopIfTrue="1">
      <x:formula>ISBLANK($CC$11)</x:formula>
    </x:cfRule>
  </x:conditionalFormatting>
  <x:conditionalFormatting sqref="M7">
    <x:cfRule type="expression" dxfId="704" priority="63" stopIfTrue="1">
      <x:formula>OR(ISBLANK($M$7),$M$7="")</x:formula>
    </x:cfRule>
    <x:cfRule type="expression" dxfId="703" priority="64" stopIfTrue="1">
      <x:formula>AND(LOWER($M$7)&lt;&gt;"std gray primer: one shop coat",LOWER($M$7)&lt;&gt;"gray",$M$7&lt;&gt;"")</x:formula>
    </x:cfRule>
  </x:conditionalFormatting>
  <x:conditionalFormatting sqref="BV16:BV45">
    <x:cfRule type="expression" dxfId="702" priority="60">
      <x:formula>AND(NOT($AY16),AND(ISBLANK(BV16),AND(NOT(ISBLANK(BU16)),$BW16&lt;&gt;0)))</x:formula>
    </x:cfRule>
  </x:conditionalFormatting>
  <x:conditionalFormatting sqref="BD16:BD45">
    <x:cfRule type="expression" dxfId="701" priority="61">
      <x:formula>AND(NOT($AY16),NOT($AP16))</x:formula>
    </x:cfRule>
  </x:conditionalFormatting>
  <x:conditionalFormatting sqref="U16:U45">
    <x:cfRule type="expression" dxfId="700" priority="57">
      <x:formula>AND(NOT($AY16),NOT(AR16))</x:formula>
    </x:cfRule>
  </x:conditionalFormatting>
  <x:conditionalFormatting sqref="W16:W45">
    <x:cfRule type="expression" dxfId="699" priority="59">
      <x:formula>AND(NOT($AY16),NOT(AT16))</x:formula>
    </x:cfRule>
  </x:conditionalFormatting>
  <x:conditionalFormatting sqref="T16:T45">
    <x:cfRule type="expression" dxfId="698" priority="56">
      <x:formula>AND(NOT($AY16),NOT(AR16))</x:formula>
    </x:cfRule>
  </x:conditionalFormatting>
  <x:conditionalFormatting sqref="V16:V45">
    <x:cfRule type="expression" dxfId="697" priority="58">
      <x:formula>AND(NOT($AY16),NOT(AT16))</x:formula>
    </x:cfRule>
  </x:conditionalFormatting>
  <x:conditionalFormatting sqref="C16:C45">
    <x:cfRule type="expression" dxfId="696" priority="54">
      <x:formula>AND(NOT($AY16),NOT($AP16))</x:formula>
    </x:cfRule>
  </x:conditionalFormatting>
  <x:conditionalFormatting sqref="X16:X45">
    <x:cfRule type="expression" dxfId="695" priority="14">
      <x:formula>$X16=0</x:formula>
    </x:cfRule>
  </x:conditionalFormatting>
  <x:conditionalFormatting sqref="CB16:CB45">
    <x:cfRule type="expression" dxfId="694" priority="53">
      <x:formula>OR(CB16&gt;CV16,CB16&lt;0)</x:formula>
    </x:cfRule>
  </x:conditionalFormatting>
  <x:conditionalFormatting sqref="CC16:CC45">
    <x:cfRule type="expression" dxfId="693" priority="51">
      <x:formula>OR(CC16&gt;DF16,CC16&lt;0)</x:formula>
    </x:cfRule>
  </x:conditionalFormatting>
  <x:conditionalFormatting sqref="BY16:BY45">
    <x:cfRule type="expression" dxfId="692" priority="75">
      <x:formula>OR(CH16&lt;&gt;"",CI16&lt;&gt;"",CJ16&lt;&gt;"",CK16&lt;&gt;"",CL16&lt;&gt;"",CM16&lt;&gt;"")</x:formula>
    </x:cfRule>
  </x:conditionalFormatting>
  <x:conditionalFormatting sqref="BE16:BF45">
    <x:cfRule type="expression" dxfId="691" priority="77">
      <x:formula>AND(NOT($AY16),AND($AZ16,AND($AK16&lt;&gt;"HDR",$AK16&lt;&gt;"JS",$AJ16&gt;=8)))</x:formula>
    </x:cfRule>
  </x:conditionalFormatting>
  <x:conditionalFormatting sqref="D16:E45">
    <x:cfRule type="expression" dxfId="690" priority="55">
      <x:formula>AND(NOT($AY16),AND($AZ16,AND($AK16&lt;&gt;"HDR",$AK16&lt;&gt;"JS",$AJ16&gt;=8)))</x:formula>
    </x:cfRule>
  </x:conditionalFormatting>
  <x:conditionalFormatting sqref="AA12">
    <x:cfRule type="expression" dxfId="689" priority="52">
      <x:formula>OR(ISBLANK(AA12),AA12="")</x:formula>
    </x:cfRule>
  </x:conditionalFormatting>
  <x:conditionalFormatting sqref="BB16:CG45 A16:Z45">
    <x:cfRule type="expression" dxfId="688" priority="78">
      <x:formula>$AC16</x:formula>
    </x:cfRule>
  </x:conditionalFormatting>
  <x:conditionalFormatting sqref="BN16:BN45">
    <x:cfRule type="expression" dxfId="687" priority="17">
      <x:formula>AND(NOT($AY16),AND(ISBLANK(BN16),AND(NOT(ISBLANK(BM16)),$BW16&lt;&gt;0)))</x:formula>
    </x:cfRule>
  </x:conditionalFormatting>
  <x:conditionalFormatting sqref="BO16:BO45">
    <x:cfRule type="expression" dxfId="686" priority="16">
      <x:formula>AND(NOT($AY16),ISERROR(DE16))</x:formula>
    </x:cfRule>
    <x:cfRule type="expression" dxfId="685" priority="43">
      <x:formula>AND(NOT($AY16),OR(DE16="", CQ16&lt;&gt;""))</x:formula>
    </x:cfRule>
  </x:conditionalFormatting>
  <x:conditionalFormatting sqref="BG16:BG45">
    <x:cfRule type="expression" dxfId="684" priority="15">
      <x:formula>AND(NOT($AY16),ISERROR(CU16))</x:formula>
    </x:cfRule>
    <x:cfRule type="expression" dxfId="683" priority="42">
      <x:formula>AND(NOT($AY16),OR(CP16&lt;&gt;"", CU16=""))</x:formula>
    </x:cfRule>
  </x:conditionalFormatting>
  <x:conditionalFormatting sqref="BH16:BH45">
    <x:cfRule type="expression" dxfId="682" priority="30">
      <x:formula>AND(NOT($AY16),OR($CU16="M",$CU16="C",AND($CU16="B",$DC16&gt;0)))</x:formula>
    </x:cfRule>
    <x:cfRule type="expression" dxfId="681" priority="31">
      <x:formula>AND(NOT($AY16),AND(BH16="",BI16="",OR($CU16="B",$CU16="G")))</x:formula>
    </x:cfRule>
    <x:cfRule type="expression" dxfId="680" priority="32">
      <x:formula>AND(NOT($AY16),(BH16/2)/COS(RADIANS(BM16))+CV16-DW16&lt;VLOOKUP(AU16,$DF$2:$DJ$9,5,FALSE))</x:formula>
    </x:cfRule>
  </x:conditionalFormatting>
  <x:conditionalFormatting sqref="BI16:BI45">
    <x:cfRule type="expression" dxfId="679" priority="39">
      <x:formula>AND(NOT($AY16),OR($CU16="M",$CU16="C",AND($CU16="B",$DC16&gt;0)))</x:formula>
    </x:cfRule>
    <x:cfRule type="expression" dxfId="678" priority="40">
      <x:formula>AND(NOT($AY16),AND(BH16="",BI16="",OR($CU16="B",$CU16="G")))</x:formula>
    </x:cfRule>
    <x:cfRule type="expression" dxfId="677" priority="41">
      <x:formula>AND(NOT($AY16),(BI16/2)/COS(RADIANS(BM16))+CV16-DW16&lt;VLOOKUP(AU16,$DF$2:$DJ$9,5,FALSE))</x:formula>
    </x:cfRule>
  </x:conditionalFormatting>
  <x:conditionalFormatting sqref="BK16:BK45">
    <x:cfRule type="expression" dxfId="676" priority="18">
      <x:formula>AND(NOT($AY16),OR($CU16="M",$CU16="C",AND($CU16="B",$DA16&lt;&gt;"")))</x:formula>
    </x:cfRule>
    <x:cfRule type="expression" dxfId="675" priority="19">
      <x:formula>AND(NOT($AY16),AND(BJ16="X",BK16="",BL16=""))</x:formula>
    </x:cfRule>
    <x:cfRule type="expression" dxfId="674" priority="20">
      <x:formula>AND(NOT($AY16),EZ16="ERR")</x:formula>
    </x:cfRule>
  </x:conditionalFormatting>
  <x:conditionalFormatting sqref="BL16:BL45">
    <x:cfRule type="expression" dxfId="673" priority="21">
      <x:formula>AND(NOT($AY16),OR($CU16="M",$CU16="C",AND($CU16="B",$DA16&lt;&gt;"")))</x:formula>
    </x:cfRule>
    <x:cfRule type="expression" dxfId="672" priority="22">
      <x:formula>AND(NOT($AY16),AND(BJ16="X",BK16="",BL16=""))</x:formula>
    </x:cfRule>
    <x:cfRule type="expression" dxfId="671" priority="23">
      <x:formula>AND(NOT($AY16),EZ16="ERR")</x:formula>
    </x:cfRule>
  </x:conditionalFormatting>
  <x:conditionalFormatting sqref="BS16:BS45">
    <x:cfRule type="expression" dxfId="670" priority="24">
      <x:formula>AND(NOT($AY16),OR($DE16="M",$DE16="C",AND($DE16="B",$DK16&lt;&gt;"")))</x:formula>
    </x:cfRule>
    <x:cfRule type="expression" dxfId="669" priority="25">
      <x:formula>AND(NOT($AY16),AND(BR16="X",BS16="",BT16=""))</x:formula>
    </x:cfRule>
    <x:cfRule type="expression" dxfId="668" priority="26">
      <x:formula>AND(NOT($AY16),FC16="ERR")</x:formula>
    </x:cfRule>
  </x:conditionalFormatting>
  <x:conditionalFormatting sqref="BT16:BT45">
    <x:cfRule type="expression" dxfId="667" priority="27">
      <x:formula>AND(NOT($AY16),OR($DE16="M",$DE16="C",AND($DE16="B",$DK16&lt;&gt;"")))</x:formula>
    </x:cfRule>
    <x:cfRule type="expression" dxfId="666" priority="28">
      <x:formula>AND(NOT($AY16),AND(BR16="X",BS16="",BT16=""))</x:formula>
    </x:cfRule>
    <x:cfRule type="expression" dxfId="665" priority="29">
      <x:formula>AND(NOT($AY16),FC16="ERR")</x:formula>
    </x:cfRule>
  </x:conditionalFormatting>
  <x:conditionalFormatting sqref="BP16:BP45">
    <x:cfRule type="expression" dxfId="664" priority="33">
      <x:formula>AND(NOT($AY16),OR($DE16="M",$DE16="C",AND($DE16="B",$DM16&gt;0)))</x:formula>
    </x:cfRule>
    <x:cfRule type="expression" dxfId="663" priority="34">
      <x:formula>AND(NOT($AY16),AND(BP16="",BQ16="",OR($DE16="B",$DE16="G")))</x:formula>
    </x:cfRule>
    <x:cfRule type="expression" dxfId="662" priority="35">
      <x:formula>AND(NOT($AY16),(BP16/2)/COS(RADIANS(BU16))+DF16-EC16&lt;VLOOKUP(AU16,$DF$2:$DJ$9,5,FALSE))</x:formula>
    </x:cfRule>
  </x:conditionalFormatting>
  <x:conditionalFormatting sqref="BQ16:BQ45">
    <x:cfRule type="expression" dxfId="661" priority="36">
      <x:formula>AND(NOT($AY16),OR($DE16="M",$DE16="C",AND($DE16="B",$DM16&gt;0)))</x:formula>
    </x:cfRule>
    <x:cfRule type="expression" dxfId="660" priority="37">
      <x:formula>AND(NOT($AY16),AND(BP16="",BQ16="",OR($DE16="B",$DE16="G")))</x:formula>
    </x:cfRule>
    <x:cfRule type="expression" dxfId="659" priority="38">
      <x:formula>AND(NOT($AY16),(BQ16/2)/COS(RADIANS(BU16))+DF16-EC16&lt;VLOOKUP(AU16,$DF$2:$DJ$9,5,FALSE))</x:formula>
    </x:cfRule>
  </x:conditionalFormatting>
  <x:conditionalFormatting sqref="BJ16:BJ45">
    <x:cfRule type="expression" dxfId="658" priority="44">
      <x:formula>AND(NOT($AY16),OR($CU16="C",AND($CU16="M",$DA16&gt;0)))</x:formula>
    </x:cfRule>
    <x:cfRule type="expression" dxfId="657" priority="45">
      <x:formula>AND(NOT($AY16),OR(NOT(IF(AND(OR(MID($BB16,1,1)="T",($BE16+$BF16/12)/IF(ABS($BW16)&gt;$DQ$1,COS($DO16),1)&gt;=40),OR($CU16="B",$CU16="G")),"X","")="X"),$EZ16="ERR"))</x:formula>
    </x:cfRule>
    <x:cfRule type="expression" dxfId="656" priority="46">
      <x:formula>AND(NOT($AY16),$BJ16&lt;&gt;"X",$BJ16&lt;&gt;IF(AND(OR(MID(BB16,1,1)="T",($BE16+$BF16/12)/IF(ABS($BW16)&gt;$DQ$1,COS($DO16),1)&gt;=40),OR($CU16="B",$CU16="G")),"X",""))</x:formula>
    </x:cfRule>
  </x:conditionalFormatting>
  <x:conditionalFormatting sqref="BR16:BR45">
    <x:cfRule type="expression" dxfId="655" priority="47">
      <x:formula>AND(NOT($AY16),OR($DE16="C",AND($DE16="M",$DK16&gt;0)))</x:formula>
    </x:cfRule>
    <x:cfRule type="expression" dxfId="654" priority="48">
      <x:formula>AND(NOT($AY16),OR(NOT(IF(AND(OR(MID($BB16,1,1)="T",($BE16+$BF16/12)/IF(ABS($BW16)&gt;$DQ$1,COS($DO16),1)&gt;=40),OR($DE16="B",$DE16="G")),"X","")="X"),$FC16="ERR"))</x:formula>
    </x:cfRule>
    <x:cfRule type="expression" dxfId="653" priority="49">
      <x:formula>AND(NOT($AY16),$BR16&lt;&gt;"X",$BR16&lt;&gt;IF(AND(OR(MID(BB16,1,1)="T",($BE16+$BF16/12)/IF(ABS($BW16)&gt;$DQ$1,COS($DO16),1)&gt;=40),OR($DE16="B",$DE16="G")),"X",""))</x:formula>
    </x:cfRule>
  </x:conditionalFormatting>
  <x:conditionalFormatting sqref="BB16:BC45 A16:B45">
    <x:cfRule type="expression" dxfId="652" priority="50">
      <x:formula>AND(NOT($AE$1),$B16=0,$AD$1="M")</x:formula>
    </x:cfRule>
  </x:conditionalFormatting>
  <x:conditionalFormatting sqref="U57">
    <x:cfRule type="expression" dxfId="651" priority="11" stopIfTrue="1">
      <x:formula>AND(NOT($AY57),NOT(AR57))</x:formula>
    </x:cfRule>
  </x:conditionalFormatting>
  <x:conditionalFormatting sqref="W57">
    <x:cfRule type="expression" dxfId="650" priority="13" stopIfTrue="1">
      <x:formula>AND(NOT($AY57),NOT(AT57))</x:formula>
    </x:cfRule>
  </x:conditionalFormatting>
  <x:conditionalFormatting sqref="T57">
    <x:cfRule type="expression" dxfId="649" priority="10" stopIfTrue="1">
      <x:formula>AND(NOT($AY57),NOT(AR57))</x:formula>
    </x:cfRule>
  </x:conditionalFormatting>
  <x:conditionalFormatting sqref="V57">
    <x:cfRule type="expression" dxfId="648" priority="12" stopIfTrue="1">
      <x:formula>AND(NOT($AY57),NOT(AT57))</x:formula>
    </x:cfRule>
  </x:conditionalFormatting>
  <x:conditionalFormatting sqref="C57">
    <x:cfRule type="expression" dxfId="647" priority="8" stopIfTrue="1">
      <x:formula>AND(NOT($AY57),NOT($AP57))</x:formula>
    </x:cfRule>
  </x:conditionalFormatting>
  <x:conditionalFormatting sqref="X57">
    <x:cfRule type="expression" dxfId="646" priority="4">
      <x:formula>$X57=0</x:formula>
    </x:cfRule>
  </x:conditionalFormatting>
  <x:conditionalFormatting sqref="D57:E57">
    <x:cfRule type="expression" dxfId="645" priority="9" stopIfTrue="1">
      <x:formula>AND(NOT($AY57),AND($AZ57,AND($AK57&lt;&gt;"HDR",$AK57&lt;&gt;"JS",$AJ57&gt;=8)))</x:formula>
    </x:cfRule>
  </x:conditionalFormatting>
  <x:conditionalFormatting sqref="A57:AA57">
    <x:cfRule type="expression" dxfId="644" priority="5">
      <x:formula>$AC57</x:formula>
    </x:cfRule>
  </x:conditionalFormatting>
  <x:conditionalFormatting sqref="AA57">
    <x:cfRule type="expression" dxfId="643" priority="6" stopIfTrue="1">
      <x:formula>AND(NOT($AY57),LEN(AA57)&gt;31)</x:formula>
    </x:cfRule>
  </x:conditionalFormatting>
  <x:conditionalFormatting sqref="A57:B57">
    <x:cfRule type="expression" dxfId="642" priority="7">
      <x:formula>AND(NOT($AE$1),$B57=0,$AD$1="M")</x:formula>
    </x:cfRule>
  </x:conditionalFormatting>
  <x:conditionalFormatting sqref="AA16:AA45">
    <x:cfRule type="expression" dxfId="641" priority="2">
      <x:formula>$AC16</x:formula>
    </x:cfRule>
  </x:conditionalFormatting>
  <x:conditionalFormatting sqref="AA16:AA45">
    <x:cfRule type="expression" dxfId="640" priority="3" stopIfTrue="1">
      <x:formula>AND(NOT($AY16),LEN(AA16)&gt;31)</x:formula>
    </x:cfRule>
  </x:conditionalFormatting>
  <x:conditionalFormatting sqref="GA16:GB45">
    <x:cfRule type="expression" dxfId="639"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6.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1">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35 of 42</x:v>
      </x:c>
      <x:c r="Z7" s="822"/>
      <x:c r="AA7" s="444"/>
      <x:c r="AB7" s="449"/>
      <x:c r="AC7" s="1393">
        <x:v>35</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1441</x:v>
      </x:c>
      <x:c r="B16" s="1265">
        <x:v>1</x:v>
      </x:c>
      <x:c r="C16" s="1265" t="s">
        <x:v>1978</x:v>
      </x:c>
      <x:c r="D16" s="1261">
        <x:v>59</x:v>
      </x:c>
      <x:c r="E16" s="1366">
        <x:v>0.625</x:v>
      </x:c>
      <x:c r="F16" s="1328" t="str">
        <x:f t="shared" ref="F16:F44" si="1">IF(DX16=0,"",TRUNC(DX16/12))</x:f>
        <x:v/>
      </x:c>
      <x:c r="G16" s="1262" t="str">
        <x:f t="shared" ref="G16:G44" si="2">IF(DX16=0,"",DX16-(F16*12))</x:f>
        <x:v/>
      </x:c>
      <x:c r="H16" s="1266" t="str">
        <x:f t="shared" ref="H16:H44" si="3">IF(DX16=0,"",CW16)</x:f>
        <x:v/>
      </x:c>
      <x:c r="I16" s="1261">
        <x:v>0</x:v>
      </x:c>
      <x:c r="J16" s="1262">
        <x:v>1.375</x:v>
      </x:c>
      <x:c r="K16" s="1370" t="s">
        <x:v>114</x:v>
      </x:c>
      <x:c r="L16" s="1327">
        <x:v>3</x:v>
      </x:c>
      <x:c r="M16" s="1329">
        <x:v>3</x:v>
      </x:c>
      <x:c r="N16" s="1263" t="str">
        <x:f t="shared" ref="N16:N44" si="4">IF(ES16="","",IF(AND(ES16&lt;0,ES16&gt;-12),TRUNC(ES16/12)-0.0000001,TRUNC(ES16/12)))</x:f>
        <x:v/>
      </x:c>
      <x:c r="O16" s="1262" t="str">
        <x:f t="shared" ref="O16:O44" si="5">IF(ES16="","",IF(AND(ES16-(N16*12)=0,ES16&lt;0),-0.000001,ES16-(N16*12)))</x:f>
        <x:v/>
      </x:c>
      <x:c r="P16" s="1260" t="str">
        <x:f t="shared" ref="P16:P44" si="6">IF(ES16="","",CZ16)</x:f>
        <x:v/>
      </x:c>
      <x:c r="Q16" s="1261" t="str">
        <x:f t="shared" ref="Q16:Q44" si="7">IF(ET16="","",IF(AND(ET16&lt;0,ET16&gt;-12),TRUNC(ET16/12)-0.0000001,TRUNC(ET16/12)))</x:f>
        <x:v/>
      </x:c>
      <x:c r="R16" s="1262" t="str">
        <x:f t="shared" ref="R16:R44" si="8">IF(ET16="","",IF(AND(ET16-(Q16*12)=0,ET16&lt;0),-0.000001,ET16-(Q16*12)))</x:f>
        <x:v/>
      </x:c>
      <x:c r="S16" s="1375" t="str">
        <x:f t="shared" ref="S16:S44" si="9">IF(ET16="","",DJ16)</x:f>
        <x:v/>
      </x:c>
      <x:c r="T16" s="1328" t="str">
        <x:f t="shared" ref="T16:T44" si="10">IF(CH16="ERR","",IF(EK16="","",IF(EK16="ERR",TRUNC(EJ16/12),TRUNC(EK16/12))))</x:f>
        <x:v/>
      </x:c>
      <x:c r="U16" s="1262" t="str">
        <x:f t="shared" ref="U16:U44" si="11">IF(CH16="ERR","",IF(EK16="","",IF(EK16="ERR",EJ16-(T16*12),EK16-(T16*12))))</x:f>
        <x:v/>
      </x:c>
      <x:c r="V16" s="1261" t="str">
        <x:f t="shared" ref="V16:V44" si="12">IF(CI16="ERR","",IF(ER16="","",IF(ER16="ERR",TRUNC(EQ16/12),TRUNC(ER16/12))))</x:f>
        <x:v/>
      </x:c>
      <x:c r="W16" s="1262" t="str">
        <x:f t="shared" ref="W16:W44" si="13">IF(CI16="ERR","",IF(ER16="","",IF(ER16="ERR",EQ16-(V16*12),ER16-(V16*12))))</x:f>
        <x:v/>
      </x:c>
      <x:c r="X16" s="1329">
        <x:f t="shared" ref="X16:X44" si="14">IF(EV16="",0,EV16)</x:f>
        <x:v>0</x:v>
      </x:c>
      <x:c r="Y16" s="1377" t="str">
        <x:f t="shared" ref="Y16:Y44" si="15">FG16</x:f>
        <x:v/>
      </x:c>
      <x:c r="Z16" s="1378" t="str">
        <x:f t="shared" ref="Z16:Z44" si="16">FL16</x:f>
        <x:v/>
      </x:c>
      <x:c r="AA16" s="2159" t="s">
        <x:v>2152</x:v>
      </x:c>
      <x:c r="AC16" s="1226" t="b">
        <x:v>0</x:v>
      </x:c>
      <x:c r="AD16" s="525">
        <x:f t="shared" ref="AD16:AD45" si="17">IF($C16="",0,IF(SUM(AE16:AG16)&gt;0,0,IF(ISERROR(SEARCH("K",$C16,1))=TRUE,0,$B16)))</x:f>
        <x:v>0</x:v>
      </x:c>
      <x:c r="AE16" s="526">
        <x:f t="shared" ref="AE16:AE45" si="18">IF(ISERROR(SEARCH("LH",$C16,1))=TRUE,0,$B16)</x:f>
        <x:v>1</x:v>
      </x:c>
      <x:c r="AF16" s="526">
        <x:f t="shared" ref="AF16:AF45" si="19">IF(ISERROR(SEARCH("JS",$C16))=TRUE,IF(ISERROR(SEARCH("2.5K",$C16))=TRUE,0,$B16),$B16)</x:f>
        <x:v>0</x:v>
      </x:c>
      <x:c r="AG16" s="526">
        <x:f t="shared" ref="AG16:AG45" si="20">IF(ISERROR(SEARCH("HDR",$C16,1))=TRUE,0,$B16)</x:f>
        <x:v>0</x:v>
      </x:c>
      <x:c r="AH16" s="527">
        <x:f t="shared" ref="AH16:AH45" si="21">IF(ISERROR(SEARCH("CJ",$C16,1))=TRUE,0,$B16)</x:f>
        <x:v>0</x:v>
      </x:c>
      <x:c r="AI16" s="528" t="b">
        <x:v>0</x:v>
      </x:c>
      <x:c r="AJ16" s="284">
        <x:f t="shared" ref="AJ16:AJ45" si="22">IF(OR(ISERROR(VALUE(LEFT(C16,SEARCH(AK16,C16)-1))),AK16=""),0,VALUE(LEFT(C16,SEARCH(AK16,C16)-1)))</x:f>
        <x:v>36</x:v>
      </x:c>
      <x:c r="AK16" s="1063" t="str">
        <x:f t="shared" ref="AK16:AK45" si="23">IF(AV16="",AW16,AV16)</x:f>
        <x:v>LH</x:v>
      </x:c>
      <x:c r="AL16" s="1202" t="str">
        <x:f t="shared" ref="AL16:AL45" si="24">IF(AK16="","",IF(ISERROR(SEARCH("/",C16)),IF(VALUE(MID(C16,SEARCH(AK16,C16)+LEN(AK16),LEN(C16)))&gt;25,"",VALUE(MID(C16,SEARCH(AK16,C16)+LEN(AK16),LEN(C16)))),""))</x:f>
        <x:v/>
      </x:c>
      <x:c r="AM16" s="1063">
        <x:f t="shared" ref="AM16:AM45" si="25">IF(AK16="","",IF(ISERROR(SEARCH("/",C16)),IF(VALUE(MID(C16,SEARCH(AK16,C16)+LEN(AK16),LEN(C16)))&lt;26,"",VALUE(MID(C16,SEARCH(AK16,C16)+LEN(AK16),LEN(C16)))),VALUE(MID(C16,SEARCH(AK16,C16)+LEN(AK16),SEARCH("/",C16)-SEARCH(AK16,C16)-LEN(AK16)))))</x:f>
        <x:v>270</x:v>
      </x:c>
      <x:c r="AN16" s="1063">
        <x:f t="shared" ref="AN16:AN45" si="26">IF(AK16="","",IF(AK16="CJ",MID(MID(C16,SEARCH("/",C16)+1,LEN(C16)),1,SEARCH("/",MID(C16,SEARCH("/",C16)+1,LEN(C16)))-1),IF(ISERROR(SEARCH("/",C16)),"",VALUE(MID(C16,SEARCH("/",C16)+1,LEN(C16))))))</x:f>
        <x:v>120</x:v>
      </x:c>
      <x:c r="AO16" s="1063" t="str">
        <x:f t="shared" ref="AO16:AO45" si="27">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8">VLOOKUP(AK16,$DF$2:$DN$9,4,FALSE)+IF(LEFT(H16,1)="R",IF(ISNUMBER(F16),F16*12,0)+IF(ISNUMBER(G16),G16,0),0)</x:f>
        <x:v>6</x:v>
      </x:c>
      <x:c r="AR16" s="1305" t="b">
        <x:f t="shared" ref="AR16:AR45" si="29">IF(IF(ISNUMBER(T16),T16*12,0)+IF(ISNUMBER(U16),U16,0)&gt;0,IF(AND((IF(ISNUMBER(T16),T16*12,0)+IF(ISNUMBER(U16),U16,0))&gt;=1,(IF(ISNUMBER(T16),T16*12,0)+IF(ISNUMBER(U16),U16,0))&lt;=(AQ16-1)+IF(H16="X",2,0)),TRUE,FALSE),FALSE)</x:f>
        <x:v>0</x:v>
      </x:c>
      <x:c r="AS16" s="1305">
        <x:f t="shared" ref="AS16:AS45" si="30">VLOOKUP(AK16,$DF$2:$DN$9,4,FALSE)+IF(LEFT(K16,1)="R",(IF(ISNUMBER(I16),I16*12,0)+IF(ISNUMBER(J16),J16,0)),0)</x:f>
        <x:v>7.375</x:v>
      </x:c>
      <x:c r="AT16" s="1305" t="b">
        <x:f t="shared" ref="AT16:AT45" si="31">IF(IF(ISNUMBER(V16),V16*12,0)+IF(ISNUMBER(W16),W16,0)&gt;0,IF(AND((IF(ISNUMBER(V16),V16*12,0)+IF(ISNUMBER(W16),W16,0))&gt;=1,(IF(ISNUMBER(V16),V16*12,0)+IF(ISNUMBER(W16),W16,0))&lt;=(AS16-1)+IF(K16="X",2,0)),TRUE,FALSE),FALSE)</x:f>
        <x:v>0</x:v>
      </x:c>
      <x:c r="AU16" s="1203" t="str">
        <x: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33">IF(NOT(ISERROR(SEARCH("KCSR",C16))),"KCSR",IF(NOT(ISERROR(SEARCH("KCSA",C16))),"KCSA",IF(NOT(ISERROR(SEARCH("KCS",C16))),"KCS",IF(NOT(ISERROR(SEARCH("KR",C16))),"KR",IF(NOT(ISERROR(SEARCH("KA",C16))),"KA",IF(NOT(ISERROR(SEARCH("K",C16))),"K",IF(NOT(ISERROR(SEARCH("CJ",C16))),"CJ","")))))))</x:f>
        <x:v/>
      </x:c>
      <x:c r="AW16" s="1063" t="str">
        <x:f t="shared" ref="AW16:AW45" si="34">IF(NOT(ISERROR(SEARCH("HDR",C16))),"HDR",IF(NOT(ISERROR(SEARCH("JS",C16))),"JS",IF(NOT(ISERROR(SEARCH("SLH",C16))),"SLH",IF(NOT(ISERROR(SEARCH("DLH",C16))),"DLH",IF(NOT(ISERROR(SEARCH("LH",C16))),"LH","")))))</x:f>
        <x:v>LH</x:v>
      </x:c>
      <x:c r="AX16" s="1063" t="str">
        <x:f>IF(OR(ISBLANK(A16),A16=""),"",A16)</x:f>
        <x:v>J117</x:v>
      </x:c>
      <x:c r="AY16" s="1306" t="b">
        <x:f t="shared" ref="AY16:AY45" si="35">IF($AE$1,IF(AX16=AX15,AY15,IF(AND(AX16&lt;&gt;"",OR(B16=0,B16="")),TRUE,FALSE)),FALSE)</x:f>
        <x:v>0</x:v>
      </x:c>
      <x:c r="AZ16" s="1090" t="b">
        <x:f t="shared" ref="AZ16:AZ45" si="36">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7">IF(CY16="","","X")</x:f>
        <x:v/>
      </x:c>
      <x:c r="CE16" s="925" t="str">
        <x:f t="shared" ref="CE16:CE45" si="38">IF(DI16="","","X")</x:f>
        <x:v/>
      </x:c>
      <x:c r="CF16" s="1147"/>
      <x:c r="CG16" s="1148"/>
      <x:c r="CH16" s="730" t="str">
        <x:f t="shared" ref="CH16:CH45" si="39">IF(EJ16=EK16,IF(EK16="ERR","ERR",""),CONCATENATE(IF(BM16&lt;0,"NS ","FS "),IF(EK16="ERR","Slot Only",CONCATENATE("Slot @ ",EJ16))))</x:f>
        <x:v/>
      </x:c>
      <x:c r="CI16" s="731" t="str">
        <x:f t="shared" ref="CI16:CI45" si="40">IF(EQ16=ER16,IF(ER16="ERR","ERR",""),CONCATENATE(IF(BU16&lt;0,"FS ","NS "),IF(ER16="ERR","Slot Only",CONCATENATE("Slot @ ",EQ16))))</x:f>
        <x:v/>
      </x:c>
      <x:c r="CJ16" s="732" t="str">
        <x:f t="shared" ref="CJ16:CJ45" si="41">IF(EV16="","",IF(AND(DB16&lt;&gt;EV16,OR(NOT(ISBLANK(BJ16)),CU16="C")),CONCATENATE("LE slots @ ",DB16," Ga."),IF(AND(DL16&lt;&gt;EV16,OR(NOT(ISBLANK(BR16)),DE16="C")),CONCATENATE("RE slots @ ",DL16," Ga."),"")))</x:f>
        <x:v/>
      </x:c>
      <x:c r="CK16" s="733" t="str">
        <x:f t="shared" ref="CK16:CK45" si="42">IF(AND(CP16&lt;&gt;"",BM16&lt;&gt;"",CQ16&lt;&gt;"",BU16&lt;&gt;""),"BE",IF(AND(CP16&lt;&gt;"",BM16&lt;&gt;""),"LE",IF(AND(CQ16&lt;&gt;"",BU16&lt;&gt;""),"RE","")))</x:f>
        <x:v/>
      </x:c>
      <x:c r="CL16" s="734" t="str">
        <x:f t="shared" ref="CL16:CL45" si="43">IF(ISBLANK(CB16),"",CEILING(DV16,0.125))</x:f>
        <x:v/>
      </x:c>
      <x:c r="CM16" s="735" t="str">
        <x:f t="shared" ref="CM16:CM45" si="44">IF(ISBLANK(CC16),"",CEILING(EB16,0.125))</x:f>
        <x:v/>
      </x:c>
      <x:c r="CN16" s="736" t="str">
        <x:f t="shared" ref="CN16:CN45" si="45">IF(AND(BW16&lt;&gt;0,BM16&lt;&gt;0),BW16*COS(RADIANS(90-BM16))/(1/COS(RADIANS(90-BM16)))*-1,"")</x:f>
        <x:v/>
      </x:c>
      <x:c r="CO16" s="737" t="str">
        <x:f t="shared" ref="CO16:CO45" si="46">IF(AND(BW16&lt;&gt;0,BU16&lt;&gt;0),BW16*COS(RADIANS(90-BU16))/(1/COS(RADIANS(90-BU16))),"")</x:f>
        <x:v/>
      </x:c>
      <x:c r="CP16" s="760" t="str">
        <x:f t="shared" ref="CP16:CP45" si="47">IF(BG16="","",IF(AU16="JS","",IF(VLOOKUP(AU16,$DF$2:$DN$9,5,FALSE)&gt;FO16,IF(FO16&gt;=0.0625,CEILING(FO16-0.0625,0.125),FO16),"")))</x:f>
        <x:v/>
      </x:c>
      <x:c r="CQ16" s="761" t="str">
        <x:f t="shared" ref="CQ16:CQ45" si="48">IF(BO16="","",IF(AU16="JS","",IF(VLOOKUP(AU16,$DF$2:$DN$9,5,FALSE)&gt;FP16,IF(FP16&gt;=0.0625,CEILING(FP16-0.0625,0.125),FP16),"")))</x:f>
        <x:v/>
      </x:c>
      <x:c r="CR16" s="951">
        <x:f t="shared" ref="CR16:CR45" si="49">IF(AU16="","",IF(ABS(FF16)&lt;ABS($CX$2),VLOOKUP(AU16,$DF$2:$DN$9,3,FALSE),CEILING(VLOOKUP(AU16,$DF$2:$DN$9,3,FALSE)/COS(FE16)+0.375+IF(CU16="M",IF(FE16&gt;0,(DV16-DW16)/12,0),IF(FE16&gt;0,0,(DV16-CV16)/12))*ABS(FF16),0.125)))</x:f>
        <x:v>5</x:v>
      </x:c>
      <x:c r="CS16" s="952">
        <x:f t="shared" ref="CS16:CS45" si="50">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51">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52">BV16*-1</x:f>
        <x:v>0</x:v>
      </x:c>
      <x:c r="DO16" s="1094">
        <x:f t="shared" ref="DO16:DO45" si="53">IF(BW16="",0,ATAN(BW16/12))</x:f>
        <x:v>0</x:v>
      </x:c>
      <x:c r="DP16" s="1095" t="str">
        <x:f t="shared" ref="DP16:DP45" si="54">IF(OR(CV16="",BE16="",DF16=""),"",CEILING(IF(AND(BE16="",BF16=""),"",((BE16*12+BF16)+CV16+DF16)/COS(FN16))-0.0625,0.125))</x:f>
        <x:v/>
      </x:c>
      <x:c r="DQ16" s="1095" t="str">
        <x:f t="shared" ref="DQ16:DQ45" si="55">IF(AU16="","",IF(ABS(FF16)&lt;ABS($CX$2),CX16,IF(FF16=0,CX16,CEILING((CX16+((DW16-CV16)/12)*FF16)-0.0625,0.125))))</x:f>
        <x:v/>
      </x:c>
      <x:c r="DR16" s="1095" t="str">
        <x:f t="shared" ref="DR16:DR45" si="56">IF(AU16="","",IF(ABS(FK16)&lt;ABS($CX$2),DH16,IF(FK16=0,DH16,CEILING((DH16+((EC16-DF16)/12)*FK16)-0.0625,0.125))))</x:f>
        <x:v/>
      </x:c>
      <x:c r="DS16" s="1096">
        <x:f t="shared" ref="DS16:DS45" si="57">IF(BM16="",0,RADIANS(ABS(BM16)))</x:f>
        <x:v>0</x:v>
      </x:c>
      <x:c r="DT16" s="1052">
        <x:f t="shared" ref="DT16:DT45" si="58">MIN(IF(BH16&gt;0,BH16/2,MAX(BI16/2,DC16)),IF(BI16&gt;0,BI16/2,MAX(BH16/2,DC16)),IF(DC16&gt;0,DC16,MAX(BI16/2,BH16/2)))/IF(OR(CU16="C",AND(CU16="M",$DD$1="N")),1,COS(DS16))</x:f>
        <x:v>0</x:v>
      </x:c>
      <x:c r="DU16" s="1052" t="str">
        <x:f t="shared" ref="DU16:DU45" si="59">IF(CV16="","",IF(DC16&gt;=0,MAX(BH16/2,BI16/2,DC16),DC16)/IF(OR(CU16="C",AND(CU16="M",$DD$1="N")),1,COS(DS16)))</x:f>
        <x:v/>
      </x:c>
      <x:c r="DV16" s="1095" t="str">
        <x:f t="shared" ref="DV16:DV45" si="60">IF(CV16="","",(CV16+DU16+(VLOOKUP(IF(AU16="HDR","K",AU16),$DF$2:$DN$9,2,FALSE))*TAN(DS16))/COS(FD16)-FH16)</x:f>
        <x:v/>
      </x:c>
      <x:c r="DW16" s="1095" t="str">
        <x:f t="shared" ref="DW16:DW45" si="61">IF(CV16="","",MAX(0,IF(NOT(ISBLANK(CB16)),CV16-CB16,DV16-VLOOKUP(IF(AU16="HDR","K",AU16),$DF$2:$DN$9,4,FALSE))))</x:f>
        <x:v/>
      </x:c>
      <x:c r="DX16" s="1451">
        <x:f t="shared" ref="DX16:DX45" si="62">IF(CV16="",0,IF(DW16/COS(FN16-FD16)&lt;0.0625,0,CEILING(DW16/COS(FN16-FD16)-0.03125,0.125)))</x:f>
        <x:v>0</x:v>
      </x:c>
      <x:c r="DY16" s="1095">
        <x:f t="shared" ref="DY16:DY45" si="63">RADIANS(ABS(BU16))</x:f>
        <x:v>0</x:v>
      </x:c>
      <x:c r="DZ16" s="1052">
        <x:f t="shared" ref="DZ16:DZ45" si="64">MIN(IF(BP16&gt;0,BP16/2,MAX(BQ16/2,DM16)),IF(BQ16&gt;0,BQ16/2,MAX(BP16/2,DM16)),IF(DM16&gt;0,DM16,MAX(BQ16/2,BP16/2)))/IF(OR(DE16="C",AND(DE16="M",$DD$1="N")),1,COS(DY16))</x:f>
        <x:v>0</x:v>
      </x:c>
      <x:c r="EA16" s="1052" t="str">
        <x:f t="shared" ref="EA16:EA45" si="65">IF(DF16="","",IF(DM16&gt;=0,MAX(BP16/2,BQ16/2,DM16),DM16)/IF(OR(DE16="C",AND(DE16="M",$DD$1="N")),1,COS(DY16)))</x:f>
        <x:v/>
      </x:c>
      <x:c r="EB16" s="1095" t="str">
        <x:f t="shared" ref="EB16:EB45" si="66">IF(DF16="","",(DF16+EA16+(VLOOKUP(IF(AU16="HDR","K",AU16),$DF$2:$DN$9,2,FALSE))*TAN(DY16))/COS(FI16)-FM16)</x:f>
        <x:v/>
      </x:c>
      <x:c r="EC16" s="1095" t="str">
        <x:f t="shared" ref="EC16:EC45" si="67">IF(DF16="","",MAX(0,IF(NOT(ISBLANK(CC16)),DF16-CC16,EB16-VLOOKUP(IF(AU16="HDR","K",AU16),$DF$2:$DN$9,4,FALSE))))</x:f>
        <x:v/>
      </x:c>
      <x:c r="ED16" s="1451">
        <x:f t="shared" ref="ED16:ED45" si="68">IF(DF16="",0,IF(EC16/COS(FN16+FI16)&lt;0.0625,0,CEILING(EC16/COS(FN16+FI16)-0.03125,0.125)))</x:f>
        <x:v>0</x:v>
      </x:c>
      <x:c r="EE16" s="1107" t="str">
        <x:f t="shared" ref="EE16:EE45" si="69">IF(AND(EZ16="",DA16=""),"",IF(EZ16="ERR","ERR",IF(CU16="C",DA16,IF(BJ16="","",IF(DA16="",(EZ16/2)*-1,DA16)))))</x:f>
        <x:v/>
      </x:c>
      <x:c r="EF16" s="1095" t="str">
        <x:f t="shared" ref="EF16:EF45" si="70">IF(EE16="ERR","ERR",IF(EE16="","",IF(DB16*TAN(DS16)&lt;=(VLOOKUP(AU16,$DF$2:$DN$9,8,FALSE)-(VLOOKUP(AU16,$DF$2:$DN$9,7,FALSE)-0.0625)),CV16-(EE16-FH16)/IF(OR(CU16="C",AND(CU16="M",$DD$1="N")),1,COS(DS16))-IF(MID(CW16,1,1)="R",0,DW16),(ABS(EE16-FH16)/IF(OR(CU16="C",AND(CU16="M",$DD$1="N")),1,COS(DS16))+CV16)-((DB16/2)*TAN(DS16))-IF(MID(CW16,1,1)="R",0,DW16))))</x:f>
        <x:v/>
      </x:c>
      <x:c r="EG16" s="1095" t="str">
        <x:f t="shared" ref="EG16:EG45" si="71">IF(EE16="ERR","ERR",IF(EE16="","",IF(DB16*TAN(DS16)&lt;=(VLOOKUP(AU16,$DF$2:$DN$9,8,FALSE)-(VLOOKUP(AU16,$DF$2:$DN$9,7,FALSE)-0.0625)),CV16-(EE16-FH16)/IF(OR(CU16="C",AND(CU16="M",$DD$1="N")),1,COS(DS16))-IF(MID(CW16,1,1)="R",0,DW16),(ABS(EE16-FH16)/IF(OR(CU16="C",AND(CU16="M",$DD$1="N")),1,COS(DS16))+CV16)+((DB16/2)*TAN(DS16))-IF(MID(CW16,1,1)="R",0,DW16))))</x:f>
        <x:v/>
      </x:c>
      <x:c r="EH16" s="1095" t="str">
        <x:f t="shared" ref="EH16:EH45" si="7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4">IF(ISERROR(EF16),"ERR",IF(EF16="","",IF(EH16="ERR","ERR",CEILING(EH16-0.0625,0.125))))</x:f>
        <x:v/>
      </x:c>
      <x:c r="EK16" s="1095" t="str">
        <x:f t="shared" si="74"/>
        <x:v/>
      </x:c>
      <x:c r="EL16" s="1107" t="str">
        <x:f t="shared" ref="EL16:EL45" si="75">IF(AND(FC16="",DK16=""),"",IF(FC16="ERR","ERR",IF(DE16="C",DK16,IF(BR16="","",IF(DK16="",(FC16/2)*-1,DK16)))))</x:f>
        <x:v/>
      </x:c>
      <x:c r="EM16" s="1095" t="str">
        <x:f t="shared" ref="EM16:EM45" si="76">IF(EL16="ERR","ERR",IF(EL16="","",IF(DL16*TAN(DY16)&lt;=(VLOOKUP(AU16,$DF$2:$DN$9,8,FALSE)-(VLOOKUP(AU16,$DF$2:$DN$9,7,FALSE)-0.0625)),DF16-(EL16-FM16)/IF(OR(DE16="C",AND(DE16="M",$DD$1="N")),1,COS(DY16))-IF(MID(DG16,1,1)="R",0,EC16),(ABS(EL16-FM16)/IF(OR(DE16="C",AND(DE16="M",$DD$1="N")),1,COS(DY16))+DF16)-((DL16/2)*TAN(DY16))-IF(MID(DG16,1,1)="R",0,EC16))))</x:f>
        <x:v/>
      </x:c>
      <x:c r="EN16" s="1095" t="str">
        <x:f t="shared" ref="EN16:EN45" si="77">IF(EL16="ERR","ERR",IF(EL16="","",IF(DL16*TAN(DY16)&lt;=(VLOOKUP(AU16,$DF$2:$DN$9,8,FALSE)-(VLOOKUP(AU16,$DF$2:$DN$9,7,FALSE)-0.0625)),DF16-(EL16-FM16)/IF(OR(DE16="C",AND(DE16="M",$DD$1="N")),1,COS(DY16))-IF(MID(DG16,1,1)="R",0,EC16),(ABS(EL16-FM16)/IF(OR(DE16="C",AND(DE16="M",$DD$1="N")),1,COS(DY16))+DF16)+((DL16/2)*TAN(DY16))-IF(MID(DG16,1,1)="R",0,EC16))))</x:f>
        <x:v/>
      </x:c>
      <x:c r="EO16" s="1095" t="str">
        <x:f t="shared" ref="EO16:EO45" si="7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80">IF(ISERROR(EM16),"ERR",IF(EM16="","",IF(EO16="ERR","ERR",CEILING(EO16-0.0625,0.125))))</x:f>
        <x:v/>
      </x:c>
      <x:c r="ER16" s="1095" t="str">
        <x:f t="shared" si="80"/>
        <x:v/>
      </x:c>
      <x:c r="ES16" s="1053" t="str">
        <x:f t="shared" ref="ES16:ES45" si="81">IF(OR(CY16="",AU16="JS",AU16="HDR",CD16=""),"",IF((CV16-CY16)/COS(DO16)-FS16&lt;=-0.0625,CEILING((CV16-CY16)/COS(DO16)-FS16+0.0625,-0.125),IF((CV16-CY16)/COS(DO16)-FS16&gt;=0.0625,CEILING((CV16-CY16)/COS(DO16)-FS16-0.0625,0.125),0)))</x:f>
        <x:v/>
      </x:c>
      <x:c r="ET16" s="1053" t="str">
        <x:f t="shared" ref="ET16:ET45" si="82">IF(OR(DI16="",AU16="JS",AU16="HDR",CE16=""),"",IF((DF16-DI16)/COS(DO16)-FT16&lt;=-0.0625,CEILING((DF16-DI16)/COS(DO16)-FT16+0.0625,-0.125),IF((DF16-DI16)/COS(DO16)-FT16&gt;=0.0625,CEILING((DF16-DI16)/COS(DO16)-FT16-0.0625,0.125),0)))</x:f>
        <x:v/>
      </x:c>
      <x:c r="EU16" s="1097">
        <x:f t="shared" ref="EU16:EU45" si="83">IF(AU16="","",VLOOKUP(AU16,$DF$2:$DN$9,6,FALSE))</x:f>
        <x:v>4</x:v>
      </x:c>
      <x:c r="EV16" s="1055" t="str">
        <x:f t="shared" ref="EV16:EV45" si="84">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5">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6">IF(BR16="X",IF(OR(DE16="M",DE16="C"),"",IF((FB16-FA16)/2&lt;=(VLOOKUP(AU16,$DF$2:$DN$9,8,FALSE)-(VLOOKUP(AU16,$DF$2:$DN$9,7,FALSE)-0.0625)),(FA16+FB16)/2,"ERR")),"")</x:f>
        <x:v/>
      </x:c>
      <x:c r="FD16" s="1096">
        <x:f>IF(DD16="",0,ATAN(DD16/12))</x:f>
        <x:v>0</x:v>
      </x:c>
      <x:c r="FE16" s="1096">
        <x:f t="shared" ref="FE16:FE45" si="87">DO16-FD16</x:f>
        <x:v>0</x:v>
      </x:c>
      <x:c r="FF16" s="1096">
        <x:f t="shared" ref="FF16:FF45" si="88">TAN(FE16)*12</x:f>
        <x:v>0</x:v>
      </x:c>
      <x:c r="FG16" s="1096" t="str">
        <x:f t="shared" ref="FG16:FG45" si="89">IF(FF16=0,"",IF(ABS(FF16)&lt;$CX$2,IF(AND(ABS(MIN(DV16,FQ16)/12*FF16)&gt;$DD$2,FF16&gt;0),IF(FF16&gt;0,CEILING(FF16-0.0625,0.125),CEILING(FF16+0.0625,-0.125)),""),IF(FF16&gt;0,CEILING(FF16-0.0625,0.125),CEILING(FF16+0.0625,-0.125))))</x:f>
        <x:v/>
      </x:c>
      <x:c r="FH16" s="1095" t="str">
        <x:f t="shared" ref="FH16:FH45" si="90">IF(CX16="","",CX16*TAN(FD16))</x:f>
        <x:v/>
      </x:c>
      <x:c r="FI16" s="1096">
        <x:f>IF(DN16="",0,ATAN(DN16/12))</x:f>
        <x:v>0</x:v>
      </x:c>
      <x:c r="FJ16" s="1096">
        <x:f t="shared" ref="FJ16:FJ45" si="91">DO16+FI16</x:f>
        <x:v>0</x:v>
      </x:c>
      <x:c r="FK16" s="1096">
        <x:f t="shared" ref="FK16:FK45" si="92">TAN(FJ16)*-12</x:f>
        <x:v>0</x:v>
      </x:c>
      <x:c r="FL16" s="1096" t="str">
        <x:f t="shared" ref="FL16:FL45" si="93">IF(FK16=0,"",IF(ABS(FK16)&lt;$CX$2,IF(AND(ABS(MIN(EB16,FR16)/12*FK16)&gt;$DD$2,FK16&gt;0),IF(FK16&gt;0,CEILING(FK16-0.0625,0.125),CEILING(FK16+0.0625,-0.125)),""),IF(FK16&gt;0,CEILING(FK16-0.0625,0.125),CEILING(FK16+0.0625,-0.125))))</x:f>
        <x:v/>
      </x:c>
      <x:c r="FM16" s="1095" t="str">
        <x:f t="shared" ref="FM16:FM45" si="94">IF(DH16="","",DH16*TAN(FI16))</x:f>
        <x:v/>
      </x:c>
      <x:c r="FN16" s="1095" t="e">
        <x:f t="shared" ref="FN16:FN45" si="95">IF(((BE16*12+BF16)+CV16+DF16)/COS(DO16)-((BE16*12+BF16)+CV16+DF16)&lt;$DB$2,0,DO16)</x:f>
        <x:v>#VALUE!</x:v>
      </x:c>
      <x:c r="FO16" s="1098" t="e">
        <x:f t="shared" ref="FO16:FO45" si="96">MIN(IF(BH16&gt;0,BH16/2,MAX(BI16/2,DC16)),IF(BI16&gt;0,BI16/2,MAX(BH16/2,DC16)),IF(DC16&gt;0,DC16,MAX(BI16/2,BH16/2)))/COS(DS16)+CV16-DW16</x:f>
        <x:v>#VALUE!</x:v>
      </x:c>
      <x:c r="FP16" s="1098" t="e">
        <x:f t="shared" ref="FP16:FP45" si="97">MIN(IF(BP16&gt;0,BP16/2,MAX(BQ16/2,DM16)),IF(BQ16&gt;0,BQ16/2,MAX(BP16/2,DM16)),IF(DM16&gt;0,DM16,MAX(BQ16/2,BP16/2)))/COS(DY16)+DF16-EC16</x:f>
        <x:v>#VALUE!</x:v>
      </x:c>
      <x:c r="FQ16" s="1099" t="e">
        <x:f t="shared" ref="FQ16:FQ45" si="98">IF(OR(CU16="M", CU16="B",CU16="G"),MAX(BH16,BI16),DC16+CV16)</x:f>
        <x:v>#VALUE!</x:v>
      </x:c>
      <x:c r="FR16" s="1100" t="e">
        <x:f t="shared" ref="FR16:FR45" si="99">IF(OR(DE16="M", DE16="B",DE16="G"),MAX(BP16,BQ16),DM16+DF16)</x:f>
        <x:v>#VALUE!</x:v>
      </x:c>
      <x:c r="FS16" s="1101" t="str">
        <x:f t="shared" ref="FS16:FS45" si="100">IF(CY16="","",IF(ABS(BW16*((AJ16-IF(BW16&gt;0,VLOOKUP(AU16,$DF$2:$DN$9,9,FALSE),0))/12))&gt;$CZ$2,BW16*((AJ16-IF(BW16&gt;0,VLOOKUP(AU16,$DF$2:$DN$9,9,FALSE),0))/12),0))</x:f>
        <x:v/>
      </x:c>
      <x:c r="FT16" s="1102" t="str">
        <x:f t="shared" ref="FT16:FT45" si="101">IF(DI16="","",IF(ABS(BW16*((AJ16-IF(BW16&lt;0,VLOOKUP(AU16,$DF$2:$DN$9,9,FALSE),0))/12))&gt;$CZ$2,BW16*((AJ16-IF(BW16&lt;0,VLOOKUP(AU16,$DF$2:$DN$9,9,FALSE),0))/12)*-1,0))</x:f>
        <x:v/>
      </x:c>
      <x:c r="FU16" s="1103">
        <x:f t="shared" ref="FU16:FU45" si="102">IF(CX16="",0,MAX(0,MIN(DV16-VLOOKUP(AU16,DF$2:DN$9,4,FALSE),(MAX(0,CX16-VLOOKUP(AU16,DF$2:DN$9,3,FALSE))+VLOOKUP(AU16,DF$2:DN$9,4,FALSE))*COS(DO16)+((MAX(0,CX16-VLOOKUP(AU16,DF$2:DN$9,3,FALSE))+VLOOKUP(AU16,DF$2:DN$9,4,FALSE))*COS(PI()/2-DO16))/TAN(PI()/2-(DO16+PI()/4))-VLOOKUP(AU16,DF$2:DN$9,4,FALSE))))</x:f>
        <x:v>0</x:v>
      </x:c>
      <x:c r="FV16" s="1104">
        <x:f t="shared" ref="FV16:FV45" si="103">IF(DH16="",0,MAX(0,MIN(EB16-VLOOKUP(AU16,DF$2:DN$9,4,FALSE),(MAX(0,DH16-VLOOKUP(AU16,DF$2:DN$9,3,FALSE))+VLOOKUP(AU16,DF$2:DN$9,4,FALSE))*COS(DO16)+((MAX(0,DH16-VLOOKUP(AU16,DF$2:DN$9,3,FALSE))+VLOOKUP(AU16,DF$2:DN$9,4,FALSE))*COS(PI()/2-DO16))/TAN(PI()/2-(DO16+PI()/4))-VLOOKUP(AU16,DF$2:DN$9,4,FALSE))))</x:f>
        <x:v>0</x:v>
      </x:c>
      <x:c r="GA16" s="1975">
        <x:v>59</x:v>
      </x:c>
      <x:c r="GB16" s="1976">
        <x:v>2.75</x:v>
      </x:c>
      <x:c r="GC16" s="1977">
        <x:v>-1.875</x:v>
      </x:c>
      <x:c r="GD16" s="1978">
        <x:v>-0.25</x:v>
      </x:c>
      <x:c r="GE16" s="1979">
        <x:v>0.227928244811819</x:v>
      </x:c>
      <x:c r="GF16" s="1980" t="str">
        <x:f t="shared" ref="GF16:GF45" si="104">IF(A16=0,"",A16)</x:f>
        <x:v>J117</x:v>
      </x:c>
      <x:c r="GG16" s="1453"/>
      <x:c r="GH16" s="1454"/>
      <x:c r="GI16" s="1453"/>
      <x:c r="GJ16" s="1454"/>
      <x:c r="GK16" s="533">
        <x:f t="shared" ref="GK16:GK45" si="105">IF(D16="",0,D16*12+E16)</x:f>
        <x:v>708.625</x:v>
      </x:c>
      <x:c r="GL16" s="534">
        <x:f t="shared" ref="GL16:GL45" si="106">(GA16*12+GB16+GC16+GD16)/COS(ATAN(ABS(GE16/12)))</x:f>
        <x:v>708.75281478960926</x:v>
      </x:c>
      <x:c r="GM16" s="535">
        <x:f>IF(ABS(GK16-GL16)&gt;='Job Info.'!$L$22,ABS(GK16-GL16),0)</x:f>
        <x:v>0</x:v>
      </x:c>
      <x:c r="HA16" s="1652" t="s">
        <x:v>1441</x:v>
      </x:c>
      <x:c r="HB16" s="1653">
        <x:v>1</x:v>
      </x:c>
      <x:c r="HC16" s="1653" t="s">
        <x:v>1978</x:v>
      </x:c>
      <x:c r="HD16" s="1654">
        <x:v>59</x:v>
      </x:c>
      <x:c r="HE16" s="1655">
        <x:v>0.625</x:v>
      </x:c>
      <x:c r="HF16" s="1653" t="s">
        <x:v>117</x:v>
      </x:c>
      <x:c r="HG16" s="1653" t="s">
        <x:v>117</x:v>
      </x:c>
      <x:c r="HH16" s="1653" t="s">
        <x:v>117</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2152</x:v>
      </x:c>
      <x:c r="IB16" s="1655"/>
      <x:c r="IC16" s="1655"/>
      <x:c r="ID16" s="1655"/>
      <x:c r="IE16" s="1655"/>
      <x:c r="IF16" s="1657"/>
    </x:row>
    <x:row r="17" spans="1:240" ht="12.6" customHeight="1" x14ac:dyDescent="0.25">
      <x:c r="A17" s="1264" t="s">
        <x:v>1442</x:v>
      </x:c>
      <x:c r="B17" s="1265">
        <x:v>1</x:v>
      </x:c>
      <x:c r="C17" s="1265" t="s">
        <x:v>1978</x:v>
      </x:c>
      <x:c r="D17" s="1261">
        <x:v>59</x:v>
      </x:c>
      <x:c r="E17" s="1366">
        <x:v>0.625</x:v>
      </x:c>
      <x:c r="F17" s="1328" t="str">
        <x:f t="shared" si="1"/>
        <x:v/>
      </x:c>
      <x:c r="G17" s="1262" t="str">
        <x:f t="shared" si="2"/>
        <x:v/>
      </x:c>
      <x:c r="H17" s="1266" t="str">
        <x:f t="shared" si="3"/>
        <x:v/>
      </x:c>
      <x:c r="I17" s="1261">
        <x:v>0</x:v>
      </x:c>
      <x:c r="J17" s="1262">
        <x:v>1.375</x:v>
      </x:c>
      <x:c r="K17" s="1370" t="s">
        <x:v>114</x:v>
      </x:c>
      <x:c r="L17" s="1327">
        <x:v>3</x:v>
      </x:c>
      <x:c r="M17" s="1329">
        <x:v>3</x:v>
      </x:c>
      <x:c r="N17" s="1263" t="str">
        <x:f t="shared" si="4"/>
        <x:v/>
      </x:c>
      <x:c r="O17" s="1262" t="str">
        <x:f t="shared" si="5"/>
        <x:v/>
      </x:c>
      <x:c r="P17" s="1260" t="str">
        <x:f t="shared" si="6"/>
        <x:v/>
      </x:c>
      <x:c r="Q17" s="1261" t="str">
        <x:f t="shared" si="7"/>
        <x:v/>
      </x:c>
      <x:c r="R17" s="1262" t="str">
        <x:f t="shared" si="8"/>
        <x:v/>
      </x:c>
      <x:c r="S17" s="1375" t="str">
        <x:f t="shared" si="9"/>
        <x:v/>
      </x:c>
      <x:c r="T17" s="1328" t="str">
        <x:f t="shared" si="10"/>
        <x:v/>
      </x:c>
      <x:c r="U17" s="1262" t="str">
        <x:f t="shared" si="11"/>
        <x:v/>
      </x:c>
      <x:c r="V17" s="1261" t="str">
        <x:f t="shared" si="12"/>
        <x:v/>
      </x:c>
      <x:c r="W17" s="1262" t="str">
        <x:f t="shared" si="13"/>
        <x:v/>
      </x:c>
      <x:c r="X17" s="1329">
        <x:f t="shared" si="14"/>
        <x:v>0</x:v>
      </x:c>
      <x:c r="Y17" s="1377" t="str">
        <x:f t="shared" si="15"/>
        <x:v/>
      </x:c>
      <x:c r="Z17" s="1378" t="str">
        <x:f t="shared" si="16"/>
        <x:v/>
      </x:c>
      <x:c r="AA17" s="2159" t="s">
        <x:v>2153</x:v>
      </x:c>
      <x:c r="AC17" s="1226" t="b">
        <x:v>0</x:v>
      </x:c>
      <x:c r="AD17" s="525">
        <x:f t="shared" si="17"/>
        <x:v>0</x:v>
      </x:c>
      <x:c r="AE17" s="526">
        <x:f t="shared" si="18"/>
        <x:v>1</x:v>
      </x:c>
      <x:c r="AF17" s="526">
        <x:f t="shared" si="19"/>
        <x:v>0</x:v>
      </x:c>
      <x:c r="AG17" s="526">
        <x:f t="shared" si="20"/>
        <x:v>0</x:v>
      </x:c>
      <x:c r="AH17" s="527">
        <x:f t="shared" si="21"/>
        <x:v>0</x:v>
      </x:c>
      <x:c r="AI17" s="528" t="b">
        <x:v>0</x:v>
      </x:c>
      <x:c r="AJ17" s="284">
        <x:f t="shared" si="22"/>
        <x:v>36</x:v>
      </x:c>
      <x:c r="AK17" s="1063" t="str">
        <x:f t="shared" si="23"/>
        <x:v>LH</x:v>
      </x:c>
      <x:c r="AL17" s="1202" t="str">
        <x:f t="shared" si="24"/>
        <x:v/>
      </x:c>
      <x:c r="AM17" s="1063">
        <x:f t="shared" si="25"/>
        <x:v>270</x:v>
      </x:c>
      <x:c r="AN17" s="1063">
        <x:f t="shared" si="26"/>
        <x:v>120</x:v>
      </x:c>
      <x:c r="AO17" s="1063" t="str">
        <x:f t="shared" si="27"/>
        <x:v/>
      </x:c>
      <x:c r="AP17" s="1063" t="b">
        <x:f>IF(ISERROR(AJ17),FALSE,IF(OR(AJ17=0,ISERROR(AL17),ISERROR(AM17),ISERROR(AN17),ISERROR(AO17)),FALSE,IF(AL17&lt;&gt;"",IF(ISERROR(VLOOKUP(SUBSTITUTE(SUBSTITUTE(C17,"R",""),"A",""),TblJoistSize!$A:$A,1,FALSE)),FALSE,TRUE),TRUE)))</x:f>
        <x:v>1</x:v>
      </x:c>
      <x:c r="AQ17" s="1305">
        <x:f t="shared" si="28"/>
        <x:v>6</x:v>
      </x:c>
      <x:c r="AR17" s="1305" t="b">
        <x:f t="shared" si="29"/>
        <x:v>0</x:v>
      </x:c>
      <x:c r="AS17" s="1305">
        <x:f t="shared" si="30"/>
        <x:v>7.375</x:v>
      </x:c>
      <x:c r="AT17" s="1305" t="b">
        <x:f t="shared" si="31"/>
        <x:v>0</x:v>
      </x:c>
      <x:c r="AU17" s="1203" t="str">
        <x:f t="shared" si="32"/>
        <x:v>LH</x:v>
      </x:c>
      <x:c r="AV17" s="1063" t="str">
        <x:f t="shared" si="33"/>
        <x:v/>
      </x:c>
      <x:c r="AW17" s="1063" t="str">
        <x:f t="shared" si="34"/>
        <x:v>LH</x:v>
      </x:c>
      <x:c r="AX17" s="1063" t="str">
        <x:f t="shared" ref="AX17:AX45" si="107">IF(AND(OR(ISBLANK(A17),A17=""),AA17&lt;&gt;""),AX16,IF(OR(ISBLANK(A17),A17=""),"",A17))</x:f>
        <x:v>J118</x:v>
      </x:c>
      <x:c r="AY17" s="1306" t="b">
        <x:f t="shared" si="35"/>
        <x:v>0</x:v>
      </x:c>
      <x:c r="AZ17" s="1090" t="b">
        <x:f t="shared" si="36"/>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7"/>
        <x:v/>
      </x:c>
      <x:c r="CE17" s="935" t="str">
        <x:f t="shared" si="38"/>
        <x:v/>
      </x:c>
      <x:c r="CF17" s="1149"/>
      <x:c r="CG17" s="1150"/>
      <x:c r="CH17" s="738" t="str">
        <x:f t="shared" si="39"/>
        <x:v/>
      </x:c>
      <x:c r="CI17" s="739" t="str">
        <x:f t="shared" si="40"/>
        <x:v/>
      </x:c>
      <x:c r="CJ17" s="740" t="str">
        <x:f t="shared" si="41"/>
        <x:v/>
      </x:c>
      <x:c r="CK17" s="741" t="str">
        <x:f t="shared" si="42"/>
        <x:v/>
      </x:c>
      <x:c r="CL17" s="742" t="str">
        <x:f t="shared" si="43"/>
        <x:v/>
      </x:c>
      <x:c r="CM17" s="743" t="str">
        <x:f t="shared" si="44"/>
        <x:v/>
      </x:c>
      <x:c r="CN17" s="744" t="str">
        <x:f t="shared" si="45"/>
        <x:v/>
      </x:c>
      <x:c r="CO17" s="745" t="str">
        <x:f t="shared" si="46"/>
        <x:v/>
      </x:c>
      <x:c r="CP17" s="762" t="str">
        <x:f t="shared" si="47"/>
        <x:v/>
      </x:c>
      <x:c r="CQ17" s="763" t="str">
        <x:f t="shared" si="48"/>
        <x:v/>
      </x:c>
      <x:c r="CR17" s="953">
        <x:f t="shared" si="49"/>
        <x:v>5</x:v>
      </x:c>
      <x:c r="CS17" s="954">
        <x:f t="shared" si="50"/>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51"/>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52"/>
        <x:v>0</x:v>
      </x:c>
      <x:c r="DO17" s="1049">
        <x:f t="shared" si="53"/>
        <x:v>0</x:v>
      </x:c>
      <x:c r="DP17" s="1053" t="str">
        <x:f t="shared" si="54"/>
        <x:v/>
      </x:c>
      <x:c r="DQ17" s="1053" t="str">
        <x:f t="shared" si="55"/>
        <x:v/>
      </x:c>
      <x:c r="DR17" s="1053" t="str">
        <x:f t="shared" si="56"/>
        <x:v/>
      </x:c>
      <x:c r="DS17" s="1052">
        <x:f t="shared" si="57"/>
        <x:v>0</x:v>
      </x:c>
      <x:c r="DT17" s="1052">
        <x:f t="shared" si="58"/>
        <x:v>0</x:v>
      </x:c>
      <x:c r="DU17" s="1052" t="str">
        <x:f t="shared" si="59"/>
        <x:v/>
      </x:c>
      <x:c r="DV17" s="1053" t="str">
        <x:f t="shared" si="60"/>
        <x:v/>
      </x:c>
      <x:c r="DW17" s="1053" t="str">
        <x:f t="shared" si="61"/>
        <x:v/>
      </x:c>
      <x:c r="DX17" s="1269">
        <x:f t="shared" si="62"/>
        <x:v>0</x:v>
      </x:c>
      <x:c r="DY17" s="1053">
        <x:f t="shared" si="63"/>
        <x:v>0</x:v>
      </x:c>
      <x:c r="DZ17" s="1052">
        <x:f t="shared" si="64"/>
        <x:v>0</x:v>
      </x:c>
      <x:c r="EA17" s="1052" t="str">
        <x:f t="shared" si="65"/>
        <x:v/>
      </x:c>
      <x:c r="EB17" s="1053" t="str">
        <x:f t="shared" si="66"/>
        <x:v/>
      </x:c>
      <x:c r="EC17" s="1053" t="str">
        <x:f t="shared" si="67"/>
        <x:v/>
      </x:c>
      <x:c r="ED17" s="1269">
        <x:f t="shared" si="68"/>
        <x:v>0</x:v>
      </x:c>
      <x:c r="EE17" s="1090" t="str">
        <x:f t="shared" si="69"/>
        <x:v/>
      </x:c>
      <x:c r="EF17" s="1053" t="str">
        <x:f t="shared" si="70"/>
        <x:v/>
      </x:c>
      <x:c r="EG17" s="1053" t="str">
        <x:f t="shared" si="71"/>
        <x:v/>
      </x:c>
      <x:c r="EH17" s="1053" t="str">
        <x:f t="shared" si="72"/>
        <x:v>ERR</x:v>
      </x:c>
      <x:c r="EI17" s="1053" t="str">
        <x:f t="shared" si="73"/>
        <x:v>ERR</x:v>
      </x:c>
      <x:c r="EJ17" s="1053" t="str">
        <x:f t="shared" si="74"/>
        <x:v/>
      </x:c>
      <x:c r="EK17" s="1053" t="str">
        <x:f t="shared" si="74"/>
        <x:v/>
      </x:c>
      <x:c r="EL17" s="1090" t="str">
        <x:f t="shared" si="75"/>
        <x:v/>
      </x:c>
      <x:c r="EM17" s="1053" t="str">
        <x:f t="shared" si="76"/>
        <x:v/>
      </x:c>
      <x:c r="EN17" s="1053" t="str">
        <x:f t="shared" si="77"/>
        <x:v/>
      </x:c>
      <x:c r="EO17" s="1053" t="str">
        <x:f t="shared" si="78"/>
        <x:v>ERR</x:v>
      </x:c>
      <x:c r="EP17" s="1053" t="str">
        <x:f t="shared" si="79"/>
        <x:v>ERR</x:v>
      </x:c>
      <x:c r="EQ17" s="1053" t="str">
        <x:f t="shared" si="80"/>
        <x:v/>
      </x:c>
      <x:c r="ER17" s="1053" t="str">
        <x:f t="shared" si="80"/>
        <x:v/>
      </x:c>
      <x:c r="ES17" s="1053" t="str">
        <x:f t="shared" si="81"/>
        <x:v/>
      </x:c>
      <x:c r="ET17" s="1053" t="str">
        <x:f t="shared" si="82"/>
        <x:v/>
      </x:c>
      <x:c r="EU17" s="1061">
        <x:f t="shared" si="83"/>
        <x:v>4</x:v>
      </x:c>
      <x:c r="EV17" s="1055" t="str">
        <x:f t="shared" si="84"/>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5"/>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6"/>
        <x:v/>
      </x:c>
      <x:c r="FD17" s="1052">
        <x:f t="shared" ref="FD17:FD45" si="108">IF(DD17="",0,ATAN(DD17/12))</x:f>
        <x:v>0</x:v>
      </x:c>
      <x:c r="FE17" s="1052">
        <x:f t="shared" si="87"/>
        <x:v>0</x:v>
      </x:c>
      <x:c r="FF17" s="1052">
        <x:f t="shared" si="88"/>
        <x:v>0</x:v>
      </x:c>
      <x:c r="FG17" s="1052" t="str">
        <x:f t="shared" si="89"/>
        <x:v/>
      </x:c>
      <x:c r="FH17" s="1053" t="str">
        <x:f t="shared" si="90"/>
        <x:v/>
      </x:c>
      <x:c r="FI17" s="1052">
        <x:f t="shared" ref="FI17:FI45" si="109">IF(DN17="",0,ATAN(DN17/12))</x:f>
        <x:v>0</x:v>
      </x:c>
      <x:c r="FJ17" s="1052">
        <x:f t="shared" si="91"/>
        <x:v>0</x:v>
      </x:c>
      <x:c r="FK17" s="1052">
        <x:f t="shared" si="92"/>
        <x:v>0</x:v>
      </x:c>
      <x:c r="FL17" s="1052" t="str">
        <x:f t="shared" si="93"/>
        <x:v/>
      </x:c>
      <x:c r="FM17" s="1053" t="str">
        <x:f t="shared" si="94"/>
        <x:v/>
      </x:c>
      <x:c r="FN17" s="1053" t="e">
        <x:f t="shared" si="95"/>
        <x:v>#VALUE!</x:v>
      </x:c>
      <x:c r="FO17" s="1062" t="e">
        <x:f t="shared" si="96"/>
        <x:v>#VALUE!</x:v>
      </x:c>
      <x:c r="FP17" s="1062" t="e">
        <x:f t="shared" si="97"/>
        <x:v>#VALUE!</x:v>
      </x:c>
      <x:c r="FQ17" s="1063" t="e">
        <x:f t="shared" si="98"/>
        <x:v>#VALUE!</x:v>
      </x:c>
      <x:c r="FR17" s="1064" t="e">
        <x:f t="shared" si="99"/>
        <x:v>#VALUE!</x:v>
      </x:c>
      <x:c r="FS17" s="1065" t="str">
        <x:f t="shared" si="100"/>
        <x:v/>
      </x:c>
      <x:c r="FT17" s="1066" t="str">
        <x:f t="shared" si="101"/>
        <x:v/>
      </x:c>
      <x:c r="FU17" s="1105">
        <x:f t="shared" si="102"/>
        <x:v>0</x:v>
      </x:c>
      <x:c r="FV17" s="1106">
        <x:f t="shared" si="103"/>
        <x:v>0</x:v>
      </x:c>
      <x:c r="GA17" s="1975">
        <x:v>59</x:v>
      </x:c>
      <x:c r="GB17" s="1976">
        <x:v>2.75</x:v>
      </x:c>
      <x:c r="GC17" s="1977">
        <x:v>-1.875</x:v>
      </x:c>
      <x:c r="GD17" s="1978">
        <x:v>-0.25</x:v>
      </x:c>
      <x:c r="GE17" s="1979">
        <x:v>0.227928244811819</x:v>
      </x:c>
      <x:c r="GF17" s="1980" t="str">
        <x:f t="shared" si="104"/>
        <x:v>J118</x:v>
      </x:c>
      <x:c r="GG17" s="1453"/>
      <x:c r="GH17" s="1454"/>
      <x:c r="GI17" s="1453"/>
      <x:c r="GJ17" s="1454"/>
      <x:c r="GK17" s="533">
        <x:f t="shared" si="105"/>
        <x:v>708.625</x:v>
      </x:c>
      <x:c r="GL17" s="534">
        <x:f t="shared" si="106"/>
        <x:v>708.75281478960926</x:v>
      </x:c>
      <x:c r="GM17" s="535">
        <x:f>IF(ABS(GK17-GL17)&gt;='Job Info.'!$L$22,ABS(GK17-GL17),0)</x:f>
        <x:v>0</x:v>
      </x:c>
      <x:c r="HA17" s="1658" t="s">
        <x:v>1442</x:v>
      </x:c>
      <x:c r="HB17" s="1659">
        <x:v>1</x:v>
      </x:c>
      <x:c r="HC17" s="1659" t="s">
        <x:v>1978</x:v>
      </x:c>
      <x:c r="HD17" s="1660">
        <x:v>59</x:v>
      </x:c>
      <x:c r="HE17" s="1661">
        <x:v>0.625</x:v>
      </x:c>
      <x:c r="HF17" s="1659" t="s">
        <x:v>117</x:v>
      </x:c>
      <x:c r="HG17" s="1659" t="s">
        <x:v>117</x:v>
      </x:c>
      <x:c r="HH17" s="1659" t="s">
        <x:v>117</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t="s">
        <x:v>117</x:v>
      </x:c>
      <x:c r="HU17" s="1659" t="s">
        <x:v>117</x:v>
      </x:c>
      <x:c r="HV17" s="1659" t="s">
        <x:v>117</x:v>
      </x:c>
      <x:c r="HW17" s="1661" t="s">
        <x:v>117</x:v>
      </x:c>
      <x:c r="HX17" s="1661">
        <x:v>0</x:v>
      </x:c>
      <x:c r="HY17" s="1661" t="s">
        <x:v>117</x:v>
      </x:c>
      <x:c r="HZ17" s="1661" t="s">
        <x:v>117</x:v>
      </x:c>
      <x:c r="IA17" s="1661" t="s">
        <x:v>2153</x:v>
      </x:c>
      <x:c r="IB17" s="1661"/>
      <x:c r="IC17" s="1661"/>
      <x:c r="ID17" s="1661"/>
      <x:c r="IE17" s="1661"/>
      <x:c r="IF17" s="1663"/>
    </x:row>
    <x:row r="18" spans="1:240" ht="12.6" customHeight="1" x14ac:dyDescent="0.25">
      <x:c r="A18" s="1264" t="s">
        <x:v>1443</x:v>
      </x:c>
      <x:c r="B18" s="1265">
        <x:v>1</x:v>
      </x:c>
      <x:c r="C18" s="1265" t="s">
        <x:v>1978</x:v>
      </x:c>
      <x:c r="D18" s="1261">
        <x:v>58</x:v>
      </x:c>
      <x:c r="E18" s="1366">
        <x:v>11.875</x:v>
      </x:c>
      <x:c r="F18" s="1328" t="str">
        <x:f t="shared" si="1"/>
        <x:v/>
      </x:c>
      <x:c r="G18" s="1262" t="str">
        <x:f t="shared" si="2"/>
        <x:v/>
      </x:c>
      <x:c r="H18" s="1266" t="str">
        <x:f t="shared" si="3"/>
        <x:v/>
      </x:c>
      <x:c r="I18" s="1261">
        <x:v>0</x:v>
      </x:c>
      <x:c r="J18" s="1262">
        <x:v>0.625</x:v>
      </x:c>
      <x:c r="K18" s="1370" t="s">
        <x:v>114</x:v>
      </x:c>
      <x:c r="L18" s="1327">
        <x:v>3</x:v>
      </x:c>
      <x:c r="M18" s="1329">
        <x:v>3</x:v>
      </x:c>
      <x:c r="N18" s="1263" t="str">
        <x:f t="shared" si="4"/>
        <x:v/>
      </x:c>
      <x:c r="O18" s="1262" t="str">
        <x:f t="shared" si="5"/>
        <x:v/>
      </x:c>
      <x:c r="P18" s="1260" t="str">
        <x:f t="shared" si="6"/>
        <x:v/>
      </x:c>
      <x:c r="Q18" s="1261">
        <x:v>0</x:v>
      </x:c>
      <x:c r="R18" s="1262">
        <x:v>6.625</x:v>
      </x:c>
      <x:c r="S18" s="1375">
        <x:v>2</x:v>
      </x:c>
      <x:c r="T18" s="1328">
        <x:v>0</x:v>
      </x:c>
      <x:c r="U18" s="1262">
        <x:v>1.125</x:v>
      </x:c>
      <x:c r="V18" s="1261">
        <x:v>0</x:v>
      </x:c>
      <x:c r="W18" s="1262">
        <x:v>1.5</x:v>
      </x:c>
      <x:c r="X18" s="1329">
        <x:v>4</x:v>
      </x:c>
      <x:c r="Y18" s="1377" t="str">
        <x:f t="shared" si="15"/>
        <x:v/>
      </x:c>
      <x:c r="Z18" s="1378" t="str">
        <x:f t="shared" si="16"/>
        <x:v/>
      </x:c>
      <x:c r="AA18" s="2159" t="s">
        <x:v>2153</x:v>
      </x:c>
      <x:c r="AC18" s="1226" t="b">
        <x:v>0</x:v>
      </x:c>
      <x:c r="AD18" s="525">
        <x:f t="shared" si="17"/>
        <x:v>0</x:v>
      </x:c>
      <x:c r="AE18" s="526">
        <x:f t="shared" si="18"/>
        <x:v>1</x:v>
      </x:c>
      <x:c r="AF18" s="526">
        <x:f t="shared" si="19"/>
        <x:v>0</x:v>
      </x:c>
      <x:c r="AG18" s="526">
        <x:f t="shared" si="20"/>
        <x:v>0</x:v>
      </x:c>
      <x:c r="AH18" s="527">
        <x:f t="shared" si="21"/>
        <x:v>0</x:v>
      </x:c>
      <x:c r="AI18" s="528" t="b">
        <x:v>0</x:v>
      </x:c>
      <x:c r="AJ18" s="284">
        <x:f t="shared" si="22"/>
        <x:v>36</x:v>
      </x:c>
      <x:c r="AK18" s="1063" t="str">
        <x:f t="shared" si="23"/>
        <x:v>LH</x:v>
      </x:c>
      <x:c r="AL18" s="1202" t="str">
        <x:f t="shared" si="24"/>
        <x:v/>
      </x:c>
      <x:c r="AM18" s="1063">
        <x:f t="shared" si="25"/>
        <x:v>270</x:v>
      </x:c>
      <x:c r="AN18" s="1063">
        <x:f t="shared" si="26"/>
        <x:v>120</x:v>
      </x:c>
      <x:c r="AO18" s="1063" t="str">
        <x:f t="shared" si="27"/>
        <x:v/>
      </x:c>
      <x:c r="AP18" s="1063" t="b">
        <x:f>IF(ISERROR(AJ18),FALSE,IF(OR(AJ18=0,ISERROR(AL18),ISERROR(AM18),ISERROR(AN18),ISERROR(AO18)),FALSE,IF(AL18&lt;&gt;"",IF(ISERROR(VLOOKUP(SUBSTITUTE(SUBSTITUTE(C18,"R",""),"A",""),TblJoistSize!$A:$A,1,FALSE)),FALSE,TRUE),TRUE)))</x:f>
        <x:v>1</x:v>
      </x:c>
      <x:c r="AQ18" s="1305">
        <x:f t="shared" si="28"/>
        <x:v>6</x:v>
      </x:c>
      <x:c r="AR18" s="1305" t="b">
        <x:f t="shared" si="29"/>
        <x:v>1</x:v>
      </x:c>
      <x:c r="AS18" s="1305">
        <x:f t="shared" si="30"/>
        <x:v>6.625</x:v>
      </x:c>
      <x:c r="AT18" s="1305" t="b">
        <x:f t="shared" si="31"/>
        <x:v>1</x:v>
      </x:c>
      <x:c r="AU18" s="1203" t="str">
        <x:f t="shared" si="32"/>
        <x:v>LH</x:v>
      </x:c>
      <x:c r="AV18" s="1063" t="str">
        <x:f t="shared" si="33"/>
        <x:v/>
      </x:c>
      <x:c r="AW18" s="1063" t="str">
        <x:f t="shared" si="34"/>
        <x:v>LH</x:v>
      </x:c>
      <x:c r="AX18" s="1063" t="str">
        <x:f t="shared" si="107"/>
        <x:v>TJ119</x:v>
      </x:c>
      <x:c r="AY18" s="1306" t="b">
        <x:f t="shared" si="35"/>
        <x:v>0</x:v>
      </x:c>
      <x:c r="AZ18" s="1090" t="b">
        <x:f t="shared" si="36"/>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7"/>
        <x:v/>
      </x:c>
      <x:c r="CE18" s="935" t="str">
        <x:f t="shared" si="38"/>
        <x:v/>
      </x:c>
      <x:c r="CF18" s="1149"/>
      <x:c r="CG18" s="1150"/>
      <x:c r="CH18" s="738" t="str">
        <x:f t="shared" si="39"/>
        <x:v/>
      </x:c>
      <x:c r="CI18" s="739" t="str">
        <x:f t="shared" si="40"/>
        <x:v/>
      </x:c>
      <x:c r="CJ18" s="740" t="str">
        <x:f t="shared" si="41"/>
        <x:v/>
      </x:c>
      <x:c r="CK18" s="741" t="str">
        <x:f t="shared" si="42"/>
        <x:v/>
      </x:c>
      <x:c r="CL18" s="742" t="str">
        <x:f t="shared" si="43"/>
        <x:v/>
      </x:c>
      <x:c r="CM18" s="743" t="str">
        <x:f t="shared" si="44"/>
        <x:v/>
      </x:c>
      <x:c r="CN18" s="744" t="str">
        <x:f t="shared" si="45"/>
        <x:v/>
      </x:c>
      <x:c r="CO18" s="745" t="str">
        <x:f t="shared" si="46"/>
        <x:v/>
      </x:c>
      <x:c r="CP18" s="762" t="str">
        <x:f t="shared" si="47"/>
        <x:v/>
      </x:c>
      <x:c r="CQ18" s="763" t="str">
        <x:f t="shared" si="48"/>
        <x:v/>
      </x:c>
      <x:c r="CR18" s="953">
        <x:f t="shared" si="49"/>
        <x:v>5</x:v>
      </x:c>
      <x:c r="CS18" s="954">
        <x:f t="shared" si="50"/>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51"/>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52"/>
        <x:v>0</x:v>
      </x:c>
      <x:c r="DO18" s="1049">
        <x:f t="shared" si="53"/>
        <x:v>0</x:v>
      </x:c>
      <x:c r="DP18" s="1053" t="str">
        <x:f t="shared" si="54"/>
        <x:v/>
      </x:c>
      <x:c r="DQ18" s="1053" t="str">
        <x:f t="shared" si="55"/>
        <x:v/>
      </x:c>
      <x:c r="DR18" s="1053" t="str">
        <x:f t="shared" si="56"/>
        <x:v/>
      </x:c>
      <x:c r="DS18" s="1052">
        <x:f t="shared" si="57"/>
        <x:v>0</x:v>
      </x:c>
      <x:c r="DT18" s="1052">
        <x:f t="shared" si="58"/>
        <x:v>0</x:v>
      </x:c>
      <x:c r="DU18" s="1052" t="str">
        <x:f t="shared" si="59"/>
        <x:v/>
      </x:c>
      <x:c r="DV18" s="1053" t="str">
        <x:f t="shared" si="60"/>
        <x:v/>
      </x:c>
      <x:c r="DW18" s="1053" t="str">
        <x:f t="shared" si="61"/>
        <x:v/>
      </x:c>
      <x:c r="DX18" s="1269">
        <x:f t="shared" si="62"/>
        <x:v>0</x:v>
      </x:c>
      <x:c r="DY18" s="1053">
        <x:f t="shared" si="63"/>
        <x:v>0</x:v>
      </x:c>
      <x:c r="DZ18" s="1052">
        <x:f t="shared" si="64"/>
        <x:v>0</x:v>
      </x:c>
      <x:c r="EA18" s="1052" t="str">
        <x:f t="shared" si="65"/>
        <x:v/>
      </x:c>
      <x:c r="EB18" s="1053" t="str">
        <x:f t="shared" si="66"/>
        <x:v/>
      </x:c>
      <x:c r="EC18" s="1053" t="str">
        <x:f t="shared" si="67"/>
        <x:v/>
      </x:c>
      <x:c r="ED18" s="1269">
        <x:f t="shared" si="68"/>
        <x:v>0</x:v>
      </x:c>
      <x:c r="EE18" s="1090" t="str">
        <x:f t="shared" si="69"/>
        <x:v/>
      </x:c>
      <x:c r="EF18" s="1053" t="str">
        <x:f t="shared" si="70"/>
        <x:v/>
      </x:c>
      <x:c r="EG18" s="1053" t="str">
        <x:f t="shared" si="71"/>
        <x:v/>
      </x:c>
      <x:c r="EH18" s="1053" t="str">
        <x:f t="shared" si="72"/>
        <x:v>ERR</x:v>
      </x:c>
      <x:c r="EI18" s="1053" t="str">
        <x:f t="shared" si="73"/>
        <x:v>ERR</x:v>
      </x:c>
      <x:c r="EJ18" s="1053" t="str">
        <x:f t="shared" si="74"/>
        <x:v/>
      </x:c>
      <x:c r="EK18" s="1053" t="str">
        <x:f t="shared" si="74"/>
        <x:v/>
      </x:c>
      <x:c r="EL18" s="1090" t="str">
        <x:f t="shared" si="75"/>
        <x:v/>
      </x:c>
      <x:c r="EM18" s="1053" t="str">
        <x:f t="shared" si="76"/>
        <x:v/>
      </x:c>
      <x:c r="EN18" s="1053" t="str">
        <x:f t="shared" si="77"/>
        <x:v/>
      </x:c>
      <x:c r="EO18" s="1053" t="str">
        <x:f t="shared" si="78"/>
        <x:v>ERR</x:v>
      </x:c>
      <x:c r="EP18" s="1053" t="str">
        <x:f t="shared" si="79"/>
        <x:v>ERR</x:v>
      </x:c>
      <x:c r="EQ18" s="1053" t="str">
        <x:f t="shared" si="80"/>
        <x:v/>
      </x:c>
      <x:c r="ER18" s="1053" t="str">
        <x:f t="shared" si="80"/>
        <x:v/>
      </x:c>
      <x:c r="ES18" s="1053" t="str">
        <x:f t="shared" si="81"/>
        <x:v/>
      </x:c>
      <x:c r="ET18" s="1053" t="str">
        <x:f t="shared" si="82"/>
        <x:v/>
      </x:c>
      <x:c r="EU18" s="1061">
        <x:f t="shared" si="83"/>
        <x:v>4</x:v>
      </x:c>
      <x:c r="EV18" s="1055" t="str">
        <x:f t="shared" si="84"/>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5"/>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6"/>
        <x:v/>
      </x:c>
      <x:c r="FD18" s="1052">
        <x:f t="shared" si="108"/>
        <x:v>0</x:v>
      </x:c>
      <x:c r="FE18" s="1052">
        <x:f t="shared" si="87"/>
        <x:v>0</x:v>
      </x:c>
      <x:c r="FF18" s="1052">
        <x:f t="shared" si="88"/>
        <x:v>0</x:v>
      </x:c>
      <x:c r="FG18" s="1052" t="str">
        <x:f t="shared" si="89"/>
        <x:v/>
      </x:c>
      <x:c r="FH18" s="1053" t="str">
        <x:f t="shared" si="90"/>
        <x:v/>
      </x:c>
      <x:c r="FI18" s="1052">
        <x:f t="shared" si="109"/>
        <x:v>0</x:v>
      </x:c>
      <x:c r="FJ18" s="1052">
        <x:f t="shared" si="91"/>
        <x:v>0</x:v>
      </x:c>
      <x:c r="FK18" s="1052">
        <x:f t="shared" si="92"/>
        <x:v>0</x:v>
      </x:c>
      <x:c r="FL18" s="1052" t="str">
        <x:f t="shared" si="93"/>
        <x:v/>
      </x:c>
      <x:c r="FM18" s="1053" t="str">
        <x:f t="shared" si="94"/>
        <x:v/>
      </x:c>
      <x:c r="FN18" s="1053" t="e">
        <x:f t="shared" si="95"/>
        <x:v>#VALUE!</x:v>
      </x:c>
      <x:c r="FO18" s="1062" t="e">
        <x:f t="shared" si="96"/>
        <x:v>#VALUE!</x:v>
      </x:c>
      <x:c r="FP18" s="1062" t="e">
        <x:f t="shared" si="97"/>
        <x:v>#VALUE!</x:v>
      </x:c>
      <x:c r="FQ18" s="1063" t="e">
        <x:f t="shared" si="98"/>
        <x:v>#VALUE!</x:v>
      </x:c>
      <x:c r="FR18" s="1064" t="e">
        <x:f t="shared" si="99"/>
        <x:v>#VALUE!</x:v>
      </x:c>
      <x:c r="FS18" s="1065" t="str">
        <x:f t="shared" si="100"/>
        <x:v/>
      </x:c>
      <x:c r="FT18" s="1066" t="str">
        <x:f t="shared" si="101"/>
        <x:v/>
      </x:c>
      <x:c r="FU18" s="1105">
        <x:f t="shared" si="102"/>
        <x:v>0</x:v>
      </x:c>
      <x:c r="FV18" s="1106">
        <x:f t="shared" si="103"/>
        <x:v>0</x:v>
      </x:c>
      <x:c r="GA18" s="1975">
        <x:v>59</x:v>
      </x:c>
      <x:c r="GB18" s="1976">
        <x:v>2.75</x:v>
      </x:c>
      <x:c r="GC18" s="1977">
        <x:v>-1.875</x:v>
      </x:c>
      <x:c r="GD18" s="1978">
        <x:v>-1</x:v>
      </x:c>
      <x:c r="GE18" s="1979">
        <x:v>0.227928244811819</x:v>
      </x:c>
      <x:c r="GF18" s="1980" t="str">
        <x:f t="shared" si="104"/>
        <x:v>TJ119</x:v>
      </x:c>
      <x:c r="GG18" s="1453"/>
      <x:c r="GH18" s="1454"/>
      <x:c r="GI18" s="1453"/>
      <x:c r="GJ18" s="1454"/>
      <x:c r="GK18" s="533">
        <x:f t="shared" si="105"/>
        <x:v>707.875</x:v>
      </x:c>
      <x:c r="GL18" s="534">
        <x:f t="shared" si="106"/>
        <x:v>708.0026795120051</x:v>
      </x:c>
      <x:c r="GM18" s="535">
        <x:f>IF(ABS(GK18-GL18)&gt;='Job Info.'!$L$22,ABS(GK18-GL18),0)</x:f>
        <x:v>0</x:v>
      </x:c>
      <x:c r="HA18" s="1658" t="s">
        <x:v>1443</x:v>
      </x:c>
      <x:c r="HB18" s="1659">
        <x:v>1</x:v>
      </x:c>
      <x:c r="HC18" s="1659" t="s">
        <x:v>1978</x:v>
      </x:c>
      <x:c r="HD18" s="1660">
        <x:v>58</x:v>
      </x:c>
      <x:c r="HE18" s="1661">
        <x:v>11.875</x:v>
      </x:c>
      <x:c r="HF18" s="1659" t="s">
        <x:v>117</x:v>
      </x:c>
      <x:c r="HG18" s="1659" t="s">
        <x:v>117</x:v>
      </x:c>
      <x:c r="HH18" s="1659" t="s">
        <x:v>117</x:v>
      </x:c>
      <x:c r="HI18" s="1662">
        <x:v>0</x:v>
      </x:c>
      <x:c r="HJ18" s="1659">
        <x:v>0.625</x:v>
      </x:c>
      <x:c r="HK18" s="1659" t="s">
        <x:v>114</x:v>
      </x:c>
      <x:c r="HL18" s="1659">
        <x:v>3</x:v>
      </x:c>
      <x:c r="HM18" s="1659">
        <x:v>3</x:v>
      </x:c>
      <x:c r="HN18" s="1659" t="s">
        <x:v>117</x:v>
      </x:c>
      <x:c r="HO18" s="1659" t="s">
        <x:v>117</x:v>
      </x:c>
      <x:c r="HP18" s="1659" t="s">
        <x:v>117</x:v>
      </x:c>
      <x:c r="HQ18" s="1662">
        <x:v>0</x:v>
      </x:c>
      <x:c r="HR18" s="1659">
        <x:v>6.625</x:v>
      </x:c>
      <x:c r="HS18" s="1659">
        <x:v>2</x:v>
      </x:c>
      <x:c r="HT18" s="1659">
        <x:v>0</x:v>
      </x:c>
      <x:c r="HU18" s="1659">
        <x:v>1.125</x:v>
      </x:c>
      <x:c r="HV18" s="1659">
        <x:v>0</x:v>
      </x:c>
      <x:c r="HW18" s="1661">
        <x:v>1.5</x:v>
      </x:c>
      <x:c r="HX18" s="1661">
        <x:v>4</x:v>
      </x:c>
      <x:c r="HY18" s="1661" t="s">
        <x:v>117</x:v>
      </x:c>
      <x:c r="HZ18" s="1661" t="s">
        <x:v>117</x:v>
      </x:c>
      <x:c r="IA18" s="1661" t="s">
        <x:v>2153</x:v>
      </x:c>
      <x:c r="IB18" s="1661"/>
      <x:c r="IC18" s="1661"/>
      <x:c r="ID18" s="1661"/>
      <x:c r="IE18" s="1661"/>
      <x:c r="IF18" s="1663"/>
    </x:row>
    <x:row r="19" spans="1:240" ht="12.6" customHeight="1" x14ac:dyDescent="0.25">
      <x:c r="A19" s="1264" t="s">
        <x:v>1444</x:v>
      </x:c>
      <x:c r="B19" s="1265">
        <x:v>1</x:v>
      </x:c>
      <x:c r="C19" s="1265" t="s">
        <x:v>1978</x:v>
      </x:c>
      <x:c r="D19" s="1261">
        <x:v>59</x:v>
      </x:c>
      <x:c r="E19" s="1366">
        <x:v>0.625</x:v>
      </x:c>
      <x:c r="F19" s="1328" t="str">
        <x:f t="shared" si="1"/>
        <x:v/>
      </x:c>
      <x:c r="G19" s="1262" t="str">
        <x:f t="shared" si="2"/>
        <x:v/>
      </x:c>
      <x:c r="H19" s="1266" t="str">
        <x:f t="shared" si="3"/>
        <x:v/>
      </x:c>
      <x:c r="I19" s="1261">
        <x:v>0</x:v>
      </x:c>
      <x:c r="J19" s="1262">
        <x:v>1.375</x:v>
      </x:c>
      <x:c r="K19" s="1370" t="s">
        <x:v>114</x:v>
      </x:c>
      <x:c r="L19" s="1327">
        <x:v>3</x:v>
      </x:c>
      <x:c r="M19" s="1329">
        <x:v>3</x:v>
      </x:c>
      <x:c r="N19" s="1263" t="str">
        <x:f t="shared" si="4"/>
        <x:v/>
      </x:c>
      <x:c r="O19" s="1262" t="str">
        <x:f t="shared" si="5"/>
        <x:v/>
      </x:c>
      <x:c r="P19" s="1260" t="str">
        <x:f t="shared" si="6"/>
        <x:v/>
      </x:c>
      <x:c r="Q19" s="1261" t="str">
        <x:f t="shared" si="7"/>
        <x:v/>
      </x:c>
      <x:c r="R19" s="1262" t="str">
        <x:f t="shared" si="8"/>
        <x:v/>
      </x:c>
      <x:c r="S19" s="1375" t="str">
        <x:f t="shared" si="9"/>
        <x:v/>
      </x:c>
      <x:c r="T19" s="1328" t="str">
        <x:f t="shared" si="10"/>
        <x:v/>
      </x:c>
      <x:c r="U19" s="1262" t="str">
        <x:f t="shared" si="11"/>
        <x:v/>
      </x:c>
      <x:c r="V19" s="1261" t="str">
        <x:f t="shared" si="12"/>
        <x:v/>
      </x:c>
      <x:c r="W19" s="1262" t="str">
        <x:f t="shared" si="13"/>
        <x:v/>
      </x:c>
      <x:c r="X19" s="1329">
        <x:f t="shared" si="14"/>
        <x:v>0</x:v>
      </x:c>
      <x:c r="Y19" s="1377" t="str">
        <x:f t="shared" si="15"/>
        <x:v/>
      </x:c>
      <x:c r="Z19" s="1378" t="str">
        <x:f t="shared" si="16"/>
        <x:v/>
      </x:c>
      <x:c r="AA19" s="2159" t="s">
        <x:v>2154</x:v>
      </x:c>
      <x:c r="AC19" s="1226" t="b">
        <x:v>0</x:v>
      </x:c>
      <x:c r="AD19" s="525">
        <x:f t="shared" si="17"/>
        <x:v>0</x:v>
      </x:c>
      <x:c r="AE19" s="526">
        <x:f t="shared" si="18"/>
        <x:v>1</x:v>
      </x:c>
      <x:c r="AF19" s="526">
        <x:f t="shared" si="19"/>
        <x:v>0</x:v>
      </x:c>
      <x:c r="AG19" s="526">
        <x:f t="shared" si="20"/>
        <x:v>0</x:v>
      </x:c>
      <x:c r="AH19" s="527">
        <x:f t="shared" si="21"/>
        <x:v>0</x:v>
      </x:c>
      <x:c r="AI19" s="528" t="b">
        <x:v>0</x:v>
      </x:c>
      <x:c r="AJ19" s="284">
        <x:f t="shared" si="22"/>
        <x:v>36</x:v>
      </x:c>
      <x:c r="AK19" s="1063" t="str">
        <x:f t="shared" si="23"/>
        <x:v>LH</x:v>
      </x:c>
      <x:c r="AL19" s="1202" t="str">
        <x:f t="shared" si="24"/>
        <x:v/>
      </x:c>
      <x:c r="AM19" s="1063">
        <x:f t="shared" si="25"/>
        <x:v>270</x:v>
      </x:c>
      <x:c r="AN19" s="1063">
        <x:f t="shared" si="26"/>
        <x:v>120</x:v>
      </x:c>
      <x:c r="AO19" s="1063" t="str">
        <x:f t="shared" si="27"/>
        <x:v/>
      </x:c>
      <x:c r="AP19" s="1063" t="b">
        <x:f>IF(ISERROR(AJ19),FALSE,IF(OR(AJ19=0,ISERROR(AL19),ISERROR(AM19),ISERROR(AN19),ISERROR(AO19)),FALSE,IF(AL19&lt;&gt;"",IF(ISERROR(VLOOKUP(SUBSTITUTE(SUBSTITUTE(C19,"R",""),"A",""),TblJoistSize!$A:$A,1,FALSE)),FALSE,TRUE),TRUE)))</x:f>
        <x:v>1</x:v>
      </x:c>
      <x:c r="AQ19" s="1305">
        <x:f t="shared" si="28"/>
        <x:v>6</x:v>
      </x:c>
      <x:c r="AR19" s="1305" t="b">
        <x:f t="shared" si="29"/>
        <x:v>0</x:v>
      </x:c>
      <x:c r="AS19" s="1305">
        <x:f t="shared" si="30"/>
        <x:v>7.375</x:v>
      </x:c>
      <x:c r="AT19" s="1305" t="b">
        <x:f t="shared" si="31"/>
        <x:v>0</x:v>
      </x:c>
      <x:c r="AU19" s="1203" t="str">
        <x:f t="shared" si="32"/>
        <x:v>LH</x:v>
      </x:c>
      <x:c r="AV19" s="1063" t="str">
        <x:f t="shared" si="33"/>
        <x:v/>
      </x:c>
      <x:c r="AW19" s="1063" t="str">
        <x:f t="shared" si="34"/>
        <x:v>LH</x:v>
      </x:c>
      <x:c r="AX19" s="1063" t="str">
        <x:f t="shared" si="107"/>
        <x:v>J120</x:v>
      </x:c>
      <x:c r="AY19" s="1306" t="b">
        <x:f t="shared" si="35"/>
        <x:v>0</x:v>
      </x:c>
      <x:c r="AZ19" s="1090" t="b">
        <x:f t="shared" si="36"/>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7"/>
        <x:v/>
      </x:c>
      <x:c r="CE19" s="935" t="str">
        <x:f t="shared" si="38"/>
        <x:v/>
      </x:c>
      <x:c r="CF19" s="1149"/>
      <x:c r="CG19" s="1150"/>
      <x:c r="CH19" s="738" t="str">
        <x:f t="shared" si="39"/>
        <x:v/>
      </x:c>
      <x:c r="CI19" s="739" t="str">
        <x:f t="shared" si="40"/>
        <x:v/>
      </x:c>
      <x:c r="CJ19" s="740" t="str">
        <x:f t="shared" si="41"/>
        <x:v/>
      </x:c>
      <x:c r="CK19" s="741" t="str">
        <x:f t="shared" si="42"/>
        <x:v/>
      </x:c>
      <x:c r="CL19" s="742" t="str">
        <x:f t="shared" si="43"/>
        <x:v/>
      </x:c>
      <x:c r="CM19" s="743" t="str">
        <x:f t="shared" si="44"/>
        <x:v/>
      </x:c>
      <x:c r="CN19" s="744" t="str">
        <x:f t="shared" si="45"/>
        <x:v/>
      </x:c>
      <x:c r="CO19" s="745" t="str">
        <x:f t="shared" si="46"/>
        <x:v/>
      </x:c>
      <x:c r="CP19" s="762" t="str">
        <x:f t="shared" si="47"/>
        <x:v/>
      </x:c>
      <x:c r="CQ19" s="763" t="str">
        <x:f t="shared" si="48"/>
        <x:v/>
      </x:c>
      <x:c r="CR19" s="953">
        <x:f t="shared" si="49"/>
        <x:v>5</x:v>
      </x:c>
      <x:c r="CS19" s="954">
        <x:f t="shared" si="50"/>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51"/>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52"/>
        <x:v>0</x:v>
      </x:c>
      <x:c r="DO19" s="1049">
        <x:f t="shared" si="53"/>
        <x:v>0</x:v>
      </x:c>
      <x:c r="DP19" s="1053" t="str">
        <x:f t="shared" si="54"/>
        <x:v/>
      </x:c>
      <x:c r="DQ19" s="1053" t="str">
        <x:f t="shared" si="55"/>
        <x:v/>
      </x:c>
      <x:c r="DR19" s="1053" t="str">
        <x:f t="shared" si="56"/>
        <x:v/>
      </x:c>
      <x:c r="DS19" s="1052">
        <x:f t="shared" si="57"/>
        <x:v>0</x:v>
      </x:c>
      <x:c r="DT19" s="1052">
        <x:f t="shared" si="58"/>
        <x:v>0</x:v>
      </x:c>
      <x:c r="DU19" s="1052" t="str">
        <x:f t="shared" si="59"/>
        <x:v/>
      </x:c>
      <x:c r="DV19" s="1053" t="str">
        <x:f t="shared" si="60"/>
        <x:v/>
      </x:c>
      <x:c r="DW19" s="1053" t="str">
        <x:f t="shared" si="61"/>
        <x:v/>
      </x:c>
      <x:c r="DX19" s="1269">
        <x:f t="shared" si="62"/>
        <x:v>0</x:v>
      </x:c>
      <x:c r="DY19" s="1053">
        <x:f t="shared" si="63"/>
        <x:v>0</x:v>
      </x:c>
      <x:c r="DZ19" s="1052">
        <x:f t="shared" si="64"/>
        <x:v>0</x:v>
      </x:c>
      <x:c r="EA19" s="1052" t="str">
        <x:f t="shared" si="65"/>
        <x:v/>
      </x:c>
      <x:c r="EB19" s="1053" t="str">
        <x:f t="shared" si="66"/>
        <x:v/>
      </x:c>
      <x:c r="EC19" s="1053" t="str">
        <x:f t="shared" si="67"/>
        <x:v/>
      </x:c>
      <x:c r="ED19" s="1269">
        <x:f t="shared" si="68"/>
        <x:v>0</x:v>
      </x:c>
      <x:c r="EE19" s="1090" t="str">
        <x:f t="shared" si="69"/>
        <x:v/>
      </x:c>
      <x:c r="EF19" s="1053" t="str">
        <x:f t="shared" si="70"/>
        <x:v/>
      </x:c>
      <x:c r="EG19" s="1053" t="str">
        <x:f t="shared" si="71"/>
        <x:v/>
      </x:c>
      <x:c r="EH19" s="1053" t="str">
        <x:f t="shared" si="72"/>
        <x:v>ERR</x:v>
      </x:c>
      <x:c r="EI19" s="1053" t="str">
        <x:f t="shared" si="73"/>
        <x:v>ERR</x:v>
      </x:c>
      <x:c r="EJ19" s="1053" t="str">
        <x:f t="shared" si="74"/>
        <x:v/>
      </x:c>
      <x:c r="EK19" s="1053" t="str">
        <x:f t="shared" si="74"/>
        <x:v/>
      </x:c>
      <x:c r="EL19" s="1090" t="str">
        <x:f t="shared" si="75"/>
        <x:v/>
      </x:c>
      <x:c r="EM19" s="1053" t="str">
        <x:f t="shared" si="76"/>
        <x:v/>
      </x:c>
      <x:c r="EN19" s="1053" t="str">
        <x:f t="shared" si="77"/>
        <x:v/>
      </x:c>
      <x:c r="EO19" s="1053" t="str">
        <x:f t="shared" si="78"/>
        <x:v>ERR</x:v>
      </x:c>
      <x:c r="EP19" s="1053" t="str">
        <x:f t="shared" si="79"/>
        <x:v>ERR</x:v>
      </x:c>
      <x:c r="EQ19" s="1053" t="str">
        <x:f t="shared" si="80"/>
        <x:v/>
      </x:c>
      <x:c r="ER19" s="1053" t="str">
        <x:f t="shared" si="80"/>
        <x:v/>
      </x:c>
      <x:c r="ES19" s="1053" t="str">
        <x:f t="shared" si="81"/>
        <x:v/>
      </x:c>
      <x:c r="ET19" s="1053" t="str">
        <x:f t="shared" si="82"/>
        <x:v/>
      </x:c>
      <x:c r="EU19" s="1061">
        <x:f t="shared" si="83"/>
        <x:v>4</x:v>
      </x:c>
      <x:c r="EV19" s="1055" t="str">
        <x:f t="shared" si="84"/>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5"/>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6"/>
        <x:v/>
      </x:c>
      <x:c r="FD19" s="1052">
        <x:f t="shared" si="108"/>
        <x:v>0</x:v>
      </x:c>
      <x:c r="FE19" s="1052">
        <x:f t="shared" si="87"/>
        <x:v>0</x:v>
      </x:c>
      <x:c r="FF19" s="1052">
        <x:f t="shared" si="88"/>
        <x:v>0</x:v>
      </x:c>
      <x:c r="FG19" s="1052" t="str">
        <x:f t="shared" si="89"/>
        <x:v/>
      </x:c>
      <x:c r="FH19" s="1053" t="str">
        <x:f t="shared" si="90"/>
        <x:v/>
      </x:c>
      <x:c r="FI19" s="1052">
        <x:f t="shared" si="109"/>
        <x:v>0</x:v>
      </x:c>
      <x:c r="FJ19" s="1052">
        <x:f t="shared" si="91"/>
        <x:v>0</x:v>
      </x:c>
      <x:c r="FK19" s="1052">
        <x:f t="shared" si="92"/>
        <x:v>0</x:v>
      </x:c>
      <x:c r="FL19" s="1052" t="str">
        <x:f t="shared" si="93"/>
        <x:v/>
      </x:c>
      <x:c r="FM19" s="1053" t="str">
        <x:f t="shared" si="94"/>
        <x:v/>
      </x:c>
      <x:c r="FN19" s="1053" t="e">
        <x:f t="shared" si="95"/>
        <x:v>#VALUE!</x:v>
      </x:c>
      <x:c r="FO19" s="1062" t="e">
        <x:f t="shared" si="96"/>
        <x:v>#VALUE!</x:v>
      </x:c>
      <x:c r="FP19" s="1062" t="e">
        <x:f t="shared" si="97"/>
        <x:v>#VALUE!</x:v>
      </x:c>
      <x:c r="FQ19" s="1063" t="e">
        <x:f t="shared" si="98"/>
        <x:v>#VALUE!</x:v>
      </x:c>
      <x:c r="FR19" s="1064" t="e">
        <x:f t="shared" si="99"/>
        <x:v>#VALUE!</x:v>
      </x:c>
      <x:c r="FS19" s="1065" t="str">
        <x:f t="shared" si="100"/>
        <x:v/>
      </x:c>
      <x:c r="FT19" s="1066" t="str">
        <x:f t="shared" si="101"/>
        <x:v/>
      </x:c>
      <x:c r="FU19" s="1105">
        <x:f t="shared" si="102"/>
        <x:v>0</x:v>
      </x:c>
      <x:c r="FV19" s="1106">
        <x:f t="shared" si="103"/>
        <x:v>0</x:v>
      </x:c>
      <x:c r="GA19" s="1975">
        <x:v>59</x:v>
      </x:c>
      <x:c r="GB19" s="1976">
        <x:v>2.75</x:v>
      </x:c>
      <x:c r="GC19" s="1977">
        <x:v>-1.875</x:v>
      </x:c>
      <x:c r="GD19" s="1978">
        <x:v>-0.25</x:v>
      </x:c>
      <x:c r="GE19" s="1979">
        <x:v>0.227928244811819</x:v>
      </x:c>
      <x:c r="GF19" s="1980" t="str">
        <x:f t="shared" si="104"/>
        <x:v>J120</x:v>
      </x:c>
      <x:c r="GG19" s="1453"/>
      <x:c r="GH19" s="1454"/>
      <x:c r="GI19" s="1453"/>
      <x:c r="GJ19" s="1454"/>
      <x:c r="GK19" s="533">
        <x:f t="shared" si="105"/>
        <x:v>708.625</x:v>
      </x:c>
      <x:c r="GL19" s="534">
        <x:f t="shared" si="106"/>
        <x:v>708.75281478960926</x:v>
      </x:c>
      <x:c r="GM19" s="535">
        <x:f>IF(ABS(GK19-GL19)&gt;='Job Info.'!$L$22,ABS(GK19-GL19),0)</x:f>
        <x:v>0</x:v>
      </x:c>
      <x:c r="HA19" s="1658" t="s">
        <x:v>1444</x:v>
      </x:c>
      <x:c r="HB19" s="1659">
        <x:v>1</x:v>
      </x:c>
      <x:c r="HC19" s="1659" t="s">
        <x:v>1978</x:v>
      </x:c>
      <x:c r="HD19" s="1660">
        <x:v>59</x:v>
      </x:c>
      <x:c r="HE19" s="1661">
        <x:v>0.625</x:v>
      </x:c>
      <x:c r="HF19" s="1659" t="s">
        <x:v>117</x:v>
      </x:c>
      <x:c r="HG19" s="1659" t="s">
        <x:v>117</x:v>
      </x:c>
      <x:c r="HH19" s="1659" t="s">
        <x:v>117</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2154</x:v>
      </x:c>
      <x:c r="IB19" s="1661"/>
      <x:c r="IC19" s="1661"/>
      <x:c r="ID19" s="1661"/>
      <x:c r="IE19" s="1661"/>
      <x:c r="IF19" s="1663"/>
    </x:row>
    <x:row r="20" spans="1:240" ht="12.6" customHeight="1" x14ac:dyDescent="0.25">
      <x:c r="A20" s="1264" t="s">
        <x:v>1445</x:v>
      </x:c>
      <x:c r="B20" s="1265">
        <x:v>1</x:v>
      </x:c>
      <x:c r="C20" s="1265" t="s">
        <x:v>1978</x:v>
      </x:c>
      <x:c r="D20" s="1261">
        <x:v>59</x:v>
      </x:c>
      <x:c r="E20" s="1366">
        <x:v>0.625</x:v>
      </x:c>
      <x:c r="F20" s="1328" t="str">
        <x:f t="shared" si="1"/>
        <x:v/>
      </x:c>
      <x:c r="G20" s="1262" t="str">
        <x:f t="shared" si="2"/>
        <x:v/>
      </x:c>
      <x:c r="H20" s="1266" t="str">
        <x:f t="shared" si="3"/>
        <x:v/>
      </x:c>
      <x:c r="I20" s="1261">
        <x:v>0</x:v>
      </x:c>
      <x:c r="J20" s="1262">
        <x:v>1.375</x:v>
      </x:c>
      <x:c r="K20" s="1370" t="s">
        <x:v>114</x:v>
      </x:c>
      <x:c r="L20" s="1327">
        <x:v>3</x:v>
      </x:c>
      <x:c r="M20" s="1329">
        <x:v>3</x:v>
      </x:c>
      <x:c r="N20" s="1263" t="str">
        <x:f t="shared" si="4"/>
        <x:v/>
      </x:c>
      <x:c r="O20" s="1262" t="str">
        <x:f t="shared" si="5"/>
        <x:v/>
      </x:c>
      <x:c r="P20" s="1260" t="str">
        <x:f t="shared" si="6"/>
        <x:v/>
      </x:c>
      <x:c r="Q20" s="1261" t="str">
        <x:f t="shared" si="7"/>
        <x:v/>
      </x:c>
      <x:c r="R20" s="1262" t="str">
        <x:f t="shared" si="8"/>
        <x:v/>
      </x:c>
      <x:c r="S20" s="1375" t="str">
        <x:f t="shared" si="9"/>
        <x:v/>
      </x:c>
      <x:c r="T20" s="1328" t="str">
        <x:f t="shared" si="10"/>
        <x:v/>
      </x:c>
      <x:c r="U20" s="1262" t="str">
        <x:f t="shared" si="11"/>
        <x:v/>
      </x:c>
      <x:c r="V20" s="1261" t="str">
        <x:f t="shared" si="12"/>
        <x:v/>
      </x:c>
      <x:c r="W20" s="1262" t="str">
        <x:f t="shared" si="13"/>
        <x:v/>
      </x:c>
      <x:c r="X20" s="1329">
        <x:f t="shared" si="14"/>
        <x:v>0</x:v>
      </x:c>
      <x:c r="Y20" s="1377" t="str">
        <x:f t="shared" si="15"/>
        <x:v/>
      </x:c>
      <x:c r="Z20" s="1378" t="str">
        <x:f t="shared" si="16"/>
        <x:v/>
      </x:c>
      <x:c r="AA20" s="2159" t="s">
        <x:v>2155</x:v>
      </x:c>
      <x:c r="AC20" s="1226" t="b">
        <x:v>0</x:v>
      </x:c>
      <x:c r="AD20" s="525">
        <x:f t="shared" si="17"/>
        <x:v>0</x:v>
      </x:c>
      <x:c r="AE20" s="526">
        <x:f t="shared" si="18"/>
        <x:v>1</x:v>
      </x:c>
      <x:c r="AF20" s="526">
        <x:f t="shared" si="19"/>
        <x:v>0</x:v>
      </x:c>
      <x:c r="AG20" s="526">
        <x:f t="shared" si="20"/>
        <x:v>0</x:v>
      </x:c>
      <x:c r="AH20" s="527">
        <x:f t="shared" si="21"/>
        <x:v>0</x:v>
      </x:c>
      <x:c r="AI20" s="528" t="b">
        <x:v>0</x:v>
      </x:c>
      <x:c r="AJ20" s="284">
        <x:f t="shared" si="22"/>
        <x:v>36</x:v>
      </x:c>
      <x:c r="AK20" s="1063" t="str">
        <x:f t="shared" si="23"/>
        <x:v>LH</x:v>
      </x:c>
      <x:c r="AL20" s="1202" t="str">
        <x:f t="shared" si="24"/>
        <x:v/>
      </x:c>
      <x:c r="AM20" s="1063">
        <x:f t="shared" si="25"/>
        <x:v>270</x:v>
      </x:c>
      <x:c r="AN20" s="1063">
        <x:f t="shared" si="26"/>
        <x:v>120</x:v>
      </x:c>
      <x:c r="AO20" s="1063" t="str">
        <x:f t="shared" si="27"/>
        <x:v/>
      </x:c>
      <x:c r="AP20" s="1063" t="b">
        <x:f>IF(ISERROR(AJ20),FALSE,IF(OR(AJ20=0,ISERROR(AL20),ISERROR(AM20),ISERROR(AN20),ISERROR(AO20)),FALSE,IF(AL20&lt;&gt;"",IF(ISERROR(VLOOKUP(SUBSTITUTE(SUBSTITUTE(C20,"R",""),"A",""),TblJoistSize!$A:$A,1,FALSE)),FALSE,TRUE),TRUE)))</x:f>
        <x:v>1</x:v>
      </x:c>
      <x:c r="AQ20" s="1305">
        <x:f t="shared" si="28"/>
        <x:v>6</x:v>
      </x:c>
      <x:c r="AR20" s="1305" t="b">
        <x:f t="shared" si="29"/>
        <x:v>0</x:v>
      </x:c>
      <x:c r="AS20" s="1305">
        <x:f t="shared" si="30"/>
        <x:v>7.375</x:v>
      </x:c>
      <x:c r="AT20" s="1305" t="b">
        <x:f t="shared" si="31"/>
        <x:v>0</x:v>
      </x:c>
      <x:c r="AU20" s="1203" t="str">
        <x:f t="shared" si="32"/>
        <x:v>LH</x:v>
      </x:c>
      <x:c r="AV20" s="1063" t="str">
        <x:f t="shared" si="33"/>
        <x:v/>
      </x:c>
      <x:c r="AW20" s="1063" t="str">
        <x:f t="shared" si="34"/>
        <x:v>LH</x:v>
      </x:c>
      <x:c r="AX20" s="1063" t="str">
        <x:f t="shared" si="107"/>
        <x:v>J121</x:v>
      </x:c>
      <x:c r="AY20" s="1306" t="b">
        <x:f t="shared" si="35"/>
        <x:v>0</x:v>
      </x:c>
      <x:c r="AZ20" s="1090" t="b">
        <x:f t="shared" si="36"/>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7"/>
        <x:v/>
      </x:c>
      <x:c r="CE20" s="935" t="str">
        <x:f t="shared" si="38"/>
        <x:v/>
      </x:c>
      <x:c r="CF20" s="1149"/>
      <x:c r="CG20" s="1150"/>
      <x:c r="CH20" s="738" t="str">
        <x:f t="shared" si="39"/>
        <x:v/>
      </x:c>
      <x:c r="CI20" s="739" t="str">
        <x:f t="shared" si="40"/>
        <x:v/>
      </x:c>
      <x:c r="CJ20" s="740" t="str">
        <x:f t="shared" si="41"/>
        <x:v/>
      </x:c>
      <x:c r="CK20" s="741" t="str">
        <x:f t="shared" si="42"/>
        <x:v/>
      </x:c>
      <x:c r="CL20" s="742" t="str">
        <x:f t="shared" si="43"/>
        <x:v/>
      </x:c>
      <x:c r="CM20" s="743" t="str">
        <x:f t="shared" si="44"/>
        <x:v/>
      </x:c>
      <x:c r="CN20" s="744" t="str">
        <x:f t="shared" si="45"/>
        <x:v/>
      </x:c>
      <x:c r="CO20" s="745" t="str">
        <x:f t="shared" si="46"/>
        <x:v/>
      </x:c>
      <x:c r="CP20" s="762" t="str">
        <x:f t="shared" si="47"/>
        <x:v/>
      </x:c>
      <x:c r="CQ20" s="763" t="str">
        <x:f t="shared" si="48"/>
        <x:v/>
      </x:c>
      <x:c r="CR20" s="953">
        <x:f t="shared" si="49"/>
        <x:v>5</x:v>
      </x:c>
      <x:c r="CS20" s="954">
        <x:f t="shared" si="50"/>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51"/>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52"/>
        <x:v>0</x:v>
      </x:c>
      <x:c r="DO20" s="1049">
        <x:f t="shared" si="53"/>
        <x:v>0</x:v>
      </x:c>
      <x:c r="DP20" s="1053" t="str">
        <x:f t="shared" si="54"/>
        <x:v/>
      </x:c>
      <x:c r="DQ20" s="1053" t="str">
        <x:f t="shared" si="55"/>
        <x:v/>
      </x:c>
      <x:c r="DR20" s="1053" t="str">
        <x:f t="shared" si="56"/>
        <x:v/>
      </x:c>
      <x:c r="DS20" s="1052">
        <x:f t="shared" si="57"/>
        <x:v>0</x:v>
      </x:c>
      <x:c r="DT20" s="1052">
        <x:f t="shared" si="58"/>
        <x:v>0</x:v>
      </x:c>
      <x:c r="DU20" s="1052" t="str">
        <x:f t="shared" si="59"/>
        <x:v/>
      </x:c>
      <x:c r="DV20" s="1053" t="str">
        <x:f t="shared" si="60"/>
        <x:v/>
      </x:c>
      <x:c r="DW20" s="1053" t="str">
        <x:f t="shared" si="61"/>
        <x:v/>
      </x:c>
      <x:c r="DX20" s="1269">
        <x:f t="shared" si="62"/>
        <x:v>0</x:v>
      </x:c>
      <x:c r="DY20" s="1053">
        <x:f t="shared" si="63"/>
        <x:v>0</x:v>
      </x:c>
      <x:c r="DZ20" s="1052">
        <x:f t="shared" si="64"/>
        <x:v>0</x:v>
      </x:c>
      <x:c r="EA20" s="1052" t="str">
        <x:f t="shared" si="65"/>
        <x:v/>
      </x:c>
      <x:c r="EB20" s="1053" t="str">
        <x:f t="shared" si="66"/>
        <x:v/>
      </x:c>
      <x:c r="EC20" s="1053" t="str">
        <x:f t="shared" si="67"/>
        <x:v/>
      </x:c>
      <x:c r="ED20" s="1269">
        <x:f t="shared" si="68"/>
        <x:v>0</x:v>
      </x:c>
      <x:c r="EE20" s="1090" t="str">
        <x:f t="shared" si="69"/>
        <x:v/>
      </x:c>
      <x:c r="EF20" s="1053" t="str">
        <x:f t="shared" si="70"/>
        <x:v/>
      </x:c>
      <x:c r="EG20" s="1053" t="str">
        <x:f t="shared" si="71"/>
        <x:v/>
      </x:c>
      <x:c r="EH20" s="1053" t="str">
        <x:f t="shared" si="72"/>
        <x:v>ERR</x:v>
      </x:c>
      <x:c r="EI20" s="1053" t="str">
        <x:f t="shared" si="73"/>
        <x:v>ERR</x:v>
      </x:c>
      <x:c r="EJ20" s="1053" t="str">
        <x:f t="shared" si="74"/>
        <x:v/>
      </x:c>
      <x:c r="EK20" s="1053" t="str">
        <x:f t="shared" si="74"/>
        <x:v/>
      </x:c>
      <x:c r="EL20" s="1090" t="str">
        <x:f t="shared" si="75"/>
        <x:v/>
      </x:c>
      <x:c r="EM20" s="1053" t="str">
        <x:f t="shared" si="76"/>
        <x:v/>
      </x:c>
      <x:c r="EN20" s="1053" t="str">
        <x:f t="shared" si="77"/>
        <x:v/>
      </x:c>
      <x:c r="EO20" s="1053" t="str">
        <x:f t="shared" si="78"/>
        <x:v>ERR</x:v>
      </x:c>
      <x:c r="EP20" s="1053" t="str">
        <x:f t="shared" si="79"/>
        <x:v>ERR</x:v>
      </x:c>
      <x:c r="EQ20" s="1053" t="str">
        <x:f t="shared" si="80"/>
        <x:v/>
      </x:c>
      <x:c r="ER20" s="1053" t="str">
        <x:f t="shared" si="80"/>
        <x:v/>
      </x:c>
      <x:c r="ES20" s="1053" t="str">
        <x:f t="shared" si="81"/>
        <x:v/>
      </x:c>
      <x:c r="ET20" s="1053" t="str">
        <x:f t="shared" si="82"/>
        <x:v/>
      </x:c>
      <x:c r="EU20" s="1061">
        <x:f t="shared" si="83"/>
        <x:v>4</x:v>
      </x:c>
      <x:c r="EV20" s="1055" t="str">
        <x:f t="shared" si="84"/>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5"/>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6"/>
        <x:v/>
      </x:c>
      <x:c r="FD20" s="1052">
        <x:f t="shared" si="108"/>
        <x:v>0</x:v>
      </x:c>
      <x:c r="FE20" s="1052">
        <x:f t="shared" si="87"/>
        <x:v>0</x:v>
      </x:c>
      <x:c r="FF20" s="1052">
        <x:f t="shared" si="88"/>
        <x:v>0</x:v>
      </x:c>
      <x:c r="FG20" s="1052" t="str">
        <x:f t="shared" si="89"/>
        <x:v/>
      </x:c>
      <x:c r="FH20" s="1053" t="str">
        <x:f t="shared" si="90"/>
        <x:v/>
      </x:c>
      <x:c r="FI20" s="1052">
        <x:f t="shared" si="109"/>
        <x:v>0</x:v>
      </x:c>
      <x:c r="FJ20" s="1052">
        <x:f t="shared" si="91"/>
        <x:v>0</x:v>
      </x:c>
      <x:c r="FK20" s="1052">
        <x:f t="shared" si="92"/>
        <x:v>0</x:v>
      </x:c>
      <x:c r="FL20" s="1052" t="str">
        <x:f t="shared" si="93"/>
        <x:v/>
      </x:c>
      <x:c r="FM20" s="1053" t="str">
        <x:f t="shared" si="94"/>
        <x:v/>
      </x:c>
      <x:c r="FN20" s="1053" t="e">
        <x:f t="shared" si="95"/>
        <x:v>#VALUE!</x:v>
      </x:c>
      <x:c r="FO20" s="1062" t="e">
        <x:f t="shared" si="96"/>
        <x:v>#VALUE!</x:v>
      </x:c>
      <x:c r="FP20" s="1062" t="e">
        <x:f t="shared" si="97"/>
        <x:v>#VALUE!</x:v>
      </x:c>
      <x:c r="FQ20" s="1063" t="e">
        <x:f t="shared" si="98"/>
        <x:v>#VALUE!</x:v>
      </x:c>
      <x:c r="FR20" s="1064" t="e">
        <x:f t="shared" si="99"/>
        <x:v>#VALUE!</x:v>
      </x:c>
      <x:c r="FS20" s="1065" t="str">
        <x:f t="shared" si="100"/>
        <x:v/>
      </x:c>
      <x:c r="FT20" s="1066" t="str">
        <x:f t="shared" si="101"/>
        <x:v/>
      </x:c>
      <x:c r="FU20" s="1105">
        <x:f t="shared" si="102"/>
        <x:v>0</x:v>
      </x:c>
      <x:c r="FV20" s="1106">
        <x:f t="shared" si="103"/>
        <x:v>0</x:v>
      </x:c>
      <x:c r="GA20" s="1975">
        <x:v>59</x:v>
      </x:c>
      <x:c r="GB20" s="1976">
        <x:v>2.75</x:v>
      </x:c>
      <x:c r="GC20" s="1977">
        <x:v>-1.875</x:v>
      </x:c>
      <x:c r="GD20" s="1978">
        <x:v>-0.25</x:v>
      </x:c>
      <x:c r="GE20" s="1979">
        <x:v>0.227928244811819</x:v>
      </x:c>
      <x:c r="GF20" s="1980" t="str">
        <x:f t="shared" si="104"/>
        <x:v>J121</x:v>
      </x:c>
      <x:c r="GG20" s="1453"/>
      <x:c r="GH20" s="1454"/>
      <x:c r="GI20" s="1453"/>
      <x:c r="GJ20" s="1454"/>
      <x:c r="GK20" s="533">
        <x:f t="shared" si="105"/>
        <x:v>708.625</x:v>
      </x:c>
      <x:c r="GL20" s="534">
        <x:f t="shared" si="106"/>
        <x:v>708.75281478960926</x:v>
      </x:c>
      <x:c r="GM20" s="535">
        <x:f>IF(ABS(GK20-GL20)&gt;='Job Info.'!$L$22,ABS(GK20-GL20),0)</x:f>
        <x:v>0</x:v>
      </x:c>
      <x:c r="HA20" s="1658" t="s">
        <x:v>1445</x:v>
      </x:c>
      <x:c r="HB20" s="1659">
        <x:v>1</x:v>
      </x:c>
      <x:c r="HC20" s="1659" t="s">
        <x:v>1978</x:v>
      </x:c>
      <x:c r="HD20" s="1660">
        <x:v>59</x:v>
      </x:c>
      <x:c r="HE20" s="1661">
        <x:v>0.625</x:v>
      </x:c>
      <x:c r="HF20" s="1659" t="s">
        <x:v>117</x:v>
      </x:c>
      <x:c r="HG20" s="1659" t="s">
        <x:v>117</x:v>
      </x:c>
      <x:c r="HH20" s="1659" t="s">
        <x:v>117</x:v>
      </x:c>
      <x:c r="HI20" s="1662">
        <x:v>0</x:v>
      </x:c>
      <x:c r="HJ20" s="1659">
        <x:v>1.375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2155</x:v>
      </x:c>
      <x:c r="IB20" s="1661"/>
      <x:c r="IC20" s="1661"/>
      <x:c r="ID20" s="1661"/>
      <x:c r="IE20" s="1661"/>
      <x:c r="IF20" s="1663"/>
    </x:row>
    <x:row r="21" spans="1:240" ht="12.6" customHeight="1" x14ac:dyDescent="0.25">
      <x:c r="A21" s="1264" t="s">
        <x:v>1446</x:v>
      </x:c>
      <x:c r="B21" s="1265">
        <x:v>1</x:v>
      </x:c>
      <x:c r="C21" s="1265" t="s">
        <x:v>1978</x:v>
      </x:c>
      <x:c r="D21" s="1261">
        <x:v>59</x:v>
      </x:c>
      <x:c r="E21" s="1366">
        <x:v>0.625</x:v>
      </x:c>
      <x:c r="F21" s="1328" t="str">
        <x:f t="shared" si="1"/>
        <x:v/>
      </x:c>
      <x:c r="G21" s="1262" t="str">
        <x:f t="shared" si="2"/>
        <x:v/>
      </x:c>
      <x:c r="H21" s="1266" t="str">
        <x:f t="shared" si="3"/>
        <x:v/>
      </x:c>
      <x:c r="I21" s="1261">
        <x:v>0</x:v>
      </x:c>
      <x:c r="J21" s="1262">
        <x:v>1.375</x:v>
      </x:c>
      <x:c r="K21" s="1370" t="s">
        <x:v>114</x:v>
      </x:c>
      <x:c r="L21" s="1327">
        <x:v>3</x:v>
      </x:c>
      <x:c r="M21" s="1329">
        <x:v>3</x:v>
      </x:c>
      <x:c r="N21" s="1263" t="str">
        <x:f t="shared" si="4"/>
        <x:v/>
      </x:c>
      <x:c r="O21" s="1262" t="str">
        <x:f t="shared" si="5"/>
        <x:v/>
      </x:c>
      <x:c r="P21" s="1260" t="str">
        <x:f t="shared" si="6"/>
        <x:v/>
      </x:c>
      <x:c r="Q21" s="1261" t="str">
        <x:f t="shared" si="7"/>
        <x:v/>
      </x:c>
      <x:c r="R21" s="1262" t="str">
        <x:f t="shared" si="8"/>
        <x:v/>
      </x:c>
      <x:c r="S21" s="1375" t="str">
        <x:f t="shared" si="9"/>
        <x:v/>
      </x:c>
      <x:c r="T21" s="1328" t="str">
        <x:f t="shared" si="10"/>
        <x:v/>
      </x:c>
      <x:c r="U21" s="1262" t="str">
        <x:f t="shared" si="11"/>
        <x:v/>
      </x:c>
      <x:c r="V21" s="1261" t="str">
        <x:f t="shared" si="12"/>
        <x:v/>
      </x:c>
      <x:c r="W21" s="1262" t="str">
        <x:f t="shared" si="13"/>
        <x:v/>
      </x:c>
      <x:c r="X21" s="1329">
        <x:f t="shared" si="14"/>
        <x:v>0</x:v>
      </x:c>
      <x:c r="Y21" s="1377" t="str">
        <x:f t="shared" si="15"/>
        <x:v/>
      </x:c>
      <x:c r="Z21" s="1378" t="str">
        <x:f t="shared" si="16"/>
        <x:v/>
      </x:c>
      <x:c r="AA21" s="2159" t="s">
        <x:v>2156</x:v>
      </x:c>
      <x:c r="AC21" s="1226" t="b">
        <x:v>0</x:v>
      </x:c>
      <x:c r="AD21" s="525">
        <x:f t="shared" si="17"/>
        <x:v>0</x:v>
      </x:c>
      <x:c r="AE21" s="526">
        <x:f t="shared" si="18"/>
        <x:v>1</x:v>
      </x:c>
      <x:c r="AF21" s="526">
        <x:f t="shared" si="19"/>
        <x:v>0</x:v>
      </x:c>
      <x:c r="AG21" s="526">
        <x:f t="shared" si="20"/>
        <x:v>0</x:v>
      </x:c>
      <x:c r="AH21" s="527">
        <x:f t="shared" si="21"/>
        <x:v>0</x:v>
      </x:c>
      <x:c r="AI21" s="528" t="b">
        <x:v>0</x:v>
      </x:c>
      <x:c r="AJ21" s="284">
        <x:f t="shared" si="22"/>
        <x:v>36</x:v>
      </x:c>
      <x:c r="AK21" s="1063" t="str">
        <x:f t="shared" si="23"/>
        <x:v>LH</x:v>
      </x:c>
      <x:c r="AL21" s="1202" t="str">
        <x:f t="shared" si="24"/>
        <x:v/>
      </x:c>
      <x:c r="AM21" s="1063">
        <x:f t="shared" si="25"/>
        <x:v>270</x:v>
      </x:c>
      <x:c r="AN21" s="1063">
        <x:f t="shared" si="26"/>
        <x:v>120</x:v>
      </x:c>
      <x:c r="AO21" s="1063" t="str">
        <x:f t="shared" si="27"/>
        <x:v/>
      </x:c>
      <x:c r="AP21" s="1063" t="b">
        <x:f>IF(ISERROR(AJ21),FALSE,IF(OR(AJ21=0,ISERROR(AL21),ISERROR(AM21),ISERROR(AN21),ISERROR(AO21)),FALSE,IF(AL21&lt;&gt;"",IF(ISERROR(VLOOKUP(SUBSTITUTE(SUBSTITUTE(C21,"R",""),"A",""),TblJoistSize!$A:$A,1,FALSE)),FALSE,TRUE),TRUE)))</x:f>
        <x:v>1</x:v>
      </x:c>
      <x:c r="AQ21" s="1305">
        <x:f t="shared" si="28"/>
        <x:v>6</x:v>
      </x:c>
      <x:c r="AR21" s="1305" t="b">
        <x:f t="shared" si="29"/>
        <x:v>0</x:v>
      </x:c>
      <x:c r="AS21" s="1305">
        <x:f t="shared" si="30"/>
        <x:v>7.375</x:v>
      </x:c>
      <x:c r="AT21" s="1305" t="b">
        <x:f t="shared" si="31"/>
        <x:v>0</x:v>
      </x:c>
      <x:c r="AU21" s="1203" t="str">
        <x:f t="shared" si="32"/>
        <x:v>LH</x:v>
      </x:c>
      <x:c r="AV21" s="1063" t="str">
        <x:f t="shared" si="33"/>
        <x:v/>
      </x:c>
      <x:c r="AW21" s="1063" t="str">
        <x:f t="shared" si="34"/>
        <x:v>LH</x:v>
      </x:c>
      <x:c r="AX21" s="1063" t="str">
        <x:f t="shared" si="107"/>
        <x:v>J122</x:v>
      </x:c>
      <x:c r="AY21" s="1306" t="b">
        <x:f t="shared" si="35"/>
        <x:v>0</x:v>
      </x:c>
      <x:c r="AZ21" s="1090" t="b">
        <x:f t="shared" si="36"/>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7"/>
        <x:v/>
      </x:c>
      <x:c r="CE21" s="1812" t="str">
        <x:f t="shared" si="38"/>
        <x:v/>
      </x:c>
      <x:c r="CF21" s="1813"/>
      <x:c r="CG21" s="1814"/>
      <x:c r="CH21" s="738" t="str">
        <x:f t="shared" si="39"/>
        <x:v/>
      </x:c>
      <x:c r="CI21" s="739" t="str">
        <x:f t="shared" si="40"/>
        <x:v/>
      </x:c>
      <x:c r="CJ21" s="740" t="str">
        <x:f t="shared" si="41"/>
        <x:v/>
      </x:c>
      <x:c r="CK21" s="741" t="str">
        <x:f t="shared" si="42"/>
        <x:v/>
      </x:c>
      <x:c r="CL21" s="742" t="str">
        <x:f t="shared" si="43"/>
        <x:v/>
      </x:c>
      <x:c r="CM21" s="743" t="str">
        <x:f t="shared" si="44"/>
        <x:v/>
      </x:c>
      <x:c r="CN21" s="744" t="str">
        <x:f t="shared" si="45"/>
        <x:v/>
      </x:c>
      <x:c r="CO21" s="745" t="str">
        <x:f t="shared" si="46"/>
        <x:v/>
      </x:c>
      <x:c r="CP21" s="762" t="str">
        <x:f t="shared" si="47"/>
        <x:v/>
      </x:c>
      <x:c r="CQ21" s="763" t="str">
        <x:f t="shared" si="48"/>
        <x:v/>
      </x:c>
      <x:c r="CR21" s="953">
        <x:f t="shared" si="49"/>
        <x:v>5</x:v>
      </x:c>
      <x:c r="CS21" s="954">
        <x:f t="shared" si="50"/>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51"/>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52"/>
        <x:v>0</x:v>
      </x:c>
      <x:c r="DO21" s="1049">
        <x:f t="shared" si="53"/>
        <x:v>0</x:v>
      </x:c>
      <x:c r="DP21" s="1053" t="str">
        <x:f t="shared" si="54"/>
        <x:v/>
      </x:c>
      <x:c r="DQ21" s="1053" t="str">
        <x:f t="shared" si="55"/>
        <x:v/>
      </x:c>
      <x:c r="DR21" s="1053" t="str">
        <x:f t="shared" si="56"/>
        <x:v/>
      </x:c>
      <x:c r="DS21" s="1052">
        <x:f t="shared" si="57"/>
        <x:v>0</x:v>
      </x:c>
      <x:c r="DT21" s="1052">
        <x:f t="shared" si="58"/>
        <x:v>0</x:v>
      </x:c>
      <x:c r="DU21" s="1052" t="str">
        <x:f t="shared" si="59"/>
        <x:v/>
      </x:c>
      <x:c r="DV21" s="1053" t="str">
        <x:f t="shared" si="60"/>
        <x:v/>
      </x:c>
      <x:c r="DW21" s="1053" t="str">
        <x:f t="shared" si="61"/>
        <x:v/>
      </x:c>
      <x:c r="DX21" s="1269">
        <x:f t="shared" si="62"/>
        <x:v>0</x:v>
      </x:c>
      <x:c r="DY21" s="1053">
        <x:f t="shared" si="63"/>
        <x:v>0</x:v>
      </x:c>
      <x:c r="DZ21" s="1052">
        <x:f t="shared" si="64"/>
        <x:v>0</x:v>
      </x:c>
      <x:c r="EA21" s="1052" t="str">
        <x:f t="shared" si="65"/>
        <x:v/>
      </x:c>
      <x:c r="EB21" s="1053" t="str">
        <x:f t="shared" si="66"/>
        <x:v/>
      </x:c>
      <x:c r="EC21" s="1053" t="str">
        <x:f t="shared" si="67"/>
        <x:v/>
      </x:c>
      <x:c r="ED21" s="1269">
        <x:f t="shared" si="68"/>
        <x:v>0</x:v>
      </x:c>
      <x:c r="EE21" s="1090" t="str">
        <x:f t="shared" si="69"/>
        <x:v/>
      </x:c>
      <x:c r="EF21" s="1053" t="str">
        <x:f t="shared" si="70"/>
        <x:v/>
      </x:c>
      <x:c r="EG21" s="1053" t="str">
        <x:f t="shared" si="71"/>
        <x:v/>
      </x:c>
      <x:c r="EH21" s="1053" t="str">
        <x:f t="shared" si="72"/>
        <x:v>ERR</x:v>
      </x:c>
      <x:c r="EI21" s="1053" t="str">
        <x:f t="shared" si="73"/>
        <x:v>ERR</x:v>
      </x:c>
      <x:c r="EJ21" s="1053" t="str">
        <x:f t="shared" si="74"/>
        <x:v/>
      </x:c>
      <x:c r="EK21" s="1053" t="str">
        <x:f t="shared" si="74"/>
        <x:v/>
      </x:c>
      <x:c r="EL21" s="1090" t="str">
        <x:f t="shared" si="75"/>
        <x:v/>
      </x:c>
      <x:c r="EM21" s="1053" t="str">
        <x:f t="shared" si="76"/>
        <x:v/>
      </x:c>
      <x:c r="EN21" s="1053" t="str">
        <x:f t="shared" si="77"/>
        <x:v/>
      </x:c>
      <x:c r="EO21" s="1053" t="str">
        <x:f t="shared" si="78"/>
        <x:v>ERR</x:v>
      </x:c>
      <x:c r="EP21" s="1053" t="str">
        <x:f t="shared" si="79"/>
        <x:v>ERR</x:v>
      </x:c>
      <x:c r="EQ21" s="1053" t="str">
        <x:f t="shared" si="80"/>
        <x:v/>
      </x:c>
      <x:c r="ER21" s="1053" t="str">
        <x:f t="shared" si="80"/>
        <x:v/>
      </x:c>
      <x:c r="ES21" s="1053" t="str">
        <x:f t="shared" si="81"/>
        <x:v/>
      </x:c>
      <x:c r="ET21" s="1053" t="str">
        <x:f t="shared" si="82"/>
        <x:v/>
      </x:c>
      <x:c r="EU21" s="1061">
        <x:f t="shared" si="83"/>
        <x:v>4</x:v>
      </x:c>
      <x:c r="EV21" s="1055" t="str">
        <x:f t="shared" si="84"/>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5"/>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6"/>
        <x:v/>
      </x:c>
      <x:c r="FD21" s="1052">
        <x:f t="shared" si="108"/>
        <x:v>0</x:v>
      </x:c>
      <x:c r="FE21" s="1052">
        <x:f t="shared" si="87"/>
        <x:v>0</x:v>
      </x:c>
      <x:c r="FF21" s="1052">
        <x:f t="shared" si="88"/>
        <x:v>0</x:v>
      </x:c>
      <x:c r="FG21" s="1052" t="str">
        <x:f t="shared" si="89"/>
        <x:v/>
      </x:c>
      <x:c r="FH21" s="1053" t="str">
        <x:f t="shared" si="90"/>
        <x:v/>
      </x:c>
      <x:c r="FI21" s="1052">
        <x:f t="shared" si="109"/>
        <x:v>0</x:v>
      </x:c>
      <x:c r="FJ21" s="1052">
        <x:f t="shared" si="91"/>
        <x:v>0</x:v>
      </x:c>
      <x:c r="FK21" s="1052">
        <x:f t="shared" si="92"/>
        <x:v>0</x:v>
      </x:c>
      <x:c r="FL21" s="1052" t="str">
        <x:f t="shared" si="93"/>
        <x:v/>
      </x:c>
      <x:c r="FM21" s="1053" t="str">
        <x:f t="shared" si="94"/>
        <x:v/>
      </x:c>
      <x:c r="FN21" s="1053" t="e">
        <x:f t="shared" si="95"/>
        <x:v>#VALUE!</x:v>
      </x:c>
      <x:c r="FO21" s="1062" t="e">
        <x:f t="shared" si="96"/>
        <x:v>#VALUE!</x:v>
      </x:c>
      <x:c r="FP21" s="1062" t="e">
        <x:f t="shared" si="97"/>
        <x:v>#VALUE!</x:v>
      </x:c>
      <x:c r="FQ21" s="1063" t="e">
        <x:f t="shared" si="98"/>
        <x:v>#VALUE!</x:v>
      </x:c>
      <x:c r="FR21" s="1064" t="e">
        <x:f t="shared" si="99"/>
        <x:v>#VALUE!</x:v>
      </x:c>
      <x:c r="FS21" s="1065" t="str">
        <x:f t="shared" si="100"/>
        <x:v/>
      </x:c>
      <x:c r="FT21" s="1066" t="str">
        <x:f t="shared" si="101"/>
        <x:v/>
      </x:c>
      <x:c r="FU21" s="1105">
        <x:f t="shared" si="102"/>
        <x:v>0</x:v>
      </x:c>
      <x:c r="FV21" s="1106">
        <x:f t="shared" si="103"/>
        <x:v>0</x:v>
      </x:c>
      <x:c r="GA21" s="1975">
        <x:v>59</x:v>
      </x:c>
      <x:c r="GB21" s="1976">
        <x:v>2.75</x:v>
      </x:c>
      <x:c r="GC21" s="1977">
        <x:v>-1.875</x:v>
      </x:c>
      <x:c r="GD21" s="1978">
        <x:v>-0.25</x:v>
      </x:c>
      <x:c r="GE21" s="1979">
        <x:v>0.227928244811819</x:v>
      </x:c>
      <x:c r="GF21" s="1980" t="str">
        <x:f t="shared" si="104"/>
        <x:v>J122</x:v>
      </x:c>
      <x:c r="GG21" s="1453"/>
      <x:c r="GH21" s="1454"/>
      <x:c r="GI21" s="1453"/>
      <x:c r="GJ21" s="1454"/>
      <x:c r="GK21" s="533">
        <x:f t="shared" si="105"/>
        <x:v>708.625</x:v>
      </x:c>
      <x:c r="GL21" s="534">
        <x:f t="shared" si="106"/>
        <x:v>708.75281478960926</x:v>
      </x:c>
      <x:c r="GM21" s="535">
        <x:f>IF(ABS(GK21-GL21)&gt;='Job Info.'!$L$22,ABS(GK21-GL21),0)</x:f>
        <x:v>0</x:v>
      </x:c>
      <x:c r="HA21" s="1658" t="s">
        <x:v>1446</x:v>
      </x:c>
      <x:c r="HB21" s="1659">
        <x:v>1</x:v>
      </x:c>
      <x:c r="HC21" s="1659" t="s">
        <x:v>1978</x:v>
      </x:c>
      <x:c r="HD21" s="1660">
        <x:v>59</x:v>
      </x:c>
      <x:c r="HE21" s="1661">
        <x:v>0.625</x:v>
      </x:c>
      <x:c r="HF21" s="1659" t="s">
        <x:v>117</x:v>
      </x:c>
      <x:c r="HG21" s="1659" t="s">
        <x:v>117</x:v>
      </x:c>
      <x:c r="HH21" s="1659" t="s">
        <x:v>117</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2156</x:v>
      </x:c>
      <x:c r="IB21" s="1661"/>
      <x:c r="IC21" s="1661"/>
      <x:c r="ID21" s="1661"/>
      <x:c r="IE21" s="1661"/>
      <x:c r="IF21" s="1663"/>
    </x:row>
    <x:row r="22" spans="1:240" ht="12.6" customHeight="1" x14ac:dyDescent="0.25">
      <x:c r="A22" s="1264" t="s">
        <x:v>1447</x:v>
      </x:c>
      <x:c r="B22" s="1265">
        <x:v>2</x:v>
      </x:c>
      <x:c r="C22" s="1265" t="s">
        <x:v>1978</x:v>
      </x:c>
      <x:c r="D22" s="1261">
        <x:v>59</x:v>
      </x:c>
      <x:c r="E22" s="1366">
        <x:v>0.625</x:v>
      </x:c>
      <x:c r="F22" s="1328" t="str">
        <x:f t="shared" si="1"/>
        <x:v/>
      </x:c>
      <x:c r="G22" s="1262" t="str">
        <x:f t="shared" si="2"/>
        <x:v/>
      </x:c>
      <x:c r="H22" s="1266" t="str">
        <x:f t="shared" si="3"/>
        <x:v/>
      </x:c>
      <x:c r="I22" s="1261">
        <x:v>0</x:v>
      </x:c>
      <x:c r="J22" s="1262">
        <x:v>1.375</x:v>
      </x:c>
      <x:c r="K22" s="1370" t="s">
        <x:v>114</x:v>
      </x:c>
      <x:c r="L22" s="1327">
        <x:v>3</x:v>
      </x:c>
      <x:c r="M22" s="1329">
        <x:v>3</x:v>
      </x:c>
      <x:c r="N22" s="1263" t="str">
        <x:f t="shared" si="4"/>
        <x:v/>
      </x:c>
      <x:c r="O22" s="1262" t="str">
        <x:f t="shared" si="5"/>
        <x:v/>
      </x:c>
      <x:c r="P22" s="1260" t="str">
        <x:f t="shared" si="6"/>
        <x:v/>
      </x:c>
      <x:c r="Q22" s="1261" t="str">
        <x:f t="shared" si="7"/>
        <x:v/>
      </x:c>
      <x:c r="R22" s="1262" t="str">
        <x:f t="shared" si="8"/>
        <x:v/>
      </x:c>
      <x:c r="S22" s="1375" t="str">
        <x:f t="shared" si="9"/>
        <x:v/>
      </x:c>
      <x:c r="T22" s="1328" t="str">
        <x:f t="shared" si="10"/>
        <x:v/>
      </x:c>
      <x:c r="U22" s="1262" t="str">
        <x:f t="shared" si="11"/>
        <x:v/>
      </x:c>
      <x:c r="V22" s="1261" t="str">
        <x:f t="shared" si="12"/>
        <x:v/>
      </x:c>
      <x:c r="W22" s="1262" t="str">
        <x:f t="shared" si="13"/>
        <x:v/>
      </x:c>
      <x:c r="X22" s="1329">
        <x:f t="shared" si="14"/>
        <x:v>0</x:v>
      </x:c>
      <x:c r="Y22" s="1377" t="str">
        <x:f t="shared" si="15"/>
        <x:v/>
      </x:c>
      <x:c r="Z22" s="1378" t="str">
        <x:f t="shared" si="16"/>
        <x:v/>
      </x:c>
      <x:c r="AA22" s="2159" t="s">
        <x:v>2157</x:v>
      </x:c>
      <x:c r="AC22" s="1226" t="b">
        <x:v>0</x:v>
      </x:c>
      <x:c r="AD22" s="525">
        <x:f t="shared" si="17"/>
        <x:v>0</x:v>
      </x:c>
      <x:c r="AE22" s="526">
        <x:f t="shared" si="18"/>
        <x:v>2</x:v>
      </x:c>
      <x:c r="AF22" s="526">
        <x:f t="shared" si="19"/>
        <x:v>0</x:v>
      </x:c>
      <x:c r="AG22" s="526">
        <x:f t="shared" si="20"/>
        <x:v>0</x:v>
      </x:c>
      <x:c r="AH22" s="527">
        <x:f t="shared" si="21"/>
        <x:v>0</x:v>
      </x:c>
      <x:c r="AI22" s="528" t="b">
        <x:v>0</x:v>
      </x:c>
      <x:c r="AJ22" s="284">
        <x:f t="shared" si="22"/>
        <x:v>36</x:v>
      </x:c>
      <x:c r="AK22" s="1063" t="str">
        <x:f t="shared" si="23"/>
        <x:v>LH</x:v>
      </x:c>
      <x:c r="AL22" s="1202" t="str">
        <x:f t="shared" si="24"/>
        <x:v/>
      </x:c>
      <x:c r="AM22" s="1063">
        <x:f t="shared" si="25"/>
        <x:v>270</x:v>
      </x:c>
      <x:c r="AN22" s="1063">
        <x:f t="shared" si="26"/>
        <x:v>120</x:v>
      </x:c>
      <x:c r="AO22" s="1063" t="str">
        <x:f t="shared" si="27"/>
        <x:v/>
      </x:c>
      <x:c r="AP22" s="1063" t="b">
        <x:f>IF(ISERROR(AJ22),FALSE,IF(OR(AJ22=0,ISERROR(AL22),ISERROR(AM22),ISERROR(AN22),ISERROR(AO22)),FALSE,IF(AL22&lt;&gt;"",IF(ISERROR(VLOOKUP(SUBSTITUTE(SUBSTITUTE(C22,"R",""),"A",""),TblJoistSize!$A:$A,1,FALSE)),FALSE,TRUE),TRUE)))</x:f>
        <x:v>1</x:v>
      </x:c>
      <x:c r="AQ22" s="1305">
        <x:f t="shared" si="28"/>
        <x:v>6</x:v>
      </x:c>
      <x:c r="AR22" s="1305" t="b">
        <x:f t="shared" si="29"/>
        <x:v>0</x:v>
      </x:c>
      <x:c r="AS22" s="1305">
        <x:f t="shared" si="30"/>
        <x:v>7.375</x:v>
      </x:c>
      <x:c r="AT22" s="1305" t="b">
        <x:f t="shared" si="31"/>
        <x:v>0</x:v>
      </x:c>
      <x:c r="AU22" s="1203" t="str">
        <x:f t="shared" si="32"/>
        <x:v>LH</x:v>
      </x:c>
      <x:c r="AV22" s="1063" t="str">
        <x:f t="shared" si="33"/>
        <x:v/>
      </x:c>
      <x:c r="AW22" s="1063" t="str">
        <x:f t="shared" si="34"/>
        <x:v>LH</x:v>
      </x:c>
      <x:c r="AX22" s="1063" t="str">
        <x:f t="shared" si="107"/>
        <x:v>J123</x:v>
      </x:c>
      <x:c r="AY22" s="1306" t="b">
        <x:f t="shared" si="35"/>
        <x:v>0</x:v>
      </x:c>
      <x:c r="AZ22" s="1090" t="b">
        <x:f t="shared" si="36"/>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7"/>
        <x:v/>
      </x:c>
      <x:c r="CE22" s="935" t="str">
        <x:f t="shared" si="38"/>
        <x:v/>
      </x:c>
      <x:c r="CF22" s="1149"/>
      <x:c r="CG22" s="1150"/>
      <x:c r="CH22" s="738" t="str">
        <x:f t="shared" si="39"/>
        <x:v/>
      </x:c>
      <x:c r="CI22" s="739" t="str">
        <x:f t="shared" si="40"/>
        <x:v/>
      </x:c>
      <x:c r="CJ22" s="740" t="str">
        <x:f t="shared" si="41"/>
        <x:v/>
      </x:c>
      <x:c r="CK22" s="741" t="str">
        <x:f t="shared" si="42"/>
        <x:v/>
      </x:c>
      <x:c r="CL22" s="742" t="str">
        <x:f t="shared" si="43"/>
        <x:v/>
      </x:c>
      <x:c r="CM22" s="743" t="str">
        <x:f t="shared" si="44"/>
        <x:v/>
      </x:c>
      <x:c r="CN22" s="744" t="str">
        <x:f t="shared" si="45"/>
        <x:v/>
      </x:c>
      <x:c r="CO22" s="745" t="str">
        <x:f t="shared" si="46"/>
        <x:v/>
      </x:c>
      <x:c r="CP22" s="762" t="str">
        <x:f t="shared" si="47"/>
        <x:v/>
      </x:c>
      <x:c r="CQ22" s="763" t="str">
        <x:f t="shared" si="48"/>
        <x:v/>
      </x:c>
      <x:c r="CR22" s="953">
        <x:f t="shared" si="49"/>
        <x:v>5</x:v>
      </x:c>
      <x:c r="CS22" s="954">
        <x:f t="shared" si="50"/>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51"/>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52"/>
        <x:v>0</x:v>
      </x:c>
      <x:c r="DO22" s="1049">
        <x:f t="shared" si="53"/>
        <x:v>0</x:v>
      </x:c>
      <x:c r="DP22" s="1053" t="str">
        <x:f t="shared" si="54"/>
        <x:v/>
      </x:c>
      <x:c r="DQ22" s="1053" t="str">
        <x:f t="shared" si="55"/>
        <x:v/>
      </x:c>
      <x:c r="DR22" s="1053" t="str">
        <x:f t="shared" si="56"/>
        <x:v/>
      </x:c>
      <x:c r="DS22" s="1052">
        <x:f t="shared" si="57"/>
        <x:v>0</x:v>
      </x:c>
      <x:c r="DT22" s="1052">
        <x:f t="shared" si="58"/>
        <x:v>0</x:v>
      </x:c>
      <x:c r="DU22" s="1052" t="str">
        <x:f t="shared" si="59"/>
        <x:v/>
      </x:c>
      <x:c r="DV22" s="1053" t="str">
        <x:f t="shared" si="60"/>
        <x:v/>
      </x:c>
      <x:c r="DW22" s="1053" t="str">
        <x:f t="shared" si="61"/>
        <x:v/>
      </x:c>
      <x:c r="DX22" s="1269">
        <x:f t="shared" si="62"/>
        <x:v>0</x:v>
      </x:c>
      <x:c r="DY22" s="1053">
        <x:f t="shared" si="63"/>
        <x:v>0</x:v>
      </x:c>
      <x:c r="DZ22" s="1052">
        <x:f t="shared" si="64"/>
        <x:v>0</x:v>
      </x:c>
      <x:c r="EA22" s="1052" t="str">
        <x:f t="shared" si="65"/>
        <x:v/>
      </x:c>
      <x:c r="EB22" s="1053" t="str">
        <x:f t="shared" si="66"/>
        <x:v/>
      </x:c>
      <x:c r="EC22" s="1053" t="str">
        <x:f t="shared" si="67"/>
        <x:v/>
      </x:c>
      <x:c r="ED22" s="1269">
        <x:f t="shared" si="68"/>
        <x:v>0</x:v>
      </x:c>
      <x:c r="EE22" s="1090" t="str">
        <x:f t="shared" si="69"/>
        <x:v/>
      </x:c>
      <x:c r="EF22" s="1053" t="str">
        <x:f t="shared" si="70"/>
        <x:v/>
      </x:c>
      <x:c r="EG22" s="1053" t="str">
        <x:f t="shared" si="71"/>
        <x:v/>
      </x:c>
      <x:c r="EH22" s="1053" t="str">
        <x:f t="shared" si="72"/>
        <x:v>ERR</x:v>
      </x:c>
      <x:c r="EI22" s="1053" t="str">
        <x:f t="shared" si="73"/>
        <x:v>ERR</x:v>
      </x:c>
      <x:c r="EJ22" s="1053" t="str">
        <x:f t="shared" si="74"/>
        <x:v/>
      </x:c>
      <x:c r="EK22" s="1053" t="str">
        <x:f t="shared" si="74"/>
        <x:v/>
      </x:c>
      <x:c r="EL22" s="1090" t="str">
        <x:f t="shared" si="75"/>
        <x:v/>
      </x:c>
      <x:c r="EM22" s="1053" t="str">
        <x:f t="shared" si="76"/>
        <x:v/>
      </x:c>
      <x:c r="EN22" s="1053" t="str">
        <x:f t="shared" si="77"/>
        <x:v/>
      </x:c>
      <x:c r="EO22" s="1053" t="str">
        <x:f t="shared" si="78"/>
        <x:v>ERR</x:v>
      </x:c>
      <x:c r="EP22" s="1053" t="str">
        <x:f t="shared" si="79"/>
        <x:v>ERR</x:v>
      </x:c>
      <x:c r="EQ22" s="1053" t="str">
        <x:f t="shared" si="80"/>
        <x:v/>
      </x:c>
      <x:c r="ER22" s="1053" t="str">
        <x:f t="shared" si="80"/>
        <x:v/>
      </x:c>
      <x:c r="ES22" s="1053" t="str">
        <x:f t="shared" si="81"/>
        <x:v/>
      </x:c>
      <x:c r="ET22" s="1053" t="str">
        <x:f t="shared" si="82"/>
        <x:v/>
      </x:c>
      <x:c r="EU22" s="1061">
        <x:f t="shared" si="83"/>
        <x:v>4</x:v>
      </x:c>
      <x:c r="EV22" s="1055" t="str">
        <x:f t="shared" si="84"/>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5"/>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6"/>
        <x:v/>
      </x:c>
      <x:c r="FD22" s="1052">
        <x:f t="shared" si="108"/>
        <x:v>0</x:v>
      </x:c>
      <x:c r="FE22" s="1052">
        <x:f t="shared" si="87"/>
        <x:v>0</x:v>
      </x:c>
      <x:c r="FF22" s="1052">
        <x:f t="shared" si="88"/>
        <x:v>0</x:v>
      </x:c>
      <x:c r="FG22" s="1052" t="str">
        <x:f t="shared" si="89"/>
        <x:v/>
      </x:c>
      <x:c r="FH22" s="1053" t="str">
        <x:f t="shared" si="90"/>
        <x:v/>
      </x:c>
      <x:c r="FI22" s="1052">
        <x:f t="shared" si="109"/>
        <x:v>0</x:v>
      </x:c>
      <x:c r="FJ22" s="1052">
        <x:f t="shared" si="91"/>
        <x:v>0</x:v>
      </x:c>
      <x:c r="FK22" s="1052">
        <x:f t="shared" si="92"/>
        <x:v>0</x:v>
      </x:c>
      <x:c r="FL22" s="1052" t="str">
        <x:f t="shared" si="93"/>
        <x:v/>
      </x:c>
      <x:c r="FM22" s="1053" t="str">
        <x:f t="shared" si="94"/>
        <x:v/>
      </x:c>
      <x:c r="FN22" s="1053" t="e">
        <x:f t="shared" si="95"/>
        <x:v>#VALUE!</x:v>
      </x:c>
      <x:c r="FO22" s="1062" t="e">
        <x:f t="shared" si="96"/>
        <x:v>#VALUE!</x:v>
      </x:c>
      <x:c r="FP22" s="1062" t="e">
        <x:f t="shared" si="97"/>
        <x:v>#VALUE!</x:v>
      </x:c>
      <x:c r="FQ22" s="1063" t="e">
        <x:f t="shared" si="98"/>
        <x:v>#VALUE!</x:v>
      </x:c>
      <x:c r="FR22" s="1064" t="e">
        <x:f t="shared" si="99"/>
        <x:v>#VALUE!</x:v>
      </x:c>
      <x:c r="FS22" s="1065" t="str">
        <x:f t="shared" si="100"/>
        <x:v/>
      </x:c>
      <x:c r="FT22" s="1066" t="str">
        <x:f t="shared" si="101"/>
        <x:v/>
      </x:c>
      <x:c r="FU22" s="1105">
        <x:f t="shared" si="102"/>
        <x:v>0</x:v>
      </x:c>
      <x:c r="FV22" s="1106">
        <x:f t="shared" si="103"/>
        <x:v>0</x:v>
      </x:c>
      <x:c r="GA22" s="1975">
        <x:v>59</x:v>
      </x:c>
      <x:c r="GB22" s="1976">
        <x:v>2.75</x:v>
      </x:c>
      <x:c r="GC22" s="1977">
        <x:v>-1.875</x:v>
      </x:c>
      <x:c r="GD22" s="1978">
        <x:v>-0.25</x:v>
      </x:c>
      <x:c r="GE22" s="1979">
        <x:v>0.227928244811819</x:v>
      </x:c>
      <x:c r="GF22" s="1980" t="str">
        <x:f t="shared" si="104"/>
        <x:v>J123</x:v>
      </x:c>
      <x:c r="GG22" s="1453"/>
      <x:c r="GH22" s="1454"/>
      <x:c r="GI22" s="1453"/>
      <x:c r="GJ22" s="1454"/>
      <x:c r="GK22" s="533">
        <x:f t="shared" si="105"/>
        <x:v>708.625</x:v>
      </x:c>
      <x:c r="GL22" s="534">
        <x:f t="shared" si="106"/>
        <x:v>708.75281478960926</x:v>
      </x:c>
      <x:c r="GM22" s="535">
        <x:f>IF(ABS(GK22-GL22)&gt;='Job Info.'!$L$22,ABS(GK22-GL22),0)</x:f>
        <x:v>0</x:v>
      </x:c>
      <x:c r="HA22" s="1658" t="s">
        <x:v>1447</x:v>
      </x:c>
      <x:c r="HB22" s="1659">
        <x:v>2</x:v>
      </x:c>
      <x:c r="HC22" s="1659" t="s">
        <x:v>1978</x:v>
      </x:c>
      <x:c r="HD22" s="1660">
        <x:v>59</x:v>
      </x:c>
      <x:c r="HE22" s="1661">
        <x:v>0.625</x:v>
      </x:c>
      <x:c r="HF22" s="1659" t="s">
        <x:v>117</x:v>
      </x:c>
      <x:c r="HG22" s="1659" t="s">
        <x:v>117</x:v>
      </x:c>
      <x:c r="HH22" s="1659" t="s">
        <x:v>117</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t="s">
        <x:v>117</x:v>
      </x:c>
      <x:c r="HZ22" s="1661" t="s">
        <x:v>117</x:v>
      </x:c>
      <x:c r="IA22" s="1661" t="s">
        <x:v>2157</x:v>
      </x:c>
      <x:c r="IB22" s="1661"/>
      <x:c r="IC22" s="1661"/>
      <x:c r="ID22" s="1661"/>
      <x:c r="IE22" s="1661"/>
      <x:c r="IF22" s="1663"/>
    </x:row>
    <x:row r="23" spans="1:240" ht="12.6" customHeight="1" x14ac:dyDescent="0.25">
      <x:c r="A23" s="1264" t="s">
        <x:v>1448</x:v>
      </x:c>
      <x:c r="B23" s="1265">
        <x:v>38</x:v>
      </x:c>
      <x:c r="C23" s="1265" t="s">
        <x:v>1978</x:v>
      </x:c>
      <x:c r="D23" s="1261">
        <x:v>59</x:v>
      </x:c>
      <x:c r="E23" s="1366">
        <x:v>0.625</x:v>
      </x:c>
      <x:c r="F23" s="1328" t="str">
        <x:f t="shared" si="1"/>
        <x:v/>
      </x:c>
      <x:c r="G23" s="1262" t="str">
        <x:f t="shared" si="2"/>
        <x:v/>
      </x:c>
      <x:c r="H23" s="1266" t="str">
        <x:f t="shared" si="3"/>
        <x:v/>
      </x:c>
      <x:c r="I23" s="1261">
        <x:v>0</x:v>
      </x:c>
      <x:c r="J23" s="1262">
        <x:v>1.375</x:v>
      </x:c>
      <x:c r="K23" s="1370" t="s">
        <x:v>114</x:v>
      </x:c>
      <x:c r="L23" s="1327">
        <x:v>3</x:v>
      </x:c>
      <x:c r="M23" s="1329">
        <x:v>3</x:v>
      </x:c>
      <x:c r="N23" s="1263" t="str">
        <x:f t="shared" si="4"/>
        <x:v/>
      </x:c>
      <x:c r="O23" s="1262" t="str">
        <x:f t="shared" si="5"/>
        <x:v/>
      </x:c>
      <x:c r="P23" s="1260" t="str">
        <x:f t="shared" si="6"/>
        <x:v/>
      </x:c>
      <x:c r="Q23" s="1261" t="str">
        <x:f t="shared" si="7"/>
        <x:v/>
      </x:c>
      <x:c r="R23" s="1262" t="str">
        <x:f t="shared" si="8"/>
        <x:v/>
      </x:c>
      <x:c r="S23" s="1375" t="str">
        <x:f t="shared" si="9"/>
        <x:v/>
      </x:c>
      <x:c r="T23" s="1328" t="str">
        <x:f t="shared" si="10"/>
        <x:v/>
      </x:c>
      <x:c r="U23" s="1262" t="str">
        <x:f t="shared" si="11"/>
        <x:v/>
      </x:c>
      <x:c r="V23" s="1261" t="str">
        <x:f t="shared" si="12"/>
        <x:v/>
      </x:c>
      <x:c r="W23" s="1262" t="str">
        <x:f t="shared" si="13"/>
        <x:v/>
      </x:c>
      <x:c r="X23" s="1329">
        <x:f t="shared" si="14"/>
        <x:v>0</x:v>
      </x:c>
      <x:c r="Y23" s="1377" t="str">
        <x:f t="shared" si="15"/>
        <x:v/>
      </x:c>
      <x:c r="Z23" s="1378" t="str">
        <x:f t="shared" si="16"/>
        <x:v/>
      </x:c>
      <x:c r="AA23" s="2159" t="s">
        <x:v>2158</x:v>
      </x:c>
      <x:c r="AC23" s="1226" t="b">
        <x:v>0</x:v>
      </x:c>
      <x:c r="AD23" s="525">
        <x:f t="shared" si="17"/>
        <x:v>0</x:v>
      </x:c>
      <x:c r="AE23" s="526">
        <x:f t="shared" si="18"/>
        <x:v>38</x:v>
      </x:c>
      <x:c r="AF23" s="526">
        <x:f t="shared" si="19"/>
        <x:v>0</x:v>
      </x:c>
      <x:c r="AG23" s="526">
        <x:f t="shared" si="20"/>
        <x:v>0</x:v>
      </x:c>
      <x:c r="AH23" s="527">
        <x:f t="shared" si="21"/>
        <x:v>0</x:v>
      </x:c>
      <x:c r="AI23" s="528" t="b">
        <x:v>0</x:v>
      </x:c>
      <x:c r="AJ23" s="284">
        <x:f t="shared" si="22"/>
        <x:v>36</x:v>
      </x:c>
      <x:c r="AK23" s="1063" t="str">
        <x:f t="shared" si="23"/>
        <x:v>LH</x:v>
      </x:c>
      <x:c r="AL23" s="1202" t="str">
        <x:f t="shared" si="24"/>
        <x:v/>
      </x:c>
      <x:c r="AM23" s="1063">
        <x:f t="shared" si="25"/>
        <x:v>270</x:v>
      </x:c>
      <x:c r="AN23" s="1063">
        <x:f t="shared" si="26"/>
        <x:v>120</x:v>
      </x:c>
      <x:c r="AO23" s="1063" t="str">
        <x:f t="shared" si="27"/>
        <x:v/>
      </x:c>
      <x:c r="AP23" s="1063" t="b">
        <x:f>IF(ISERROR(AJ23),FALSE,IF(OR(AJ23=0,ISERROR(AL23),ISERROR(AM23),ISERROR(AN23),ISERROR(AO23)),FALSE,IF(AL23&lt;&gt;"",IF(ISERROR(VLOOKUP(SUBSTITUTE(SUBSTITUTE(C23,"R",""),"A",""),TblJoistSize!$A:$A,1,FALSE)),FALSE,TRUE),TRUE)))</x:f>
        <x:v>1</x:v>
      </x:c>
      <x:c r="AQ23" s="1305">
        <x:f t="shared" si="28"/>
        <x:v>6</x:v>
      </x:c>
      <x:c r="AR23" s="1305" t="b">
        <x:f t="shared" si="29"/>
        <x:v>0</x:v>
      </x:c>
      <x:c r="AS23" s="1305">
        <x:f t="shared" si="30"/>
        <x:v>7.375</x:v>
      </x:c>
      <x:c r="AT23" s="1305" t="b">
        <x:f t="shared" si="31"/>
        <x:v>0</x:v>
      </x:c>
      <x:c r="AU23" s="1203" t="str">
        <x:f t="shared" si="32"/>
        <x:v>LH</x:v>
      </x:c>
      <x:c r="AV23" s="1063" t="str">
        <x:f t="shared" si="33"/>
        <x:v/>
      </x:c>
      <x:c r="AW23" s="1063" t="str">
        <x:f t="shared" si="34"/>
        <x:v>LH</x:v>
      </x:c>
      <x:c r="AX23" s="1063" t="str">
        <x:f t="shared" si="107"/>
        <x:v>J124</x:v>
      </x:c>
      <x:c r="AY23" s="1306" t="b">
        <x:f t="shared" si="35"/>
        <x:v>0</x:v>
      </x:c>
      <x:c r="AZ23" s="1090" t="b">
        <x:f t="shared" si="36"/>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7"/>
        <x:v/>
      </x:c>
      <x:c r="CE23" s="935" t="str">
        <x:f t="shared" si="38"/>
        <x:v/>
      </x:c>
      <x:c r="CF23" s="1149"/>
      <x:c r="CG23" s="1150"/>
      <x:c r="CH23" s="738" t="str">
        <x:f t="shared" si="39"/>
        <x:v/>
      </x:c>
      <x:c r="CI23" s="739" t="str">
        <x:f t="shared" si="40"/>
        <x:v/>
      </x:c>
      <x:c r="CJ23" s="740" t="str">
        <x:f t="shared" si="41"/>
        <x:v/>
      </x:c>
      <x:c r="CK23" s="741" t="str">
        <x:f t="shared" si="42"/>
        <x:v/>
      </x:c>
      <x:c r="CL23" s="742" t="str">
        <x:f t="shared" si="43"/>
        <x:v/>
      </x:c>
      <x:c r="CM23" s="743" t="str">
        <x:f t="shared" si="44"/>
        <x:v/>
      </x:c>
      <x:c r="CN23" s="744" t="str">
        <x:f t="shared" si="45"/>
        <x:v/>
      </x:c>
      <x:c r="CO23" s="745" t="str">
        <x:f t="shared" si="46"/>
        <x:v/>
      </x:c>
      <x:c r="CP23" s="762" t="str">
        <x:f t="shared" si="47"/>
        <x:v/>
      </x:c>
      <x:c r="CQ23" s="763" t="str">
        <x:f t="shared" si="48"/>
        <x:v/>
      </x:c>
      <x:c r="CR23" s="953">
        <x:f t="shared" si="49"/>
        <x:v>5</x:v>
      </x:c>
      <x:c r="CS23" s="954">
        <x:f t="shared" si="50"/>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51"/>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52"/>
        <x:v>0</x:v>
      </x:c>
      <x:c r="DO23" s="1049">
        <x:f t="shared" si="53"/>
        <x:v>0</x:v>
      </x:c>
      <x:c r="DP23" s="1053" t="str">
        <x:f t="shared" si="54"/>
        <x:v/>
      </x:c>
      <x:c r="DQ23" s="1053" t="str">
        <x:f t="shared" si="55"/>
        <x:v/>
      </x:c>
      <x:c r="DR23" s="1053" t="str">
        <x:f t="shared" si="56"/>
        <x:v/>
      </x:c>
      <x:c r="DS23" s="1052">
        <x:f t="shared" si="57"/>
        <x:v>0</x:v>
      </x:c>
      <x:c r="DT23" s="1052">
        <x:f t="shared" si="58"/>
        <x:v>0</x:v>
      </x:c>
      <x:c r="DU23" s="1052" t="str">
        <x:f t="shared" si="59"/>
        <x:v/>
      </x:c>
      <x:c r="DV23" s="1053" t="str">
        <x:f t="shared" si="60"/>
        <x:v/>
      </x:c>
      <x:c r="DW23" s="1053" t="str">
        <x:f t="shared" si="61"/>
        <x:v/>
      </x:c>
      <x:c r="DX23" s="1269">
        <x:f t="shared" si="62"/>
        <x:v>0</x:v>
      </x:c>
      <x:c r="DY23" s="1053">
        <x:f t="shared" si="63"/>
        <x:v>0</x:v>
      </x:c>
      <x:c r="DZ23" s="1052">
        <x:f t="shared" si="64"/>
        <x:v>0</x:v>
      </x:c>
      <x:c r="EA23" s="1052" t="str">
        <x:f t="shared" si="65"/>
        <x:v/>
      </x:c>
      <x:c r="EB23" s="1053" t="str">
        <x:f t="shared" si="66"/>
        <x:v/>
      </x:c>
      <x:c r="EC23" s="1053" t="str">
        <x:f t="shared" si="67"/>
        <x:v/>
      </x:c>
      <x:c r="ED23" s="1269">
        <x:f t="shared" si="68"/>
        <x:v>0</x:v>
      </x:c>
      <x:c r="EE23" s="1090" t="str">
        <x:f t="shared" si="69"/>
        <x:v/>
      </x:c>
      <x:c r="EF23" s="1053" t="str">
        <x:f t="shared" si="70"/>
        <x:v/>
      </x:c>
      <x:c r="EG23" s="1053" t="str">
        <x:f t="shared" si="71"/>
        <x:v/>
      </x:c>
      <x:c r="EH23" s="1053" t="str">
        <x:f t="shared" si="72"/>
        <x:v>ERR</x:v>
      </x:c>
      <x:c r="EI23" s="1053" t="str">
        <x:f t="shared" si="73"/>
        <x:v>ERR</x:v>
      </x:c>
      <x:c r="EJ23" s="1053" t="str">
        <x:f t="shared" si="74"/>
        <x:v/>
      </x:c>
      <x:c r="EK23" s="1053" t="str">
        <x:f t="shared" si="74"/>
        <x:v/>
      </x:c>
      <x:c r="EL23" s="1090" t="str">
        <x:f t="shared" si="75"/>
        <x:v/>
      </x:c>
      <x:c r="EM23" s="1053" t="str">
        <x:f t="shared" si="76"/>
        <x:v/>
      </x:c>
      <x:c r="EN23" s="1053" t="str">
        <x:f t="shared" si="77"/>
        <x:v/>
      </x:c>
      <x:c r="EO23" s="1053" t="str">
        <x:f t="shared" si="78"/>
        <x:v>ERR</x:v>
      </x:c>
      <x:c r="EP23" s="1053" t="str">
        <x:f t="shared" si="79"/>
        <x:v>ERR</x:v>
      </x:c>
      <x:c r="EQ23" s="1053" t="str">
        <x:f t="shared" si="80"/>
        <x:v/>
      </x:c>
      <x:c r="ER23" s="1053" t="str">
        <x:f t="shared" si="80"/>
        <x:v/>
      </x:c>
      <x:c r="ES23" s="1053" t="str">
        <x:f t="shared" si="81"/>
        <x:v/>
      </x:c>
      <x:c r="ET23" s="1053" t="str">
        <x:f t="shared" si="82"/>
        <x:v/>
      </x:c>
      <x:c r="EU23" s="1061">
        <x:f t="shared" si="83"/>
        <x:v>4</x:v>
      </x:c>
      <x:c r="EV23" s="1055" t="str">
        <x:f t="shared" si="84"/>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5"/>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6"/>
        <x:v/>
      </x:c>
      <x:c r="FD23" s="1052">
        <x:f t="shared" si="108"/>
        <x:v>0</x:v>
      </x:c>
      <x:c r="FE23" s="1052">
        <x:f t="shared" si="87"/>
        <x:v>0</x:v>
      </x:c>
      <x:c r="FF23" s="1052">
        <x:f t="shared" si="88"/>
        <x:v>0</x:v>
      </x:c>
      <x:c r="FG23" s="1052" t="str">
        <x:f t="shared" si="89"/>
        <x:v/>
      </x:c>
      <x:c r="FH23" s="1053" t="str">
        <x:f t="shared" si="90"/>
        <x:v/>
      </x:c>
      <x:c r="FI23" s="1052">
        <x:f t="shared" si="109"/>
        <x:v>0</x:v>
      </x:c>
      <x:c r="FJ23" s="1052">
        <x:f t="shared" si="91"/>
        <x:v>0</x:v>
      </x:c>
      <x:c r="FK23" s="1052">
        <x:f t="shared" si="92"/>
        <x:v>0</x:v>
      </x:c>
      <x:c r="FL23" s="1052" t="str">
        <x:f t="shared" si="93"/>
        <x:v/>
      </x:c>
      <x:c r="FM23" s="1053" t="str">
        <x:f t="shared" si="94"/>
        <x:v/>
      </x:c>
      <x:c r="FN23" s="1053" t="e">
        <x:f t="shared" si="95"/>
        <x:v>#VALUE!</x:v>
      </x:c>
      <x:c r="FO23" s="1062" t="e">
        <x:f t="shared" si="96"/>
        <x:v>#VALUE!</x:v>
      </x:c>
      <x:c r="FP23" s="1062" t="e">
        <x:f t="shared" si="97"/>
        <x:v>#VALUE!</x:v>
      </x:c>
      <x:c r="FQ23" s="1063" t="e">
        <x:f t="shared" si="98"/>
        <x:v>#VALUE!</x:v>
      </x:c>
      <x:c r="FR23" s="1064" t="e">
        <x:f t="shared" si="99"/>
        <x:v>#VALUE!</x:v>
      </x:c>
      <x:c r="FS23" s="1065" t="str">
        <x:f t="shared" si="100"/>
        <x:v/>
      </x:c>
      <x:c r="FT23" s="1066" t="str">
        <x:f t="shared" si="101"/>
        <x:v/>
      </x:c>
      <x:c r="FU23" s="1105">
        <x:f t="shared" si="102"/>
        <x:v>0</x:v>
      </x:c>
      <x:c r="FV23" s="1106">
        <x:f t="shared" si="103"/>
        <x:v>0</x:v>
      </x:c>
      <x:c r="GA23" s="1975">
        <x:v>59</x:v>
      </x:c>
      <x:c r="GB23" s="1976">
        <x:v>2.75</x:v>
      </x:c>
      <x:c r="GC23" s="1977">
        <x:v>-1.875</x:v>
      </x:c>
      <x:c r="GD23" s="1978">
        <x:v>-0.25</x:v>
      </x:c>
      <x:c r="GE23" s="1979">
        <x:v>0.227928244811819</x:v>
      </x:c>
      <x:c r="GF23" s="1980" t="str">
        <x:f t="shared" si="104"/>
        <x:v>J124</x:v>
      </x:c>
      <x:c r="GG23" s="1453"/>
      <x:c r="GH23" s="1454"/>
      <x:c r="GI23" s="1453"/>
      <x:c r="GJ23" s="1454"/>
      <x:c r="GK23" s="533">
        <x:f t="shared" si="105"/>
        <x:v>708.625</x:v>
      </x:c>
      <x:c r="GL23" s="534">
        <x:f t="shared" si="106"/>
        <x:v>708.75281478960926</x:v>
      </x:c>
      <x:c r="GM23" s="535">
        <x:f>IF(ABS(GK23-GL23)&gt;='Job Info.'!$L$22,ABS(GK23-GL23),0)</x:f>
        <x:v>0</x:v>
      </x:c>
      <x:c r="HA23" s="1658" t="s">
        <x:v>1448</x:v>
      </x:c>
      <x:c r="HB23" s="1659">
        <x:v>38</x:v>
      </x:c>
      <x:c r="HC23" s="1659" t="s">
        <x:v>1978</x:v>
      </x:c>
      <x:c r="HD23" s="1660">
        <x:v>59</x:v>
      </x:c>
      <x:c r="HE23" s="1661">
        <x:v>0.625</x:v>
      </x:c>
      <x:c r="HF23" s="1659" t="s">
        <x:v>117</x:v>
      </x:c>
      <x:c r="HG23" s="1659" t="s">
        <x:v>117</x:v>
      </x:c>
      <x:c r="HH23" s="1659" t="s">
        <x:v>117</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2158</x:v>
      </x:c>
      <x:c r="IB23" s="1661"/>
      <x:c r="IC23" s="1661"/>
      <x:c r="ID23" s="1661"/>
      <x:c r="IE23" s="1661"/>
      <x:c r="IF23" s="1663"/>
    </x:row>
    <x:row r="24" spans="1:240" ht="12.6" customHeight="1" x14ac:dyDescent="0.25">
      <x:c r="A24" s="1264" t="s">
        <x:v>1449</x:v>
      </x:c>
      <x:c r="B24" s="1265">
        <x:v>6</x:v>
      </x:c>
      <x:c r="C24" s="1265" t="s">
        <x:v>1978</x:v>
      </x:c>
      <x:c r="D24" s="1261">
        <x:v>59</x:v>
      </x:c>
      <x:c r="E24" s="1366">
        <x:v>0.625</x:v>
      </x:c>
      <x:c r="F24" s="1328" t="str">
        <x:f t="shared" si="1"/>
        <x:v/>
      </x:c>
      <x:c r="G24" s="1262" t="str">
        <x:f t="shared" si="2"/>
        <x:v/>
      </x:c>
      <x:c r="H24" s="1266" t="str">
        <x:f t="shared" si="3"/>
        <x:v/>
      </x:c>
      <x:c r="I24" s="1261">
        <x:v>0</x:v>
      </x:c>
      <x:c r="J24" s="1262">
        <x:v>1.375</x:v>
      </x:c>
      <x:c r="K24" s="1370" t="s">
        <x:v>114</x:v>
      </x:c>
      <x:c r="L24" s="1327">
        <x:v>3</x:v>
      </x:c>
      <x:c r="M24" s="1329">
        <x:v>3</x:v>
      </x:c>
      <x:c r="N24" s="1263" t="str">
        <x:f t="shared" si="4"/>
        <x:v/>
      </x:c>
      <x:c r="O24" s="1262" t="str">
        <x:f t="shared" si="5"/>
        <x:v/>
      </x:c>
      <x:c r="P24" s="1260" t="str">
        <x:f t="shared" si="6"/>
        <x:v/>
      </x:c>
      <x:c r="Q24" s="1261" t="str">
        <x:f t="shared" si="7"/>
        <x:v/>
      </x:c>
      <x:c r="R24" s="1262" t="str">
        <x:f t="shared" si="8"/>
        <x:v/>
      </x:c>
      <x:c r="S24" s="1375" t="str">
        <x:f t="shared" si="9"/>
        <x:v/>
      </x:c>
      <x:c r="T24" s="1328">
        <x:v>0</x:v>
      </x:c>
      <x:c r="U24" s="1262">
        <x:v>1.125</x:v>
      </x:c>
      <x:c r="V24" s="1261">
        <x:v>0</x:v>
      </x:c>
      <x:c r="W24" s="1262">
        <x:v>2.25</x:v>
      </x:c>
      <x:c r="X24" s="1329">
        <x:v>4</x:v>
      </x:c>
      <x:c r="Y24" s="1377" t="str">
        <x:f t="shared" si="15"/>
        <x:v/>
      </x:c>
      <x:c r="Z24" s="1378" t="str">
        <x:f t="shared" si="16"/>
        <x:v/>
      </x:c>
      <x:c r="AA24" s="2159" t="s">
        <x:v>2158</x:v>
      </x:c>
      <x:c r="AC24" s="1226" t="b">
        <x:v>0</x:v>
      </x:c>
      <x:c r="AD24" s="525">
        <x:f t="shared" si="17"/>
        <x:v>0</x:v>
      </x:c>
      <x:c r="AE24" s="526">
        <x:f t="shared" si="18"/>
        <x:v>6</x:v>
      </x:c>
      <x:c r="AF24" s="526">
        <x:f t="shared" si="19"/>
        <x:v>0</x:v>
      </x:c>
      <x:c r="AG24" s="526">
        <x:f t="shared" si="20"/>
        <x:v>0</x:v>
      </x:c>
      <x:c r="AH24" s="527">
        <x:f t="shared" si="21"/>
        <x:v>0</x:v>
      </x:c>
      <x:c r="AI24" s="528" t="b">
        <x:v>0</x:v>
      </x:c>
      <x:c r="AJ24" s="284">
        <x:f t="shared" si="22"/>
        <x:v>36</x:v>
      </x:c>
      <x:c r="AK24" s="1063" t="str">
        <x:f t="shared" si="23"/>
        <x:v>LH</x:v>
      </x:c>
      <x:c r="AL24" s="1202" t="str">
        <x:f t="shared" si="24"/>
        <x:v/>
      </x:c>
      <x:c r="AM24" s="1063">
        <x:f t="shared" si="25"/>
        <x:v>270</x:v>
      </x:c>
      <x:c r="AN24" s="1063">
        <x:f t="shared" si="26"/>
        <x:v>120</x:v>
      </x:c>
      <x:c r="AO24" s="1063" t="str">
        <x:f t="shared" si="27"/>
        <x:v/>
      </x:c>
      <x:c r="AP24" s="1063" t="b">
        <x:f>IF(ISERROR(AJ24),FALSE,IF(OR(AJ24=0,ISERROR(AL24),ISERROR(AM24),ISERROR(AN24),ISERROR(AO24)),FALSE,IF(AL24&lt;&gt;"",IF(ISERROR(VLOOKUP(SUBSTITUTE(SUBSTITUTE(C24,"R",""),"A",""),TblJoistSize!$A:$A,1,FALSE)),FALSE,TRUE),TRUE)))</x:f>
        <x:v>1</x:v>
      </x:c>
      <x:c r="AQ24" s="1305">
        <x:f t="shared" si="28"/>
        <x:v>6</x:v>
      </x:c>
      <x:c r="AR24" s="1305" t="b">
        <x:f t="shared" si="29"/>
        <x:v>1</x:v>
      </x:c>
      <x:c r="AS24" s="1305">
        <x:f t="shared" si="30"/>
        <x:v>7.375</x:v>
      </x:c>
      <x:c r="AT24" s="1305" t="b">
        <x:f t="shared" si="31"/>
        <x:v>1</x:v>
      </x:c>
      <x:c r="AU24" s="1203" t="str">
        <x:f t="shared" si="32"/>
        <x:v>LH</x:v>
      </x:c>
      <x:c r="AV24" s="1063" t="str">
        <x:f t="shared" si="33"/>
        <x:v/>
      </x:c>
      <x:c r="AW24" s="1063" t="str">
        <x:f t="shared" si="34"/>
        <x:v>LH</x:v>
      </x:c>
      <x:c r="AX24" s="1063" t="str">
        <x:f t="shared" si="107"/>
        <x:v>TJ125</x:v>
      </x:c>
      <x:c r="AY24" s="1306" t="b">
        <x:f t="shared" si="35"/>
        <x:v>0</x:v>
      </x:c>
      <x:c r="AZ24" s="1090" t="b">
        <x:f t="shared" si="36"/>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7"/>
        <x:v/>
      </x:c>
      <x:c r="CE24" s="935" t="str">
        <x:f t="shared" si="38"/>
        <x:v/>
      </x:c>
      <x:c r="CF24" s="1149"/>
      <x:c r="CG24" s="1150"/>
      <x:c r="CH24" s="738" t="str">
        <x:f t="shared" si="39"/>
        <x:v/>
      </x:c>
      <x:c r="CI24" s="739" t="str">
        <x:f t="shared" si="40"/>
        <x:v/>
      </x:c>
      <x:c r="CJ24" s="740" t="str">
        <x:f t="shared" si="41"/>
        <x:v/>
      </x:c>
      <x:c r="CK24" s="741" t="str">
        <x:f t="shared" si="42"/>
        <x:v/>
      </x:c>
      <x:c r="CL24" s="742" t="str">
        <x:f t="shared" si="43"/>
        <x:v/>
      </x:c>
      <x:c r="CM24" s="743" t="str">
        <x:f t="shared" si="44"/>
        <x:v/>
      </x:c>
      <x:c r="CN24" s="744" t="str">
        <x:f t="shared" si="45"/>
        <x:v/>
      </x:c>
      <x:c r="CO24" s="745" t="str">
        <x:f t="shared" si="46"/>
        <x:v/>
      </x:c>
      <x:c r="CP24" s="762" t="str">
        <x:f t="shared" si="47"/>
        <x:v/>
      </x:c>
      <x:c r="CQ24" s="763" t="str">
        <x:f t="shared" si="48"/>
        <x:v/>
      </x:c>
      <x:c r="CR24" s="953">
        <x:f t="shared" si="49"/>
        <x:v>5</x:v>
      </x:c>
      <x:c r="CS24" s="954">
        <x:f t="shared" si="50"/>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51"/>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52"/>
        <x:v>0</x:v>
      </x:c>
      <x:c r="DO24" s="1049">
        <x:f t="shared" si="53"/>
        <x:v>0</x:v>
      </x:c>
      <x:c r="DP24" s="1053" t="str">
        <x:f t="shared" si="54"/>
        <x:v/>
      </x:c>
      <x:c r="DQ24" s="1053" t="str">
        <x:f t="shared" si="55"/>
        <x:v/>
      </x:c>
      <x:c r="DR24" s="1053" t="str">
        <x:f t="shared" si="56"/>
        <x:v/>
      </x:c>
      <x:c r="DS24" s="1052">
        <x:f t="shared" si="57"/>
        <x:v>0</x:v>
      </x:c>
      <x:c r="DT24" s="1052">
        <x:f t="shared" si="58"/>
        <x:v>0</x:v>
      </x:c>
      <x:c r="DU24" s="1052" t="str">
        <x:f t="shared" si="59"/>
        <x:v/>
      </x:c>
      <x:c r="DV24" s="1053" t="str">
        <x:f t="shared" si="60"/>
        <x:v/>
      </x:c>
      <x:c r="DW24" s="1053" t="str">
        <x:f t="shared" si="61"/>
        <x:v/>
      </x:c>
      <x:c r="DX24" s="1269">
        <x:f t="shared" si="62"/>
        <x:v>0</x:v>
      </x:c>
      <x:c r="DY24" s="1053">
        <x:f t="shared" si="63"/>
        <x:v>0</x:v>
      </x:c>
      <x:c r="DZ24" s="1052">
        <x:f t="shared" si="64"/>
        <x:v>0</x:v>
      </x:c>
      <x:c r="EA24" s="1052" t="str">
        <x:f t="shared" si="65"/>
        <x:v/>
      </x:c>
      <x:c r="EB24" s="1053" t="str">
        <x:f t="shared" si="66"/>
        <x:v/>
      </x:c>
      <x:c r="EC24" s="1053" t="str">
        <x:f t="shared" si="67"/>
        <x:v/>
      </x:c>
      <x:c r="ED24" s="1269">
        <x:f t="shared" si="68"/>
        <x:v>0</x:v>
      </x:c>
      <x:c r="EE24" s="1090" t="str">
        <x:f t="shared" si="69"/>
        <x:v/>
      </x:c>
      <x:c r="EF24" s="1053" t="str">
        <x:f t="shared" si="70"/>
        <x:v/>
      </x:c>
      <x:c r="EG24" s="1053" t="str">
        <x:f t="shared" si="71"/>
        <x:v/>
      </x:c>
      <x:c r="EH24" s="1053" t="str">
        <x:f t="shared" si="72"/>
        <x:v>ERR</x:v>
      </x:c>
      <x:c r="EI24" s="1053" t="str">
        <x:f t="shared" si="73"/>
        <x:v>ERR</x:v>
      </x:c>
      <x:c r="EJ24" s="1053" t="str">
        <x:f t="shared" si="74"/>
        <x:v/>
      </x:c>
      <x:c r="EK24" s="1053" t="str">
        <x:f t="shared" si="74"/>
        <x:v/>
      </x:c>
      <x:c r="EL24" s="1090" t="str">
        <x:f t="shared" si="75"/>
        <x:v/>
      </x:c>
      <x:c r="EM24" s="1053" t="str">
        <x:f t="shared" si="76"/>
        <x:v/>
      </x:c>
      <x:c r="EN24" s="1053" t="str">
        <x:f t="shared" si="77"/>
        <x:v/>
      </x:c>
      <x:c r="EO24" s="1053" t="str">
        <x:f t="shared" si="78"/>
        <x:v>ERR</x:v>
      </x:c>
      <x:c r="EP24" s="1053" t="str">
        <x:f t="shared" si="79"/>
        <x:v>ERR</x:v>
      </x:c>
      <x:c r="EQ24" s="1053" t="str">
        <x:f t="shared" si="80"/>
        <x:v/>
      </x:c>
      <x:c r="ER24" s="1053" t="str">
        <x:f t="shared" si="80"/>
        <x:v/>
      </x:c>
      <x:c r="ES24" s="1053" t="str">
        <x:f t="shared" si="81"/>
        <x:v/>
      </x:c>
      <x:c r="ET24" s="1053" t="str">
        <x:f t="shared" si="82"/>
        <x:v/>
      </x:c>
      <x:c r="EU24" s="1061">
        <x:f t="shared" si="83"/>
        <x:v>4</x:v>
      </x:c>
      <x:c r="EV24" s="1055" t="str">
        <x:f t="shared" si="84"/>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5"/>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6"/>
        <x:v/>
      </x:c>
      <x:c r="FD24" s="1052">
        <x:f t="shared" si="108"/>
        <x:v>0</x:v>
      </x:c>
      <x:c r="FE24" s="1052">
        <x:f t="shared" si="87"/>
        <x:v>0</x:v>
      </x:c>
      <x:c r="FF24" s="1052">
        <x:f t="shared" si="88"/>
        <x:v>0</x:v>
      </x:c>
      <x:c r="FG24" s="1052" t="str">
        <x:f t="shared" si="89"/>
        <x:v/>
      </x:c>
      <x:c r="FH24" s="1053" t="str">
        <x:f t="shared" si="90"/>
        <x:v/>
      </x:c>
      <x:c r="FI24" s="1052">
        <x:f t="shared" si="109"/>
        <x:v>0</x:v>
      </x:c>
      <x:c r="FJ24" s="1052">
        <x:f t="shared" si="91"/>
        <x:v>0</x:v>
      </x:c>
      <x:c r="FK24" s="1052">
        <x:f t="shared" si="92"/>
        <x:v>0</x:v>
      </x:c>
      <x:c r="FL24" s="1052" t="str">
        <x:f t="shared" si="93"/>
        <x:v/>
      </x:c>
      <x:c r="FM24" s="1053" t="str">
        <x:f t="shared" si="94"/>
        <x:v/>
      </x:c>
      <x:c r="FN24" s="1053" t="e">
        <x:f t="shared" si="95"/>
        <x:v>#VALUE!</x:v>
      </x:c>
      <x:c r="FO24" s="1062" t="e">
        <x:f t="shared" si="96"/>
        <x:v>#VALUE!</x:v>
      </x:c>
      <x:c r="FP24" s="1062" t="e">
        <x:f t="shared" si="97"/>
        <x:v>#VALUE!</x:v>
      </x:c>
      <x:c r="FQ24" s="1063" t="e">
        <x:f t="shared" si="98"/>
        <x:v>#VALUE!</x:v>
      </x:c>
      <x:c r="FR24" s="1064" t="e">
        <x:f t="shared" si="99"/>
        <x:v>#VALUE!</x:v>
      </x:c>
      <x:c r="FS24" s="1065" t="str">
        <x:f t="shared" si="100"/>
        <x:v/>
      </x:c>
      <x:c r="FT24" s="1066" t="str">
        <x:f t="shared" si="101"/>
        <x:v/>
      </x:c>
      <x:c r="FU24" s="1105">
        <x:f t="shared" si="102"/>
        <x:v>0</x:v>
      </x:c>
      <x:c r="FV24" s="1106">
        <x:f t="shared" si="103"/>
        <x:v>0</x:v>
      </x:c>
      <x:c r="GA24" s="1975">
        <x:v>59</x:v>
      </x:c>
      <x:c r="GB24" s="1976">
        <x:v>2.75</x:v>
      </x:c>
      <x:c r="GC24" s="1977">
        <x:v>-1.875</x:v>
      </x:c>
      <x:c r="GD24" s="1978">
        <x:v>-0.25</x:v>
      </x:c>
      <x:c r="GE24" s="1979">
        <x:v>0.227928244811819</x:v>
      </x:c>
      <x:c r="GF24" s="1980" t="str">
        <x:f t="shared" si="104"/>
        <x:v>TJ125</x:v>
      </x:c>
      <x:c r="GG24" s="1453"/>
      <x:c r="GH24" s="1454"/>
      <x:c r="GI24" s="1453"/>
      <x:c r="GJ24" s="1454"/>
      <x:c r="GK24" s="533">
        <x:f t="shared" si="105"/>
        <x:v>708.625</x:v>
      </x:c>
      <x:c r="GL24" s="534">
        <x:f t="shared" si="106"/>
        <x:v>708.75281478960926</x:v>
      </x:c>
      <x:c r="GM24" s="535">
        <x:f>IF(ABS(GK24-GL24)&gt;='Job Info.'!$L$22,ABS(GK24-GL24),0)</x:f>
        <x:v>0</x:v>
      </x:c>
      <x:c r="HA24" s="1658" t="s">
        <x:v>1449</x:v>
      </x:c>
      <x:c r="HB24" s="1659">
        <x:v>6</x:v>
      </x:c>
      <x:c r="HC24" s="1659" t="s">
        <x:v>1978</x:v>
      </x:c>
      <x:c r="HD24" s="1660">
        <x:v>59</x:v>
      </x:c>
      <x:c r="HE24" s="1661">
        <x:v>0.625</x:v>
      </x:c>
      <x:c r="HF24" s="1659" t="s">
        <x:v>117</x:v>
      </x:c>
      <x:c r="HG24" s="1659" t="s">
        <x:v>117</x:v>
      </x:c>
      <x:c r="HH24" s="1659" t="s">
        <x:v>117</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x:v>0</x:v>
      </x:c>
      <x:c r="HU24" s="1659">
        <x:v>1.125</x:v>
      </x:c>
      <x:c r="HV24" s="1659">
        <x:v>0</x:v>
      </x:c>
      <x:c r="HW24" s="1661">
        <x:v>2.25</x:v>
      </x:c>
      <x:c r="HX24" s="1661">
        <x:v>4</x:v>
      </x:c>
      <x:c r="HY24" s="1661" t="s">
        <x:v>117</x:v>
      </x:c>
      <x:c r="HZ24" s="1661" t="s">
        <x:v>117</x:v>
      </x:c>
      <x:c r="IA24" s="1661" t="s">
        <x:v>2158</x:v>
      </x:c>
      <x:c r="IB24" s="1661"/>
      <x:c r="IC24" s="1661"/>
      <x:c r="ID24" s="1661"/>
      <x:c r="IE24" s="1661"/>
      <x:c r="IF24" s="1663"/>
    </x:row>
    <x:row r="25" spans="1:240" ht="12.6" customHeight="1" x14ac:dyDescent="0.25">
      <x:c r="A25" s="1264" t="s">
        <x:v>1450</x:v>
      </x:c>
      <x:c r="B25" s="1265">
        <x:v>3</x:v>
      </x:c>
      <x:c r="C25" s="1265" t="s">
        <x:v>1978</x:v>
      </x:c>
      <x:c r="D25" s="1261">
        <x:v>58</x:v>
      </x:c>
      <x:c r="E25" s="1366">
        <x:v>11.875</x:v>
      </x:c>
      <x:c r="F25" s="1328" t="str">
        <x:f t="shared" si="1"/>
        <x:v/>
      </x:c>
      <x:c r="G25" s="1262" t="str">
        <x:f t="shared" si="2"/>
        <x:v/>
      </x:c>
      <x:c r="H25" s="1266" t="str">
        <x:f t="shared" si="3"/>
        <x:v/>
      </x:c>
      <x:c r="I25" s="1261">
        <x:v>0</x:v>
      </x:c>
      <x:c r="J25" s="1262">
        <x:v>0.625</x:v>
      </x:c>
      <x:c r="K25" s="1370" t="s">
        <x:v>114</x:v>
      </x:c>
      <x:c r="L25" s="1327">
        <x:v>3</x:v>
      </x:c>
      <x:c r="M25" s="1329">
        <x:v>3</x:v>
      </x:c>
      <x:c r="N25" s="1263" t="str">
        <x:f t="shared" si="4"/>
        <x:v/>
      </x:c>
      <x:c r="O25" s="1262" t="str">
        <x:f t="shared" si="5"/>
        <x:v/>
      </x:c>
      <x:c r="P25" s="1260" t="str">
        <x:f t="shared" si="6"/>
        <x:v/>
      </x:c>
      <x:c r="Q25" s="1261">
        <x:v>0</x:v>
      </x:c>
      <x:c r="R25" s="1262">
        <x:v>6.625</x:v>
      </x:c>
      <x:c r="S25" s="1375">
        <x:v>2</x:v>
      </x:c>
      <x:c r="T25" s="1328">
        <x:v>0</x:v>
      </x:c>
      <x:c r="U25" s="1262">
        <x:v>1.125</x:v>
      </x:c>
      <x:c r="V25" s="1261">
        <x:v>0</x:v>
      </x:c>
      <x:c r="W25" s="1262">
        <x:v>1.5</x:v>
      </x:c>
      <x:c r="X25" s="1329">
        <x:v>4</x:v>
      </x:c>
      <x:c r="Y25" s="1377" t="str">
        <x:f t="shared" si="15"/>
        <x:v/>
      </x:c>
      <x:c r="Z25" s="1378" t="str">
        <x:f t="shared" si="16"/>
        <x:v/>
      </x:c>
      <x:c r="AA25" s="2159" t="s">
        <x:v>2158</x:v>
      </x:c>
      <x:c r="AC25" s="1226" t="b">
        <x:v>0</x:v>
      </x:c>
      <x:c r="AD25" s="525">
        <x:f t="shared" si="17"/>
        <x:v>0</x:v>
      </x:c>
      <x:c r="AE25" s="526">
        <x:f t="shared" si="18"/>
        <x:v>3</x:v>
      </x:c>
      <x:c r="AF25" s="526">
        <x:f t="shared" si="19"/>
        <x:v>0</x:v>
      </x:c>
      <x:c r="AG25" s="526">
        <x:f t="shared" si="20"/>
        <x:v>0</x:v>
      </x:c>
      <x:c r="AH25" s="527">
        <x:f t="shared" si="21"/>
        <x:v>0</x:v>
      </x:c>
      <x:c r="AI25" s="528" t="b">
        <x:v>0</x:v>
      </x:c>
      <x:c r="AJ25" s="284">
        <x:f t="shared" si="22"/>
        <x:v>36</x:v>
      </x:c>
      <x:c r="AK25" s="1063" t="str">
        <x:f t="shared" si="23"/>
        <x:v>LH</x:v>
      </x:c>
      <x:c r="AL25" s="1202" t="str">
        <x:f t="shared" si="24"/>
        <x:v/>
      </x:c>
      <x:c r="AM25" s="1063">
        <x:f t="shared" si="25"/>
        <x:v>270</x:v>
      </x:c>
      <x:c r="AN25" s="1063">
        <x:f t="shared" si="26"/>
        <x:v>120</x:v>
      </x:c>
      <x:c r="AO25" s="1063" t="str">
        <x:f t="shared" si="27"/>
        <x:v/>
      </x:c>
      <x:c r="AP25" s="1063" t="b">
        <x:f>IF(ISERROR(AJ25),FALSE,IF(OR(AJ25=0,ISERROR(AL25),ISERROR(AM25),ISERROR(AN25),ISERROR(AO25)),FALSE,IF(AL25&lt;&gt;"",IF(ISERROR(VLOOKUP(SUBSTITUTE(SUBSTITUTE(C25,"R",""),"A",""),TblJoistSize!$A:$A,1,FALSE)),FALSE,TRUE),TRUE)))</x:f>
        <x:v>1</x:v>
      </x:c>
      <x:c r="AQ25" s="1305">
        <x:f t="shared" si="28"/>
        <x:v>6</x:v>
      </x:c>
      <x:c r="AR25" s="1305" t="b">
        <x:f t="shared" si="29"/>
        <x:v>1</x:v>
      </x:c>
      <x:c r="AS25" s="1305">
        <x:f t="shared" si="30"/>
        <x:v>6.625</x:v>
      </x:c>
      <x:c r="AT25" s="1305" t="b">
        <x:f t="shared" si="31"/>
        <x:v>1</x:v>
      </x:c>
      <x:c r="AU25" s="1203" t="str">
        <x:f t="shared" si="32"/>
        <x:v>LH</x:v>
      </x:c>
      <x:c r="AV25" s="1063" t="str">
        <x:f t="shared" si="33"/>
        <x:v/>
      </x:c>
      <x:c r="AW25" s="1063" t="str">
        <x:f t="shared" si="34"/>
        <x:v>LH</x:v>
      </x:c>
      <x:c r="AX25" s="1063" t="str">
        <x:f t="shared" si="107"/>
        <x:v>TJ126</x:v>
      </x:c>
      <x:c r="AY25" s="1306" t="b">
        <x:f t="shared" si="35"/>
        <x:v>0</x:v>
      </x:c>
      <x:c r="AZ25" s="1090" t="b">
        <x:f t="shared" si="36"/>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7"/>
        <x:v/>
      </x:c>
      <x:c r="CE25" s="935" t="str">
        <x:f t="shared" si="38"/>
        <x:v/>
      </x:c>
      <x:c r="CF25" s="1149"/>
      <x:c r="CG25" s="1150"/>
      <x:c r="CH25" s="738" t="str">
        <x:f t="shared" si="39"/>
        <x:v/>
      </x:c>
      <x:c r="CI25" s="739" t="str">
        <x:f t="shared" si="40"/>
        <x:v/>
      </x:c>
      <x:c r="CJ25" s="740" t="str">
        <x:f t="shared" si="41"/>
        <x:v/>
      </x:c>
      <x:c r="CK25" s="741" t="str">
        <x:f t="shared" si="42"/>
        <x:v/>
      </x:c>
      <x:c r="CL25" s="742" t="str">
        <x:f t="shared" si="43"/>
        <x:v/>
      </x:c>
      <x:c r="CM25" s="743" t="str">
        <x:f t="shared" si="44"/>
        <x:v/>
      </x:c>
      <x:c r="CN25" s="744" t="str">
        <x:f t="shared" si="45"/>
        <x:v/>
      </x:c>
      <x:c r="CO25" s="745" t="str">
        <x:f t="shared" si="46"/>
        <x:v/>
      </x:c>
      <x:c r="CP25" s="762" t="str">
        <x:f t="shared" si="47"/>
        <x:v/>
      </x:c>
      <x:c r="CQ25" s="763" t="str">
        <x:f t="shared" si="48"/>
        <x:v/>
      </x:c>
      <x:c r="CR25" s="953">
        <x:f t="shared" si="49"/>
        <x:v>5</x:v>
      </x:c>
      <x:c r="CS25" s="954">
        <x:f t="shared" si="50"/>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51"/>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52"/>
        <x:v>0</x:v>
      </x:c>
      <x:c r="DO25" s="1049">
        <x:f t="shared" si="53"/>
        <x:v>0</x:v>
      </x:c>
      <x:c r="DP25" s="1053" t="str">
        <x:f t="shared" si="54"/>
        <x:v/>
      </x:c>
      <x:c r="DQ25" s="1053" t="str">
        <x:f t="shared" si="55"/>
        <x:v/>
      </x:c>
      <x:c r="DR25" s="1053" t="str">
        <x:f t="shared" si="56"/>
        <x:v/>
      </x:c>
      <x:c r="DS25" s="1052">
        <x:f t="shared" si="57"/>
        <x:v>0</x:v>
      </x:c>
      <x:c r="DT25" s="1052">
        <x:f t="shared" si="58"/>
        <x:v>0</x:v>
      </x:c>
      <x:c r="DU25" s="1052" t="str">
        <x:f t="shared" si="59"/>
        <x:v/>
      </x:c>
      <x:c r="DV25" s="1053" t="str">
        <x:f t="shared" si="60"/>
        <x:v/>
      </x:c>
      <x:c r="DW25" s="1053" t="str">
        <x:f t="shared" si="61"/>
        <x:v/>
      </x:c>
      <x:c r="DX25" s="1269">
        <x:f t="shared" si="62"/>
        <x:v>0</x:v>
      </x:c>
      <x:c r="DY25" s="1053">
        <x:f t="shared" si="63"/>
        <x:v>0</x:v>
      </x:c>
      <x:c r="DZ25" s="1052">
        <x:f t="shared" si="64"/>
        <x:v>0</x:v>
      </x:c>
      <x:c r="EA25" s="1052" t="str">
        <x:f t="shared" si="65"/>
        <x:v/>
      </x:c>
      <x:c r="EB25" s="1053" t="str">
        <x:f t="shared" si="66"/>
        <x:v/>
      </x:c>
      <x:c r="EC25" s="1053" t="str">
        <x:f t="shared" si="67"/>
        <x:v/>
      </x:c>
      <x:c r="ED25" s="1269">
        <x:f t="shared" si="68"/>
        <x:v>0</x:v>
      </x:c>
      <x:c r="EE25" s="1090" t="str">
        <x:f t="shared" si="69"/>
        <x:v/>
      </x:c>
      <x:c r="EF25" s="1053" t="str">
        <x:f t="shared" si="70"/>
        <x:v/>
      </x:c>
      <x:c r="EG25" s="1053" t="str">
        <x:f t="shared" si="71"/>
        <x:v/>
      </x:c>
      <x:c r="EH25" s="1053" t="str">
        <x:f t="shared" si="72"/>
        <x:v>ERR</x:v>
      </x:c>
      <x:c r="EI25" s="1053" t="str">
        <x:f t="shared" si="73"/>
        <x:v>ERR</x:v>
      </x:c>
      <x:c r="EJ25" s="1053" t="str">
        <x:f t="shared" si="74"/>
        <x:v/>
      </x:c>
      <x:c r="EK25" s="1053" t="str">
        <x:f t="shared" si="74"/>
        <x:v/>
      </x:c>
      <x:c r="EL25" s="1090" t="str">
        <x:f t="shared" si="75"/>
        <x:v/>
      </x:c>
      <x:c r="EM25" s="1053" t="str">
        <x:f t="shared" si="76"/>
        <x:v/>
      </x:c>
      <x:c r="EN25" s="1053" t="str">
        <x:f t="shared" si="77"/>
        <x:v/>
      </x:c>
      <x:c r="EO25" s="1053" t="str">
        <x:f t="shared" si="78"/>
        <x:v>ERR</x:v>
      </x:c>
      <x:c r="EP25" s="1053" t="str">
        <x:f t="shared" si="79"/>
        <x:v>ERR</x:v>
      </x:c>
      <x:c r="EQ25" s="1053" t="str">
        <x:f t="shared" si="80"/>
        <x:v/>
      </x:c>
      <x:c r="ER25" s="1053" t="str">
        <x:f t="shared" si="80"/>
        <x:v/>
      </x:c>
      <x:c r="ES25" s="1053" t="str">
        <x:f t="shared" si="81"/>
        <x:v/>
      </x:c>
      <x:c r="ET25" s="1053" t="str">
        <x:f t="shared" si="82"/>
        <x:v/>
      </x:c>
      <x:c r="EU25" s="1061">
        <x:f t="shared" si="83"/>
        <x:v>4</x:v>
      </x:c>
      <x:c r="EV25" s="1055" t="str">
        <x:f t="shared" si="84"/>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5"/>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6"/>
        <x:v/>
      </x:c>
      <x:c r="FD25" s="1052">
        <x:f t="shared" si="108"/>
        <x:v>0</x:v>
      </x:c>
      <x:c r="FE25" s="1052">
        <x:f t="shared" si="87"/>
        <x:v>0</x:v>
      </x:c>
      <x:c r="FF25" s="1052">
        <x:f t="shared" si="88"/>
        <x:v>0</x:v>
      </x:c>
      <x:c r="FG25" s="1052" t="str">
        <x:f t="shared" si="89"/>
        <x:v/>
      </x:c>
      <x:c r="FH25" s="1053" t="str">
        <x:f t="shared" si="90"/>
        <x:v/>
      </x:c>
      <x:c r="FI25" s="1052">
        <x:f t="shared" si="109"/>
        <x:v>0</x:v>
      </x:c>
      <x:c r="FJ25" s="1052">
        <x:f t="shared" si="91"/>
        <x:v>0</x:v>
      </x:c>
      <x:c r="FK25" s="1052">
        <x:f t="shared" si="92"/>
        <x:v>0</x:v>
      </x:c>
      <x:c r="FL25" s="1052" t="str">
        <x:f t="shared" si="93"/>
        <x:v/>
      </x:c>
      <x:c r="FM25" s="1053" t="str">
        <x:f t="shared" si="94"/>
        <x:v/>
      </x:c>
      <x:c r="FN25" s="1053" t="e">
        <x:f t="shared" si="95"/>
        <x:v>#VALUE!</x:v>
      </x:c>
      <x:c r="FO25" s="1062" t="e">
        <x:f t="shared" si="96"/>
        <x:v>#VALUE!</x:v>
      </x:c>
      <x:c r="FP25" s="1062" t="e">
        <x:f t="shared" si="97"/>
        <x:v>#VALUE!</x:v>
      </x:c>
      <x:c r="FQ25" s="1063" t="e">
        <x:f t="shared" si="98"/>
        <x:v>#VALUE!</x:v>
      </x:c>
      <x:c r="FR25" s="1064" t="e">
        <x:f t="shared" si="99"/>
        <x:v>#VALUE!</x:v>
      </x:c>
      <x:c r="FS25" s="1065" t="str">
        <x:f t="shared" si="100"/>
        <x:v/>
      </x:c>
      <x:c r="FT25" s="1066" t="str">
        <x:f t="shared" si="101"/>
        <x:v/>
      </x:c>
      <x:c r="FU25" s="1105">
        <x:f t="shared" si="102"/>
        <x:v>0</x:v>
      </x:c>
      <x:c r="FV25" s="1106">
        <x:f t="shared" si="103"/>
        <x:v>0</x:v>
      </x:c>
      <x:c r="GA25" s="1975">
        <x:v>59</x:v>
      </x:c>
      <x:c r="GB25" s="1976">
        <x:v>2.75</x:v>
      </x:c>
      <x:c r="GC25" s="1977">
        <x:v>-1.875</x:v>
      </x:c>
      <x:c r="GD25" s="1978">
        <x:v>-1</x:v>
      </x:c>
      <x:c r="GE25" s="1979">
        <x:v>0.227928244811819</x:v>
      </x:c>
      <x:c r="GF25" s="1980" t="str">
        <x:f t="shared" si="104"/>
        <x:v>TJ126</x:v>
      </x:c>
      <x:c r="GG25" s="1453"/>
      <x:c r="GH25" s="1454"/>
      <x:c r="GI25" s="1453"/>
      <x:c r="GJ25" s="1454"/>
      <x:c r="GK25" s="533">
        <x:f t="shared" si="105"/>
        <x:v>707.875</x:v>
      </x:c>
      <x:c r="GL25" s="534">
        <x:f t="shared" si="106"/>
        <x:v>708.0026795120051</x:v>
      </x:c>
      <x:c r="GM25" s="535">
        <x:f>IF(ABS(GK25-GL25)&gt;='Job Info.'!$L$22,ABS(GK25-GL25),0)</x:f>
        <x:v>0</x:v>
      </x:c>
      <x:c r="HA25" s="1658" t="s">
        <x:v>1450</x:v>
      </x:c>
      <x:c r="HB25" s="1659">
        <x:v>3</x:v>
      </x:c>
      <x:c r="HC25" s="1659" t="s">
        <x:v>1978</x:v>
      </x:c>
      <x:c r="HD25" s="1660">
        <x:v>58</x:v>
      </x:c>
      <x:c r="HE25" s="1661">
        <x:v>11.875</x:v>
      </x:c>
      <x:c r="HF25" s="1659" t="s">
        <x:v>117</x:v>
      </x:c>
      <x:c r="HG25" s="1659" t="s">
        <x:v>117</x:v>
      </x:c>
      <x:c r="HH25" s="1659" t="s">
        <x:v>117</x:v>
      </x:c>
      <x:c r="HI25" s="1662">
        <x:v>0</x:v>
      </x:c>
      <x:c r="HJ25" s="1659">
        <x:v>0.625</x:v>
      </x:c>
      <x:c r="HK25" s="1659" t="s">
        <x:v>114</x:v>
      </x:c>
      <x:c r="HL25" s="1659">
        <x:v>3</x:v>
      </x:c>
      <x:c r="HM25" s="1659">
        <x:v>3</x:v>
      </x:c>
      <x:c r="HN25" s="1659" t="s">
        <x:v>117</x:v>
      </x:c>
      <x:c r="HO25" s="1659" t="s">
        <x:v>117</x:v>
      </x:c>
      <x:c r="HP25" s="1659" t="s">
        <x:v>117</x:v>
      </x:c>
      <x:c r="HQ25" s="1662">
        <x:v>0</x:v>
      </x:c>
      <x:c r="HR25" s="1659">
        <x:v>6.625</x:v>
      </x:c>
      <x:c r="HS25" s="1659">
        <x:v>2</x:v>
      </x:c>
      <x:c r="HT25" s="1659">
        <x:v>0</x:v>
      </x:c>
      <x:c r="HU25" s="1659">
        <x:v>1.125</x:v>
      </x:c>
      <x:c r="HV25" s="1659">
        <x:v>0</x:v>
      </x:c>
      <x:c r="HW25" s="1661">
        <x:v>1.5</x:v>
      </x:c>
      <x:c r="HX25" s="1661">
        <x:v>4</x:v>
      </x:c>
      <x:c r="HY25" s="1661" t="s">
        <x:v>117</x:v>
      </x:c>
      <x:c r="HZ25" s="1661" t="s">
        <x:v>117</x:v>
      </x:c>
      <x:c r="IA25" s="1661" t="s">
        <x:v>2158</x:v>
      </x:c>
      <x:c r="IB25" s="1661"/>
      <x:c r="IC25" s="1661"/>
      <x:c r="ID25" s="1661"/>
      <x:c r="IE25" s="1661"/>
      <x:c r="IF25" s="1663"/>
    </x:row>
    <x:row r="26" spans="1:240" ht="12.6" customHeight="1" x14ac:dyDescent="0.25">
      <x:c r="A26" s="1264" t="s">
        <x:v>1451</x:v>
      </x:c>
      <x:c r="B26" s="1265">
        <x:v>1</x:v>
      </x:c>
      <x:c r="C26" s="1265" t="s">
        <x:v>1978</x:v>
      </x:c>
      <x:c r="D26" s="1261">
        <x:v>59</x:v>
      </x:c>
      <x:c r="E26" s="1366">
        <x:v>0.625</x:v>
      </x:c>
      <x:c r="F26" s="1328" t="str">
        <x:f t="shared" si="1"/>
        <x:v/>
      </x:c>
      <x:c r="G26" s="1262" t="str">
        <x:f t="shared" si="2"/>
        <x:v/>
      </x:c>
      <x:c r="H26" s="1266" t="str">
        <x:f t="shared" si="3"/>
        <x:v/>
      </x:c>
      <x:c r="I26" s="1261">
        <x:v>0</x:v>
      </x:c>
      <x:c r="J26" s="1262">
        <x:v>1.375</x:v>
      </x:c>
      <x:c r="K26" s="1370" t="s">
        <x:v>114</x:v>
      </x:c>
      <x:c r="L26" s="1327">
        <x:v>3</x:v>
      </x:c>
      <x:c r="M26" s="1329">
        <x:v>3</x:v>
      </x:c>
      <x:c r="N26" s="1263" t="str">
        <x:f t="shared" si="4"/>
        <x:v/>
      </x:c>
      <x:c r="O26" s="1262" t="str">
        <x:f t="shared" si="5"/>
        <x:v/>
      </x:c>
      <x:c r="P26" s="1260" t="str">
        <x:f t="shared" si="6"/>
        <x:v/>
      </x:c>
      <x:c r="Q26" s="1261" t="str">
        <x:f t="shared" si="7"/>
        <x:v/>
      </x:c>
      <x:c r="R26" s="1262" t="str">
        <x:f t="shared" si="8"/>
        <x:v/>
      </x:c>
      <x:c r="S26" s="1375" t="str">
        <x:f t="shared" si="9"/>
        <x:v/>
      </x:c>
      <x:c r="T26" s="1328" t="str">
        <x:f t="shared" si="10"/>
        <x:v/>
      </x:c>
      <x:c r="U26" s="1262" t="str">
        <x:f t="shared" si="11"/>
        <x:v/>
      </x:c>
      <x:c r="V26" s="1261" t="str">
        <x:f t="shared" si="12"/>
        <x:v/>
      </x:c>
      <x:c r="W26" s="1262" t="str">
        <x:f t="shared" si="13"/>
        <x:v/>
      </x:c>
      <x:c r="X26" s="1329">
        <x:f t="shared" si="14"/>
        <x:v>0</x:v>
      </x:c>
      <x:c r="Y26" s="1377" t="str">
        <x:f t="shared" si="15"/>
        <x:v/>
      </x:c>
      <x:c r="Z26" s="1378" t="str">
        <x:f t="shared" si="16"/>
        <x:v/>
      </x:c>
      <x:c r="AA26" s="2159" t="s">
        <x:v>2159</x:v>
      </x:c>
      <x:c r="AC26" s="1226" t="b">
        <x:v>0</x:v>
      </x:c>
      <x:c r="AD26" s="525">
        <x:f t="shared" si="17"/>
        <x:v>0</x:v>
      </x:c>
      <x:c r="AE26" s="526">
        <x:f t="shared" si="18"/>
        <x:v>1</x:v>
      </x:c>
      <x:c r="AF26" s="526">
        <x:f t="shared" si="19"/>
        <x:v>0</x:v>
      </x:c>
      <x:c r="AG26" s="526">
        <x:f t="shared" si="20"/>
        <x:v>0</x:v>
      </x:c>
      <x:c r="AH26" s="527">
        <x:f t="shared" si="21"/>
        <x:v>0</x:v>
      </x:c>
      <x:c r="AI26" s="528" t="b">
        <x:v>0</x:v>
      </x:c>
      <x:c r="AJ26" s="284">
        <x:f t="shared" si="22"/>
        <x:v>36</x:v>
      </x:c>
      <x:c r="AK26" s="1063" t="str">
        <x:f t="shared" si="23"/>
        <x:v>LH</x:v>
      </x:c>
      <x:c r="AL26" s="1202" t="str">
        <x:f t="shared" si="24"/>
        <x:v/>
      </x:c>
      <x:c r="AM26" s="1063">
        <x:f t="shared" si="25"/>
        <x:v>270</x:v>
      </x:c>
      <x:c r="AN26" s="1063">
        <x:f t="shared" si="26"/>
        <x:v>120</x:v>
      </x:c>
      <x:c r="AO26" s="1063" t="str">
        <x:f t="shared" si="27"/>
        <x:v/>
      </x:c>
      <x:c r="AP26" s="1063" t="b">
        <x:f>IF(ISERROR(AJ26),FALSE,IF(OR(AJ26=0,ISERROR(AL26),ISERROR(AM26),ISERROR(AN26),ISERROR(AO26)),FALSE,IF(AL26&lt;&gt;"",IF(ISERROR(VLOOKUP(SUBSTITUTE(SUBSTITUTE(C26,"R",""),"A",""),TblJoistSize!$A:$A,1,FALSE)),FALSE,TRUE),TRUE)))</x:f>
        <x:v>1</x:v>
      </x:c>
      <x:c r="AQ26" s="1305">
        <x:f t="shared" si="28"/>
        <x:v>6</x:v>
      </x:c>
      <x:c r="AR26" s="1305" t="b">
        <x:f t="shared" si="29"/>
        <x:v>0</x:v>
      </x:c>
      <x:c r="AS26" s="1305">
        <x:f t="shared" si="30"/>
        <x:v>7.375</x:v>
      </x:c>
      <x:c r="AT26" s="1305" t="b">
        <x:f t="shared" si="31"/>
        <x:v>0</x:v>
      </x:c>
      <x:c r="AU26" s="1203" t="str">
        <x:f t="shared" si="32"/>
        <x:v>LH</x:v>
      </x:c>
      <x:c r="AV26" s="1063" t="str">
        <x:f t="shared" si="33"/>
        <x:v/>
      </x:c>
      <x:c r="AW26" s="1063" t="str">
        <x:f t="shared" si="34"/>
        <x:v>LH</x:v>
      </x:c>
      <x:c r="AX26" s="1063" t="str">
        <x:f t="shared" si="107"/>
        <x:v>J127</x:v>
      </x:c>
      <x:c r="AY26" s="1306" t="b">
        <x:f t="shared" si="35"/>
        <x:v>0</x:v>
      </x:c>
      <x:c r="AZ26" s="1090" t="b">
        <x:f t="shared" si="36"/>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7"/>
        <x:v/>
      </x:c>
      <x:c r="CE26" s="935" t="str">
        <x:f t="shared" si="38"/>
        <x:v/>
      </x:c>
      <x:c r="CF26" s="1149"/>
      <x:c r="CG26" s="1150"/>
      <x:c r="CH26" s="738" t="str">
        <x:f t="shared" si="39"/>
        <x:v/>
      </x:c>
      <x:c r="CI26" s="739" t="str">
        <x:f t="shared" si="40"/>
        <x:v/>
      </x:c>
      <x:c r="CJ26" s="740" t="str">
        <x:f t="shared" si="41"/>
        <x:v/>
      </x:c>
      <x:c r="CK26" s="741" t="str">
        <x:f t="shared" si="42"/>
        <x:v/>
      </x:c>
      <x:c r="CL26" s="742" t="str">
        <x:f t="shared" si="43"/>
        <x:v/>
      </x:c>
      <x:c r="CM26" s="743" t="str">
        <x:f t="shared" si="44"/>
        <x:v/>
      </x:c>
      <x:c r="CN26" s="744" t="str">
        <x:f t="shared" si="45"/>
        <x:v/>
      </x:c>
      <x:c r="CO26" s="745" t="str">
        <x:f t="shared" si="46"/>
        <x:v/>
      </x:c>
      <x:c r="CP26" s="762" t="str">
        <x:f t="shared" si="47"/>
        <x:v/>
      </x:c>
      <x:c r="CQ26" s="763" t="str">
        <x:f t="shared" si="48"/>
        <x:v/>
      </x:c>
      <x:c r="CR26" s="953">
        <x:f t="shared" si="49"/>
        <x:v>5</x:v>
      </x:c>
      <x:c r="CS26" s="954">
        <x:f t="shared" si="50"/>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51"/>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52"/>
        <x:v>0</x:v>
      </x:c>
      <x:c r="DO26" s="1049">
        <x:f t="shared" si="53"/>
        <x:v>0</x:v>
      </x:c>
      <x:c r="DP26" s="1053" t="str">
        <x:f t="shared" si="54"/>
        <x:v/>
      </x:c>
      <x:c r="DQ26" s="1053" t="str">
        <x:f t="shared" si="55"/>
        <x:v/>
      </x:c>
      <x:c r="DR26" s="1053" t="str">
        <x:f t="shared" si="56"/>
        <x:v/>
      </x:c>
      <x:c r="DS26" s="1052">
        <x:f t="shared" si="57"/>
        <x:v>0</x:v>
      </x:c>
      <x:c r="DT26" s="1052">
        <x:f t="shared" si="58"/>
        <x:v>0</x:v>
      </x:c>
      <x:c r="DU26" s="1052" t="str">
        <x:f t="shared" si="59"/>
        <x:v/>
      </x:c>
      <x:c r="DV26" s="1053" t="str">
        <x:f t="shared" si="60"/>
        <x:v/>
      </x:c>
      <x:c r="DW26" s="1053" t="str">
        <x:f t="shared" si="61"/>
        <x:v/>
      </x:c>
      <x:c r="DX26" s="1269">
        <x:f t="shared" si="62"/>
        <x:v>0</x:v>
      </x:c>
      <x:c r="DY26" s="1053">
        <x:f t="shared" si="63"/>
        <x:v>0</x:v>
      </x:c>
      <x:c r="DZ26" s="1052">
        <x:f t="shared" si="64"/>
        <x:v>0</x:v>
      </x:c>
      <x:c r="EA26" s="1052" t="str">
        <x:f t="shared" si="65"/>
        <x:v/>
      </x:c>
      <x:c r="EB26" s="1053" t="str">
        <x:f t="shared" si="66"/>
        <x:v/>
      </x:c>
      <x:c r="EC26" s="1053" t="str">
        <x:f t="shared" si="67"/>
        <x:v/>
      </x:c>
      <x:c r="ED26" s="1269">
        <x:f t="shared" si="68"/>
        <x:v>0</x:v>
      </x:c>
      <x:c r="EE26" s="1090" t="str">
        <x:f t="shared" si="69"/>
        <x:v/>
      </x:c>
      <x:c r="EF26" s="1053" t="str">
        <x:f t="shared" si="70"/>
        <x:v/>
      </x:c>
      <x:c r="EG26" s="1053" t="str">
        <x:f t="shared" si="71"/>
        <x:v/>
      </x:c>
      <x:c r="EH26" s="1053" t="str">
        <x:f t="shared" si="72"/>
        <x:v>ERR</x:v>
      </x:c>
      <x:c r="EI26" s="1053" t="str">
        <x:f t="shared" si="73"/>
        <x:v>ERR</x:v>
      </x:c>
      <x:c r="EJ26" s="1053" t="str">
        <x:f t="shared" si="74"/>
        <x:v/>
      </x:c>
      <x:c r="EK26" s="1053" t="str">
        <x:f t="shared" si="74"/>
        <x:v/>
      </x:c>
      <x:c r="EL26" s="1090" t="str">
        <x:f t="shared" si="75"/>
        <x:v/>
      </x:c>
      <x:c r="EM26" s="1053" t="str">
        <x:f t="shared" si="76"/>
        <x:v/>
      </x:c>
      <x:c r="EN26" s="1053" t="str">
        <x:f t="shared" si="77"/>
        <x:v/>
      </x:c>
      <x:c r="EO26" s="1053" t="str">
        <x:f t="shared" si="78"/>
        <x:v>ERR</x:v>
      </x:c>
      <x:c r="EP26" s="1053" t="str">
        <x:f t="shared" si="79"/>
        <x:v>ERR</x:v>
      </x:c>
      <x:c r="EQ26" s="1053" t="str">
        <x:f t="shared" si="80"/>
        <x:v/>
      </x:c>
      <x:c r="ER26" s="1053" t="str">
        <x:f t="shared" si="80"/>
        <x:v/>
      </x:c>
      <x:c r="ES26" s="1053" t="str">
        <x:f t="shared" si="81"/>
        <x:v/>
      </x:c>
      <x:c r="ET26" s="1053" t="str">
        <x:f t="shared" si="82"/>
        <x:v/>
      </x:c>
      <x:c r="EU26" s="1061">
        <x:f t="shared" si="83"/>
        <x:v>4</x:v>
      </x:c>
      <x:c r="EV26" s="1055" t="str">
        <x:f t="shared" si="84"/>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5"/>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6"/>
        <x:v/>
      </x:c>
      <x:c r="FD26" s="1052">
        <x:f t="shared" si="108"/>
        <x:v>0</x:v>
      </x:c>
      <x:c r="FE26" s="1052">
        <x:f t="shared" si="87"/>
        <x:v>0</x:v>
      </x:c>
      <x:c r="FF26" s="1052">
        <x:f t="shared" si="88"/>
        <x:v>0</x:v>
      </x:c>
      <x:c r="FG26" s="1052" t="str">
        <x:f t="shared" si="89"/>
        <x:v/>
      </x:c>
      <x:c r="FH26" s="1053" t="str">
        <x:f t="shared" si="90"/>
        <x:v/>
      </x:c>
      <x:c r="FI26" s="1052">
        <x:f t="shared" si="109"/>
        <x:v>0</x:v>
      </x:c>
      <x:c r="FJ26" s="1052">
        <x:f t="shared" si="91"/>
        <x:v>0</x:v>
      </x:c>
      <x:c r="FK26" s="1052">
        <x:f t="shared" si="92"/>
        <x:v>0</x:v>
      </x:c>
      <x:c r="FL26" s="1052" t="str">
        <x:f t="shared" si="93"/>
        <x:v/>
      </x:c>
      <x:c r="FM26" s="1053" t="str">
        <x:f t="shared" si="94"/>
        <x:v/>
      </x:c>
      <x:c r="FN26" s="1053" t="e">
        <x:f t="shared" si="95"/>
        <x:v>#VALUE!</x:v>
      </x:c>
      <x:c r="FO26" s="1062" t="e">
        <x:f t="shared" si="96"/>
        <x:v>#VALUE!</x:v>
      </x:c>
      <x:c r="FP26" s="1062" t="e">
        <x:f t="shared" si="97"/>
        <x:v>#VALUE!</x:v>
      </x:c>
      <x:c r="FQ26" s="1063" t="e">
        <x:f t="shared" si="98"/>
        <x:v>#VALUE!</x:v>
      </x:c>
      <x:c r="FR26" s="1064" t="e">
        <x:f t="shared" si="99"/>
        <x:v>#VALUE!</x:v>
      </x:c>
      <x:c r="FS26" s="1065" t="str">
        <x:f t="shared" si="100"/>
        <x:v/>
      </x:c>
      <x:c r="FT26" s="1066" t="str">
        <x:f t="shared" si="101"/>
        <x:v/>
      </x:c>
      <x:c r="FU26" s="1105">
        <x:f t="shared" si="102"/>
        <x:v>0</x:v>
      </x:c>
      <x:c r="FV26" s="1106">
        <x:f t="shared" si="103"/>
        <x:v>0</x:v>
      </x:c>
      <x:c r="GA26" s="1975">
        <x:v>59</x:v>
      </x:c>
      <x:c r="GB26" s="1976">
        <x:v>2.75</x:v>
      </x:c>
      <x:c r="GC26" s="1977">
        <x:v>-1.875</x:v>
      </x:c>
      <x:c r="GD26" s="1978">
        <x:v>-0.25</x:v>
      </x:c>
      <x:c r="GE26" s="1979">
        <x:v>0.227928244811819</x:v>
      </x:c>
      <x:c r="GF26" s="1980" t="str">
        <x:f t="shared" si="104"/>
        <x:v>J127</x:v>
      </x:c>
      <x:c r="GG26" s="1453"/>
      <x:c r="GH26" s="1454"/>
      <x:c r="GI26" s="1453"/>
      <x:c r="GJ26" s="1454"/>
      <x:c r="GK26" s="533">
        <x:f t="shared" si="105"/>
        <x:v>708.625</x:v>
      </x:c>
      <x:c r="GL26" s="534">
        <x:f t="shared" si="106"/>
        <x:v>708.75281478960926</x:v>
      </x:c>
      <x:c r="GM26" s="535">
        <x:f>IF(ABS(GK26-GL26)&gt;='Job Info.'!$L$22,ABS(GK26-GL26),0)</x:f>
        <x:v>0</x:v>
      </x:c>
      <x:c r="HA26" s="1658" t="s">
        <x:v>1451</x:v>
      </x:c>
      <x:c r="HB26" s="1659">
        <x:v>1</x:v>
      </x:c>
      <x:c r="HC26" s="1659" t="s">
        <x:v>1978</x:v>
      </x:c>
      <x:c r="HD26" s="1660">
        <x:v>59</x:v>
      </x:c>
      <x:c r="HE26" s="1661">
        <x:v>0.625</x:v>
      </x:c>
      <x:c r="HF26" s="1659" t="s">
        <x:v>117</x:v>
      </x:c>
      <x:c r="HG26" s="1659" t="s">
        <x:v>117</x:v>
      </x:c>
      <x:c r="HH26" s="1659" t="s">
        <x:v>117</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2159</x:v>
      </x:c>
      <x:c r="IB26" s="1661"/>
      <x:c r="IC26" s="1661"/>
      <x:c r="ID26" s="1661"/>
      <x:c r="IE26" s="1661"/>
      <x:c r="IF26" s="1663"/>
    </x:row>
    <x:row r="27" spans="1:240" ht="12.6" customHeight="1" x14ac:dyDescent="0.25">
      <x:c r="A27" s="1264" t="s">
        <x:v>1452</x:v>
      </x:c>
      <x:c r="B27" s="1265">
        <x:v>2</x:v>
      </x:c>
      <x:c r="C27" s="1265" t="s">
        <x:v>1978</x:v>
      </x:c>
      <x:c r="D27" s="1261">
        <x:v>59</x:v>
      </x:c>
      <x:c r="E27" s="1366">
        <x:v>0.625</x:v>
      </x:c>
      <x:c r="F27" s="1328" t="str">
        <x:f t="shared" si="1"/>
        <x:v/>
      </x:c>
      <x:c r="G27" s="1262" t="str">
        <x:f t="shared" si="2"/>
        <x:v/>
      </x:c>
      <x:c r="H27" s="1266" t="str">
        <x:f t="shared" si="3"/>
        <x:v/>
      </x:c>
      <x:c r="I27" s="1261">
        <x:v>0</x:v>
      </x:c>
      <x:c r="J27" s="1262">
        <x:v>1.375</x:v>
      </x:c>
      <x:c r="K27" s="1370" t="s">
        <x:v>114</x:v>
      </x:c>
      <x:c r="L27" s="1327">
        <x:v>3</x:v>
      </x:c>
      <x:c r="M27" s="1329">
        <x:v>3</x:v>
      </x:c>
      <x:c r="N27" s="1263" t="str">
        <x:f t="shared" si="4"/>
        <x:v/>
      </x:c>
      <x:c r="O27" s="1262" t="str">
        <x:f t="shared" si="5"/>
        <x:v/>
      </x:c>
      <x:c r="P27" s="1260" t="str">
        <x:f t="shared" si="6"/>
        <x:v/>
      </x:c>
      <x:c r="Q27" s="1261" t="str">
        <x:f t="shared" si="7"/>
        <x:v/>
      </x:c>
      <x:c r="R27" s="1262" t="str">
        <x:f t="shared" si="8"/>
        <x:v/>
      </x:c>
      <x:c r="S27" s="1375" t="str">
        <x:f t="shared" si="9"/>
        <x:v/>
      </x:c>
      <x:c r="T27" s="1328" t="str">
        <x:f t="shared" si="10"/>
        <x:v/>
      </x:c>
      <x:c r="U27" s="1262" t="str">
        <x:f t="shared" si="11"/>
        <x:v/>
      </x:c>
      <x:c r="V27" s="1261" t="str">
        <x:f t="shared" si="12"/>
        <x:v/>
      </x:c>
      <x:c r="W27" s="1262" t="str">
        <x:f t="shared" si="13"/>
        <x:v/>
      </x:c>
      <x:c r="X27" s="1329">
        <x:f t="shared" si="14"/>
        <x:v>0</x:v>
      </x:c>
      <x:c r="Y27" s="1377" t="str">
        <x:f t="shared" si="15"/>
        <x:v/>
      </x:c>
      <x:c r="Z27" s="1378" t="str">
        <x:f t="shared" si="16"/>
        <x:v/>
      </x:c>
      <x:c r="AA27" s="2159" t="s">
        <x:v>2160</x:v>
      </x:c>
      <x:c r="AC27" s="1226" t="b">
        <x:v>0</x:v>
      </x:c>
      <x:c r="AD27" s="525">
        <x:f t="shared" si="17"/>
        <x:v>0</x:v>
      </x:c>
      <x:c r="AE27" s="526">
        <x:f t="shared" si="18"/>
        <x:v>2</x:v>
      </x:c>
      <x:c r="AF27" s="526">
        <x:f t="shared" si="19"/>
        <x:v>0</x:v>
      </x:c>
      <x:c r="AG27" s="526">
        <x:f t="shared" si="20"/>
        <x:v>0</x:v>
      </x:c>
      <x:c r="AH27" s="527">
        <x:f t="shared" si="21"/>
        <x:v>0</x:v>
      </x:c>
      <x:c r="AI27" s="528" t="b">
        <x:v>0</x:v>
      </x:c>
      <x:c r="AJ27" s="284">
        <x:f t="shared" si="22"/>
        <x:v>36</x:v>
      </x:c>
      <x:c r="AK27" s="1063" t="str">
        <x:f t="shared" si="23"/>
        <x:v>LH</x:v>
      </x:c>
      <x:c r="AL27" s="1202" t="str">
        <x:f t="shared" si="24"/>
        <x:v/>
      </x:c>
      <x:c r="AM27" s="1063">
        <x:f t="shared" si="25"/>
        <x:v>270</x:v>
      </x:c>
      <x:c r="AN27" s="1063">
        <x:f t="shared" si="26"/>
        <x:v>120</x:v>
      </x:c>
      <x:c r="AO27" s="1063" t="str">
        <x:f t="shared" si="27"/>
        <x:v/>
      </x:c>
      <x:c r="AP27" s="1063" t="b">
        <x:f>IF(ISERROR(AJ27),FALSE,IF(OR(AJ27=0,ISERROR(AL27),ISERROR(AM27),ISERROR(AN27),ISERROR(AO27)),FALSE,IF(AL27&lt;&gt;"",IF(ISERROR(VLOOKUP(SUBSTITUTE(SUBSTITUTE(C27,"R",""),"A",""),TblJoistSize!$A:$A,1,FALSE)),FALSE,TRUE),TRUE)))</x:f>
        <x:v>1</x:v>
      </x:c>
      <x:c r="AQ27" s="1305">
        <x:f t="shared" si="28"/>
        <x:v>6</x:v>
      </x:c>
      <x:c r="AR27" s="1305" t="b">
        <x:f t="shared" si="29"/>
        <x:v>0</x:v>
      </x:c>
      <x:c r="AS27" s="1305">
        <x:f t="shared" si="30"/>
        <x:v>7.375</x:v>
      </x:c>
      <x:c r="AT27" s="1305" t="b">
        <x:f t="shared" si="31"/>
        <x:v>0</x:v>
      </x:c>
      <x:c r="AU27" s="1203" t="str">
        <x:f t="shared" si="32"/>
        <x:v>LH</x:v>
      </x:c>
      <x:c r="AV27" s="1063" t="str">
        <x:f t="shared" si="33"/>
        <x:v/>
      </x:c>
      <x:c r="AW27" s="1063" t="str">
        <x:f t="shared" si="34"/>
        <x:v>LH</x:v>
      </x:c>
      <x:c r="AX27" s="1063" t="str">
        <x:f t="shared" si="107"/>
        <x:v>J128</x:v>
      </x:c>
      <x:c r="AY27" s="1306" t="b">
        <x:f t="shared" si="35"/>
        <x:v>0</x:v>
      </x:c>
      <x:c r="AZ27" s="1090" t="b">
        <x:f t="shared" si="36"/>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7"/>
        <x:v/>
      </x:c>
      <x:c r="CE27" s="935" t="str">
        <x:f t="shared" si="38"/>
        <x:v/>
      </x:c>
      <x:c r="CF27" s="1149"/>
      <x:c r="CG27" s="1150"/>
      <x:c r="CH27" s="738" t="str">
        <x:f t="shared" si="39"/>
        <x:v/>
      </x:c>
      <x:c r="CI27" s="739" t="str">
        <x:f t="shared" si="40"/>
        <x:v/>
      </x:c>
      <x:c r="CJ27" s="740" t="str">
        <x:f t="shared" si="41"/>
        <x:v/>
      </x:c>
      <x:c r="CK27" s="741" t="str">
        <x:f t="shared" si="42"/>
        <x:v/>
      </x:c>
      <x:c r="CL27" s="742" t="str">
        <x:f t="shared" si="43"/>
        <x:v/>
      </x:c>
      <x:c r="CM27" s="743" t="str">
        <x:f t="shared" si="44"/>
        <x:v/>
      </x:c>
      <x:c r="CN27" s="744" t="str">
        <x:f t="shared" si="45"/>
        <x:v/>
      </x:c>
      <x:c r="CO27" s="745" t="str">
        <x:f t="shared" si="46"/>
        <x:v/>
      </x:c>
      <x:c r="CP27" s="762" t="str">
        <x:f t="shared" si="47"/>
        <x:v/>
      </x:c>
      <x:c r="CQ27" s="763" t="str">
        <x:f t="shared" si="48"/>
        <x:v/>
      </x:c>
      <x:c r="CR27" s="953">
        <x:f t="shared" si="49"/>
        <x:v>5</x:v>
      </x:c>
      <x:c r="CS27" s="954">
        <x:f t="shared" si="50"/>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51"/>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52"/>
        <x:v>0</x:v>
      </x:c>
      <x:c r="DO27" s="1049">
        <x:f t="shared" si="53"/>
        <x:v>0</x:v>
      </x:c>
      <x:c r="DP27" s="1053" t="str">
        <x:f t="shared" si="54"/>
        <x:v/>
      </x:c>
      <x:c r="DQ27" s="1053" t="str">
        <x:f t="shared" si="55"/>
        <x:v/>
      </x:c>
      <x:c r="DR27" s="1053" t="str">
        <x:f t="shared" si="56"/>
        <x:v/>
      </x:c>
      <x:c r="DS27" s="1052">
        <x:f t="shared" si="57"/>
        <x:v>0</x:v>
      </x:c>
      <x:c r="DT27" s="1052">
        <x:f t="shared" si="58"/>
        <x:v>0</x:v>
      </x:c>
      <x:c r="DU27" s="1052" t="str">
        <x:f t="shared" si="59"/>
        <x:v/>
      </x:c>
      <x:c r="DV27" s="1053" t="str">
        <x:f t="shared" si="60"/>
        <x:v/>
      </x:c>
      <x:c r="DW27" s="1053" t="str">
        <x:f t="shared" si="61"/>
        <x:v/>
      </x:c>
      <x:c r="DX27" s="1269">
        <x:f t="shared" si="62"/>
        <x:v>0</x:v>
      </x:c>
      <x:c r="DY27" s="1053">
        <x:f t="shared" si="63"/>
        <x:v>0</x:v>
      </x:c>
      <x:c r="DZ27" s="1052">
        <x:f t="shared" si="64"/>
        <x:v>0</x:v>
      </x:c>
      <x:c r="EA27" s="1052" t="str">
        <x:f t="shared" si="65"/>
        <x:v/>
      </x:c>
      <x:c r="EB27" s="1053" t="str">
        <x:f t="shared" si="66"/>
        <x:v/>
      </x:c>
      <x:c r="EC27" s="1053" t="str">
        <x:f t="shared" si="67"/>
        <x:v/>
      </x:c>
      <x:c r="ED27" s="1269">
        <x:f t="shared" si="68"/>
        <x:v>0</x:v>
      </x:c>
      <x:c r="EE27" s="1090" t="str">
        <x:f t="shared" si="69"/>
        <x:v/>
      </x:c>
      <x:c r="EF27" s="1053" t="str">
        <x:f t="shared" si="70"/>
        <x:v/>
      </x:c>
      <x:c r="EG27" s="1053" t="str">
        <x:f t="shared" si="71"/>
        <x:v/>
      </x:c>
      <x:c r="EH27" s="1053" t="str">
        <x:f t="shared" si="72"/>
        <x:v>ERR</x:v>
      </x:c>
      <x:c r="EI27" s="1053" t="str">
        <x:f t="shared" si="73"/>
        <x:v>ERR</x:v>
      </x:c>
      <x:c r="EJ27" s="1053" t="str">
        <x:f t="shared" si="74"/>
        <x:v/>
      </x:c>
      <x:c r="EK27" s="1053" t="str">
        <x:f t="shared" si="74"/>
        <x:v/>
      </x:c>
      <x:c r="EL27" s="1090" t="str">
        <x:f t="shared" si="75"/>
        <x:v/>
      </x:c>
      <x:c r="EM27" s="1053" t="str">
        <x:f t="shared" si="76"/>
        <x:v/>
      </x:c>
      <x:c r="EN27" s="1053" t="str">
        <x:f t="shared" si="77"/>
        <x:v/>
      </x:c>
      <x:c r="EO27" s="1053" t="str">
        <x:f t="shared" si="78"/>
        <x:v>ERR</x:v>
      </x:c>
      <x:c r="EP27" s="1053" t="str">
        <x:f t="shared" si="79"/>
        <x:v>ERR</x:v>
      </x:c>
      <x:c r="EQ27" s="1053" t="str">
        <x:f t="shared" si="80"/>
        <x:v/>
      </x:c>
      <x:c r="ER27" s="1053" t="str">
        <x:f t="shared" si="80"/>
        <x:v/>
      </x:c>
      <x:c r="ES27" s="1053" t="str">
        <x:f t="shared" si="81"/>
        <x:v/>
      </x:c>
      <x:c r="ET27" s="1053" t="str">
        <x:f t="shared" si="82"/>
        <x:v/>
      </x:c>
      <x:c r="EU27" s="1061">
        <x:f t="shared" si="83"/>
        <x:v>4</x:v>
      </x:c>
      <x:c r="EV27" s="1055" t="str">
        <x:f t="shared" si="84"/>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5"/>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6"/>
        <x:v/>
      </x:c>
      <x:c r="FD27" s="1052">
        <x:f t="shared" si="108"/>
        <x:v>0</x:v>
      </x:c>
      <x:c r="FE27" s="1052">
        <x:f t="shared" si="87"/>
        <x:v>0</x:v>
      </x:c>
      <x:c r="FF27" s="1052">
        <x:f t="shared" si="88"/>
        <x:v>0</x:v>
      </x:c>
      <x:c r="FG27" s="1052" t="str">
        <x:f t="shared" si="89"/>
        <x:v/>
      </x:c>
      <x:c r="FH27" s="1053" t="str">
        <x:f t="shared" si="90"/>
        <x:v/>
      </x:c>
      <x:c r="FI27" s="1052">
        <x:f t="shared" si="109"/>
        <x:v>0</x:v>
      </x:c>
      <x:c r="FJ27" s="1052">
        <x:f t="shared" si="91"/>
        <x:v>0</x:v>
      </x:c>
      <x:c r="FK27" s="1052">
        <x:f t="shared" si="92"/>
        <x:v>0</x:v>
      </x:c>
      <x:c r="FL27" s="1052" t="str">
        <x:f t="shared" si="93"/>
        <x:v/>
      </x:c>
      <x:c r="FM27" s="1053" t="str">
        <x:f t="shared" si="94"/>
        <x:v/>
      </x:c>
      <x:c r="FN27" s="1053" t="e">
        <x:f t="shared" si="95"/>
        <x:v>#VALUE!</x:v>
      </x:c>
      <x:c r="FO27" s="1062" t="e">
        <x:f t="shared" si="96"/>
        <x:v>#VALUE!</x:v>
      </x:c>
      <x:c r="FP27" s="1062" t="e">
        <x:f t="shared" si="97"/>
        <x:v>#VALUE!</x:v>
      </x:c>
      <x:c r="FQ27" s="1063" t="e">
        <x:f t="shared" si="98"/>
        <x:v>#VALUE!</x:v>
      </x:c>
      <x:c r="FR27" s="1064" t="e">
        <x:f t="shared" si="99"/>
        <x:v>#VALUE!</x:v>
      </x:c>
      <x:c r="FS27" s="1065" t="str">
        <x:f t="shared" si="100"/>
        <x:v/>
      </x:c>
      <x:c r="FT27" s="1066" t="str">
        <x:f t="shared" si="101"/>
        <x:v/>
      </x:c>
      <x:c r="FU27" s="1105">
        <x:f t="shared" si="102"/>
        <x:v>0</x:v>
      </x:c>
      <x:c r="FV27" s="1106">
        <x:f t="shared" si="103"/>
        <x:v>0</x:v>
      </x:c>
      <x:c r="GA27" s="1975">
        <x:v>59</x:v>
      </x:c>
      <x:c r="GB27" s="1976">
        <x:v>2.75</x:v>
      </x:c>
      <x:c r="GC27" s="1977">
        <x:v>-1.875</x:v>
      </x:c>
      <x:c r="GD27" s="1978">
        <x:v>-0.25</x:v>
      </x:c>
      <x:c r="GE27" s="1979">
        <x:v>0.227928244811819</x:v>
      </x:c>
      <x:c r="GF27" s="1980" t="str">
        <x:f t="shared" si="104"/>
        <x:v>J128</x:v>
      </x:c>
      <x:c r="GG27" s="1453"/>
      <x:c r="GH27" s="1454"/>
      <x:c r="GI27" s="1453"/>
      <x:c r="GJ27" s="1454"/>
      <x:c r="GK27" s="533">
        <x:f t="shared" si="105"/>
        <x:v>708.625</x:v>
      </x:c>
      <x:c r="GL27" s="534">
        <x:f t="shared" si="106"/>
        <x:v>708.75281478960926</x:v>
      </x:c>
      <x:c r="GM27" s="535">
        <x:f>IF(ABS(GK27-GL27)&gt;='Job Info.'!$L$22,ABS(GK27-GL27),0)</x:f>
        <x:v>0</x:v>
      </x:c>
      <x:c r="HA27" s="1658" t="s">
        <x:v>1452</x:v>
      </x:c>
      <x:c r="HB27" s="1659">
        <x:v>2</x:v>
      </x:c>
      <x:c r="HC27" s="1659" t="s">
        <x:v>1978</x:v>
      </x:c>
      <x:c r="HD27" s="1660">
        <x:v>59</x:v>
      </x:c>
      <x:c r="HE27" s="1661">
        <x:v>0.625</x:v>
      </x:c>
      <x:c r="HF27" s="1659" t="s">
        <x:v>117</x:v>
      </x:c>
      <x:c r="HG27" s="1659" t="s">
        <x:v>117</x:v>
      </x:c>
      <x:c r="HH27" s="1659" t="s">
        <x:v>117</x:v>
      </x:c>
      <x:c r="HI27" s="1662">
        <x:v>0</x:v>
      </x:c>
      <x:c r="HJ27" s="1659">
        <x:v>1.375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2160</x:v>
      </x:c>
      <x:c r="IB27" s="1661"/>
      <x:c r="IC27" s="1661"/>
      <x:c r="ID27" s="1661"/>
      <x:c r="IE27" s="1661"/>
      <x:c r="IF27" s="1663"/>
    </x:row>
    <x:row r="28" spans="1:240" ht="12.6" customHeight="1" x14ac:dyDescent="0.25">
      <x:c r="A28" s="1264" t="s">
        <x:v>1453</x:v>
      </x:c>
      <x:c r="B28" s="1265">
        <x:v>2</x:v>
      </x:c>
      <x:c r="C28" s="1265" t="s">
        <x:v>1978</x:v>
      </x:c>
      <x:c r="D28" s="1261">
        <x:v>59</x:v>
      </x:c>
      <x:c r="E28" s="1366">
        <x:v>0.625</x:v>
      </x:c>
      <x:c r="F28" s="1328" t="str">
        <x:f t="shared" si="1"/>
        <x:v/>
      </x:c>
      <x:c r="G28" s="1262" t="str">
        <x:f t="shared" si="2"/>
        <x:v/>
      </x:c>
      <x:c r="H28" s="1266" t="str">
        <x:f t="shared" si="3"/>
        <x:v/>
      </x:c>
      <x:c r="I28" s="1261">
        <x:v>0</x:v>
      </x:c>
      <x:c r="J28" s="1262">
        <x:v>1.375</x:v>
      </x:c>
      <x:c r="K28" s="1370" t="s">
        <x:v>114</x:v>
      </x:c>
      <x:c r="L28" s="1327">
        <x:v>3</x:v>
      </x:c>
      <x:c r="M28" s="1329">
        <x:v>3</x:v>
      </x:c>
      <x:c r="N28" s="1263" t="str">
        <x:f t="shared" si="4"/>
        <x:v/>
      </x:c>
      <x:c r="O28" s="1262" t="str">
        <x:f t="shared" si="5"/>
        <x:v/>
      </x:c>
      <x:c r="P28" s="1260" t="str">
        <x:f t="shared" si="6"/>
        <x:v/>
      </x:c>
      <x:c r="Q28" s="1261" t="str">
        <x:f t="shared" si="7"/>
        <x:v/>
      </x:c>
      <x:c r="R28" s="1262" t="str">
        <x:f t="shared" si="8"/>
        <x:v/>
      </x:c>
      <x:c r="S28" s="1375" t="str">
        <x:f t="shared" si="9"/>
        <x:v/>
      </x:c>
      <x:c r="T28" s="1328" t="str">
        <x:f t="shared" si="10"/>
        <x:v/>
      </x:c>
      <x:c r="U28" s="1262" t="str">
        <x:f t="shared" si="11"/>
        <x:v/>
      </x:c>
      <x:c r="V28" s="1261" t="str">
        <x:f t="shared" si="12"/>
        <x:v/>
      </x:c>
      <x:c r="W28" s="1262" t="str">
        <x:f t="shared" si="13"/>
        <x:v/>
      </x:c>
      <x:c r="X28" s="1329">
        <x:f t="shared" si="14"/>
        <x:v>0</x:v>
      </x:c>
      <x:c r="Y28" s="1377" t="str">
        <x:f t="shared" si="15"/>
        <x:v/>
      </x:c>
      <x:c r="Z28" s="1378" t="str">
        <x:f t="shared" si="16"/>
        <x:v/>
      </x:c>
      <x:c r="AA28" s="2159" t="s">
        <x:v>2161</x:v>
      </x:c>
      <x:c r="AC28" s="1226" t="b">
        <x:v>0</x:v>
      </x:c>
      <x:c r="AD28" s="525">
        <x:f t="shared" si="17"/>
        <x:v>0</x:v>
      </x:c>
      <x:c r="AE28" s="526">
        <x:f t="shared" si="18"/>
        <x:v>2</x:v>
      </x:c>
      <x:c r="AF28" s="526">
        <x:f t="shared" si="19"/>
        <x:v>0</x:v>
      </x:c>
      <x:c r="AG28" s="526">
        <x:f t="shared" si="20"/>
        <x:v>0</x:v>
      </x:c>
      <x:c r="AH28" s="527">
        <x:f t="shared" si="21"/>
        <x:v>0</x:v>
      </x:c>
      <x:c r="AI28" s="528" t="b">
        <x:v>0</x:v>
      </x:c>
      <x:c r="AJ28" s="284">
        <x:f t="shared" si="22"/>
        <x:v>36</x:v>
      </x:c>
      <x:c r="AK28" s="1063" t="str">
        <x:f t="shared" si="23"/>
        <x:v>LH</x:v>
      </x:c>
      <x:c r="AL28" s="1202" t="str">
        <x:f t="shared" si="24"/>
        <x:v/>
      </x:c>
      <x:c r="AM28" s="1063">
        <x:f t="shared" si="25"/>
        <x:v>270</x:v>
      </x:c>
      <x:c r="AN28" s="1063">
        <x:f t="shared" si="26"/>
        <x:v>120</x:v>
      </x:c>
      <x:c r="AO28" s="1063" t="str">
        <x:f t="shared" si="27"/>
        <x:v/>
      </x:c>
      <x:c r="AP28" s="1063" t="b">
        <x:f>IF(ISERROR(AJ28),FALSE,IF(OR(AJ28=0,ISERROR(AL28),ISERROR(AM28),ISERROR(AN28),ISERROR(AO28)),FALSE,IF(AL28&lt;&gt;"",IF(ISERROR(VLOOKUP(SUBSTITUTE(SUBSTITUTE(C28,"R",""),"A",""),TblJoistSize!$A:$A,1,FALSE)),FALSE,TRUE),TRUE)))</x:f>
        <x:v>1</x:v>
      </x:c>
      <x:c r="AQ28" s="1305">
        <x:f t="shared" si="28"/>
        <x:v>6</x:v>
      </x:c>
      <x:c r="AR28" s="1305" t="b">
        <x:f t="shared" si="29"/>
        <x:v>0</x:v>
      </x:c>
      <x:c r="AS28" s="1305">
        <x:f t="shared" si="30"/>
        <x:v>7.375</x:v>
      </x:c>
      <x:c r="AT28" s="1305" t="b">
        <x:f t="shared" si="31"/>
        <x:v>0</x:v>
      </x:c>
      <x:c r="AU28" s="1203" t="str">
        <x:f t="shared" si="32"/>
        <x:v>LH</x:v>
      </x:c>
      <x:c r="AV28" s="1063" t="str">
        <x:f t="shared" si="33"/>
        <x:v/>
      </x:c>
      <x:c r="AW28" s="1063" t="str">
        <x:f t="shared" si="34"/>
        <x:v>LH</x:v>
      </x:c>
      <x:c r="AX28" s="1063" t="str">
        <x:f t="shared" si="107"/>
        <x:v>J129</x:v>
      </x:c>
      <x:c r="AY28" s="1306" t="b">
        <x:f t="shared" si="35"/>
        <x:v>0</x:v>
      </x:c>
      <x:c r="AZ28" s="1090" t="b">
        <x:f t="shared" si="36"/>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7"/>
        <x:v/>
      </x:c>
      <x:c r="CE28" s="935" t="str">
        <x:f t="shared" si="38"/>
        <x:v/>
      </x:c>
      <x:c r="CF28" s="1149"/>
      <x:c r="CG28" s="1150"/>
      <x:c r="CH28" s="738" t="str">
        <x:f t="shared" si="39"/>
        <x:v/>
      </x:c>
      <x:c r="CI28" s="739" t="str">
        <x:f t="shared" si="40"/>
        <x:v/>
      </x:c>
      <x:c r="CJ28" s="740" t="str">
        <x:f t="shared" si="41"/>
        <x:v/>
      </x:c>
      <x:c r="CK28" s="741" t="str">
        <x:f t="shared" si="42"/>
        <x:v/>
      </x:c>
      <x:c r="CL28" s="742" t="str">
        <x:f t="shared" si="43"/>
        <x:v/>
      </x:c>
      <x:c r="CM28" s="743" t="str">
        <x:f t="shared" si="44"/>
        <x:v/>
      </x:c>
      <x:c r="CN28" s="744" t="str">
        <x:f t="shared" si="45"/>
        <x:v/>
      </x:c>
      <x:c r="CO28" s="745" t="str">
        <x:f t="shared" si="46"/>
        <x:v/>
      </x:c>
      <x:c r="CP28" s="762" t="str">
        <x:f t="shared" si="47"/>
        <x:v/>
      </x:c>
      <x:c r="CQ28" s="763" t="str">
        <x:f t="shared" si="48"/>
        <x:v/>
      </x:c>
      <x:c r="CR28" s="953">
        <x:f t="shared" si="49"/>
        <x:v>5</x:v>
      </x:c>
      <x:c r="CS28" s="954">
        <x:f t="shared" si="50"/>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51"/>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52"/>
        <x:v>0</x:v>
      </x:c>
      <x:c r="DO28" s="1049">
        <x:f t="shared" si="53"/>
        <x:v>0</x:v>
      </x:c>
      <x:c r="DP28" s="1053" t="str">
        <x:f t="shared" si="54"/>
        <x:v/>
      </x:c>
      <x:c r="DQ28" s="1053" t="str">
        <x:f t="shared" si="55"/>
        <x:v/>
      </x:c>
      <x:c r="DR28" s="1053" t="str">
        <x:f t="shared" si="56"/>
        <x:v/>
      </x:c>
      <x:c r="DS28" s="1052">
        <x:f t="shared" si="57"/>
        <x:v>0</x:v>
      </x:c>
      <x:c r="DT28" s="1052">
        <x:f t="shared" si="58"/>
        <x:v>0</x:v>
      </x:c>
      <x:c r="DU28" s="1052" t="str">
        <x:f t="shared" si="59"/>
        <x:v/>
      </x:c>
      <x:c r="DV28" s="1053" t="str">
        <x:f t="shared" si="60"/>
        <x:v/>
      </x:c>
      <x:c r="DW28" s="1053" t="str">
        <x:f t="shared" si="61"/>
        <x:v/>
      </x:c>
      <x:c r="DX28" s="1269">
        <x:f t="shared" si="62"/>
        <x:v>0</x:v>
      </x:c>
      <x:c r="DY28" s="1053">
        <x:f t="shared" si="63"/>
        <x:v>0</x:v>
      </x:c>
      <x:c r="DZ28" s="1052">
        <x:f t="shared" si="64"/>
        <x:v>0</x:v>
      </x:c>
      <x:c r="EA28" s="1052" t="str">
        <x:f t="shared" si="65"/>
        <x:v/>
      </x:c>
      <x:c r="EB28" s="1053" t="str">
        <x:f t="shared" si="66"/>
        <x:v/>
      </x:c>
      <x:c r="EC28" s="1053" t="str">
        <x:f t="shared" si="67"/>
        <x:v/>
      </x:c>
      <x:c r="ED28" s="1269">
        <x:f t="shared" si="68"/>
        <x:v>0</x:v>
      </x:c>
      <x:c r="EE28" s="1090" t="str">
        <x:f t="shared" si="69"/>
        <x:v/>
      </x:c>
      <x:c r="EF28" s="1053" t="str">
        <x:f t="shared" si="70"/>
        <x:v/>
      </x:c>
      <x:c r="EG28" s="1053" t="str">
        <x:f t="shared" si="71"/>
        <x:v/>
      </x:c>
      <x:c r="EH28" s="1053" t="str">
        <x:f t="shared" si="72"/>
        <x:v>ERR</x:v>
      </x:c>
      <x:c r="EI28" s="1053" t="str">
        <x:f t="shared" si="73"/>
        <x:v>ERR</x:v>
      </x:c>
      <x:c r="EJ28" s="1053" t="str">
        <x:f t="shared" si="74"/>
        <x:v/>
      </x:c>
      <x:c r="EK28" s="1053" t="str">
        <x:f t="shared" si="74"/>
        <x:v/>
      </x:c>
      <x:c r="EL28" s="1090" t="str">
        <x:f t="shared" si="75"/>
        <x:v/>
      </x:c>
      <x:c r="EM28" s="1053" t="str">
        <x:f t="shared" si="76"/>
        <x:v/>
      </x:c>
      <x:c r="EN28" s="1053" t="str">
        <x:f t="shared" si="77"/>
        <x:v/>
      </x:c>
      <x:c r="EO28" s="1053" t="str">
        <x:f t="shared" si="78"/>
        <x:v>ERR</x:v>
      </x:c>
      <x:c r="EP28" s="1053" t="str">
        <x:f t="shared" si="79"/>
        <x:v>ERR</x:v>
      </x:c>
      <x:c r="EQ28" s="1053" t="str">
        <x:f t="shared" si="80"/>
        <x:v/>
      </x:c>
      <x:c r="ER28" s="1053" t="str">
        <x:f t="shared" si="80"/>
        <x:v/>
      </x:c>
      <x:c r="ES28" s="1053" t="str">
        <x:f t="shared" si="81"/>
        <x:v/>
      </x:c>
      <x:c r="ET28" s="1053" t="str">
        <x:f t="shared" si="82"/>
        <x:v/>
      </x:c>
      <x:c r="EU28" s="1061">
        <x:f t="shared" si="83"/>
        <x:v>4</x:v>
      </x:c>
      <x:c r="EV28" s="1055" t="str">
        <x:f t="shared" si="84"/>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5"/>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6"/>
        <x:v/>
      </x:c>
      <x:c r="FD28" s="1052">
        <x:f t="shared" si="108"/>
        <x:v>0</x:v>
      </x:c>
      <x:c r="FE28" s="1052">
        <x:f t="shared" si="87"/>
        <x:v>0</x:v>
      </x:c>
      <x:c r="FF28" s="1052">
        <x:f t="shared" si="88"/>
        <x:v>0</x:v>
      </x:c>
      <x:c r="FG28" s="1052" t="str">
        <x:f t="shared" si="89"/>
        <x:v/>
      </x:c>
      <x:c r="FH28" s="1053" t="str">
        <x:f t="shared" si="90"/>
        <x:v/>
      </x:c>
      <x:c r="FI28" s="1052">
        <x:f t="shared" si="109"/>
        <x:v>0</x:v>
      </x:c>
      <x:c r="FJ28" s="1052">
        <x:f t="shared" si="91"/>
        <x:v>0</x:v>
      </x:c>
      <x:c r="FK28" s="1052">
        <x:f t="shared" si="92"/>
        <x:v>0</x:v>
      </x:c>
      <x:c r="FL28" s="1052" t="str">
        <x:f t="shared" si="93"/>
        <x:v/>
      </x:c>
      <x:c r="FM28" s="1053" t="str">
        <x:f t="shared" si="94"/>
        <x:v/>
      </x:c>
      <x:c r="FN28" s="1053" t="e">
        <x:f t="shared" si="95"/>
        <x:v>#VALUE!</x:v>
      </x:c>
      <x:c r="FO28" s="1062" t="e">
        <x:f t="shared" si="96"/>
        <x:v>#VALUE!</x:v>
      </x:c>
      <x:c r="FP28" s="1062" t="e">
        <x:f t="shared" si="97"/>
        <x:v>#VALUE!</x:v>
      </x:c>
      <x:c r="FQ28" s="1063" t="e">
        <x:f t="shared" si="98"/>
        <x:v>#VALUE!</x:v>
      </x:c>
      <x:c r="FR28" s="1064" t="e">
        <x:f t="shared" si="99"/>
        <x:v>#VALUE!</x:v>
      </x:c>
      <x:c r="FS28" s="1065" t="str">
        <x:f t="shared" si="100"/>
        <x:v/>
      </x:c>
      <x:c r="FT28" s="1066" t="str">
        <x:f t="shared" si="101"/>
        <x:v/>
      </x:c>
      <x:c r="FU28" s="1105">
        <x:f t="shared" si="102"/>
        <x:v>0</x:v>
      </x:c>
      <x:c r="FV28" s="1106">
        <x:f t="shared" si="103"/>
        <x:v>0</x:v>
      </x:c>
      <x:c r="GA28" s="1975">
        <x:v>59</x:v>
      </x:c>
      <x:c r="GB28" s="1976">
        <x:v>2.75</x:v>
      </x:c>
      <x:c r="GC28" s="1977">
        <x:v>-1.875</x:v>
      </x:c>
      <x:c r="GD28" s="1978">
        <x:v>-0.25</x:v>
      </x:c>
      <x:c r="GE28" s="1979">
        <x:v>0.227928244811819</x:v>
      </x:c>
      <x:c r="GF28" s="1980" t="str">
        <x:f t="shared" si="104"/>
        <x:v>J129</x:v>
      </x:c>
      <x:c r="GG28" s="1453"/>
      <x:c r="GH28" s="1454"/>
      <x:c r="GI28" s="1453"/>
      <x:c r="GJ28" s="1454"/>
      <x:c r="GK28" s="533">
        <x:f t="shared" si="105"/>
        <x:v>708.625</x:v>
      </x:c>
      <x:c r="GL28" s="534">
        <x:f t="shared" si="106"/>
        <x:v>708.75281478960926</x:v>
      </x:c>
      <x:c r="GM28" s="535">
        <x:f>IF(ABS(GK28-GL28)&gt;='Job Info.'!$L$22,ABS(GK28-GL28),0)</x:f>
        <x:v>0</x:v>
      </x:c>
      <x:c r="HA28" s="1658" t="s">
        <x:v>1453</x:v>
      </x:c>
      <x:c r="HB28" s="1659">
        <x:v>2</x:v>
      </x:c>
      <x:c r="HC28" s="1659" t="s">
        <x:v>1978</x:v>
      </x:c>
      <x:c r="HD28" s="1660">
        <x:v>59</x:v>
      </x:c>
      <x:c r="HE28" s="1661">
        <x:v>0.625</x:v>
      </x:c>
      <x:c r="HF28" s="1659" t="s">
        <x:v>117</x:v>
      </x:c>
      <x:c r="HG28" s="1659" t="s">
        <x:v>117</x:v>
      </x:c>
      <x:c r="HH28" s="1659" t="s">
        <x:v>117</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2161</x:v>
      </x:c>
      <x:c r="IB28" s="1661"/>
      <x:c r="IC28" s="1661"/>
      <x:c r="ID28" s="1661"/>
      <x:c r="IE28" s="1661"/>
      <x:c r="IF28" s="1663"/>
    </x:row>
    <x:row r="29" spans="1:240" ht="12.6" customHeight="1" x14ac:dyDescent="0.25">
      <x:c r="A29" s="1264" t="s">
        <x:v>1454</x:v>
      </x:c>
      <x:c r="B29" s="1265">
        <x:v>1</x:v>
      </x:c>
      <x:c r="C29" s="1265" t="s">
        <x:v>1978</x:v>
      </x:c>
      <x:c r="D29" s="1261">
        <x:v>59</x:v>
      </x:c>
      <x:c r="E29" s="1366">
        <x:v>0.625</x:v>
      </x:c>
      <x:c r="F29" s="1328" t="str">
        <x:f t="shared" si="1"/>
        <x:v/>
      </x:c>
      <x:c r="G29" s="1262" t="str">
        <x:f t="shared" si="2"/>
        <x:v/>
      </x:c>
      <x:c r="H29" s="1266" t="str">
        <x:f t="shared" si="3"/>
        <x:v/>
      </x:c>
      <x:c r="I29" s="1261">
        <x:v>0</x:v>
      </x:c>
      <x:c r="J29" s="1262">
        <x:v>1.375</x:v>
      </x:c>
      <x:c r="K29" s="1370" t="s">
        <x:v>114</x:v>
      </x:c>
      <x:c r="L29" s="1327">
        <x:v>3</x:v>
      </x:c>
      <x:c r="M29" s="1329">
        <x:v>3</x:v>
      </x:c>
      <x:c r="N29" s="1263" t="str">
        <x:f t="shared" si="4"/>
        <x:v/>
      </x:c>
      <x:c r="O29" s="1262" t="str">
        <x:f t="shared" si="5"/>
        <x:v/>
      </x:c>
      <x:c r="P29" s="1260" t="str">
        <x:f t="shared" si="6"/>
        <x:v/>
      </x:c>
      <x:c r="Q29" s="1261" t="str">
        <x:f t="shared" si="7"/>
        <x:v/>
      </x:c>
      <x:c r="R29" s="1262" t="str">
        <x:f t="shared" si="8"/>
        <x:v/>
      </x:c>
      <x:c r="S29" s="1375" t="str">
        <x:f t="shared" si="9"/>
        <x:v/>
      </x:c>
      <x:c r="T29" s="1328">
        <x:v>0</x:v>
      </x:c>
      <x:c r="U29" s="1262">
        <x:v>1.125</x:v>
      </x:c>
      <x:c r="V29" s="1261">
        <x:v>0</x:v>
      </x:c>
      <x:c r="W29" s="1262">
        <x:v>2.25</x:v>
      </x:c>
      <x:c r="X29" s="1329">
        <x:v>4</x:v>
      </x:c>
      <x:c r="Y29" s="1377" t="str">
        <x:f t="shared" si="15"/>
        <x:v/>
      </x:c>
      <x:c r="Z29" s="1378" t="str">
        <x:f t="shared" si="16"/>
        <x:v/>
      </x:c>
      <x:c r="AA29" s="2159" t="s">
        <x:v>2162</x:v>
      </x:c>
      <x:c r="AC29" s="1226" t="b">
        <x:v>0</x:v>
      </x:c>
      <x:c r="AD29" s="525">
        <x:f t="shared" si="17"/>
        <x:v>0</x:v>
      </x:c>
      <x:c r="AE29" s="526">
        <x:f t="shared" si="18"/>
        <x:v>1</x:v>
      </x:c>
      <x:c r="AF29" s="526">
        <x:f t="shared" si="19"/>
        <x:v>0</x:v>
      </x:c>
      <x:c r="AG29" s="526">
        <x:f t="shared" si="20"/>
        <x:v>0</x:v>
      </x:c>
      <x:c r="AH29" s="527">
        <x:f t="shared" si="21"/>
        <x:v>0</x:v>
      </x:c>
      <x:c r="AI29" s="528" t="b">
        <x:v>0</x:v>
      </x:c>
      <x:c r="AJ29" s="284">
        <x:f t="shared" si="22"/>
        <x:v>36</x:v>
      </x:c>
      <x:c r="AK29" s="1063" t="str">
        <x:f t="shared" si="23"/>
        <x:v>LH</x:v>
      </x:c>
      <x:c r="AL29" s="1202" t="str">
        <x:f t="shared" si="24"/>
        <x:v/>
      </x:c>
      <x:c r="AM29" s="1063">
        <x:f t="shared" si="25"/>
        <x:v>270</x:v>
      </x:c>
      <x:c r="AN29" s="1063">
        <x:f t="shared" si="26"/>
        <x:v>120</x:v>
      </x:c>
      <x:c r="AO29" s="1063" t="str">
        <x:f t="shared" si="27"/>
        <x:v/>
      </x:c>
      <x:c r="AP29" s="1063" t="b">
        <x:f>IF(ISERROR(AJ29),FALSE,IF(OR(AJ29=0,ISERROR(AL29),ISERROR(AM29),ISERROR(AN29),ISERROR(AO29)),FALSE,IF(AL29&lt;&gt;"",IF(ISERROR(VLOOKUP(SUBSTITUTE(SUBSTITUTE(C29,"R",""),"A",""),TblJoistSize!$A:$A,1,FALSE)),FALSE,TRUE),TRUE)))</x:f>
        <x:v>1</x:v>
      </x:c>
      <x:c r="AQ29" s="1305">
        <x:f t="shared" si="28"/>
        <x:v>6</x:v>
      </x:c>
      <x:c r="AR29" s="1305" t="b">
        <x:f t="shared" si="29"/>
        <x:v>1</x:v>
      </x:c>
      <x:c r="AS29" s="1305">
        <x:f t="shared" si="30"/>
        <x:v>7.375</x:v>
      </x:c>
      <x:c r="AT29" s="1305" t="b">
        <x:f t="shared" si="31"/>
        <x:v>1</x:v>
      </x:c>
      <x:c r="AU29" s="1203" t="str">
        <x:f t="shared" si="32"/>
        <x:v>LH</x:v>
      </x:c>
      <x:c r="AV29" s="1063" t="str">
        <x:f t="shared" si="33"/>
        <x:v/>
      </x:c>
      <x:c r="AW29" s="1063" t="str">
        <x:f t="shared" si="34"/>
        <x:v>LH</x:v>
      </x:c>
      <x:c r="AX29" s="1063" t="str">
        <x:f t="shared" si="107"/>
        <x:v>TJ130</x:v>
      </x:c>
      <x:c r="AY29" s="1306" t="b">
        <x:f t="shared" si="35"/>
        <x:v>0</x:v>
      </x:c>
      <x:c r="AZ29" s="1090" t="b">
        <x:f t="shared" si="36"/>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7"/>
        <x:v/>
      </x:c>
      <x:c r="CE29" s="935" t="str">
        <x:f t="shared" si="38"/>
        <x:v/>
      </x:c>
      <x:c r="CF29" s="1149"/>
      <x:c r="CG29" s="1150"/>
      <x:c r="CH29" s="738" t="str">
        <x:f t="shared" si="39"/>
        <x:v/>
      </x:c>
      <x:c r="CI29" s="739" t="str">
        <x:f t="shared" si="40"/>
        <x:v/>
      </x:c>
      <x:c r="CJ29" s="740" t="str">
        <x:f t="shared" si="41"/>
        <x:v/>
      </x:c>
      <x:c r="CK29" s="741" t="str">
        <x:f t="shared" si="42"/>
        <x:v/>
      </x:c>
      <x:c r="CL29" s="742" t="str">
        <x:f t="shared" si="43"/>
        <x:v/>
      </x:c>
      <x:c r="CM29" s="743" t="str">
        <x:f t="shared" si="44"/>
        <x:v/>
      </x:c>
      <x:c r="CN29" s="744" t="str">
        <x:f t="shared" si="45"/>
        <x:v/>
      </x:c>
      <x:c r="CO29" s="745" t="str">
        <x:f t="shared" si="46"/>
        <x:v/>
      </x:c>
      <x:c r="CP29" s="762" t="str">
        <x:f t="shared" si="47"/>
        <x:v/>
      </x:c>
      <x:c r="CQ29" s="763" t="str">
        <x:f t="shared" si="48"/>
        <x:v/>
      </x:c>
      <x:c r="CR29" s="953">
        <x:f t="shared" si="49"/>
        <x:v>5</x:v>
      </x:c>
      <x:c r="CS29" s="954">
        <x:f t="shared" si="50"/>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51"/>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52"/>
        <x:v>0</x:v>
      </x:c>
      <x:c r="DO29" s="1049">
        <x:f t="shared" si="53"/>
        <x:v>0</x:v>
      </x:c>
      <x:c r="DP29" s="1053" t="str">
        <x:f t="shared" si="54"/>
        <x:v/>
      </x:c>
      <x:c r="DQ29" s="1053" t="str">
        <x:f t="shared" si="55"/>
        <x:v/>
      </x:c>
      <x:c r="DR29" s="1053" t="str">
        <x:f t="shared" si="56"/>
        <x:v/>
      </x:c>
      <x:c r="DS29" s="1052">
        <x:f t="shared" si="57"/>
        <x:v>0</x:v>
      </x:c>
      <x:c r="DT29" s="1052">
        <x:f t="shared" si="58"/>
        <x:v>0</x:v>
      </x:c>
      <x:c r="DU29" s="1052" t="str">
        <x:f t="shared" si="59"/>
        <x:v/>
      </x:c>
      <x:c r="DV29" s="1053" t="str">
        <x:f t="shared" si="60"/>
        <x:v/>
      </x:c>
      <x:c r="DW29" s="1053" t="str">
        <x:f t="shared" si="61"/>
        <x:v/>
      </x:c>
      <x:c r="DX29" s="1269">
        <x:f t="shared" si="62"/>
        <x:v>0</x:v>
      </x:c>
      <x:c r="DY29" s="1053">
        <x:f t="shared" si="63"/>
        <x:v>0</x:v>
      </x:c>
      <x:c r="DZ29" s="1052">
        <x:f t="shared" si="64"/>
        <x:v>0</x:v>
      </x:c>
      <x:c r="EA29" s="1052" t="str">
        <x:f t="shared" si="65"/>
        <x:v/>
      </x:c>
      <x:c r="EB29" s="1053" t="str">
        <x:f t="shared" si="66"/>
        <x:v/>
      </x:c>
      <x:c r="EC29" s="1053" t="str">
        <x:f t="shared" si="67"/>
        <x:v/>
      </x:c>
      <x:c r="ED29" s="1269">
        <x:f t="shared" si="68"/>
        <x:v>0</x:v>
      </x:c>
      <x:c r="EE29" s="1090" t="str">
        <x:f t="shared" si="69"/>
        <x:v/>
      </x:c>
      <x:c r="EF29" s="1053" t="str">
        <x:f t="shared" si="70"/>
        <x:v/>
      </x:c>
      <x:c r="EG29" s="1053" t="str">
        <x:f t="shared" si="71"/>
        <x:v/>
      </x:c>
      <x:c r="EH29" s="1053" t="str">
        <x:f t="shared" si="72"/>
        <x:v>ERR</x:v>
      </x:c>
      <x:c r="EI29" s="1053" t="str">
        <x:f t="shared" si="73"/>
        <x:v>ERR</x:v>
      </x:c>
      <x:c r="EJ29" s="1053" t="str">
        <x:f t="shared" si="74"/>
        <x:v/>
      </x:c>
      <x:c r="EK29" s="1053" t="str">
        <x:f t="shared" si="74"/>
        <x:v/>
      </x:c>
      <x:c r="EL29" s="1090" t="str">
        <x:f t="shared" si="75"/>
        <x:v/>
      </x:c>
      <x:c r="EM29" s="1053" t="str">
        <x:f t="shared" si="76"/>
        <x:v/>
      </x:c>
      <x:c r="EN29" s="1053" t="str">
        <x:f t="shared" si="77"/>
        <x:v/>
      </x:c>
      <x:c r="EO29" s="1053" t="str">
        <x:f t="shared" si="78"/>
        <x:v>ERR</x:v>
      </x:c>
      <x:c r="EP29" s="1053" t="str">
        <x:f t="shared" si="79"/>
        <x:v>ERR</x:v>
      </x:c>
      <x:c r="EQ29" s="1053" t="str">
        <x:f t="shared" si="80"/>
        <x:v/>
      </x:c>
      <x:c r="ER29" s="1053" t="str">
        <x:f t="shared" si="80"/>
        <x:v/>
      </x:c>
      <x:c r="ES29" s="1053" t="str">
        <x:f t="shared" si="81"/>
        <x:v/>
      </x:c>
      <x:c r="ET29" s="1053" t="str">
        <x:f t="shared" si="82"/>
        <x:v/>
      </x:c>
      <x:c r="EU29" s="1061">
        <x:f t="shared" si="83"/>
        <x:v>4</x:v>
      </x:c>
      <x:c r="EV29" s="1055" t="str">
        <x:f t="shared" si="84"/>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5"/>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6"/>
        <x:v/>
      </x:c>
      <x:c r="FD29" s="1052">
        <x:f t="shared" si="108"/>
        <x:v>0</x:v>
      </x:c>
      <x:c r="FE29" s="1052">
        <x:f t="shared" si="87"/>
        <x:v>0</x:v>
      </x:c>
      <x:c r="FF29" s="1052">
        <x:f t="shared" si="88"/>
        <x:v>0</x:v>
      </x:c>
      <x:c r="FG29" s="1052" t="str">
        <x:f t="shared" si="89"/>
        <x:v/>
      </x:c>
      <x:c r="FH29" s="1053" t="str">
        <x:f t="shared" si="90"/>
        <x:v/>
      </x:c>
      <x:c r="FI29" s="1052">
        <x:f t="shared" si="109"/>
        <x:v>0</x:v>
      </x:c>
      <x:c r="FJ29" s="1052">
        <x:f t="shared" si="91"/>
        <x:v>0</x:v>
      </x:c>
      <x:c r="FK29" s="1052">
        <x:f t="shared" si="92"/>
        <x:v>0</x:v>
      </x:c>
      <x:c r="FL29" s="1052" t="str">
        <x:f t="shared" si="93"/>
        <x:v/>
      </x:c>
      <x:c r="FM29" s="1053" t="str">
        <x:f t="shared" si="94"/>
        <x:v/>
      </x:c>
      <x:c r="FN29" s="1053" t="e">
        <x:f t="shared" si="95"/>
        <x:v>#VALUE!</x:v>
      </x:c>
      <x:c r="FO29" s="1062" t="e">
        <x:f t="shared" si="96"/>
        <x:v>#VALUE!</x:v>
      </x:c>
      <x:c r="FP29" s="1062" t="e">
        <x:f t="shared" si="97"/>
        <x:v>#VALUE!</x:v>
      </x:c>
      <x:c r="FQ29" s="1063" t="e">
        <x:f t="shared" si="98"/>
        <x:v>#VALUE!</x:v>
      </x:c>
      <x:c r="FR29" s="1064" t="e">
        <x:f t="shared" si="99"/>
        <x:v>#VALUE!</x:v>
      </x:c>
      <x:c r="FS29" s="1065" t="str">
        <x:f t="shared" si="100"/>
        <x:v/>
      </x:c>
      <x:c r="FT29" s="1066" t="str">
        <x:f t="shared" si="101"/>
        <x:v/>
      </x:c>
      <x:c r="FU29" s="1105">
        <x:f t="shared" si="102"/>
        <x:v>0</x:v>
      </x:c>
      <x:c r="FV29" s="1106">
        <x:f t="shared" si="103"/>
        <x:v>0</x:v>
      </x:c>
      <x:c r="GA29" s="1975">
        <x:v>59</x:v>
      </x:c>
      <x:c r="GB29" s="1976">
        <x:v>2.75</x:v>
      </x:c>
      <x:c r="GC29" s="1977">
        <x:v>-1.875</x:v>
      </x:c>
      <x:c r="GD29" s="1978">
        <x:v>-0.25</x:v>
      </x:c>
      <x:c r="GE29" s="1979">
        <x:v>0.227928244811819</x:v>
      </x:c>
      <x:c r="GF29" s="1980" t="str">
        <x:f t="shared" si="104"/>
        <x:v>TJ130</x:v>
      </x:c>
      <x:c r="GG29" s="1453"/>
      <x:c r="GH29" s="1454"/>
      <x:c r="GI29" s="1453"/>
      <x:c r="GJ29" s="1454"/>
      <x:c r="GK29" s="533">
        <x:f t="shared" si="105"/>
        <x:v>708.625</x:v>
      </x:c>
      <x:c r="GL29" s="534">
        <x:f t="shared" si="106"/>
        <x:v>708.75281478960926</x:v>
      </x:c>
      <x:c r="GM29" s="535">
        <x:f>IF(ABS(GK29-GL29)&gt;='Job Info.'!$L$22,ABS(GK29-GL29),0)</x:f>
        <x:v>0</x:v>
      </x:c>
      <x:c r="HA29" s="1658" t="s">
        <x:v>1454</x:v>
      </x:c>
      <x:c r="HB29" s="1659">
        <x:v>1</x:v>
      </x:c>
      <x:c r="HC29" s="1659" t="s">
        <x:v>1978</x:v>
      </x:c>
      <x:c r="HD29" s="1660">
        <x:v>59</x:v>
      </x:c>
      <x:c r="HE29" s="1661">
        <x:v>0.625</x:v>
      </x:c>
      <x:c r="HF29" s="1659" t="s">
        <x:v>117</x:v>
      </x:c>
      <x:c r="HG29" s="1659" t="s">
        <x:v>117</x:v>
      </x:c>
      <x:c r="HH29" s="1659" t="s">
        <x:v>117</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x:v>0</x:v>
      </x:c>
      <x:c r="HU29" s="1659">
        <x:v>1.125</x:v>
      </x:c>
      <x:c r="HV29" s="1659">
        <x:v>0</x:v>
      </x:c>
      <x:c r="HW29" s="1661">
        <x:v>2.25</x:v>
      </x:c>
      <x:c r="HX29" s="1661">
        <x:v>4</x:v>
      </x:c>
      <x:c r="HY29" s="1661" t="s">
        <x:v>117</x:v>
      </x:c>
      <x:c r="HZ29" s="1661" t="s">
        <x:v>117</x:v>
      </x:c>
      <x:c r="IA29" s="1661" t="s">
        <x:v>2162</x:v>
      </x:c>
      <x:c r="IB29" s="1661"/>
      <x:c r="IC29" s="1661"/>
      <x:c r="ID29" s="1661"/>
      <x:c r="IE29" s="1661"/>
      <x:c r="IF29" s="1663"/>
    </x:row>
    <x:row r="30" spans="1:240" ht="12.6" customHeight="1" x14ac:dyDescent="0.25">
      <x:c r="A30" s="1264" t="s">
        <x:v>1455</x:v>
      </x:c>
      <x:c r="B30" s="1265">
        <x:v>2</x:v>
      </x:c>
      <x:c r="C30" s="1265" t="s">
        <x:v>1978</x:v>
      </x:c>
      <x:c r="D30" s="1261">
        <x:v>59</x:v>
      </x:c>
      <x:c r="E30" s="1366">
        <x:v>0.625</x:v>
      </x:c>
      <x:c r="F30" s="1328" t="str">
        <x:f t="shared" si="1"/>
        <x:v/>
      </x:c>
      <x:c r="G30" s="1262" t="str">
        <x:f t="shared" si="2"/>
        <x:v/>
      </x:c>
      <x:c r="H30" s="1266" t="str">
        <x:f t="shared" si="3"/>
        <x:v/>
      </x:c>
      <x:c r="I30" s="1261">
        <x:v>0</x:v>
      </x:c>
      <x:c r="J30" s="1262">
        <x:v>1.375</x:v>
      </x:c>
      <x:c r="K30" s="1370" t="s">
        <x:v>114</x:v>
      </x:c>
      <x:c r="L30" s="1327">
        <x:v>3</x:v>
      </x:c>
      <x:c r="M30" s="1329">
        <x:v>3</x:v>
      </x:c>
      <x:c r="N30" s="1263" t="str">
        <x:f t="shared" si="4"/>
        <x:v/>
      </x:c>
      <x:c r="O30" s="1262" t="str">
        <x:f t="shared" si="5"/>
        <x:v/>
      </x:c>
      <x:c r="P30" s="1260" t="str">
        <x:f t="shared" si="6"/>
        <x:v/>
      </x:c>
      <x:c r="Q30" s="1261" t="str">
        <x:f t="shared" si="7"/>
        <x:v/>
      </x:c>
      <x:c r="R30" s="1262" t="str">
        <x:f t="shared" si="8"/>
        <x:v/>
      </x:c>
      <x:c r="S30" s="1375" t="str">
        <x:f t="shared" si="9"/>
        <x:v/>
      </x:c>
      <x:c r="T30" s="1328">
        <x:v>0</x:v>
      </x:c>
      <x:c r="U30" s="1262">
        <x:v>1.125</x:v>
      </x:c>
      <x:c r="V30" s="1261">
        <x:v>0</x:v>
      </x:c>
      <x:c r="W30" s="1262">
        <x:v>2.25</x:v>
      </x:c>
      <x:c r="X30" s="1329">
        <x:v>4</x:v>
      </x:c>
      <x:c r="Y30" s="1377" t="str">
        <x:f t="shared" si="15"/>
        <x:v/>
      </x:c>
      <x:c r="Z30" s="1378" t="str">
        <x:f t="shared" si="16"/>
        <x:v/>
      </x:c>
      <x:c r="AA30" s="2159" t="s">
        <x:v>2163</x:v>
      </x:c>
      <x:c r="AC30" s="1226" t="b">
        <x:v>0</x:v>
      </x:c>
      <x:c r="AD30" s="525">
        <x:f t="shared" si="17"/>
        <x:v>0</x:v>
      </x:c>
      <x:c r="AE30" s="526">
        <x:f t="shared" si="18"/>
        <x:v>2</x:v>
      </x:c>
      <x:c r="AF30" s="526">
        <x:f t="shared" si="19"/>
        <x:v>0</x:v>
      </x:c>
      <x:c r="AG30" s="526">
        <x:f t="shared" si="20"/>
        <x:v>0</x:v>
      </x:c>
      <x:c r="AH30" s="527">
        <x:f t="shared" si="21"/>
        <x:v>0</x:v>
      </x:c>
      <x:c r="AI30" s="528" t="b">
        <x:v>0</x:v>
      </x:c>
      <x:c r="AJ30" s="284">
        <x:f t="shared" si="22"/>
        <x:v>36</x:v>
      </x:c>
      <x:c r="AK30" s="1063" t="str">
        <x:f t="shared" si="23"/>
        <x:v>LH</x:v>
      </x:c>
      <x:c r="AL30" s="1202" t="str">
        <x:f t="shared" si="24"/>
        <x:v/>
      </x:c>
      <x:c r="AM30" s="1063">
        <x:f t="shared" si="25"/>
        <x:v>270</x:v>
      </x:c>
      <x:c r="AN30" s="1063">
        <x:f t="shared" si="26"/>
        <x:v>120</x:v>
      </x:c>
      <x:c r="AO30" s="1063" t="str">
        <x:f t="shared" si="27"/>
        <x:v/>
      </x:c>
      <x:c r="AP30" s="1063" t="b">
        <x:f>IF(ISERROR(AJ30),FALSE,IF(OR(AJ30=0,ISERROR(AL30),ISERROR(AM30),ISERROR(AN30),ISERROR(AO30)),FALSE,IF(AL30&lt;&gt;"",IF(ISERROR(VLOOKUP(SUBSTITUTE(SUBSTITUTE(C30,"R",""),"A",""),TblJoistSize!$A:$A,1,FALSE)),FALSE,TRUE),TRUE)))</x:f>
        <x:v>1</x:v>
      </x:c>
      <x:c r="AQ30" s="1305">
        <x:f t="shared" si="28"/>
        <x:v>6</x:v>
      </x:c>
      <x:c r="AR30" s="1305" t="b">
        <x:f t="shared" si="29"/>
        <x:v>1</x:v>
      </x:c>
      <x:c r="AS30" s="1305">
        <x:f t="shared" si="30"/>
        <x:v>7.375</x:v>
      </x:c>
      <x:c r="AT30" s="1305" t="b">
        <x:f t="shared" si="31"/>
        <x:v>1</x:v>
      </x:c>
      <x:c r="AU30" s="1203" t="str">
        <x:f t="shared" si="32"/>
        <x:v>LH</x:v>
      </x:c>
      <x:c r="AV30" s="1063" t="str">
        <x:f t="shared" si="33"/>
        <x:v/>
      </x:c>
      <x:c r="AW30" s="1063" t="str">
        <x:f t="shared" si="34"/>
        <x:v>LH</x:v>
      </x:c>
      <x:c r="AX30" s="1063" t="str">
        <x:f t="shared" si="107"/>
        <x:v>TJ131</x:v>
      </x:c>
      <x:c r="AY30" s="1306" t="b">
        <x:f t="shared" si="35"/>
        <x:v>0</x:v>
      </x:c>
      <x:c r="AZ30" s="1090" t="b">
        <x:f t="shared" si="36"/>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7"/>
        <x:v/>
      </x:c>
      <x:c r="CE30" s="935" t="str">
        <x:f t="shared" si="38"/>
        <x:v/>
      </x:c>
      <x:c r="CF30" s="1149"/>
      <x:c r="CG30" s="1150"/>
      <x:c r="CH30" s="738" t="str">
        <x:f t="shared" si="39"/>
        <x:v/>
      </x:c>
      <x:c r="CI30" s="739" t="str">
        <x:f t="shared" si="40"/>
        <x:v/>
      </x:c>
      <x:c r="CJ30" s="740" t="str">
        <x:f t="shared" si="41"/>
        <x:v/>
      </x:c>
      <x:c r="CK30" s="741" t="str">
        <x:f t="shared" si="42"/>
        <x:v/>
      </x:c>
      <x:c r="CL30" s="742" t="str">
        <x:f t="shared" si="43"/>
        <x:v/>
      </x:c>
      <x:c r="CM30" s="743" t="str">
        <x:f t="shared" si="44"/>
        <x:v/>
      </x:c>
      <x:c r="CN30" s="744" t="str">
        <x:f t="shared" si="45"/>
        <x:v/>
      </x:c>
      <x:c r="CO30" s="745" t="str">
        <x:f t="shared" si="46"/>
        <x:v/>
      </x:c>
      <x:c r="CP30" s="762" t="str">
        <x:f t="shared" si="47"/>
        <x:v/>
      </x:c>
      <x:c r="CQ30" s="763" t="str">
        <x:f t="shared" si="48"/>
        <x:v/>
      </x:c>
      <x:c r="CR30" s="953">
        <x:f t="shared" si="49"/>
        <x:v>5</x:v>
      </x:c>
      <x:c r="CS30" s="954">
        <x:f t="shared" si="50"/>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51"/>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52"/>
        <x:v>0</x:v>
      </x:c>
      <x:c r="DO30" s="1049">
        <x:f t="shared" si="53"/>
        <x:v>0</x:v>
      </x:c>
      <x:c r="DP30" s="1053" t="str">
        <x:f t="shared" si="54"/>
        <x:v/>
      </x:c>
      <x:c r="DQ30" s="1053" t="str">
        <x:f t="shared" si="55"/>
        <x:v/>
      </x:c>
      <x:c r="DR30" s="1053" t="str">
        <x:f t="shared" si="56"/>
        <x:v/>
      </x:c>
      <x:c r="DS30" s="1052">
        <x:f t="shared" si="57"/>
        <x:v>0</x:v>
      </x:c>
      <x:c r="DT30" s="1052">
        <x:f t="shared" si="58"/>
        <x:v>0</x:v>
      </x:c>
      <x:c r="DU30" s="1052" t="str">
        <x:f t="shared" si="59"/>
        <x:v/>
      </x:c>
      <x:c r="DV30" s="1053" t="str">
        <x:f t="shared" si="60"/>
        <x:v/>
      </x:c>
      <x:c r="DW30" s="1053" t="str">
        <x:f t="shared" si="61"/>
        <x:v/>
      </x:c>
      <x:c r="DX30" s="1269">
        <x:f t="shared" si="62"/>
        <x:v>0</x:v>
      </x:c>
      <x:c r="DY30" s="1053">
        <x:f t="shared" si="63"/>
        <x:v>0</x:v>
      </x:c>
      <x:c r="DZ30" s="1052">
        <x:f t="shared" si="64"/>
        <x:v>0</x:v>
      </x:c>
      <x:c r="EA30" s="1052" t="str">
        <x:f t="shared" si="65"/>
        <x:v/>
      </x:c>
      <x:c r="EB30" s="1053" t="str">
        <x:f t="shared" si="66"/>
        <x:v/>
      </x:c>
      <x:c r="EC30" s="1053" t="str">
        <x:f t="shared" si="67"/>
        <x:v/>
      </x:c>
      <x:c r="ED30" s="1269">
        <x:f t="shared" si="68"/>
        <x:v>0</x:v>
      </x:c>
      <x:c r="EE30" s="1090" t="str">
        <x:f t="shared" si="69"/>
        <x:v/>
      </x:c>
      <x:c r="EF30" s="1053" t="str">
        <x:f t="shared" si="70"/>
        <x:v/>
      </x:c>
      <x:c r="EG30" s="1053" t="str">
        <x:f t="shared" si="71"/>
        <x:v/>
      </x:c>
      <x:c r="EH30" s="1053" t="str">
        <x:f t="shared" si="72"/>
        <x:v>ERR</x:v>
      </x:c>
      <x:c r="EI30" s="1053" t="str">
        <x:f t="shared" si="73"/>
        <x:v>ERR</x:v>
      </x:c>
      <x:c r="EJ30" s="1053" t="str">
        <x:f t="shared" si="74"/>
        <x:v/>
      </x:c>
      <x:c r="EK30" s="1053" t="str">
        <x:f t="shared" si="74"/>
        <x:v/>
      </x:c>
      <x:c r="EL30" s="1090" t="str">
        <x:f t="shared" si="75"/>
        <x:v/>
      </x:c>
      <x:c r="EM30" s="1053" t="str">
        <x:f t="shared" si="76"/>
        <x:v/>
      </x:c>
      <x:c r="EN30" s="1053" t="str">
        <x:f t="shared" si="77"/>
        <x:v/>
      </x:c>
      <x:c r="EO30" s="1053" t="str">
        <x:f t="shared" si="78"/>
        <x:v>ERR</x:v>
      </x:c>
      <x:c r="EP30" s="1053" t="str">
        <x:f t="shared" si="79"/>
        <x:v>ERR</x:v>
      </x:c>
      <x:c r="EQ30" s="1053" t="str">
        <x:f t="shared" si="80"/>
        <x:v/>
      </x:c>
      <x:c r="ER30" s="1053" t="str">
        <x:f t="shared" si="80"/>
        <x:v/>
      </x:c>
      <x:c r="ES30" s="1053" t="str">
        <x:f t="shared" si="81"/>
        <x:v/>
      </x:c>
      <x:c r="ET30" s="1053" t="str">
        <x:f t="shared" si="82"/>
        <x:v/>
      </x:c>
      <x:c r="EU30" s="1061">
        <x:f t="shared" si="83"/>
        <x:v>4</x:v>
      </x:c>
      <x:c r="EV30" s="1055" t="str">
        <x:f t="shared" si="84"/>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5"/>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6"/>
        <x:v/>
      </x:c>
      <x:c r="FD30" s="1052">
        <x:f t="shared" si="108"/>
        <x:v>0</x:v>
      </x:c>
      <x:c r="FE30" s="1052">
        <x:f t="shared" si="87"/>
        <x:v>0</x:v>
      </x:c>
      <x:c r="FF30" s="1052">
        <x:f t="shared" si="88"/>
        <x:v>0</x:v>
      </x:c>
      <x:c r="FG30" s="1052" t="str">
        <x:f t="shared" si="89"/>
        <x:v/>
      </x:c>
      <x:c r="FH30" s="1053" t="str">
        <x:f t="shared" si="90"/>
        <x:v/>
      </x:c>
      <x:c r="FI30" s="1052">
        <x:f t="shared" si="109"/>
        <x:v>0</x:v>
      </x:c>
      <x:c r="FJ30" s="1052">
        <x:f t="shared" si="91"/>
        <x:v>0</x:v>
      </x:c>
      <x:c r="FK30" s="1052">
        <x:f t="shared" si="92"/>
        <x:v>0</x:v>
      </x:c>
      <x:c r="FL30" s="1052" t="str">
        <x:f t="shared" si="93"/>
        <x:v/>
      </x:c>
      <x:c r="FM30" s="1053" t="str">
        <x:f t="shared" si="94"/>
        <x:v/>
      </x:c>
      <x:c r="FN30" s="1053" t="e">
        <x:f t="shared" si="95"/>
        <x:v>#VALUE!</x:v>
      </x:c>
      <x:c r="FO30" s="1062" t="e">
        <x:f t="shared" si="96"/>
        <x:v>#VALUE!</x:v>
      </x:c>
      <x:c r="FP30" s="1062" t="e">
        <x:f t="shared" si="97"/>
        <x:v>#VALUE!</x:v>
      </x:c>
      <x:c r="FQ30" s="1063" t="e">
        <x:f t="shared" si="98"/>
        <x:v>#VALUE!</x:v>
      </x:c>
      <x:c r="FR30" s="1064" t="e">
        <x:f t="shared" si="99"/>
        <x:v>#VALUE!</x:v>
      </x:c>
      <x:c r="FS30" s="1065" t="str">
        <x:f t="shared" si="100"/>
        <x:v/>
      </x:c>
      <x:c r="FT30" s="1066" t="str">
        <x:f t="shared" si="101"/>
        <x:v/>
      </x:c>
      <x:c r="FU30" s="1105">
        <x:f t="shared" si="102"/>
        <x:v>0</x:v>
      </x:c>
      <x:c r="FV30" s="1106">
        <x:f t="shared" si="103"/>
        <x:v>0</x:v>
      </x:c>
      <x:c r="GA30" s="1975">
        <x:v>59</x:v>
      </x:c>
      <x:c r="GB30" s="1976">
        <x:v>2.75</x:v>
      </x:c>
      <x:c r="GC30" s="1977">
        <x:v>-1.875</x:v>
      </x:c>
      <x:c r="GD30" s="1978">
        <x:v>-0.25</x:v>
      </x:c>
      <x:c r="GE30" s="1979">
        <x:v>0.227928244811819</x:v>
      </x:c>
      <x:c r="GF30" s="1980" t="str">
        <x:f t="shared" si="104"/>
        <x:v>TJ131</x:v>
      </x:c>
      <x:c r="GG30" s="1453"/>
      <x:c r="GH30" s="1454"/>
      <x:c r="GI30" s="1453"/>
      <x:c r="GJ30" s="1454"/>
      <x:c r="GK30" s="533">
        <x:f t="shared" si="105"/>
        <x:v>708.625</x:v>
      </x:c>
      <x:c r="GL30" s="534">
        <x:f t="shared" si="106"/>
        <x:v>708.75281478960926</x:v>
      </x:c>
      <x:c r="GM30" s="535">
        <x:f>IF(ABS(GK30-GL30)&gt;='Job Info.'!$L$22,ABS(GK30-GL30),0)</x:f>
        <x:v>0</x:v>
      </x:c>
      <x:c r="HA30" s="1658" t="s">
        <x:v>1455</x:v>
      </x:c>
      <x:c r="HB30" s="1659">
        <x:v>2</x:v>
      </x:c>
      <x:c r="HC30" s="1659" t="s">
        <x:v>1978</x:v>
      </x:c>
      <x:c r="HD30" s="1660">
        <x:v>59</x:v>
      </x:c>
      <x:c r="HE30" s="1661">
        <x:v>0.625</x:v>
      </x:c>
      <x:c r="HF30" s="1659" t="s">
        <x:v>117</x:v>
      </x:c>
      <x:c r="HG30" s="1659" t="s">
        <x:v>117</x:v>
      </x:c>
      <x:c r="HH30" s="1659" t="s">
        <x:v>117</x:v>
      </x:c>
      <x:c r="HI30" s="1662">
        <x:v>0</x:v>
      </x:c>
      <x:c r="HJ30" s="1659">
        <x:v>1.375</x:v>
      </x:c>
      <x:c r="HK30" s="1659" t="s">
        <x:v>114</x:v>
      </x:c>
      <x:c r="HL30" s="1659">
        <x:v>3</x:v>
      </x:c>
      <x:c r="HM30" s="1659">
        <x:v>3</x:v>
      </x:c>
      <x:c r="HN30" s="1659" t="s">
        <x:v>117</x:v>
      </x:c>
      <x:c r="HO30" s="1659" t="s">
        <x:v>117</x:v>
      </x:c>
      <x:c r="HP30" s="1659" t="s">
        <x:v>117</x:v>
      </x:c>
      <x:c r="HQ30" s="1662" t="s">
        <x:v>117</x:v>
      </x:c>
      <x:c r="HR30" s="1659" t="s">
        <x:v>117</x:v>
      </x:c>
      <x:c r="HS30" s="1659" t="s">
        <x:v>117</x:v>
      </x:c>
      <x:c r="HT30" s="1659">
        <x:v>0</x:v>
      </x:c>
      <x:c r="HU30" s="1659">
        <x:v>1.125</x:v>
      </x:c>
      <x:c r="HV30" s="1659">
        <x:v>0</x:v>
      </x:c>
      <x:c r="HW30" s="1661">
        <x:v>2.25</x:v>
      </x:c>
      <x:c r="HX30" s="1661">
        <x:v>4</x:v>
      </x:c>
      <x:c r="HY30" s="1661" t="s">
        <x:v>117</x:v>
      </x:c>
      <x:c r="HZ30" s="1661" t="s">
        <x:v>117</x:v>
      </x:c>
      <x:c r="IA30" s="1661" t="s">
        <x:v>2163</x:v>
      </x:c>
      <x:c r="IB30" s="1661"/>
      <x:c r="IC30" s="1661"/>
      <x:c r="ID30" s="1661"/>
      <x:c r="IE30" s="1661"/>
      <x:c r="IF30" s="1663"/>
    </x:row>
    <x:row r="31" spans="1:240" ht="12.6" customHeight="1" x14ac:dyDescent="0.25">
      <x:c r="A31" s="1264" t="s">
        <x:v>1456</x:v>
      </x:c>
      <x:c r="B31" s="1265">
        <x:v>3</x:v>
      </x:c>
      <x:c r="C31" s="1265" t="s">
        <x:v>1978</x:v>
      </x:c>
      <x:c r="D31" s="1261">
        <x:v>59</x:v>
      </x:c>
      <x:c r="E31" s="1366">
        <x:v>0.625</x:v>
      </x:c>
      <x:c r="F31" s="1328" t="str">
        <x:f t="shared" si="1"/>
        <x:v/>
      </x:c>
      <x:c r="G31" s="1262" t="str">
        <x:f t="shared" si="2"/>
        <x:v/>
      </x:c>
      <x:c r="H31" s="1266" t="str">
        <x:f t="shared" si="3"/>
        <x:v/>
      </x:c>
      <x:c r="I31" s="1261">
        <x:v>0</x:v>
      </x:c>
      <x:c r="J31" s="1262">
        <x:v>1.375</x:v>
      </x:c>
      <x:c r="K31" s="1370" t="s">
        <x:v>114</x:v>
      </x:c>
      <x:c r="L31" s="1327">
        <x:v>3</x:v>
      </x:c>
      <x:c r="M31" s="1329">
        <x:v>3</x:v>
      </x:c>
      <x:c r="N31" s="1263" t="str">
        <x:f t="shared" si="4"/>
        <x:v/>
      </x:c>
      <x:c r="O31" s="1262" t="str">
        <x:f t="shared" si="5"/>
        <x:v/>
      </x:c>
      <x:c r="P31" s="1260" t="str">
        <x:f t="shared" si="6"/>
        <x:v/>
      </x:c>
      <x:c r="Q31" s="1261" t="str">
        <x:f t="shared" si="7"/>
        <x:v/>
      </x:c>
      <x:c r="R31" s="1262" t="str">
        <x:f t="shared" si="8"/>
        <x:v/>
      </x:c>
      <x:c r="S31" s="1375" t="str">
        <x:f t="shared" si="9"/>
        <x:v/>
      </x:c>
      <x:c r="T31" s="1328">
        <x:v>0</x:v>
      </x:c>
      <x:c r="U31" s="1262">
        <x:v>1.125</x:v>
      </x:c>
      <x:c r="V31" s="1261">
        <x:v>0</x:v>
      </x:c>
      <x:c r="W31" s="1262">
        <x:v>2.25</x:v>
      </x:c>
      <x:c r="X31" s="1329">
        <x:v>4</x:v>
      </x:c>
      <x:c r="Y31" s="1377" t="str">
        <x:f t="shared" si="15"/>
        <x:v/>
      </x:c>
      <x:c r="Z31" s="1378" t="str">
        <x:f t="shared" si="16"/>
        <x:v/>
      </x:c>
      <x:c r="AA31" s="2159" t="s">
        <x:v>2164</x:v>
      </x:c>
      <x:c r="AC31" s="1226" t="b">
        <x:v>0</x:v>
      </x:c>
      <x:c r="AD31" s="525">
        <x:f t="shared" si="17"/>
        <x:v>0</x:v>
      </x:c>
      <x:c r="AE31" s="526">
        <x:f t="shared" si="18"/>
        <x:v>3</x:v>
      </x:c>
      <x:c r="AF31" s="526">
        <x:f t="shared" si="19"/>
        <x:v>0</x:v>
      </x:c>
      <x:c r="AG31" s="526">
        <x:f t="shared" si="20"/>
        <x:v>0</x:v>
      </x:c>
      <x:c r="AH31" s="527">
        <x:f t="shared" si="21"/>
        <x:v>0</x:v>
      </x:c>
      <x:c r="AI31" s="528" t="b">
        <x:v>0</x:v>
      </x:c>
      <x:c r="AJ31" s="284">
        <x:f t="shared" si="22"/>
        <x:v>36</x:v>
      </x:c>
      <x:c r="AK31" s="1063" t="str">
        <x:f t="shared" si="23"/>
        <x:v>LH</x:v>
      </x:c>
      <x:c r="AL31" s="1202" t="str">
        <x:f t="shared" si="24"/>
        <x:v/>
      </x:c>
      <x:c r="AM31" s="1063">
        <x:f t="shared" si="25"/>
        <x:v>270</x:v>
      </x:c>
      <x:c r="AN31" s="1063">
        <x:f t="shared" si="26"/>
        <x:v>120</x:v>
      </x:c>
      <x:c r="AO31" s="1063" t="str">
        <x:f t="shared" si="27"/>
        <x:v/>
      </x:c>
      <x:c r="AP31" s="1063" t="b">
        <x:f>IF(ISERROR(AJ31),FALSE,IF(OR(AJ31=0,ISERROR(AL31),ISERROR(AM31),ISERROR(AN31),ISERROR(AO31)),FALSE,IF(AL31&lt;&gt;"",IF(ISERROR(VLOOKUP(SUBSTITUTE(SUBSTITUTE(C31,"R",""),"A",""),TblJoistSize!$A:$A,1,FALSE)),FALSE,TRUE),TRUE)))</x:f>
        <x:v>1</x:v>
      </x:c>
      <x:c r="AQ31" s="1305">
        <x:f t="shared" si="28"/>
        <x:v>6</x:v>
      </x:c>
      <x:c r="AR31" s="1305" t="b">
        <x:f t="shared" si="29"/>
        <x:v>1</x:v>
      </x:c>
      <x:c r="AS31" s="1305">
        <x:f t="shared" si="30"/>
        <x:v>7.375</x:v>
      </x:c>
      <x:c r="AT31" s="1305" t="b">
        <x:f t="shared" si="31"/>
        <x:v>1</x:v>
      </x:c>
      <x:c r="AU31" s="1203" t="str">
        <x:f t="shared" si="32"/>
        <x:v>LH</x:v>
      </x:c>
      <x:c r="AV31" s="1063" t="str">
        <x:f t="shared" si="33"/>
        <x:v/>
      </x:c>
      <x:c r="AW31" s="1063" t="str">
        <x:f t="shared" si="34"/>
        <x:v>LH</x:v>
      </x:c>
      <x:c r="AX31" s="1063" t="str">
        <x:f t="shared" si="107"/>
        <x:v>TJ132</x:v>
      </x:c>
      <x:c r="AY31" s="1306" t="b">
        <x:f t="shared" si="35"/>
        <x:v>0</x:v>
      </x:c>
      <x:c r="AZ31" s="1090" t="b">
        <x:f t="shared" si="36"/>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7"/>
        <x:v/>
      </x:c>
      <x:c r="CE31" s="935" t="str">
        <x:f t="shared" si="38"/>
        <x:v/>
      </x:c>
      <x:c r="CF31" s="1149"/>
      <x:c r="CG31" s="1150"/>
      <x:c r="CH31" s="738" t="str">
        <x:f t="shared" si="39"/>
        <x:v/>
      </x:c>
      <x:c r="CI31" s="739" t="str">
        <x:f t="shared" si="40"/>
        <x:v/>
      </x:c>
      <x:c r="CJ31" s="740" t="str">
        <x:f t="shared" si="41"/>
        <x:v/>
      </x:c>
      <x:c r="CK31" s="741" t="str">
        <x:f t="shared" si="42"/>
        <x:v/>
      </x:c>
      <x:c r="CL31" s="742" t="str">
        <x:f t="shared" si="43"/>
        <x:v/>
      </x:c>
      <x:c r="CM31" s="743" t="str">
        <x:f t="shared" si="44"/>
        <x:v/>
      </x:c>
      <x:c r="CN31" s="744" t="str">
        <x:f t="shared" si="45"/>
        <x:v/>
      </x:c>
      <x:c r="CO31" s="745" t="str">
        <x:f t="shared" si="46"/>
        <x:v/>
      </x:c>
      <x:c r="CP31" s="762" t="str">
        <x:f t="shared" si="47"/>
        <x:v/>
      </x:c>
      <x:c r="CQ31" s="763" t="str">
        <x:f t="shared" si="48"/>
        <x:v/>
      </x:c>
      <x:c r="CR31" s="953">
        <x:f t="shared" si="49"/>
        <x:v>5</x:v>
      </x:c>
      <x:c r="CS31" s="954">
        <x:f t="shared" si="50"/>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51"/>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52"/>
        <x:v>0</x:v>
      </x:c>
      <x:c r="DO31" s="1049">
        <x:f t="shared" si="53"/>
        <x:v>0</x:v>
      </x:c>
      <x:c r="DP31" s="1053" t="str">
        <x:f t="shared" si="54"/>
        <x:v/>
      </x:c>
      <x:c r="DQ31" s="1053" t="str">
        <x:f t="shared" si="55"/>
        <x:v/>
      </x:c>
      <x:c r="DR31" s="1053" t="str">
        <x:f t="shared" si="56"/>
        <x:v/>
      </x:c>
      <x:c r="DS31" s="1052">
        <x:f t="shared" si="57"/>
        <x:v>0</x:v>
      </x:c>
      <x:c r="DT31" s="1052">
        <x:f t="shared" si="58"/>
        <x:v>0</x:v>
      </x:c>
      <x:c r="DU31" s="1052" t="str">
        <x:f t="shared" si="59"/>
        <x:v/>
      </x:c>
      <x:c r="DV31" s="1053" t="str">
        <x:f t="shared" si="60"/>
        <x:v/>
      </x:c>
      <x:c r="DW31" s="1053" t="str">
        <x:f t="shared" si="61"/>
        <x:v/>
      </x:c>
      <x:c r="DX31" s="1269">
        <x:f t="shared" si="62"/>
        <x:v>0</x:v>
      </x:c>
      <x:c r="DY31" s="1053">
        <x:f t="shared" si="63"/>
        <x:v>0</x:v>
      </x:c>
      <x:c r="DZ31" s="1052">
        <x:f t="shared" si="64"/>
        <x:v>0</x:v>
      </x:c>
      <x:c r="EA31" s="1052" t="str">
        <x:f t="shared" si="65"/>
        <x:v/>
      </x:c>
      <x:c r="EB31" s="1053" t="str">
        <x:f t="shared" si="66"/>
        <x:v/>
      </x:c>
      <x:c r="EC31" s="1053" t="str">
        <x:f t="shared" si="67"/>
        <x:v/>
      </x:c>
      <x:c r="ED31" s="1269">
        <x:f t="shared" si="68"/>
        <x:v>0</x:v>
      </x:c>
      <x:c r="EE31" s="1090" t="str">
        <x:f t="shared" si="69"/>
        <x:v/>
      </x:c>
      <x:c r="EF31" s="1053" t="str">
        <x:f t="shared" si="70"/>
        <x:v/>
      </x:c>
      <x:c r="EG31" s="1053" t="str">
        <x:f t="shared" si="71"/>
        <x:v/>
      </x:c>
      <x:c r="EH31" s="1053" t="str">
        <x:f t="shared" si="72"/>
        <x:v>ERR</x:v>
      </x:c>
      <x:c r="EI31" s="1053" t="str">
        <x:f t="shared" si="73"/>
        <x:v>ERR</x:v>
      </x:c>
      <x:c r="EJ31" s="1053" t="str">
        <x:f t="shared" si="74"/>
        <x:v/>
      </x:c>
      <x:c r="EK31" s="1053" t="str">
        <x:f t="shared" si="74"/>
        <x:v/>
      </x:c>
      <x:c r="EL31" s="1090" t="str">
        <x:f t="shared" si="75"/>
        <x:v/>
      </x:c>
      <x:c r="EM31" s="1053" t="str">
        <x:f t="shared" si="76"/>
        <x:v/>
      </x:c>
      <x:c r="EN31" s="1053" t="str">
        <x:f t="shared" si="77"/>
        <x:v/>
      </x:c>
      <x:c r="EO31" s="1053" t="str">
        <x:f t="shared" si="78"/>
        <x:v>ERR</x:v>
      </x:c>
      <x:c r="EP31" s="1053" t="str">
        <x:f t="shared" si="79"/>
        <x:v>ERR</x:v>
      </x:c>
      <x:c r="EQ31" s="1053" t="str">
        <x:f t="shared" si="80"/>
        <x:v/>
      </x:c>
      <x:c r="ER31" s="1053" t="str">
        <x:f t="shared" si="80"/>
        <x:v/>
      </x:c>
      <x:c r="ES31" s="1053" t="str">
        <x:f t="shared" si="81"/>
        <x:v/>
      </x:c>
      <x:c r="ET31" s="1053" t="str">
        <x:f t="shared" si="82"/>
        <x:v/>
      </x:c>
      <x:c r="EU31" s="1061">
        <x:f t="shared" si="83"/>
        <x:v>4</x:v>
      </x:c>
      <x:c r="EV31" s="1055" t="str">
        <x:f t="shared" si="84"/>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5"/>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6"/>
        <x:v/>
      </x:c>
      <x:c r="FD31" s="1052">
        <x:f t="shared" si="108"/>
        <x:v>0</x:v>
      </x:c>
      <x:c r="FE31" s="1052">
        <x:f t="shared" si="87"/>
        <x:v>0</x:v>
      </x:c>
      <x:c r="FF31" s="1052">
        <x:f t="shared" si="88"/>
        <x:v>0</x:v>
      </x:c>
      <x:c r="FG31" s="1052" t="str">
        <x:f t="shared" si="89"/>
        <x:v/>
      </x:c>
      <x:c r="FH31" s="1053" t="str">
        <x:f t="shared" si="90"/>
        <x:v/>
      </x:c>
      <x:c r="FI31" s="1052">
        <x:f t="shared" si="109"/>
        <x:v>0</x:v>
      </x:c>
      <x:c r="FJ31" s="1052">
        <x:f t="shared" si="91"/>
        <x:v>0</x:v>
      </x:c>
      <x:c r="FK31" s="1052">
        <x:f t="shared" si="92"/>
        <x:v>0</x:v>
      </x:c>
      <x:c r="FL31" s="1052" t="str">
        <x:f t="shared" si="93"/>
        <x:v/>
      </x:c>
      <x:c r="FM31" s="1053" t="str">
        <x:f t="shared" si="94"/>
        <x:v/>
      </x:c>
      <x:c r="FN31" s="1053" t="e">
        <x:f t="shared" si="95"/>
        <x:v>#VALUE!</x:v>
      </x:c>
      <x:c r="FO31" s="1062" t="e">
        <x:f t="shared" si="96"/>
        <x:v>#VALUE!</x:v>
      </x:c>
      <x:c r="FP31" s="1062" t="e">
        <x:f t="shared" si="97"/>
        <x:v>#VALUE!</x:v>
      </x:c>
      <x:c r="FQ31" s="1063" t="e">
        <x:f t="shared" si="98"/>
        <x:v>#VALUE!</x:v>
      </x:c>
      <x:c r="FR31" s="1064" t="e">
        <x:f t="shared" si="99"/>
        <x:v>#VALUE!</x:v>
      </x:c>
      <x:c r="FS31" s="1065" t="str">
        <x:f t="shared" si="100"/>
        <x:v/>
      </x:c>
      <x:c r="FT31" s="1066" t="str">
        <x:f t="shared" si="101"/>
        <x:v/>
      </x:c>
      <x:c r="FU31" s="1105">
        <x:f t="shared" si="102"/>
        <x:v>0</x:v>
      </x:c>
      <x:c r="FV31" s="1106">
        <x:f t="shared" si="103"/>
        <x:v>0</x:v>
      </x:c>
      <x:c r="GA31" s="1975">
        <x:v>59</x:v>
      </x:c>
      <x:c r="GB31" s="1976">
        <x:v>2.75</x:v>
      </x:c>
      <x:c r="GC31" s="1977">
        <x:v>-1.875</x:v>
      </x:c>
      <x:c r="GD31" s="1978">
        <x:v>-0.25</x:v>
      </x:c>
      <x:c r="GE31" s="1979">
        <x:v>0.227928244811819</x:v>
      </x:c>
      <x:c r="GF31" s="1980" t="str">
        <x:f t="shared" si="104"/>
        <x:v>TJ132</x:v>
      </x:c>
      <x:c r="GG31" s="1453"/>
      <x:c r="GH31" s="1454"/>
      <x:c r="GI31" s="1453"/>
      <x:c r="GJ31" s="1454"/>
      <x:c r="GK31" s="533">
        <x:f t="shared" si="105"/>
        <x:v>708.625</x:v>
      </x:c>
      <x:c r="GL31" s="534">
        <x:f t="shared" si="106"/>
        <x:v>708.75281478960926</x:v>
      </x:c>
      <x:c r="GM31" s="535">
        <x:f>IF(ABS(GK31-GL31)&gt;='Job Info.'!$L$22,ABS(GK31-GL31),0)</x:f>
        <x:v>0</x:v>
      </x:c>
      <x:c r="HA31" s="1658" t="s">
        <x:v>1456</x:v>
      </x:c>
      <x:c r="HB31" s="1659">
        <x:v>3</x:v>
      </x:c>
      <x:c r="HC31" s="1659" t="s">
        <x:v>1978</x:v>
      </x:c>
      <x:c r="HD31" s="1660">
        <x:v>59</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x:v>0</x:v>
      </x:c>
      <x:c r="HU31" s="1659">
        <x:v>1.125</x:v>
      </x:c>
      <x:c r="HV31" s="1659">
        <x:v>0</x:v>
      </x:c>
      <x:c r="HW31" s="1661">
        <x:v>2.25</x:v>
      </x:c>
      <x:c r="HX31" s="1661">
        <x:v>4</x:v>
      </x:c>
      <x:c r="HY31" s="1661" t="s">
        <x:v>117</x:v>
      </x:c>
      <x:c r="HZ31" s="1661" t="s">
        <x:v>117</x:v>
      </x:c>
      <x:c r="IA31" s="1661" t="s">
        <x:v>2164</x:v>
      </x:c>
      <x:c r="IB31" s="1661"/>
      <x:c r="IC31" s="1661"/>
      <x:c r="ID31" s="1661"/>
      <x:c r="IE31" s="1661"/>
      <x:c r="IF31" s="1663"/>
    </x:row>
    <x:row r="32" spans="1:240" ht="12.6" customHeight="1" x14ac:dyDescent="0.25">
      <x:c r="A32" s="1264" t="s">
        <x:v>1457</x:v>
      </x:c>
      <x:c r="B32" s="1265">
        <x:v>3</x:v>
      </x:c>
      <x:c r="C32" s="1265" t="s">
        <x:v>1978</x:v>
      </x:c>
      <x:c r="D32" s="1261">
        <x:v>59</x:v>
      </x:c>
      <x:c r="E32" s="1366">
        <x:v>0.625</x:v>
      </x:c>
      <x:c r="F32" s="1328" t="str">
        <x:f t="shared" si="1"/>
        <x:v/>
      </x:c>
      <x:c r="G32" s="1262" t="str">
        <x:f t="shared" si="2"/>
        <x:v/>
      </x:c>
      <x:c r="H32" s="1266" t="str">
        <x:f t="shared" si="3"/>
        <x:v/>
      </x:c>
      <x:c r="I32" s="1261">
        <x:v>0</x:v>
      </x:c>
      <x:c r="J32" s="1262">
        <x:v>1.375</x:v>
      </x:c>
      <x:c r="K32" s="1370" t="s">
        <x:v>114</x:v>
      </x:c>
      <x:c r="L32" s="1327">
        <x:v>3</x:v>
      </x:c>
      <x:c r="M32" s="1329">
        <x:v>3</x:v>
      </x:c>
      <x:c r="N32" s="1263" t="str">
        <x:f t="shared" si="4"/>
        <x:v/>
      </x:c>
      <x:c r="O32" s="1262" t="str">
        <x:f t="shared" si="5"/>
        <x:v/>
      </x:c>
      <x:c r="P32" s="1260" t="str">
        <x:f t="shared" si="6"/>
        <x:v/>
      </x:c>
      <x:c r="Q32" s="1261" t="str">
        <x:f t="shared" si="7"/>
        <x:v/>
      </x:c>
      <x:c r="R32" s="1262" t="str">
        <x:f t="shared" si="8"/>
        <x:v/>
      </x:c>
      <x:c r="S32" s="1375" t="str">
        <x:f t="shared" si="9"/>
        <x:v/>
      </x:c>
      <x:c r="T32" s="1328" t="str">
        <x:f t="shared" si="10"/>
        <x:v/>
      </x:c>
      <x:c r="U32" s="1262" t="str">
        <x:f t="shared" si="11"/>
        <x:v/>
      </x:c>
      <x:c r="V32" s="1261" t="str">
        <x:f t="shared" si="12"/>
        <x:v/>
      </x:c>
      <x:c r="W32" s="1262" t="str">
        <x:f t="shared" si="13"/>
        <x:v/>
      </x:c>
      <x:c r="X32" s="1329">
        <x:f t="shared" si="14"/>
        <x:v>0</x:v>
      </x:c>
      <x:c r="Y32" s="1377" t="str">
        <x:f t="shared" si="15"/>
        <x:v/>
      </x:c>
      <x:c r="Z32" s="1378" t="str">
        <x:f t="shared" si="16"/>
        <x:v/>
      </x:c>
      <x:c r="AA32" s="2159" t="s">
        <x:v>2165</x:v>
      </x:c>
      <x:c r="AC32" s="1226" t="b">
        <x:v>0</x:v>
      </x:c>
      <x:c r="AD32" s="525">
        <x:f t="shared" si="17"/>
        <x:v>0</x:v>
      </x:c>
      <x:c r="AE32" s="526">
        <x:f t="shared" si="18"/>
        <x:v>3</x:v>
      </x:c>
      <x:c r="AF32" s="526">
        <x:f t="shared" si="19"/>
        <x:v>0</x:v>
      </x:c>
      <x:c r="AG32" s="526">
        <x:f t="shared" si="20"/>
        <x:v>0</x:v>
      </x:c>
      <x:c r="AH32" s="527">
        <x:f t="shared" si="21"/>
        <x:v>0</x:v>
      </x:c>
      <x:c r="AI32" s="528" t="b">
        <x:v>0</x:v>
      </x:c>
      <x:c r="AJ32" s="284">
        <x:f t="shared" si="22"/>
        <x:v>36</x:v>
      </x:c>
      <x:c r="AK32" s="1063" t="str">
        <x:f t="shared" si="23"/>
        <x:v>LH</x:v>
      </x:c>
      <x:c r="AL32" s="1202" t="str">
        <x:f t="shared" si="24"/>
        <x:v/>
      </x:c>
      <x:c r="AM32" s="1063">
        <x:f t="shared" si="25"/>
        <x:v>270</x:v>
      </x:c>
      <x:c r="AN32" s="1063">
        <x:f t="shared" si="26"/>
        <x:v>120</x:v>
      </x:c>
      <x:c r="AO32" s="1063" t="str">
        <x:f t="shared" si="27"/>
        <x:v/>
      </x:c>
      <x:c r="AP32" s="1063" t="b">
        <x:f>IF(ISERROR(AJ32),FALSE,IF(OR(AJ32=0,ISERROR(AL32),ISERROR(AM32),ISERROR(AN32),ISERROR(AO32)),FALSE,IF(AL32&lt;&gt;"",IF(ISERROR(VLOOKUP(SUBSTITUTE(SUBSTITUTE(C32,"R",""),"A",""),TblJoistSize!$A:$A,1,FALSE)),FALSE,TRUE),TRUE)))</x:f>
        <x:v>1</x:v>
      </x:c>
      <x:c r="AQ32" s="1305">
        <x:f t="shared" si="28"/>
        <x:v>6</x:v>
      </x:c>
      <x:c r="AR32" s="1305" t="b">
        <x:f t="shared" si="29"/>
        <x:v>0</x:v>
      </x:c>
      <x:c r="AS32" s="1305">
        <x:f t="shared" si="30"/>
        <x:v>7.375</x:v>
      </x:c>
      <x:c r="AT32" s="1305" t="b">
        <x:f t="shared" si="31"/>
        <x:v>0</x:v>
      </x:c>
      <x:c r="AU32" s="1203" t="str">
        <x:f t="shared" si="32"/>
        <x:v>LH</x:v>
      </x:c>
      <x:c r="AV32" s="1063" t="str">
        <x:f t="shared" si="33"/>
        <x:v/>
      </x:c>
      <x:c r="AW32" s="1063" t="str">
        <x:f t="shared" si="34"/>
        <x:v>LH</x:v>
      </x:c>
      <x:c r="AX32" s="1063" t="str">
        <x:f t="shared" si="107"/>
        <x:v>J133</x:v>
      </x:c>
      <x:c r="AY32" s="1306" t="b">
        <x:f t="shared" si="35"/>
        <x:v>0</x:v>
      </x:c>
      <x:c r="AZ32" s="1090" t="b">
        <x:f t="shared" si="36"/>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7"/>
        <x:v/>
      </x:c>
      <x:c r="CE32" s="935" t="str">
        <x:f t="shared" si="38"/>
        <x:v/>
      </x:c>
      <x:c r="CF32" s="1149"/>
      <x:c r="CG32" s="1150"/>
      <x:c r="CH32" s="738" t="str">
        <x:f t="shared" si="39"/>
        <x:v/>
      </x:c>
      <x:c r="CI32" s="739" t="str">
        <x:f t="shared" si="40"/>
        <x:v/>
      </x:c>
      <x:c r="CJ32" s="740" t="str">
        <x:f t="shared" si="41"/>
        <x:v/>
      </x:c>
      <x:c r="CK32" s="741" t="str">
        <x:f t="shared" si="42"/>
        <x:v/>
      </x:c>
      <x:c r="CL32" s="742" t="str">
        <x:f t="shared" si="43"/>
        <x:v/>
      </x:c>
      <x:c r="CM32" s="743" t="str">
        <x:f t="shared" si="44"/>
        <x:v/>
      </x:c>
      <x:c r="CN32" s="744" t="str">
        <x:f t="shared" si="45"/>
        <x:v/>
      </x:c>
      <x:c r="CO32" s="745" t="str">
        <x:f t="shared" si="46"/>
        <x:v/>
      </x:c>
      <x:c r="CP32" s="762" t="str">
        <x:f t="shared" si="47"/>
        <x:v/>
      </x:c>
      <x:c r="CQ32" s="763" t="str">
        <x:f t="shared" si="48"/>
        <x:v/>
      </x:c>
      <x:c r="CR32" s="953">
        <x:f t="shared" si="49"/>
        <x:v>5</x:v>
      </x:c>
      <x:c r="CS32" s="954">
        <x:f t="shared" si="50"/>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51"/>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52"/>
        <x:v>0</x:v>
      </x:c>
      <x:c r="DO32" s="1049">
        <x:f t="shared" si="53"/>
        <x:v>0</x:v>
      </x:c>
      <x:c r="DP32" s="1053" t="str">
        <x:f t="shared" si="54"/>
        <x:v/>
      </x:c>
      <x:c r="DQ32" s="1053" t="str">
        <x:f t="shared" si="55"/>
        <x:v/>
      </x:c>
      <x:c r="DR32" s="1053" t="str">
        <x:f t="shared" si="56"/>
        <x:v/>
      </x:c>
      <x:c r="DS32" s="1052">
        <x:f t="shared" si="57"/>
        <x:v>0</x:v>
      </x:c>
      <x:c r="DT32" s="1052">
        <x:f t="shared" si="58"/>
        <x:v>0</x:v>
      </x:c>
      <x:c r="DU32" s="1052" t="str">
        <x:f t="shared" si="59"/>
        <x:v/>
      </x:c>
      <x:c r="DV32" s="1053" t="str">
        <x:f t="shared" si="60"/>
        <x:v/>
      </x:c>
      <x:c r="DW32" s="1053" t="str">
        <x:f t="shared" si="61"/>
        <x:v/>
      </x:c>
      <x:c r="DX32" s="1269">
        <x:f t="shared" si="62"/>
        <x:v>0</x:v>
      </x:c>
      <x:c r="DY32" s="1053">
        <x:f t="shared" si="63"/>
        <x:v>0</x:v>
      </x:c>
      <x:c r="DZ32" s="1052">
        <x:f t="shared" si="64"/>
        <x:v>0</x:v>
      </x:c>
      <x:c r="EA32" s="1052" t="str">
        <x:f t="shared" si="65"/>
        <x:v/>
      </x:c>
      <x:c r="EB32" s="1053" t="str">
        <x:f t="shared" si="66"/>
        <x:v/>
      </x:c>
      <x:c r="EC32" s="1053" t="str">
        <x:f t="shared" si="67"/>
        <x:v/>
      </x:c>
      <x:c r="ED32" s="1269">
        <x:f t="shared" si="68"/>
        <x:v>0</x:v>
      </x:c>
      <x:c r="EE32" s="1090" t="str">
        <x:f t="shared" si="69"/>
        <x:v/>
      </x:c>
      <x:c r="EF32" s="1053" t="str">
        <x:f t="shared" si="70"/>
        <x:v/>
      </x:c>
      <x:c r="EG32" s="1053" t="str">
        <x:f t="shared" si="71"/>
        <x:v/>
      </x:c>
      <x:c r="EH32" s="1053" t="str">
        <x:f t="shared" si="72"/>
        <x:v>ERR</x:v>
      </x:c>
      <x:c r="EI32" s="1053" t="str">
        <x:f t="shared" si="73"/>
        <x:v>ERR</x:v>
      </x:c>
      <x:c r="EJ32" s="1053" t="str">
        <x:f t="shared" si="74"/>
        <x:v/>
      </x:c>
      <x:c r="EK32" s="1053" t="str">
        <x:f t="shared" si="74"/>
        <x:v/>
      </x:c>
      <x:c r="EL32" s="1090" t="str">
        <x:f t="shared" si="75"/>
        <x:v/>
      </x:c>
      <x:c r="EM32" s="1053" t="str">
        <x:f t="shared" si="76"/>
        <x:v/>
      </x:c>
      <x:c r="EN32" s="1053" t="str">
        <x:f t="shared" si="77"/>
        <x:v/>
      </x:c>
      <x:c r="EO32" s="1053" t="str">
        <x:f t="shared" si="78"/>
        <x:v>ERR</x:v>
      </x:c>
      <x:c r="EP32" s="1053" t="str">
        <x:f t="shared" si="79"/>
        <x:v>ERR</x:v>
      </x:c>
      <x:c r="EQ32" s="1053" t="str">
        <x:f t="shared" si="80"/>
        <x:v/>
      </x:c>
      <x:c r="ER32" s="1053" t="str">
        <x:f t="shared" si="80"/>
        <x:v/>
      </x:c>
      <x:c r="ES32" s="1053" t="str">
        <x:f t="shared" si="81"/>
        <x:v/>
      </x:c>
      <x:c r="ET32" s="1053" t="str">
        <x:f t="shared" si="82"/>
        <x:v/>
      </x:c>
      <x:c r="EU32" s="1061">
        <x:f t="shared" si="83"/>
        <x:v>4</x:v>
      </x:c>
      <x:c r="EV32" s="1055" t="str">
        <x:f t="shared" si="84"/>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5"/>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6"/>
        <x:v/>
      </x:c>
      <x:c r="FD32" s="1052">
        <x:f t="shared" si="108"/>
        <x:v>0</x:v>
      </x:c>
      <x:c r="FE32" s="1052">
        <x:f t="shared" si="87"/>
        <x:v>0</x:v>
      </x:c>
      <x:c r="FF32" s="1052">
        <x:f t="shared" si="88"/>
        <x:v>0</x:v>
      </x:c>
      <x:c r="FG32" s="1052" t="str">
        <x:f t="shared" si="89"/>
        <x:v/>
      </x:c>
      <x:c r="FH32" s="1053" t="str">
        <x:f t="shared" si="90"/>
        <x:v/>
      </x:c>
      <x:c r="FI32" s="1052">
        <x:f t="shared" si="109"/>
        <x:v>0</x:v>
      </x:c>
      <x:c r="FJ32" s="1052">
        <x:f t="shared" si="91"/>
        <x:v>0</x:v>
      </x:c>
      <x:c r="FK32" s="1052">
        <x:f t="shared" si="92"/>
        <x:v>0</x:v>
      </x:c>
      <x:c r="FL32" s="1052" t="str">
        <x:f t="shared" si="93"/>
        <x:v/>
      </x:c>
      <x:c r="FM32" s="1053" t="str">
        <x:f t="shared" si="94"/>
        <x:v/>
      </x:c>
      <x:c r="FN32" s="1053" t="e">
        <x:f t="shared" si="95"/>
        <x:v>#VALUE!</x:v>
      </x:c>
      <x:c r="FO32" s="1062" t="e">
        <x:f t="shared" si="96"/>
        <x:v>#VALUE!</x:v>
      </x:c>
      <x:c r="FP32" s="1062" t="e">
        <x:f t="shared" si="97"/>
        <x:v>#VALUE!</x:v>
      </x:c>
      <x:c r="FQ32" s="1063" t="e">
        <x:f t="shared" si="98"/>
        <x:v>#VALUE!</x:v>
      </x:c>
      <x:c r="FR32" s="1064" t="e">
        <x:f t="shared" si="99"/>
        <x:v>#VALUE!</x:v>
      </x:c>
      <x:c r="FS32" s="1065" t="str">
        <x:f t="shared" si="100"/>
        <x:v/>
      </x:c>
      <x:c r="FT32" s="1066" t="str">
        <x:f t="shared" si="101"/>
        <x:v/>
      </x:c>
      <x:c r="FU32" s="1105">
        <x:f t="shared" si="102"/>
        <x:v>0</x:v>
      </x:c>
      <x:c r="FV32" s="1106">
        <x:f t="shared" si="103"/>
        <x:v>0</x:v>
      </x:c>
      <x:c r="GA32" s="1975">
        <x:v>59</x:v>
      </x:c>
      <x:c r="GB32" s="1976">
        <x:v>2.75</x:v>
      </x:c>
      <x:c r="GC32" s="1977">
        <x:v>-1.875</x:v>
      </x:c>
      <x:c r="GD32" s="1978">
        <x:v>-0.25</x:v>
      </x:c>
      <x:c r="GE32" s="1979">
        <x:v>0.227928244811819</x:v>
      </x:c>
      <x:c r="GF32" s="1980" t="str">
        <x:f t="shared" si="104"/>
        <x:v>J133</x:v>
      </x:c>
      <x:c r="GG32" s="1453"/>
      <x:c r="GH32" s="1454"/>
      <x:c r="GI32" s="1453"/>
      <x:c r="GJ32" s="1454"/>
      <x:c r="GK32" s="533">
        <x:f t="shared" si="105"/>
        <x:v>708.625</x:v>
      </x:c>
      <x:c r="GL32" s="534">
        <x:f t="shared" si="106"/>
        <x:v>708.75281478960926</x:v>
      </x:c>
      <x:c r="GM32" s="535">
        <x:f>IF(ABS(GK32-GL32)&gt;='Job Info.'!$L$22,ABS(GK32-GL32),0)</x:f>
        <x:v>0</x:v>
      </x:c>
      <x:c r="HA32" s="1658" t="s">
        <x:v>1457</x:v>
      </x:c>
      <x:c r="HB32" s="1659">
        <x:v>3</x:v>
      </x:c>
      <x:c r="HC32" s="1659" t="s">
        <x:v>1978</x:v>
      </x:c>
      <x:c r="HD32" s="1660">
        <x:v>59</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2165</x:v>
      </x:c>
      <x:c r="IB32" s="1661"/>
      <x:c r="IC32" s="1661"/>
      <x:c r="ID32" s="1661"/>
      <x:c r="IE32" s="1661"/>
      <x:c r="IF32" s="1663"/>
    </x:row>
    <x:row r="33" spans="1:240" ht="12.6" customHeight="1" x14ac:dyDescent="0.25">
      <x:c r="A33" s="1264" t="s">
        <x:v>1458</x:v>
      </x:c>
      <x:c r="B33" s="1265">
        <x:v>2</x:v>
      </x:c>
      <x:c r="C33" s="1265" t="s">
        <x:v>1978</x:v>
      </x:c>
      <x:c r="D33" s="1261">
        <x:v>59</x:v>
      </x:c>
      <x:c r="E33" s="1366">
        <x:v>0.625</x:v>
      </x:c>
      <x:c r="F33" s="1328" t="str">
        <x:f t="shared" si="1"/>
        <x:v/>
      </x:c>
      <x:c r="G33" s="1262" t="str">
        <x:f t="shared" si="2"/>
        <x:v/>
      </x:c>
      <x:c r="H33" s="1266" t="str">
        <x:f t="shared" si="3"/>
        <x:v/>
      </x:c>
      <x:c r="I33" s="1261">
        <x:v>0</x:v>
      </x:c>
      <x:c r="J33" s="1262">
        <x:v>1.375</x:v>
      </x:c>
      <x:c r="K33" s="1370" t="s">
        <x:v>114</x:v>
      </x:c>
      <x:c r="L33" s="1327">
        <x:v>3</x:v>
      </x:c>
      <x:c r="M33" s="1329">
        <x:v>3</x:v>
      </x:c>
      <x:c r="N33" s="1263" t="str">
        <x:f t="shared" si="4"/>
        <x:v/>
      </x:c>
      <x:c r="O33" s="1262" t="str">
        <x:f t="shared" si="5"/>
        <x:v/>
      </x:c>
      <x:c r="P33" s="1260" t="str">
        <x:f t="shared" si="6"/>
        <x:v/>
      </x:c>
      <x:c r="Q33" s="1261" t="str">
        <x:f t="shared" si="7"/>
        <x:v/>
      </x:c>
      <x:c r="R33" s="1262" t="str">
        <x:f t="shared" si="8"/>
        <x:v/>
      </x:c>
      <x:c r="S33" s="1375" t="str">
        <x:f t="shared" si="9"/>
        <x:v/>
      </x:c>
      <x:c r="T33" s="1328" t="str">
        <x:f t="shared" si="10"/>
        <x:v/>
      </x:c>
      <x:c r="U33" s="1262" t="str">
        <x:f t="shared" si="11"/>
        <x:v/>
      </x:c>
      <x:c r="V33" s="1261" t="str">
        <x:f t="shared" si="12"/>
        <x:v/>
      </x:c>
      <x:c r="W33" s="1262" t="str">
        <x:f t="shared" si="13"/>
        <x:v/>
      </x:c>
      <x:c r="X33" s="1329">
        <x:f t="shared" si="14"/>
        <x:v>0</x:v>
      </x:c>
      <x:c r="Y33" s="1377" t="str">
        <x:f t="shared" si="15"/>
        <x:v/>
      </x:c>
      <x:c r="Z33" s="1378" t="str">
        <x:f t="shared" si="16"/>
        <x:v/>
      </x:c>
      <x:c r="AA33" s="2159" t="s">
        <x:v>2164</x:v>
      </x:c>
      <x:c r="AC33" s="1226" t="b">
        <x:v>0</x:v>
      </x:c>
      <x:c r="AD33" s="525">
        <x:f t="shared" si="17"/>
        <x:v>0</x:v>
      </x:c>
      <x:c r="AE33" s="526">
        <x:f t="shared" si="18"/>
        <x:v>2</x:v>
      </x:c>
      <x:c r="AF33" s="526">
        <x:f t="shared" si="19"/>
        <x:v>0</x:v>
      </x:c>
      <x:c r="AG33" s="526">
        <x:f t="shared" si="20"/>
        <x:v>0</x:v>
      </x:c>
      <x:c r="AH33" s="527">
        <x:f t="shared" si="21"/>
        <x:v>0</x:v>
      </x:c>
      <x:c r="AI33" s="528" t="b">
        <x:v>0</x:v>
      </x:c>
      <x:c r="AJ33" s="284">
        <x:f t="shared" si="22"/>
        <x:v>36</x:v>
      </x:c>
      <x:c r="AK33" s="1063" t="str">
        <x:f t="shared" si="23"/>
        <x:v>LH</x:v>
      </x:c>
      <x:c r="AL33" s="1202" t="str">
        <x:f t="shared" si="24"/>
        <x:v/>
      </x:c>
      <x:c r="AM33" s="1063">
        <x:f t="shared" si="25"/>
        <x:v>270</x:v>
      </x:c>
      <x:c r="AN33" s="1063">
        <x:f t="shared" si="26"/>
        <x:v>120</x:v>
      </x:c>
      <x:c r="AO33" s="1063" t="str">
        <x:f t="shared" si="27"/>
        <x:v/>
      </x:c>
      <x:c r="AP33" s="1063" t="b">
        <x:f>IF(ISERROR(AJ33),FALSE,IF(OR(AJ33=0,ISERROR(AL33),ISERROR(AM33),ISERROR(AN33),ISERROR(AO33)),FALSE,IF(AL33&lt;&gt;"",IF(ISERROR(VLOOKUP(SUBSTITUTE(SUBSTITUTE(C33,"R",""),"A",""),TblJoistSize!$A:$A,1,FALSE)),FALSE,TRUE),TRUE)))</x:f>
        <x:v>1</x:v>
      </x:c>
      <x:c r="AQ33" s="1305">
        <x:f t="shared" si="28"/>
        <x:v>6</x:v>
      </x:c>
      <x:c r="AR33" s="1305" t="b">
        <x:f t="shared" si="29"/>
        <x:v>0</x:v>
      </x:c>
      <x:c r="AS33" s="1305">
        <x:f t="shared" si="30"/>
        <x:v>7.375</x:v>
      </x:c>
      <x:c r="AT33" s="1305" t="b">
        <x:f t="shared" si="31"/>
        <x:v>0</x:v>
      </x:c>
      <x:c r="AU33" s="1203" t="str">
        <x:f t="shared" si="32"/>
        <x:v>LH</x:v>
      </x:c>
      <x:c r="AV33" s="1063" t="str">
        <x:f t="shared" si="33"/>
        <x:v/>
      </x:c>
      <x:c r="AW33" s="1063" t="str">
        <x:f t="shared" si="34"/>
        <x:v>LH</x:v>
      </x:c>
      <x:c r="AX33" s="1063" t="str">
        <x:f t="shared" si="107"/>
        <x:v>J134</x:v>
      </x:c>
      <x:c r="AY33" s="1306" t="b">
        <x:f t="shared" si="35"/>
        <x:v>0</x:v>
      </x:c>
      <x:c r="AZ33" s="1090" t="b">
        <x:f t="shared" si="36"/>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7"/>
        <x:v/>
      </x:c>
      <x:c r="CE33" s="935" t="str">
        <x:f t="shared" si="38"/>
        <x:v/>
      </x:c>
      <x:c r="CF33" s="1149"/>
      <x:c r="CG33" s="1150"/>
      <x:c r="CH33" s="738" t="str">
        <x:f t="shared" si="39"/>
        <x:v/>
      </x:c>
      <x:c r="CI33" s="739" t="str">
        <x:f t="shared" si="40"/>
        <x:v/>
      </x:c>
      <x:c r="CJ33" s="740" t="str">
        <x:f t="shared" si="41"/>
        <x:v/>
      </x:c>
      <x:c r="CK33" s="741" t="str">
        <x:f t="shared" si="42"/>
        <x:v/>
      </x:c>
      <x:c r="CL33" s="742" t="str">
        <x:f t="shared" si="43"/>
        <x:v/>
      </x:c>
      <x:c r="CM33" s="743" t="str">
        <x:f t="shared" si="44"/>
        <x:v/>
      </x:c>
      <x:c r="CN33" s="744" t="str">
        <x:f t="shared" si="45"/>
        <x:v/>
      </x:c>
      <x:c r="CO33" s="745" t="str">
        <x:f t="shared" si="46"/>
        <x:v/>
      </x:c>
      <x:c r="CP33" s="762" t="str">
        <x:f t="shared" si="47"/>
        <x:v/>
      </x:c>
      <x:c r="CQ33" s="763" t="str">
        <x:f t="shared" si="48"/>
        <x:v/>
      </x:c>
      <x:c r="CR33" s="953">
        <x:f t="shared" si="49"/>
        <x:v>5</x:v>
      </x:c>
      <x:c r="CS33" s="954">
        <x:f t="shared" si="50"/>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51"/>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52"/>
        <x:v>0</x:v>
      </x:c>
      <x:c r="DO33" s="1049">
        <x:f t="shared" si="53"/>
        <x:v>0</x:v>
      </x:c>
      <x:c r="DP33" s="1053" t="str">
        <x:f t="shared" si="54"/>
        <x:v/>
      </x:c>
      <x:c r="DQ33" s="1053" t="str">
        <x:f t="shared" si="55"/>
        <x:v/>
      </x:c>
      <x:c r="DR33" s="1053" t="str">
        <x:f t="shared" si="56"/>
        <x:v/>
      </x:c>
      <x:c r="DS33" s="1052">
        <x:f t="shared" si="57"/>
        <x:v>0</x:v>
      </x:c>
      <x:c r="DT33" s="1052">
        <x:f t="shared" si="58"/>
        <x:v>0</x:v>
      </x:c>
      <x:c r="DU33" s="1052" t="str">
        <x:f t="shared" si="59"/>
        <x:v/>
      </x:c>
      <x:c r="DV33" s="1053" t="str">
        <x:f t="shared" si="60"/>
        <x:v/>
      </x:c>
      <x:c r="DW33" s="1053" t="str">
        <x:f t="shared" si="61"/>
        <x:v/>
      </x:c>
      <x:c r="DX33" s="1269">
        <x:f t="shared" si="62"/>
        <x:v>0</x:v>
      </x:c>
      <x:c r="DY33" s="1053">
        <x:f t="shared" si="63"/>
        <x:v>0</x:v>
      </x:c>
      <x:c r="DZ33" s="1052">
        <x:f t="shared" si="64"/>
        <x:v>0</x:v>
      </x:c>
      <x:c r="EA33" s="1052" t="str">
        <x:f t="shared" si="65"/>
        <x:v/>
      </x:c>
      <x:c r="EB33" s="1053" t="str">
        <x:f t="shared" si="66"/>
        <x:v/>
      </x:c>
      <x:c r="EC33" s="1053" t="str">
        <x:f t="shared" si="67"/>
        <x:v/>
      </x:c>
      <x:c r="ED33" s="1269">
        <x:f t="shared" si="68"/>
        <x:v>0</x:v>
      </x:c>
      <x:c r="EE33" s="1090" t="str">
        <x:f t="shared" si="69"/>
        <x:v/>
      </x:c>
      <x:c r="EF33" s="1053" t="str">
        <x:f t="shared" si="70"/>
        <x:v/>
      </x:c>
      <x:c r="EG33" s="1053" t="str">
        <x:f t="shared" si="71"/>
        <x:v/>
      </x:c>
      <x:c r="EH33" s="1053" t="str">
        <x:f t="shared" si="72"/>
        <x:v>ERR</x:v>
      </x:c>
      <x:c r="EI33" s="1053" t="str">
        <x:f t="shared" si="73"/>
        <x:v>ERR</x:v>
      </x:c>
      <x:c r="EJ33" s="1053" t="str">
        <x:f t="shared" si="74"/>
        <x:v/>
      </x:c>
      <x:c r="EK33" s="1053" t="str">
        <x:f t="shared" si="74"/>
        <x:v/>
      </x:c>
      <x:c r="EL33" s="1090" t="str">
        <x:f t="shared" si="75"/>
        <x:v/>
      </x:c>
      <x:c r="EM33" s="1053" t="str">
        <x:f t="shared" si="76"/>
        <x:v/>
      </x:c>
      <x:c r="EN33" s="1053" t="str">
        <x:f t="shared" si="77"/>
        <x:v/>
      </x:c>
      <x:c r="EO33" s="1053" t="str">
        <x:f t="shared" si="78"/>
        <x:v>ERR</x:v>
      </x:c>
      <x:c r="EP33" s="1053" t="str">
        <x:f t="shared" si="79"/>
        <x:v>ERR</x:v>
      </x:c>
      <x:c r="EQ33" s="1053" t="str">
        <x:f t="shared" si="80"/>
        <x:v/>
      </x:c>
      <x:c r="ER33" s="1053" t="str">
        <x:f t="shared" si="80"/>
        <x:v/>
      </x:c>
      <x:c r="ES33" s="1053" t="str">
        <x:f t="shared" si="81"/>
        <x:v/>
      </x:c>
      <x:c r="ET33" s="1053" t="str">
        <x:f t="shared" si="82"/>
        <x:v/>
      </x:c>
      <x:c r="EU33" s="1061">
        <x:f t="shared" si="83"/>
        <x:v>4</x:v>
      </x:c>
      <x:c r="EV33" s="1055" t="str">
        <x:f t="shared" si="84"/>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5"/>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6"/>
        <x:v/>
      </x:c>
      <x:c r="FD33" s="1052">
        <x:f t="shared" si="108"/>
        <x:v>0</x:v>
      </x:c>
      <x:c r="FE33" s="1052">
        <x:f t="shared" si="87"/>
        <x:v>0</x:v>
      </x:c>
      <x:c r="FF33" s="1052">
        <x:f t="shared" si="88"/>
        <x:v>0</x:v>
      </x:c>
      <x:c r="FG33" s="1052" t="str">
        <x:f t="shared" si="89"/>
        <x:v/>
      </x:c>
      <x:c r="FH33" s="1053" t="str">
        <x:f t="shared" si="90"/>
        <x:v/>
      </x:c>
      <x:c r="FI33" s="1052">
        <x:f t="shared" si="109"/>
        <x:v>0</x:v>
      </x:c>
      <x:c r="FJ33" s="1052">
        <x:f t="shared" si="91"/>
        <x:v>0</x:v>
      </x:c>
      <x:c r="FK33" s="1052">
        <x:f t="shared" si="92"/>
        <x:v>0</x:v>
      </x:c>
      <x:c r="FL33" s="1052" t="str">
        <x:f t="shared" si="93"/>
        <x:v/>
      </x:c>
      <x:c r="FM33" s="1053" t="str">
        <x:f t="shared" si="94"/>
        <x:v/>
      </x:c>
      <x:c r="FN33" s="1053" t="e">
        <x:f t="shared" si="95"/>
        <x:v>#VALUE!</x:v>
      </x:c>
      <x:c r="FO33" s="1062" t="e">
        <x:f t="shared" si="96"/>
        <x:v>#VALUE!</x:v>
      </x:c>
      <x:c r="FP33" s="1062" t="e">
        <x:f t="shared" si="97"/>
        <x:v>#VALUE!</x:v>
      </x:c>
      <x:c r="FQ33" s="1063" t="e">
        <x:f t="shared" si="98"/>
        <x:v>#VALUE!</x:v>
      </x:c>
      <x:c r="FR33" s="1064" t="e">
        <x:f t="shared" si="99"/>
        <x:v>#VALUE!</x:v>
      </x:c>
      <x:c r="FS33" s="1065" t="str">
        <x:f t="shared" si="100"/>
        <x:v/>
      </x:c>
      <x:c r="FT33" s="1066" t="str">
        <x:f t="shared" si="101"/>
        <x:v/>
      </x:c>
      <x:c r="FU33" s="1105">
        <x:f t="shared" si="102"/>
        <x:v>0</x:v>
      </x:c>
      <x:c r="FV33" s="1106">
        <x:f t="shared" si="103"/>
        <x:v>0</x:v>
      </x:c>
      <x:c r="GA33" s="1975">
        <x:v>59</x:v>
      </x:c>
      <x:c r="GB33" s="1976">
        <x:v>2.75</x:v>
      </x:c>
      <x:c r="GC33" s="1977">
        <x:v>-1.875</x:v>
      </x:c>
      <x:c r="GD33" s="1978">
        <x:v>-0.25</x:v>
      </x:c>
      <x:c r="GE33" s="1979">
        <x:v>0.227928244811819</x:v>
      </x:c>
      <x:c r="GF33" s="1980" t="str">
        <x:f t="shared" si="104"/>
        <x:v>J134</x:v>
      </x:c>
      <x:c r="GG33" s="1453"/>
      <x:c r="GH33" s="1454"/>
      <x:c r="GI33" s="1453"/>
      <x:c r="GJ33" s="1454"/>
      <x:c r="GK33" s="533">
        <x:f t="shared" si="105"/>
        <x:v>708.625</x:v>
      </x:c>
      <x:c r="GL33" s="534">
        <x:f t="shared" si="106"/>
        <x:v>708.75281478960926</x:v>
      </x:c>
      <x:c r="GM33" s="535">
        <x:f>IF(ABS(GK33-GL33)&gt;='Job Info.'!$L$22,ABS(GK33-GL33),0)</x:f>
        <x:v>0</x:v>
      </x:c>
      <x:c r="HA33" s="1658" t="s">
        <x:v>1458</x:v>
      </x:c>
      <x:c r="HB33" s="1659">
        <x:v>2</x:v>
      </x:c>
      <x:c r="HC33" s="1659" t="s">
        <x:v>1978</x:v>
      </x:c>
      <x:c r="HD33" s="1660">
        <x:v>59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2164</x:v>
      </x:c>
      <x:c r="IB33" s="1661"/>
      <x:c r="IC33" s="1661"/>
      <x:c r="ID33" s="1661"/>
      <x:c r="IE33" s="1661"/>
      <x:c r="IF33" s="1663"/>
    </x:row>
    <x:row r="34" spans="1:240" ht="12.6" customHeight="1" x14ac:dyDescent="0.25">
      <x:c r="A34" s="1264" t="s">
        <x:v>1459</x:v>
      </x:c>
      <x:c r="B34" s="1265">
        <x:v>4</x:v>
      </x:c>
      <x:c r="C34" s="1265" t="s">
        <x:v>1979</x:v>
      </x:c>
      <x:c r="D34" s="1261">
        <x:v>50</x:v>
      </x:c>
      <x:c r="E34" s="1366">
        <x:v>1.75</x:v>
      </x:c>
      <x:c r="F34" s="1328">
        <x:v>0</x:v>
      </x:c>
      <x:c r="G34" s="1262">
        <x:v>3.625</x:v>
      </x:c>
      <x:c r="H34" s="1266" t="s">
        <x:v>114</x:v>
      </x:c>
      <x:c r="I34" s="1261">
        <x:v>0</x:v>
      </x:c>
      <x:c r="J34" s="1262">
        <x:v>1.375</x:v>
      </x:c>
      <x:c r="K34" s="1370" t="s">
        <x:v>114</x:v>
      </x:c>
      <x:c r="L34" s="1327">
        <x:v>3</x:v>
      </x:c>
      <x:c r="M34" s="1329">
        <x:v>3</x:v>
      </x:c>
      <x:c r="N34" s="1263" t="str">
        <x:f t="shared" si="4"/>
        <x:v/>
      </x:c>
      <x:c r="O34" s="1262" t="str">
        <x:f t="shared" si="5"/>
        <x:v/>
      </x:c>
      <x:c r="P34" s="1260" t="str">
        <x:f t="shared" si="6"/>
        <x:v/>
      </x:c>
      <x:c r="Q34" s="1261" t="str">
        <x:f t="shared" si="7"/>
        <x:v/>
      </x:c>
      <x:c r="R34" s="1262" t="str">
        <x:f t="shared" si="8"/>
        <x:v/>
      </x:c>
      <x:c r="S34" s="1375" t="str">
        <x:f t="shared" si="9"/>
        <x:v/>
      </x:c>
      <x:c r="T34" s="1328" t="str">
        <x:f t="shared" si="10"/>
        <x:v/>
      </x:c>
      <x:c r="U34" s="1262" t="str">
        <x:f t="shared" si="11"/>
        <x:v/>
      </x:c>
      <x:c r="V34" s="1261" t="str">
        <x:f t="shared" si="12"/>
        <x:v/>
      </x:c>
      <x:c r="W34" s="1262" t="str">
        <x:f t="shared" si="13"/>
        <x:v/>
      </x:c>
      <x:c r="X34" s="1329">
        <x:f t="shared" si="14"/>
        <x:v>0</x:v>
      </x:c>
      <x:c r="Y34" s="1377" t="str">
        <x:f t="shared" si="15"/>
        <x:v/>
      </x:c>
      <x:c r="Z34" s="1378" t="str">
        <x:f t="shared" si="16"/>
        <x:v/>
      </x:c>
      <x:c r="AA34" s="2159" t="s">
        <x:v>2166</x:v>
      </x:c>
      <x:c r="AC34" s="1226" t="b">
        <x:v>0</x:v>
      </x:c>
      <x:c r="AD34" s="525">
        <x:f t="shared" si="17"/>
        <x:v>4</x:v>
      </x:c>
      <x:c r="AE34" s="526">
        <x:f t="shared" si="18"/>
        <x:v>0</x:v>
      </x:c>
      <x:c r="AF34" s="526">
        <x:f t="shared" si="19"/>
        <x:v>0</x:v>
      </x:c>
      <x:c r="AG34" s="526">
        <x:f t="shared" si="20"/>
        <x:v>0</x:v>
      </x:c>
      <x:c r="AH34" s="527">
        <x:f t="shared" si="21"/>
        <x:v>0</x:v>
      </x:c>
      <x:c r="AI34" s="528" t="b">
        <x:v>0</x:v>
      </x:c>
      <x:c r="AJ34" s="284">
        <x:f t="shared" si="22"/>
        <x:v>30</x:v>
      </x:c>
      <x:c r="AK34" s="1063" t="str">
        <x:f t="shared" si="23"/>
        <x:v>K</x:v>
      </x:c>
      <x:c r="AL34" s="1202" t="str">
        <x:f t="shared" si="24"/>
        <x:v/>
      </x:c>
      <x:c r="AM34" s="1063">
        <x:f t="shared" si="25"/>
        <x:v>240</x:v>
      </x:c>
      <x:c r="AN34" s="1063">
        <x:f t="shared" si="26"/>
        <x:v>140</x:v>
      </x:c>
      <x:c r="AO34" s="1063" t="str">
        <x:f t="shared" si="27"/>
        <x:v/>
      </x:c>
      <x:c r="AP34" s="1063" t="b">
        <x:f>IF(ISERROR(AJ34),FALSE,IF(OR(AJ34=0,ISERROR(AL34),ISERROR(AM34),ISERROR(AN34),ISERROR(AO34)),FALSE,IF(AL34&lt;&gt;"",IF(ISERROR(VLOOKUP(SUBSTITUTE(SUBSTITUTE(C34,"R",""),"A",""),TblJoistSize!$A:$A,1,FALSE)),FALSE,TRUE),TRUE)))</x:f>
        <x:v>1</x:v>
      </x:c>
      <x:c r="AQ34" s="1305">
        <x:f t="shared" si="28"/>
        <x:v>7.625</x:v>
      </x:c>
      <x:c r="AR34" s="1305" t="b">
        <x:f t="shared" si="29"/>
        <x:v>0</x:v>
      </x:c>
      <x:c r="AS34" s="1305">
        <x:f t="shared" si="30"/>
        <x:v>5.375</x:v>
      </x:c>
      <x:c r="AT34" s="1305" t="b">
        <x:f t="shared" si="31"/>
        <x:v>0</x:v>
      </x:c>
      <x:c r="AU34" s="1203" t="str">
        <x:f t="shared" si="32"/>
        <x:v>K</x:v>
      </x:c>
      <x:c r="AV34" s="1063" t="str">
        <x:f t="shared" si="33"/>
        <x:v>K</x:v>
      </x:c>
      <x:c r="AW34" s="1063" t="str">
        <x:f t="shared" si="34"/>
        <x:v/>
      </x:c>
      <x:c r="AX34" s="1063" t="str">
        <x:f t="shared" si="107"/>
        <x:v>J135</x:v>
      </x:c>
      <x:c r="AY34" s="1306" t="b">
        <x:f t="shared" si="35"/>
        <x:v>0</x:v>
      </x:c>
      <x:c r="AZ34" s="1090" t="b">
        <x:f t="shared" si="36"/>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7"/>
        <x:v/>
      </x:c>
      <x:c r="CE34" s="935" t="str">
        <x:f t="shared" si="38"/>
        <x:v/>
      </x:c>
      <x:c r="CF34" s="1149"/>
      <x:c r="CG34" s="1150"/>
      <x:c r="CH34" s="738" t="str">
        <x:f t="shared" si="39"/>
        <x:v/>
      </x:c>
      <x:c r="CI34" s="739" t="str">
        <x:f t="shared" si="40"/>
        <x:v/>
      </x:c>
      <x:c r="CJ34" s="740" t="str">
        <x:f t="shared" si="41"/>
        <x:v/>
      </x:c>
      <x:c r="CK34" s="741" t="str">
        <x:f t="shared" si="42"/>
        <x:v/>
      </x:c>
      <x:c r="CL34" s="742" t="str">
        <x:f t="shared" si="43"/>
        <x:v/>
      </x:c>
      <x:c r="CM34" s="743" t="str">
        <x:f t="shared" si="44"/>
        <x:v/>
      </x:c>
      <x:c r="CN34" s="744" t="str">
        <x:f t="shared" si="45"/>
        <x:v/>
      </x:c>
      <x:c r="CO34" s="745" t="str">
        <x:f t="shared" si="46"/>
        <x:v/>
      </x:c>
      <x:c r="CP34" s="762" t="str">
        <x:f t="shared" si="47"/>
        <x:v/>
      </x:c>
      <x:c r="CQ34" s="763" t="str">
        <x:f t="shared" si="48"/>
        <x:v/>
      </x:c>
      <x:c r="CR34" s="953">
        <x:f t="shared" si="49"/>
        <x:v>2.5</x:v>
      </x:c>
      <x:c r="CS34" s="954">
        <x:f t="shared" si="50"/>
        <x:v>2.5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51"/>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52"/>
        <x:v>0</x:v>
      </x:c>
      <x:c r="DO34" s="1049">
        <x:f t="shared" si="53"/>
        <x:v>0</x:v>
      </x:c>
      <x:c r="DP34" s="1053" t="str">
        <x:f t="shared" si="54"/>
        <x:v/>
      </x:c>
      <x:c r="DQ34" s="1053" t="str">
        <x:f t="shared" si="55"/>
        <x:v/>
      </x:c>
      <x:c r="DR34" s="1053" t="str">
        <x:f t="shared" si="56"/>
        <x:v/>
      </x:c>
      <x:c r="DS34" s="1052">
        <x:f t="shared" si="57"/>
        <x:v>0</x:v>
      </x:c>
      <x:c r="DT34" s="1052">
        <x:f t="shared" si="58"/>
        <x:v>0</x:v>
      </x:c>
      <x:c r="DU34" s="1052" t="str">
        <x:f t="shared" si="59"/>
        <x:v/>
      </x:c>
      <x:c r="DV34" s="1053" t="str">
        <x:f t="shared" si="60"/>
        <x:v/>
      </x:c>
      <x:c r="DW34" s="1053" t="str">
        <x:f t="shared" si="61"/>
        <x:v/>
      </x:c>
      <x:c r="DX34" s="1269">
        <x:f t="shared" si="62"/>
        <x:v>0</x:v>
      </x:c>
      <x:c r="DY34" s="1053">
        <x:f t="shared" si="63"/>
        <x:v>0</x:v>
      </x:c>
      <x:c r="DZ34" s="1052">
        <x:f t="shared" si="64"/>
        <x:v>0</x:v>
      </x:c>
      <x:c r="EA34" s="1052" t="str">
        <x:f t="shared" si="65"/>
        <x:v/>
      </x:c>
      <x:c r="EB34" s="1053" t="str">
        <x:f t="shared" si="66"/>
        <x:v/>
      </x:c>
      <x:c r="EC34" s="1053" t="str">
        <x:f t="shared" si="67"/>
        <x:v/>
      </x:c>
      <x:c r="ED34" s="1269">
        <x:f t="shared" si="68"/>
        <x:v>0</x:v>
      </x:c>
      <x:c r="EE34" s="1090" t="str">
        <x:f t="shared" si="69"/>
        <x:v/>
      </x:c>
      <x:c r="EF34" s="1053" t="str">
        <x:f t="shared" si="70"/>
        <x:v/>
      </x:c>
      <x:c r="EG34" s="1053" t="str">
        <x:f t="shared" si="71"/>
        <x:v/>
      </x:c>
      <x:c r="EH34" s="1053" t="str">
        <x:f t="shared" si="72"/>
        <x:v>ERR</x:v>
      </x:c>
      <x:c r="EI34" s="1053" t="str">
        <x:f t="shared" si="73"/>
        <x:v>ERR</x:v>
      </x:c>
      <x:c r="EJ34" s="1053" t="str">
        <x:f t="shared" si="74"/>
        <x:v/>
      </x:c>
      <x:c r="EK34" s="1053" t="str">
        <x:f t="shared" si="74"/>
        <x:v/>
      </x:c>
      <x:c r="EL34" s="1090" t="str">
        <x:f t="shared" si="75"/>
        <x:v/>
      </x:c>
      <x:c r="EM34" s="1053" t="str">
        <x:f t="shared" si="76"/>
        <x:v/>
      </x:c>
      <x:c r="EN34" s="1053" t="str">
        <x:f t="shared" si="77"/>
        <x:v/>
      </x:c>
      <x:c r="EO34" s="1053" t="str">
        <x:f t="shared" si="78"/>
        <x:v>ERR</x:v>
      </x:c>
      <x:c r="EP34" s="1053" t="str">
        <x:f t="shared" si="79"/>
        <x:v>ERR</x:v>
      </x:c>
      <x:c r="EQ34" s="1053" t="str">
        <x:f t="shared" si="80"/>
        <x:v/>
      </x:c>
      <x:c r="ER34" s="1053" t="str">
        <x:f t="shared" si="80"/>
        <x:v/>
      </x:c>
      <x:c r="ES34" s="1053" t="str">
        <x:f t="shared" si="81"/>
        <x:v/>
      </x:c>
      <x:c r="ET34" s="1053" t="str">
        <x:f t="shared" si="82"/>
        <x:v/>
      </x:c>
      <x:c r="EU34" s="1061">
        <x:f t="shared" si="83"/>
        <x:v>3.5</x:v>
      </x:c>
      <x:c r="EV34" s="1055" t="str">
        <x:f t="shared" si="84"/>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5"/>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6"/>
        <x:v/>
      </x:c>
      <x:c r="FD34" s="1052">
        <x:f t="shared" si="108"/>
        <x:v>0</x:v>
      </x:c>
      <x:c r="FE34" s="1052">
        <x:f t="shared" si="87"/>
        <x:v>0</x:v>
      </x:c>
      <x:c r="FF34" s="1052">
        <x:f t="shared" si="88"/>
        <x:v>0</x:v>
      </x:c>
      <x:c r="FG34" s="1052" t="str">
        <x:f t="shared" si="89"/>
        <x:v/>
      </x:c>
      <x:c r="FH34" s="1053" t="str">
        <x:f t="shared" si="90"/>
        <x:v/>
      </x:c>
      <x:c r="FI34" s="1052">
        <x:f t="shared" si="109"/>
        <x:v>0</x:v>
      </x:c>
      <x:c r="FJ34" s="1052">
        <x:f t="shared" si="91"/>
        <x:v>0</x:v>
      </x:c>
      <x:c r="FK34" s="1052">
        <x:f t="shared" si="92"/>
        <x:v>0</x:v>
      </x:c>
      <x:c r="FL34" s="1052" t="str">
        <x:f t="shared" si="93"/>
        <x:v/>
      </x:c>
      <x:c r="FM34" s="1053" t="str">
        <x:f t="shared" si="94"/>
        <x:v/>
      </x:c>
      <x:c r="FN34" s="1053" t="e">
        <x:f t="shared" si="95"/>
        <x:v>#VALUE!</x:v>
      </x:c>
      <x:c r="FO34" s="1062" t="e">
        <x:f t="shared" si="96"/>
        <x:v>#VALUE!</x:v>
      </x:c>
      <x:c r="FP34" s="1062" t="e">
        <x:f t="shared" si="97"/>
        <x:v>#VALUE!</x:v>
      </x:c>
      <x:c r="FQ34" s="1063" t="e">
        <x:f t="shared" si="98"/>
        <x:v>#VALUE!</x:v>
      </x:c>
      <x:c r="FR34" s="1064" t="e">
        <x:f t="shared" si="99"/>
        <x:v>#VALUE!</x:v>
      </x:c>
      <x:c r="FS34" s="1065" t="str">
        <x:f t="shared" si="100"/>
        <x:v/>
      </x:c>
      <x:c r="FT34" s="1066" t="str">
        <x:f t="shared" si="101"/>
        <x:v/>
      </x:c>
      <x:c r="FU34" s="1105">
        <x:f t="shared" si="102"/>
        <x:v>0</x:v>
      </x:c>
      <x:c r="FV34" s="1106">
        <x:f t="shared" si="103"/>
        <x:v>0</x:v>
      </x:c>
      <x:c r="GA34" s="1975">
        <x:v>50</x:v>
      </x:c>
      <x:c r="GB34" s="1976">
        <x:v>0</x:v>
      </x:c>
      <x:c r="GC34" s="1977">
        <x:v>2</x:v>
      </x:c>
      <x:c r="GD34" s="1978">
        <x:v>-0.25</x:v>
      </x:c>
      <x:c r="GE34" s="1979">
        <x:v>0.26</x:v>
      </x:c>
      <x:c r="GF34" s="1980" t="str">
        <x:f t="shared" si="104"/>
        <x:v>J135</x:v>
      </x:c>
      <x:c r="GG34" s="1453"/>
      <x:c r="GH34" s="1454"/>
      <x:c r="GI34" s="1453"/>
      <x:c r="GJ34" s="1454"/>
      <x:c r="GK34" s="533">
        <x:f t="shared" si="105"/>
        <x:v>601.75</x:v>
      </x:c>
      <x:c r="GL34" s="534">
        <x:f t="shared" si="106"/>
        <x:v>601.89122752454773</x:v>
      </x:c>
      <x:c r="GM34" s="535">
        <x:f>IF(ABS(GK34-GL34)&gt;='Job Info.'!$L$22,ABS(GK34-GL34),0)</x:f>
        <x:v>0</x:v>
      </x:c>
      <x:c r="HA34" s="1658" t="s">
        <x:v>1459</x:v>
      </x:c>
      <x:c r="HB34" s="1659">
        <x:v>4</x:v>
      </x:c>
      <x:c r="HC34" s="1659" t="s">
        <x:v>1979</x:v>
      </x:c>
      <x:c r="HD34" s="1660">
        <x:v>50</x:v>
      </x:c>
      <x:c r="HE34" s="1661">
        <x:v>1.75</x:v>
      </x:c>
      <x:c r="HF34" s="1659">
        <x:v>0</x:v>
      </x:c>
      <x:c r="HG34" s="1659">
        <x:v>3.625</x:v>
      </x:c>
      <x:c r="HH34" s="1659" t="s">
        <x:v>114</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2166</x:v>
      </x:c>
      <x:c r="IB34" s="1661"/>
      <x:c r="IC34" s="1661"/>
      <x:c r="ID34" s="1661"/>
      <x:c r="IE34" s="1661"/>
      <x:c r="IF34" s="1663"/>
    </x:row>
    <x:row r="35" spans="1:240" ht="12.6" customHeight="1" x14ac:dyDescent="0.25">
      <x:c r="A35" s="1264" t="s">
        <x:v>1460</x:v>
      </x:c>
      <x:c r="B35" s="1265">
        <x:v>2</x:v>
      </x:c>
      <x:c r="C35" s="1265" t="s">
        <x:v>1979</x:v>
      </x:c>
      <x:c r="D35" s="1261">
        <x:v>50</x:v>
      </x:c>
      <x:c r="E35" s="1366">
        <x:v>1.75</x:v>
      </x:c>
      <x:c r="F35" s="1328">
        <x:v>0</x:v>
      </x:c>
      <x:c r="G35" s="1262">
        <x:v>3.625</x:v>
      </x:c>
      <x:c r="H35" s="1266" t="s">
        <x:v>114</x:v>
      </x:c>
      <x:c r="I35" s="1261">
        <x:v>0</x:v>
      </x:c>
      <x:c r="J35" s="1262">
        <x:v>1.375</x:v>
      </x:c>
      <x:c r="K35" s="1370" t="s">
        <x:v>114</x:v>
      </x:c>
      <x:c r="L35" s="1327">
        <x:v>3</x:v>
      </x:c>
      <x:c r="M35" s="1329">
        <x:v>3</x:v>
      </x:c>
      <x:c r="N35" s="1263" t="str">
        <x:f t="shared" si="4"/>
        <x:v/>
      </x:c>
      <x:c r="O35" s="1262" t="str">
        <x:f t="shared" si="5"/>
        <x:v/>
      </x:c>
      <x:c r="P35" s="1260" t="str">
        <x:f t="shared" si="6"/>
        <x:v/>
      </x:c>
      <x:c r="Q35" s="1261" t="str">
        <x:f t="shared" si="7"/>
        <x:v/>
      </x:c>
      <x:c r="R35" s="1262" t="str">
        <x:f t="shared" si="8"/>
        <x:v/>
      </x:c>
      <x:c r="S35" s="1375" t="str">
        <x:f t="shared" si="9"/>
        <x:v/>
      </x:c>
      <x:c r="T35" s="1328" t="str">
        <x:f t="shared" si="10"/>
        <x:v/>
      </x:c>
      <x:c r="U35" s="1262" t="str">
        <x:f t="shared" si="11"/>
        <x:v/>
      </x:c>
      <x:c r="V35" s="1261" t="str">
        <x:f t="shared" si="12"/>
        <x:v/>
      </x:c>
      <x:c r="W35" s="1262" t="str">
        <x:f t="shared" si="13"/>
        <x:v/>
      </x:c>
      <x:c r="X35" s="1329">
        <x:f t="shared" si="14"/>
        <x:v>0</x:v>
      </x:c>
      <x:c r="Y35" s="1377" t="str">
        <x:f t="shared" si="15"/>
        <x:v/>
      </x:c>
      <x:c r="Z35" s="1378" t="str">
        <x:f t="shared" si="16"/>
        <x:v/>
      </x:c>
      <x:c r="AA35" s="2159" t="s">
        <x:v>2167</x:v>
      </x:c>
      <x:c r="AC35" s="1226" t="b">
        <x:v>0</x:v>
      </x:c>
      <x:c r="AD35" s="525">
        <x:f t="shared" si="17"/>
        <x:v>2</x:v>
      </x:c>
      <x:c r="AE35" s="526">
        <x:f t="shared" si="18"/>
        <x:v>0</x:v>
      </x:c>
      <x:c r="AF35" s="526">
        <x:f t="shared" si="19"/>
        <x:v>0</x:v>
      </x:c>
      <x:c r="AG35" s="526">
        <x:f t="shared" si="20"/>
        <x:v>0</x:v>
      </x:c>
      <x:c r="AH35" s="527">
        <x:f t="shared" si="21"/>
        <x:v>0</x:v>
      </x:c>
      <x:c r="AI35" s="528" t="b">
        <x:v>0</x:v>
      </x:c>
      <x:c r="AJ35" s="284">
        <x:f t="shared" si="22"/>
        <x:v>30</x:v>
      </x:c>
      <x:c r="AK35" s="1063" t="str">
        <x:f t="shared" si="23"/>
        <x:v>K</x:v>
      </x:c>
      <x:c r="AL35" s="1202" t="str">
        <x:f t="shared" si="24"/>
        <x:v/>
      </x:c>
      <x:c r="AM35" s="1063">
        <x:f t="shared" si="25"/>
        <x:v>240</x:v>
      </x:c>
      <x:c r="AN35" s="1063">
        <x:f t="shared" si="26"/>
        <x:v>140</x:v>
      </x:c>
      <x:c r="AO35" s="1063" t="str">
        <x:f t="shared" si="27"/>
        <x:v/>
      </x:c>
      <x:c r="AP35" s="1063" t="b">
        <x:f>IF(ISERROR(AJ35),FALSE,IF(OR(AJ35=0,ISERROR(AL35),ISERROR(AM35),ISERROR(AN35),ISERROR(AO35)),FALSE,IF(AL35&lt;&gt;"",IF(ISERROR(VLOOKUP(SUBSTITUTE(SUBSTITUTE(C35,"R",""),"A",""),TblJoistSize!$A:$A,1,FALSE)),FALSE,TRUE),TRUE)))</x:f>
        <x:v>1</x:v>
      </x:c>
      <x:c r="AQ35" s="1305">
        <x:f t="shared" si="28"/>
        <x:v>7.625</x:v>
      </x:c>
      <x:c r="AR35" s="1305" t="b">
        <x:f t="shared" si="29"/>
        <x:v>0</x:v>
      </x:c>
      <x:c r="AS35" s="1305">
        <x:f t="shared" si="30"/>
        <x:v>5.375</x:v>
      </x:c>
      <x:c r="AT35" s="1305" t="b">
        <x:f t="shared" si="31"/>
        <x:v>0</x:v>
      </x:c>
      <x:c r="AU35" s="1203" t="str">
        <x:f t="shared" si="32"/>
        <x:v>K</x:v>
      </x:c>
      <x:c r="AV35" s="1063" t="str">
        <x:f t="shared" si="33"/>
        <x:v>K</x:v>
      </x:c>
      <x:c r="AW35" s="1063" t="str">
        <x:f t="shared" si="34"/>
        <x:v/>
      </x:c>
      <x:c r="AX35" s="1063" t="str">
        <x:f t="shared" si="107"/>
        <x:v>J136</x:v>
      </x:c>
      <x:c r="AY35" s="1306" t="b">
        <x:f t="shared" si="35"/>
        <x:v>0</x:v>
      </x:c>
      <x:c r="AZ35" s="1090" t="b">
        <x:f t="shared" si="36"/>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7"/>
        <x:v/>
      </x:c>
      <x:c r="CE35" s="935" t="str">
        <x:f t="shared" si="38"/>
        <x:v/>
      </x:c>
      <x:c r="CF35" s="1149"/>
      <x:c r="CG35" s="1150"/>
      <x:c r="CH35" s="738" t="str">
        <x:f t="shared" si="39"/>
        <x:v/>
      </x:c>
      <x:c r="CI35" s="739" t="str">
        <x:f t="shared" si="40"/>
        <x:v/>
      </x:c>
      <x:c r="CJ35" s="740" t="str">
        <x:f t="shared" si="41"/>
        <x:v/>
      </x:c>
      <x:c r="CK35" s="741" t="str">
        <x:f t="shared" si="42"/>
        <x:v/>
      </x:c>
      <x:c r="CL35" s="742" t="str">
        <x:f t="shared" si="43"/>
        <x:v/>
      </x:c>
      <x:c r="CM35" s="743" t="str">
        <x:f t="shared" si="44"/>
        <x:v/>
      </x:c>
      <x:c r="CN35" s="744" t="str">
        <x:f t="shared" si="45"/>
        <x:v/>
      </x:c>
      <x:c r="CO35" s="745" t="str">
        <x:f t="shared" si="46"/>
        <x:v/>
      </x:c>
      <x:c r="CP35" s="762" t="str">
        <x:f t="shared" si="47"/>
        <x:v/>
      </x:c>
      <x:c r="CQ35" s="763" t="str">
        <x:f t="shared" si="48"/>
        <x:v/>
      </x:c>
      <x:c r="CR35" s="953">
        <x:f t="shared" si="49"/>
        <x:v>2.5</x:v>
      </x:c>
      <x:c r="CS35" s="954">
        <x:f t="shared" si="50"/>
        <x:v>2.5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51"/>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52"/>
        <x:v>0</x:v>
      </x:c>
      <x:c r="DO35" s="1049">
        <x:f t="shared" si="53"/>
        <x:v>0</x:v>
      </x:c>
      <x:c r="DP35" s="1053" t="str">
        <x:f t="shared" si="54"/>
        <x:v/>
      </x:c>
      <x:c r="DQ35" s="1053" t="str">
        <x:f t="shared" si="55"/>
        <x:v/>
      </x:c>
      <x:c r="DR35" s="1053" t="str">
        <x:f t="shared" si="56"/>
        <x:v/>
      </x:c>
      <x:c r="DS35" s="1052">
        <x:f t="shared" si="57"/>
        <x:v>0</x:v>
      </x:c>
      <x:c r="DT35" s="1052">
        <x:f t="shared" si="58"/>
        <x:v>0</x:v>
      </x:c>
      <x:c r="DU35" s="1052" t="str">
        <x:f t="shared" si="59"/>
        <x:v/>
      </x:c>
      <x:c r="DV35" s="1053" t="str">
        <x:f t="shared" si="60"/>
        <x:v/>
      </x:c>
      <x:c r="DW35" s="1053" t="str">
        <x:f t="shared" si="61"/>
        <x:v/>
      </x:c>
      <x:c r="DX35" s="1269">
        <x:f t="shared" si="62"/>
        <x:v>0</x:v>
      </x:c>
      <x:c r="DY35" s="1053">
        <x:f t="shared" si="63"/>
        <x:v>0</x:v>
      </x:c>
      <x:c r="DZ35" s="1052">
        <x:f t="shared" si="64"/>
        <x:v>0</x:v>
      </x:c>
      <x:c r="EA35" s="1052" t="str">
        <x:f t="shared" si="65"/>
        <x:v/>
      </x:c>
      <x:c r="EB35" s="1053" t="str">
        <x:f t="shared" si="66"/>
        <x:v/>
      </x:c>
      <x:c r="EC35" s="1053" t="str">
        <x:f t="shared" si="67"/>
        <x:v/>
      </x:c>
      <x:c r="ED35" s="1269">
        <x:f t="shared" si="68"/>
        <x:v>0</x:v>
      </x:c>
      <x:c r="EE35" s="1090" t="str">
        <x:f t="shared" si="69"/>
        <x:v/>
      </x:c>
      <x:c r="EF35" s="1053" t="str">
        <x:f t="shared" si="70"/>
        <x:v/>
      </x:c>
      <x:c r="EG35" s="1053" t="str">
        <x:f t="shared" si="71"/>
        <x:v/>
      </x:c>
      <x:c r="EH35" s="1053" t="str">
        <x:f t="shared" si="72"/>
        <x:v>ERR</x:v>
      </x:c>
      <x:c r="EI35" s="1053" t="str">
        <x:f t="shared" si="73"/>
        <x:v>ERR</x:v>
      </x:c>
      <x:c r="EJ35" s="1053" t="str">
        <x:f t="shared" si="74"/>
        <x:v/>
      </x:c>
      <x:c r="EK35" s="1053" t="str">
        <x:f t="shared" si="74"/>
        <x:v/>
      </x:c>
      <x:c r="EL35" s="1090" t="str">
        <x:f t="shared" si="75"/>
        <x:v/>
      </x:c>
      <x:c r="EM35" s="1053" t="str">
        <x:f t="shared" si="76"/>
        <x:v/>
      </x:c>
      <x:c r="EN35" s="1053" t="str">
        <x:f t="shared" si="77"/>
        <x:v/>
      </x:c>
      <x:c r="EO35" s="1053" t="str">
        <x:f t="shared" si="78"/>
        <x:v>ERR</x:v>
      </x:c>
      <x:c r="EP35" s="1053" t="str">
        <x:f t="shared" si="79"/>
        <x:v>ERR</x:v>
      </x:c>
      <x:c r="EQ35" s="1053" t="str">
        <x:f t="shared" si="80"/>
        <x:v/>
      </x:c>
      <x:c r="ER35" s="1053" t="str">
        <x:f t="shared" si="80"/>
        <x:v/>
      </x:c>
      <x:c r="ES35" s="1053" t="str">
        <x:f t="shared" si="81"/>
        <x:v/>
      </x:c>
      <x:c r="ET35" s="1053" t="str">
        <x:f t="shared" si="82"/>
        <x:v/>
      </x:c>
      <x:c r="EU35" s="1061">
        <x:f t="shared" si="83"/>
        <x:v>3.5</x:v>
      </x:c>
      <x:c r="EV35" s="1055" t="str">
        <x:f t="shared" si="84"/>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5"/>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6"/>
        <x:v/>
      </x:c>
      <x:c r="FD35" s="1052">
        <x:f t="shared" si="108"/>
        <x:v>0</x:v>
      </x:c>
      <x:c r="FE35" s="1052">
        <x:f t="shared" si="87"/>
        <x:v>0</x:v>
      </x:c>
      <x:c r="FF35" s="1052">
        <x:f t="shared" si="88"/>
        <x:v>0</x:v>
      </x:c>
      <x:c r="FG35" s="1052" t="str">
        <x:f t="shared" si="89"/>
        <x:v/>
      </x:c>
      <x:c r="FH35" s="1053" t="str">
        <x:f t="shared" si="90"/>
        <x:v/>
      </x:c>
      <x:c r="FI35" s="1052">
        <x:f t="shared" si="109"/>
        <x:v>0</x:v>
      </x:c>
      <x:c r="FJ35" s="1052">
        <x:f t="shared" si="91"/>
        <x:v>0</x:v>
      </x:c>
      <x:c r="FK35" s="1052">
        <x:f t="shared" si="92"/>
        <x:v>0</x:v>
      </x:c>
      <x:c r="FL35" s="1052" t="str">
        <x:f t="shared" si="93"/>
        <x:v/>
      </x:c>
      <x:c r="FM35" s="1053" t="str">
        <x:f t="shared" si="94"/>
        <x:v/>
      </x:c>
      <x:c r="FN35" s="1053" t="e">
        <x:f t="shared" si="95"/>
        <x:v>#VALUE!</x:v>
      </x:c>
      <x:c r="FO35" s="1062" t="e">
        <x:f t="shared" si="96"/>
        <x:v>#VALUE!</x:v>
      </x:c>
      <x:c r="FP35" s="1062" t="e">
        <x:f t="shared" si="97"/>
        <x:v>#VALUE!</x:v>
      </x:c>
      <x:c r="FQ35" s="1063" t="e">
        <x:f t="shared" si="98"/>
        <x:v>#VALUE!</x:v>
      </x:c>
      <x:c r="FR35" s="1064" t="e">
        <x:f t="shared" si="99"/>
        <x:v>#VALUE!</x:v>
      </x:c>
      <x:c r="FS35" s="1065" t="str">
        <x:f t="shared" si="100"/>
        <x:v/>
      </x:c>
      <x:c r="FT35" s="1066" t="str">
        <x:f t="shared" si="101"/>
        <x:v/>
      </x:c>
      <x:c r="FU35" s="1105">
        <x:f t="shared" si="102"/>
        <x:v>0</x:v>
      </x:c>
      <x:c r="FV35" s="1106">
        <x:f t="shared" si="103"/>
        <x:v>0</x:v>
      </x:c>
      <x:c r="GA35" s="1975">
        <x:v>50</x:v>
      </x:c>
      <x:c r="GB35" s="1976">
        <x:v>0</x:v>
      </x:c>
      <x:c r="GC35" s="1977">
        <x:v>2</x:v>
      </x:c>
      <x:c r="GD35" s="1978">
        <x:v>-0.25</x:v>
      </x:c>
      <x:c r="GE35" s="1979">
        <x:v>0.26</x:v>
      </x:c>
      <x:c r="GF35" s="1980" t="str">
        <x:f t="shared" si="104"/>
        <x:v>J136</x:v>
      </x:c>
      <x:c r="GG35" s="1453"/>
      <x:c r="GH35" s="1454"/>
      <x:c r="GI35" s="1453"/>
      <x:c r="GJ35" s="1454"/>
      <x:c r="GK35" s="533">
        <x:f t="shared" si="105"/>
        <x:v>601.75</x:v>
      </x:c>
      <x:c r="GL35" s="534">
        <x:f t="shared" si="106"/>
        <x:v>601.89122752454773</x:v>
      </x:c>
      <x:c r="GM35" s="535">
        <x:f>IF(ABS(GK35-GL35)&gt;='Job Info.'!$L$22,ABS(GK35-GL35),0)</x:f>
        <x:v>0</x:v>
      </x:c>
      <x:c r="HA35" s="1658" t="s">
        <x:v>1460</x:v>
      </x:c>
      <x:c r="HB35" s="1659">
        <x:v>2</x:v>
      </x:c>
      <x:c r="HC35" s="1659" t="s">
        <x:v>1979</x:v>
      </x:c>
      <x:c r="HD35" s="1660">
        <x:v>50</x:v>
      </x:c>
      <x:c r="HE35" s="1661">
        <x:v>1.75</x:v>
      </x:c>
      <x:c r="HF35" s="1659">
        <x:v>0</x:v>
      </x:c>
      <x:c r="HG35" s="1659">
        <x:v>3.625</x:v>
      </x:c>
      <x:c r="HH35" s="1659" t="s">
        <x:v>114</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2167</x:v>
      </x:c>
      <x:c r="IB35" s="1661"/>
      <x:c r="IC35" s="1661"/>
      <x:c r="ID35" s="1661"/>
      <x:c r="IE35" s="1661"/>
      <x:c r="IF35" s="1663"/>
    </x:row>
    <x:row r="36" spans="1:240" ht="12.6" customHeight="1" x14ac:dyDescent="0.25">
      <x:c r="A36" s="1264" t="s">
        <x:v>1461</x:v>
      </x:c>
      <x:c r="B36" s="1265">
        <x:v>1</x:v>
      </x:c>
      <x:c r="C36" s="1265" t="s">
        <x:v>1979</x:v>
      </x:c>
      <x:c r="D36" s="1261">
        <x:v>50</x:v>
      </x:c>
      <x:c r="E36" s="1366">
        <x:v>2</x:v>
      </x:c>
      <x:c r="F36" s="1328">
        <x:v>0</x:v>
      </x:c>
      <x:c r="G36" s="1262">
        <x:v>4.625</x:v>
      </x:c>
      <x:c r="H36" s="1266" t="s">
        <x:v>114</x:v>
      </x:c>
      <x:c r="I36" s="1261">
        <x:v>0</x:v>
      </x:c>
      <x:c r="J36" s="1262">
        <x:v>0.625</x:v>
      </x:c>
      <x:c r="K36" s="1370" t="s">
        <x:v>114</x:v>
      </x:c>
      <x:c r="L36" s="1327">
        <x:v>3</x:v>
      </x:c>
      <x:c r="M36" s="1329">
        <x:v>3</x:v>
      </x:c>
      <x:c r="N36" s="1263">
        <x:v>0</x:v>
      </x:c>
      <x:c r="O36" s="1262">
        <x:v>9.375</x:v>
      </x:c>
      <x:c r="P36" s="1260">
        <x:v>2</x:v>
      </x:c>
      <x:c r="Q36" s="1261">
        <x:v>0</x:v>
      </x:c>
      <x:c r="R36" s="1262">
        <x:v>6.625</x:v>
      </x:c>
      <x:c r="S36" s="1375">
        <x:v>2</x:v>
      </x:c>
      <x:c r="T36" s="1328">
        <x:v>0</x:v>
      </x:c>
      <x:c r="U36" s="1262">
        <x:v>5.5</x:v>
      </x:c>
      <x:c r="V36" s="1261">
        <x:v>0</x:v>
      </x:c>
      <x:c r="W36" s="1262">
        <x:v>1.5</x:v>
      </x:c>
      <x:c r="X36" s="1329">
        <x:v>4</x:v>
      </x:c>
      <x:c r="Y36" s="1377" t="str">
        <x:f t="shared" si="15"/>
        <x:v/>
      </x:c>
      <x:c r="Z36" s="1378" t="str">
        <x:f t="shared" si="16"/>
        <x:v/>
      </x:c>
      <x:c r="AA36" s="2159" t="s">
        <x:v>2168</x:v>
      </x:c>
      <x:c r="AC36" s="1226" t="b">
        <x:v>0</x:v>
      </x:c>
      <x:c r="AD36" s="525">
        <x:f t="shared" si="17"/>
        <x:v>1</x:v>
      </x:c>
      <x:c r="AE36" s="526">
        <x:f t="shared" si="18"/>
        <x:v>0</x:v>
      </x:c>
      <x:c r="AF36" s="526">
        <x:f t="shared" si="19"/>
        <x:v>0</x:v>
      </x:c>
      <x:c r="AG36" s="526">
        <x:f t="shared" si="20"/>
        <x:v>0</x:v>
      </x:c>
      <x:c r="AH36" s="527">
        <x:f t="shared" si="21"/>
        <x:v>0</x:v>
      </x:c>
      <x:c r="AI36" s="528" t="b">
        <x:v>0</x:v>
      </x:c>
      <x:c r="AJ36" s="284">
        <x:f t="shared" si="22"/>
        <x:v>30</x:v>
      </x:c>
      <x:c r="AK36" s="1063" t="str">
        <x:f t="shared" si="23"/>
        <x:v>K</x:v>
      </x:c>
      <x:c r="AL36" s="1202" t="str">
        <x:f t="shared" si="24"/>
        <x:v/>
      </x:c>
      <x:c r="AM36" s="1063">
        <x:f t="shared" si="25"/>
        <x:v>240</x:v>
      </x:c>
      <x:c r="AN36" s="1063">
        <x:f t="shared" si="26"/>
        <x:v>140</x:v>
      </x:c>
      <x:c r="AO36" s="1063" t="str">
        <x:f t="shared" si="27"/>
        <x:v/>
      </x:c>
      <x:c r="AP36" s="1063" t="b">
        <x:f>IF(ISERROR(AJ36),FALSE,IF(OR(AJ36=0,ISERROR(AL36),ISERROR(AM36),ISERROR(AN36),ISERROR(AO36)),FALSE,IF(AL36&lt;&gt;"",IF(ISERROR(VLOOKUP(SUBSTITUTE(SUBSTITUTE(C36,"R",""),"A",""),TblJoistSize!$A:$A,1,FALSE)),FALSE,TRUE),TRUE)))</x:f>
        <x:v>1</x:v>
      </x:c>
      <x:c r="AQ36" s="1305">
        <x:f t="shared" si="28"/>
        <x:v>8.625</x:v>
      </x:c>
      <x:c r="AR36" s="1305" t="b">
        <x:f t="shared" si="29"/>
        <x:v>1</x:v>
      </x:c>
      <x:c r="AS36" s="1305">
        <x:f t="shared" si="30"/>
        <x:v>4.625</x:v>
      </x:c>
      <x:c r="AT36" s="1305" t="b">
        <x:f t="shared" si="31"/>
        <x:v>1</x:v>
      </x:c>
      <x:c r="AU36" s="1203" t="str">
        <x:f t="shared" si="32"/>
        <x:v>K</x:v>
      </x:c>
      <x:c r="AV36" s="1063" t="str">
        <x:f t="shared" si="33"/>
        <x:v>K</x:v>
      </x:c>
      <x:c r="AW36" s="1063" t="str">
        <x:f t="shared" si="34"/>
        <x:v/>
      </x:c>
      <x:c r="AX36" s="1063" t="str">
        <x:f t="shared" si="107"/>
        <x:v>TJ137</x:v>
      </x:c>
      <x:c r="AY36" s="1306" t="b">
        <x:f t="shared" si="35"/>
        <x:v>0</x:v>
      </x:c>
      <x:c r="AZ36" s="1090" t="b">
        <x:f t="shared" si="36"/>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7"/>
        <x:v/>
      </x:c>
      <x:c r="CE36" s="935" t="str">
        <x:f t="shared" si="38"/>
        <x:v/>
      </x:c>
      <x:c r="CF36" s="1149"/>
      <x:c r="CG36" s="1150"/>
      <x:c r="CH36" s="738" t="str">
        <x:f t="shared" si="39"/>
        <x:v/>
      </x:c>
      <x:c r="CI36" s="739" t="str">
        <x:f t="shared" si="40"/>
        <x:v/>
      </x:c>
      <x:c r="CJ36" s="740" t="str">
        <x:f t="shared" si="41"/>
        <x:v/>
      </x:c>
      <x:c r="CK36" s="741" t="str">
        <x:f t="shared" si="42"/>
        <x:v/>
      </x:c>
      <x:c r="CL36" s="742" t="str">
        <x:f t="shared" si="43"/>
        <x:v/>
      </x:c>
      <x:c r="CM36" s="743" t="str">
        <x:f t="shared" si="44"/>
        <x:v/>
      </x:c>
      <x:c r="CN36" s="744" t="str">
        <x:f t="shared" si="45"/>
        <x:v/>
      </x:c>
      <x:c r="CO36" s="745" t="str">
        <x:f t="shared" si="46"/>
        <x:v/>
      </x:c>
      <x:c r="CP36" s="762" t="str">
        <x:f t="shared" si="47"/>
        <x:v/>
      </x:c>
      <x:c r="CQ36" s="763" t="str">
        <x:f t="shared" si="48"/>
        <x:v/>
      </x:c>
      <x:c r="CR36" s="953">
        <x:f t="shared" si="49"/>
        <x:v>2.5</x:v>
      </x:c>
      <x:c r="CS36" s="954">
        <x:f t="shared" si="50"/>
        <x:v>2.5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51"/>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52"/>
        <x:v>0</x:v>
      </x:c>
      <x:c r="DO36" s="1049">
        <x:f t="shared" si="53"/>
        <x:v>0</x:v>
      </x:c>
      <x:c r="DP36" s="1053" t="str">
        <x:f t="shared" si="54"/>
        <x:v/>
      </x:c>
      <x:c r="DQ36" s="1053" t="str">
        <x:f t="shared" si="55"/>
        <x:v/>
      </x:c>
      <x:c r="DR36" s="1053" t="str">
        <x:f t="shared" si="56"/>
        <x:v/>
      </x:c>
      <x:c r="DS36" s="1052">
        <x:f t="shared" si="57"/>
        <x:v>0</x:v>
      </x:c>
      <x:c r="DT36" s="1052">
        <x:f t="shared" si="58"/>
        <x:v>0</x:v>
      </x:c>
      <x:c r="DU36" s="1052" t="str">
        <x:f t="shared" si="59"/>
        <x:v/>
      </x:c>
      <x:c r="DV36" s="1053" t="str">
        <x:f t="shared" si="60"/>
        <x:v/>
      </x:c>
      <x:c r="DW36" s="1053" t="str">
        <x:f t="shared" si="61"/>
        <x:v/>
      </x:c>
      <x:c r="DX36" s="1269">
        <x:f t="shared" si="62"/>
        <x:v>0</x:v>
      </x:c>
      <x:c r="DY36" s="1053">
        <x:f t="shared" si="63"/>
        <x:v>0</x:v>
      </x:c>
      <x:c r="DZ36" s="1052">
        <x:f t="shared" si="64"/>
        <x:v>0</x:v>
      </x:c>
      <x:c r="EA36" s="1052" t="str">
        <x:f t="shared" si="65"/>
        <x:v/>
      </x:c>
      <x:c r="EB36" s="1053" t="str">
        <x:f t="shared" si="66"/>
        <x:v/>
      </x:c>
      <x:c r="EC36" s="1053" t="str">
        <x:f t="shared" si="67"/>
        <x:v/>
      </x:c>
      <x:c r="ED36" s="1269">
        <x:f t="shared" si="68"/>
        <x:v>0</x:v>
      </x:c>
      <x:c r="EE36" s="1090" t="str">
        <x:f t="shared" si="69"/>
        <x:v/>
      </x:c>
      <x:c r="EF36" s="1053" t="str">
        <x:f t="shared" si="70"/>
        <x:v/>
      </x:c>
      <x:c r="EG36" s="1053" t="str">
        <x:f t="shared" si="71"/>
        <x:v/>
      </x:c>
      <x:c r="EH36" s="1053" t="str">
        <x:f t="shared" si="72"/>
        <x:v>ERR</x:v>
      </x:c>
      <x:c r="EI36" s="1053" t="str">
        <x:f t="shared" si="73"/>
        <x:v>ERR</x:v>
      </x:c>
      <x:c r="EJ36" s="1053" t="str">
        <x:f t="shared" si="74"/>
        <x:v/>
      </x:c>
      <x:c r="EK36" s="1053" t="str">
        <x:f t="shared" si="74"/>
        <x:v/>
      </x:c>
      <x:c r="EL36" s="1090" t="str">
        <x:f t="shared" si="75"/>
        <x:v/>
      </x:c>
      <x:c r="EM36" s="1053" t="str">
        <x:f t="shared" si="76"/>
        <x:v/>
      </x:c>
      <x:c r="EN36" s="1053" t="str">
        <x:f t="shared" si="77"/>
        <x:v/>
      </x:c>
      <x:c r="EO36" s="1053" t="str">
        <x:f t="shared" si="78"/>
        <x:v>ERR</x:v>
      </x:c>
      <x:c r="EP36" s="1053" t="str">
        <x:f t="shared" si="79"/>
        <x:v>ERR</x:v>
      </x:c>
      <x:c r="EQ36" s="1053" t="str">
        <x:f t="shared" si="80"/>
        <x:v/>
      </x:c>
      <x:c r="ER36" s="1053" t="str">
        <x:f t="shared" si="80"/>
        <x:v/>
      </x:c>
      <x:c r="ES36" s="1053" t="str">
        <x:f t="shared" si="81"/>
        <x:v/>
      </x:c>
      <x:c r="ET36" s="1053" t="str">
        <x:f t="shared" si="82"/>
        <x:v/>
      </x:c>
      <x:c r="EU36" s="1061">
        <x:f t="shared" si="83"/>
        <x:v>3.5</x:v>
      </x:c>
      <x:c r="EV36" s="1055" t="str">
        <x:f t="shared" si="84"/>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5"/>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6"/>
        <x:v/>
      </x:c>
      <x:c r="FD36" s="1052">
        <x:f t="shared" si="108"/>
        <x:v>0</x:v>
      </x:c>
      <x:c r="FE36" s="1052">
        <x:f t="shared" si="87"/>
        <x:v>0</x:v>
      </x:c>
      <x:c r="FF36" s="1052">
        <x:f t="shared" si="88"/>
        <x:v>0</x:v>
      </x:c>
      <x:c r="FG36" s="1052" t="str">
        <x:f t="shared" si="89"/>
        <x:v/>
      </x:c>
      <x:c r="FH36" s="1053" t="str">
        <x:f t="shared" si="90"/>
        <x:v/>
      </x:c>
      <x:c r="FI36" s="1052">
        <x:f t="shared" si="109"/>
        <x:v>0</x:v>
      </x:c>
      <x:c r="FJ36" s="1052">
        <x:f t="shared" si="91"/>
        <x:v>0</x:v>
      </x:c>
      <x:c r="FK36" s="1052">
        <x:f t="shared" si="92"/>
        <x:v>0</x:v>
      </x:c>
      <x:c r="FL36" s="1052" t="str">
        <x:f t="shared" si="93"/>
        <x:v/>
      </x:c>
      <x:c r="FM36" s="1053" t="str">
        <x:f t="shared" si="94"/>
        <x:v/>
      </x:c>
      <x:c r="FN36" s="1053" t="e">
        <x:f t="shared" si="95"/>
        <x:v>#VALUE!</x:v>
      </x:c>
      <x:c r="FO36" s="1062" t="e">
        <x:f t="shared" si="96"/>
        <x:v>#VALUE!</x:v>
      </x:c>
      <x:c r="FP36" s="1062" t="e">
        <x:f t="shared" si="97"/>
        <x:v>#VALUE!</x:v>
      </x:c>
      <x:c r="FQ36" s="1063" t="e">
        <x:f t="shared" si="98"/>
        <x:v>#VALUE!</x:v>
      </x:c>
      <x:c r="FR36" s="1064" t="e">
        <x:f t="shared" si="99"/>
        <x:v>#VALUE!</x:v>
      </x:c>
      <x:c r="FS36" s="1065" t="str">
        <x:f t="shared" si="100"/>
        <x:v/>
      </x:c>
      <x:c r="FT36" s="1066" t="str">
        <x:f t="shared" si="101"/>
        <x:v/>
      </x:c>
      <x:c r="FU36" s="1105">
        <x:f t="shared" si="102"/>
        <x:v>0</x:v>
      </x:c>
      <x:c r="FV36" s="1106">
        <x:f t="shared" si="103"/>
        <x:v>0</x:v>
      </x:c>
      <x:c r="GA36" s="1975">
        <x:v>50</x:v>
      </x:c>
      <x:c r="GB36" s="1976">
        <x:v>0</x:v>
      </x:c>
      <x:c r="GC36" s="1977">
        <x:v>3</x:v>
      </x:c>
      <x:c r="GD36" s="1978">
        <x:v>-1</x:v>
      </x:c>
      <x:c r="GE36" s="1979">
        <x:v>0.26</x:v>
      </x:c>
      <x:c r="GF36" s="1980" t="str">
        <x:f t="shared" si="104"/>
        <x:v>TJ137</x:v>
      </x:c>
      <x:c r="GG36" s="1453"/>
      <x:c r="GH36" s="1454"/>
      <x:c r="GI36" s="1453"/>
      <x:c r="GJ36" s="1454"/>
      <x:c r="GK36" s="533">
        <x:f t="shared" si="105"/>
        <x:v>602</x:v>
      </x:c>
      <x:c r="GL36" s="534">
        <x:f t="shared" si="106"/>
        <x:v>602.14128619821815</x:v>
      </x:c>
      <x:c r="GM36" s="535">
        <x:f>IF(ABS(GK36-GL36)&gt;='Job Info.'!$L$22,ABS(GK36-GL36),0)</x:f>
        <x:v>0</x:v>
      </x:c>
      <x:c r="HA36" s="1658" t="s">
        <x:v>1461</x:v>
      </x:c>
      <x:c r="HB36" s="1659">
        <x:v>1</x:v>
      </x:c>
      <x:c r="HC36" s="1659" t="s">
        <x:v>1979</x:v>
      </x:c>
      <x:c r="HD36" s="1660">
        <x:v>50</x:v>
      </x:c>
      <x:c r="HE36" s="1661">
        <x:v>2</x:v>
      </x:c>
      <x:c r="HF36" s="1659">
        <x:v>0</x:v>
      </x:c>
      <x:c r="HG36" s="1659">
        <x:v>4.625</x:v>
      </x:c>
      <x:c r="HH36" s="1659" t="s">
        <x:v>114</x:v>
      </x:c>
      <x:c r="HI36" s="1662">
        <x:v>0</x:v>
      </x:c>
      <x:c r="HJ36" s="1659">
        <x:v>0.625</x:v>
      </x:c>
      <x:c r="HK36" s="1659" t="s">
        <x:v>114</x:v>
      </x:c>
      <x:c r="HL36" s="1659">
        <x:v>3</x:v>
      </x:c>
      <x:c r="HM36" s="1659">
        <x:v>3</x:v>
      </x:c>
      <x:c r="HN36" s="1659">
        <x:v>0</x:v>
      </x:c>
      <x:c r="HO36" s="1659">
        <x:v>9.375</x:v>
      </x:c>
      <x:c r="HP36" s="1659">
        <x:v>2</x:v>
      </x:c>
      <x:c r="HQ36" s="1662">
        <x:v>0</x:v>
      </x:c>
      <x:c r="HR36" s="1659">
        <x:v>6.625</x:v>
      </x:c>
      <x:c r="HS36" s="1659">
        <x:v>2</x:v>
      </x:c>
      <x:c r="HT36" s="1659">
        <x:v>0</x:v>
      </x:c>
      <x:c r="HU36" s="1659">
        <x:v>5.5</x:v>
      </x:c>
      <x:c r="HV36" s="1659">
        <x:v>0</x:v>
      </x:c>
      <x:c r="HW36" s="1661">
        <x:v>1.5</x:v>
      </x:c>
      <x:c r="HX36" s="1661">
        <x:v>4</x:v>
      </x:c>
      <x:c r="HY36" s="1661" t="s">
        <x:v>117</x:v>
      </x:c>
      <x:c r="HZ36" s="1661" t="s">
        <x:v>117</x:v>
      </x:c>
      <x:c r="IA36" s="1661" t="s">
        <x:v>2168</x:v>
      </x:c>
      <x:c r="IB36" s="1661"/>
      <x:c r="IC36" s="1661"/>
      <x:c r="ID36" s="1661"/>
      <x:c r="IE36" s="1661"/>
      <x:c r="IF36" s="1663"/>
    </x:row>
    <x:row r="37" spans="1:240" ht="12.6" customHeight="1" x14ac:dyDescent="0.25">
      <x:c r="A37" s="1264" t="s">
        <x:v>1462</x:v>
      </x:c>
      <x:c r="B37" s="1265">
        <x:v>5</x:v>
      </x:c>
      <x:c r="C37" s="1265" t="s">
        <x:v>1979</x:v>
      </x:c>
      <x:c r="D37" s="1261">
        <x:v>49</x:v>
      </x:c>
      <x:c r="E37" s="1366">
        <x:v>11.5</x:v>
      </x:c>
      <x:c r="F37" s="1328">
        <x:v>0</x:v>
      </x:c>
      <x:c r="G37" s="1262">
        <x:v>1.375</x:v>
      </x:c>
      <x:c r="H37" s="1266" t="s">
        <x:v>114</x:v>
      </x:c>
      <x:c r="I37" s="1261">
        <x:v>0</x:v>
      </x:c>
      <x:c r="J37" s="1262">
        <x:v>1.375</x:v>
      </x:c>
      <x:c r="K37" s="1370" t="s">
        <x:v>114</x:v>
      </x:c>
      <x:c r="L37" s="1327">
        <x:v>3</x:v>
      </x:c>
      <x:c r="M37" s="1329">
        <x:v>3</x:v>
      </x:c>
      <x:c r="N37" s="1263" t="str">
        <x:f t="shared" si="4"/>
        <x:v/>
      </x:c>
      <x:c r="O37" s="1262" t="str">
        <x:f t="shared" si="5"/>
        <x:v/>
      </x:c>
      <x:c r="P37" s="1260" t="str">
        <x:f t="shared" si="6"/>
        <x:v/>
      </x:c>
      <x:c r="Q37" s="1261" t="str">
        <x:f t="shared" si="7"/>
        <x:v/>
      </x:c>
      <x:c r="R37" s="1262" t="str">
        <x:f t="shared" si="8"/>
        <x:v/>
      </x:c>
      <x:c r="S37" s="1375" t="str">
        <x:f t="shared" si="9"/>
        <x:v/>
      </x:c>
      <x:c r="T37" s="1328" t="str">
        <x:f t="shared" si="10"/>
        <x:v/>
      </x:c>
      <x:c r="U37" s="1262" t="str">
        <x:f t="shared" si="11"/>
        <x:v/>
      </x:c>
      <x:c r="V37" s="1261" t="str">
        <x:f t="shared" si="12"/>
        <x:v/>
      </x:c>
      <x:c r="W37" s="1262" t="str">
        <x:f t="shared" si="13"/>
        <x:v/>
      </x:c>
      <x:c r="X37" s="1329">
        <x:f t="shared" si="14"/>
        <x:v>0</x:v>
      </x:c>
      <x:c r="Y37" s="1377" t="str">
        <x:f t="shared" si="15"/>
        <x:v/>
      </x:c>
      <x:c r="Z37" s="1378" t="str">
        <x:f t="shared" si="16"/>
        <x:v/>
      </x:c>
      <x:c r="AA37" s="2159" t="s">
        <x:v>2169</x:v>
      </x:c>
      <x:c r="AC37" s="1226" t="b">
        <x:v>0</x:v>
      </x:c>
      <x:c r="AD37" s="525">
        <x:f t="shared" si="17"/>
        <x:v>5</x:v>
      </x:c>
      <x:c r="AE37" s="526">
        <x:f t="shared" si="18"/>
        <x:v>0</x:v>
      </x:c>
      <x:c r="AF37" s="526">
        <x:f t="shared" si="19"/>
        <x:v>0</x:v>
      </x:c>
      <x:c r="AG37" s="526">
        <x:f t="shared" si="20"/>
        <x:v>0</x:v>
      </x:c>
      <x:c r="AH37" s="527">
        <x:f t="shared" si="21"/>
        <x:v>0</x:v>
      </x:c>
      <x:c r="AI37" s="528" t="b">
        <x:v>0</x:v>
      </x:c>
      <x:c r="AJ37" s="284">
        <x:f t="shared" si="22"/>
        <x:v>30</x:v>
      </x:c>
      <x:c r="AK37" s="1063" t="str">
        <x:f t="shared" si="23"/>
        <x:v>K</x:v>
      </x:c>
      <x:c r="AL37" s="1202" t="str">
        <x:f t="shared" si="24"/>
        <x:v/>
      </x:c>
      <x:c r="AM37" s="1063">
        <x:f t="shared" si="25"/>
        <x:v>240</x:v>
      </x:c>
      <x:c r="AN37" s="1063">
        <x:f t="shared" si="26"/>
        <x:v>140</x:v>
      </x:c>
      <x:c r="AO37" s="1063" t="str">
        <x:f t="shared" si="27"/>
        <x:v/>
      </x:c>
      <x:c r="AP37" s="1063" t="b">
        <x:f>IF(ISERROR(AJ37),FALSE,IF(OR(AJ37=0,ISERROR(AL37),ISERROR(AM37),ISERROR(AN37),ISERROR(AO37)),FALSE,IF(AL37&lt;&gt;"",IF(ISERROR(VLOOKUP(SUBSTITUTE(SUBSTITUTE(C37,"R",""),"A",""),TblJoistSize!$A:$A,1,FALSE)),FALSE,TRUE),TRUE)))</x:f>
        <x:v>1</x:v>
      </x:c>
      <x:c r="AQ37" s="1305">
        <x:f t="shared" si="28"/>
        <x:v>5.375</x:v>
      </x:c>
      <x:c r="AR37" s="1305" t="b">
        <x:f t="shared" si="29"/>
        <x:v>0</x:v>
      </x:c>
      <x:c r="AS37" s="1305">
        <x:f t="shared" si="30"/>
        <x:v>5.375</x:v>
      </x:c>
      <x:c r="AT37" s="1305" t="b">
        <x:f t="shared" si="31"/>
        <x:v>0</x:v>
      </x:c>
      <x:c r="AU37" s="1203" t="str">
        <x:f t="shared" si="32"/>
        <x:v>K</x:v>
      </x:c>
      <x:c r="AV37" s="1063" t="str">
        <x:f t="shared" si="33"/>
        <x:v>K</x:v>
      </x:c>
      <x:c r="AW37" s="1063" t="str">
        <x:f t="shared" si="34"/>
        <x:v/>
      </x:c>
      <x:c r="AX37" s="1063" t="str">
        <x:f t="shared" si="107"/>
        <x:v>J138</x:v>
      </x:c>
      <x:c r="AY37" s="1306" t="b">
        <x:f t="shared" si="35"/>
        <x:v>0</x:v>
      </x:c>
      <x:c r="AZ37" s="1090" t="b">
        <x:f t="shared" si="36"/>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7"/>
        <x:v/>
      </x:c>
      <x:c r="CE37" s="935" t="str">
        <x:f t="shared" si="38"/>
        <x:v/>
      </x:c>
      <x:c r="CF37" s="1149"/>
      <x:c r="CG37" s="1150"/>
      <x:c r="CH37" s="738" t="str">
        <x:f t="shared" si="39"/>
        <x:v/>
      </x:c>
      <x:c r="CI37" s="739" t="str">
        <x:f t="shared" si="40"/>
        <x:v/>
      </x:c>
      <x:c r="CJ37" s="740" t="str">
        <x:f t="shared" si="41"/>
        <x:v/>
      </x:c>
      <x:c r="CK37" s="741" t="str">
        <x:f t="shared" si="42"/>
        <x:v/>
      </x:c>
      <x:c r="CL37" s="742" t="str">
        <x:f t="shared" si="43"/>
        <x:v/>
      </x:c>
      <x:c r="CM37" s="743" t="str">
        <x:f t="shared" si="44"/>
        <x:v/>
      </x:c>
      <x:c r="CN37" s="744" t="str">
        <x:f t="shared" si="45"/>
        <x:v/>
      </x:c>
      <x:c r="CO37" s="745" t="str">
        <x:f t="shared" si="46"/>
        <x:v/>
      </x:c>
      <x:c r="CP37" s="762" t="str">
        <x:f t="shared" si="47"/>
        <x:v/>
      </x:c>
      <x:c r="CQ37" s="763" t="str">
        <x:f t="shared" si="48"/>
        <x:v/>
      </x:c>
      <x:c r="CR37" s="953">
        <x:f t="shared" si="49"/>
        <x:v>2.5</x:v>
      </x:c>
      <x:c r="CS37" s="954">
        <x:f t="shared" si="50"/>
        <x:v>2.5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51"/>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52"/>
        <x:v>0</x:v>
      </x:c>
      <x:c r="DO37" s="1049">
        <x:f t="shared" si="53"/>
        <x:v>0</x:v>
      </x:c>
      <x:c r="DP37" s="1053" t="str">
        <x:f t="shared" si="54"/>
        <x:v/>
      </x:c>
      <x:c r="DQ37" s="1053" t="str">
        <x:f t="shared" si="55"/>
        <x:v/>
      </x:c>
      <x:c r="DR37" s="1053" t="str">
        <x:f t="shared" si="56"/>
        <x:v/>
      </x:c>
      <x:c r="DS37" s="1052">
        <x:f t="shared" si="57"/>
        <x:v>0</x:v>
      </x:c>
      <x:c r="DT37" s="1052">
        <x:f t="shared" si="58"/>
        <x:v>0</x:v>
      </x:c>
      <x:c r="DU37" s="1052" t="str">
        <x:f t="shared" si="59"/>
        <x:v/>
      </x:c>
      <x:c r="DV37" s="1053" t="str">
        <x:f t="shared" si="60"/>
        <x:v/>
      </x:c>
      <x:c r="DW37" s="1053" t="str">
        <x:f t="shared" si="61"/>
        <x:v/>
      </x:c>
      <x:c r="DX37" s="1269">
        <x:f t="shared" si="62"/>
        <x:v>0</x:v>
      </x:c>
      <x:c r="DY37" s="1053">
        <x:f t="shared" si="63"/>
        <x:v>0</x:v>
      </x:c>
      <x:c r="DZ37" s="1052">
        <x:f t="shared" si="64"/>
        <x:v>0</x:v>
      </x:c>
      <x:c r="EA37" s="1052" t="str">
        <x:f t="shared" si="65"/>
        <x:v/>
      </x:c>
      <x:c r="EB37" s="1053" t="str">
        <x:f t="shared" si="66"/>
        <x:v/>
      </x:c>
      <x:c r="EC37" s="1053" t="str">
        <x:f t="shared" si="67"/>
        <x:v/>
      </x:c>
      <x:c r="ED37" s="1269">
        <x:f t="shared" si="68"/>
        <x:v>0</x:v>
      </x:c>
      <x:c r="EE37" s="1090" t="str">
        <x:f t="shared" si="69"/>
        <x:v/>
      </x:c>
      <x:c r="EF37" s="1053" t="str">
        <x:f t="shared" si="70"/>
        <x:v/>
      </x:c>
      <x:c r="EG37" s="1053" t="str">
        <x:f t="shared" si="71"/>
        <x:v/>
      </x:c>
      <x:c r="EH37" s="1053" t="str">
        <x:f t="shared" si="72"/>
        <x:v>ERR</x:v>
      </x:c>
      <x:c r="EI37" s="1053" t="str">
        <x:f t="shared" si="73"/>
        <x:v>ERR</x:v>
      </x:c>
      <x:c r="EJ37" s="1053" t="str">
        <x:f t="shared" si="74"/>
        <x:v/>
      </x:c>
      <x:c r="EK37" s="1053" t="str">
        <x:f t="shared" si="74"/>
        <x:v/>
      </x:c>
      <x:c r="EL37" s="1090" t="str">
        <x:f t="shared" si="75"/>
        <x:v/>
      </x:c>
      <x:c r="EM37" s="1053" t="str">
        <x:f t="shared" si="76"/>
        <x:v/>
      </x:c>
      <x:c r="EN37" s="1053" t="str">
        <x:f t="shared" si="77"/>
        <x:v/>
      </x:c>
      <x:c r="EO37" s="1053" t="str">
        <x:f t="shared" si="78"/>
        <x:v>ERR</x:v>
      </x:c>
      <x:c r="EP37" s="1053" t="str">
        <x:f t="shared" si="79"/>
        <x:v>ERR</x:v>
      </x:c>
      <x:c r="EQ37" s="1053" t="str">
        <x:f t="shared" si="80"/>
        <x:v/>
      </x:c>
      <x:c r="ER37" s="1053" t="str">
        <x:f t="shared" si="80"/>
        <x:v/>
      </x:c>
      <x:c r="ES37" s="1053" t="str">
        <x:f t="shared" si="81"/>
        <x:v/>
      </x:c>
      <x:c r="ET37" s="1053" t="str">
        <x:f t="shared" si="82"/>
        <x:v/>
      </x:c>
      <x:c r="EU37" s="1061">
        <x:f t="shared" si="83"/>
        <x:v>3.5</x:v>
      </x:c>
      <x:c r="EV37" s="1055" t="str">
        <x:f t="shared" si="84"/>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5"/>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6"/>
        <x:v/>
      </x:c>
      <x:c r="FD37" s="1052">
        <x:f t="shared" si="108"/>
        <x:v>0</x:v>
      </x:c>
      <x:c r="FE37" s="1052">
        <x:f t="shared" si="87"/>
        <x:v>0</x:v>
      </x:c>
      <x:c r="FF37" s="1052">
        <x:f t="shared" si="88"/>
        <x:v>0</x:v>
      </x:c>
      <x:c r="FG37" s="1052" t="str">
        <x:f t="shared" si="89"/>
        <x:v/>
      </x:c>
      <x:c r="FH37" s="1053" t="str">
        <x:f t="shared" si="90"/>
        <x:v/>
      </x:c>
      <x:c r="FI37" s="1052">
        <x:f t="shared" si="109"/>
        <x:v>0</x:v>
      </x:c>
      <x:c r="FJ37" s="1052">
        <x:f t="shared" si="91"/>
        <x:v>0</x:v>
      </x:c>
      <x:c r="FK37" s="1052">
        <x:f t="shared" si="92"/>
        <x:v>0</x:v>
      </x:c>
      <x:c r="FL37" s="1052" t="str">
        <x:f t="shared" si="93"/>
        <x:v/>
      </x:c>
      <x:c r="FM37" s="1053" t="str">
        <x:f t="shared" si="94"/>
        <x:v/>
      </x:c>
      <x:c r="FN37" s="1053" t="e">
        <x:f t="shared" si="95"/>
        <x:v>#VALUE!</x:v>
      </x:c>
      <x:c r="FO37" s="1062" t="e">
        <x:f t="shared" si="96"/>
        <x:v>#VALUE!</x:v>
      </x:c>
      <x:c r="FP37" s="1062" t="e">
        <x:f t="shared" si="97"/>
        <x:v>#VALUE!</x:v>
      </x:c>
      <x:c r="FQ37" s="1063" t="e">
        <x:f t="shared" si="98"/>
        <x:v>#VALUE!</x:v>
      </x:c>
      <x:c r="FR37" s="1064" t="e">
        <x:f t="shared" si="99"/>
        <x:v>#VALUE!</x:v>
      </x:c>
      <x:c r="FS37" s="1065" t="str">
        <x:f t="shared" si="100"/>
        <x:v/>
      </x:c>
      <x:c r="FT37" s="1066" t="str">
        <x:f t="shared" si="101"/>
        <x:v/>
      </x:c>
      <x:c r="FU37" s="1105">
        <x:f t="shared" si="102"/>
        <x:v>0</x:v>
      </x:c>
      <x:c r="FV37" s="1106">
        <x:f t="shared" si="103"/>
        <x:v>0</x:v>
      </x:c>
      <x:c r="GA37" s="1975">
        <x:v>50</x:v>
      </x:c>
      <x:c r="GB37" s="1976">
        <x:v>0</x:v>
      </x:c>
      <x:c r="GC37" s="1977">
        <x:v>-0.25</x:v>
      </x:c>
      <x:c r="GD37" s="1978">
        <x:v>-0.25</x:v>
      </x:c>
      <x:c r="GE37" s="1979">
        <x:v>0.26</x:v>
      </x:c>
      <x:c r="GF37" s="1980" t="str">
        <x:f t="shared" si="104"/>
        <x:v>J138</x:v>
      </x:c>
      <x:c r="GG37" s="1453"/>
      <x:c r="GH37" s="1454"/>
      <x:c r="GI37" s="1453"/>
      <x:c r="GJ37" s="1454"/>
      <x:c r="GK37" s="533">
        <x:f t="shared" si="105"/>
        <x:v>599.5</x:v>
      </x:c>
      <x:c r="GL37" s="534">
        <x:f t="shared" si="106"/>
        <x:v>599.6406994615146</x:v>
      </x:c>
      <x:c r="GM37" s="535">
        <x:f>IF(ABS(GK37-GL37)&gt;='Job Info.'!$L$22,ABS(GK37-GL37),0)</x:f>
        <x:v>0</x:v>
      </x:c>
      <x:c r="HA37" s="1658" t="s">
        <x:v>1462</x:v>
      </x:c>
      <x:c r="HB37" s="1659">
        <x:v>5</x:v>
      </x:c>
      <x:c r="HC37" s="1659" t="s">
        <x:v>1979</x:v>
      </x:c>
      <x:c r="HD37" s="1660">
        <x:v>49</x:v>
      </x:c>
      <x:c r="HE37" s="1661">
        <x:v>11.5</x:v>
      </x:c>
      <x:c r="HF37" s="1659">
        <x:v>0</x:v>
      </x:c>
      <x:c r="HG37" s="1659">
        <x:v>1.375</x:v>
      </x:c>
      <x:c r="HH37" s="1659" t="s">
        <x:v>114</x:v>
      </x:c>
      <x:c r="HI37" s="1662">
        <x:v>0</x:v>
      </x:c>
      <x:c r="HJ37" s="1659">
        <x:v>1.375</x:v>
      </x:c>
      <x:c r="HK37" s="1659" t="s">
        <x:v>114</x:v>
      </x:c>
      <x:c r="HL37" s="1659">
        <x:v>3</x:v>
      </x:c>
      <x:c r="HM37" s="1659">
        <x:v>3</x:v>
      </x:c>
      <x:c r="HN37" s="1659" t="s">
        <x:v>117</x:v>
      </x:c>
      <x:c r="HO37" s="1659" t="s">
        <x:v>117</x:v>
      </x:c>
      <x:c r="HP37" s="1659" t="s">
        <x:v>117</x:v>
      </x:c>
      <x:c r="HQ37" s="1662" t="s">
        <x:v>117</x:v>
      </x:c>
      <x:c r="HR37" s="1659" t="s">
        <x:v>117</x:v>
      </x:c>
      <x:c r="HS37" s="1659" t="s">
        <x:v>117</x:v>
      </x:c>
      <x:c r="HT37" s="1659" t="s">
        <x:v>117</x:v>
      </x:c>
      <x:c r="HU37" s="1659" t="s">
        <x:v>117</x:v>
      </x:c>
      <x:c r="HV37" s="1659" t="s">
        <x:v>117</x:v>
      </x:c>
      <x:c r="HW37" s="1661" t="s">
        <x:v>117</x:v>
      </x:c>
      <x:c r="HX37" s="1661">
        <x:v>0</x:v>
      </x:c>
      <x:c r="HY37" s="1661" t="s">
        <x:v>117</x:v>
      </x:c>
      <x:c r="HZ37" s="1661" t="s">
        <x:v>117</x:v>
      </x:c>
      <x:c r="IA37" s="1661" t="s">
        <x:v>2169</x:v>
      </x:c>
      <x:c r="IB37" s="1661"/>
      <x:c r="IC37" s="1661"/>
      <x:c r="ID37" s="1661"/>
      <x:c r="IE37" s="1661"/>
      <x:c r="IF37" s="1663"/>
    </x:row>
    <x:row r="38" spans="1:240" ht="12.6" customHeight="1" x14ac:dyDescent="0.25">
      <x:c r="A38" s="1264" t="s">
        <x:v>1463</x:v>
      </x:c>
      <x:c r="B38" s="1265">
        <x:v>78</x:v>
      </x:c>
      <x:c r="C38" s="1265" t="s">
        <x:v>1979</x:v>
      </x:c>
      <x:c r="D38" s="1261">
        <x:v>49</x:v>
      </x:c>
      <x:c r="E38" s="1366">
        <x:v>11.5</x:v>
      </x:c>
      <x:c r="F38" s="1328">
        <x:v>0</x:v>
      </x:c>
      <x:c r="G38" s="1262">
        <x:v>1.375</x:v>
      </x:c>
      <x:c r="H38" s="1266" t="s">
        <x:v>114</x:v>
      </x:c>
      <x:c r="I38" s="1261">
        <x:v>0</x:v>
      </x:c>
      <x:c r="J38" s="1262">
        <x:v>1.375</x:v>
      </x:c>
      <x:c r="K38" s="1370" t="s">
        <x:v>114</x:v>
      </x:c>
      <x:c r="L38" s="1327">
        <x:v>3</x:v>
      </x:c>
      <x:c r="M38" s="1329">
        <x:v>3</x:v>
      </x:c>
      <x:c r="N38" s="1263" t="str">
        <x:f t="shared" si="4"/>
        <x:v/>
      </x:c>
      <x:c r="O38" s="1262" t="str">
        <x:f t="shared" si="5"/>
        <x:v/>
      </x:c>
      <x:c r="P38" s="1260" t="str">
        <x:f t="shared" si="6"/>
        <x:v/>
      </x:c>
      <x:c r="Q38" s="1261" t="str">
        <x:f t="shared" si="7"/>
        <x:v/>
      </x:c>
      <x:c r="R38" s="1262" t="str">
        <x:f t="shared" si="8"/>
        <x:v/>
      </x:c>
      <x:c r="S38" s="1375" t="str">
        <x:f t="shared" si="9"/>
        <x:v/>
      </x:c>
      <x:c r="T38" s="1328" t="str">
        <x:f t="shared" si="10"/>
        <x:v/>
      </x:c>
      <x:c r="U38" s="1262" t="str">
        <x:f t="shared" si="11"/>
        <x:v/>
      </x:c>
      <x:c r="V38" s="1261" t="str">
        <x:f t="shared" si="12"/>
        <x:v/>
      </x:c>
      <x:c r="W38" s="1262" t="str">
        <x:f t="shared" si="13"/>
        <x:v/>
      </x:c>
      <x:c r="X38" s="1329">
        <x:f t="shared" si="14"/>
        <x:v>0</x:v>
      </x:c>
      <x:c r="Y38" s="1377" t="str">
        <x:f t="shared" si="15"/>
        <x:v/>
      </x:c>
      <x:c r="Z38" s="1378" t="str">
        <x:f t="shared" si="16"/>
        <x:v/>
      </x:c>
      <x:c r="AA38" s="2159" t="s">
        <x:v>2166</x:v>
      </x:c>
      <x:c r="AC38" s="1226" t="b">
        <x:v>0</x:v>
      </x:c>
      <x:c r="AD38" s="525">
        <x:f t="shared" si="17"/>
        <x:v>78</x:v>
      </x:c>
      <x:c r="AE38" s="526">
        <x:f t="shared" si="18"/>
        <x:v>0</x:v>
      </x:c>
      <x:c r="AF38" s="526">
        <x:f t="shared" si="19"/>
        <x:v>0</x:v>
      </x:c>
      <x:c r="AG38" s="526">
        <x:f t="shared" si="20"/>
        <x:v>0</x:v>
      </x:c>
      <x:c r="AH38" s="527">
        <x:f t="shared" si="21"/>
        <x:v>0</x:v>
      </x:c>
      <x:c r="AI38" s="528" t="b">
        <x:v>0</x:v>
      </x:c>
      <x:c r="AJ38" s="284">
        <x:f t="shared" si="22"/>
        <x:v>30</x:v>
      </x:c>
      <x:c r="AK38" s="1063" t="str">
        <x:f t="shared" si="23"/>
        <x:v>K</x:v>
      </x:c>
      <x:c r="AL38" s="1202" t="str">
        <x:f t="shared" si="24"/>
        <x:v/>
      </x:c>
      <x:c r="AM38" s="1063">
        <x:f t="shared" si="25"/>
        <x:v>240</x:v>
      </x:c>
      <x:c r="AN38" s="1063">
        <x:f t="shared" si="26"/>
        <x:v>140</x:v>
      </x:c>
      <x:c r="AO38" s="1063" t="str">
        <x:f t="shared" si="27"/>
        <x:v/>
      </x:c>
      <x:c r="AP38" s="1063" t="b">
        <x:f>IF(ISERROR(AJ38),FALSE,IF(OR(AJ38=0,ISERROR(AL38),ISERROR(AM38),ISERROR(AN38),ISERROR(AO38)),FALSE,IF(AL38&lt;&gt;"",IF(ISERROR(VLOOKUP(SUBSTITUTE(SUBSTITUTE(C38,"R",""),"A",""),TblJoistSize!$A:$A,1,FALSE)),FALSE,TRUE),TRUE)))</x:f>
        <x:v>1</x:v>
      </x:c>
      <x:c r="AQ38" s="1305">
        <x:f t="shared" si="28"/>
        <x:v>5.375</x:v>
      </x:c>
      <x:c r="AR38" s="1305" t="b">
        <x:f t="shared" si="29"/>
        <x:v>0</x:v>
      </x:c>
      <x:c r="AS38" s="1305">
        <x:f t="shared" si="30"/>
        <x:v>5.375</x:v>
      </x:c>
      <x:c r="AT38" s="1305" t="b">
        <x:f t="shared" si="31"/>
        <x:v>0</x:v>
      </x:c>
      <x:c r="AU38" s="1203" t="str">
        <x:f t="shared" si="32"/>
        <x:v>K</x:v>
      </x:c>
      <x:c r="AV38" s="1063" t="str">
        <x:f t="shared" si="33"/>
        <x:v>K</x:v>
      </x:c>
      <x:c r="AW38" s="1063" t="str">
        <x:f t="shared" si="34"/>
        <x:v/>
      </x:c>
      <x:c r="AX38" s="1063" t="str">
        <x:f t="shared" si="107"/>
        <x:v>J139</x:v>
      </x:c>
      <x:c r="AY38" s="1306" t="b">
        <x:f t="shared" si="35"/>
        <x:v>0</x:v>
      </x:c>
      <x:c r="AZ38" s="1090" t="b">
        <x:f t="shared" si="36"/>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7"/>
        <x:v/>
      </x:c>
      <x:c r="CE38" s="935" t="str">
        <x:f t="shared" si="38"/>
        <x:v/>
      </x:c>
      <x:c r="CF38" s="1149"/>
      <x:c r="CG38" s="1150"/>
      <x:c r="CH38" s="738" t="str">
        <x:f t="shared" si="39"/>
        <x:v/>
      </x:c>
      <x:c r="CI38" s="739" t="str">
        <x:f t="shared" si="40"/>
        <x:v/>
      </x:c>
      <x:c r="CJ38" s="740" t="str">
        <x:f t="shared" si="41"/>
        <x:v/>
      </x:c>
      <x:c r="CK38" s="741" t="str">
        <x:f t="shared" si="42"/>
        <x:v/>
      </x:c>
      <x:c r="CL38" s="742" t="str">
        <x:f t="shared" si="43"/>
        <x:v/>
      </x:c>
      <x:c r="CM38" s="743" t="str">
        <x:f t="shared" si="44"/>
        <x:v/>
      </x:c>
      <x:c r="CN38" s="744" t="str">
        <x:f t="shared" si="45"/>
        <x:v/>
      </x:c>
      <x:c r="CO38" s="745" t="str">
        <x:f t="shared" si="46"/>
        <x:v/>
      </x:c>
      <x:c r="CP38" s="762" t="str">
        <x:f t="shared" si="47"/>
        <x:v/>
      </x:c>
      <x:c r="CQ38" s="763" t="str">
        <x:f t="shared" si="48"/>
        <x:v/>
      </x:c>
      <x:c r="CR38" s="953">
        <x:f t="shared" si="49"/>
        <x:v>2.5</x:v>
      </x:c>
      <x:c r="CS38" s="954">
        <x:f t="shared" si="50"/>
        <x:v>2.5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51"/>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52"/>
        <x:v>0</x:v>
      </x:c>
      <x:c r="DO38" s="1049">
        <x:f t="shared" si="53"/>
        <x:v>0</x:v>
      </x:c>
      <x:c r="DP38" s="1053" t="str">
        <x:f t="shared" si="54"/>
        <x:v/>
      </x:c>
      <x:c r="DQ38" s="1053" t="str">
        <x:f t="shared" si="55"/>
        <x:v/>
      </x:c>
      <x:c r="DR38" s="1053" t="str">
        <x:f t="shared" si="56"/>
        <x:v/>
      </x:c>
      <x:c r="DS38" s="1052">
        <x:f t="shared" si="57"/>
        <x:v>0</x:v>
      </x:c>
      <x:c r="DT38" s="1052">
        <x:f t="shared" si="58"/>
        <x:v>0</x:v>
      </x:c>
      <x:c r="DU38" s="1052" t="str">
        <x:f t="shared" si="59"/>
        <x:v/>
      </x:c>
      <x:c r="DV38" s="1053" t="str">
        <x:f t="shared" si="60"/>
        <x:v/>
      </x:c>
      <x:c r="DW38" s="1053" t="str">
        <x:f t="shared" si="61"/>
        <x:v/>
      </x:c>
      <x:c r="DX38" s="1269">
        <x:f t="shared" si="62"/>
        <x:v>0</x:v>
      </x:c>
      <x:c r="DY38" s="1053">
        <x:f t="shared" si="63"/>
        <x:v>0</x:v>
      </x:c>
      <x:c r="DZ38" s="1052">
        <x:f t="shared" si="64"/>
        <x:v>0</x:v>
      </x:c>
      <x:c r="EA38" s="1052" t="str">
        <x:f t="shared" si="65"/>
        <x:v/>
      </x:c>
      <x:c r="EB38" s="1053" t="str">
        <x:f t="shared" si="66"/>
        <x:v/>
      </x:c>
      <x:c r="EC38" s="1053" t="str">
        <x:f t="shared" si="67"/>
        <x:v/>
      </x:c>
      <x:c r="ED38" s="1269">
        <x:f t="shared" si="68"/>
        <x:v>0</x:v>
      </x:c>
      <x:c r="EE38" s="1090" t="str">
        <x:f t="shared" si="69"/>
        <x:v/>
      </x:c>
      <x:c r="EF38" s="1053" t="str">
        <x:f t="shared" si="70"/>
        <x:v/>
      </x:c>
      <x:c r="EG38" s="1053" t="str">
        <x:f t="shared" si="71"/>
        <x:v/>
      </x:c>
      <x:c r="EH38" s="1053" t="str">
        <x:f t="shared" si="72"/>
        <x:v>ERR</x:v>
      </x:c>
      <x:c r="EI38" s="1053" t="str">
        <x:f t="shared" si="73"/>
        <x:v>ERR</x:v>
      </x:c>
      <x:c r="EJ38" s="1053" t="str">
        <x:f t="shared" si="74"/>
        <x:v/>
      </x:c>
      <x:c r="EK38" s="1053" t="str">
        <x:f t="shared" si="74"/>
        <x:v/>
      </x:c>
      <x:c r="EL38" s="1090" t="str">
        <x:f t="shared" si="75"/>
        <x:v/>
      </x:c>
      <x:c r="EM38" s="1053" t="str">
        <x:f t="shared" si="76"/>
        <x:v/>
      </x:c>
      <x:c r="EN38" s="1053" t="str">
        <x:f t="shared" si="77"/>
        <x:v/>
      </x:c>
      <x:c r="EO38" s="1053" t="str">
        <x:f t="shared" si="78"/>
        <x:v>ERR</x:v>
      </x:c>
      <x:c r="EP38" s="1053" t="str">
        <x:f t="shared" si="79"/>
        <x:v>ERR</x:v>
      </x:c>
      <x:c r="EQ38" s="1053" t="str">
        <x:f t="shared" si="80"/>
        <x:v/>
      </x:c>
      <x:c r="ER38" s="1053" t="str">
        <x:f t="shared" si="80"/>
        <x:v/>
      </x:c>
      <x:c r="ES38" s="1053" t="str">
        <x:f t="shared" si="81"/>
        <x:v/>
      </x:c>
      <x:c r="ET38" s="1053" t="str">
        <x:f t="shared" si="82"/>
        <x:v/>
      </x:c>
      <x:c r="EU38" s="1061">
        <x:f t="shared" si="83"/>
        <x:v>3.5</x:v>
      </x:c>
      <x:c r="EV38" s="1055" t="str">
        <x:f t="shared" si="84"/>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5"/>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6"/>
        <x:v/>
      </x:c>
      <x:c r="FD38" s="1052">
        <x:f t="shared" si="108"/>
        <x:v>0</x:v>
      </x:c>
      <x:c r="FE38" s="1052">
        <x:f t="shared" si="87"/>
        <x:v>0</x:v>
      </x:c>
      <x:c r="FF38" s="1052">
        <x:f t="shared" si="88"/>
        <x:v>0</x:v>
      </x:c>
      <x:c r="FG38" s="1052" t="str">
        <x:f t="shared" si="89"/>
        <x:v/>
      </x:c>
      <x:c r="FH38" s="1053" t="str">
        <x:f t="shared" si="90"/>
        <x:v/>
      </x:c>
      <x:c r="FI38" s="1052">
        <x:f t="shared" si="109"/>
        <x:v>0</x:v>
      </x:c>
      <x:c r="FJ38" s="1052">
        <x:f t="shared" si="91"/>
        <x:v>0</x:v>
      </x:c>
      <x:c r="FK38" s="1052">
        <x:f t="shared" si="92"/>
        <x:v>0</x:v>
      </x:c>
      <x:c r="FL38" s="1052" t="str">
        <x:f t="shared" si="93"/>
        <x:v/>
      </x:c>
      <x:c r="FM38" s="1053" t="str">
        <x:f t="shared" si="94"/>
        <x:v/>
      </x:c>
      <x:c r="FN38" s="1053" t="e">
        <x:f t="shared" si="95"/>
        <x:v>#VALUE!</x:v>
      </x:c>
      <x:c r="FO38" s="1062" t="e">
        <x:f t="shared" si="96"/>
        <x:v>#VALUE!</x:v>
      </x:c>
      <x:c r="FP38" s="1062" t="e">
        <x:f t="shared" si="97"/>
        <x:v>#VALUE!</x:v>
      </x:c>
      <x:c r="FQ38" s="1063" t="e">
        <x:f t="shared" si="98"/>
        <x:v>#VALUE!</x:v>
      </x:c>
      <x:c r="FR38" s="1064" t="e">
        <x:f t="shared" si="99"/>
        <x:v>#VALUE!</x:v>
      </x:c>
      <x:c r="FS38" s="1065" t="str">
        <x:f t="shared" si="100"/>
        <x:v/>
      </x:c>
      <x:c r="FT38" s="1066" t="str">
        <x:f t="shared" si="101"/>
        <x:v/>
      </x:c>
      <x:c r="FU38" s="1105">
        <x:f t="shared" si="102"/>
        <x:v>0</x:v>
      </x:c>
      <x:c r="FV38" s="1106">
        <x:f t="shared" si="103"/>
        <x:v>0</x:v>
      </x:c>
      <x:c r="GA38" s="1975">
        <x:v>50</x:v>
      </x:c>
      <x:c r="GB38" s="1976">
        <x:v>0</x:v>
      </x:c>
      <x:c r="GC38" s="1977">
        <x:v>-0.25</x:v>
      </x:c>
      <x:c r="GD38" s="1978">
        <x:v>-0.25</x:v>
      </x:c>
      <x:c r="GE38" s="1979">
        <x:v>0.297082909970111</x:v>
      </x:c>
      <x:c r="GF38" s="1980" t="str">
        <x:f t="shared" si="104"/>
        <x:v>J139</x:v>
      </x:c>
      <x:c r="GG38" s="1453"/>
      <x:c r="GH38" s="1454"/>
      <x:c r="GI38" s="1453"/>
      <x:c r="GJ38" s="1454"/>
      <x:c r="GK38" s="533">
        <x:f t="shared" si="105"/>
        <x:v>599.5</x:v>
      </x:c>
      <x:c r="GL38" s="534">
        <x:f t="shared" si="106"/>
        <x:v>599.68368999747361</x:v>
      </x:c>
      <x:c r="GM38" s="535">
        <x:f>IF(ABS(GK38-GL38)&gt;='Job Info.'!$L$22,ABS(GK38-GL38),0)</x:f>
        <x:v>0</x:v>
      </x:c>
      <x:c r="HA38" s="1658" t="s">
        <x:v>1463</x:v>
      </x:c>
      <x:c r="HB38" s="1659">
        <x:v>78</x:v>
      </x:c>
      <x:c r="HC38" s="1659" t="s">
        <x:v>1979</x:v>
      </x:c>
      <x:c r="HD38" s="1660">
        <x:v>49</x:v>
      </x:c>
      <x:c r="HE38" s="1661">
        <x:v>11.5</x:v>
      </x:c>
      <x:c r="HF38" s="1659">
        <x:v>0</x:v>
      </x:c>
      <x:c r="HG38" s="1659">
        <x:v>1.375</x:v>
      </x:c>
      <x:c r="HH38" s="1659" t="s">
        <x:v>114</x:v>
      </x:c>
      <x:c r="HI38" s="1662">
        <x:v>0</x:v>
      </x:c>
      <x:c r="HJ38" s="1659">
        <x:v>1.375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2166</x:v>
      </x:c>
      <x:c r="IB38" s="1661"/>
      <x:c r="IC38" s="1661"/>
      <x:c r="ID38" s="1661"/>
      <x:c r="IE38" s="1661"/>
      <x:c r="IF38" s="1663"/>
    </x:row>
    <x:row r="39" spans="1:240" ht="12.6" customHeight="1" x14ac:dyDescent="0.25">
      <x:c r="A39" s="1264" t="s">
        <x:v>1464</x:v>
      </x:c>
      <x:c r="B39" s="1265">
        <x:v>9</x:v>
      </x:c>
      <x:c r="C39" s="1265" t="s">
        <x:v>1979</x:v>
      </x:c>
      <x:c r="D39" s="1261">
        <x:v>49</x:v>
      </x:c>
      <x:c r="E39" s="1366">
        <x:v>11.5</x:v>
      </x:c>
      <x:c r="F39" s="1328">
        <x:v>0</x:v>
      </x:c>
      <x:c r="G39" s="1262">
        <x:v>1.375</x:v>
      </x:c>
      <x:c r="H39" s="1266" t="s">
        <x:v>114</x:v>
      </x:c>
      <x:c r="I39" s="1261">
        <x:v>0</x:v>
      </x:c>
      <x:c r="J39" s="1262">
        <x:v>1.375</x:v>
      </x:c>
      <x:c r="K39" s="1370" t="s">
        <x:v>114</x:v>
      </x:c>
      <x:c r="L39" s="1327">
        <x:v>3</x:v>
      </x:c>
      <x:c r="M39" s="1329">
        <x:v>3</x:v>
      </x:c>
      <x:c r="N39" s="1263" t="str">
        <x:f t="shared" si="4"/>
        <x:v/>
      </x:c>
      <x:c r="O39" s="1262" t="str">
        <x:f t="shared" si="5"/>
        <x:v/>
      </x:c>
      <x:c r="P39" s="1260" t="str">
        <x:f t="shared" si="6"/>
        <x:v/>
      </x:c>
      <x:c r="Q39" s="1261" t="str">
        <x:f t="shared" si="7"/>
        <x:v/>
      </x:c>
      <x:c r="R39" s="1262" t="str">
        <x:f t="shared" si="8"/>
        <x:v/>
      </x:c>
      <x:c r="S39" s="1375" t="str">
        <x:f t="shared" si="9"/>
        <x:v/>
      </x:c>
      <x:c r="T39" s="1328">
        <x:v>0</x:v>
      </x:c>
      <x:c r="U39" s="1262">
        <x:v>2.25</x:v>
      </x:c>
      <x:c r="V39" s="1261">
        <x:v>0</x:v>
      </x:c>
      <x:c r="W39" s="1262">
        <x:v>2.25</x:v>
      </x:c>
      <x:c r="X39" s="1329">
        <x:v>4</x:v>
      </x:c>
      <x:c r="Y39" s="1377" t="str">
        <x:f t="shared" si="15"/>
        <x:v/>
      </x:c>
      <x:c r="Z39" s="1378" t="str">
        <x:f t="shared" si="16"/>
        <x:v/>
      </x:c>
      <x:c r="AA39" s="2159" t="s">
        <x:v>2166</x:v>
      </x:c>
      <x:c r="AC39" s="1226" t="b">
        <x:v>0</x:v>
      </x:c>
      <x:c r="AD39" s="525">
        <x:f t="shared" si="17"/>
        <x:v>9</x:v>
      </x:c>
      <x:c r="AE39" s="526">
        <x:f t="shared" si="18"/>
        <x:v>0</x:v>
      </x:c>
      <x:c r="AF39" s="526">
        <x:f t="shared" si="19"/>
        <x:v>0</x:v>
      </x:c>
      <x:c r="AG39" s="526">
        <x:f t="shared" si="20"/>
        <x:v>0</x:v>
      </x:c>
      <x:c r="AH39" s="527">
        <x:f t="shared" si="21"/>
        <x:v>0</x:v>
      </x:c>
      <x:c r="AI39" s="528" t="b">
        <x:v>0</x:v>
      </x:c>
      <x:c r="AJ39" s="284">
        <x:f t="shared" si="22"/>
        <x:v>30</x:v>
      </x:c>
      <x:c r="AK39" s="1063" t="str">
        <x:f t="shared" si="23"/>
        <x:v>K</x:v>
      </x:c>
      <x:c r="AL39" s="1202" t="str">
        <x:f t="shared" si="24"/>
        <x:v/>
      </x:c>
      <x:c r="AM39" s="1063">
        <x:f t="shared" si="25"/>
        <x:v>240</x:v>
      </x:c>
      <x:c r="AN39" s="1063">
        <x:f t="shared" si="26"/>
        <x:v>140</x:v>
      </x:c>
      <x:c r="AO39" s="1063" t="str">
        <x:f t="shared" si="27"/>
        <x:v/>
      </x:c>
      <x:c r="AP39" s="1063" t="b">
        <x:f>IF(ISERROR(AJ39),FALSE,IF(OR(AJ39=0,ISERROR(AL39),ISERROR(AM39),ISERROR(AN39),ISERROR(AO39)),FALSE,IF(AL39&lt;&gt;"",IF(ISERROR(VLOOKUP(SUBSTITUTE(SUBSTITUTE(C39,"R",""),"A",""),TblJoistSize!$A:$A,1,FALSE)),FALSE,TRUE),TRUE)))</x:f>
        <x:v>1</x:v>
      </x:c>
      <x:c r="AQ39" s="1305">
        <x:f t="shared" si="28"/>
        <x:v>5.375</x:v>
      </x:c>
      <x:c r="AR39" s="1305" t="b">
        <x:f t="shared" si="29"/>
        <x:v>1</x:v>
      </x:c>
      <x:c r="AS39" s="1305">
        <x:f t="shared" si="30"/>
        <x:v>5.375</x:v>
      </x:c>
      <x:c r="AT39" s="1305" t="b">
        <x:f t="shared" si="31"/>
        <x:v>1</x:v>
      </x:c>
      <x:c r="AU39" s="1203" t="str">
        <x:f t="shared" si="32"/>
        <x:v>K</x:v>
      </x:c>
      <x:c r="AV39" s="1063" t="str">
        <x:f t="shared" si="33"/>
        <x:v>K</x:v>
      </x:c>
      <x:c r="AW39" s="1063" t="str">
        <x:f t="shared" si="34"/>
        <x:v/>
      </x:c>
      <x:c r="AX39" s="1063" t="str">
        <x:f t="shared" si="107"/>
        <x:v>TJ140</x:v>
      </x:c>
      <x:c r="AY39" s="1306" t="b">
        <x:f t="shared" si="35"/>
        <x:v>0</x:v>
      </x:c>
      <x:c r="AZ39" s="1090" t="b">
        <x:f t="shared" si="36"/>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7"/>
        <x:v/>
      </x:c>
      <x:c r="CE39" s="935" t="str">
        <x:f t="shared" si="38"/>
        <x:v/>
      </x:c>
      <x:c r="CF39" s="1149"/>
      <x:c r="CG39" s="1150"/>
      <x:c r="CH39" s="738" t="str">
        <x:f t="shared" si="39"/>
        <x:v/>
      </x:c>
      <x:c r="CI39" s="739" t="str">
        <x:f t="shared" si="40"/>
        <x:v/>
      </x:c>
      <x:c r="CJ39" s="740" t="str">
        <x:f t="shared" si="41"/>
        <x:v/>
      </x:c>
      <x:c r="CK39" s="741" t="str">
        <x:f t="shared" si="42"/>
        <x:v/>
      </x:c>
      <x:c r="CL39" s="742" t="str">
        <x:f t="shared" si="43"/>
        <x:v/>
      </x:c>
      <x:c r="CM39" s="743" t="str">
        <x:f t="shared" si="44"/>
        <x:v/>
      </x:c>
      <x:c r="CN39" s="744" t="str">
        <x:f t="shared" si="45"/>
        <x:v/>
      </x:c>
      <x:c r="CO39" s="745" t="str">
        <x:f t="shared" si="46"/>
        <x:v/>
      </x:c>
      <x:c r="CP39" s="762" t="str">
        <x:f t="shared" si="47"/>
        <x:v/>
      </x:c>
      <x:c r="CQ39" s="763" t="str">
        <x:f t="shared" si="48"/>
        <x:v/>
      </x:c>
      <x:c r="CR39" s="953">
        <x:f t="shared" si="49"/>
        <x:v>2.5</x:v>
      </x:c>
      <x:c r="CS39" s="954">
        <x:f t="shared" si="50"/>
        <x:v>2.5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51"/>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52"/>
        <x:v>0</x:v>
      </x:c>
      <x:c r="DO39" s="1049">
        <x:f t="shared" si="53"/>
        <x:v>0</x:v>
      </x:c>
      <x:c r="DP39" s="1053" t="str">
        <x:f t="shared" si="54"/>
        <x:v/>
      </x:c>
      <x:c r="DQ39" s="1053" t="str">
        <x:f t="shared" si="55"/>
        <x:v/>
      </x:c>
      <x:c r="DR39" s="1053" t="str">
        <x:f t="shared" si="56"/>
        <x:v/>
      </x:c>
      <x:c r="DS39" s="1052">
        <x:f t="shared" si="57"/>
        <x:v>0</x:v>
      </x:c>
      <x:c r="DT39" s="1052">
        <x:f t="shared" si="58"/>
        <x:v>0</x:v>
      </x:c>
      <x:c r="DU39" s="1052" t="str">
        <x:f t="shared" si="59"/>
        <x:v/>
      </x:c>
      <x:c r="DV39" s="1053" t="str">
        <x:f t="shared" si="60"/>
        <x:v/>
      </x:c>
      <x:c r="DW39" s="1053" t="str">
        <x:f t="shared" si="61"/>
        <x:v/>
      </x:c>
      <x:c r="DX39" s="1269">
        <x:f t="shared" si="62"/>
        <x:v>0</x:v>
      </x:c>
      <x:c r="DY39" s="1053">
        <x:f t="shared" si="63"/>
        <x:v>0</x:v>
      </x:c>
      <x:c r="DZ39" s="1052">
        <x:f t="shared" si="64"/>
        <x:v>0</x:v>
      </x:c>
      <x:c r="EA39" s="1052" t="str">
        <x:f t="shared" si="65"/>
        <x:v/>
      </x:c>
      <x:c r="EB39" s="1053" t="str">
        <x:f t="shared" si="66"/>
        <x:v/>
      </x:c>
      <x:c r="EC39" s="1053" t="str">
        <x:f t="shared" si="67"/>
        <x:v/>
      </x:c>
      <x:c r="ED39" s="1269">
        <x:f t="shared" si="68"/>
        <x:v>0</x:v>
      </x:c>
      <x:c r="EE39" s="1090" t="str">
        <x:f t="shared" si="69"/>
        <x:v/>
      </x:c>
      <x:c r="EF39" s="1053" t="str">
        <x:f t="shared" si="70"/>
        <x:v/>
      </x:c>
      <x:c r="EG39" s="1053" t="str">
        <x:f t="shared" si="71"/>
        <x:v/>
      </x:c>
      <x:c r="EH39" s="1053" t="str">
        <x:f t="shared" si="72"/>
        <x:v>ERR</x:v>
      </x:c>
      <x:c r="EI39" s="1053" t="str">
        <x:f t="shared" si="73"/>
        <x:v>ERR</x:v>
      </x:c>
      <x:c r="EJ39" s="1053" t="str">
        <x:f t="shared" si="74"/>
        <x:v/>
      </x:c>
      <x:c r="EK39" s="1053" t="str">
        <x:f t="shared" si="74"/>
        <x:v/>
      </x:c>
      <x:c r="EL39" s="1090" t="str">
        <x:f t="shared" si="75"/>
        <x:v/>
      </x:c>
      <x:c r="EM39" s="1053" t="str">
        <x:f t="shared" si="76"/>
        <x:v/>
      </x:c>
      <x:c r="EN39" s="1053" t="str">
        <x:f t="shared" si="77"/>
        <x:v/>
      </x:c>
      <x:c r="EO39" s="1053" t="str">
        <x:f t="shared" si="78"/>
        <x:v>ERR</x:v>
      </x:c>
      <x:c r="EP39" s="1053" t="str">
        <x:f t="shared" si="79"/>
        <x:v>ERR</x:v>
      </x:c>
      <x:c r="EQ39" s="1053" t="str">
        <x:f t="shared" si="80"/>
        <x:v/>
      </x:c>
      <x:c r="ER39" s="1053" t="str">
        <x:f t="shared" si="80"/>
        <x:v/>
      </x:c>
      <x:c r="ES39" s="1053" t="str">
        <x:f t="shared" si="81"/>
        <x:v/>
      </x:c>
      <x:c r="ET39" s="1053" t="str">
        <x:f t="shared" si="82"/>
        <x:v/>
      </x:c>
      <x:c r="EU39" s="1061">
        <x:f t="shared" si="83"/>
        <x:v>3.5</x:v>
      </x:c>
      <x:c r="EV39" s="1055" t="str">
        <x:f t="shared" si="84"/>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5"/>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6"/>
        <x:v/>
      </x:c>
      <x:c r="FD39" s="1052">
        <x:f t="shared" si="108"/>
        <x:v>0</x:v>
      </x:c>
      <x:c r="FE39" s="1052">
        <x:f t="shared" si="87"/>
        <x:v>0</x:v>
      </x:c>
      <x:c r="FF39" s="1052">
        <x:f t="shared" si="88"/>
        <x:v>0</x:v>
      </x:c>
      <x:c r="FG39" s="1052" t="str">
        <x:f t="shared" si="89"/>
        <x:v/>
      </x:c>
      <x:c r="FH39" s="1053" t="str">
        <x:f t="shared" si="90"/>
        <x:v/>
      </x:c>
      <x:c r="FI39" s="1052">
        <x:f t="shared" si="109"/>
        <x:v>0</x:v>
      </x:c>
      <x:c r="FJ39" s="1052">
        <x:f t="shared" si="91"/>
        <x:v>0</x:v>
      </x:c>
      <x:c r="FK39" s="1052">
        <x:f t="shared" si="92"/>
        <x:v>0</x:v>
      </x:c>
      <x:c r="FL39" s="1052" t="str">
        <x:f t="shared" si="93"/>
        <x:v/>
      </x:c>
      <x:c r="FM39" s="1053" t="str">
        <x:f t="shared" si="94"/>
        <x:v/>
      </x:c>
      <x:c r="FN39" s="1053" t="e">
        <x:f t="shared" si="95"/>
        <x:v>#VALUE!</x:v>
      </x:c>
      <x:c r="FO39" s="1062" t="e">
        <x:f t="shared" si="96"/>
        <x:v>#VALUE!</x:v>
      </x:c>
      <x:c r="FP39" s="1062" t="e">
        <x:f t="shared" si="97"/>
        <x:v>#VALUE!</x:v>
      </x:c>
      <x:c r="FQ39" s="1063" t="e">
        <x:f t="shared" si="98"/>
        <x:v>#VALUE!</x:v>
      </x:c>
      <x:c r="FR39" s="1064" t="e">
        <x:f t="shared" si="99"/>
        <x:v>#VALUE!</x:v>
      </x:c>
      <x:c r="FS39" s="1065" t="str">
        <x:f t="shared" si="100"/>
        <x:v/>
      </x:c>
      <x:c r="FT39" s="1066" t="str">
        <x:f t="shared" si="101"/>
        <x:v/>
      </x:c>
      <x:c r="FU39" s="1105">
        <x:f t="shared" si="102"/>
        <x:v>0</x:v>
      </x:c>
      <x:c r="FV39" s="1106">
        <x:f t="shared" si="103"/>
        <x:v>0</x:v>
      </x:c>
      <x:c r="GA39" s="1975">
        <x:v>50</x:v>
      </x:c>
      <x:c r="GB39" s="1976">
        <x:v>0</x:v>
      </x:c>
      <x:c r="GC39" s="1977">
        <x:v>-0.25</x:v>
      </x:c>
      <x:c r="GD39" s="1978">
        <x:v>-0.25</x:v>
      </x:c>
      <x:c r="GE39" s="1979">
        <x:v>0.26741658199402202</x:v>
      </x:c>
      <x:c r="GF39" s="1980" t="str">
        <x:f t="shared" si="104"/>
        <x:v>TJ140</x:v>
      </x:c>
      <x:c r="GG39" s="1453"/>
      <x:c r="GH39" s="1454"/>
      <x:c r="GI39" s="1453"/>
      <x:c r="GJ39" s="1454"/>
      <x:c r="GK39" s="533">
        <x:f t="shared" si="105"/>
        <x:v>599.5</x:v>
      </x:c>
      <x:c r="GL39" s="534">
        <x:f t="shared" si="106"/>
        <x:v>599.64883993037756</x:v>
      </x:c>
      <x:c r="GM39" s="535">
        <x:f>IF(ABS(GK39-GL39)&gt;='Job Info.'!$L$22,ABS(GK39-GL39),0)</x:f>
        <x:v>0</x:v>
      </x:c>
      <x:c r="HA39" s="1658" t="s">
        <x:v>1464</x:v>
      </x:c>
      <x:c r="HB39" s="1659">
        <x:v>9</x:v>
      </x:c>
      <x:c r="HC39" s="1659" t="s">
        <x:v>1979</x:v>
      </x:c>
      <x:c r="HD39" s="1660">
        <x:v>49</x:v>
      </x:c>
      <x:c r="HE39" s="1661">
        <x:v>11.5</x:v>
      </x:c>
      <x:c r="HF39" s="1659">
        <x:v>0</x:v>
      </x:c>
      <x:c r="HG39" s="1659">
        <x:v>1.375</x:v>
      </x:c>
      <x:c r="HH39" s="1659" t="s">
        <x:v>114</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x:v>0</x:v>
      </x:c>
      <x:c r="HU39" s="1659">
        <x:v>2.25</x:v>
      </x:c>
      <x:c r="HV39" s="1659">
        <x:v>0</x:v>
      </x:c>
      <x:c r="HW39" s="1661">
        <x:v>2.25</x:v>
      </x:c>
      <x:c r="HX39" s="1661">
        <x:v>4</x:v>
      </x:c>
      <x:c r="HY39" s="1661" t="s">
        <x:v>117</x:v>
      </x:c>
      <x:c r="HZ39" s="1661" t="s">
        <x:v>117</x:v>
      </x:c>
      <x:c r="IA39" s="1661" t="s">
        <x:v>2166</x:v>
      </x:c>
      <x:c r="IB39" s="1661"/>
      <x:c r="IC39" s="1661"/>
      <x:c r="ID39" s="1661"/>
      <x:c r="IE39" s="1661"/>
      <x:c r="IF39" s="1663"/>
    </x:row>
    <x:row r="40" spans="1:240" ht="12.6" customHeight="1" x14ac:dyDescent="0.25">
      <x:c r="A40" s="1264" t="s">
        <x:v>1465</x:v>
      </x:c>
      <x:c r="B40" s="1265">
        <x:v>10</x:v>
      </x:c>
      <x:c r="C40" s="1265" t="s">
        <x:v>1979</x:v>
      </x:c>
      <x:c r="D40" s="1261">
        <x:v>49</x:v>
      </x:c>
      <x:c r="E40" s="1366">
        <x:v>11.5</x:v>
      </x:c>
      <x:c r="F40" s="1328">
        <x:v>0</x:v>
      </x:c>
      <x:c r="G40" s="1262">
        <x:v>1.375</x:v>
      </x:c>
      <x:c r="H40" s="1266" t="s">
        <x:v>114</x:v>
      </x:c>
      <x:c r="I40" s="1261">
        <x:v>0</x:v>
      </x:c>
      <x:c r="J40" s="1262">
        <x:v>1.375</x:v>
      </x:c>
      <x:c r="K40" s="1370" t="s">
        <x:v>114</x:v>
      </x:c>
      <x:c r="L40" s="1327">
        <x:v>3</x:v>
      </x:c>
      <x:c r="M40" s="1329">
        <x:v>3</x:v>
      </x:c>
      <x:c r="N40" s="1263" t="str">
        <x:f t="shared" si="4"/>
        <x:v/>
      </x:c>
      <x:c r="O40" s="1262" t="str">
        <x:f t="shared" si="5"/>
        <x:v/>
      </x:c>
      <x:c r="P40" s="1260" t="str">
        <x:f t="shared" si="6"/>
        <x:v/>
      </x:c>
      <x:c r="Q40" s="1261" t="str">
        <x:f t="shared" si="7"/>
        <x:v/>
      </x:c>
      <x:c r="R40" s="1262" t="str">
        <x:f t="shared" si="8"/>
        <x:v/>
      </x:c>
      <x:c r="S40" s="1375" t="str">
        <x:f t="shared" si="9"/>
        <x:v/>
      </x:c>
      <x:c r="T40" s="1328" t="str">
        <x:f t="shared" si="10"/>
        <x:v/>
      </x:c>
      <x:c r="U40" s="1262" t="str">
        <x:f t="shared" si="11"/>
        <x:v/>
      </x:c>
      <x:c r="V40" s="1261" t="str">
        <x:f t="shared" si="12"/>
        <x:v/>
      </x:c>
      <x:c r="W40" s="1262" t="str">
        <x:f t="shared" si="13"/>
        <x:v/>
      </x:c>
      <x:c r="X40" s="1329">
        <x:f t="shared" si="14"/>
        <x:v>0</x:v>
      </x:c>
      <x:c r="Y40" s="1377" t="str">
        <x:f t="shared" si="15"/>
        <x:v/>
      </x:c>
      <x:c r="Z40" s="1378" t="str">
        <x:f t="shared" si="16"/>
        <x:v/>
      </x:c>
      <x:c r="AA40" s="2159" t="s">
        <x:v>2167</x:v>
      </x:c>
      <x:c r="AC40" s="1226" t="b">
        <x:v>0</x:v>
      </x:c>
      <x:c r="AD40" s="525">
        <x:f t="shared" si="17"/>
        <x:v>10</x:v>
      </x:c>
      <x:c r="AE40" s="526">
        <x:f t="shared" si="18"/>
        <x:v>0</x:v>
      </x:c>
      <x:c r="AF40" s="526">
        <x:f t="shared" si="19"/>
        <x:v>0</x:v>
      </x:c>
      <x:c r="AG40" s="526">
        <x:f t="shared" si="20"/>
        <x:v>0</x:v>
      </x:c>
      <x:c r="AH40" s="527">
        <x:f t="shared" si="21"/>
        <x:v>0</x:v>
      </x:c>
      <x:c r="AI40" s="528" t="b">
        <x:v>0</x:v>
      </x:c>
      <x:c r="AJ40" s="284">
        <x:f t="shared" si="22"/>
        <x:v>30</x:v>
      </x:c>
      <x:c r="AK40" s="1063" t="str">
        <x:f t="shared" si="23"/>
        <x:v>K</x:v>
      </x:c>
      <x:c r="AL40" s="1202" t="str">
        <x:f t="shared" si="24"/>
        <x:v/>
      </x:c>
      <x:c r="AM40" s="1063">
        <x:f t="shared" si="25"/>
        <x:v>240</x:v>
      </x:c>
      <x:c r="AN40" s="1063">
        <x:f t="shared" si="26"/>
        <x:v>140</x:v>
      </x:c>
      <x:c r="AO40" s="1063" t="str">
        <x:f t="shared" si="27"/>
        <x:v/>
      </x:c>
      <x:c r="AP40" s="1063" t="b">
        <x:f>IF(ISERROR(AJ40),FALSE,IF(OR(AJ40=0,ISERROR(AL40),ISERROR(AM40),ISERROR(AN40),ISERROR(AO40)),FALSE,IF(AL40&lt;&gt;"",IF(ISERROR(VLOOKUP(SUBSTITUTE(SUBSTITUTE(C40,"R",""),"A",""),TblJoistSize!$A:$A,1,FALSE)),FALSE,TRUE),TRUE)))</x:f>
        <x:v>1</x:v>
      </x:c>
      <x:c r="AQ40" s="1305">
        <x:f t="shared" si="28"/>
        <x:v>5.375</x:v>
      </x:c>
      <x:c r="AR40" s="1305" t="b">
        <x:f t="shared" si="29"/>
        <x:v>0</x:v>
      </x:c>
      <x:c r="AS40" s="1305">
        <x:f t="shared" si="30"/>
        <x:v>5.375</x:v>
      </x:c>
      <x:c r="AT40" s="1305" t="b">
        <x:f t="shared" si="31"/>
        <x:v>0</x:v>
      </x:c>
      <x:c r="AU40" s="1203" t="str">
        <x:f t="shared" si="32"/>
        <x:v>K</x:v>
      </x:c>
      <x:c r="AV40" s="1063" t="str">
        <x:f t="shared" si="33"/>
        <x:v>K</x:v>
      </x:c>
      <x:c r="AW40" s="1063" t="str">
        <x:f t="shared" si="34"/>
        <x:v/>
      </x:c>
      <x:c r="AX40" s="1063" t="str">
        <x:f t="shared" si="107"/>
        <x:v>J141</x:v>
      </x:c>
      <x:c r="AY40" s="1306" t="b">
        <x:f t="shared" si="35"/>
        <x:v>0</x:v>
      </x:c>
      <x:c r="AZ40" s="1090" t="b">
        <x:f t="shared" si="36"/>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7"/>
        <x:v/>
      </x:c>
      <x:c r="CE40" s="935" t="str">
        <x:f t="shared" si="38"/>
        <x:v/>
      </x:c>
      <x:c r="CF40" s="1149"/>
      <x:c r="CG40" s="1150"/>
      <x:c r="CH40" s="738" t="str">
        <x:f t="shared" si="39"/>
        <x:v/>
      </x:c>
      <x:c r="CI40" s="739" t="str">
        <x:f t="shared" si="40"/>
        <x:v/>
      </x:c>
      <x:c r="CJ40" s="740" t="str">
        <x:f t="shared" si="41"/>
        <x:v/>
      </x:c>
      <x:c r="CK40" s="741" t="str">
        <x:f t="shared" si="42"/>
        <x:v/>
      </x:c>
      <x:c r="CL40" s="742" t="str">
        <x:f t="shared" si="43"/>
        <x:v/>
      </x:c>
      <x:c r="CM40" s="743" t="str">
        <x:f t="shared" si="44"/>
        <x:v/>
      </x:c>
      <x:c r="CN40" s="744" t="str">
        <x:f t="shared" si="45"/>
        <x:v/>
      </x:c>
      <x:c r="CO40" s="745" t="str">
        <x:f t="shared" si="46"/>
        <x:v/>
      </x:c>
      <x:c r="CP40" s="762" t="str">
        <x:f t="shared" si="47"/>
        <x:v/>
      </x:c>
      <x:c r="CQ40" s="763" t="str">
        <x:f t="shared" si="48"/>
        <x:v/>
      </x:c>
      <x:c r="CR40" s="953">
        <x:f t="shared" si="49"/>
        <x:v>2.5</x:v>
      </x:c>
      <x:c r="CS40" s="954">
        <x:f t="shared" si="50"/>
        <x:v>2.5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51"/>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52"/>
        <x:v>0</x:v>
      </x:c>
      <x:c r="DO40" s="1049">
        <x:f t="shared" si="53"/>
        <x:v>0</x:v>
      </x:c>
      <x:c r="DP40" s="1053" t="str">
        <x:f t="shared" si="54"/>
        <x:v/>
      </x:c>
      <x:c r="DQ40" s="1053" t="str">
        <x:f t="shared" si="55"/>
        <x:v/>
      </x:c>
      <x:c r="DR40" s="1053" t="str">
        <x:f t="shared" si="56"/>
        <x:v/>
      </x:c>
      <x:c r="DS40" s="1052">
        <x:f t="shared" si="57"/>
        <x:v>0</x:v>
      </x:c>
      <x:c r="DT40" s="1052">
        <x:f t="shared" si="58"/>
        <x:v>0</x:v>
      </x:c>
      <x:c r="DU40" s="1052" t="str">
        <x:f t="shared" si="59"/>
        <x:v/>
      </x:c>
      <x:c r="DV40" s="1053" t="str">
        <x:f t="shared" si="60"/>
        <x:v/>
      </x:c>
      <x:c r="DW40" s="1053" t="str">
        <x:f t="shared" si="61"/>
        <x:v/>
      </x:c>
      <x:c r="DX40" s="1269">
        <x:f t="shared" si="62"/>
        <x:v>0</x:v>
      </x:c>
      <x:c r="DY40" s="1053">
        <x:f t="shared" si="63"/>
        <x:v>0</x:v>
      </x:c>
      <x:c r="DZ40" s="1052">
        <x:f t="shared" si="64"/>
        <x:v>0</x:v>
      </x:c>
      <x:c r="EA40" s="1052" t="str">
        <x:f t="shared" si="65"/>
        <x:v/>
      </x:c>
      <x:c r="EB40" s="1053" t="str">
        <x:f t="shared" si="66"/>
        <x:v/>
      </x:c>
      <x:c r="EC40" s="1053" t="str">
        <x:f t="shared" si="67"/>
        <x:v/>
      </x:c>
      <x:c r="ED40" s="1269">
        <x:f t="shared" si="68"/>
        <x:v>0</x:v>
      </x:c>
      <x:c r="EE40" s="1090" t="str">
        <x:f t="shared" si="69"/>
        <x:v/>
      </x:c>
      <x:c r="EF40" s="1053" t="str">
        <x:f t="shared" si="70"/>
        <x:v/>
      </x:c>
      <x:c r="EG40" s="1053" t="str">
        <x:f t="shared" si="71"/>
        <x:v/>
      </x:c>
      <x:c r="EH40" s="1053" t="str">
        <x:f t="shared" si="72"/>
        <x:v>ERR</x:v>
      </x:c>
      <x:c r="EI40" s="1053" t="str">
        <x:f t="shared" si="73"/>
        <x:v>ERR</x:v>
      </x:c>
      <x:c r="EJ40" s="1053" t="str">
        <x:f t="shared" si="74"/>
        <x:v/>
      </x:c>
      <x:c r="EK40" s="1053" t="str">
        <x:f t="shared" si="74"/>
        <x:v/>
      </x:c>
      <x:c r="EL40" s="1090" t="str">
        <x:f t="shared" si="75"/>
        <x:v/>
      </x:c>
      <x:c r="EM40" s="1053" t="str">
        <x:f t="shared" si="76"/>
        <x:v/>
      </x:c>
      <x:c r="EN40" s="1053" t="str">
        <x:f t="shared" si="77"/>
        <x:v/>
      </x:c>
      <x:c r="EO40" s="1053" t="str">
        <x:f t="shared" si="78"/>
        <x:v>ERR</x:v>
      </x:c>
      <x:c r="EP40" s="1053" t="str">
        <x:f t="shared" si="79"/>
        <x:v>ERR</x:v>
      </x:c>
      <x:c r="EQ40" s="1053" t="str">
        <x:f t="shared" si="80"/>
        <x:v/>
      </x:c>
      <x:c r="ER40" s="1053" t="str">
        <x:f t="shared" si="80"/>
        <x:v/>
      </x:c>
      <x:c r="ES40" s="1053" t="str">
        <x:f t="shared" si="81"/>
        <x:v/>
      </x:c>
      <x:c r="ET40" s="1053" t="str">
        <x:f t="shared" si="82"/>
        <x:v/>
      </x:c>
      <x:c r="EU40" s="1061">
        <x:f t="shared" si="83"/>
        <x:v>3.5</x:v>
      </x:c>
      <x:c r="EV40" s="1055" t="str">
        <x:f t="shared" si="84"/>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5"/>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6"/>
        <x:v/>
      </x:c>
      <x:c r="FD40" s="1052">
        <x:f t="shared" si="108"/>
        <x:v>0</x:v>
      </x:c>
      <x:c r="FE40" s="1052">
        <x:f t="shared" si="87"/>
        <x:v>0</x:v>
      </x:c>
      <x:c r="FF40" s="1052">
        <x:f t="shared" si="88"/>
        <x:v>0</x:v>
      </x:c>
      <x:c r="FG40" s="1052" t="str">
        <x:f t="shared" si="89"/>
        <x:v/>
      </x:c>
      <x:c r="FH40" s="1053" t="str">
        <x:f t="shared" si="90"/>
        <x:v/>
      </x:c>
      <x:c r="FI40" s="1052">
        <x:f t="shared" si="109"/>
        <x:v>0</x:v>
      </x:c>
      <x:c r="FJ40" s="1052">
        <x:f t="shared" si="91"/>
        <x:v>0</x:v>
      </x:c>
      <x:c r="FK40" s="1052">
        <x:f t="shared" si="92"/>
        <x:v>0</x:v>
      </x:c>
      <x:c r="FL40" s="1052" t="str">
        <x:f t="shared" si="93"/>
        <x:v/>
      </x:c>
      <x:c r="FM40" s="1053" t="str">
        <x:f t="shared" si="94"/>
        <x:v/>
      </x:c>
      <x:c r="FN40" s="1053" t="e">
        <x:f t="shared" si="95"/>
        <x:v>#VALUE!</x:v>
      </x:c>
      <x:c r="FO40" s="1062" t="e">
        <x:f t="shared" si="96"/>
        <x:v>#VALUE!</x:v>
      </x:c>
      <x:c r="FP40" s="1062" t="e">
        <x:f t="shared" si="97"/>
        <x:v>#VALUE!</x:v>
      </x:c>
      <x:c r="FQ40" s="1063" t="e">
        <x:f t="shared" si="98"/>
        <x:v>#VALUE!</x:v>
      </x:c>
      <x:c r="FR40" s="1064" t="e">
        <x:f t="shared" si="99"/>
        <x:v>#VALUE!</x:v>
      </x:c>
      <x:c r="FS40" s="1065" t="str">
        <x:f t="shared" si="100"/>
        <x:v/>
      </x:c>
      <x:c r="FT40" s="1066" t="str">
        <x:f t="shared" si="101"/>
        <x:v/>
      </x:c>
      <x:c r="FU40" s="1105">
        <x:f t="shared" si="102"/>
        <x:v>0</x:v>
      </x:c>
      <x:c r="FV40" s="1106">
        <x:f t="shared" si="103"/>
        <x:v>0</x:v>
      </x:c>
      <x:c r="GA40" s="1975">
        <x:v>50</x:v>
      </x:c>
      <x:c r="GB40" s="1976">
        <x:v>0</x:v>
      </x:c>
      <x:c r="GC40" s="1977">
        <x:v>-0.25</x:v>
      </x:c>
      <x:c r="GD40" s="1978">
        <x:v>-0.25</x:v>
      </x:c>
      <x:c r="GE40" s="1979">
        <x:v>0.26</x:v>
      </x:c>
      <x:c r="GF40" s="1980" t="str">
        <x:f t="shared" si="104"/>
        <x:v>J141</x:v>
      </x:c>
      <x:c r="GG40" s="1453"/>
      <x:c r="GH40" s="1454"/>
      <x:c r="GI40" s="1453"/>
      <x:c r="GJ40" s="1454"/>
      <x:c r="GK40" s="533">
        <x:f t="shared" si="105"/>
        <x:v>599.5</x:v>
      </x:c>
      <x:c r="GL40" s="534">
        <x:f t="shared" si="106"/>
        <x:v>599.6406994615146</x:v>
      </x:c>
      <x:c r="GM40" s="535">
        <x:f>IF(ABS(GK40-GL40)&gt;='Job Info.'!$L$22,ABS(GK40-GL40),0)</x:f>
        <x:v>0</x:v>
      </x:c>
      <x:c r="HA40" s="1658" t="s">
        <x:v>1465</x:v>
      </x:c>
      <x:c r="HB40" s="1659">
        <x:v>10</x:v>
      </x:c>
      <x:c r="HC40" s="1659" t="s">
        <x:v>1979</x:v>
      </x:c>
      <x:c r="HD40" s="1660">
        <x:v>49</x:v>
      </x:c>
      <x:c r="HE40" s="1661">
        <x:v>11.5</x:v>
      </x:c>
      <x:c r="HF40" s="1659">
        <x:v>0</x:v>
      </x:c>
      <x:c r="HG40" s="1659">
        <x:v>1.375</x:v>
      </x:c>
      <x:c r="HH40" s="1659" t="s">
        <x:v>114</x:v>
      </x:c>
      <x:c r="HI40" s="1662">
        <x:v>0</x:v>
      </x:c>
      <x:c r="HJ40" s="1659">
        <x:v>1.375</x:v>
      </x:c>
      <x:c r="HK40" s="1659" t="s">
        <x:v>114</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2167</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
        <x:v/>
      </x:c>
      <x:c r="G41" s="1262" t="str">
        <x:f t="shared" si="2"/>
        <x:v/>
      </x:c>
      <x:c r="H41" s="1266" t="str">
        <x:f t="shared" si="3"/>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4"/>
        <x:v/>
      </x:c>
      <x:c r="O41" s="1262" t="str">
        <x:f t="shared" si="5"/>
        <x:v/>
      </x:c>
      <x:c r="P41" s="1260" t="str">
        <x:f t="shared" si="6"/>
        <x:v/>
      </x:c>
      <x:c r="Q41" s="1261" t="str">
        <x:f t="shared" si="7"/>
        <x:v/>
      </x:c>
      <x:c r="R41" s="1262" t="str">
        <x:f t="shared" si="8"/>
        <x:v/>
      </x:c>
      <x:c r="S41" s="1375" t="str">
        <x:f t="shared" si="9"/>
        <x:v/>
      </x:c>
      <x:c r="T41" s="1328" t="str">
        <x:f t="shared" si="10"/>
        <x:v/>
      </x:c>
      <x:c r="U41" s="1262" t="str">
        <x:f t="shared" si="11"/>
        <x:v/>
      </x:c>
      <x:c r="V41" s="1261" t="str">
        <x:f t="shared" si="12"/>
        <x:v/>
      </x:c>
      <x:c r="W41" s="1262" t="str">
        <x:f t="shared" si="13"/>
        <x:v/>
      </x:c>
      <x:c r="X41" s="1329">
        <x:f t="shared" si="14"/>
        <x:v>0</x:v>
      </x:c>
      <x:c r="Y41" s="1377" t="str">
        <x:f t="shared" si="15"/>
        <x:v/>
      </x:c>
      <x:c r="Z41" s="1378" t="str">
        <x:f t="shared" si="16"/>
        <x:v/>
      </x:c>
      <x:c r="AA41" s="2159"/>
      <x:c r="AC41" s="1226" t="b">
        <x:v>0</x:v>
      </x:c>
      <x:c r="AD41" s="525">
        <x:f t="shared" si="17"/>
        <x:v>0</x:v>
      </x:c>
      <x:c r="AE41" s="526">
        <x:f t="shared" si="18"/>
        <x:v>0</x:v>
      </x:c>
      <x:c r="AF41" s="526">
        <x:f t="shared" si="19"/>
        <x:v>0</x:v>
      </x:c>
      <x:c r="AG41" s="526">
        <x:f t="shared" si="20"/>
        <x:v>0</x:v>
      </x:c>
      <x:c r="AH41" s="527">
        <x:f t="shared" si="21"/>
        <x:v>0</x:v>
      </x:c>
      <x:c r="AI41" s="528" t="b">
        <x:v>0</x:v>
      </x:c>
      <x:c r="AJ41" s="284">
        <x:f t="shared" si="22"/>
        <x:v>0</x:v>
      </x:c>
      <x:c r="AK41" s="1063" t="str">
        <x:f t="shared" si="23"/>
        <x:v/>
      </x:c>
      <x:c r="AL41" s="1202" t="str">
        <x:f t="shared" si="24"/>
        <x:v/>
      </x:c>
      <x:c r="AM41" s="1063" t="str">
        <x:f t="shared" si="25"/>
        <x:v/>
      </x:c>
      <x:c r="AN41" s="1063" t="str">
        <x:f t="shared" si="26"/>
        <x:v/>
      </x:c>
      <x:c r="AO41" s="1063" t="str">
        <x:f t="shared" si="27"/>
        <x:v/>
      </x:c>
      <x:c r="AP41" s="1063" t="b">
        <x:f>IF(ISERROR(AJ41),FALSE,IF(OR(AJ41=0,ISERROR(AL41),ISERROR(AM41),ISERROR(AN41),ISERROR(AO41)),FALSE,IF(AL41&lt;&gt;"",IF(ISERROR(VLOOKUP(SUBSTITUTE(SUBSTITUTE(C41,"R",""),"A",""),TblJoistSize!$A:$A,1,FALSE)),FALSE,TRUE),TRUE)))</x:f>
        <x:v>0</x:v>
      </x:c>
      <x:c r="AQ41" s="1305" t="e">
        <x:f t="shared" si="28"/>
        <x:v>#N/A</x:v>
      </x:c>
      <x:c r="AR41" s="1305" t="b">
        <x:f t="shared" si="29"/>
        <x:v>0</x:v>
      </x:c>
      <x:c r="AS41" s="1305" t="e">
        <x:f t="shared" si="30"/>
        <x:v>#N/A</x:v>
      </x:c>
      <x:c r="AT41" s="1305" t="b">
        <x:f t="shared" si="31"/>
        <x:v>0</x:v>
      </x:c>
      <x:c r="AU41" s="1203" t="str">
        <x:f t="shared" si="32"/>
        <x:v/>
      </x:c>
      <x:c r="AV41" s="1063" t="str">
        <x:f t="shared" si="33"/>
        <x:v/>
      </x:c>
      <x:c r="AW41" s="1063" t="str">
        <x:f t="shared" si="34"/>
        <x:v/>
      </x:c>
      <x:c r="AX41" s="1063" t="str">
        <x:f t="shared" si="107"/>
        <x:v/>
      </x:c>
      <x:c r="AY41" s="1306" t="b">
        <x:f t="shared" si="35"/>
        <x:v>0</x:v>
      </x:c>
      <x:c r="AZ41" s="1090" t="str">
        <x:f t="shared" si="36"/>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7"/>
        <x:v/>
      </x:c>
      <x:c r="CE41" s="935" t="str">
        <x:f t="shared" si="38"/>
        <x:v/>
      </x:c>
      <x:c r="CF41" s="1149"/>
      <x:c r="CG41" s="1150"/>
      <x:c r="CH41" s="738" t="str">
        <x:f t="shared" si="39"/>
        <x:v/>
      </x:c>
      <x:c r="CI41" s="739" t="str">
        <x:f t="shared" si="40"/>
        <x:v/>
      </x:c>
      <x:c r="CJ41" s="740" t="str">
        <x:f t="shared" si="41"/>
        <x:v/>
      </x:c>
      <x:c r="CK41" s="741" t="str">
        <x:f t="shared" si="42"/>
        <x:v/>
      </x:c>
      <x:c r="CL41" s="742" t="str">
        <x:f t="shared" si="43"/>
        <x:v/>
      </x:c>
      <x:c r="CM41" s="743" t="str">
        <x:f t="shared" si="44"/>
        <x:v/>
      </x:c>
      <x:c r="CN41" s="744" t="str">
        <x:f t="shared" si="45"/>
        <x:v/>
      </x:c>
      <x:c r="CO41" s="745" t="str">
        <x:f t="shared" si="46"/>
        <x:v/>
      </x:c>
      <x:c r="CP41" s="762" t="str">
        <x:f t="shared" si="47"/>
        <x:v/>
      </x:c>
      <x:c r="CQ41" s="763" t="str">
        <x:f t="shared" si="48"/>
        <x:v/>
      </x:c>
      <x:c r="CR41" s="953" t="str">
        <x:f t="shared" si="49"/>
        <x:v/>
      </x:c>
      <x:c r="CS41" s="954" t="str">
        <x:f t="shared" si="50"/>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51"/>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52"/>
        <x:v>0</x:v>
      </x:c>
      <x:c r="DO41" s="1049">
        <x:f t="shared" si="53"/>
        <x:v>0</x:v>
      </x:c>
      <x:c r="DP41" s="1053" t="str">
        <x:f t="shared" si="54"/>
        <x:v/>
      </x:c>
      <x:c r="DQ41" s="1053" t="str">
        <x:f t="shared" si="55"/>
        <x:v/>
      </x:c>
      <x:c r="DR41" s="1053" t="str">
        <x:f t="shared" si="56"/>
        <x:v/>
      </x:c>
      <x:c r="DS41" s="1052">
        <x:f t="shared" si="57"/>
        <x:v>0</x:v>
      </x:c>
      <x:c r="DT41" s="1052">
        <x:f t="shared" si="58"/>
        <x:v>0</x:v>
      </x:c>
      <x:c r="DU41" s="1052" t="str">
        <x:f t="shared" si="59"/>
        <x:v/>
      </x:c>
      <x:c r="DV41" s="1053" t="str">
        <x:f t="shared" si="60"/>
        <x:v/>
      </x:c>
      <x:c r="DW41" s="1053" t="str">
        <x:f t="shared" si="61"/>
        <x:v/>
      </x:c>
      <x:c r="DX41" s="1269">
        <x:f t="shared" si="62"/>
        <x:v>0</x:v>
      </x:c>
      <x:c r="DY41" s="1053">
        <x:f t="shared" si="63"/>
        <x:v>0</x:v>
      </x:c>
      <x:c r="DZ41" s="1052">
        <x:f t="shared" si="64"/>
        <x:v>0</x:v>
      </x:c>
      <x:c r="EA41" s="1052" t="str">
        <x:f t="shared" si="65"/>
        <x:v/>
      </x:c>
      <x:c r="EB41" s="1053" t="str">
        <x:f t="shared" si="66"/>
        <x:v/>
      </x:c>
      <x:c r="EC41" s="1053" t="str">
        <x:f t="shared" si="67"/>
        <x:v/>
      </x:c>
      <x:c r="ED41" s="1269">
        <x:f t="shared" si="68"/>
        <x:v>0</x:v>
      </x:c>
      <x:c r="EE41" s="1090" t="str">
        <x:f t="shared" si="69"/>
        <x:v/>
      </x:c>
      <x:c r="EF41" s="1053" t="str">
        <x:f t="shared" si="70"/>
        <x:v/>
      </x:c>
      <x:c r="EG41" s="1053" t="str">
        <x:f t="shared" si="71"/>
        <x:v/>
      </x:c>
      <x:c r="EH41" s="1053" t="e">
        <x:f t="shared" si="72"/>
        <x:v>#N/A</x:v>
      </x:c>
      <x:c r="EI41" s="1053" t="e">
        <x:f t="shared" si="73"/>
        <x:v>#N/A</x:v>
      </x:c>
      <x:c r="EJ41" s="1053" t="str">
        <x:f t="shared" si="74"/>
        <x:v/>
      </x:c>
      <x:c r="EK41" s="1053" t="str">
        <x:f t="shared" si="74"/>
        <x:v/>
      </x:c>
      <x:c r="EL41" s="1090" t="str">
        <x:f t="shared" si="75"/>
        <x:v/>
      </x:c>
      <x:c r="EM41" s="1053" t="str">
        <x:f t="shared" si="76"/>
        <x:v/>
      </x:c>
      <x:c r="EN41" s="1053" t="str">
        <x:f t="shared" si="77"/>
        <x:v/>
      </x:c>
      <x:c r="EO41" s="1053" t="e">
        <x:f t="shared" si="78"/>
        <x:v>#N/A</x:v>
      </x:c>
      <x:c r="EP41" s="1053" t="e">
        <x:f t="shared" si="79"/>
        <x:v>#N/A</x:v>
      </x:c>
      <x:c r="EQ41" s="1053" t="str">
        <x:f t="shared" si="80"/>
        <x:v/>
      </x:c>
      <x:c r="ER41" s="1053" t="str">
        <x:f t="shared" si="80"/>
        <x:v/>
      </x:c>
      <x:c r="ES41" s="1053" t="str">
        <x:f t="shared" si="81"/>
        <x:v/>
      </x:c>
      <x:c r="ET41" s="1053" t="str">
        <x:f t="shared" si="82"/>
        <x:v/>
      </x:c>
      <x:c r="EU41" s="1061" t="str">
        <x:f t="shared" si="83"/>
        <x:v/>
      </x:c>
      <x:c r="EV41" s="1055" t="str">
        <x:f t="shared" si="84"/>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5"/>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6"/>
        <x:v/>
      </x:c>
      <x:c r="FD41" s="1052">
        <x:f t="shared" si="108"/>
        <x:v>0</x:v>
      </x:c>
      <x:c r="FE41" s="1052">
        <x:f t="shared" si="87"/>
        <x:v>0</x:v>
      </x:c>
      <x:c r="FF41" s="1052">
        <x:f t="shared" si="88"/>
        <x:v>0</x:v>
      </x:c>
      <x:c r="FG41" s="1052" t="str">
        <x:f t="shared" si="89"/>
        <x:v/>
      </x:c>
      <x:c r="FH41" s="1053" t="str">
        <x:f t="shared" si="90"/>
        <x:v/>
      </x:c>
      <x:c r="FI41" s="1052">
        <x:f t="shared" si="109"/>
        <x:v>0</x:v>
      </x:c>
      <x:c r="FJ41" s="1052">
        <x:f t="shared" si="91"/>
        <x:v>0</x:v>
      </x:c>
      <x:c r="FK41" s="1052">
        <x:f t="shared" si="92"/>
        <x:v>0</x:v>
      </x:c>
      <x:c r="FL41" s="1052" t="str">
        <x:f t="shared" si="93"/>
        <x:v/>
      </x:c>
      <x:c r="FM41" s="1053" t="str">
        <x:f t="shared" si="94"/>
        <x:v/>
      </x:c>
      <x:c r="FN41" s="1053" t="e">
        <x:f t="shared" si="95"/>
        <x:v>#VALUE!</x:v>
      </x:c>
      <x:c r="FO41" s="1062" t="e">
        <x:f t="shared" si="96"/>
        <x:v>#VALUE!</x:v>
      </x:c>
      <x:c r="FP41" s="1062" t="e">
        <x:f t="shared" si="97"/>
        <x:v>#VALUE!</x:v>
      </x:c>
      <x:c r="FQ41" s="1063" t="e">
        <x:f t="shared" si="98"/>
        <x:v>#VALUE!</x:v>
      </x:c>
      <x:c r="FR41" s="1064" t="e">
        <x:f t="shared" si="99"/>
        <x:v>#VALUE!</x:v>
      </x:c>
      <x:c r="FS41" s="1065" t="str">
        <x:f t="shared" si="100"/>
        <x:v/>
      </x:c>
      <x:c r="FT41" s="1066" t="str">
        <x:f t="shared" si="101"/>
        <x:v/>
      </x:c>
      <x:c r="FU41" s="1105">
        <x:f t="shared" si="102"/>
        <x:v>0</x:v>
      </x:c>
      <x:c r="FV41" s="1106">
        <x:f t="shared" si="103"/>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104"/>
        <x:v/>
      </x:c>
      <x:c r="GG41" s="1453"/>
      <x:c r="GH41" s="1454"/>
      <x:c r="GI41" s="1453"/>
      <x:c r="GJ41" s="1454"/>
      <x:c r="GK41" s="533">
        <x:f t="shared" si="105"/>
        <x:v>0</x:v>
      </x:c>
      <x:c r="GL41" s="534" t="e">
        <x:f t="shared" si="106"/>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
        <x:v/>
      </x:c>
      <x:c r="G42" s="1262" t="str">
        <x:f t="shared" si="2"/>
        <x:v/>
      </x:c>
      <x:c r="H42" s="1266" t="str">
        <x:f t="shared" si="3"/>
        <x:v/>
      </x:c>
      <x:c r="I42" s="1261" t="str">
        <x:f t="shared" si="114"/>
        <x:v/>
      </x:c>
      <x:c r="J42" s="1262" t="str">
        <x:f t="shared" si="115"/>
        <x:v/>
      </x:c>
      <x:c r="K42" s="1370" t="str">
        <x:f t="shared" si="116"/>
        <x:v/>
      </x:c>
      <x:c r="L42" s="1327" t="str">
        <x:f t="shared" si="117"/>
        <x:v/>
      </x:c>
      <x:c r="M42" s="1329" t="str">
        <x:f t="shared" si="117"/>
        <x:v/>
      </x:c>
      <x:c r="N42" s="1263" t="str">
        <x:f t="shared" si="4"/>
        <x:v/>
      </x:c>
      <x:c r="O42" s="1262" t="str">
        <x:f t="shared" si="5"/>
        <x:v/>
      </x:c>
      <x:c r="P42" s="1260" t="str">
        <x:f t="shared" si="6"/>
        <x:v/>
      </x:c>
      <x:c r="Q42" s="1261" t="str">
        <x:f t="shared" si="7"/>
        <x:v/>
      </x:c>
      <x:c r="R42" s="1262" t="str">
        <x:f t="shared" si="8"/>
        <x:v/>
      </x:c>
      <x:c r="S42" s="1375" t="str">
        <x:f t="shared" si="9"/>
        <x:v/>
      </x:c>
      <x:c r="T42" s="1328" t="str">
        <x:f t="shared" si="10"/>
        <x:v/>
      </x:c>
      <x:c r="U42" s="1262" t="str">
        <x:f t="shared" si="11"/>
        <x:v/>
      </x:c>
      <x:c r="V42" s="1261" t="str">
        <x:f t="shared" si="12"/>
        <x:v/>
      </x:c>
      <x:c r="W42" s="1262" t="str">
        <x:f t="shared" si="13"/>
        <x:v/>
      </x:c>
      <x:c r="X42" s="1329">
        <x:f t="shared" si="14"/>
        <x:v>0</x:v>
      </x:c>
      <x:c r="Y42" s="1377" t="str">
        <x:f t="shared" si="15"/>
        <x:v/>
      </x:c>
      <x:c r="Z42" s="1378" t="str">
        <x:f t="shared" si="16"/>
        <x:v/>
      </x:c>
      <x:c r="AA42" s="2159"/>
      <x:c r="AC42" s="1226" t="b">
        <x:v>0</x:v>
      </x:c>
      <x:c r="AD42" s="525">
        <x:f t="shared" si="17"/>
        <x:v>0</x:v>
      </x:c>
      <x:c r="AE42" s="526">
        <x:f t="shared" si="18"/>
        <x:v>0</x:v>
      </x:c>
      <x:c r="AF42" s="526">
        <x:f t="shared" si="19"/>
        <x:v>0</x:v>
      </x:c>
      <x:c r="AG42" s="526">
        <x:f t="shared" si="20"/>
        <x:v>0</x:v>
      </x:c>
      <x:c r="AH42" s="527">
        <x:f t="shared" si="21"/>
        <x:v>0</x:v>
      </x:c>
      <x:c r="AI42" s="528" t="b">
        <x:v>0</x:v>
      </x:c>
      <x:c r="AJ42" s="284">
        <x:f t="shared" si="22"/>
        <x:v>0</x:v>
      </x:c>
      <x:c r="AK42" s="1063" t="str">
        <x:f t="shared" si="23"/>
        <x:v/>
      </x:c>
      <x:c r="AL42" s="1202" t="str">
        <x:f t="shared" si="24"/>
        <x:v/>
      </x:c>
      <x:c r="AM42" s="1063" t="str">
        <x:f t="shared" si="25"/>
        <x:v/>
      </x:c>
      <x:c r="AN42" s="1063" t="str">
        <x:f t="shared" si="26"/>
        <x:v/>
      </x:c>
      <x:c r="AO42" s="1063" t="str">
        <x:f t="shared" si="27"/>
        <x:v/>
      </x:c>
      <x:c r="AP42" s="1063" t="b">
        <x:f>IF(ISERROR(AJ42),FALSE,IF(OR(AJ42=0,ISERROR(AL42),ISERROR(AM42),ISERROR(AN42),ISERROR(AO42)),FALSE,IF(AL42&lt;&gt;"",IF(ISERROR(VLOOKUP(SUBSTITUTE(SUBSTITUTE(C42,"R",""),"A",""),TblJoistSize!$A:$A,1,FALSE)),FALSE,TRUE),TRUE)))</x:f>
        <x:v>0</x:v>
      </x:c>
      <x:c r="AQ42" s="1305" t="e">
        <x:f t="shared" si="28"/>
        <x:v>#N/A</x:v>
      </x:c>
      <x:c r="AR42" s="1305" t="b">
        <x:f t="shared" si="29"/>
        <x:v>0</x:v>
      </x:c>
      <x:c r="AS42" s="1305" t="e">
        <x:f t="shared" si="30"/>
        <x:v>#N/A</x:v>
      </x:c>
      <x:c r="AT42" s="1305" t="b">
        <x:f t="shared" si="31"/>
        <x:v>0</x:v>
      </x:c>
      <x:c r="AU42" s="1203" t="str">
        <x:f t="shared" si="32"/>
        <x:v/>
      </x:c>
      <x:c r="AV42" s="1063" t="str">
        <x:f t="shared" si="33"/>
        <x:v/>
      </x:c>
      <x:c r="AW42" s="1063" t="str">
        <x:f t="shared" si="34"/>
        <x:v/>
      </x:c>
      <x:c r="AX42" s="1063" t="str">
        <x:f t="shared" si="107"/>
        <x:v/>
      </x:c>
      <x:c r="AY42" s="1306" t="b">
        <x:f t="shared" si="35"/>
        <x:v>0</x:v>
      </x:c>
      <x:c r="AZ42" s="1090" t="str">
        <x:f t="shared" si="36"/>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7"/>
        <x:v/>
      </x:c>
      <x:c r="CE42" s="935" t="str">
        <x:f t="shared" si="38"/>
        <x:v/>
      </x:c>
      <x:c r="CF42" s="1149"/>
      <x:c r="CG42" s="1150"/>
      <x:c r="CH42" s="738" t="str">
        <x:f t="shared" si="39"/>
        <x:v/>
      </x:c>
      <x:c r="CI42" s="739" t="str">
        <x:f t="shared" si="40"/>
        <x:v/>
      </x:c>
      <x:c r="CJ42" s="740" t="str">
        <x:f t="shared" si="41"/>
        <x:v/>
      </x:c>
      <x:c r="CK42" s="741" t="str">
        <x:f t="shared" si="42"/>
        <x:v/>
      </x:c>
      <x:c r="CL42" s="742" t="str">
        <x:f t="shared" si="43"/>
        <x:v/>
      </x:c>
      <x:c r="CM42" s="743" t="str">
        <x:f t="shared" si="44"/>
        <x:v/>
      </x:c>
      <x:c r="CN42" s="744" t="str">
        <x:f t="shared" si="45"/>
        <x:v/>
      </x:c>
      <x:c r="CO42" s="745" t="str">
        <x:f t="shared" si="46"/>
        <x:v/>
      </x:c>
      <x:c r="CP42" s="762" t="str">
        <x:f t="shared" si="47"/>
        <x:v/>
      </x:c>
      <x:c r="CQ42" s="763" t="str">
        <x:f t="shared" si="48"/>
        <x:v/>
      </x:c>
      <x:c r="CR42" s="953" t="str">
        <x:f t="shared" si="49"/>
        <x:v/>
      </x:c>
      <x:c r="CS42" s="954" t="str">
        <x:f t="shared" si="50"/>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51"/>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52"/>
        <x:v>0</x:v>
      </x:c>
      <x:c r="DO42" s="1049">
        <x:f t="shared" si="53"/>
        <x:v>0</x:v>
      </x:c>
      <x:c r="DP42" s="1053" t="str">
        <x:f t="shared" si="54"/>
        <x:v/>
      </x:c>
      <x:c r="DQ42" s="1053" t="str">
        <x:f t="shared" si="55"/>
        <x:v/>
      </x:c>
      <x:c r="DR42" s="1053" t="str">
        <x:f t="shared" si="56"/>
        <x:v/>
      </x:c>
      <x:c r="DS42" s="1052">
        <x:f t="shared" si="57"/>
        <x:v>0</x:v>
      </x:c>
      <x:c r="DT42" s="1052">
        <x:f t="shared" si="58"/>
        <x:v>0</x:v>
      </x:c>
      <x:c r="DU42" s="1052" t="str">
        <x:f t="shared" si="59"/>
        <x:v/>
      </x:c>
      <x:c r="DV42" s="1053" t="str">
        <x:f t="shared" si="60"/>
        <x:v/>
      </x:c>
      <x:c r="DW42" s="1053" t="str">
        <x:f t="shared" si="61"/>
        <x:v/>
      </x:c>
      <x:c r="DX42" s="1269">
        <x:f t="shared" si="62"/>
        <x:v>0</x:v>
      </x:c>
      <x:c r="DY42" s="1053">
        <x:f t="shared" si="63"/>
        <x:v>0</x:v>
      </x:c>
      <x:c r="DZ42" s="1052">
        <x:f t="shared" si="64"/>
        <x:v>0</x:v>
      </x:c>
      <x:c r="EA42" s="1052" t="str">
        <x:f t="shared" si="65"/>
        <x:v/>
      </x:c>
      <x:c r="EB42" s="1053" t="str">
        <x:f t="shared" si="66"/>
        <x:v/>
      </x:c>
      <x:c r="EC42" s="1053" t="str">
        <x:f t="shared" si="67"/>
        <x:v/>
      </x:c>
      <x:c r="ED42" s="1269">
        <x:f t="shared" si="68"/>
        <x:v>0</x:v>
      </x:c>
      <x:c r="EE42" s="1090" t="str">
        <x:f t="shared" si="69"/>
        <x:v/>
      </x:c>
      <x:c r="EF42" s="1053" t="str">
        <x:f t="shared" si="70"/>
        <x:v/>
      </x:c>
      <x:c r="EG42" s="1053" t="str">
        <x:f t="shared" si="71"/>
        <x:v/>
      </x:c>
      <x:c r="EH42" s="1053" t="e">
        <x:f t="shared" si="72"/>
        <x:v>#N/A</x:v>
      </x:c>
      <x:c r="EI42" s="1053" t="e">
        <x:f t="shared" si="73"/>
        <x:v>#N/A</x:v>
      </x:c>
      <x:c r="EJ42" s="1053" t="str">
        <x:f t="shared" si="74"/>
        <x:v/>
      </x:c>
      <x:c r="EK42" s="1053" t="str">
        <x:f t="shared" si="74"/>
        <x:v/>
      </x:c>
      <x:c r="EL42" s="1090" t="str">
        <x:f t="shared" si="75"/>
        <x:v/>
      </x:c>
      <x:c r="EM42" s="1053" t="str">
        <x:f t="shared" si="76"/>
        <x:v/>
      </x:c>
      <x:c r="EN42" s="1053" t="str">
        <x:f t="shared" si="77"/>
        <x:v/>
      </x:c>
      <x:c r="EO42" s="1053" t="e">
        <x:f t="shared" si="78"/>
        <x:v>#N/A</x:v>
      </x:c>
      <x:c r="EP42" s="1053" t="e">
        <x:f t="shared" si="79"/>
        <x:v>#N/A</x:v>
      </x:c>
      <x:c r="EQ42" s="1053" t="str">
        <x:f t="shared" si="80"/>
        <x:v/>
      </x:c>
      <x:c r="ER42" s="1053" t="str">
        <x:f t="shared" si="80"/>
        <x:v/>
      </x:c>
      <x:c r="ES42" s="1053" t="str">
        <x:f t="shared" si="81"/>
        <x:v/>
      </x:c>
      <x:c r="ET42" s="1053" t="str">
        <x:f t="shared" si="82"/>
        <x:v/>
      </x:c>
      <x:c r="EU42" s="1061" t="str">
        <x:f t="shared" si="83"/>
        <x:v/>
      </x:c>
      <x:c r="EV42" s="1055" t="str">
        <x:f t="shared" si="84"/>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5"/>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6"/>
        <x:v/>
      </x:c>
      <x:c r="FD42" s="1052">
        <x:f t="shared" si="108"/>
        <x:v>0</x:v>
      </x:c>
      <x:c r="FE42" s="1052">
        <x:f t="shared" si="87"/>
        <x:v>0</x:v>
      </x:c>
      <x:c r="FF42" s="1052">
        <x:f t="shared" si="88"/>
        <x:v>0</x:v>
      </x:c>
      <x:c r="FG42" s="1052" t="str">
        <x:f t="shared" si="89"/>
        <x:v/>
      </x:c>
      <x:c r="FH42" s="1053" t="str">
        <x:f t="shared" si="90"/>
        <x:v/>
      </x:c>
      <x:c r="FI42" s="1052">
        <x:f t="shared" si="109"/>
        <x:v>0</x:v>
      </x:c>
      <x:c r="FJ42" s="1052">
        <x:f t="shared" si="91"/>
        <x:v>0</x:v>
      </x:c>
      <x:c r="FK42" s="1052">
        <x:f t="shared" si="92"/>
        <x:v>0</x:v>
      </x:c>
      <x:c r="FL42" s="1052" t="str">
        <x:f t="shared" si="93"/>
        <x:v/>
      </x:c>
      <x:c r="FM42" s="1053" t="str">
        <x:f t="shared" si="94"/>
        <x:v/>
      </x:c>
      <x:c r="FN42" s="1053" t="e">
        <x:f t="shared" si="95"/>
        <x:v>#VALUE!</x:v>
      </x:c>
      <x:c r="FO42" s="1062" t="e">
        <x:f t="shared" si="96"/>
        <x:v>#VALUE!</x:v>
      </x:c>
      <x:c r="FP42" s="1062" t="e">
        <x:f t="shared" si="97"/>
        <x:v>#VALUE!</x:v>
      </x:c>
      <x:c r="FQ42" s="1063" t="e">
        <x:f t="shared" si="98"/>
        <x:v>#VALUE!</x:v>
      </x:c>
      <x:c r="FR42" s="1064" t="e">
        <x:f t="shared" si="99"/>
        <x:v>#VALUE!</x:v>
      </x:c>
      <x:c r="FS42" s="1065" t="str">
        <x:f t="shared" si="100"/>
        <x:v/>
      </x:c>
      <x:c r="FT42" s="1066" t="str">
        <x:f t="shared" si="101"/>
        <x:v/>
      </x:c>
      <x:c r="FU42" s="1105">
        <x:f t="shared" si="102"/>
        <x:v>0</x:v>
      </x:c>
      <x:c r="FV42" s="1106">
        <x:f t="shared" si="103"/>
        <x:v>0</x:v>
      </x:c>
      <x:c r="GA42" s="1975" t="str">
        <x:f t="shared" si="118"/>
        <x:v/>
      </x:c>
      <x:c r="GB42" s="1976" t="str">
        <x:f t="shared" si="119"/>
        <x:v/>
      </x:c>
      <x:c r="GC42" s="1977" t="str">
        <x:f t="shared" si="120"/>
        <x:v/>
      </x:c>
      <x:c r="GD42" s="1978" t="str">
        <x:f t="shared" si="121"/>
        <x:v/>
      </x:c>
      <x:c r="GE42" s="1979" t="str">
        <x:f t="shared" si="122"/>
        <x:v/>
      </x:c>
      <x:c r="GF42" s="1980" t="str">
        <x:f t="shared" si="104"/>
        <x:v/>
      </x:c>
      <x:c r="GG42" s="1453"/>
      <x:c r="GH42" s="1454"/>
      <x:c r="GI42" s="1453"/>
      <x:c r="GJ42" s="1454"/>
      <x:c r="GK42" s="533">
        <x:f t="shared" si="105"/>
        <x:v>0</x:v>
      </x:c>
      <x:c r="GL42" s="534" t="e">
        <x:f t="shared" si="106"/>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
        <x:v/>
      </x:c>
      <x:c r="G43" s="1262" t="str">
        <x:f t="shared" si="2"/>
        <x:v/>
      </x:c>
      <x:c r="H43" s="1266" t="str">
        <x:f t="shared" si="3"/>
        <x:v/>
      </x:c>
      <x:c r="I43" s="1261" t="str">
        <x:f t="shared" si="114"/>
        <x:v/>
      </x:c>
      <x:c r="J43" s="1262" t="str">
        <x:f t="shared" si="115"/>
        <x:v/>
      </x:c>
      <x:c r="K43" s="1370" t="str">
        <x:f t="shared" si="116"/>
        <x:v/>
      </x:c>
      <x:c r="L43" s="1327" t="str">
        <x:f t="shared" si="117"/>
        <x:v/>
      </x:c>
      <x:c r="M43" s="1329" t="str">
        <x:f t="shared" si="117"/>
        <x:v/>
      </x:c>
      <x:c r="N43" s="1263" t="str">
        <x:f t="shared" si="4"/>
        <x:v/>
      </x:c>
      <x:c r="O43" s="1262" t="str">
        <x:f t="shared" si="5"/>
        <x:v/>
      </x:c>
      <x:c r="P43" s="1260" t="str">
        <x:f t="shared" si="6"/>
        <x:v/>
      </x:c>
      <x:c r="Q43" s="1261" t="str">
        <x:f t="shared" si="7"/>
        <x:v/>
      </x:c>
      <x:c r="R43" s="1262" t="str">
        <x:f t="shared" si="8"/>
        <x:v/>
      </x:c>
      <x:c r="S43" s="1375" t="str">
        <x:f t="shared" si="9"/>
        <x:v/>
      </x:c>
      <x:c r="T43" s="1328" t="str">
        <x:f t="shared" si="10"/>
        <x:v/>
      </x:c>
      <x:c r="U43" s="1262" t="str">
        <x:f t="shared" si="11"/>
        <x:v/>
      </x:c>
      <x:c r="V43" s="1261" t="str">
        <x:f t="shared" si="12"/>
        <x:v/>
      </x:c>
      <x:c r="W43" s="1262" t="str">
        <x:f t="shared" si="13"/>
        <x:v/>
      </x:c>
      <x:c r="X43" s="1329">
        <x:f t="shared" si="14"/>
        <x:v>0</x:v>
      </x:c>
      <x:c r="Y43" s="1377" t="str">
        <x:f t="shared" si="15"/>
        <x:v/>
      </x:c>
      <x:c r="Z43" s="1378" t="str">
        <x:f t="shared" si="16"/>
        <x:v/>
      </x:c>
      <x:c r="AA43" s="2159"/>
      <x:c r="AC43" s="1226" t="b">
        <x:v>0</x:v>
      </x:c>
      <x:c r="AD43" s="525">
        <x:f t="shared" si="17"/>
        <x:v>0</x:v>
      </x:c>
      <x:c r="AE43" s="526">
        <x:f t="shared" si="18"/>
        <x:v>0</x:v>
      </x:c>
      <x:c r="AF43" s="526">
        <x:f t="shared" si="19"/>
        <x:v>0</x:v>
      </x:c>
      <x:c r="AG43" s="526">
        <x:f t="shared" si="20"/>
        <x:v>0</x:v>
      </x:c>
      <x:c r="AH43" s="527">
        <x:f t="shared" si="21"/>
        <x:v>0</x:v>
      </x:c>
      <x:c r="AI43" s="528" t="b">
        <x:v>0</x:v>
      </x:c>
      <x:c r="AJ43" s="284">
        <x:f t="shared" si="22"/>
        <x:v>0</x:v>
      </x:c>
      <x:c r="AK43" s="1063" t="str">
        <x:f t="shared" si="23"/>
        <x:v/>
      </x:c>
      <x:c r="AL43" s="1202" t="str">
        <x:f t="shared" si="24"/>
        <x:v/>
      </x:c>
      <x:c r="AM43" s="1063" t="str">
        <x:f t="shared" si="25"/>
        <x:v/>
      </x:c>
      <x:c r="AN43" s="1063" t="str">
        <x:f t="shared" si="26"/>
        <x:v/>
      </x:c>
      <x:c r="AO43" s="1063" t="str">
        <x:f t="shared" si="27"/>
        <x:v/>
      </x:c>
      <x:c r="AP43" s="1063" t="b">
        <x:f>IF(ISERROR(AJ43),FALSE,IF(OR(AJ43=0,ISERROR(AL43),ISERROR(AM43),ISERROR(AN43),ISERROR(AO43)),FALSE,IF(AL43&lt;&gt;"",IF(ISERROR(VLOOKUP(SUBSTITUTE(SUBSTITUTE(C43,"R",""),"A",""),TblJoistSize!$A:$A,1,FALSE)),FALSE,TRUE),TRUE)))</x:f>
        <x:v>0</x:v>
      </x:c>
      <x:c r="AQ43" s="1305" t="e">
        <x:f t="shared" si="28"/>
        <x:v>#N/A</x:v>
      </x:c>
      <x:c r="AR43" s="1305" t="b">
        <x:f t="shared" si="29"/>
        <x:v>0</x:v>
      </x:c>
      <x:c r="AS43" s="1305" t="e">
        <x:f t="shared" si="30"/>
        <x:v>#N/A</x:v>
      </x:c>
      <x:c r="AT43" s="1305" t="b">
        <x:f t="shared" si="31"/>
        <x:v>0</x:v>
      </x:c>
      <x:c r="AU43" s="1203" t="str">
        <x:f t="shared" si="32"/>
        <x:v/>
      </x:c>
      <x:c r="AV43" s="1063" t="str">
        <x:f t="shared" si="33"/>
        <x:v/>
      </x:c>
      <x:c r="AW43" s="1063" t="str">
        <x:f t="shared" si="34"/>
        <x:v/>
      </x:c>
      <x:c r="AX43" s="1063" t="str">
        <x:f t="shared" si="107"/>
        <x:v/>
      </x:c>
      <x:c r="AY43" s="1306" t="b">
        <x:f t="shared" si="35"/>
        <x:v>0</x:v>
      </x:c>
      <x:c r="AZ43" s="1090" t="str">
        <x:f t="shared" si="36"/>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7"/>
        <x:v/>
      </x:c>
      <x:c r="CE43" s="935" t="str">
        <x:f t="shared" si="38"/>
        <x:v/>
      </x:c>
      <x:c r="CF43" s="1149"/>
      <x:c r="CG43" s="1150"/>
      <x:c r="CH43" s="738" t="str">
        <x:f t="shared" si="39"/>
        <x:v/>
      </x:c>
      <x:c r="CI43" s="739" t="str">
        <x:f t="shared" si="40"/>
        <x:v/>
      </x:c>
      <x:c r="CJ43" s="740" t="str">
        <x:f t="shared" si="41"/>
        <x:v/>
      </x:c>
      <x:c r="CK43" s="741" t="str">
        <x:f t="shared" si="42"/>
        <x:v/>
      </x:c>
      <x:c r="CL43" s="742" t="str">
        <x:f t="shared" si="43"/>
        <x:v/>
      </x:c>
      <x:c r="CM43" s="743" t="str">
        <x:f t="shared" si="44"/>
        <x:v/>
      </x:c>
      <x:c r="CN43" s="744" t="str">
        <x:f t="shared" si="45"/>
        <x:v/>
      </x:c>
      <x:c r="CO43" s="745" t="str">
        <x:f t="shared" si="46"/>
        <x:v/>
      </x:c>
      <x:c r="CP43" s="762" t="str">
        <x:f t="shared" si="47"/>
        <x:v/>
      </x:c>
      <x:c r="CQ43" s="763" t="str">
        <x:f t="shared" si="48"/>
        <x:v/>
      </x:c>
      <x:c r="CR43" s="953" t="str">
        <x:f t="shared" si="49"/>
        <x:v/>
      </x:c>
      <x:c r="CS43" s="954" t="str">
        <x:f t="shared" si="50"/>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51"/>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52"/>
        <x:v>0</x:v>
      </x:c>
      <x:c r="DO43" s="1049">
        <x:f t="shared" si="53"/>
        <x:v>0</x:v>
      </x:c>
      <x:c r="DP43" s="1053" t="str">
        <x:f t="shared" si="54"/>
        <x:v/>
      </x:c>
      <x:c r="DQ43" s="1053" t="str">
        <x:f t="shared" si="55"/>
        <x:v/>
      </x:c>
      <x:c r="DR43" s="1053" t="str">
        <x:f t="shared" si="56"/>
        <x:v/>
      </x:c>
      <x:c r="DS43" s="1052">
        <x:f t="shared" si="57"/>
        <x:v>0</x:v>
      </x:c>
      <x:c r="DT43" s="1052">
        <x:f t="shared" si="58"/>
        <x:v>0</x:v>
      </x:c>
      <x:c r="DU43" s="1052" t="str">
        <x:f t="shared" si="59"/>
        <x:v/>
      </x:c>
      <x:c r="DV43" s="1053" t="str">
        <x:f t="shared" si="60"/>
        <x:v/>
      </x:c>
      <x:c r="DW43" s="1053" t="str">
        <x:f t="shared" si="61"/>
        <x:v/>
      </x:c>
      <x:c r="DX43" s="1269">
        <x:f t="shared" si="62"/>
        <x:v>0</x:v>
      </x:c>
      <x:c r="DY43" s="1053">
        <x:f t="shared" si="63"/>
        <x:v>0</x:v>
      </x:c>
      <x:c r="DZ43" s="1052">
        <x:f t="shared" si="64"/>
        <x:v>0</x:v>
      </x:c>
      <x:c r="EA43" s="1052" t="str">
        <x:f t="shared" si="65"/>
        <x:v/>
      </x:c>
      <x:c r="EB43" s="1053" t="str">
        <x:f t="shared" si="66"/>
        <x:v/>
      </x:c>
      <x:c r="EC43" s="1053" t="str">
        <x:f t="shared" si="67"/>
        <x:v/>
      </x:c>
      <x:c r="ED43" s="1269">
        <x:f t="shared" si="68"/>
        <x:v>0</x:v>
      </x:c>
      <x:c r="EE43" s="1090" t="str">
        <x:f t="shared" si="69"/>
        <x:v/>
      </x:c>
      <x:c r="EF43" s="1053" t="str">
        <x:f t="shared" si="70"/>
        <x:v/>
      </x:c>
      <x:c r="EG43" s="1053" t="str">
        <x:f t="shared" si="71"/>
        <x:v/>
      </x:c>
      <x:c r="EH43" s="1053" t="e">
        <x:f t="shared" si="72"/>
        <x:v>#N/A</x:v>
      </x:c>
      <x:c r="EI43" s="1053" t="e">
        <x:f t="shared" si="73"/>
        <x:v>#N/A</x:v>
      </x:c>
      <x:c r="EJ43" s="1053" t="str">
        <x:f t="shared" si="74"/>
        <x:v/>
      </x:c>
      <x:c r="EK43" s="1053" t="str">
        <x:f t="shared" si="74"/>
        <x:v/>
      </x:c>
      <x:c r="EL43" s="1090" t="str">
        <x:f t="shared" si="75"/>
        <x:v/>
      </x:c>
      <x:c r="EM43" s="1053" t="str">
        <x:f t="shared" si="76"/>
        <x:v/>
      </x:c>
      <x:c r="EN43" s="1053" t="str">
        <x:f t="shared" si="77"/>
        <x:v/>
      </x:c>
      <x:c r="EO43" s="1053" t="e">
        <x:f t="shared" si="78"/>
        <x:v>#N/A</x:v>
      </x:c>
      <x:c r="EP43" s="1053" t="e">
        <x:f t="shared" si="79"/>
        <x:v>#N/A</x:v>
      </x:c>
      <x:c r="EQ43" s="1053" t="str">
        <x:f t="shared" si="80"/>
        <x:v/>
      </x:c>
      <x:c r="ER43" s="1053" t="str">
        <x:f t="shared" si="80"/>
        <x:v/>
      </x:c>
      <x:c r="ES43" s="1053" t="str">
        <x:f t="shared" si="81"/>
        <x:v/>
      </x:c>
      <x:c r="ET43" s="1053" t="str">
        <x:f t="shared" si="82"/>
        <x:v/>
      </x:c>
      <x:c r="EU43" s="1061" t="str">
        <x:f t="shared" si="83"/>
        <x:v/>
      </x:c>
      <x:c r="EV43" s="1055" t="str">
        <x:f t="shared" si="84"/>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5"/>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6"/>
        <x:v/>
      </x:c>
      <x:c r="FD43" s="1052">
        <x:f t="shared" si="108"/>
        <x:v>0</x:v>
      </x:c>
      <x:c r="FE43" s="1052">
        <x:f t="shared" si="87"/>
        <x:v>0</x:v>
      </x:c>
      <x:c r="FF43" s="1052">
        <x:f t="shared" si="88"/>
        <x:v>0</x:v>
      </x:c>
      <x:c r="FG43" s="1052" t="str">
        <x:f t="shared" si="89"/>
        <x:v/>
      </x:c>
      <x:c r="FH43" s="1053" t="str">
        <x:f t="shared" si="90"/>
        <x:v/>
      </x:c>
      <x:c r="FI43" s="1052">
        <x:f t="shared" si="109"/>
        <x:v>0</x:v>
      </x:c>
      <x:c r="FJ43" s="1052">
        <x:f t="shared" si="91"/>
        <x:v>0</x:v>
      </x:c>
      <x:c r="FK43" s="1052">
        <x:f t="shared" si="92"/>
        <x:v>0</x:v>
      </x:c>
      <x:c r="FL43" s="1052" t="str">
        <x:f t="shared" si="93"/>
        <x:v/>
      </x:c>
      <x:c r="FM43" s="1053" t="str">
        <x:f t="shared" si="94"/>
        <x:v/>
      </x:c>
      <x:c r="FN43" s="1053" t="e">
        <x:f t="shared" si="95"/>
        <x:v>#VALUE!</x:v>
      </x:c>
      <x:c r="FO43" s="1062" t="e">
        <x:f t="shared" si="96"/>
        <x:v>#VALUE!</x:v>
      </x:c>
      <x:c r="FP43" s="1062" t="e">
        <x:f t="shared" si="97"/>
        <x:v>#VALUE!</x:v>
      </x:c>
      <x:c r="FQ43" s="1063" t="e">
        <x:f t="shared" si="98"/>
        <x:v>#VALUE!</x:v>
      </x:c>
      <x:c r="FR43" s="1064" t="e">
        <x:f t="shared" si="99"/>
        <x:v>#VALUE!</x:v>
      </x:c>
      <x:c r="FS43" s="1065" t="str">
        <x:f t="shared" si="100"/>
        <x:v/>
      </x:c>
      <x:c r="FT43" s="1066" t="str">
        <x:f t="shared" si="101"/>
        <x:v/>
      </x:c>
      <x:c r="FU43" s="1105">
        <x:f t="shared" si="102"/>
        <x:v>0</x:v>
      </x:c>
      <x:c r="FV43" s="1106">
        <x:f t="shared" si="103"/>
        <x:v>0</x:v>
      </x:c>
      <x:c r="GA43" s="1975" t="str">
        <x:f t="shared" si="118"/>
        <x:v/>
      </x:c>
      <x:c r="GB43" s="1976" t="str">
        <x:f t="shared" si="119"/>
        <x:v/>
      </x:c>
      <x:c r="GC43" s="1977" t="str">
        <x:f t="shared" si="120"/>
        <x:v/>
      </x:c>
      <x:c r="GD43" s="1978" t="str">
        <x:f t="shared" si="121"/>
        <x:v/>
      </x:c>
      <x:c r="GE43" s="1979" t="str">
        <x:f t="shared" si="122"/>
        <x:v/>
      </x:c>
      <x:c r="GF43" s="1980" t="str">
        <x:f t="shared" si="104"/>
        <x:v/>
      </x:c>
      <x:c r="GG43" s="1453"/>
      <x:c r="GH43" s="1454"/>
      <x:c r="GI43" s="1453"/>
      <x:c r="GJ43" s="1454"/>
      <x:c r="GK43" s="533">
        <x:f t="shared" si="105"/>
        <x:v>0</x:v>
      </x:c>
      <x:c r="GL43" s="534" t="e">
        <x:f t="shared" si="106"/>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
        <x:v/>
      </x:c>
      <x:c r="G44" s="1262" t="str">
        <x:f t="shared" si="2"/>
        <x:v/>
      </x:c>
      <x:c r="H44" s="1266" t="str">
        <x:f t="shared" si="3"/>
        <x:v/>
      </x:c>
      <x:c r="I44" s="1261" t="str">
        <x:f t="shared" si="114"/>
        <x:v/>
      </x:c>
      <x:c r="J44" s="1262" t="str">
        <x:f t="shared" si="115"/>
        <x:v/>
      </x:c>
      <x:c r="K44" s="1370" t="str">
        <x:f t="shared" si="116"/>
        <x:v/>
      </x:c>
      <x:c r="L44" s="1327" t="str">
        <x:f t="shared" si="117"/>
        <x:v/>
      </x:c>
      <x:c r="M44" s="1329" t="str">
        <x:f t="shared" si="117"/>
        <x:v/>
      </x:c>
      <x:c r="N44" s="1263" t="str">
        <x:f t="shared" si="4"/>
        <x:v/>
      </x:c>
      <x:c r="O44" s="1262" t="str">
        <x:f t="shared" si="5"/>
        <x:v/>
      </x:c>
      <x:c r="P44" s="1260" t="str">
        <x:f t="shared" si="6"/>
        <x:v/>
      </x:c>
      <x:c r="Q44" s="1261" t="str">
        <x:f t="shared" si="7"/>
        <x:v/>
      </x:c>
      <x:c r="R44" s="1262" t="str">
        <x:f t="shared" si="8"/>
        <x:v/>
      </x:c>
      <x:c r="S44" s="1375" t="str">
        <x:f t="shared" si="9"/>
        <x:v/>
      </x:c>
      <x:c r="T44" s="1328" t="str">
        <x:f t="shared" si="10"/>
        <x:v/>
      </x:c>
      <x:c r="U44" s="1262" t="str">
        <x:f t="shared" si="11"/>
        <x:v/>
      </x:c>
      <x:c r="V44" s="1261" t="str">
        <x:f t="shared" si="12"/>
        <x:v/>
      </x:c>
      <x:c r="W44" s="1262" t="str">
        <x:f t="shared" si="13"/>
        <x:v/>
      </x:c>
      <x:c r="X44" s="1329">
        <x:f t="shared" si="14"/>
        <x:v>0</x:v>
      </x:c>
      <x:c r="Y44" s="1377" t="str">
        <x:f t="shared" si="15"/>
        <x:v/>
      </x:c>
      <x:c r="Z44" s="1378" t="str">
        <x:f t="shared" si="16"/>
        <x:v/>
      </x:c>
      <x:c r="AA44" s="2159"/>
      <x:c r="AC44" s="1226" t="b">
        <x:v>0</x:v>
      </x:c>
      <x:c r="AD44" s="525">
        <x:f t="shared" si="17"/>
        <x:v>0</x:v>
      </x:c>
      <x:c r="AE44" s="526">
        <x:f t="shared" si="18"/>
        <x:v>0</x:v>
      </x:c>
      <x:c r="AF44" s="526">
        <x:f t="shared" si="19"/>
        <x:v>0</x:v>
      </x:c>
      <x:c r="AG44" s="526">
        <x:f t="shared" si="20"/>
        <x:v>0</x:v>
      </x:c>
      <x:c r="AH44" s="527">
        <x:f t="shared" si="21"/>
        <x:v>0</x:v>
      </x:c>
      <x:c r="AI44" s="528" t="b">
        <x:v>0</x:v>
      </x:c>
      <x:c r="AJ44" s="284">
        <x:f t="shared" si="22"/>
        <x:v>0</x:v>
      </x:c>
      <x:c r="AK44" s="1063" t="str">
        <x:f t="shared" si="23"/>
        <x:v/>
      </x:c>
      <x:c r="AL44" s="1202" t="str">
        <x:f t="shared" si="24"/>
        <x:v/>
      </x:c>
      <x:c r="AM44" s="1063" t="str">
        <x:f t="shared" si="25"/>
        <x:v/>
      </x:c>
      <x:c r="AN44" s="1063" t="str">
        <x:f t="shared" si="26"/>
        <x:v/>
      </x:c>
      <x:c r="AO44" s="1063" t="str">
        <x:f t="shared" si="27"/>
        <x:v/>
      </x:c>
      <x:c r="AP44" s="1063" t="b">
        <x:f>IF(ISERROR(AJ44),FALSE,IF(OR(AJ44=0,ISERROR(AL44),ISERROR(AM44),ISERROR(AN44),ISERROR(AO44)),FALSE,IF(AL44&lt;&gt;"",IF(ISERROR(VLOOKUP(SUBSTITUTE(SUBSTITUTE(C44,"R",""),"A",""),TblJoistSize!$A:$A,1,FALSE)),FALSE,TRUE),TRUE)))</x:f>
        <x:v>0</x:v>
      </x:c>
      <x:c r="AQ44" s="1305" t="e">
        <x:f t="shared" si="28"/>
        <x:v>#N/A</x:v>
      </x:c>
      <x:c r="AR44" s="1305" t="b">
        <x:f t="shared" si="29"/>
        <x:v>0</x:v>
      </x:c>
      <x:c r="AS44" s="1305" t="e">
        <x:f t="shared" si="30"/>
        <x:v>#N/A</x:v>
      </x:c>
      <x:c r="AT44" s="1305" t="b">
        <x:f t="shared" si="31"/>
        <x:v>0</x:v>
      </x:c>
      <x:c r="AU44" s="1203" t="str">
        <x:f t="shared" si="32"/>
        <x:v/>
      </x:c>
      <x:c r="AV44" s="1063" t="str">
        <x:f t="shared" si="33"/>
        <x:v/>
      </x:c>
      <x:c r="AW44" s="1063" t="str">
        <x:f t="shared" si="34"/>
        <x:v/>
      </x:c>
      <x:c r="AX44" s="1063" t="str">
        <x:f t="shared" si="107"/>
        <x:v/>
      </x:c>
      <x:c r="AY44" s="1306" t="b">
        <x:f t="shared" si="35"/>
        <x:v>0</x:v>
      </x:c>
      <x:c r="AZ44" s="1090" t="str">
        <x:f t="shared" si="36"/>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7"/>
        <x:v/>
      </x:c>
      <x:c r="CE44" s="935" t="str">
        <x:f t="shared" si="38"/>
        <x:v/>
      </x:c>
      <x:c r="CF44" s="1149"/>
      <x:c r="CG44" s="1150"/>
      <x:c r="CH44" s="738" t="str">
        <x:f t="shared" si="39"/>
        <x:v/>
      </x:c>
      <x:c r="CI44" s="739" t="str">
        <x:f t="shared" si="40"/>
        <x:v/>
      </x:c>
      <x:c r="CJ44" s="740" t="str">
        <x:f t="shared" si="41"/>
        <x:v/>
      </x:c>
      <x:c r="CK44" s="741" t="str">
        <x:f t="shared" si="42"/>
        <x:v/>
      </x:c>
      <x:c r="CL44" s="742" t="str">
        <x:f t="shared" si="43"/>
        <x:v/>
      </x:c>
      <x:c r="CM44" s="743" t="str">
        <x:f t="shared" si="44"/>
        <x:v/>
      </x:c>
      <x:c r="CN44" s="744" t="str">
        <x:f t="shared" si="45"/>
        <x:v/>
      </x:c>
      <x:c r="CO44" s="745" t="str">
        <x:f t="shared" si="46"/>
        <x:v/>
      </x:c>
      <x:c r="CP44" s="762" t="str">
        <x:f t="shared" si="47"/>
        <x:v/>
      </x:c>
      <x:c r="CQ44" s="763" t="str">
        <x:f t="shared" si="48"/>
        <x:v/>
      </x:c>
      <x:c r="CR44" s="953" t="str">
        <x:f t="shared" si="49"/>
        <x:v/>
      </x:c>
      <x:c r="CS44" s="954" t="str">
        <x:f t="shared" si="50"/>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51"/>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52"/>
        <x:v>0</x:v>
      </x:c>
      <x:c r="DO44" s="1049">
        <x:f t="shared" si="53"/>
        <x:v>0</x:v>
      </x:c>
      <x:c r="DP44" s="1053" t="str">
        <x:f t="shared" si="54"/>
        <x:v/>
      </x:c>
      <x:c r="DQ44" s="1053" t="str">
        <x:f t="shared" si="55"/>
        <x:v/>
      </x:c>
      <x:c r="DR44" s="1053" t="str">
        <x:f t="shared" si="56"/>
        <x:v/>
      </x:c>
      <x:c r="DS44" s="1052">
        <x:f t="shared" si="57"/>
        <x:v>0</x:v>
      </x:c>
      <x:c r="DT44" s="1052">
        <x:f t="shared" si="58"/>
        <x:v>0</x:v>
      </x:c>
      <x:c r="DU44" s="1052" t="str">
        <x:f t="shared" si="59"/>
        <x:v/>
      </x:c>
      <x:c r="DV44" s="1053" t="str">
        <x:f t="shared" si="60"/>
        <x:v/>
      </x:c>
      <x:c r="DW44" s="1053" t="str">
        <x:f t="shared" si="61"/>
        <x:v/>
      </x:c>
      <x:c r="DX44" s="1269">
        <x:f t="shared" si="62"/>
        <x:v>0</x:v>
      </x:c>
      <x:c r="DY44" s="1053">
        <x:f t="shared" si="63"/>
        <x:v>0</x:v>
      </x:c>
      <x:c r="DZ44" s="1052">
        <x:f t="shared" si="64"/>
        <x:v>0</x:v>
      </x:c>
      <x:c r="EA44" s="1052" t="str">
        <x:f t="shared" si="65"/>
        <x:v/>
      </x:c>
      <x:c r="EB44" s="1053" t="str">
        <x:f t="shared" si="66"/>
        <x:v/>
      </x:c>
      <x:c r="EC44" s="1053" t="str">
        <x:f t="shared" si="67"/>
        <x:v/>
      </x:c>
      <x:c r="ED44" s="1269">
        <x:f t="shared" si="68"/>
        <x:v>0</x:v>
      </x:c>
      <x:c r="EE44" s="1090" t="str">
        <x:f t="shared" si="69"/>
        <x:v/>
      </x:c>
      <x:c r="EF44" s="1053" t="str">
        <x:f t="shared" si="70"/>
        <x:v/>
      </x:c>
      <x:c r="EG44" s="1053" t="str">
        <x:f t="shared" si="71"/>
        <x:v/>
      </x:c>
      <x:c r="EH44" s="1053" t="e">
        <x:f t="shared" si="72"/>
        <x:v>#N/A</x:v>
      </x:c>
      <x:c r="EI44" s="1053" t="e">
        <x:f t="shared" si="73"/>
        <x:v>#N/A</x:v>
      </x:c>
      <x:c r="EJ44" s="1053" t="str">
        <x:f t="shared" si="74"/>
        <x:v/>
      </x:c>
      <x:c r="EK44" s="1053" t="str">
        <x:f t="shared" si="74"/>
        <x:v/>
      </x:c>
      <x:c r="EL44" s="1090" t="str">
        <x:f t="shared" si="75"/>
        <x:v/>
      </x:c>
      <x:c r="EM44" s="1053" t="str">
        <x:f t="shared" si="76"/>
        <x:v/>
      </x:c>
      <x:c r="EN44" s="1053" t="str">
        <x:f t="shared" si="77"/>
        <x:v/>
      </x:c>
      <x:c r="EO44" s="1053" t="e">
        <x:f t="shared" si="78"/>
        <x:v>#N/A</x:v>
      </x:c>
      <x:c r="EP44" s="1053" t="e">
        <x:f t="shared" si="79"/>
        <x:v>#N/A</x:v>
      </x:c>
      <x:c r="EQ44" s="1053" t="str">
        <x:f t="shared" si="80"/>
        <x:v/>
      </x:c>
      <x:c r="ER44" s="1053" t="str">
        <x:f t="shared" si="80"/>
        <x:v/>
      </x:c>
      <x:c r="ES44" s="1053" t="str">
        <x:f t="shared" si="81"/>
        <x:v/>
      </x:c>
      <x:c r="ET44" s="1053" t="str">
        <x:f t="shared" si="82"/>
        <x:v/>
      </x:c>
      <x:c r="EU44" s="1061" t="str">
        <x:f t="shared" si="83"/>
        <x:v/>
      </x:c>
      <x:c r="EV44" s="1055" t="str">
        <x:f t="shared" si="84"/>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5"/>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6"/>
        <x:v/>
      </x:c>
      <x:c r="FD44" s="1052">
        <x:f t="shared" si="108"/>
        <x:v>0</x:v>
      </x:c>
      <x:c r="FE44" s="1052">
        <x:f t="shared" si="87"/>
        <x:v>0</x:v>
      </x:c>
      <x:c r="FF44" s="1052">
        <x:f t="shared" si="88"/>
        <x:v>0</x:v>
      </x:c>
      <x:c r="FG44" s="1052" t="str">
        <x:f t="shared" si="89"/>
        <x:v/>
      </x:c>
      <x:c r="FH44" s="1053" t="str">
        <x:f t="shared" si="90"/>
        <x:v/>
      </x:c>
      <x:c r="FI44" s="1052">
        <x:f t="shared" si="109"/>
        <x:v>0</x:v>
      </x:c>
      <x:c r="FJ44" s="1052">
        <x:f t="shared" si="91"/>
        <x:v>0</x:v>
      </x:c>
      <x:c r="FK44" s="1052">
        <x:f t="shared" si="92"/>
        <x:v>0</x:v>
      </x:c>
      <x:c r="FL44" s="1052" t="str">
        <x:f t="shared" si="93"/>
        <x:v/>
      </x:c>
      <x:c r="FM44" s="1053" t="str">
        <x:f t="shared" si="94"/>
        <x:v/>
      </x:c>
      <x:c r="FN44" s="1053" t="e">
        <x:f t="shared" si="95"/>
        <x:v>#VALUE!</x:v>
      </x:c>
      <x:c r="FO44" s="1062" t="e">
        <x:f t="shared" si="96"/>
        <x:v>#VALUE!</x:v>
      </x:c>
      <x:c r="FP44" s="1062" t="e">
        <x:f t="shared" si="97"/>
        <x:v>#VALUE!</x:v>
      </x:c>
      <x:c r="FQ44" s="1063" t="e">
        <x:f t="shared" si="98"/>
        <x:v>#VALUE!</x:v>
      </x:c>
      <x:c r="FR44" s="1064" t="e">
        <x:f t="shared" si="99"/>
        <x:v>#VALUE!</x:v>
      </x:c>
      <x:c r="FS44" s="1065" t="str">
        <x:f t="shared" si="100"/>
        <x:v/>
      </x:c>
      <x:c r="FT44" s="1066" t="str">
        <x:f t="shared" si="101"/>
        <x:v/>
      </x:c>
      <x:c r="FU44" s="1105">
        <x:f t="shared" si="102"/>
        <x:v>0</x:v>
      </x:c>
      <x:c r="FV44" s="1106">
        <x:f t="shared" si="103"/>
        <x:v>0</x:v>
      </x:c>
      <x:c r="GA44" s="1975" t="str">
        <x:f t="shared" si="118"/>
        <x:v/>
      </x:c>
      <x:c r="GB44" s="1976" t="str">
        <x:f t="shared" si="119"/>
        <x:v/>
      </x:c>
      <x:c r="GC44" s="1977" t="str">
        <x:f t="shared" si="120"/>
        <x:v/>
      </x:c>
      <x:c r="GD44" s="1978" t="str">
        <x:f t="shared" si="121"/>
        <x:v/>
      </x:c>
      <x:c r="GE44" s="1979" t="str">
        <x:f t="shared" si="122"/>
        <x:v/>
      </x:c>
      <x:c r="GF44" s="1980" t="str">
        <x:f t="shared" si="104"/>
        <x:v/>
      </x:c>
      <x:c r="GG44" s="1453"/>
      <x:c r="GH44" s="1454"/>
      <x:c r="GI44" s="1453"/>
      <x:c r="GJ44" s="1454"/>
      <x:c r="GK44" s="533">
        <x:f t="shared" si="105"/>
        <x:v>0</x:v>
      </x:c>
      <x:c r="GL44" s="534" t="e">
        <x:f t="shared" si="106"/>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7"/>
        <x:v>0</x:v>
      </x:c>
      <x:c r="AE45" s="526">
        <x:f t="shared" si="18"/>
        <x:v>0</x:v>
      </x:c>
      <x:c r="AF45" s="526">
        <x:f t="shared" si="19"/>
        <x:v>0</x:v>
      </x:c>
      <x:c r="AG45" s="526">
        <x:f t="shared" si="20"/>
        <x:v>0</x:v>
      </x:c>
      <x:c r="AH45" s="527">
        <x:f t="shared" si="21"/>
        <x:v>0</x:v>
      </x:c>
      <x:c r="AI45" s="528" t="b">
        <x:v>0</x:v>
      </x:c>
      <x:c r="AJ45" s="284">
        <x:f t="shared" si="22"/>
        <x:v>0</x:v>
      </x:c>
      <x:c r="AK45" s="1063" t="str">
        <x:f t="shared" si="23"/>
        <x:v/>
      </x:c>
      <x:c r="AL45" s="1202" t="str">
        <x:f t="shared" si="24"/>
        <x:v/>
      </x:c>
      <x:c r="AM45" s="1063" t="str">
        <x:f t="shared" si="25"/>
        <x:v/>
      </x:c>
      <x:c r="AN45" s="1063" t="str">
        <x:f t="shared" si="26"/>
        <x:v/>
      </x:c>
      <x:c r="AO45" s="1063" t="str">
        <x:f t="shared" si="27"/>
        <x:v/>
      </x:c>
      <x:c r="AP45" s="1063" t="b">
        <x:f>IF(ISERROR(AJ45),FALSE,IF(OR(AJ45=0,ISERROR(AL45),ISERROR(AM45),ISERROR(AN45),ISERROR(AO45)),FALSE,IF(AL45&lt;&gt;"",IF(ISERROR(VLOOKUP(SUBSTITUTE(SUBSTITUTE(C45,"R",""),"A",""),TblJoistSize!$A:$A,1,FALSE)),FALSE,TRUE),TRUE)))</x:f>
        <x:v>0</x:v>
      </x:c>
      <x:c r="AQ45" s="1305" t="e">
        <x:f t="shared" si="28"/>
        <x:v>#N/A</x:v>
      </x:c>
      <x:c r="AR45" s="1305" t="b">
        <x:f t="shared" si="29"/>
        <x:v>0</x:v>
      </x:c>
      <x:c r="AS45" s="1305" t="e">
        <x:f t="shared" si="30"/>
        <x:v>#N/A</x:v>
      </x:c>
      <x:c r="AT45" s="1305" t="b">
        <x:f t="shared" si="31"/>
        <x:v>0</x:v>
      </x:c>
      <x:c r="AU45" s="1203" t="str">
        <x:f t="shared" si="32"/>
        <x:v/>
      </x:c>
      <x:c r="AV45" s="1063" t="str">
        <x:f t="shared" si="33"/>
        <x:v/>
      </x:c>
      <x:c r="AW45" s="1063" t="str">
        <x:f t="shared" si="34"/>
        <x:v/>
      </x:c>
      <x:c r="AX45" s="1063" t="str">
        <x:f t="shared" si="107"/>
        <x:v/>
      </x:c>
      <x:c r="AY45" s="1306" t="b">
        <x:f t="shared" si="35"/>
        <x:v>0</x:v>
      </x:c>
      <x:c r="AZ45" s="1090" t="str">
        <x:f t="shared" si="36"/>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7"/>
        <x:v/>
      </x:c>
      <x:c r="CE45" s="942" t="str">
        <x:f t="shared" si="38"/>
        <x:v/>
      </x:c>
      <x:c r="CF45" s="1151"/>
      <x:c r="CG45" s="1152"/>
      <x:c r="CH45" s="748" t="str">
        <x:f t="shared" si="39"/>
        <x:v/>
      </x:c>
      <x:c r="CI45" s="749" t="str">
        <x:f t="shared" si="40"/>
        <x:v/>
      </x:c>
      <x:c r="CJ45" s="750" t="str">
        <x:f t="shared" si="41"/>
        <x:v/>
      </x:c>
      <x:c r="CK45" s="751" t="str">
        <x:f t="shared" si="42"/>
        <x:v/>
      </x:c>
      <x:c r="CL45" s="752" t="str">
        <x:f t="shared" si="43"/>
        <x:v/>
      </x:c>
      <x:c r="CM45" s="753" t="str">
        <x:f t="shared" si="44"/>
        <x:v/>
      </x:c>
      <x:c r="CN45" s="754" t="str">
        <x:f t="shared" si="45"/>
        <x:v/>
      </x:c>
      <x:c r="CO45" s="755" t="str">
        <x:f t="shared" si="46"/>
        <x:v/>
      </x:c>
      <x:c r="CP45" s="764" t="str">
        <x:f t="shared" si="47"/>
        <x:v/>
      </x:c>
      <x:c r="CQ45" s="765" t="str">
        <x:f t="shared" si="48"/>
        <x:v/>
      </x:c>
      <x:c r="CR45" s="955" t="str">
        <x:f t="shared" si="49"/>
        <x:v/>
      </x:c>
      <x:c r="CS45" s="956" t="str">
        <x:f t="shared" si="50"/>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51"/>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52"/>
        <x:v>0</x:v>
      </x:c>
      <x:c r="DO45" s="1049">
        <x:f t="shared" si="53"/>
        <x:v>0</x:v>
      </x:c>
      <x:c r="DP45" s="1053" t="str">
        <x:f t="shared" si="54"/>
        <x:v/>
      </x:c>
      <x:c r="DQ45" s="1053" t="str">
        <x:f t="shared" si="55"/>
        <x:v/>
      </x:c>
      <x:c r="DR45" s="1053" t="str">
        <x:f t="shared" si="56"/>
        <x:v/>
      </x:c>
      <x:c r="DS45" s="1052">
        <x:f t="shared" si="57"/>
        <x:v>0</x:v>
      </x:c>
      <x:c r="DT45" s="1052">
        <x:f t="shared" si="58"/>
        <x:v>0</x:v>
      </x:c>
      <x:c r="DU45" s="1052" t="str">
        <x:f t="shared" si="59"/>
        <x:v/>
      </x:c>
      <x:c r="DV45" s="1053" t="str">
        <x:f t="shared" si="60"/>
        <x:v/>
      </x:c>
      <x:c r="DW45" s="1053" t="str">
        <x:f t="shared" si="61"/>
        <x:v/>
      </x:c>
      <x:c r="DX45" s="1269">
        <x:f t="shared" si="62"/>
        <x:v>0</x:v>
      </x:c>
      <x:c r="DY45" s="1053">
        <x:f t="shared" si="63"/>
        <x:v>0</x:v>
      </x:c>
      <x:c r="DZ45" s="1052">
        <x:f t="shared" si="64"/>
        <x:v>0</x:v>
      </x:c>
      <x:c r="EA45" s="1052" t="str">
        <x:f t="shared" si="65"/>
        <x:v/>
      </x:c>
      <x:c r="EB45" s="1053" t="str">
        <x:f t="shared" si="66"/>
        <x:v/>
      </x:c>
      <x:c r="EC45" s="1053" t="str">
        <x:f t="shared" si="67"/>
        <x:v/>
      </x:c>
      <x:c r="ED45" s="1269">
        <x:f t="shared" si="68"/>
        <x:v>0</x:v>
      </x:c>
      <x:c r="EE45" s="1090" t="str">
        <x:f t="shared" si="69"/>
        <x:v/>
      </x:c>
      <x:c r="EF45" s="1053" t="str">
        <x:f t="shared" si="70"/>
        <x:v/>
      </x:c>
      <x:c r="EG45" s="1053" t="str">
        <x:f t="shared" si="71"/>
        <x:v/>
      </x:c>
      <x:c r="EH45" s="1053" t="e">
        <x:f t="shared" si="72"/>
        <x:v>#N/A</x:v>
      </x:c>
      <x:c r="EI45" s="1053" t="e">
        <x:f t="shared" si="73"/>
        <x:v>#N/A</x:v>
      </x:c>
      <x:c r="EJ45" s="1053" t="str">
        <x:f t="shared" si="74"/>
        <x:v/>
      </x:c>
      <x:c r="EK45" s="1053" t="str">
        <x:f t="shared" si="74"/>
        <x:v/>
      </x:c>
      <x:c r="EL45" s="1090" t="str">
        <x:f t="shared" si="75"/>
        <x:v/>
      </x:c>
      <x:c r="EM45" s="1053" t="str">
        <x:f t="shared" si="76"/>
        <x:v/>
      </x:c>
      <x:c r="EN45" s="1053" t="str">
        <x:f t="shared" si="77"/>
        <x:v/>
      </x:c>
      <x:c r="EO45" s="1053" t="e">
        <x:f t="shared" si="78"/>
        <x:v>#N/A</x:v>
      </x:c>
      <x:c r="EP45" s="1053" t="e">
        <x:f t="shared" si="79"/>
        <x:v>#N/A</x:v>
      </x:c>
      <x:c r="EQ45" s="1053" t="str">
        <x:f t="shared" si="80"/>
        <x:v/>
      </x:c>
      <x:c r="ER45" s="1053" t="str">
        <x:f t="shared" si="80"/>
        <x:v/>
      </x:c>
      <x:c r="ES45" s="1053" t="str">
        <x:f t="shared" si="81"/>
        <x:v/>
      </x:c>
      <x:c r="ET45" s="1053" t="str">
        <x:f t="shared" si="82"/>
        <x:v/>
      </x:c>
      <x:c r="EU45" s="1061" t="str">
        <x:f t="shared" si="83"/>
        <x:v/>
      </x:c>
      <x:c r="EV45" s="1055" t="str">
        <x:f t="shared" si="84"/>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5"/>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6"/>
        <x:v/>
      </x:c>
      <x:c r="FD45" s="1052">
        <x:f t="shared" si="108"/>
        <x:v>0</x:v>
      </x:c>
      <x:c r="FE45" s="1052">
        <x:f t="shared" si="87"/>
        <x:v>0</x:v>
      </x:c>
      <x:c r="FF45" s="1052">
        <x:f t="shared" si="88"/>
        <x:v>0</x:v>
      </x:c>
      <x:c r="FG45" s="1052" t="str">
        <x:f t="shared" si="89"/>
        <x:v/>
      </x:c>
      <x:c r="FH45" s="1053" t="str">
        <x:f t="shared" si="90"/>
        <x:v/>
      </x:c>
      <x:c r="FI45" s="1052">
        <x:f t="shared" si="109"/>
        <x:v>0</x:v>
      </x:c>
      <x:c r="FJ45" s="1052">
        <x:f t="shared" si="91"/>
        <x:v>0</x:v>
      </x:c>
      <x:c r="FK45" s="1052">
        <x:f t="shared" si="92"/>
        <x:v>0</x:v>
      </x:c>
      <x:c r="FL45" s="1052" t="str">
        <x:f t="shared" si="93"/>
        <x:v/>
      </x:c>
      <x:c r="FM45" s="1053" t="str">
        <x:f t="shared" si="94"/>
        <x:v/>
      </x:c>
      <x:c r="FN45" s="1053" t="e">
        <x:f t="shared" si="95"/>
        <x:v>#VALUE!</x:v>
      </x:c>
      <x:c r="FO45" s="1062" t="e">
        <x:f t="shared" si="96"/>
        <x:v>#VALUE!</x:v>
      </x:c>
      <x:c r="FP45" s="1062" t="e">
        <x:f t="shared" si="97"/>
        <x:v>#VALUE!</x:v>
      </x:c>
      <x:c r="FQ45" s="1063" t="e">
        <x:f t="shared" si="98"/>
        <x:v>#VALUE!</x:v>
      </x:c>
      <x:c r="FR45" s="1064" t="e">
        <x:f t="shared" si="99"/>
        <x:v>#VALUE!</x:v>
      </x:c>
      <x:c r="FS45" s="1065" t="str">
        <x:f t="shared" si="100"/>
        <x:v/>
      </x:c>
      <x:c r="FT45" s="1066" t="str">
        <x:f t="shared" si="101"/>
        <x:v/>
      </x:c>
      <x:c r="FU45" s="1105">
        <x:f t="shared" si="102"/>
        <x:v>0</x:v>
      </x:c>
      <x:c r="FV45" s="1106">
        <x:f t="shared" si="103"/>
        <x:v>0</x:v>
      </x:c>
      <x:c r="GA45" s="1975" t="str">
        <x:f t="shared" si="118"/>
        <x:v/>
      </x:c>
      <x:c r="GB45" s="1976" t="str">
        <x:f t="shared" si="119"/>
        <x:v/>
      </x:c>
      <x:c r="GC45" s="1977" t="str">
        <x:f t="shared" si="120"/>
        <x:v/>
      </x:c>
      <x:c r="GD45" s="1978" t="str">
        <x:f t="shared" si="121"/>
        <x:v/>
      </x:c>
      <x:c r="GE45" s="1979" t="str">
        <x:f t="shared" si="122"/>
        <x:v/>
      </x:c>
      <x:c r="GF45" s="1980" t="str">
        <x:f t="shared" si="104"/>
        <x:v/>
      </x:c>
      <x:c r="GG45" s="1455"/>
      <x:c r="GH45" s="1456"/>
      <x:c r="GI45" s="1455"/>
      <x:c r="GJ45" s="1456"/>
      <x:c r="GK45" s="533">
        <x:f t="shared" si="105"/>
        <x:v>0</x:v>
      </x:c>
      <x:c r="GL45" s="534" t="e">
        <x:f t="shared" si="106"/>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109</x:v>
      </x:c>
      <x:c r="AE46" s="540">
        <x:f>SUM(AE16:AE45)</x:f>
        <x:v>71</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180</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2151</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VvYQRNycKw4DDBt2x6uO7C3+KfWuzDmSqtpRu68BwzpexMEmhIG14MsUnrfZGX2u8bSk6gH9qql72Xo99gHVPA==" saltValue="Dhm9dNsYuFCHOui4865MNg=="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638" priority="69" stopIfTrue="1">
      <x:formula>GM57&gt;=0.125</x:formula>
    </x:cfRule>
  </x:conditionalFormatting>
  <x:conditionalFormatting sqref="EF57">
    <x:cfRule type="cellIs" dxfId="637" priority="70" stopIfTrue="1" operator="notEqual">
      <x:formula>$EG57</x:formula>
    </x:cfRule>
  </x:conditionalFormatting>
  <x:conditionalFormatting sqref="EM57">
    <x:cfRule type="cellIs" dxfId="636" priority="71" stopIfTrue="1" operator="notEqual">
      <x:formula>$EN57</x:formula>
    </x:cfRule>
  </x:conditionalFormatting>
  <x:conditionalFormatting sqref="CD16:CD45">
    <x:cfRule type="expression" dxfId="635" priority="62">
      <x:formula>AND(CD16="X",CY16="")</x:formula>
    </x:cfRule>
    <x:cfRule type="expression" dxfId="634" priority="72">
      <x:formula>AND(CD16="",CY16&lt;&gt;"")</x:formula>
    </x:cfRule>
  </x:conditionalFormatting>
  <x:conditionalFormatting sqref="CE16:CE45">
    <x:cfRule type="expression" dxfId="633" priority="73">
      <x:formula>AND(CE16="X",DI16="")</x:formula>
    </x:cfRule>
    <x:cfRule type="expression" dxfId="632" priority="74">
      <x:formula>AND(CE16="",DI16&lt;&gt;"")</x:formula>
    </x:cfRule>
  </x:conditionalFormatting>
  <x:conditionalFormatting sqref="P2:S4">
    <x:cfRule type="cellIs" dxfId="631" priority="76" stopIfTrue="1" operator="equal">
      <x:formula>""</x:formula>
    </x:cfRule>
  </x:conditionalFormatting>
  <x:conditionalFormatting sqref="EF16:EF45">
    <x:cfRule type="cellIs" dxfId="630" priority="68" stopIfTrue="1" operator="notEqual">
      <x:formula>$EG16</x:formula>
    </x:cfRule>
  </x:conditionalFormatting>
  <x:conditionalFormatting sqref="EM16:EM45">
    <x:cfRule type="cellIs" dxfId="629" priority="67" stopIfTrue="1" operator="notEqual">
      <x:formula>$EN16</x:formula>
    </x:cfRule>
  </x:conditionalFormatting>
  <x:conditionalFormatting sqref="CC12">
    <x:cfRule type="expression" dxfId="628" priority="66" stopIfTrue="1">
      <x:formula>ISBLANK($CC$12)</x:formula>
    </x:cfRule>
  </x:conditionalFormatting>
  <x:conditionalFormatting sqref="CC11">
    <x:cfRule type="expression" dxfId="627" priority="65" stopIfTrue="1">
      <x:formula>ISBLANK($CC$11)</x:formula>
    </x:cfRule>
  </x:conditionalFormatting>
  <x:conditionalFormatting sqref="M7">
    <x:cfRule type="expression" dxfId="626" priority="63" stopIfTrue="1">
      <x:formula>OR(ISBLANK($M$7),$M$7="")</x:formula>
    </x:cfRule>
    <x:cfRule type="expression" dxfId="625" priority="64" stopIfTrue="1">
      <x:formula>AND(LOWER($M$7)&lt;&gt;"std gray primer: one shop coat",LOWER($M$7)&lt;&gt;"gray",$M$7&lt;&gt;"")</x:formula>
    </x:cfRule>
  </x:conditionalFormatting>
  <x:conditionalFormatting sqref="BV16:BV45">
    <x:cfRule type="expression" dxfId="624" priority="60">
      <x:formula>AND(NOT($AY16),AND(ISBLANK(BV16),AND(NOT(ISBLANK(BU16)),$BW16&lt;&gt;0)))</x:formula>
    </x:cfRule>
  </x:conditionalFormatting>
  <x:conditionalFormatting sqref="BD16:BD45">
    <x:cfRule type="expression" dxfId="623" priority="61">
      <x:formula>AND(NOT($AY16),NOT($AP16))</x:formula>
    </x:cfRule>
  </x:conditionalFormatting>
  <x:conditionalFormatting sqref="U16:U45">
    <x:cfRule type="expression" dxfId="622" priority="57">
      <x:formula>AND(NOT($AY16),NOT(AR16))</x:formula>
    </x:cfRule>
  </x:conditionalFormatting>
  <x:conditionalFormatting sqref="W16:W45">
    <x:cfRule type="expression" dxfId="621" priority="59">
      <x:formula>AND(NOT($AY16),NOT(AT16))</x:formula>
    </x:cfRule>
  </x:conditionalFormatting>
  <x:conditionalFormatting sqref="T16:T45">
    <x:cfRule type="expression" dxfId="620" priority="56">
      <x:formula>AND(NOT($AY16),NOT(AR16))</x:formula>
    </x:cfRule>
  </x:conditionalFormatting>
  <x:conditionalFormatting sqref="V16:V45">
    <x:cfRule type="expression" dxfId="619" priority="58">
      <x:formula>AND(NOT($AY16),NOT(AT16))</x:formula>
    </x:cfRule>
  </x:conditionalFormatting>
  <x:conditionalFormatting sqref="C16:C45">
    <x:cfRule type="expression" dxfId="618" priority="54">
      <x:formula>AND(NOT($AY16),NOT($AP16))</x:formula>
    </x:cfRule>
  </x:conditionalFormatting>
  <x:conditionalFormatting sqref="X16:X45">
    <x:cfRule type="expression" dxfId="617" priority="14">
      <x:formula>$X16=0</x:formula>
    </x:cfRule>
  </x:conditionalFormatting>
  <x:conditionalFormatting sqref="CB16:CB45">
    <x:cfRule type="expression" dxfId="616" priority="53">
      <x:formula>OR(CB16&gt;CV16,CB16&lt;0)</x:formula>
    </x:cfRule>
  </x:conditionalFormatting>
  <x:conditionalFormatting sqref="CC16:CC45">
    <x:cfRule type="expression" dxfId="615" priority="51">
      <x:formula>OR(CC16&gt;DF16,CC16&lt;0)</x:formula>
    </x:cfRule>
  </x:conditionalFormatting>
  <x:conditionalFormatting sqref="BY16:BY45">
    <x:cfRule type="expression" dxfId="614" priority="75">
      <x:formula>OR(CH16&lt;&gt;"",CI16&lt;&gt;"",CJ16&lt;&gt;"",CK16&lt;&gt;"",CL16&lt;&gt;"",CM16&lt;&gt;"")</x:formula>
    </x:cfRule>
  </x:conditionalFormatting>
  <x:conditionalFormatting sqref="BE16:BF45">
    <x:cfRule type="expression" dxfId="613" priority="77">
      <x:formula>AND(NOT($AY16),AND($AZ16,AND($AK16&lt;&gt;"HDR",$AK16&lt;&gt;"JS",$AJ16&gt;=8)))</x:formula>
    </x:cfRule>
  </x:conditionalFormatting>
  <x:conditionalFormatting sqref="D16:E45">
    <x:cfRule type="expression" dxfId="612" priority="55">
      <x:formula>AND(NOT($AY16),AND($AZ16,AND($AK16&lt;&gt;"HDR",$AK16&lt;&gt;"JS",$AJ16&gt;=8)))</x:formula>
    </x:cfRule>
  </x:conditionalFormatting>
  <x:conditionalFormatting sqref="AA12">
    <x:cfRule type="expression" dxfId="611" priority="52">
      <x:formula>OR(ISBLANK(AA12),AA12="")</x:formula>
    </x:cfRule>
  </x:conditionalFormatting>
  <x:conditionalFormatting sqref="A16:Z45 BB16:CG45">
    <x:cfRule type="expression" dxfId="610" priority="78">
      <x:formula>$AC16</x:formula>
    </x:cfRule>
  </x:conditionalFormatting>
  <x:conditionalFormatting sqref="BN16:BN45">
    <x:cfRule type="expression" dxfId="609" priority="17">
      <x:formula>AND(NOT($AY16),AND(ISBLANK(BN16),AND(NOT(ISBLANK(BM16)),$BW16&lt;&gt;0)))</x:formula>
    </x:cfRule>
  </x:conditionalFormatting>
  <x:conditionalFormatting sqref="BO16:BO45">
    <x:cfRule type="expression" dxfId="608" priority="16">
      <x:formula>AND(NOT($AY16),ISERROR(DE16))</x:formula>
    </x:cfRule>
    <x:cfRule type="expression" dxfId="607" priority="43">
      <x:formula>AND(NOT($AY16),OR(DE16="", CQ16&lt;&gt;""))</x:formula>
    </x:cfRule>
  </x:conditionalFormatting>
  <x:conditionalFormatting sqref="BG16:BG45">
    <x:cfRule type="expression" dxfId="606" priority="15">
      <x:formula>AND(NOT($AY16),ISERROR(CU16))</x:formula>
    </x:cfRule>
    <x:cfRule type="expression" dxfId="605" priority="42">
      <x:formula>AND(NOT($AY16),OR(CP16&lt;&gt;"", CU16=""))</x:formula>
    </x:cfRule>
  </x:conditionalFormatting>
  <x:conditionalFormatting sqref="BH16:BH45">
    <x:cfRule type="expression" dxfId="604" priority="30">
      <x:formula>AND(NOT($AY16),OR($CU16="M",$CU16="C",AND($CU16="B",$DC16&gt;0)))</x:formula>
    </x:cfRule>
    <x:cfRule type="expression" dxfId="603" priority="31">
      <x:formula>AND(NOT($AY16),AND(BH16="",BI16="",OR($CU16="B",$CU16="G")))</x:formula>
    </x:cfRule>
    <x:cfRule type="expression" dxfId="602" priority="32">
      <x:formula>AND(NOT($AY16),(BH16/2)/COS(RADIANS(BM16))+CV16-DW16&lt;VLOOKUP(AU16,$DF$2:$DJ$9,5,FALSE))</x:formula>
    </x:cfRule>
  </x:conditionalFormatting>
  <x:conditionalFormatting sqref="BI16:BI45">
    <x:cfRule type="expression" dxfId="601" priority="39">
      <x:formula>AND(NOT($AY16),OR($CU16="M",$CU16="C",AND($CU16="B",$DC16&gt;0)))</x:formula>
    </x:cfRule>
    <x:cfRule type="expression" dxfId="600" priority="40">
      <x:formula>AND(NOT($AY16),AND(BH16="",BI16="",OR($CU16="B",$CU16="G")))</x:formula>
    </x:cfRule>
    <x:cfRule type="expression" dxfId="599" priority="41">
      <x:formula>AND(NOT($AY16),(BI16/2)/COS(RADIANS(BM16))+CV16-DW16&lt;VLOOKUP(AU16,$DF$2:$DJ$9,5,FALSE))</x:formula>
    </x:cfRule>
  </x:conditionalFormatting>
  <x:conditionalFormatting sqref="BK16:BK45">
    <x:cfRule type="expression" dxfId="598" priority="18">
      <x:formula>AND(NOT($AY16),OR($CU16="M",$CU16="C",AND($CU16="B",$DA16&lt;&gt;"")))</x:formula>
    </x:cfRule>
    <x:cfRule type="expression" dxfId="597" priority="19">
      <x:formula>AND(NOT($AY16),AND(BJ16="X",BK16="",BL16=""))</x:formula>
    </x:cfRule>
    <x:cfRule type="expression" dxfId="596" priority="20">
      <x:formula>AND(NOT($AY16),EZ16="ERR")</x:formula>
    </x:cfRule>
  </x:conditionalFormatting>
  <x:conditionalFormatting sqref="BL16:BL45">
    <x:cfRule type="expression" dxfId="595" priority="21">
      <x:formula>AND(NOT($AY16),OR($CU16="M",$CU16="C",AND($CU16="B",$DA16&lt;&gt;"")))</x:formula>
    </x:cfRule>
    <x:cfRule type="expression" dxfId="594" priority="22">
      <x:formula>AND(NOT($AY16),AND(BJ16="X",BK16="",BL16=""))</x:formula>
    </x:cfRule>
    <x:cfRule type="expression" dxfId="593" priority="23">
      <x:formula>AND(NOT($AY16),EZ16="ERR")</x:formula>
    </x:cfRule>
  </x:conditionalFormatting>
  <x:conditionalFormatting sqref="BS16:BS45">
    <x:cfRule type="expression" dxfId="592" priority="24">
      <x:formula>AND(NOT($AY16),OR($DE16="M",$DE16="C",AND($DE16="B",$DK16&lt;&gt;"")))</x:formula>
    </x:cfRule>
    <x:cfRule type="expression" dxfId="591" priority="25">
      <x:formula>AND(NOT($AY16),AND(BR16="X",BS16="",BT16=""))</x:formula>
    </x:cfRule>
    <x:cfRule type="expression" dxfId="590" priority="26">
      <x:formula>AND(NOT($AY16),FC16="ERR")</x:formula>
    </x:cfRule>
  </x:conditionalFormatting>
  <x:conditionalFormatting sqref="BT16:BT45">
    <x:cfRule type="expression" dxfId="589" priority="27">
      <x:formula>AND(NOT($AY16),OR($DE16="M",$DE16="C",AND($DE16="B",$DK16&lt;&gt;"")))</x:formula>
    </x:cfRule>
    <x:cfRule type="expression" dxfId="588" priority="28">
      <x:formula>AND(NOT($AY16),AND(BR16="X",BS16="",BT16=""))</x:formula>
    </x:cfRule>
    <x:cfRule type="expression" dxfId="587" priority="29">
      <x:formula>AND(NOT($AY16),FC16="ERR")</x:formula>
    </x:cfRule>
  </x:conditionalFormatting>
  <x:conditionalFormatting sqref="BP16:BP45">
    <x:cfRule type="expression" dxfId="586" priority="33">
      <x:formula>AND(NOT($AY16),OR($DE16="M",$DE16="C",AND($DE16="B",$DM16&gt;0)))</x:formula>
    </x:cfRule>
    <x:cfRule type="expression" dxfId="585" priority="34">
      <x:formula>AND(NOT($AY16),AND(BP16="",BQ16="",OR($DE16="B",$DE16="G")))</x:formula>
    </x:cfRule>
    <x:cfRule type="expression" dxfId="584" priority="35">
      <x:formula>AND(NOT($AY16),(BP16/2)/COS(RADIANS(BU16))+DF16-EC16&lt;VLOOKUP(AU16,$DF$2:$DJ$9,5,FALSE))</x:formula>
    </x:cfRule>
  </x:conditionalFormatting>
  <x:conditionalFormatting sqref="BQ16:BQ45">
    <x:cfRule type="expression" dxfId="583" priority="36">
      <x:formula>AND(NOT($AY16),OR($DE16="M",$DE16="C",AND($DE16="B",$DM16&gt;0)))</x:formula>
    </x:cfRule>
    <x:cfRule type="expression" dxfId="582" priority="37">
      <x:formula>AND(NOT($AY16),AND(BP16="",BQ16="",OR($DE16="B",$DE16="G")))</x:formula>
    </x:cfRule>
    <x:cfRule type="expression" dxfId="581" priority="38">
      <x:formula>AND(NOT($AY16),(BQ16/2)/COS(RADIANS(BU16))+DF16-EC16&lt;VLOOKUP(AU16,$DF$2:$DJ$9,5,FALSE))</x:formula>
    </x:cfRule>
  </x:conditionalFormatting>
  <x:conditionalFormatting sqref="BJ16:BJ45">
    <x:cfRule type="expression" dxfId="580" priority="44">
      <x:formula>AND(NOT($AY16),OR($CU16="C",AND($CU16="M",$DA16&gt;0)))</x:formula>
    </x:cfRule>
    <x:cfRule type="expression" dxfId="579" priority="45">
      <x:formula>AND(NOT($AY16),OR(NOT(IF(AND(OR(MID($BB16,1,1)="T",($BE16+$BF16/12)/IF(ABS($BW16)&gt;$DQ$1,COS($DO16),1)&gt;=40),OR($CU16="B",$CU16="G")),"X","")="X"),$EZ16="ERR"))</x:formula>
    </x:cfRule>
    <x:cfRule type="expression" dxfId="578" priority="46">
      <x:formula>AND(NOT($AY16),$BJ16&lt;&gt;"X",$BJ16&lt;&gt;IF(AND(OR(MID(BB16,1,1)="T",($BE16+$BF16/12)/IF(ABS($BW16)&gt;$DQ$1,COS($DO16),1)&gt;=40),OR($CU16="B",$CU16="G")),"X",""))</x:formula>
    </x:cfRule>
  </x:conditionalFormatting>
  <x:conditionalFormatting sqref="BR16:BR45">
    <x:cfRule type="expression" dxfId="577" priority="47">
      <x:formula>AND(NOT($AY16),OR($DE16="C",AND($DE16="M",$DK16&gt;0)))</x:formula>
    </x:cfRule>
    <x:cfRule type="expression" dxfId="576" priority="48">
      <x:formula>AND(NOT($AY16),OR(NOT(IF(AND(OR(MID($BB16,1,1)="T",($BE16+$BF16/12)/IF(ABS($BW16)&gt;$DQ$1,COS($DO16),1)&gt;=40),OR($DE16="B",$DE16="G")),"X","")="X"),$FC16="ERR"))</x:formula>
    </x:cfRule>
    <x:cfRule type="expression" dxfId="575" priority="49">
      <x:formula>AND(NOT($AY16),$BR16&lt;&gt;"X",$BR16&lt;&gt;IF(AND(OR(MID(BB16,1,1)="T",($BE16+$BF16/12)/IF(ABS($BW16)&gt;$DQ$1,COS($DO16),1)&gt;=40),OR($DE16="B",$DE16="G")),"X",""))</x:formula>
    </x:cfRule>
  </x:conditionalFormatting>
  <x:conditionalFormatting sqref="A16:B45 BB16:BC45">
    <x:cfRule type="expression" dxfId="574" priority="50">
      <x:formula>AND(NOT($AE$1),$B16=0,$AD$1="M")</x:formula>
    </x:cfRule>
  </x:conditionalFormatting>
  <x:conditionalFormatting sqref="U57">
    <x:cfRule type="expression" dxfId="573" priority="11" stopIfTrue="1">
      <x:formula>AND(NOT($AY57),NOT(AR57))</x:formula>
    </x:cfRule>
  </x:conditionalFormatting>
  <x:conditionalFormatting sqref="W57">
    <x:cfRule type="expression" dxfId="572" priority="13" stopIfTrue="1">
      <x:formula>AND(NOT($AY57),NOT(AT57))</x:formula>
    </x:cfRule>
  </x:conditionalFormatting>
  <x:conditionalFormatting sqref="T57">
    <x:cfRule type="expression" dxfId="571" priority="10" stopIfTrue="1">
      <x:formula>AND(NOT($AY57),NOT(AR57))</x:formula>
    </x:cfRule>
  </x:conditionalFormatting>
  <x:conditionalFormatting sqref="V57">
    <x:cfRule type="expression" dxfId="570" priority="12" stopIfTrue="1">
      <x:formula>AND(NOT($AY57),NOT(AT57))</x:formula>
    </x:cfRule>
  </x:conditionalFormatting>
  <x:conditionalFormatting sqref="C57">
    <x:cfRule type="expression" dxfId="569" priority="8" stopIfTrue="1">
      <x:formula>AND(NOT($AY57),NOT($AP57))</x:formula>
    </x:cfRule>
  </x:conditionalFormatting>
  <x:conditionalFormatting sqref="X57">
    <x:cfRule type="expression" dxfId="568" priority="4">
      <x:formula>$X57=0</x:formula>
    </x:cfRule>
  </x:conditionalFormatting>
  <x:conditionalFormatting sqref="D57:E57">
    <x:cfRule type="expression" dxfId="567" priority="9" stopIfTrue="1">
      <x:formula>AND(NOT($AY57),AND($AZ57,AND($AK57&lt;&gt;"HDR",$AK57&lt;&gt;"JS",$AJ57&gt;=8)))</x:formula>
    </x:cfRule>
  </x:conditionalFormatting>
  <x:conditionalFormatting sqref="A57:AA57">
    <x:cfRule type="expression" dxfId="566" priority="5">
      <x:formula>$AC57</x:formula>
    </x:cfRule>
  </x:conditionalFormatting>
  <x:conditionalFormatting sqref="AA57">
    <x:cfRule type="expression" dxfId="565" priority="6" stopIfTrue="1">
      <x:formula>AND(NOT($AY57),LEN(AA57)&gt;31)</x:formula>
    </x:cfRule>
  </x:conditionalFormatting>
  <x:conditionalFormatting sqref="A57:B57">
    <x:cfRule type="expression" dxfId="564" priority="7">
      <x:formula>AND(NOT($AE$1),$B57=0,$AD$1="M")</x:formula>
    </x:cfRule>
  </x:conditionalFormatting>
  <x:conditionalFormatting sqref="AA16:AA45">
    <x:cfRule type="expression" dxfId="563" priority="2">
      <x:formula>$AC16</x:formula>
    </x:cfRule>
  </x:conditionalFormatting>
  <x:conditionalFormatting sqref="AA16:AA45">
    <x:cfRule type="expression" dxfId="562" priority="3" stopIfTrue="1">
      <x:formula>AND(NOT($AY16),LEN(AA16)&gt;31)</x:formula>
    </x:cfRule>
  </x:conditionalFormatting>
  <x:conditionalFormatting sqref="GA16:GB45">
    <x:cfRule type="expression" dxfId="561"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7.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2">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36 of 42</x:v>
      </x:c>
      <x:c r="Z7" s="822"/>
      <x:c r="AA7" s="444"/>
      <x:c r="AB7" s="449"/>
      <x:c r="AC7" s="1393">
        <x:v>36</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1466</x:v>
      </x:c>
      <x:c r="B16" s="1265">
        <x:v>3</x:v>
      </x:c>
      <x:c r="C16" s="1265" t="s">
        <x:v>1979</x:v>
      </x:c>
      <x:c r="D16" s="1261">
        <x:v>49</x:v>
      </x:c>
      <x:c r="E16" s="1366">
        <x:v>11.5</x:v>
      </x:c>
      <x:c r="F16" s="1328">
        <x:v>0</x:v>
      </x:c>
      <x:c r="G16" s="1262">
        <x:v>1.375</x:v>
      </x:c>
      <x:c r="H16" s="1266" t="s">
        <x:v>114</x:v>
      </x:c>
      <x:c r="I16" s="1261">
        <x:v>0</x:v>
      </x:c>
      <x:c r="J16" s="1262">
        <x:v>1.375</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x:v>0</x:v>
      </x:c>
      <x:c r="U16" s="1262">
        <x:v>2.25</x:v>
      </x:c>
      <x:c r="V16" s="1261">
        <x:v>0</x:v>
      </x:c>
      <x:c r="W16" s="1262">
        <x:v>2.25</x:v>
      </x:c>
      <x:c r="X16" s="1329">
        <x:v>4</x:v>
      </x:c>
      <x:c r="Y16" s="1377" t="str">
        <x:f t="shared" ref="Y16:Y44" si="7">FG16</x:f>
        <x:v/>
      </x:c>
      <x:c r="Z16" s="1378" t="str">
        <x:f t="shared" ref="Z16:Z44" si="8">FL16</x:f>
        <x:v/>
      </x:c>
      <x:c r="AA16" s="2159" t="s">
        <x:v>2167</x:v>
      </x:c>
      <x:c r="AC16" s="1226" t="b">
        <x:v>0</x:v>
      </x:c>
      <x:c r="AD16" s="525">
        <x:f t="shared" ref="AD16:AD45" si="9">IF($C16="",0,IF(SUM(AE16:AG16)&gt;0,0,IF(ISERROR(SEARCH("K",$C16,1))=TRUE,0,$B16)))</x:f>
        <x:v>3</x:v>
      </x:c>
      <x:c r="AE16" s="526">
        <x:f t="shared" ref="AE16:AE45" si="10">IF(ISERROR(SEARCH("LH",$C16,1))=TRUE,0,$B16)</x:f>
        <x:v>0</x:v>
      </x:c>
      <x:c r="AF16" s="526">
        <x:f t="shared" ref="AF16:AF45" si="11">IF(ISERROR(SEARCH("JS",$C16))=TRUE,IF(ISERROR(SEARCH("2.5K",$C16))=TRUE,0,$B16),$B16)</x:f>
        <x:v>0</x:v>
      </x:c>
      <x:c r="AG16" s="526">
        <x:f t="shared" ref="AG16:AG45" si="12">IF(ISERROR(SEARCH("HDR",$C16,1))=TRUE,0,$B16)</x:f>
        <x:v>0</x:v>
      </x:c>
      <x:c r="AH16" s="527">
        <x:f t="shared" ref="AH16:AH45" si="13">IF(ISERROR(SEARCH("CJ",$C16,1))=TRUE,0,$B16)</x:f>
        <x:v>0</x:v>
      </x:c>
      <x:c r="AI16" s="528" t="b">
        <x:v>0</x:v>
      </x:c>
      <x:c r="AJ16" s="284">
        <x:f t="shared" ref="AJ16:AJ45" si="14">IF(OR(ISERROR(VALUE(LEFT(C16,SEARCH(AK16,C16)-1))),AK16=""),0,VALUE(LEFT(C16,SEARCH(AK16,C16)-1)))</x:f>
        <x:v>30</x:v>
      </x:c>
      <x:c r="AK16" s="1063" t="str">
        <x:f t="shared" ref="AK16:AK45" si="15">IF(AV16="",AW16,AV16)</x:f>
        <x:v>K</x:v>
      </x:c>
      <x:c r="AL16" s="1202" t="str">
        <x:f t="shared" ref="AL16:AL45" si="16">IF(AK16="","",IF(ISERROR(SEARCH("/",C16)),IF(VALUE(MID(C16,SEARCH(AK16,C16)+LEN(AK16),LEN(C16)))&gt;25,"",VALUE(MID(C16,SEARCH(AK16,C16)+LEN(AK16),LEN(C16)))),""))</x:f>
        <x:v/>
      </x:c>
      <x:c r="AM16" s="1063">
        <x:f t="shared" ref="AM16:AM45" si="17">IF(AK16="","",IF(ISERROR(SEARCH("/",C16)),IF(VALUE(MID(C16,SEARCH(AK16,C16)+LEN(AK16),LEN(C16)))&lt;26,"",VALUE(MID(C16,SEARCH(AK16,C16)+LEN(AK16),LEN(C16)))),VALUE(MID(C16,SEARCH(AK16,C16)+LEN(AK16),SEARCH("/",C16)-SEARCH(AK16,C16)-LEN(AK16)))))</x:f>
        <x:v>240</x:v>
      </x:c>
      <x:c r="AN16" s="1063">
        <x:f t="shared" ref="AN16:AN45" si="18">IF(AK16="","",IF(AK16="CJ",MID(MID(C16,SEARCH("/",C16)+1,LEN(C16)),1,SEARCH("/",MID(C16,SEARCH("/",C16)+1,LEN(C16)))-1),IF(ISERROR(SEARCH("/",C16)),"",VALUE(MID(C16,SEARCH("/",C16)+1,LEN(C16))))))</x:f>
        <x:v>140</x:v>
      </x:c>
      <x:c r="AO16" s="1063" t="str">
        <x:f t="shared" ref="AO16:AO45" si="19">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0">VLOOKUP(AK16,$DF$2:$DN$9,4,FALSE)+IF(LEFT(H16,1)="R",IF(ISNUMBER(F16),F16*12,0)+IF(ISNUMBER(G16),G16,0),0)</x:f>
        <x:v>5.375</x:v>
      </x:c>
      <x:c r="AR16" s="1305" t="b">
        <x:f t="shared" ref="AR16:AR45" si="21">IF(IF(ISNUMBER(T16),T16*12,0)+IF(ISNUMBER(U16),U16,0)&gt;0,IF(AND((IF(ISNUMBER(T16),T16*12,0)+IF(ISNUMBER(U16),U16,0))&gt;=1,(IF(ISNUMBER(T16),T16*12,0)+IF(ISNUMBER(U16),U16,0))&lt;=(AQ16-1)+IF(H16="X",2,0)),TRUE,FALSE),FALSE)</x:f>
        <x:v>1</x:v>
      </x:c>
      <x:c r="AS16" s="1305">
        <x:f t="shared" ref="AS16:AS45" si="22">VLOOKUP(AK16,$DF$2:$DN$9,4,FALSE)+IF(LEFT(K16,1)="R",(IF(ISNUMBER(I16),I16*12,0)+IF(ISNUMBER(J16),J16,0)),0)</x:f>
        <x:v>5.375</x:v>
      </x:c>
      <x:c r="AT16" s="1305" t="b">
        <x:f t="shared" ref="AT16:AT45" si="23">IF(IF(ISNUMBER(V16),V16*12,0)+IF(ISNUMBER(W16),W16,0)&gt;0,IF(AND((IF(ISNUMBER(V16),V16*12,0)+IF(ISNUMBER(W16),W16,0))&gt;=1,(IF(ISNUMBER(V16),V16*12,0)+IF(ISNUMBER(W16),W16,0))&lt;=(AS16-1)+IF(K16="X",2,0)),TRUE,FALSE),FALSE)</x:f>
        <x:v>1</x:v>
      </x:c>
      <x:c r="AU16" s="1203" t="str">
        <x: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K</x:v>
      </x:c>
      <x:c r="AV16" s="1063" t="str">
        <x:f t="shared" ref="AV16:AV45" si="25">IF(NOT(ISERROR(SEARCH("KCSR",C16))),"KCSR",IF(NOT(ISERROR(SEARCH("KCSA",C16))),"KCSA",IF(NOT(ISERROR(SEARCH("KCS",C16))),"KCS",IF(NOT(ISERROR(SEARCH("KR",C16))),"KR",IF(NOT(ISERROR(SEARCH("KA",C16))),"KA",IF(NOT(ISERROR(SEARCH("K",C16))),"K",IF(NOT(ISERROR(SEARCH("CJ",C16))),"CJ","")))))))</x:f>
        <x:v>K</x:v>
      </x:c>
      <x:c r="AW16" s="1063" t="str">
        <x:f t="shared" ref="AW16:AW45" si="26">IF(NOT(ISERROR(SEARCH("HDR",C16))),"HDR",IF(NOT(ISERROR(SEARCH("JS",C16))),"JS",IF(NOT(ISERROR(SEARCH("SLH",C16))),"SLH",IF(NOT(ISERROR(SEARCH("DLH",C16))),"DLH",IF(NOT(ISERROR(SEARCH("LH",C16))),"LH","")))))</x:f>
        <x:v/>
      </x:c>
      <x:c r="AX16" s="1063" t="str">
        <x:f>IF(OR(ISBLANK(A16),A16=""),"",A16)</x:f>
        <x:v>TJ142</x:v>
      </x:c>
      <x:c r="AY16" s="1306" t="b">
        <x:f t="shared" ref="AY16:AY45" si="27">IF($AE$1,IF(AX16=AX15,AY15,IF(AND(AX16&lt;&gt;"",OR(B16=0,B16="")),TRUE,FALSE)),FALSE)</x:f>
        <x:v>0</x:v>
      </x:c>
      <x:c r="AZ16" s="1090" t="b">
        <x:f t="shared" ref="AZ16:AZ45" si="28">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29">IF(CY16="","","X")</x:f>
        <x:v/>
      </x:c>
      <x:c r="CE16" s="925" t="str">
        <x:f t="shared" ref="CE16:CE45" si="30">IF(DI16="","","X")</x:f>
        <x:v/>
      </x:c>
      <x:c r="CF16" s="1147"/>
      <x:c r="CG16" s="1148"/>
      <x:c r="CH16" s="730" t="str">
        <x:f t="shared" ref="CH16:CH45" si="31">IF(EJ16=EK16,IF(EK16="ERR","ERR",""),CONCATENATE(IF(BM16&lt;0,"NS ","FS "),IF(EK16="ERR","Slot Only",CONCATENATE("Slot @ ",EJ16))))</x:f>
        <x:v/>
      </x:c>
      <x:c r="CI16" s="731" t="str">
        <x:f t="shared" ref="CI16:CI45" si="32">IF(EQ16=ER16,IF(ER16="ERR","ERR",""),CONCATENATE(IF(BU16&lt;0,"FS ","NS "),IF(ER16="ERR","Slot Only",CONCATENATE("Slot @ ",EQ16))))</x:f>
        <x:v/>
      </x:c>
      <x:c r="CJ16" s="732" t="str">
        <x:f t="shared" ref="CJ16:CJ45" si="33">IF(EV16="","",IF(AND(DB16&lt;&gt;EV16,OR(NOT(ISBLANK(BJ16)),CU16="C")),CONCATENATE("LE slots @ ",DB16," Ga."),IF(AND(DL16&lt;&gt;EV16,OR(NOT(ISBLANK(BR16)),DE16="C")),CONCATENATE("RE slots @ ",DL16," Ga."),"")))</x:f>
        <x:v/>
      </x:c>
      <x:c r="CK16" s="733" t="str">
        <x:f t="shared" ref="CK16:CK45" si="34">IF(AND(CP16&lt;&gt;"",BM16&lt;&gt;"",CQ16&lt;&gt;"",BU16&lt;&gt;""),"BE",IF(AND(CP16&lt;&gt;"",BM16&lt;&gt;""),"LE",IF(AND(CQ16&lt;&gt;"",BU16&lt;&gt;""),"RE","")))</x:f>
        <x:v/>
      </x:c>
      <x:c r="CL16" s="734" t="str">
        <x:f t="shared" ref="CL16:CL45" si="35">IF(ISBLANK(CB16),"",CEILING(DV16,0.125))</x:f>
        <x:v/>
      </x:c>
      <x:c r="CM16" s="735" t="str">
        <x:f t="shared" ref="CM16:CM45" si="36">IF(ISBLANK(CC16),"",CEILING(EB16,0.125))</x:f>
        <x:v/>
      </x:c>
      <x:c r="CN16" s="736" t="str">
        <x:f t="shared" ref="CN16:CN45" si="37">IF(AND(BW16&lt;&gt;0,BM16&lt;&gt;0),BW16*COS(RADIANS(90-BM16))/(1/COS(RADIANS(90-BM16)))*-1,"")</x:f>
        <x:v/>
      </x:c>
      <x:c r="CO16" s="737" t="str">
        <x:f t="shared" ref="CO16:CO45" si="38">IF(AND(BW16&lt;&gt;0,BU16&lt;&gt;0),BW16*COS(RADIANS(90-BU16))/(1/COS(RADIANS(90-BU16))),"")</x:f>
        <x:v/>
      </x:c>
      <x:c r="CP16" s="760" t="str">
        <x:f t="shared" ref="CP16:CP45" si="39">IF(BG16="","",IF(AU16="JS","",IF(VLOOKUP(AU16,$DF$2:$DN$9,5,FALSE)&gt;FO16,IF(FO16&gt;=0.0625,CEILING(FO16-0.0625,0.125),FO16),"")))</x:f>
        <x:v/>
      </x:c>
      <x:c r="CQ16" s="761" t="str">
        <x:f t="shared" ref="CQ16:CQ45" si="40">IF(BO16="","",IF(AU16="JS","",IF(VLOOKUP(AU16,$DF$2:$DN$9,5,FALSE)&gt;FP16,IF(FP16&gt;=0.0625,CEILING(FP16-0.0625,0.125),FP16),"")))</x:f>
        <x:v/>
      </x:c>
      <x:c r="CR16" s="951">
        <x:f t="shared" ref="CR16:CR45" si="41">IF(AU16="","",IF(ABS(FF16)&lt;ABS($CX$2),VLOOKUP(AU16,$DF$2:$DN$9,3,FALSE),CEILING(VLOOKUP(AU16,$DF$2:$DN$9,3,FALSE)/COS(FE16)+0.375+IF(CU16="M",IF(FE16&gt;0,(DV16-DW16)/12,0),IF(FE16&gt;0,0,(DV16-CV16)/12))*ABS(FF16),0.125)))</x:f>
        <x:v>2.5</x:v>
      </x:c>
      <x:c r="CS16" s="952">
        <x:f t="shared" ref="CS16:CS45" si="42">IF(AU16="","",IF(ABS(FK16)&lt;ABS($CX$2),VLOOKUP(AU16,$DF$2:$DN$9,3,FALSE),CEILING(VLOOKUP(AU16,$DF$2:$DN$9,3,FALSE)/COS(FJ16)+0.375+IF(DE16="M",IF(FJ16&lt;0,(EB16-EC16)/12,0),IF(FJ16&lt;0,0,(EB16-DF16)/12))*ABS(FK16),0.125)))</x:f>
        <x:v>2.5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3">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4">BV16*-1</x:f>
        <x:v>0</x:v>
      </x:c>
      <x:c r="DO16" s="1094">
        <x:f t="shared" ref="DO16:DO45" si="45">IF(BW16="",0,ATAN(BW16/12))</x:f>
        <x:v>0</x:v>
      </x:c>
      <x:c r="DP16" s="1095" t="str">
        <x:f t="shared" ref="DP16:DP45" si="46">IF(OR(CV16="",BE16="",DF16=""),"",CEILING(IF(AND(BE16="",BF16=""),"",((BE16*12+BF16)+CV16+DF16)/COS(FN16))-0.0625,0.125))</x:f>
        <x:v/>
      </x:c>
      <x:c r="DQ16" s="1095" t="str">
        <x:f t="shared" ref="DQ16:DQ45" si="47">IF(AU16="","",IF(ABS(FF16)&lt;ABS($CX$2),CX16,IF(FF16=0,CX16,CEILING((CX16+((DW16-CV16)/12)*FF16)-0.0625,0.125))))</x:f>
        <x:v/>
      </x:c>
      <x:c r="DR16" s="1095" t="str">
        <x:f t="shared" ref="DR16:DR45" si="48">IF(AU16="","",IF(ABS(FK16)&lt;ABS($CX$2),DH16,IF(FK16=0,DH16,CEILING((DH16+((EC16-DF16)/12)*FK16)-0.0625,0.125))))</x:f>
        <x:v/>
      </x:c>
      <x:c r="DS16" s="1096">
        <x:f t="shared" ref="DS16:DS45" si="49">IF(BM16="",0,RADIANS(ABS(BM16)))</x:f>
        <x:v>0</x:v>
      </x:c>
      <x:c r="DT16" s="1052">
        <x:f t="shared" ref="DT16:DT45" si="50">MIN(IF(BH16&gt;0,BH16/2,MAX(BI16/2,DC16)),IF(BI16&gt;0,BI16/2,MAX(BH16/2,DC16)),IF(DC16&gt;0,DC16,MAX(BI16/2,BH16/2)))/IF(OR(CU16="C",AND(CU16="M",$DD$1="N")),1,COS(DS16))</x:f>
        <x:v>0</x:v>
      </x:c>
      <x:c r="DU16" s="1052" t="str">
        <x:f t="shared" ref="DU16:DU45" si="51">IF(CV16="","",IF(DC16&gt;=0,MAX(BH16/2,BI16/2,DC16),DC16)/IF(OR(CU16="C",AND(CU16="M",$DD$1="N")),1,COS(DS16)))</x:f>
        <x:v/>
      </x:c>
      <x:c r="DV16" s="1095" t="str">
        <x:f t="shared" ref="DV16:DV45" si="52">IF(CV16="","",(CV16+DU16+(VLOOKUP(IF(AU16="HDR","K",AU16),$DF$2:$DN$9,2,FALSE))*TAN(DS16))/COS(FD16)-FH16)</x:f>
        <x:v/>
      </x:c>
      <x:c r="DW16" s="1095" t="str">
        <x:f t="shared" ref="DW16:DW45" si="53">IF(CV16="","",MAX(0,IF(NOT(ISBLANK(CB16)),CV16-CB16,DV16-VLOOKUP(IF(AU16="HDR","K",AU16),$DF$2:$DN$9,4,FALSE))))</x:f>
        <x:v/>
      </x:c>
      <x:c r="DX16" s="1451">
        <x:f t="shared" ref="DX16:DX45" si="54">IF(CV16="",0,IF(DW16/COS(FN16-FD16)&lt;0.0625,0,CEILING(DW16/COS(FN16-FD16)-0.03125,0.125)))</x:f>
        <x:v>0</x:v>
      </x:c>
      <x:c r="DY16" s="1095">
        <x:f t="shared" ref="DY16:DY45" si="55">RADIANS(ABS(BU16))</x:f>
        <x:v>0</x:v>
      </x:c>
      <x:c r="DZ16" s="1052">
        <x:f t="shared" ref="DZ16:DZ45" si="56">MIN(IF(BP16&gt;0,BP16/2,MAX(BQ16/2,DM16)),IF(BQ16&gt;0,BQ16/2,MAX(BP16/2,DM16)),IF(DM16&gt;0,DM16,MAX(BQ16/2,BP16/2)))/IF(OR(DE16="C",AND(DE16="M",$DD$1="N")),1,COS(DY16))</x:f>
        <x:v>0</x:v>
      </x:c>
      <x:c r="EA16" s="1052" t="str">
        <x:f t="shared" ref="EA16:EA45" si="57">IF(DF16="","",IF(DM16&gt;=0,MAX(BP16/2,BQ16/2,DM16),DM16)/IF(OR(DE16="C",AND(DE16="M",$DD$1="N")),1,COS(DY16)))</x:f>
        <x:v/>
      </x:c>
      <x:c r="EB16" s="1095" t="str">
        <x:f t="shared" ref="EB16:EB45" si="58">IF(DF16="","",(DF16+EA16+(VLOOKUP(IF(AU16="HDR","K",AU16),$DF$2:$DN$9,2,FALSE))*TAN(DY16))/COS(FI16)-FM16)</x:f>
        <x:v/>
      </x:c>
      <x:c r="EC16" s="1095" t="str">
        <x:f t="shared" ref="EC16:EC45" si="59">IF(DF16="","",MAX(0,IF(NOT(ISBLANK(CC16)),DF16-CC16,EB16-VLOOKUP(IF(AU16="HDR","K",AU16),$DF$2:$DN$9,4,FALSE))))</x:f>
        <x:v/>
      </x:c>
      <x:c r="ED16" s="1451">
        <x:f t="shared" ref="ED16:ED45" si="60">IF(DF16="",0,IF(EC16/COS(FN16+FI16)&lt;0.0625,0,CEILING(EC16/COS(FN16+FI16)-0.03125,0.125)))</x:f>
        <x:v>0</x:v>
      </x:c>
      <x:c r="EE16" s="1107" t="str">
        <x:f t="shared" ref="EE16:EE45" si="61">IF(AND(EZ16="",DA16=""),"",IF(EZ16="ERR","ERR",IF(CU16="C",DA16,IF(BJ16="","",IF(DA16="",(EZ16/2)*-1,DA16)))))</x:f>
        <x:v/>
      </x:c>
      <x:c r="EF16" s="1095" t="str">
        <x:f t="shared" ref="EF16:EF45" si="62">IF(EE16="ERR","ERR",IF(EE16="","",IF(DB16*TAN(DS16)&lt;=(VLOOKUP(AU16,$DF$2:$DN$9,8,FALSE)-(VLOOKUP(AU16,$DF$2:$DN$9,7,FALSE)-0.0625)),CV16-(EE16-FH16)/IF(OR(CU16="C",AND(CU16="M",$DD$1="N")),1,COS(DS16))-IF(MID(CW16,1,1)="R",0,DW16),(ABS(EE16-FH16)/IF(OR(CU16="C",AND(CU16="M",$DD$1="N")),1,COS(DS16))+CV16)-((DB16/2)*TAN(DS16))-IF(MID(CW16,1,1)="R",0,DW16))))</x:f>
        <x:v/>
      </x:c>
      <x:c r="EG16" s="1095" t="str">
        <x:f t="shared" ref="EG16:EG45" si="63">IF(EE16="ERR","ERR",IF(EE16="","",IF(DB16*TAN(DS16)&lt;=(VLOOKUP(AU16,$DF$2:$DN$9,8,FALSE)-(VLOOKUP(AU16,$DF$2:$DN$9,7,FALSE)-0.0625)),CV16-(EE16-FH16)/IF(OR(CU16="C",AND(CU16="M",$DD$1="N")),1,COS(DS16))-IF(MID(CW16,1,1)="R",0,DW16),(ABS(EE16-FH16)/IF(OR(CU16="C",AND(CU16="M",$DD$1="N")),1,COS(DS16))+CV16)+((DB16/2)*TAN(DS16))-IF(MID(CW16,1,1)="R",0,DW16))))</x:f>
        <x:v/>
      </x:c>
      <x:c r="EH16" s="1095" t="str">
        <x:f t="shared" ref="EH16:EH45" si="64">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5">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6">IF(ISERROR(EF16),"ERR",IF(EF16="","",IF(EH16="ERR","ERR",CEILING(EH16-0.0625,0.125))))</x:f>
        <x:v/>
      </x:c>
      <x:c r="EK16" s="1095" t="str">
        <x:f t="shared" si="66"/>
        <x:v/>
      </x:c>
      <x:c r="EL16" s="1107" t="str">
        <x:f t="shared" ref="EL16:EL45" si="67">IF(AND(FC16="",DK16=""),"",IF(FC16="ERR","ERR",IF(DE16="C",DK16,IF(BR16="","",IF(DK16="",(FC16/2)*-1,DK16)))))</x:f>
        <x:v/>
      </x:c>
      <x:c r="EM16" s="1095" t="str">
        <x:f t="shared" ref="EM16:EM45" si="68">IF(EL16="ERR","ERR",IF(EL16="","",IF(DL16*TAN(DY16)&lt;=(VLOOKUP(AU16,$DF$2:$DN$9,8,FALSE)-(VLOOKUP(AU16,$DF$2:$DN$9,7,FALSE)-0.0625)),DF16-(EL16-FM16)/IF(OR(DE16="C",AND(DE16="M",$DD$1="N")),1,COS(DY16))-IF(MID(DG16,1,1)="R",0,EC16),(ABS(EL16-FM16)/IF(OR(DE16="C",AND(DE16="M",$DD$1="N")),1,COS(DY16))+DF16)-((DL16/2)*TAN(DY16))-IF(MID(DG16,1,1)="R",0,EC16))))</x:f>
        <x:v/>
      </x:c>
      <x:c r="EN16" s="1095" t="str">
        <x:f t="shared" ref="EN16:EN45" si="69">IF(EL16="ERR","ERR",IF(EL16="","",IF(DL16*TAN(DY16)&lt;=(VLOOKUP(AU16,$DF$2:$DN$9,8,FALSE)-(VLOOKUP(AU16,$DF$2:$DN$9,7,FALSE)-0.0625)),DF16-(EL16-FM16)/IF(OR(DE16="C",AND(DE16="M",$DD$1="N")),1,COS(DY16))-IF(MID(DG16,1,1)="R",0,EC16),(ABS(EL16-FM16)/IF(OR(DE16="C",AND(DE16="M",$DD$1="N")),1,COS(DY16))+DF16)+((DL16/2)*TAN(DY16))-IF(MID(DG16,1,1)="R",0,EC16))))</x:f>
        <x:v/>
      </x:c>
      <x:c r="EO16" s="1095" t="str">
        <x:f t="shared" ref="EO16:EO45" si="70">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1">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2">IF(ISERROR(EM16),"ERR",IF(EM16="","",IF(EO16="ERR","ERR",CEILING(EO16-0.0625,0.125))))</x:f>
        <x:v/>
      </x:c>
      <x:c r="ER16" s="1095" t="str">
        <x:f t="shared" si="72"/>
        <x:v/>
      </x:c>
      <x:c r="ES16" s="1053" t="str">
        <x:f t="shared" ref="ES16:ES45" si="73">IF(OR(CY16="",AU16="JS",AU16="HDR",CD16=""),"",IF((CV16-CY16)/COS(DO16)-FS16&lt;=-0.0625,CEILING((CV16-CY16)/COS(DO16)-FS16+0.0625,-0.125),IF((CV16-CY16)/COS(DO16)-FS16&gt;=0.0625,CEILING((CV16-CY16)/COS(DO16)-FS16-0.0625,0.125),0)))</x:f>
        <x:v/>
      </x:c>
      <x:c r="ET16" s="1053" t="str">
        <x:f t="shared" ref="ET16:ET45" si="74">IF(OR(DI16="",AU16="JS",AU16="HDR",CE16=""),"",IF((DF16-DI16)/COS(DO16)-FT16&lt;=-0.0625,CEILING((DF16-DI16)/COS(DO16)-FT16+0.0625,-0.125),IF((DF16-DI16)/COS(DO16)-FT16&gt;=0.0625,CEILING((DF16-DI16)/COS(DO16)-FT16-0.0625,0.125),0)))</x:f>
        <x:v/>
      </x:c>
      <x:c r="EU16" s="1097">
        <x:f t="shared" ref="EU16:EU45" si="75">IF(AU16="","",VLOOKUP(AU16,$DF$2:$DN$9,6,FALSE))</x:f>
        <x:v>3.5</x:v>
      </x:c>
      <x:c r="EV16" s="1055" t="str">
        <x:f t="shared" ref="EV16:EV45" si="76">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77">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78">IF(BR16="X",IF(OR(DE16="M",DE16="C"),"",IF((FB16-FA16)/2&lt;=(VLOOKUP(AU16,$DF$2:$DN$9,8,FALSE)-(VLOOKUP(AU16,$DF$2:$DN$9,7,FALSE)-0.0625)),(FA16+FB16)/2,"ERR")),"")</x:f>
        <x:v/>
      </x:c>
      <x:c r="FD16" s="1096">
        <x:f>IF(DD16="",0,ATAN(DD16/12))</x:f>
        <x:v>0</x:v>
      </x:c>
      <x:c r="FE16" s="1096">
        <x:f t="shared" ref="FE16:FE45" si="79">DO16-FD16</x:f>
        <x:v>0</x:v>
      </x:c>
      <x:c r="FF16" s="1096">
        <x:f t="shared" ref="FF16:FF45" si="80">TAN(FE16)*12</x:f>
        <x:v>0</x:v>
      </x:c>
      <x:c r="FG16" s="1096" t="str">
        <x:f t="shared" ref="FG16:FG45" si="81">IF(FF16=0,"",IF(ABS(FF16)&lt;$CX$2,IF(AND(ABS(MIN(DV16,FQ16)/12*FF16)&gt;$DD$2,FF16&gt;0),IF(FF16&gt;0,CEILING(FF16-0.0625,0.125),CEILING(FF16+0.0625,-0.125)),""),IF(FF16&gt;0,CEILING(FF16-0.0625,0.125),CEILING(FF16+0.0625,-0.125))))</x:f>
        <x:v/>
      </x:c>
      <x:c r="FH16" s="1095" t="str">
        <x:f t="shared" ref="FH16:FH45" si="82">IF(CX16="","",CX16*TAN(FD16))</x:f>
        <x:v/>
      </x:c>
      <x:c r="FI16" s="1096">
        <x:f>IF(DN16="",0,ATAN(DN16/12))</x:f>
        <x:v>0</x:v>
      </x:c>
      <x:c r="FJ16" s="1096">
        <x:f t="shared" ref="FJ16:FJ45" si="83">DO16+FI16</x:f>
        <x:v>0</x:v>
      </x:c>
      <x:c r="FK16" s="1096">
        <x:f t="shared" ref="FK16:FK45" si="84">TAN(FJ16)*-12</x:f>
        <x:v>0</x:v>
      </x:c>
      <x:c r="FL16" s="1096" t="str">
        <x:f t="shared" ref="FL16:FL45" si="85">IF(FK16=0,"",IF(ABS(FK16)&lt;$CX$2,IF(AND(ABS(MIN(EB16,FR16)/12*FK16)&gt;$DD$2,FK16&gt;0),IF(FK16&gt;0,CEILING(FK16-0.0625,0.125),CEILING(FK16+0.0625,-0.125)),""),IF(FK16&gt;0,CEILING(FK16-0.0625,0.125),CEILING(FK16+0.0625,-0.125))))</x:f>
        <x:v/>
      </x:c>
      <x:c r="FM16" s="1095" t="str">
        <x:f t="shared" ref="FM16:FM45" si="86">IF(DH16="","",DH16*TAN(FI16))</x:f>
        <x:v/>
      </x:c>
      <x:c r="FN16" s="1095" t="e">
        <x:f t="shared" ref="FN16:FN45" si="87">IF(((BE16*12+BF16)+CV16+DF16)/COS(DO16)-((BE16*12+BF16)+CV16+DF16)&lt;$DB$2,0,DO16)</x:f>
        <x:v>#VALUE!</x:v>
      </x:c>
      <x:c r="FO16" s="1098" t="e">
        <x:f t="shared" ref="FO16:FO45" si="88">MIN(IF(BH16&gt;0,BH16/2,MAX(BI16/2,DC16)),IF(BI16&gt;0,BI16/2,MAX(BH16/2,DC16)),IF(DC16&gt;0,DC16,MAX(BI16/2,BH16/2)))/COS(DS16)+CV16-DW16</x:f>
        <x:v>#VALUE!</x:v>
      </x:c>
      <x:c r="FP16" s="1098" t="e">
        <x:f t="shared" ref="FP16:FP45" si="89">MIN(IF(BP16&gt;0,BP16/2,MAX(BQ16/2,DM16)),IF(BQ16&gt;0,BQ16/2,MAX(BP16/2,DM16)),IF(DM16&gt;0,DM16,MAX(BQ16/2,BP16/2)))/COS(DY16)+DF16-EC16</x:f>
        <x:v>#VALUE!</x:v>
      </x:c>
      <x:c r="FQ16" s="1099" t="e">
        <x:f t="shared" ref="FQ16:FQ45" si="90">IF(OR(CU16="M", CU16="B",CU16="G"),MAX(BH16,BI16),DC16+CV16)</x:f>
        <x:v>#VALUE!</x:v>
      </x:c>
      <x:c r="FR16" s="1100" t="e">
        <x:f t="shared" ref="FR16:FR45" si="91">IF(OR(DE16="M", DE16="B",DE16="G"),MAX(BP16,BQ16),DM16+DF16)</x:f>
        <x:v>#VALUE!</x:v>
      </x:c>
      <x:c r="FS16" s="1101" t="str">
        <x:f t="shared" ref="FS16:FS45" si="92">IF(CY16="","",IF(ABS(BW16*((AJ16-IF(BW16&gt;0,VLOOKUP(AU16,$DF$2:$DN$9,9,FALSE),0))/12))&gt;$CZ$2,BW16*((AJ16-IF(BW16&gt;0,VLOOKUP(AU16,$DF$2:$DN$9,9,FALSE),0))/12),0))</x:f>
        <x:v/>
      </x:c>
      <x:c r="FT16" s="1102" t="str">
        <x:f t="shared" ref="FT16:FT45" si="93">IF(DI16="","",IF(ABS(BW16*((AJ16-IF(BW16&lt;0,VLOOKUP(AU16,$DF$2:$DN$9,9,FALSE),0))/12))&gt;$CZ$2,BW16*((AJ16-IF(BW16&lt;0,VLOOKUP(AU16,$DF$2:$DN$9,9,FALSE),0))/12)*-1,0))</x:f>
        <x:v/>
      </x:c>
      <x:c r="FU16" s="1103">
        <x:f t="shared" ref="FU16:FU45" si="94">IF(CX16="",0,MAX(0,MIN(DV16-VLOOKUP(AU16,DF$2:DN$9,4,FALSE),(MAX(0,CX16-VLOOKUP(AU16,DF$2:DN$9,3,FALSE))+VLOOKUP(AU16,DF$2:DN$9,4,FALSE))*COS(DO16)+((MAX(0,CX16-VLOOKUP(AU16,DF$2:DN$9,3,FALSE))+VLOOKUP(AU16,DF$2:DN$9,4,FALSE))*COS(PI()/2-DO16))/TAN(PI()/2-(DO16+PI()/4))-VLOOKUP(AU16,DF$2:DN$9,4,FALSE))))</x:f>
        <x:v>0</x:v>
      </x:c>
      <x:c r="FV16" s="1104">
        <x:f t="shared" ref="FV16:FV45" si="95">IF(DH16="",0,MAX(0,MIN(EB16-VLOOKUP(AU16,DF$2:DN$9,4,FALSE),(MAX(0,DH16-VLOOKUP(AU16,DF$2:DN$9,3,FALSE))+VLOOKUP(AU16,DF$2:DN$9,4,FALSE))*COS(DO16)+((MAX(0,DH16-VLOOKUP(AU16,DF$2:DN$9,3,FALSE))+VLOOKUP(AU16,DF$2:DN$9,4,FALSE))*COS(PI()/2-DO16))/TAN(PI()/2-(DO16+PI()/4))-VLOOKUP(AU16,DF$2:DN$9,4,FALSE))))</x:f>
        <x:v>0</x:v>
      </x:c>
      <x:c r="GA16" s="1975">
        <x:v>50</x:v>
      </x:c>
      <x:c r="GB16" s="1976">
        <x:v>0</x:v>
      </x:c>
      <x:c r="GC16" s="1977">
        <x:v>-0.25</x:v>
      </x:c>
      <x:c r="GD16" s="1978">
        <x:v>-0.25</x:v>
      </x:c>
      <x:c r="GE16" s="1979">
        <x:v>0.26</x:v>
      </x:c>
      <x:c r="GF16" s="1980" t="str">
        <x:f t="shared" ref="GF16:GF45" si="96">IF(A16=0,"",A16)</x:f>
        <x:v>TJ142</x:v>
      </x:c>
      <x:c r="GG16" s="1453"/>
      <x:c r="GH16" s="1454"/>
      <x:c r="GI16" s="1453"/>
      <x:c r="GJ16" s="1454"/>
      <x:c r="GK16" s="533">
        <x:f t="shared" ref="GK16:GK45" si="97">IF(D16="",0,D16*12+E16)</x:f>
        <x:v>599.5</x:v>
      </x:c>
      <x:c r="GL16" s="534">
        <x:f t="shared" ref="GL16:GL45" si="98">(GA16*12+GB16+GC16+GD16)/COS(ATAN(ABS(GE16/12)))</x:f>
        <x:v>599.6406994615146</x:v>
      </x:c>
      <x:c r="GM16" s="535">
        <x:f>IF(ABS(GK16-GL16)&gt;='Job Info.'!$L$22,ABS(GK16-GL16),0)</x:f>
        <x:v>0</x:v>
      </x:c>
      <x:c r="HA16" s="1652" t="s">
        <x:v>1466</x:v>
      </x:c>
      <x:c r="HB16" s="1653">
        <x:v>3</x:v>
      </x:c>
      <x:c r="HC16" s="1653" t="s">
        <x:v>1979</x:v>
      </x:c>
      <x:c r="HD16" s="1654">
        <x:v>49</x:v>
      </x:c>
      <x:c r="HE16" s="1655">
        <x:v>11.5</x:v>
      </x:c>
      <x:c r="HF16" s="1653">
        <x:v>0</x:v>
      </x:c>
      <x:c r="HG16" s="1653">
        <x:v>1.375</x:v>
      </x:c>
      <x:c r="HH16" s="1653" t="s">
        <x:v>114</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x:v>0</x:v>
      </x:c>
      <x:c r="HU16" s="1653">
        <x:v>2.25</x:v>
      </x:c>
      <x:c r="HV16" s="1653">
        <x:v>0</x:v>
      </x:c>
      <x:c r="HW16" s="1655">
        <x:v>2.25</x:v>
      </x:c>
      <x:c r="HX16" s="1655">
        <x:v>4</x:v>
      </x:c>
      <x:c r="HY16" s="1655" t="s">
        <x:v>117</x:v>
      </x:c>
      <x:c r="HZ16" s="1655" t="s">
        <x:v>117</x:v>
      </x:c>
      <x:c r="IA16" s="1655" t="s">
        <x:v>2167</x:v>
      </x:c>
      <x:c r="IB16" s="1655"/>
      <x:c r="IC16" s="1655"/>
      <x:c r="ID16" s="1655"/>
      <x:c r="IE16" s="1655"/>
      <x:c r="IF16" s="1657"/>
    </x:row>
    <x:row r="17" spans="1:240" ht="12.6" customHeight="1" x14ac:dyDescent="0.25">
      <x:c r="A17" s="1264" t="s">
        <x:v>1467</x:v>
      </x:c>
      <x:c r="B17" s="1265">
        <x:v>5</x:v>
      </x:c>
      <x:c r="C17" s="1265" t="s">
        <x:v>1979</x:v>
      </x:c>
      <x:c r="D17" s="1261">
        <x:v>49</x:v>
      </x:c>
      <x:c r="E17" s="1366">
        <x:v>11.5</x:v>
      </x:c>
      <x:c r="F17" s="1328">
        <x:v>0</x:v>
      </x:c>
      <x:c r="G17" s="1262">
        <x:v>1.375</x:v>
      </x:c>
      <x:c r="H17" s="1266" t="s">
        <x:v>114</x:v>
      </x:c>
      <x:c r="I17" s="1261">
        <x:v>0</x:v>
      </x:c>
      <x:c r="J17" s="1262">
        <x:v>1.375</x:v>
      </x:c>
      <x:c r="K17" s="1370" t="s">
        <x:v>114</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x:v>0</x:v>
      </x:c>
      <x:c r="U17" s="1262">
        <x:v>2.25</x:v>
      </x:c>
      <x:c r="V17" s="1261">
        <x:v>0</x:v>
      </x:c>
      <x:c r="W17" s="1262">
        <x:v>2.25</x:v>
      </x:c>
      <x:c r="X17" s="1329">
        <x:v>4</x:v>
      </x:c>
      <x:c r="Y17" s="1377" t="str">
        <x:f t="shared" si="7"/>
        <x:v/>
      </x:c>
      <x:c r="Z17" s="1378" t="str">
        <x:f t="shared" si="8"/>
        <x:v/>
      </x:c>
      <x:c r="AA17" s="2159" t="s">
        <x:v>2169</x:v>
      </x:c>
      <x:c r="AC17" s="1226" t="b">
        <x:v>0</x:v>
      </x:c>
      <x:c r="AD17" s="525">
        <x:f t="shared" si="9"/>
        <x:v>5</x:v>
      </x:c>
      <x:c r="AE17" s="526">
        <x:f t="shared" si="10"/>
        <x:v>0</x:v>
      </x:c>
      <x:c r="AF17" s="526">
        <x:f t="shared" si="11"/>
        <x:v>0</x:v>
      </x:c>
      <x:c r="AG17" s="526">
        <x:f t="shared" si="12"/>
        <x:v>0</x:v>
      </x:c>
      <x:c r="AH17" s="527">
        <x:f t="shared" si="13"/>
        <x:v>0</x:v>
      </x:c>
      <x:c r="AI17" s="528" t="b">
        <x:v>0</x:v>
      </x:c>
      <x:c r="AJ17" s="284">
        <x:f t="shared" si="14"/>
        <x:v>30</x:v>
      </x:c>
      <x:c r="AK17" s="1063" t="str">
        <x:f t="shared" si="15"/>
        <x:v>K</x:v>
      </x:c>
      <x:c r="AL17" s="1202" t="str">
        <x:f t="shared" si="16"/>
        <x:v/>
      </x:c>
      <x:c r="AM17" s="1063">
        <x:f t="shared" si="17"/>
        <x:v>240</x:v>
      </x:c>
      <x:c r="AN17" s="1063">
        <x:f t="shared" si="18"/>
        <x:v>140</x:v>
      </x:c>
      <x:c r="AO17" s="1063" t="str">
        <x:f t="shared" si="19"/>
        <x:v/>
      </x:c>
      <x:c r="AP17" s="1063" t="b">
        <x:f>IF(ISERROR(AJ17),FALSE,IF(OR(AJ17=0,ISERROR(AL17),ISERROR(AM17),ISERROR(AN17),ISERROR(AO17)),FALSE,IF(AL17&lt;&gt;"",IF(ISERROR(VLOOKUP(SUBSTITUTE(SUBSTITUTE(C17,"R",""),"A",""),TblJoistSize!$A:$A,1,FALSE)),FALSE,TRUE),TRUE)))</x:f>
        <x:v>1</x:v>
      </x:c>
      <x:c r="AQ17" s="1305">
        <x:f t="shared" si="20"/>
        <x:v>5.375</x:v>
      </x:c>
      <x:c r="AR17" s="1305" t="b">
        <x:f t="shared" si="21"/>
        <x:v>1</x:v>
      </x:c>
      <x:c r="AS17" s="1305">
        <x:f t="shared" si="22"/>
        <x:v>5.375</x:v>
      </x:c>
      <x:c r="AT17" s="1305" t="b">
        <x:f t="shared" si="23"/>
        <x:v>1</x:v>
      </x:c>
      <x:c r="AU17" s="1203" t="str">
        <x:f t="shared" si="24"/>
        <x:v>K</x:v>
      </x:c>
      <x:c r="AV17" s="1063" t="str">
        <x:f t="shared" si="25"/>
        <x:v>K</x:v>
      </x:c>
      <x:c r="AW17" s="1063" t="str">
        <x:f t="shared" si="26"/>
        <x:v/>
      </x:c>
      <x:c r="AX17" s="1063" t="str">
        <x:f t="shared" ref="AX17:AX45" si="99">IF(AND(OR(ISBLANK(A17),A17=""),AA17&lt;&gt;""),AX16,IF(OR(ISBLANK(A17),A17=""),"",A17))</x:f>
        <x:v>TJ143</x:v>
      </x:c>
      <x:c r="AY17" s="1306" t="b">
        <x:f t="shared" si="27"/>
        <x:v>0</x:v>
      </x:c>
      <x:c r="AZ17" s="1090" t="b">
        <x:f t="shared" si="28"/>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29"/>
        <x:v/>
      </x:c>
      <x:c r="CE17" s="935" t="str">
        <x:f t="shared" si="30"/>
        <x:v/>
      </x:c>
      <x:c r="CF17" s="1149"/>
      <x:c r="CG17" s="1150"/>
      <x:c r="CH17" s="738" t="str">
        <x:f t="shared" si="31"/>
        <x:v/>
      </x:c>
      <x:c r="CI17" s="739" t="str">
        <x:f t="shared" si="32"/>
        <x:v/>
      </x:c>
      <x:c r="CJ17" s="740" t="str">
        <x:f t="shared" si="33"/>
        <x:v/>
      </x:c>
      <x:c r="CK17" s="741" t="str">
        <x:f t="shared" si="34"/>
        <x:v/>
      </x:c>
      <x:c r="CL17" s="742" t="str">
        <x:f t="shared" si="35"/>
        <x:v/>
      </x:c>
      <x:c r="CM17" s="743" t="str">
        <x:f t="shared" si="36"/>
        <x:v/>
      </x:c>
      <x:c r="CN17" s="744" t="str">
        <x:f t="shared" si="37"/>
        <x:v/>
      </x:c>
      <x:c r="CO17" s="745" t="str">
        <x:f t="shared" si="38"/>
        <x:v/>
      </x:c>
      <x:c r="CP17" s="762" t="str">
        <x:f t="shared" si="39"/>
        <x:v/>
      </x:c>
      <x:c r="CQ17" s="763" t="str">
        <x:f t="shared" si="40"/>
        <x:v/>
      </x:c>
      <x:c r="CR17" s="953">
        <x:f t="shared" si="41"/>
        <x:v>2.5</x:v>
      </x:c>
      <x:c r="CS17" s="954">
        <x:f t="shared" si="42"/>
        <x:v>2.5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3"/>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4"/>
        <x:v>0</x:v>
      </x:c>
      <x:c r="DO17" s="1049">
        <x:f t="shared" si="45"/>
        <x:v>0</x:v>
      </x:c>
      <x:c r="DP17" s="1053" t="str">
        <x:f t="shared" si="46"/>
        <x:v/>
      </x:c>
      <x:c r="DQ17" s="1053" t="str">
        <x:f t="shared" si="47"/>
        <x:v/>
      </x:c>
      <x:c r="DR17" s="1053" t="str">
        <x:f t="shared" si="48"/>
        <x:v/>
      </x:c>
      <x:c r="DS17" s="1052">
        <x:f t="shared" si="49"/>
        <x:v>0</x:v>
      </x:c>
      <x:c r="DT17" s="1052">
        <x:f t="shared" si="50"/>
        <x:v>0</x:v>
      </x:c>
      <x:c r="DU17" s="1052" t="str">
        <x:f t="shared" si="51"/>
        <x:v/>
      </x:c>
      <x:c r="DV17" s="1053" t="str">
        <x:f t="shared" si="52"/>
        <x:v/>
      </x:c>
      <x:c r="DW17" s="1053" t="str">
        <x:f t="shared" si="53"/>
        <x:v/>
      </x:c>
      <x:c r="DX17" s="1269">
        <x:f t="shared" si="54"/>
        <x:v>0</x:v>
      </x:c>
      <x:c r="DY17" s="1053">
        <x:f t="shared" si="55"/>
        <x:v>0</x:v>
      </x:c>
      <x:c r="DZ17" s="1052">
        <x:f t="shared" si="56"/>
        <x:v>0</x:v>
      </x:c>
      <x:c r="EA17" s="1052" t="str">
        <x:f t="shared" si="57"/>
        <x:v/>
      </x:c>
      <x:c r="EB17" s="1053" t="str">
        <x:f t="shared" si="58"/>
        <x:v/>
      </x:c>
      <x:c r="EC17" s="1053" t="str">
        <x:f t="shared" si="59"/>
        <x:v/>
      </x:c>
      <x:c r="ED17" s="1269">
        <x:f t="shared" si="60"/>
        <x:v>0</x:v>
      </x:c>
      <x:c r="EE17" s="1090" t="str">
        <x:f t="shared" si="61"/>
        <x:v/>
      </x:c>
      <x:c r="EF17" s="1053" t="str">
        <x:f t="shared" si="62"/>
        <x:v/>
      </x:c>
      <x:c r="EG17" s="1053" t="str">
        <x:f t="shared" si="63"/>
        <x:v/>
      </x:c>
      <x:c r="EH17" s="1053" t="str">
        <x:f t="shared" si="64"/>
        <x:v>ERR</x:v>
      </x:c>
      <x:c r="EI17" s="1053" t="str">
        <x:f t="shared" si="65"/>
        <x:v>ERR</x:v>
      </x:c>
      <x:c r="EJ17" s="1053" t="str">
        <x:f t="shared" si="66"/>
        <x:v/>
      </x:c>
      <x:c r="EK17" s="1053" t="str">
        <x:f t="shared" si="66"/>
        <x:v/>
      </x:c>
      <x:c r="EL17" s="1090" t="str">
        <x:f t="shared" si="67"/>
        <x:v/>
      </x:c>
      <x:c r="EM17" s="1053" t="str">
        <x:f t="shared" si="68"/>
        <x:v/>
      </x:c>
      <x:c r="EN17" s="1053" t="str">
        <x:f t="shared" si="69"/>
        <x:v/>
      </x:c>
      <x:c r="EO17" s="1053" t="str">
        <x:f t="shared" si="70"/>
        <x:v>ERR</x:v>
      </x:c>
      <x:c r="EP17" s="1053" t="str">
        <x:f t="shared" si="71"/>
        <x:v>ERR</x:v>
      </x:c>
      <x:c r="EQ17" s="1053" t="str">
        <x:f t="shared" si="72"/>
        <x:v/>
      </x:c>
      <x:c r="ER17" s="1053" t="str">
        <x:f t="shared" si="72"/>
        <x:v/>
      </x:c>
      <x:c r="ES17" s="1053" t="str">
        <x:f t="shared" si="73"/>
        <x:v/>
      </x:c>
      <x:c r="ET17" s="1053" t="str">
        <x:f t="shared" si="74"/>
        <x:v/>
      </x:c>
      <x:c r="EU17" s="1061">
        <x:f t="shared" si="75"/>
        <x:v>3.5</x:v>
      </x:c>
      <x:c r="EV17" s="1055" t="str">
        <x:f t="shared" si="76"/>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77"/>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78"/>
        <x:v/>
      </x:c>
      <x:c r="FD17" s="1052">
        <x:f t="shared" ref="FD17:FD45" si="100">IF(DD17="",0,ATAN(DD17/12))</x:f>
        <x:v>0</x:v>
      </x:c>
      <x:c r="FE17" s="1052">
        <x:f t="shared" si="79"/>
        <x:v>0</x:v>
      </x:c>
      <x:c r="FF17" s="1052">
        <x:f t="shared" si="80"/>
        <x:v>0</x:v>
      </x:c>
      <x:c r="FG17" s="1052" t="str">
        <x:f t="shared" si="81"/>
        <x:v/>
      </x:c>
      <x:c r="FH17" s="1053" t="str">
        <x:f t="shared" si="82"/>
        <x:v/>
      </x:c>
      <x:c r="FI17" s="1052">
        <x:f t="shared" ref="FI17:FI45" si="101">IF(DN17="",0,ATAN(DN17/12))</x:f>
        <x:v>0</x:v>
      </x:c>
      <x:c r="FJ17" s="1052">
        <x:f t="shared" si="83"/>
        <x:v>0</x:v>
      </x:c>
      <x:c r="FK17" s="1052">
        <x:f t="shared" si="84"/>
        <x:v>0</x:v>
      </x:c>
      <x:c r="FL17" s="1052" t="str">
        <x:f t="shared" si="85"/>
        <x:v/>
      </x:c>
      <x:c r="FM17" s="1053" t="str">
        <x:f t="shared" si="86"/>
        <x:v/>
      </x:c>
      <x:c r="FN17" s="1053" t="e">
        <x:f t="shared" si="87"/>
        <x:v>#VALUE!</x:v>
      </x:c>
      <x:c r="FO17" s="1062" t="e">
        <x:f t="shared" si="88"/>
        <x:v>#VALUE!</x:v>
      </x:c>
      <x:c r="FP17" s="1062" t="e">
        <x:f t="shared" si="89"/>
        <x:v>#VALUE!</x:v>
      </x:c>
      <x:c r="FQ17" s="1063" t="e">
        <x:f t="shared" si="90"/>
        <x:v>#VALUE!</x:v>
      </x:c>
      <x:c r="FR17" s="1064" t="e">
        <x:f t="shared" si="91"/>
        <x:v>#VALUE!</x:v>
      </x:c>
      <x:c r="FS17" s="1065" t="str">
        <x:f t="shared" si="92"/>
        <x:v/>
      </x:c>
      <x:c r="FT17" s="1066" t="str">
        <x:f t="shared" si="93"/>
        <x:v/>
      </x:c>
      <x:c r="FU17" s="1105">
        <x:f t="shared" si="94"/>
        <x:v>0</x:v>
      </x:c>
      <x:c r="FV17" s="1106">
        <x:f t="shared" si="95"/>
        <x:v>0</x:v>
      </x:c>
      <x:c r="GA17" s="1975">
        <x:v>50</x:v>
      </x:c>
      <x:c r="GB17" s="1976">
        <x:v>0</x:v>
      </x:c>
      <x:c r="GC17" s="1977">
        <x:v>-0.25</x:v>
      </x:c>
      <x:c r="GD17" s="1978">
        <x:v>-0.25</x:v>
      </x:c>
      <x:c r="GE17" s="1979">
        <x:v>0.26</x:v>
      </x:c>
      <x:c r="GF17" s="1980" t="str">
        <x:f t="shared" si="96"/>
        <x:v>TJ143</x:v>
      </x:c>
      <x:c r="GG17" s="1453"/>
      <x:c r="GH17" s="1454"/>
      <x:c r="GI17" s="1453"/>
      <x:c r="GJ17" s="1454"/>
      <x:c r="GK17" s="533">
        <x:f t="shared" si="97"/>
        <x:v>599.5</x:v>
      </x:c>
      <x:c r="GL17" s="534">
        <x:f t="shared" si="98"/>
        <x:v>599.6406994615146</x:v>
      </x:c>
      <x:c r="GM17" s="535">
        <x:f>IF(ABS(GK17-GL17)&gt;='Job Info.'!$L$22,ABS(GK17-GL17),0)</x:f>
        <x:v>0</x:v>
      </x:c>
      <x:c r="HA17" s="1658" t="s">
        <x:v>1467</x:v>
      </x:c>
      <x:c r="HB17" s="1659">
        <x:v>5</x:v>
      </x:c>
      <x:c r="HC17" s="1659" t="s">
        <x:v>1979</x:v>
      </x:c>
      <x:c r="HD17" s="1660">
        <x:v>49</x:v>
      </x:c>
      <x:c r="HE17" s="1661">
        <x:v>11.5</x:v>
      </x:c>
      <x:c r="HF17" s="1659">
        <x:v>0</x:v>
      </x:c>
      <x:c r="HG17" s="1659">
        <x:v>1.375</x:v>
      </x:c>
      <x:c r="HH17" s="1659" t="s">
        <x:v>114</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2.25</x:v>
      </x:c>
      <x:c r="HV17" s="1659">
        <x:v>0</x:v>
      </x:c>
      <x:c r="HW17" s="1661">
        <x:v>2.25</x:v>
      </x:c>
      <x:c r="HX17" s="1661">
        <x:v>4</x:v>
      </x:c>
      <x:c r="HY17" s="1661" t="s">
        <x:v>117</x:v>
      </x:c>
      <x:c r="HZ17" s="1661" t="s">
        <x:v>117</x:v>
      </x:c>
      <x:c r="IA17" s="1661" t="s">
        <x:v>2169</x:v>
      </x:c>
      <x:c r="IB17" s="1661"/>
      <x:c r="IC17" s="1661"/>
      <x:c r="ID17" s="1661"/>
      <x:c r="IE17" s="1661"/>
      <x:c r="IF17" s="1663"/>
    </x:row>
    <x:row r="18" spans="1:240" ht="12.6" customHeight="1" x14ac:dyDescent="0.25">
      <x:c r="A18" s="1264" t="s">
        <x:v>1468</x:v>
      </x:c>
      <x:c r="B18" s="1265">
        <x:v>153</x:v>
      </x:c>
      <x:c r="C18" s="1265" t="s">
        <x:v>1979</x:v>
      </x:c>
      <x:c r="D18" s="1261">
        <x:v>49</x:v>
      </x:c>
      <x:c r="E18" s="1366">
        <x:v>11.5</x:v>
      </x:c>
      <x:c r="F18" s="1328">
        <x:v>0</x:v>
      </x:c>
      <x:c r="G18" s="1262">
        <x:v>1.375</x:v>
      </x:c>
      <x:c r="H18" s="1266" t="s">
        <x:v>114</x:v>
      </x:c>
      <x:c r="I18" s="1261">
        <x:v>0</x:v>
      </x:c>
      <x:c r="J18" s="1262">
        <x:v>1.375</x:v>
      </x:c>
      <x:c r="K18" s="1370" t="s">
        <x:v>114</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t="str">
        <x:f t="shared" ref="T18:T44" si="102">IF(CH18="ERR","",IF(EK18="","",IF(EK18="ERR",TRUNC(EJ18/12),TRUNC(EK18/12))))</x:f>
        <x:v/>
      </x:c>
      <x:c r="U18" s="1262" t="str">
        <x:f t="shared" ref="U18:U44" si="103">IF(CH18="ERR","",IF(EK18="","",IF(EK18="ERR",EJ18-(T18*12),EK18-(T18*12))))</x:f>
        <x:v/>
      </x:c>
      <x:c r="V18" s="1261" t="str">
        <x:f t="shared" ref="V18:V44" si="104">IF(CI18="ERR","",IF(ER18="","",IF(ER18="ERR",TRUNC(EQ18/12),TRUNC(ER18/12))))</x:f>
        <x:v/>
      </x:c>
      <x:c r="W18" s="1262" t="str">
        <x:f t="shared" ref="W18:W44" si="105">IF(CI18="ERR","",IF(ER18="","",IF(ER18="ERR",EQ18-(V18*12),ER18-(V18*12))))</x:f>
        <x:v/>
      </x:c>
      <x:c r="X18" s="1329">
        <x:f t="shared" ref="X18:X44" si="106">IF(EV18="",0,EV18)</x:f>
        <x:v>0</x:v>
      </x:c>
      <x:c r="Y18" s="1377" t="str">
        <x:f t="shared" si="7"/>
        <x:v/>
      </x:c>
      <x:c r="Z18" s="1378" t="str">
        <x:f t="shared" si="8"/>
        <x:v/>
      </x:c>
      <x:c r="AA18" s="2159" t="s">
        <x:v>2166</x:v>
      </x:c>
      <x:c r="AC18" s="1226" t="b">
        <x:v>0</x:v>
      </x:c>
      <x:c r="AD18" s="525">
        <x:f t="shared" si="9"/>
        <x:v>153</x:v>
      </x:c>
      <x:c r="AE18" s="526">
        <x:f t="shared" si="10"/>
        <x:v>0</x:v>
      </x:c>
      <x:c r="AF18" s="526">
        <x:f t="shared" si="11"/>
        <x:v>0</x:v>
      </x:c>
      <x:c r="AG18" s="526">
        <x:f t="shared" si="12"/>
        <x:v>0</x:v>
      </x:c>
      <x:c r="AH18" s="527">
        <x:f t="shared" si="13"/>
        <x:v>0</x:v>
      </x:c>
      <x:c r="AI18" s="528" t="b">
        <x:v>0</x:v>
      </x:c>
      <x:c r="AJ18" s="284">
        <x:f t="shared" si="14"/>
        <x:v>30</x:v>
      </x:c>
      <x:c r="AK18" s="1063" t="str">
        <x:f t="shared" si="15"/>
        <x:v>K</x:v>
      </x:c>
      <x:c r="AL18" s="1202" t="str">
        <x:f t="shared" si="16"/>
        <x:v/>
      </x:c>
      <x:c r="AM18" s="1063">
        <x:f t="shared" si="17"/>
        <x:v>240</x:v>
      </x:c>
      <x:c r="AN18" s="1063">
        <x:f t="shared" si="18"/>
        <x:v>140</x:v>
      </x:c>
      <x:c r="AO18" s="1063" t="str">
        <x:f t="shared" si="19"/>
        <x:v/>
      </x:c>
      <x:c r="AP18" s="1063" t="b">
        <x:f>IF(ISERROR(AJ18),FALSE,IF(OR(AJ18=0,ISERROR(AL18),ISERROR(AM18),ISERROR(AN18),ISERROR(AO18)),FALSE,IF(AL18&lt;&gt;"",IF(ISERROR(VLOOKUP(SUBSTITUTE(SUBSTITUTE(C18,"R",""),"A",""),TblJoistSize!$A:$A,1,FALSE)),FALSE,TRUE),TRUE)))</x:f>
        <x:v>1</x:v>
      </x:c>
      <x:c r="AQ18" s="1305">
        <x:f t="shared" si="20"/>
        <x:v>5.375</x:v>
      </x:c>
      <x:c r="AR18" s="1305" t="b">
        <x:f t="shared" si="21"/>
        <x:v>0</x:v>
      </x:c>
      <x:c r="AS18" s="1305">
        <x:f t="shared" si="22"/>
        <x:v>5.375</x:v>
      </x:c>
      <x:c r="AT18" s="1305" t="b">
        <x:f t="shared" si="23"/>
        <x:v>0</x:v>
      </x:c>
      <x:c r="AU18" s="1203" t="str">
        <x:f t="shared" si="24"/>
        <x:v>K</x:v>
      </x:c>
      <x:c r="AV18" s="1063" t="str">
        <x:f t="shared" si="25"/>
        <x:v>K</x:v>
      </x:c>
      <x:c r="AW18" s="1063" t="str">
        <x:f t="shared" si="26"/>
        <x:v/>
      </x:c>
      <x:c r="AX18" s="1063" t="str">
        <x:f t="shared" si="99"/>
        <x:v>J144</x:v>
      </x:c>
      <x:c r="AY18" s="1306" t="b">
        <x:f t="shared" si="27"/>
        <x:v>0</x:v>
      </x:c>
      <x:c r="AZ18" s="1090" t="b">
        <x:f t="shared" si="28"/>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29"/>
        <x:v/>
      </x:c>
      <x:c r="CE18" s="935" t="str">
        <x:f t="shared" si="30"/>
        <x:v/>
      </x:c>
      <x:c r="CF18" s="1149"/>
      <x:c r="CG18" s="1150"/>
      <x:c r="CH18" s="738" t="str">
        <x:f t="shared" si="31"/>
        <x:v/>
      </x:c>
      <x:c r="CI18" s="739" t="str">
        <x:f t="shared" si="32"/>
        <x:v/>
      </x:c>
      <x:c r="CJ18" s="740" t="str">
        <x:f t="shared" si="33"/>
        <x:v/>
      </x:c>
      <x:c r="CK18" s="741" t="str">
        <x:f t="shared" si="34"/>
        <x:v/>
      </x:c>
      <x:c r="CL18" s="742" t="str">
        <x:f t="shared" si="35"/>
        <x:v/>
      </x:c>
      <x:c r="CM18" s="743" t="str">
        <x:f t="shared" si="36"/>
        <x:v/>
      </x:c>
      <x:c r="CN18" s="744" t="str">
        <x:f t="shared" si="37"/>
        <x:v/>
      </x:c>
      <x:c r="CO18" s="745" t="str">
        <x:f t="shared" si="38"/>
        <x:v/>
      </x:c>
      <x:c r="CP18" s="762" t="str">
        <x:f t="shared" si="39"/>
        <x:v/>
      </x:c>
      <x:c r="CQ18" s="763" t="str">
        <x:f t="shared" si="40"/>
        <x:v/>
      </x:c>
      <x:c r="CR18" s="953">
        <x:f t="shared" si="41"/>
        <x:v>2.5</x:v>
      </x:c>
      <x:c r="CS18" s="954">
        <x:f t="shared" si="42"/>
        <x:v>2.5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3"/>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4"/>
        <x:v>0</x:v>
      </x:c>
      <x:c r="DO18" s="1049">
        <x:f t="shared" si="45"/>
        <x:v>0</x:v>
      </x:c>
      <x:c r="DP18" s="1053" t="str">
        <x:f t="shared" si="46"/>
        <x:v/>
      </x:c>
      <x:c r="DQ18" s="1053" t="str">
        <x:f t="shared" si="47"/>
        <x:v/>
      </x:c>
      <x:c r="DR18" s="1053" t="str">
        <x:f t="shared" si="48"/>
        <x:v/>
      </x:c>
      <x:c r="DS18" s="1052">
        <x:f t="shared" si="49"/>
        <x:v>0</x:v>
      </x:c>
      <x:c r="DT18" s="1052">
        <x:f t="shared" si="50"/>
        <x:v>0</x:v>
      </x:c>
      <x:c r="DU18" s="1052" t="str">
        <x:f t="shared" si="51"/>
        <x:v/>
      </x:c>
      <x:c r="DV18" s="1053" t="str">
        <x:f t="shared" si="52"/>
        <x:v/>
      </x:c>
      <x:c r="DW18" s="1053" t="str">
        <x:f t="shared" si="53"/>
        <x:v/>
      </x:c>
      <x:c r="DX18" s="1269">
        <x:f t="shared" si="54"/>
        <x:v>0</x:v>
      </x:c>
      <x:c r="DY18" s="1053">
        <x:f t="shared" si="55"/>
        <x:v>0</x:v>
      </x:c>
      <x:c r="DZ18" s="1052">
        <x:f t="shared" si="56"/>
        <x:v>0</x:v>
      </x:c>
      <x:c r="EA18" s="1052" t="str">
        <x:f t="shared" si="57"/>
        <x:v/>
      </x:c>
      <x:c r="EB18" s="1053" t="str">
        <x:f t="shared" si="58"/>
        <x:v/>
      </x:c>
      <x:c r="EC18" s="1053" t="str">
        <x:f t="shared" si="59"/>
        <x:v/>
      </x:c>
      <x:c r="ED18" s="1269">
        <x:f t="shared" si="60"/>
        <x:v>0</x:v>
      </x:c>
      <x:c r="EE18" s="1090" t="str">
        <x:f t="shared" si="61"/>
        <x:v/>
      </x:c>
      <x:c r="EF18" s="1053" t="str">
        <x:f t="shared" si="62"/>
        <x:v/>
      </x:c>
      <x:c r="EG18" s="1053" t="str">
        <x:f t="shared" si="63"/>
        <x:v/>
      </x:c>
      <x:c r="EH18" s="1053" t="str">
        <x:f t="shared" si="64"/>
        <x:v>ERR</x:v>
      </x:c>
      <x:c r="EI18" s="1053" t="str">
        <x:f t="shared" si="65"/>
        <x:v>ERR</x:v>
      </x:c>
      <x:c r="EJ18" s="1053" t="str">
        <x:f t="shared" si="66"/>
        <x:v/>
      </x:c>
      <x:c r="EK18" s="1053" t="str">
        <x:f t="shared" si="66"/>
        <x:v/>
      </x:c>
      <x:c r="EL18" s="1090" t="str">
        <x:f t="shared" si="67"/>
        <x:v/>
      </x:c>
      <x:c r="EM18" s="1053" t="str">
        <x:f t="shared" si="68"/>
        <x:v/>
      </x:c>
      <x:c r="EN18" s="1053" t="str">
        <x:f t="shared" si="69"/>
        <x:v/>
      </x:c>
      <x:c r="EO18" s="1053" t="str">
        <x:f t="shared" si="70"/>
        <x:v>ERR</x:v>
      </x:c>
      <x:c r="EP18" s="1053" t="str">
        <x:f t="shared" si="71"/>
        <x:v>ERR</x:v>
      </x:c>
      <x:c r="EQ18" s="1053" t="str">
        <x:f t="shared" si="72"/>
        <x:v/>
      </x:c>
      <x:c r="ER18" s="1053" t="str">
        <x:f t="shared" si="72"/>
        <x:v/>
      </x:c>
      <x:c r="ES18" s="1053" t="str">
        <x:f t="shared" si="73"/>
        <x:v/>
      </x:c>
      <x:c r="ET18" s="1053" t="str">
        <x:f t="shared" si="74"/>
        <x:v/>
      </x:c>
      <x:c r="EU18" s="1061">
        <x:f t="shared" si="75"/>
        <x:v>3.5</x:v>
      </x:c>
      <x:c r="EV18" s="1055" t="str">
        <x:f t="shared" si="76"/>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77"/>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78"/>
        <x:v/>
      </x:c>
      <x:c r="FD18" s="1052">
        <x:f t="shared" si="100"/>
        <x:v>0</x:v>
      </x:c>
      <x:c r="FE18" s="1052">
        <x:f t="shared" si="79"/>
        <x:v>0</x:v>
      </x:c>
      <x:c r="FF18" s="1052">
        <x:f t="shared" si="80"/>
        <x:v>0</x:v>
      </x:c>
      <x:c r="FG18" s="1052" t="str">
        <x:f t="shared" si="81"/>
        <x:v/>
      </x:c>
      <x:c r="FH18" s="1053" t="str">
        <x:f t="shared" si="82"/>
        <x:v/>
      </x:c>
      <x:c r="FI18" s="1052">
        <x:f t="shared" si="101"/>
        <x:v>0</x:v>
      </x:c>
      <x:c r="FJ18" s="1052">
        <x:f t="shared" si="83"/>
        <x:v>0</x:v>
      </x:c>
      <x:c r="FK18" s="1052">
        <x:f t="shared" si="84"/>
        <x:v>0</x:v>
      </x:c>
      <x:c r="FL18" s="1052" t="str">
        <x:f t="shared" si="85"/>
        <x:v/>
      </x:c>
      <x:c r="FM18" s="1053" t="str">
        <x:f t="shared" si="86"/>
        <x:v/>
      </x:c>
      <x:c r="FN18" s="1053" t="e">
        <x:f t="shared" si="87"/>
        <x:v>#VALUE!</x:v>
      </x:c>
      <x:c r="FO18" s="1062" t="e">
        <x:f t="shared" si="88"/>
        <x:v>#VALUE!</x:v>
      </x:c>
      <x:c r="FP18" s="1062" t="e">
        <x:f t="shared" si="89"/>
        <x:v>#VALUE!</x:v>
      </x:c>
      <x:c r="FQ18" s="1063" t="e">
        <x:f t="shared" si="90"/>
        <x:v>#VALUE!</x:v>
      </x:c>
      <x:c r="FR18" s="1064" t="e">
        <x:f t="shared" si="91"/>
        <x:v>#VALUE!</x:v>
      </x:c>
      <x:c r="FS18" s="1065" t="str">
        <x:f t="shared" si="92"/>
        <x:v/>
      </x:c>
      <x:c r="FT18" s="1066" t="str">
        <x:f t="shared" si="93"/>
        <x:v/>
      </x:c>
      <x:c r="FU18" s="1105">
        <x:f t="shared" si="94"/>
        <x:v>0</x:v>
      </x:c>
      <x:c r="FV18" s="1106">
        <x:f t="shared" si="95"/>
        <x:v>0</x:v>
      </x:c>
      <x:c r="GA18" s="1975">
        <x:v>50</x:v>
      </x:c>
      <x:c r="GB18" s="1976">
        <x:v>0</x:v>
      </x:c>
      <x:c r="GC18" s="1977">
        <x:v>-0.25</x:v>
      </x:c>
      <x:c r="GD18" s="1978">
        <x:v>-0.25</x:v>
      </x:c>
      <x:c r="GE18" s="1979">
        <x:v>-0.23530391067547951</x:v>
      </x:c>
      <x:c r="GF18" s="1980" t="str">
        <x:f t="shared" si="96"/>
        <x:v>J144</x:v>
      </x:c>
      <x:c r="GG18" s="1453"/>
      <x:c r="GH18" s="1454"/>
      <x:c r="GI18" s="1453"/>
      <x:c r="GJ18" s="1454"/>
      <x:c r="GK18" s="533">
        <x:f t="shared" si="97"/>
        <x:v>599.5</x:v>
      </x:c>
      <x:c r="GL18" s="534">
        <x:f t="shared" si="98"/>
        <x:v>599.61524265345599</x:v>
      </x:c>
      <x:c r="GM18" s="535">
        <x:f>IF(ABS(GK18-GL18)&gt;='Job Info.'!$L$22,ABS(GK18-GL18),0)</x:f>
        <x:v>0</x:v>
      </x:c>
      <x:c r="HA18" s="1658" t="s">
        <x:v>1468</x:v>
      </x:c>
      <x:c r="HB18" s="1659">
        <x:v>153</x:v>
      </x:c>
      <x:c r="HC18" s="1659" t="s">
        <x:v>1979</x:v>
      </x:c>
      <x:c r="HD18" s="1660">
        <x:v>49</x:v>
      </x:c>
      <x:c r="HE18" s="1661">
        <x:v>11.5</x:v>
      </x:c>
      <x:c r="HF18" s="1659">
        <x:v>0</x:v>
      </x:c>
      <x:c r="HG18" s="1659">
        <x:v>1.375</x:v>
      </x:c>
      <x:c r="HH18" s="1659" t="s">
        <x:v>114</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2166</x:v>
      </x:c>
      <x:c r="IB18" s="1661"/>
      <x:c r="IC18" s="1661"/>
      <x:c r="ID18" s="1661"/>
      <x:c r="IE18" s="1661"/>
      <x:c r="IF18" s="1663"/>
    </x:row>
    <x:row r="19" spans="1:240" ht="12.6" customHeight="1" x14ac:dyDescent="0.25">
      <x:c r="A19" s="1264" t="s">
        <x:v>1469</x:v>
      </x:c>
      <x:c r="B19" s="1265">
        <x:v>22</x:v>
      </x:c>
      <x:c r="C19" s="1265" t="s">
        <x:v>1979</x:v>
      </x:c>
      <x:c r="D19" s="1261">
        <x:v>49</x:v>
      </x:c>
      <x:c r="E19" s="1366">
        <x:v>11.5</x:v>
      </x:c>
      <x:c r="F19" s="1328">
        <x:v>0</x:v>
      </x:c>
      <x:c r="G19" s="1262">
        <x:v>1.375</x:v>
      </x:c>
      <x:c r="H19" s="1266" t="s">
        <x:v>114</x:v>
      </x:c>
      <x:c r="I19" s="1261">
        <x:v>0</x:v>
      </x:c>
      <x:c r="J19" s="1262">
        <x:v>1.375</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si="102"/>
        <x:v/>
      </x:c>
      <x:c r="U19" s="1262" t="str">
        <x:f t="shared" si="103"/>
        <x:v/>
      </x:c>
      <x:c r="V19" s="1261" t="str">
        <x:f t="shared" si="104"/>
        <x:v/>
      </x:c>
      <x:c r="W19" s="1262" t="str">
        <x:f t="shared" si="105"/>
        <x:v/>
      </x:c>
      <x:c r="X19" s="1329">
        <x:f t="shared" si="106"/>
        <x:v>0</x:v>
      </x:c>
      <x:c r="Y19" s="1377" t="str">
        <x:f t="shared" si="7"/>
        <x:v/>
      </x:c>
      <x:c r="Z19" s="1378" t="str">
        <x:f t="shared" si="8"/>
        <x:v/>
      </x:c>
      <x:c r="AA19" s="2159" t="s">
        <x:v>2167</x:v>
      </x:c>
      <x:c r="AC19" s="1226" t="b">
        <x:v>0</x:v>
      </x:c>
      <x:c r="AD19" s="525">
        <x:f t="shared" si="9"/>
        <x:v>22</x:v>
      </x:c>
      <x:c r="AE19" s="526">
        <x:f t="shared" si="10"/>
        <x:v>0</x:v>
      </x:c>
      <x:c r="AF19" s="526">
        <x:f t="shared" si="11"/>
        <x:v>0</x:v>
      </x:c>
      <x:c r="AG19" s="526">
        <x:f t="shared" si="12"/>
        <x:v>0</x:v>
      </x:c>
      <x:c r="AH19" s="527">
        <x:f t="shared" si="13"/>
        <x:v>0</x:v>
      </x:c>
      <x:c r="AI19" s="528" t="b">
        <x:v>0</x:v>
      </x:c>
      <x:c r="AJ19" s="284">
        <x:f t="shared" si="14"/>
        <x:v>30</x:v>
      </x:c>
      <x:c r="AK19" s="1063" t="str">
        <x:f t="shared" si="15"/>
        <x:v>K</x:v>
      </x:c>
      <x:c r="AL19" s="1202" t="str">
        <x:f t="shared" si="16"/>
        <x:v/>
      </x:c>
      <x:c r="AM19" s="1063">
        <x:f t="shared" si="17"/>
        <x:v>240</x:v>
      </x:c>
      <x:c r="AN19" s="1063">
        <x:f t="shared" si="18"/>
        <x:v>140</x:v>
      </x:c>
      <x:c r="AO19" s="1063" t="str">
        <x:f t="shared" si="19"/>
        <x:v/>
      </x:c>
      <x:c r="AP19" s="1063" t="b">
        <x:f>IF(ISERROR(AJ19),FALSE,IF(OR(AJ19=0,ISERROR(AL19),ISERROR(AM19),ISERROR(AN19),ISERROR(AO19)),FALSE,IF(AL19&lt;&gt;"",IF(ISERROR(VLOOKUP(SUBSTITUTE(SUBSTITUTE(C19,"R",""),"A",""),TblJoistSize!$A:$A,1,FALSE)),FALSE,TRUE),TRUE)))</x:f>
        <x:v>1</x:v>
      </x:c>
      <x:c r="AQ19" s="1305">
        <x:f t="shared" si="20"/>
        <x:v>5.375</x:v>
      </x:c>
      <x:c r="AR19" s="1305" t="b">
        <x:f t="shared" si="21"/>
        <x:v>0</x:v>
      </x:c>
      <x:c r="AS19" s="1305">
        <x:f t="shared" si="22"/>
        <x:v>5.375</x:v>
      </x:c>
      <x:c r="AT19" s="1305" t="b">
        <x:f t="shared" si="23"/>
        <x:v>0</x:v>
      </x:c>
      <x:c r="AU19" s="1203" t="str">
        <x:f t="shared" si="24"/>
        <x:v>K</x:v>
      </x:c>
      <x:c r="AV19" s="1063" t="str">
        <x:f t="shared" si="25"/>
        <x:v>K</x:v>
      </x:c>
      <x:c r="AW19" s="1063" t="str">
        <x:f t="shared" si="26"/>
        <x:v/>
      </x:c>
      <x:c r="AX19" s="1063" t="str">
        <x:f t="shared" si="99"/>
        <x:v>J145</x:v>
      </x:c>
      <x:c r="AY19" s="1306" t="b">
        <x:f t="shared" si="27"/>
        <x:v>0</x:v>
      </x:c>
      <x:c r="AZ19" s="1090" t="b">
        <x:f t="shared" si="28"/>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29"/>
        <x:v/>
      </x:c>
      <x:c r="CE19" s="935" t="str">
        <x:f t="shared" si="30"/>
        <x:v/>
      </x:c>
      <x:c r="CF19" s="1149"/>
      <x:c r="CG19" s="1150"/>
      <x:c r="CH19" s="738" t="str">
        <x:f t="shared" si="31"/>
        <x:v/>
      </x:c>
      <x:c r="CI19" s="739" t="str">
        <x:f t="shared" si="32"/>
        <x:v/>
      </x:c>
      <x:c r="CJ19" s="740" t="str">
        <x:f t="shared" si="33"/>
        <x:v/>
      </x:c>
      <x:c r="CK19" s="741" t="str">
        <x:f t="shared" si="34"/>
        <x:v/>
      </x:c>
      <x:c r="CL19" s="742" t="str">
        <x:f t="shared" si="35"/>
        <x:v/>
      </x:c>
      <x:c r="CM19" s="743" t="str">
        <x:f t="shared" si="36"/>
        <x:v/>
      </x:c>
      <x:c r="CN19" s="744" t="str">
        <x:f t="shared" si="37"/>
        <x:v/>
      </x:c>
      <x:c r="CO19" s="745" t="str">
        <x:f t="shared" si="38"/>
        <x:v/>
      </x:c>
      <x:c r="CP19" s="762" t="str">
        <x:f t="shared" si="39"/>
        <x:v/>
      </x:c>
      <x:c r="CQ19" s="763" t="str">
        <x:f t="shared" si="40"/>
        <x:v/>
      </x:c>
      <x:c r="CR19" s="953">
        <x:f t="shared" si="41"/>
        <x:v>2.5</x:v>
      </x:c>
      <x:c r="CS19" s="954">
        <x:f t="shared" si="42"/>
        <x:v>2.5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3"/>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4"/>
        <x:v>0</x:v>
      </x:c>
      <x:c r="DO19" s="1049">
        <x:f t="shared" si="45"/>
        <x:v>0</x:v>
      </x:c>
      <x:c r="DP19" s="1053" t="str">
        <x:f t="shared" si="46"/>
        <x:v/>
      </x:c>
      <x:c r="DQ19" s="1053" t="str">
        <x:f t="shared" si="47"/>
        <x:v/>
      </x:c>
      <x:c r="DR19" s="1053" t="str">
        <x:f t="shared" si="48"/>
        <x:v/>
      </x:c>
      <x:c r="DS19" s="1052">
        <x:f t="shared" si="49"/>
        <x:v>0</x:v>
      </x:c>
      <x:c r="DT19" s="1052">
        <x:f t="shared" si="50"/>
        <x:v>0</x:v>
      </x:c>
      <x:c r="DU19" s="1052" t="str">
        <x:f t="shared" si="51"/>
        <x:v/>
      </x:c>
      <x:c r="DV19" s="1053" t="str">
        <x:f t="shared" si="52"/>
        <x:v/>
      </x:c>
      <x:c r="DW19" s="1053" t="str">
        <x:f t="shared" si="53"/>
        <x:v/>
      </x:c>
      <x:c r="DX19" s="1269">
        <x:f t="shared" si="54"/>
        <x:v>0</x:v>
      </x:c>
      <x:c r="DY19" s="1053">
        <x:f t="shared" si="55"/>
        <x:v>0</x:v>
      </x:c>
      <x:c r="DZ19" s="1052">
        <x:f t="shared" si="56"/>
        <x:v>0</x:v>
      </x:c>
      <x:c r="EA19" s="1052" t="str">
        <x:f t="shared" si="57"/>
        <x:v/>
      </x:c>
      <x:c r="EB19" s="1053" t="str">
        <x:f t="shared" si="58"/>
        <x:v/>
      </x:c>
      <x:c r="EC19" s="1053" t="str">
        <x:f t="shared" si="59"/>
        <x:v/>
      </x:c>
      <x:c r="ED19" s="1269">
        <x:f t="shared" si="60"/>
        <x:v>0</x:v>
      </x:c>
      <x:c r="EE19" s="1090" t="str">
        <x:f t="shared" si="61"/>
        <x:v/>
      </x:c>
      <x:c r="EF19" s="1053" t="str">
        <x:f t="shared" si="62"/>
        <x:v/>
      </x:c>
      <x:c r="EG19" s="1053" t="str">
        <x:f t="shared" si="63"/>
        <x:v/>
      </x:c>
      <x:c r="EH19" s="1053" t="str">
        <x:f t="shared" si="64"/>
        <x:v>ERR</x:v>
      </x:c>
      <x:c r="EI19" s="1053" t="str">
        <x:f t="shared" si="65"/>
        <x:v>ERR</x:v>
      </x:c>
      <x:c r="EJ19" s="1053" t="str">
        <x:f t="shared" si="66"/>
        <x:v/>
      </x:c>
      <x:c r="EK19" s="1053" t="str">
        <x:f t="shared" si="66"/>
        <x:v/>
      </x:c>
      <x:c r="EL19" s="1090" t="str">
        <x:f t="shared" si="67"/>
        <x:v/>
      </x:c>
      <x:c r="EM19" s="1053" t="str">
        <x:f t="shared" si="68"/>
        <x:v/>
      </x:c>
      <x:c r="EN19" s="1053" t="str">
        <x:f t="shared" si="69"/>
        <x:v/>
      </x:c>
      <x:c r="EO19" s="1053" t="str">
        <x:f t="shared" si="70"/>
        <x:v>ERR</x:v>
      </x:c>
      <x:c r="EP19" s="1053" t="str">
        <x:f t="shared" si="71"/>
        <x:v>ERR</x:v>
      </x:c>
      <x:c r="EQ19" s="1053" t="str">
        <x:f t="shared" si="72"/>
        <x:v/>
      </x:c>
      <x:c r="ER19" s="1053" t="str">
        <x:f t="shared" si="72"/>
        <x:v/>
      </x:c>
      <x:c r="ES19" s="1053" t="str">
        <x:f t="shared" si="73"/>
        <x:v/>
      </x:c>
      <x:c r="ET19" s="1053" t="str">
        <x:f t="shared" si="74"/>
        <x:v/>
      </x:c>
      <x:c r="EU19" s="1061">
        <x:f t="shared" si="75"/>
        <x:v>3.5</x:v>
      </x:c>
      <x:c r="EV19" s="1055" t="str">
        <x:f t="shared" si="76"/>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77"/>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78"/>
        <x:v/>
      </x:c>
      <x:c r="FD19" s="1052">
        <x:f t="shared" si="100"/>
        <x:v>0</x:v>
      </x:c>
      <x:c r="FE19" s="1052">
        <x:f t="shared" si="79"/>
        <x:v>0</x:v>
      </x:c>
      <x:c r="FF19" s="1052">
        <x:f t="shared" si="80"/>
        <x:v>0</x:v>
      </x:c>
      <x:c r="FG19" s="1052" t="str">
        <x:f t="shared" si="81"/>
        <x:v/>
      </x:c>
      <x:c r="FH19" s="1053" t="str">
        <x:f t="shared" si="82"/>
        <x:v/>
      </x:c>
      <x:c r="FI19" s="1052">
        <x:f t="shared" si="101"/>
        <x:v>0</x:v>
      </x:c>
      <x:c r="FJ19" s="1052">
        <x:f t="shared" si="83"/>
        <x:v>0</x:v>
      </x:c>
      <x:c r="FK19" s="1052">
        <x:f t="shared" si="84"/>
        <x:v>0</x:v>
      </x:c>
      <x:c r="FL19" s="1052" t="str">
        <x:f t="shared" si="85"/>
        <x:v/>
      </x:c>
      <x:c r="FM19" s="1053" t="str">
        <x:f t="shared" si="86"/>
        <x:v/>
      </x:c>
      <x:c r="FN19" s="1053" t="e">
        <x:f t="shared" si="87"/>
        <x:v>#VALUE!</x:v>
      </x:c>
      <x:c r="FO19" s="1062" t="e">
        <x:f t="shared" si="88"/>
        <x:v>#VALUE!</x:v>
      </x:c>
      <x:c r="FP19" s="1062" t="e">
        <x:f t="shared" si="89"/>
        <x:v>#VALUE!</x:v>
      </x:c>
      <x:c r="FQ19" s="1063" t="e">
        <x:f t="shared" si="90"/>
        <x:v>#VALUE!</x:v>
      </x:c>
      <x:c r="FR19" s="1064" t="e">
        <x:f t="shared" si="91"/>
        <x:v>#VALUE!</x:v>
      </x:c>
      <x:c r="FS19" s="1065" t="str">
        <x:f t="shared" si="92"/>
        <x:v/>
      </x:c>
      <x:c r="FT19" s="1066" t="str">
        <x:f t="shared" si="93"/>
        <x:v/>
      </x:c>
      <x:c r="FU19" s="1105">
        <x:f t="shared" si="94"/>
        <x:v>0</x:v>
      </x:c>
      <x:c r="FV19" s="1106">
        <x:f t="shared" si="95"/>
        <x:v>0</x:v>
      </x:c>
      <x:c r="GA19" s="1975">
        <x:v>50</x:v>
      </x:c>
      <x:c r="GB19" s="1976">
        <x:v>0</x:v>
      </x:c>
      <x:c r="GC19" s="1977">
        <x:v>-0.25</x:v>
      </x:c>
      <x:c r="GD19" s="1978">
        <x:v>-0.25</x:v>
      </x:c>
      <x:c r="GE19" s="1979">
        <x:v>-0.26</x:v>
      </x:c>
      <x:c r="GF19" s="1980" t="str">
        <x:f t="shared" si="96"/>
        <x:v>J145</x:v>
      </x:c>
      <x:c r="GG19" s="1453"/>
      <x:c r="GH19" s="1454"/>
      <x:c r="GI19" s="1453"/>
      <x:c r="GJ19" s="1454"/>
      <x:c r="GK19" s="533">
        <x:f t="shared" si="97"/>
        <x:v>599.5</x:v>
      </x:c>
      <x:c r="GL19" s="534">
        <x:f t="shared" si="98"/>
        <x:v>599.6406994615146</x:v>
      </x:c>
      <x:c r="GM19" s="535">
        <x:f>IF(ABS(GK19-GL19)&gt;='Job Info.'!$L$22,ABS(GK19-GL19),0)</x:f>
        <x:v>0</x:v>
      </x:c>
      <x:c r="HA19" s="1658" t="s">
        <x:v>1469</x:v>
      </x:c>
      <x:c r="HB19" s="1659">
        <x:v>22</x:v>
      </x:c>
      <x:c r="HC19" s="1659" t="s">
        <x:v>1979</x:v>
      </x:c>
      <x:c r="HD19" s="1660">
        <x:v>49</x:v>
      </x:c>
      <x:c r="HE19" s="1661">
        <x:v>11.5</x:v>
      </x:c>
      <x:c r="HF19" s="1659">
        <x:v>0</x:v>
      </x:c>
      <x:c r="HG19" s="1659">
        <x:v>1.375</x:v>
      </x:c>
      <x:c r="HH19" s="1659" t="s">
        <x:v>114</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2167</x:v>
      </x:c>
      <x:c r="IB19" s="1661"/>
      <x:c r="IC19" s="1661"/>
      <x:c r="ID19" s="1661"/>
      <x:c r="IE19" s="1661"/>
      <x:c r="IF19" s="1663"/>
    </x:row>
    <x:row r="20" spans="1:240" ht="12.6" customHeight="1" x14ac:dyDescent="0.25">
      <x:c r="A20" s="1264" t="s">
        <x:v>1470</x:v>
      </x:c>
      <x:c r="B20" s="1265">
        <x:v>2</x:v>
      </x:c>
      <x:c r="C20" s="1265" t="s">
        <x:v>1979</x:v>
      </x:c>
      <x:c r="D20" s="1261">
        <x:v>49</x:v>
      </x:c>
      <x:c r="E20" s="1366">
        <x:v>10</x:v>
      </x:c>
      <x:c r="F20" s="1328">
        <x:v>0</x:v>
      </x:c>
      <x:c r="G20" s="1262">
        <x:v>0.625</x:v>
      </x:c>
      <x:c r="H20" s="1266" t="s">
        <x:v>114</x:v>
      </x:c>
      <x:c r="I20" s="1261">
        <x:v>0</x:v>
      </x:c>
      <x:c r="J20" s="1262">
        <x:v>0.625</x:v>
      </x:c>
      <x:c r="K20" s="1370" t="s">
        <x:v>114</x:v>
      </x:c>
      <x:c r="L20" s="1327">
        <x:v>3</x:v>
      </x:c>
      <x:c r="M20" s="1329">
        <x:v>3</x:v>
      </x:c>
      <x:c r="N20" s="1263">
        <x:v>0</x:v>
      </x:c>
      <x:c r="O20" s="1262">
        <x:v>6.625</x:v>
      </x:c>
      <x:c r="P20" s="1260">
        <x:v>2</x:v>
      </x:c>
      <x:c r="Q20" s="1261">
        <x:v>0</x:v>
      </x:c>
      <x:c r="R20" s="1262">
        <x:v>5.375</x:v>
      </x:c>
      <x:c r="S20" s="1375">
        <x:v>2</x:v>
      </x:c>
      <x:c r="T20" s="1328">
        <x:v>0</x:v>
      </x:c>
      <x:c r="U20" s="1262">
        <x:v>1.5</x:v>
      </x:c>
      <x:c r="V20" s="1261">
        <x:v>0</x:v>
      </x:c>
      <x:c r="W20" s="1262">
        <x:v>1.5</x:v>
      </x:c>
      <x:c r="X20" s="1329">
        <x:v>4</x:v>
      </x:c>
      <x:c r="Y20" s="1377" t="str">
        <x:f t="shared" si="7"/>
        <x:v/>
      </x:c>
      <x:c r="Z20" s="1378" t="str">
        <x:f t="shared" si="8"/>
        <x:v/>
      </x:c>
      <x:c r="AA20" s="2159" t="s">
        <x:v>2171</x:v>
      </x:c>
      <x:c r="AC20" s="1226" t="b">
        <x:v>0</x:v>
      </x:c>
      <x:c r="AD20" s="525">
        <x:f t="shared" si="9"/>
        <x:v>2</x:v>
      </x:c>
      <x:c r="AE20" s="526">
        <x:f t="shared" si="10"/>
        <x:v>0</x:v>
      </x:c>
      <x:c r="AF20" s="526">
        <x:f t="shared" si="11"/>
        <x:v>0</x:v>
      </x:c>
      <x:c r="AG20" s="526">
        <x:f t="shared" si="12"/>
        <x:v>0</x:v>
      </x:c>
      <x:c r="AH20" s="527">
        <x:f t="shared" si="13"/>
        <x:v>0</x:v>
      </x:c>
      <x:c r="AI20" s="528" t="b">
        <x:v>0</x:v>
      </x:c>
      <x:c r="AJ20" s="284">
        <x:f t="shared" si="14"/>
        <x:v>30</x:v>
      </x:c>
      <x:c r="AK20" s="1063" t="str">
        <x:f t="shared" si="15"/>
        <x:v>K</x:v>
      </x:c>
      <x:c r="AL20" s="1202" t="str">
        <x:f t="shared" si="16"/>
        <x:v/>
      </x:c>
      <x:c r="AM20" s="1063">
        <x:f t="shared" si="17"/>
        <x:v>240</x:v>
      </x:c>
      <x:c r="AN20" s="1063">
        <x:f t="shared" si="18"/>
        <x:v>140</x:v>
      </x:c>
      <x:c r="AO20" s="1063" t="str">
        <x:f t="shared" si="19"/>
        <x:v/>
      </x:c>
      <x:c r="AP20" s="1063" t="b">
        <x:f>IF(ISERROR(AJ20),FALSE,IF(OR(AJ20=0,ISERROR(AL20),ISERROR(AM20),ISERROR(AN20),ISERROR(AO20)),FALSE,IF(AL20&lt;&gt;"",IF(ISERROR(VLOOKUP(SUBSTITUTE(SUBSTITUTE(C20,"R",""),"A",""),TblJoistSize!$A:$A,1,FALSE)),FALSE,TRUE),TRUE)))</x:f>
        <x:v>1</x:v>
      </x:c>
      <x:c r="AQ20" s="1305">
        <x:f t="shared" si="20"/>
        <x:v>4.625</x:v>
      </x:c>
      <x:c r="AR20" s="1305" t="b">
        <x:f t="shared" si="21"/>
        <x:v>1</x:v>
      </x:c>
      <x:c r="AS20" s="1305">
        <x:f t="shared" si="22"/>
        <x:v>4.625</x:v>
      </x:c>
      <x:c r="AT20" s="1305" t="b">
        <x:f t="shared" si="23"/>
        <x:v>1</x:v>
      </x:c>
      <x:c r="AU20" s="1203" t="str">
        <x:f t="shared" si="24"/>
        <x:v>K</x:v>
      </x:c>
      <x:c r="AV20" s="1063" t="str">
        <x:f t="shared" si="25"/>
        <x:v>K</x:v>
      </x:c>
      <x:c r="AW20" s="1063" t="str">
        <x:f t="shared" si="26"/>
        <x:v/>
      </x:c>
      <x:c r="AX20" s="1063" t="str">
        <x:f t="shared" si="99"/>
        <x:v>TJ146</x:v>
      </x:c>
      <x:c r="AY20" s="1306" t="b">
        <x:f t="shared" si="27"/>
        <x:v>0</x:v>
      </x:c>
      <x:c r="AZ20" s="1090" t="b">
        <x:f t="shared" si="28"/>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29"/>
        <x:v/>
      </x:c>
      <x:c r="CE20" s="935" t="str">
        <x:f t="shared" si="30"/>
        <x:v/>
      </x:c>
      <x:c r="CF20" s="1149"/>
      <x:c r="CG20" s="1150"/>
      <x:c r="CH20" s="738" t="str">
        <x:f t="shared" si="31"/>
        <x:v/>
      </x:c>
      <x:c r="CI20" s="739" t="str">
        <x:f t="shared" si="32"/>
        <x:v/>
      </x:c>
      <x:c r="CJ20" s="740" t="str">
        <x:f t="shared" si="33"/>
        <x:v/>
      </x:c>
      <x:c r="CK20" s="741" t="str">
        <x:f t="shared" si="34"/>
        <x:v/>
      </x:c>
      <x:c r="CL20" s="742" t="str">
        <x:f t="shared" si="35"/>
        <x:v/>
      </x:c>
      <x:c r="CM20" s="743" t="str">
        <x:f t="shared" si="36"/>
        <x:v/>
      </x:c>
      <x:c r="CN20" s="744" t="str">
        <x:f t="shared" si="37"/>
        <x:v/>
      </x:c>
      <x:c r="CO20" s="745" t="str">
        <x:f t="shared" si="38"/>
        <x:v/>
      </x:c>
      <x:c r="CP20" s="762" t="str">
        <x:f t="shared" si="39"/>
        <x:v/>
      </x:c>
      <x:c r="CQ20" s="763" t="str">
        <x:f t="shared" si="40"/>
        <x:v/>
      </x:c>
      <x:c r="CR20" s="953">
        <x:f t="shared" si="41"/>
        <x:v>2.5</x:v>
      </x:c>
      <x:c r="CS20" s="954">
        <x:f t="shared" si="42"/>
        <x:v>2.5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3"/>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4"/>
        <x:v>0</x:v>
      </x:c>
      <x:c r="DO20" s="1049">
        <x:f t="shared" si="45"/>
        <x:v>0</x:v>
      </x:c>
      <x:c r="DP20" s="1053" t="str">
        <x:f t="shared" si="46"/>
        <x:v/>
      </x:c>
      <x:c r="DQ20" s="1053" t="str">
        <x:f t="shared" si="47"/>
        <x:v/>
      </x:c>
      <x:c r="DR20" s="1053" t="str">
        <x:f t="shared" si="48"/>
        <x:v/>
      </x:c>
      <x:c r="DS20" s="1052">
        <x:f t="shared" si="49"/>
        <x:v>0</x:v>
      </x:c>
      <x:c r="DT20" s="1052">
        <x:f t="shared" si="50"/>
        <x:v>0</x:v>
      </x:c>
      <x:c r="DU20" s="1052" t="str">
        <x:f t="shared" si="51"/>
        <x:v/>
      </x:c>
      <x:c r="DV20" s="1053" t="str">
        <x:f t="shared" si="52"/>
        <x:v/>
      </x:c>
      <x:c r="DW20" s="1053" t="str">
        <x:f t="shared" si="53"/>
        <x:v/>
      </x:c>
      <x:c r="DX20" s="1269">
        <x:f t="shared" si="54"/>
        <x:v>0</x:v>
      </x:c>
      <x:c r="DY20" s="1053">
        <x:f t="shared" si="55"/>
        <x:v>0</x:v>
      </x:c>
      <x:c r="DZ20" s="1052">
        <x:f t="shared" si="56"/>
        <x:v>0</x:v>
      </x:c>
      <x:c r="EA20" s="1052" t="str">
        <x:f t="shared" si="57"/>
        <x:v/>
      </x:c>
      <x:c r="EB20" s="1053" t="str">
        <x:f t="shared" si="58"/>
        <x:v/>
      </x:c>
      <x:c r="EC20" s="1053" t="str">
        <x:f t="shared" si="59"/>
        <x:v/>
      </x:c>
      <x:c r="ED20" s="1269">
        <x:f t="shared" si="60"/>
        <x:v>0</x:v>
      </x:c>
      <x:c r="EE20" s="1090" t="str">
        <x:f t="shared" si="61"/>
        <x:v/>
      </x:c>
      <x:c r="EF20" s="1053" t="str">
        <x:f t="shared" si="62"/>
        <x:v/>
      </x:c>
      <x:c r="EG20" s="1053" t="str">
        <x:f t="shared" si="63"/>
        <x:v/>
      </x:c>
      <x:c r="EH20" s="1053" t="str">
        <x:f t="shared" si="64"/>
        <x:v>ERR</x:v>
      </x:c>
      <x:c r="EI20" s="1053" t="str">
        <x:f t="shared" si="65"/>
        <x:v>ERR</x:v>
      </x:c>
      <x:c r="EJ20" s="1053" t="str">
        <x:f t="shared" si="66"/>
        <x:v/>
      </x:c>
      <x:c r="EK20" s="1053" t="str">
        <x:f t="shared" si="66"/>
        <x:v/>
      </x:c>
      <x:c r="EL20" s="1090" t="str">
        <x:f t="shared" si="67"/>
        <x:v/>
      </x:c>
      <x:c r="EM20" s="1053" t="str">
        <x:f t="shared" si="68"/>
        <x:v/>
      </x:c>
      <x:c r="EN20" s="1053" t="str">
        <x:f t="shared" si="69"/>
        <x:v/>
      </x:c>
      <x:c r="EO20" s="1053" t="str">
        <x:f t="shared" si="70"/>
        <x:v>ERR</x:v>
      </x:c>
      <x:c r="EP20" s="1053" t="str">
        <x:f t="shared" si="71"/>
        <x:v>ERR</x:v>
      </x:c>
      <x:c r="EQ20" s="1053" t="str">
        <x:f t="shared" si="72"/>
        <x:v/>
      </x:c>
      <x:c r="ER20" s="1053" t="str">
        <x:f t="shared" si="72"/>
        <x:v/>
      </x:c>
      <x:c r="ES20" s="1053" t="str">
        <x:f t="shared" si="73"/>
        <x:v/>
      </x:c>
      <x:c r="ET20" s="1053" t="str">
        <x:f t="shared" si="74"/>
        <x:v/>
      </x:c>
      <x:c r="EU20" s="1061">
        <x:f t="shared" si="75"/>
        <x:v>3.5</x:v>
      </x:c>
      <x:c r="EV20" s="1055" t="str">
        <x:f t="shared" si="76"/>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77"/>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78"/>
        <x:v/>
      </x:c>
      <x:c r="FD20" s="1052">
        <x:f t="shared" si="100"/>
        <x:v>0</x:v>
      </x:c>
      <x:c r="FE20" s="1052">
        <x:f t="shared" si="79"/>
        <x:v>0</x:v>
      </x:c>
      <x:c r="FF20" s="1052">
        <x:f t="shared" si="80"/>
        <x:v>0</x:v>
      </x:c>
      <x:c r="FG20" s="1052" t="str">
        <x:f t="shared" si="81"/>
        <x:v/>
      </x:c>
      <x:c r="FH20" s="1053" t="str">
        <x:f t="shared" si="82"/>
        <x:v/>
      </x:c>
      <x:c r="FI20" s="1052">
        <x:f t="shared" si="101"/>
        <x:v>0</x:v>
      </x:c>
      <x:c r="FJ20" s="1052">
        <x:f t="shared" si="83"/>
        <x:v>0</x:v>
      </x:c>
      <x:c r="FK20" s="1052">
        <x:f t="shared" si="84"/>
        <x:v>0</x:v>
      </x:c>
      <x:c r="FL20" s="1052" t="str">
        <x:f t="shared" si="85"/>
        <x:v/>
      </x:c>
      <x:c r="FM20" s="1053" t="str">
        <x:f t="shared" si="86"/>
        <x:v/>
      </x:c>
      <x:c r="FN20" s="1053" t="e">
        <x:f t="shared" si="87"/>
        <x:v>#VALUE!</x:v>
      </x:c>
      <x:c r="FO20" s="1062" t="e">
        <x:f t="shared" si="88"/>
        <x:v>#VALUE!</x:v>
      </x:c>
      <x:c r="FP20" s="1062" t="e">
        <x:f t="shared" si="89"/>
        <x:v>#VALUE!</x:v>
      </x:c>
      <x:c r="FQ20" s="1063" t="e">
        <x:f t="shared" si="90"/>
        <x:v>#VALUE!</x:v>
      </x:c>
      <x:c r="FR20" s="1064" t="e">
        <x:f t="shared" si="91"/>
        <x:v>#VALUE!</x:v>
      </x:c>
      <x:c r="FS20" s="1065" t="str">
        <x:f t="shared" si="92"/>
        <x:v/>
      </x:c>
      <x:c r="FT20" s="1066" t="str">
        <x:f t="shared" si="93"/>
        <x:v/>
      </x:c>
      <x:c r="FU20" s="1105">
        <x:f t="shared" si="94"/>
        <x:v>0</x:v>
      </x:c>
      <x:c r="FV20" s="1106">
        <x:f t="shared" si="95"/>
        <x:v>0</x:v>
      </x:c>
      <x:c r="GA20" s="1975">
        <x:v>50</x:v>
      </x:c>
      <x:c r="GB20" s="1976">
        <x:v>0</x:v>
      </x:c>
      <x:c r="GC20" s="1977">
        <x:v>-1</x:v>
      </x:c>
      <x:c r="GD20" s="1978">
        <x:v>-1</x:v>
      </x:c>
      <x:c r="GE20" s="1979">
        <x:v>-0.26</x:v>
      </x:c>
      <x:c r="GF20" s="1980" t="str">
        <x:f t="shared" si="96"/>
        <x:v>TJ146</x:v>
      </x:c>
      <x:c r="GG20" s="1453"/>
      <x:c r="GH20" s="1454"/>
      <x:c r="GI20" s="1453"/>
      <x:c r="GJ20" s="1454"/>
      <x:c r="GK20" s="533">
        <x:f t="shared" si="97"/>
        <x:v>598</x:v>
      </x:c>
      <x:c r="GL20" s="534">
        <x:f t="shared" si="98"/>
        <x:v>598.1403474194924</x:v>
      </x:c>
      <x:c r="GM20" s="535">
        <x:f>IF(ABS(GK20-GL20)&gt;='Job Info.'!$L$22,ABS(GK20-GL20),0)</x:f>
        <x:v>0</x:v>
      </x:c>
      <x:c r="HA20" s="1658" t="s">
        <x:v>1470</x:v>
      </x:c>
      <x:c r="HB20" s="1659">
        <x:v>2</x:v>
      </x:c>
      <x:c r="HC20" s="1659" t="s">
        <x:v>1979</x:v>
      </x:c>
      <x:c r="HD20" s="1660">
        <x:v>49</x:v>
      </x:c>
      <x:c r="HE20" s="1661">
        <x:v>10</x:v>
      </x:c>
      <x:c r="HF20" s="1659">
        <x:v>0</x:v>
      </x:c>
      <x:c r="HG20" s="1659">
        <x:v>0.625</x:v>
      </x:c>
      <x:c r="HH20" s="1659" t="s">
        <x:v>114</x:v>
      </x:c>
      <x:c r="HI20" s="1662">
        <x:v>0</x:v>
      </x:c>
      <x:c r="HJ20" s="1659">
        <x:v>0.625</x:v>
      </x:c>
      <x:c r="HK20" s="1659" t="s">
        <x:v>114</x:v>
      </x:c>
      <x:c r="HL20" s="1659">
        <x:v>3</x:v>
      </x:c>
      <x:c r="HM20" s="1659">
        <x:v>3</x:v>
      </x:c>
      <x:c r="HN20" s="1659">
        <x:v>0</x:v>
      </x:c>
      <x:c r="HO20" s="1659">
        <x:v>6.625</x:v>
      </x:c>
      <x:c r="HP20" s="1659">
        <x:v>2</x:v>
      </x:c>
      <x:c r="HQ20" s="1662">
        <x:v>0</x:v>
      </x:c>
      <x:c r="HR20" s="1659">
        <x:v>5.375</x:v>
      </x:c>
      <x:c r="HS20" s="1659">
        <x:v>2</x:v>
      </x:c>
      <x:c r="HT20" s="1659">
        <x:v>0</x:v>
      </x:c>
      <x:c r="HU20" s="1659">
        <x:v>1.5</x:v>
      </x:c>
      <x:c r="HV20" s="1659">
        <x:v>0</x:v>
      </x:c>
      <x:c r="HW20" s="1661">
        <x:v>1.5</x:v>
      </x:c>
      <x:c r="HX20" s="1661">
        <x:v>4</x:v>
      </x:c>
      <x:c r="HY20" s="1661" t="s">
        <x:v>117</x:v>
      </x:c>
      <x:c r="HZ20" s="1661" t="s">
        <x:v>117</x:v>
      </x:c>
      <x:c r="IA20" s="1661" t="s">
        <x:v>2171</x:v>
      </x:c>
      <x:c r="IB20" s="1661"/>
      <x:c r="IC20" s="1661"/>
      <x:c r="ID20" s="1661"/>
      <x:c r="IE20" s="1661"/>
      <x:c r="IF20" s="1663"/>
    </x:row>
    <x:row r="21" spans="1:240" ht="12.6" customHeight="1" x14ac:dyDescent="0.25">
      <x:c r="A21" s="1264" t="s">
        <x:v>1471</x:v>
      </x:c>
      <x:c r="B21" s="1265">
        <x:v>10</x:v>
      </x:c>
      <x:c r="C21" s="1265" t="s">
        <x:v>1979</x:v>
      </x:c>
      <x:c r="D21" s="1261">
        <x:v>49</x:v>
      </x:c>
      <x:c r="E21" s="1366">
        <x:v>11.5</x:v>
      </x:c>
      <x:c r="F21" s="1328">
        <x:v>0</x:v>
      </x:c>
      <x:c r="G21" s="1262">
        <x:v>1.375</x:v>
      </x:c>
      <x:c r="H21" s="1266" t="s">
        <x:v>114</x:v>
      </x:c>
      <x:c r="I21" s="1261">
        <x:v>0</x:v>
      </x:c>
      <x:c r="J21" s="1262">
        <x:v>1.375</x:v>
      </x:c>
      <x:c r="K21" s="1370" t="s">
        <x:v>114</x:v>
      </x:c>
      <x:c r="L21" s="1327">
        <x:v>3</x:v>
      </x:c>
      <x:c r="M21" s="1329">
        <x:v>3</x:v>
      </x:c>
      <x:c r="N21" s="1263" t="str">
        <x:f t="shared" si="1"/>
        <x:v/>
      </x:c>
      <x:c r="O21" s="1262" t="str">
        <x:f t="shared" si="2"/>
        <x:v/>
      </x:c>
      <x:c r="P21" s="1260" t="str">
        <x:f t="shared" si="3"/>
        <x:v/>
      </x:c>
      <x:c r="Q21" s="1261" t="str">
        <x:f t="shared" si="4"/>
        <x:v/>
      </x:c>
      <x:c r="R21" s="1262" t="str">
        <x:f t="shared" si="5"/>
        <x:v/>
      </x:c>
      <x:c r="S21" s="1375" t="str">
        <x:f t="shared" si="6"/>
        <x:v/>
      </x:c>
      <x:c r="T21" s="1328" t="str">
        <x:f t="shared" si="102"/>
        <x:v/>
      </x:c>
      <x:c r="U21" s="1262" t="str">
        <x:f t="shared" si="103"/>
        <x:v/>
      </x:c>
      <x:c r="V21" s="1261" t="str">
        <x:f t="shared" si="104"/>
        <x:v/>
      </x:c>
      <x:c r="W21" s="1262" t="str">
        <x:f t="shared" si="105"/>
        <x:v/>
      </x:c>
      <x:c r="X21" s="1329">
        <x:f t="shared" si="106"/>
        <x:v>0</x:v>
      </x:c>
      <x:c r="Y21" s="1377" t="str">
        <x:f t="shared" si="7"/>
        <x:v/>
      </x:c>
      <x:c r="Z21" s="1378" t="str">
        <x:f t="shared" si="8"/>
        <x:v/>
      </x:c>
      <x:c r="AA21" s="2159" t="s">
        <x:v>2169</x:v>
      </x:c>
      <x:c r="AC21" s="1226" t="b">
        <x:v>0</x:v>
      </x:c>
      <x:c r="AD21" s="525">
        <x:f t="shared" si="9"/>
        <x:v>10</x:v>
      </x:c>
      <x:c r="AE21" s="526">
        <x:f t="shared" si="10"/>
        <x:v>0</x:v>
      </x:c>
      <x:c r="AF21" s="526">
        <x:f t="shared" si="11"/>
        <x:v>0</x:v>
      </x:c>
      <x:c r="AG21" s="526">
        <x:f t="shared" si="12"/>
        <x:v>0</x:v>
      </x:c>
      <x:c r="AH21" s="527">
        <x:f t="shared" si="13"/>
        <x:v>0</x:v>
      </x:c>
      <x:c r="AI21" s="528" t="b">
        <x:v>0</x:v>
      </x:c>
      <x:c r="AJ21" s="284">
        <x:f t="shared" si="14"/>
        <x:v>30</x:v>
      </x:c>
      <x:c r="AK21" s="1063" t="str">
        <x:f t="shared" si="15"/>
        <x:v>K</x:v>
      </x:c>
      <x:c r="AL21" s="1202" t="str">
        <x:f t="shared" si="16"/>
        <x:v/>
      </x:c>
      <x:c r="AM21" s="1063">
        <x:f t="shared" si="17"/>
        <x:v>240</x:v>
      </x:c>
      <x:c r="AN21" s="1063">
        <x:f t="shared" si="18"/>
        <x:v>140</x:v>
      </x:c>
      <x:c r="AO21" s="1063" t="str">
        <x:f t="shared" si="19"/>
        <x:v/>
      </x:c>
      <x:c r="AP21" s="1063" t="b">
        <x:f>IF(ISERROR(AJ21),FALSE,IF(OR(AJ21=0,ISERROR(AL21),ISERROR(AM21),ISERROR(AN21),ISERROR(AO21)),FALSE,IF(AL21&lt;&gt;"",IF(ISERROR(VLOOKUP(SUBSTITUTE(SUBSTITUTE(C21,"R",""),"A",""),TblJoistSize!$A:$A,1,FALSE)),FALSE,TRUE),TRUE)))</x:f>
        <x:v>1</x:v>
      </x:c>
      <x:c r="AQ21" s="1305">
        <x:f t="shared" si="20"/>
        <x:v>5.375</x:v>
      </x:c>
      <x:c r="AR21" s="1305" t="b">
        <x:f t="shared" si="21"/>
        <x:v>0</x:v>
      </x:c>
      <x:c r="AS21" s="1305">
        <x:f t="shared" si="22"/>
        <x:v>5.375</x:v>
      </x:c>
      <x:c r="AT21" s="1305" t="b">
        <x:f t="shared" si="23"/>
        <x:v>0</x:v>
      </x:c>
      <x:c r="AU21" s="1203" t="str">
        <x:f t="shared" si="24"/>
        <x:v>K</x:v>
      </x:c>
      <x:c r="AV21" s="1063" t="str">
        <x:f t="shared" si="25"/>
        <x:v>K</x:v>
      </x:c>
      <x:c r="AW21" s="1063" t="str">
        <x:f t="shared" si="26"/>
        <x:v/>
      </x:c>
      <x:c r="AX21" s="1063" t="str">
        <x:f t="shared" si="99"/>
        <x:v>J147</x:v>
      </x:c>
      <x:c r="AY21" s="1306" t="b">
        <x:f t="shared" si="27"/>
        <x:v>0</x:v>
      </x:c>
      <x:c r="AZ21" s="1090" t="b">
        <x:f t="shared" si="28"/>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29"/>
        <x:v/>
      </x:c>
      <x:c r="CE21" s="1812" t="str">
        <x:f t="shared" si="30"/>
        <x:v/>
      </x:c>
      <x:c r="CF21" s="1813"/>
      <x:c r="CG21" s="1814"/>
      <x:c r="CH21" s="738" t="str">
        <x:f t="shared" si="31"/>
        <x:v/>
      </x:c>
      <x:c r="CI21" s="739" t="str">
        <x:f t="shared" si="32"/>
        <x:v/>
      </x:c>
      <x:c r="CJ21" s="740" t="str">
        <x:f t="shared" si="33"/>
        <x:v/>
      </x:c>
      <x:c r="CK21" s="741" t="str">
        <x:f t="shared" si="34"/>
        <x:v/>
      </x:c>
      <x:c r="CL21" s="742" t="str">
        <x:f t="shared" si="35"/>
        <x:v/>
      </x:c>
      <x:c r="CM21" s="743" t="str">
        <x:f t="shared" si="36"/>
        <x:v/>
      </x:c>
      <x:c r="CN21" s="744" t="str">
        <x:f t="shared" si="37"/>
        <x:v/>
      </x:c>
      <x:c r="CO21" s="745" t="str">
        <x:f t="shared" si="38"/>
        <x:v/>
      </x:c>
      <x:c r="CP21" s="762" t="str">
        <x:f t="shared" si="39"/>
        <x:v/>
      </x:c>
      <x:c r="CQ21" s="763" t="str">
        <x:f t="shared" si="40"/>
        <x:v/>
      </x:c>
      <x:c r="CR21" s="953">
        <x:f t="shared" si="41"/>
        <x:v>2.5</x:v>
      </x:c>
      <x:c r="CS21" s="954">
        <x:f t="shared" si="42"/>
        <x:v>2.5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3"/>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4"/>
        <x:v>0</x:v>
      </x:c>
      <x:c r="DO21" s="1049">
        <x:f t="shared" si="45"/>
        <x:v>0</x:v>
      </x:c>
      <x:c r="DP21" s="1053" t="str">
        <x:f t="shared" si="46"/>
        <x:v/>
      </x:c>
      <x:c r="DQ21" s="1053" t="str">
        <x:f t="shared" si="47"/>
        <x:v/>
      </x:c>
      <x:c r="DR21" s="1053" t="str">
        <x:f t="shared" si="48"/>
        <x:v/>
      </x:c>
      <x:c r="DS21" s="1052">
        <x:f t="shared" si="49"/>
        <x:v>0</x:v>
      </x:c>
      <x:c r="DT21" s="1052">
        <x:f t="shared" si="50"/>
        <x:v>0</x:v>
      </x:c>
      <x:c r="DU21" s="1052" t="str">
        <x:f t="shared" si="51"/>
        <x:v/>
      </x:c>
      <x:c r="DV21" s="1053" t="str">
        <x:f t="shared" si="52"/>
        <x:v/>
      </x:c>
      <x:c r="DW21" s="1053" t="str">
        <x:f t="shared" si="53"/>
        <x:v/>
      </x:c>
      <x:c r="DX21" s="1269">
        <x:f t="shared" si="54"/>
        <x:v>0</x:v>
      </x:c>
      <x:c r="DY21" s="1053">
        <x:f t="shared" si="55"/>
        <x:v>0</x:v>
      </x:c>
      <x:c r="DZ21" s="1052">
        <x:f t="shared" si="56"/>
        <x:v>0</x:v>
      </x:c>
      <x:c r="EA21" s="1052" t="str">
        <x:f t="shared" si="57"/>
        <x:v/>
      </x:c>
      <x:c r="EB21" s="1053" t="str">
        <x:f t="shared" si="58"/>
        <x:v/>
      </x:c>
      <x:c r="EC21" s="1053" t="str">
        <x:f t="shared" si="59"/>
        <x:v/>
      </x:c>
      <x:c r="ED21" s="1269">
        <x:f t="shared" si="60"/>
        <x:v>0</x:v>
      </x:c>
      <x:c r="EE21" s="1090" t="str">
        <x:f t="shared" si="61"/>
        <x:v/>
      </x:c>
      <x:c r="EF21" s="1053" t="str">
        <x:f t="shared" si="62"/>
        <x:v/>
      </x:c>
      <x:c r="EG21" s="1053" t="str">
        <x:f t="shared" si="63"/>
        <x:v/>
      </x:c>
      <x:c r="EH21" s="1053" t="str">
        <x:f t="shared" si="64"/>
        <x:v>ERR</x:v>
      </x:c>
      <x:c r="EI21" s="1053" t="str">
        <x:f t="shared" si="65"/>
        <x:v>ERR</x:v>
      </x:c>
      <x:c r="EJ21" s="1053" t="str">
        <x:f t="shared" si="66"/>
        <x:v/>
      </x:c>
      <x:c r="EK21" s="1053" t="str">
        <x:f t="shared" si="66"/>
        <x:v/>
      </x:c>
      <x:c r="EL21" s="1090" t="str">
        <x:f t="shared" si="67"/>
        <x:v/>
      </x:c>
      <x:c r="EM21" s="1053" t="str">
        <x:f t="shared" si="68"/>
        <x:v/>
      </x:c>
      <x:c r="EN21" s="1053" t="str">
        <x:f t="shared" si="69"/>
        <x:v/>
      </x:c>
      <x:c r="EO21" s="1053" t="str">
        <x:f t="shared" si="70"/>
        <x:v>ERR</x:v>
      </x:c>
      <x:c r="EP21" s="1053" t="str">
        <x:f t="shared" si="71"/>
        <x:v>ERR</x:v>
      </x:c>
      <x:c r="EQ21" s="1053" t="str">
        <x:f t="shared" si="72"/>
        <x:v/>
      </x:c>
      <x:c r="ER21" s="1053" t="str">
        <x:f t="shared" si="72"/>
        <x:v/>
      </x:c>
      <x:c r="ES21" s="1053" t="str">
        <x:f t="shared" si="73"/>
        <x:v/>
      </x:c>
      <x:c r="ET21" s="1053" t="str">
        <x:f t="shared" si="74"/>
        <x:v/>
      </x:c>
      <x:c r="EU21" s="1061">
        <x:f t="shared" si="75"/>
        <x:v>3.5</x:v>
      </x:c>
      <x:c r="EV21" s="1055" t="str">
        <x:f t="shared" si="76"/>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77"/>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78"/>
        <x:v/>
      </x:c>
      <x:c r="FD21" s="1052">
        <x:f t="shared" si="100"/>
        <x:v>0</x:v>
      </x:c>
      <x:c r="FE21" s="1052">
        <x:f t="shared" si="79"/>
        <x:v>0</x:v>
      </x:c>
      <x:c r="FF21" s="1052">
        <x:f t="shared" si="80"/>
        <x:v>0</x:v>
      </x:c>
      <x:c r="FG21" s="1052" t="str">
        <x:f t="shared" si="81"/>
        <x:v/>
      </x:c>
      <x:c r="FH21" s="1053" t="str">
        <x:f t="shared" si="82"/>
        <x:v/>
      </x:c>
      <x:c r="FI21" s="1052">
        <x:f t="shared" si="101"/>
        <x:v>0</x:v>
      </x:c>
      <x:c r="FJ21" s="1052">
        <x:f t="shared" si="83"/>
        <x:v>0</x:v>
      </x:c>
      <x:c r="FK21" s="1052">
        <x:f t="shared" si="84"/>
        <x:v>0</x:v>
      </x:c>
      <x:c r="FL21" s="1052" t="str">
        <x:f t="shared" si="85"/>
        <x:v/>
      </x:c>
      <x:c r="FM21" s="1053" t="str">
        <x:f t="shared" si="86"/>
        <x:v/>
      </x:c>
      <x:c r="FN21" s="1053" t="e">
        <x:f t="shared" si="87"/>
        <x:v>#VALUE!</x:v>
      </x:c>
      <x:c r="FO21" s="1062" t="e">
        <x:f t="shared" si="88"/>
        <x:v>#VALUE!</x:v>
      </x:c>
      <x:c r="FP21" s="1062" t="e">
        <x:f t="shared" si="89"/>
        <x:v>#VALUE!</x:v>
      </x:c>
      <x:c r="FQ21" s="1063" t="e">
        <x:f t="shared" si="90"/>
        <x:v>#VALUE!</x:v>
      </x:c>
      <x:c r="FR21" s="1064" t="e">
        <x:f t="shared" si="91"/>
        <x:v>#VALUE!</x:v>
      </x:c>
      <x:c r="FS21" s="1065" t="str">
        <x:f t="shared" si="92"/>
        <x:v/>
      </x:c>
      <x:c r="FT21" s="1066" t="str">
        <x:f t="shared" si="93"/>
        <x:v/>
      </x:c>
      <x:c r="FU21" s="1105">
        <x:f t="shared" si="94"/>
        <x:v>0</x:v>
      </x:c>
      <x:c r="FV21" s="1106">
        <x:f t="shared" si="95"/>
        <x:v>0</x:v>
      </x:c>
      <x:c r="GA21" s="1975">
        <x:v>50</x:v>
      </x:c>
      <x:c r="GB21" s="1976">
        <x:v>0</x:v>
      </x:c>
      <x:c r="GC21" s="1977">
        <x:v>-0.25</x:v>
      </x:c>
      <x:c r="GD21" s="1978">
        <x:v>-0.25</x:v>
      </x:c>
      <x:c r="GE21" s="1979">
        <x:v>-0.26</x:v>
      </x:c>
      <x:c r="GF21" s="1980" t="str">
        <x:f t="shared" si="96"/>
        <x:v>J147</x:v>
      </x:c>
      <x:c r="GG21" s="1453"/>
      <x:c r="GH21" s="1454"/>
      <x:c r="GI21" s="1453"/>
      <x:c r="GJ21" s="1454"/>
      <x:c r="GK21" s="533">
        <x:f t="shared" si="97"/>
        <x:v>599.5</x:v>
      </x:c>
      <x:c r="GL21" s="534">
        <x:f t="shared" si="98"/>
        <x:v>599.6406994615146</x:v>
      </x:c>
      <x:c r="GM21" s="535">
        <x:f>IF(ABS(GK21-GL21)&gt;='Job Info.'!$L$22,ABS(GK21-GL21),0)</x:f>
        <x:v>0</x:v>
      </x:c>
      <x:c r="HA21" s="1658" t="s">
        <x:v>1471</x:v>
      </x:c>
      <x:c r="HB21" s="1659">
        <x:v>10</x:v>
      </x:c>
      <x:c r="HC21" s="1659" t="s">
        <x:v>1979</x:v>
      </x:c>
      <x:c r="HD21" s="1660">
        <x:v>49</x:v>
      </x:c>
      <x:c r="HE21" s="1661">
        <x:v>11.5</x:v>
      </x:c>
      <x:c r="HF21" s="1659">
        <x:v>0</x:v>
      </x:c>
      <x:c r="HG21" s="1659">
        <x:v>1.375</x:v>
      </x:c>
      <x:c r="HH21" s="1659" t="s">
        <x:v>114</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2169</x:v>
      </x:c>
      <x:c r="IB21" s="1661"/>
      <x:c r="IC21" s="1661"/>
      <x:c r="ID21" s="1661"/>
      <x:c r="IE21" s="1661"/>
      <x:c r="IF21" s="1663"/>
    </x:row>
    <x:row r="22" spans="1:240" ht="12.6" customHeight="1" x14ac:dyDescent="0.25">
      <x:c r="A22" s="1264" t="s">
        <x:v>1472</x:v>
      </x:c>
      <x:c r="B22" s="1265">
        <x:v>16</x:v>
      </x:c>
      <x:c r="C22" s="1265" t="s">
        <x:v>1979</x:v>
      </x:c>
      <x:c r="D22" s="1261">
        <x:v>49</x:v>
      </x:c>
      <x:c r="E22" s="1366">
        <x:v>11.5</x:v>
      </x:c>
      <x:c r="F22" s="1328">
        <x:v>0</x:v>
      </x:c>
      <x:c r="G22" s="1262">
        <x:v>1.375</x:v>
      </x:c>
      <x:c r="H22" s="1266" t="s">
        <x:v>114</x:v>
      </x:c>
      <x:c r="I22" s="1261">
        <x:v>0</x:v>
      </x:c>
      <x:c r="J22" s="1262">
        <x:v>1.375</x:v>
      </x:c>
      <x:c r="K22" s="1370" t="s">
        <x:v>114</x:v>
      </x:c>
      <x:c r="L22" s="1327">
        <x:v>3</x:v>
      </x:c>
      <x:c r="M22" s="1329">
        <x:v>3</x:v>
      </x:c>
      <x:c r="N22" s="1263" t="str">
        <x:f t="shared" si="1"/>
        <x:v/>
      </x:c>
      <x:c r="O22" s="1262" t="str">
        <x:f t="shared" si="2"/>
        <x:v/>
      </x:c>
      <x:c r="P22" s="1260" t="str">
        <x:f t="shared" si="3"/>
        <x:v/>
      </x:c>
      <x:c r="Q22" s="1261" t="str">
        <x:f t="shared" si="4"/>
        <x:v/>
      </x:c>
      <x:c r="R22" s="1262" t="str">
        <x:f t="shared" si="5"/>
        <x:v/>
      </x:c>
      <x:c r="S22" s="1375" t="str">
        <x:f t="shared" si="6"/>
        <x:v/>
      </x:c>
      <x:c r="T22" s="1328">
        <x:v>0</x:v>
      </x:c>
      <x:c r="U22" s="1262">
        <x:v>2.25</x:v>
      </x:c>
      <x:c r="V22" s="1261">
        <x:v>0</x:v>
      </x:c>
      <x:c r="W22" s="1262">
        <x:v>2.25</x:v>
      </x:c>
      <x:c r="X22" s="1329">
        <x:v>4</x:v>
      </x:c>
      <x:c r="Y22" s="1377" t="str">
        <x:f t="shared" si="7"/>
        <x:v/>
      </x:c>
      <x:c r="Z22" s="1378" t="str">
        <x:f t="shared" si="8"/>
        <x:v/>
      </x:c>
      <x:c r="AA22" s="2159" t="s">
        <x:v>2166</x:v>
      </x:c>
      <x:c r="AC22" s="1226" t="b">
        <x:v>0</x:v>
      </x:c>
      <x:c r="AD22" s="525">
        <x:f t="shared" si="9"/>
        <x:v>16</x:v>
      </x:c>
      <x:c r="AE22" s="526">
        <x:f t="shared" si="10"/>
        <x:v>0</x:v>
      </x:c>
      <x:c r="AF22" s="526">
        <x:f t="shared" si="11"/>
        <x:v>0</x:v>
      </x:c>
      <x:c r="AG22" s="526">
        <x:f t="shared" si="12"/>
        <x:v>0</x:v>
      </x:c>
      <x:c r="AH22" s="527">
        <x:f t="shared" si="13"/>
        <x:v>0</x:v>
      </x:c>
      <x:c r="AI22" s="528" t="b">
        <x:v>0</x:v>
      </x:c>
      <x:c r="AJ22" s="284">
        <x:f t="shared" si="14"/>
        <x:v>30</x:v>
      </x:c>
      <x:c r="AK22" s="1063" t="str">
        <x:f t="shared" si="15"/>
        <x:v>K</x:v>
      </x:c>
      <x:c r="AL22" s="1202" t="str">
        <x:f t="shared" si="16"/>
        <x:v/>
      </x:c>
      <x:c r="AM22" s="1063">
        <x:f t="shared" si="17"/>
        <x:v>240</x:v>
      </x:c>
      <x:c r="AN22" s="1063">
        <x:f t="shared" si="18"/>
        <x:v>140</x:v>
      </x:c>
      <x:c r="AO22" s="1063" t="str">
        <x:f t="shared" si="19"/>
        <x:v/>
      </x:c>
      <x:c r="AP22" s="1063" t="b">
        <x:f>IF(ISERROR(AJ22),FALSE,IF(OR(AJ22=0,ISERROR(AL22),ISERROR(AM22),ISERROR(AN22),ISERROR(AO22)),FALSE,IF(AL22&lt;&gt;"",IF(ISERROR(VLOOKUP(SUBSTITUTE(SUBSTITUTE(C22,"R",""),"A",""),TblJoistSize!$A:$A,1,FALSE)),FALSE,TRUE),TRUE)))</x:f>
        <x:v>1</x:v>
      </x:c>
      <x:c r="AQ22" s="1305">
        <x:f t="shared" si="20"/>
        <x:v>5.375</x:v>
      </x:c>
      <x:c r="AR22" s="1305" t="b">
        <x:f t="shared" si="21"/>
        <x:v>1</x:v>
      </x:c>
      <x:c r="AS22" s="1305">
        <x:f t="shared" si="22"/>
        <x:v>5.375</x:v>
      </x:c>
      <x:c r="AT22" s="1305" t="b">
        <x:f t="shared" si="23"/>
        <x:v>1</x:v>
      </x:c>
      <x:c r="AU22" s="1203" t="str">
        <x:f t="shared" si="24"/>
        <x:v>K</x:v>
      </x:c>
      <x:c r="AV22" s="1063" t="str">
        <x:f t="shared" si="25"/>
        <x:v>K</x:v>
      </x:c>
      <x:c r="AW22" s="1063" t="str">
        <x:f t="shared" si="26"/>
        <x:v/>
      </x:c>
      <x:c r="AX22" s="1063" t="str">
        <x:f t="shared" si="99"/>
        <x:v>TJ148</x:v>
      </x:c>
      <x:c r="AY22" s="1306" t="b">
        <x:f t="shared" si="27"/>
        <x:v>0</x:v>
      </x:c>
      <x:c r="AZ22" s="1090" t="b">
        <x:f t="shared" si="28"/>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29"/>
        <x:v/>
      </x:c>
      <x:c r="CE22" s="935" t="str">
        <x:f t="shared" si="30"/>
        <x:v/>
      </x:c>
      <x:c r="CF22" s="1149"/>
      <x:c r="CG22" s="1150"/>
      <x:c r="CH22" s="738" t="str">
        <x:f t="shared" si="31"/>
        <x:v/>
      </x:c>
      <x:c r="CI22" s="739" t="str">
        <x:f t="shared" si="32"/>
        <x:v/>
      </x:c>
      <x:c r="CJ22" s="740" t="str">
        <x:f t="shared" si="33"/>
        <x:v/>
      </x:c>
      <x:c r="CK22" s="741" t="str">
        <x:f t="shared" si="34"/>
        <x:v/>
      </x:c>
      <x:c r="CL22" s="742" t="str">
        <x:f t="shared" si="35"/>
        <x:v/>
      </x:c>
      <x:c r="CM22" s="743" t="str">
        <x:f t="shared" si="36"/>
        <x:v/>
      </x:c>
      <x:c r="CN22" s="744" t="str">
        <x:f t="shared" si="37"/>
        <x:v/>
      </x:c>
      <x:c r="CO22" s="745" t="str">
        <x:f t="shared" si="38"/>
        <x:v/>
      </x:c>
      <x:c r="CP22" s="762" t="str">
        <x:f t="shared" si="39"/>
        <x:v/>
      </x:c>
      <x:c r="CQ22" s="763" t="str">
        <x:f t="shared" si="40"/>
        <x:v/>
      </x:c>
      <x:c r="CR22" s="953">
        <x:f t="shared" si="41"/>
        <x:v>2.5</x:v>
      </x:c>
      <x:c r="CS22" s="954">
        <x:f t="shared" si="42"/>
        <x:v>2.5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3"/>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4"/>
        <x:v>0</x:v>
      </x:c>
      <x:c r="DO22" s="1049">
        <x:f t="shared" si="45"/>
        <x:v>0</x:v>
      </x:c>
      <x:c r="DP22" s="1053" t="str">
        <x:f t="shared" si="46"/>
        <x:v/>
      </x:c>
      <x:c r="DQ22" s="1053" t="str">
        <x:f t="shared" si="47"/>
        <x:v/>
      </x:c>
      <x:c r="DR22" s="1053" t="str">
        <x:f t="shared" si="48"/>
        <x:v/>
      </x:c>
      <x:c r="DS22" s="1052">
        <x:f t="shared" si="49"/>
        <x:v>0</x:v>
      </x:c>
      <x:c r="DT22" s="1052">
        <x:f t="shared" si="50"/>
        <x:v>0</x:v>
      </x:c>
      <x:c r="DU22" s="1052" t="str">
        <x:f t="shared" si="51"/>
        <x:v/>
      </x:c>
      <x:c r="DV22" s="1053" t="str">
        <x:f t="shared" si="52"/>
        <x:v/>
      </x:c>
      <x:c r="DW22" s="1053" t="str">
        <x:f t="shared" si="53"/>
        <x:v/>
      </x:c>
      <x:c r="DX22" s="1269">
        <x:f t="shared" si="54"/>
        <x:v>0</x:v>
      </x:c>
      <x:c r="DY22" s="1053">
        <x:f t="shared" si="55"/>
        <x:v>0</x:v>
      </x:c>
      <x:c r="DZ22" s="1052">
        <x:f t="shared" si="56"/>
        <x:v>0</x:v>
      </x:c>
      <x:c r="EA22" s="1052" t="str">
        <x:f t="shared" si="57"/>
        <x:v/>
      </x:c>
      <x:c r="EB22" s="1053" t="str">
        <x:f t="shared" si="58"/>
        <x:v/>
      </x:c>
      <x:c r="EC22" s="1053" t="str">
        <x:f t="shared" si="59"/>
        <x:v/>
      </x:c>
      <x:c r="ED22" s="1269">
        <x:f t="shared" si="60"/>
        <x:v>0</x:v>
      </x:c>
      <x:c r="EE22" s="1090" t="str">
        <x:f t="shared" si="61"/>
        <x:v/>
      </x:c>
      <x:c r="EF22" s="1053" t="str">
        <x:f t="shared" si="62"/>
        <x:v/>
      </x:c>
      <x:c r="EG22" s="1053" t="str">
        <x:f t="shared" si="63"/>
        <x:v/>
      </x:c>
      <x:c r="EH22" s="1053" t="str">
        <x:f t="shared" si="64"/>
        <x:v>ERR</x:v>
      </x:c>
      <x:c r="EI22" s="1053" t="str">
        <x:f t="shared" si="65"/>
        <x:v>ERR</x:v>
      </x:c>
      <x:c r="EJ22" s="1053" t="str">
        <x:f t="shared" si="66"/>
        <x:v/>
      </x:c>
      <x:c r="EK22" s="1053" t="str">
        <x:f t="shared" si="66"/>
        <x:v/>
      </x:c>
      <x:c r="EL22" s="1090" t="str">
        <x:f t="shared" si="67"/>
        <x:v/>
      </x:c>
      <x:c r="EM22" s="1053" t="str">
        <x:f t="shared" si="68"/>
        <x:v/>
      </x:c>
      <x:c r="EN22" s="1053" t="str">
        <x:f t="shared" si="69"/>
        <x:v/>
      </x:c>
      <x:c r="EO22" s="1053" t="str">
        <x:f t="shared" si="70"/>
        <x:v>ERR</x:v>
      </x:c>
      <x:c r="EP22" s="1053" t="str">
        <x:f t="shared" si="71"/>
        <x:v>ERR</x:v>
      </x:c>
      <x:c r="EQ22" s="1053" t="str">
        <x:f t="shared" si="72"/>
        <x:v/>
      </x:c>
      <x:c r="ER22" s="1053" t="str">
        <x:f t="shared" si="72"/>
        <x:v/>
      </x:c>
      <x:c r="ES22" s="1053" t="str">
        <x:f t="shared" si="73"/>
        <x:v/>
      </x:c>
      <x:c r="ET22" s="1053" t="str">
        <x:f t="shared" si="74"/>
        <x:v/>
      </x:c>
      <x:c r="EU22" s="1061">
        <x:f t="shared" si="75"/>
        <x:v>3.5</x:v>
      </x:c>
      <x:c r="EV22" s="1055" t="str">
        <x:f t="shared" si="76"/>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77"/>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78"/>
        <x:v/>
      </x:c>
      <x:c r="FD22" s="1052">
        <x:f t="shared" si="100"/>
        <x:v>0</x:v>
      </x:c>
      <x:c r="FE22" s="1052">
        <x:f t="shared" si="79"/>
        <x:v>0</x:v>
      </x:c>
      <x:c r="FF22" s="1052">
        <x:f t="shared" si="80"/>
        <x:v>0</x:v>
      </x:c>
      <x:c r="FG22" s="1052" t="str">
        <x:f t="shared" si="81"/>
        <x:v/>
      </x:c>
      <x:c r="FH22" s="1053" t="str">
        <x:f t="shared" si="82"/>
        <x:v/>
      </x:c>
      <x:c r="FI22" s="1052">
        <x:f t="shared" si="101"/>
        <x:v>0</x:v>
      </x:c>
      <x:c r="FJ22" s="1052">
        <x:f t="shared" si="83"/>
        <x:v>0</x:v>
      </x:c>
      <x:c r="FK22" s="1052">
        <x:f t="shared" si="84"/>
        <x:v>0</x:v>
      </x:c>
      <x:c r="FL22" s="1052" t="str">
        <x:f t="shared" si="85"/>
        <x:v/>
      </x:c>
      <x:c r="FM22" s="1053" t="str">
        <x:f t="shared" si="86"/>
        <x:v/>
      </x:c>
      <x:c r="FN22" s="1053" t="e">
        <x:f t="shared" si="87"/>
        <x:v>#VALUE!</x:v>
      </x:c>
      <x:c r="FO22" s="1062" t="e">
        <x:f t="shared" si="88"/>
        <x:v>#VALUE!</x:v>
      </x:c>
      <x:c r="FP22" s="1062" t="e">
        <x:f t="shared" si="89"/>
        <x:v>#VALUE!</x:v>
      </x:c>
      <x:c r="FQ22" s="1063" t="e">
        <x:f t="shared" si="90"/>
        <x:v>#VALUE!</x:v>
      </x:c>
      <x:c r="FR22" s="1064" t="e">
        <x:f t="shared" si="91"/>
        <x:v>#VALUE!</x:v>
      </x:c>
      <x:c r="FS22" s="1065" t="str">
        <x:f t="shared" si="92"/>
        <x:v/>
      </x:c>
      <x:c r="FT22" s="1066" t="str">
        <x:f t="shared" si="93"/>
        <x:v/>
      </x:c>
      <x:c r="FU22" s="1105">
        <x:f t="shared" si="94"/>
        <x:v>0</x:v>
      </x:c>
      <x:c r="FV22" s="1106">
        <x:f t="shared" si="95"/>
        <x:v>0</x:v>
      </x:c>
      <x:c r="GA22" s="1975">
        <x:v>50</x:v>
      </x:c>
      <x:c r="GB22" s="1976">
        <x:v>0</x:v>
      </x:c>
      <x:c r="GC22" s="1977">
        <x:v>-0.25</x:v>
      </x:c>
      <x:c r="GD22" s="1978">
        <x:v>-0.25</x:v>
      </x:c>
      <x:c r="GE22" s="1979">
        <x:v>-0.26</x:v>
      </x:c>
      <x:c r="GF22" s="1980" t="str">
        <x:f t="shared" si="96"/>
        <x:v>TJ148</x:v>
      </x:c>
      <x:c r="GG22" s="1453"/>
      <x:c r="GH22" s="1454"/>
      <x:c r="GI22" s="1453"/>
      <x:c r="GJ22" s="1454"/>
      <x:c r="GK22" s="533">
        <x:f t="shared" si="97"/>
        <x:v>599.5</x:v>
      </x:c>
      <x:c r="GL22" s="534">
        <x:f t="shared" si="98"/>
        <x:v>599.6406994615146</x:v>
      </x:c>
      <x:c r="GM22" s="535">
        <x:f>IF(ABS(GK22-GL22)&gt;='Job Info.'!$L$22,ABS(GK22-GL22),0)</x:f>
        <x:v>0</x:v>
      </x:c>
      <x:c r="HA22" s="1658" t="s">
        <x:v>1472</x:v>
      </x:c>
      <x:c r="HB22" s="1659">
        <x:v>16</x:v>
      </x:c>
      <x:c r="HC22" s="1659" t="s">
        <x:v>1979</x:v>
      </x:c>
      <x:c r="HD22" s="1660">
        <x:v>49</x:v>
      </x:c>
      <x:c r="HE22" s="1661">
        <x:v>11.5</x:v>
      </x:c>
      <x:c r="HF22" s="1659">
        <x:v>0</x:v>
      </x:c>
      <x:c r="HG22" s="1659">
        <x:v>1.375</x:v>
      </x:c>
      <x:c r="HH22" s="1659" t="s">
        <x:v>114</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x:v>0</x:v>
      </x:c>
      <x:c r="HU22" s="1659">
        <x:v>2.25</x:v>
      </x:c>
      <x:c r="HV22" s="1659">
        <x:v>0</x:v>
      </x:c>
      <x:c r="HW22" s="1661">
        <x:v>2.25</x:v>
      </x:c>
      <x:c r="HX22" s="1661">
        <x:v>4</x:v>
      </x:c>
      <x:c r="HY22" s="1661" t="s">
        <x:v>117</x:v>
      </x:c>
      <x:c r="HZ22" s="1661" t="s">
        <x:v>117</x:v>
      </x:c>
      <x:c r="IA22" s="1661" t="s">
        <x:v>2166</x:v>
      </x:c>
      <x:c r="IB22" s="1661"/>
      <x:c r="IC22" s="1661"/>
      <x:c r="ID22" s="1661"/>
      <x:c r="IE22" s="1661"/>
      <x:c r="IF22" s="1663"/>
    </x:row>
    <x:row r="23" spans="1:240" ht="12.6" customHeight="1" x14ac:dyDescent="0.25">
      <x:c r="A23" s="1264" t="s">
        <x:v>1473</x:v>
      </x:c>
      <x:c r="B23" s="1265">
        <x:v>4</x:v>
      </x:c>
      <x:c r="C23" s="1265" t="s">
        <x:v>1979</x:v>
      </x:c>
      <x:c r="D23" s="1261">
        <x:v>49</x:v>
      </x:c>
      <x:c r="E23" s="1366">
        <x:v>10</x:v>
      </x:c>
      <x:c r="F23" s="1328">
        <x:v>0</x:v>
      </x:c>
      <x:c r="G23" s="1262">
        <x:v>0.625</x:v>
      </x:c>
      <x:c r="H23" s="1266" t="s">
        <x:v>114</x:v>
      </x:c>
      <x:c r="I23" s="1261">
        <x:v>0</x:v>
      </x:c>
      <x:c r="J23" s="1262">
        <x:v>0.625</x:v>
      </x:c>
      <x:c r="K23" s="1370" t="s">
        <x:v>114</x:v>
      </x:c>
      <x:c r="L23" s="1327">
        <x:v>3</x:v>
      </x:c>
      <x:c r="M23" s="1329">
        <x:v>3</x:v>
      </x:c>
      <x:c r="N23" s="1263">
        <x:v>0</x:v>
      </x:c>
      <x:c r="O23" s="1262">
        <x:v>6.625</x:v>
      </x:c>
      <x:c r="P23" s="1260">
        <x:v>2</x:v>
      </x:c>
      <x:c r="Q23" s="1261">
        <x:v>0</x:v>
      </x:c>
      <x:c r="R23" s="1262">
        <x:v>5.375</x:v>
      </x:c>
      <x:c r="S23" s="1375">
        <x:v>2</x:v>
      </x:c>
      <x:c r="T23" s="1328">
        <x:v>0</x:v>
      </x:c>
      <x:c r="U23" s="1262">
        <x:v>1.5</x:v>
      </x:c>
      <x:c r="V23" s="1261">
        <x:v>0</x:v>
      </x:c>
      <x:c r="W23" s="1262">
        <x:v>1.5</x:v>
      </x:c>
      <x:c r="X23" s="1329">
        <x:v>4</x:v>
      </x:c>
      <x:c r="Y23" s="1377" t="str">
        <x:f t="shared" si="7"/>
        <x:v/>
      </x:c>
      <x:c r="Z23" s="1378" t="str">
        <x:f t="shared" si="8"/>
        <x:v/>
      </x:c>
      <x:c r="AA23" s="2159" t="s">
        <x:v>2118</x:v>
      </x:c>
      <x:c r="AC23" s="1226" t="b">
        <x:v>0</x:v>
      </x:c>
      <x:c r="AD23" s="525">
        <x:f t="shared" si="9"/>
        <x:v>4</x:v>
      </x:c>
      <x:c r="AE23" s="526">
        <x:f t="shared" si="10"/>
        <x:v>0</x:v>
      </x:c>
      <x:c r="AF23" s="526">
        <x:f t="shared" si="11"/>
        <x:v>0</x:v>
      </x:c>
      <x:c r="AG23" s="526">
        <x:f t="shared" si="12"/>
        <x:v>0</x:v>
      </x:c>
      <x:c r="AH23" s="527">
        <x:f t="shared" si="13"/>
        <x:v>0</x:v>
      </x:c>
      <x:c r="AI23" s="528" t="b">
        <x:v>0</x:v>
      </x:c>
      <x:c r="AJ23" s="284">
        <x:f t="shared" si="14"/>
        <x:v>30</x:v>
      </x:c>
      <x:c r="AK23" s="1063" t="str">
        <x:f t="shared" si="15"/>
        <x:v>K</x:v>
      </x:c>
      <x:c r="AL23" s="1202" t="str">
        <x:f t="shared" si="16"/>
        <x:v/>
      </x:c>
      <x:c r="AM23" s="1063">
        <x:f t="shared" si="17"/>
        <x:v>240</x:v>
      </x:c>
      <x:c r="AN23" s="1063">
        <x:f t="shared" si="18"/>
        <x:v>140</x:v>
      </x:c>
      <x:c r="AO23" s="1063" t="str">
        <x:f t="shared" si="19"/>
        <x:v/>
      </x:c>
      <x:c r="AP23" s="1063" t="b">
        <x:f>IF(ISERROR(AJ23),FALSE,IF(OR(AJ23=0,ISERROR(AL23),ISERROR(AM23),ISERROR(AN23),ISERROR(AO23)),FALSE,IF(AL23&lt;&gt;"",IF(ISERROR(VLOOKUP(SUBSTITUTE(SUBSTITUTE(C23,"R",""),"A",""),TblJoistSize!$A:$A,1,FALSE)),FALSE,TRUE),TRUE)))</x:f>
        <x:v>1</x:v>
      </x:c>
      <x:c r="AQ23" s="1305">
        <x:f t="shared" si="20"/>
        <x:v>4.625</x:v>
      </x:c>
      <x:c r="AR23" s="1305" t="b">
        <x:f t="shared" si="21"/>
        <x:v>1</x:v>
      </x:c>
      <x:c r="AS23" s="1305">
        <x:f t="shared" si="22"/>
        <x:v>4.625</x:v>
      </x:c>
      <x:c r="AT23" s="1305" t="b">
        <x:f t="shared" si="23"/>
        <x:v>1</x:v>
      </x:c>
      <x:c r="AU23" s="1203" t="str">
        <x:f t="shared" si="24"/>
        <x:v>K</x:v>
      </x:c>
      <x:c r="AV23" s="1063" t="str">
        <x:f t="shared" si="25"/>
        <x:v>K</x:v>
      </x:c>
      <x:c r="AW23" s="1063" t="str">
        <x:f t="shared" si="26"/>
        <x:v/>
      </x:c>
      <x:c r="AX23" s="1063" t="str">
        <x:f t="shared" si="99"/>
        <x:v>TJ149</x:v>
      </x:c>
      <x:c r="AY23" s="1306" t="b">
        <x:f t="shared" si="27"/>
        <x:v>0</x:v>
      </x:c>
      <x:c r="AZ23" s="1090" t="b">
        <x:f t="shared" si="28"/>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29"/>
        <x:v/>
      </x:c>
      <x:c r="CE23" s="935" t="str">
        <x:f t="shared" si="30"/>
        <x:v/>
      </x:c>
      <x:c r="CF23" s="1149"/>
      <x:c r="CG23" s="1150"/>
      <x:c r="CH23" s="738" t="str">
        <x:f t="shared" si="31"/>
        <x:v/>
      </x:c>
      <x:c r="CI23" s="739" t="str">
        <x:f t="shared" si="32"/>
        <x:v/>
      </x:c>
      <x:c r="CJ23" s="740" t="str">
        <x:f t="shared" si="33"/>
        <x:v/>
      </x:c>
      <x:c r="CK23" s="741" t="str">
        <x:f t="shared" si="34"/>
        <x:v/>
      </x:c>
      <x:c r="CL23" s="742" t="str">
        <x:f t="shared" si="35"/>
        <x:v/>
      </x:c>
      <x:c r="CM23" s="743" t="str">
        <x:f t="shared" si="36"/>
        <x:v/>
      </x:c>
      <x:c r="CN23" s="744" t="str">
        <x:f t="shared" si="37"/>
        <x:v/>
      </x:c>
      <x:c r="CO23" s="745" t="str">
        <x:f t="shared" si="38"/>
        <x:v/>
      </x:c>
      <x:c r="CP23" s="762" t="str">
        <x:f t="shared" si="39"/>
        <x:v/>
      </x:c>
      <x:c r="CQ23" s="763" t="str">
        <x:f t="shared" si="40"/>
        <x:v/>
      </x:c>
      <x:c r="CR23" s="953">
        <x:f t="shared" si="41"/>
        <x:v>2.5</x:v>
      </x:c>
      <x:c r="CS23" s="954">
        <x:f t="shared" si="42"/>
        <x:v>2.5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3"/>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4"/>
        <x:v>0</x:v>
      </x:c>
      <x:c r="DO23" s="1049">
        <x:f t="shared" si="45"/>
        <x:v>0</x:v>
      </x:c>
      <x:c r="DP23" s="1053" t="str">
        <x:f t="shared" si="46"/>
        <x:v/>
      </x:c>
      <x:c r="DQ23" s="1053" t="str">
        <x:f t="shared" si="47"/>
        <x:v/>
      </x:c>
      <x:c r="DR23" s="1053" t="str">
        <x:f t="shared" si="48"/>
        <x:v/>
      </x:c>
      <x:c r="DS23" s="1052">
        <x:f t="shared" si="49"/>
        <x:v>0</x:v>
      </x:c>
      <x:c r="DT23" s="1052">
        <x:f t="shared" si="50"/>
        <x:v>0</x:v>
      </x:c>
      <x:c r="DU23" s="1052" t="str">
        <x:f t="shared" si="51"/>
        <x:v/>
      </x:c>
      <x:c r="DV23" s="1053" t="str">
        <x:f t="shared" si="52"/>
        <x:v/>
      </x:c>
      <x:c r="DW23" s="1053" t="str">
        <x:f t="shared" si="53"/>
        <x:v/>
      </x:c>
      <x:c r="DX23" s="1269">
        <x:f t="shared" si="54"/>
        <x:v>0</x:v>
      </x:c>
      <x:c r="DY23" s="1053">
        <x:f t="shared" si="55"/>
        <x:v>0</x:v>
      </x:c>
      <x:c r="DZ23" s="1052">
        <x:f t="shared" si="56"/>
        <x:v>0</x:v>
      </x:c>
      <x:c r="EA23" s="1052" t="str">
        <x:f t="shared" si="57"/>
        <x:v/>
      </x:c>
      <x:c r="EB23" s="1053" t="str">
        <x:f t="shared" si="58"/>
        <x:v/>
      </x:c>
      <x:c r="EC23" s="1053" t="str">
        <x:f t="shared" si="59"/>
        <x:v/>
      </x:c>
      <x:c r="ED23" s="1269">
        <x:f t="shared" si="60"/>
        <x:v>0</x:v>
      </x:c>
      <x:c r="EE23" s="1090" t="str">
        <x:f t="shared" si="61"/>
        <x:v/>
      </x:c>
      <x:c r="EF23" s="1053" t="str">
        <x:f t="shared" si="62"/>
        <x:v/>
      </x:c>
      <x:c r="EG23" s="1053" t="str">
        <x:f t="shared" si="63"/>
        <x:v/>
      </x:c>
      <x:c r="EH23" s="1053" t="str">
        <x:f t="shared" si="64"/>
        <x:v>ERR</x:v>
      </x:c>
      <x:c r="EI23" s="1053" t="str">
        <x:f t="shared" si="65"/>
        <x:v>ERR</x:v>
      </x:c>
      <x:c r="EJ23" s="1053" t="str">
        <x:f t="shared" si="66"/>
        <x:v/>
      </x:c>
      <x:c r="EK23" s="1053" t="str">
        <x:f t="shared" si="66"/>
        <x:v/>
      </x:c>
      <x:c r="EL23" s="1090" t="str">
        <x:f t="shared" si="67"/>
        <x:v/>
      </x:c>
      <x:c r="EM23" s="1053" t="str">
        <x:f t="shared" si="68"/>
        <x:v/>
      </x:c>
      <x:c r="EN23" s="1053" t="str">
        <x:f t="shared" si="69"/>
        <x:v/>
      </x:c>
      <x:c r="EO23" s="1053" t="str">
        <x:f t="shared" si="70"/>
        <x:v>ERR</x:v>
      </x:c>
      <x:c r="EP23" s="1053" t="str">
        <x:f t="shared" si="71"/>
        <x:v>ERR</x:v>
      </x:c>
      <x:c r="EQ23" s="1053" t="str">
        <x:f t="shared" si="72"/>
        <x:v/>
      </x:c>
      <x:c r="ER23" s="1053" t="str">
        <x:f t="shared" si="72"/>
        <x:v/>
      </x:c>
      <x:c r="ES23" s="1053" t="str">
        <x:f t="shared" si="73"/>
        <x:v/>
      </x:c>
      <x:c r="ET23" s="1053" t="str">
        <x:f t="shared" si="74"/>
        <x:v/>
      </x:c>
      <x:c r="EU23" s="1061">
        <x:f t="shared" si="75"/>
        <x:v>3.5</x:v>
      </x:c>
      <x:c r="EV23" s="1055" t="str">
        <x:f t="shared" si="76"/>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77"/>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78"/>
        <x:v/>
      </x:c>
      <x:c r="FD23" s="1052">
        <x:f t="shared" si="100"/>
        <x:v>0</x:v>
      </x:c>
      <x:c r="FE23" s="1052">
        <x:f t="shared" si="79"/>
        <x:v>0</x:v>
      </x:c>
      <x:c r="FF23" s="1052">
        <x:f t="shared" si="80"/>
        <x:v>0</x:v>
      </x:c>
      <x:c r="FG23" s="1052" t="str">
        <x:f t="shared" si="81"/>
        <x:v/>
      </x:c>
      <x:c r="FH23" s="1053" t="str">
        <x:f t="shared" si="82"/>
        <x:v/>
      </x:c>
      <x:c r="FI23" s="1052">
        <x:f t="shared" si="101"/>
        <x:v>0</x:v>
      </x:c>
      <x:c r="FJ23" s="1052">
        <x:f t="shared" si="83"/>
        <x:v>0</x:v>
      </x:c>
      <x:c r="FK23" s="1052">
        <x:f t="shared" si="84"/>
        <x:v>0</x:v>
      </x:c>
      <x:c r="FL23" s="1052" t="str">
        <x:f t="shared" si="85"/>
        <x:v/>
      </x:c>
      <x:c r="FM23" s="1053" t="str">
        <x:f t="shared" si="86"/>
        <x:v/>
      </x:c>
      <x:c r="FN23" s="1053" t="e">
        <x:f t="shared" si="87"/>
        <x:v>#VALUE!</x:v>
      </x:c>
      <x:c r="FO23" s="1062" t="e">
        <x:f t="shared" si="88"/>
        <x:v>#VALUE!</x:v>
      </x:c>
      <x:c r="FP23" s="1062" t="e">
        <x:f t="shared" si="89"/>
        <x:v>#VALUE!</x:v>
      </x:c>
      <x:c r="FQ23" s="1063" t="e">
        <x:f t="shared" si="90"/>
        <x:v>#VALUE!</x:v>
      </x:c>
      <x:c r="FR23" s="1064" t="e">
        <x:f t="shared" si="91"/>
        <x:v>#VALUE!</x:v>
      </x:c>
      <x:c r="FS23" s="1065" t="str">
        <x:f t="shared" si="92"/>
        <x:v/>
      </x:c>
      <x:c r="FT23" s="1066" t="str">
        <x:f t="shared" si="93"/>
        <x:v/>
      </x:c>
      <x:c r="FU23" s="1105">
        <x:f t="shared" si="94"/>
        <x:v>0</x:v>
      </x:c>
      <x:c r="FV23" s="1106">
        <x:f t="shared" si="95"/>
        <x:v>0</x:v>
      </x:c>
      <x:c r="GA23" s="1975">
        <x:v>50</x:v>
      </x:c>
      <x:c r="GB23" s="1976">
        <x:v>0</x:v>
      </x:c>
      <x:c r="GC23" s="1977">
        <x:v>-1</x:v>
      </x:c>
      <x:c r="GD23" s="1978">
        <x:v>-1</x:v>
      </x:c>
      <x:c r="GE23" s="1979">
        <x:v>-0.26</x:v>
      </x:c>
      <x:c r="GF23" s="1980" t="str">
        <x:f t="shared" si="96"/>
        <x:v>TJ149</x:v>
      </x:c>
      <x:c r="GG23" s="1453"/>
      <x:c r="GH23" s="1454"/>
      <x:c r="GI23" s="1453"/>
      <x:c r="GJ23" s="1454"/>
      <x:c r="GK23" s="533">
        <x:f t="shared" si="97"/>
        <x:v>598</x:v>
      </x:c>
      <x:c r="GL23" s="534">
        <x:f t="shared" si="98"/>
        <x:v>598.1403474194924</x:v>
      </x:c>
      <x:c r="GM23" s="535">
        <x:f>IF(ABS(GK23-GL23)&gt;='Job Info.'!$L$22,ABS(GK23-GL23),0)</x:f>
        <x:v>0</x:v>
      </x:c>
      <x:c r="HA23" s="1658" t="s">
        <x:v>1473</x:v>
      </x:c>
      <x:c r="HB23" s="1659">
        <x:v>4</x:v>
      </x:c>
      <x:c r="HC23" s="1659" t="s">
        <x:v>1979</x:v>
      </x:c>
      <x:c r="HD23" s="1660">
        <x:v>49</x:v>
      </x:c>
      <x:c r="HE23" s="1661">
        <x:v>10</x:v>
      </x:c>
      <x:c r="HF23" s="1659">
        <x:v>0</x:v>
      </x:c>
      <x:c r="HG23" s="1659">
        <x:v>0.625</x:v>
      </x:c>
      <x:c r="HH23" s="1659" t="s">
        <x:v>114</x:v>
      </x:c>
      <x:c r="HI23" s="1662">
        <x:v>0</x:v>
      </x:c>
      <x:c r="HJ23" s="1659">
        <x:v>0.625</x:v>
      </x:c>
      <x:c r="HK23" s="1659" t="s">
        <x:v>114</x:v>
      </x:c>
      <x:c r="HL23" s="1659">
        <x:v>3</x:v>
      </x:c>
      <x:c r="HM23" s="1659">
        <x:v>3</x:v>
      </x:c>
      <x:c r="HN23" s="1659">
        <x:v>0</x:v>
      </x:c>
      <x:c r="HO23" s="1659">
        <x:v>6.625</x:v>
      </x:c>
      <x:c r="HP23" s="1659">
        <x:v>2</x:v>
      </x:c>
      <x:c r="HQ23" s="1662">
        <x:v>0</x:v>
      </x:c>
      <x:c r="HR23" s="1659">
        <x:v>5.375</x:v>
      </x:c>
      <x:c r="HS23" s="1659">
        <x:v>2</x:v>
      </x:c>
      <x:c r="HT23" s="1659">
        <x:v>0</x:v>
      </x:c>
      <x:c r="HU23" s="1659">
        <x:v>1.5</x:v>
      </x:c>
      <x:c r="HV23" s="1659">
        <x:v>0</x:v>
      </x:c>
      <x:c r="HW23" s="1661">
        <x:v>1.5</x:v>
      </x:c>
      <x:c r="HX23" s="1661">
        <x:v>4</x:v>
      </x:c>
      <x:c r="HY23" s="1661" t="s">
        <x:v>117</x:v>
      </x:c>
      <x:c r="HZ23" s="1661" t="s">
        <x:v>117</x:v>
      </x:c>
      <x:c r="IA23" s="1661" t="s">
        <x:v>2118</x:v>
      </x:c>
      <x:c r="IB23" s="1661"/>
      <x:c r="IC23" s="1661"/>
      <x:c r="ID23" s="1661"/>
      <x:c r="IE23" s="1661"/>
      <x:c r="IF23" s="1663"/>
    </x:row>
    <x:row r="24" spans="1:240" ht="12.6" customHeight="1" x14ac:dyDescent="0.25">
      <x:c r="A24" s="1264" t="s">
        <x:v>1474</x:v>
      </x:c>
      <x:c r="B24" s="1265">
        <x:v>8</x:v>
      </x:c>
      <x:c r="C24" s="1265" t="s">
        <x:v>1979</x:v>
      </x:c>
      <x:c r="D24" s="1261">
        <x:v>49</x:v>
      </x:c>
      <x:c r="E24" s="1366">
        <x:v>10</x:v>
      </x:c>
      <x:c r="F24" s="1328">
        <x:v>0</x:v>
      </x:c>
      <x:c r="G24" s="1262">
        <x:v>0.625</x:v>
      </x:c>
      <x:c r="H24" s="1266" t="s">
        <x:v>114</x:v>
      </x:c>
      <x:c r="I24" s="1261">
        <x:v>0</x:v>
      </x:c>
      <x:c r="J24" s="1262">
        <x:v>0.625</x:v>
      </x:c>
      <x:c r="K24" s="1370" t="s">
        <x:v>114</x:v>
      </x:c>
      <x:c r="L24" s="1327">
        <x:v>3</x:v>
      </x:c>
      <x:c r="M24" s="1329">
        <x:v>3</x:v>
      </x:c>
      <x:c r="N24" s="1263">
        <x:v>0</x:v>
      </x:c>
      <x:c r="O24" s="1262">
        <x:v>6.625</x:v>
      </x:c>
      <x:c r="P24" s="1260">
        <x:v>2</x:v>
      </x:c>
      <x:c r="Q24" s="1261">
        <x:v>0</x:v>
      </x:c>
      <x:c r="R24" s="1262">
        <x:v>5.375</x:v>
      </x:c>
      <x:c r="S24" s="1375">
        <x:v>2</x:v>
      </x:c>
      <x:c r="T24" s="1328">
        <x:v>0</x:v>
      </x:c>
      <x:c r="U24" s="1262">
        <x:v>1.5</x:v>
      </x:c>
      <x:c r="V24" s="1261">
        <x:v>0</x:v>
      </x:c>
      <x:c r="W24" s="1262">
        <x:v>1.5</x:v>
      </x:c>
      <x:c r="X24" s="1329">
        <x:v>4</x:v>
      </x:c>
      <x:c r="Y24" s="1377" t="str">
        <x:f t="shared" si="7"/>
        <x:v/>
      </x:c>
      <x:c r="Z24" s="1378" t="str">
        <x:f t="shared" si="8"/>
        <x:v/>
      </x:c>
      <x:c r="AA24" s="2159" t="s">
        <x:v>2101</x:v>
      </x:c>
      <x:c r="AC24" s="1226" t="b">
        <x:v>0</x:v>
      </x:c>
      <x:c r="AD24" s="525">
        <x:f t="shared" si="9"/>
        <x:v>8</x:v>
      </x:c>
      <x:c r="AE24" s="526">
        <x:f t="shared" si="10"/>
        <x:v>0</x:v>
      </x:c>
      <x:c r="AF24" s="526">
        <x:f t="shared" si="11"/>
        <x:v>0</x:v>
      </x:c>
      <x:c r="AG24" s="526">
        <x:f t="shared" si="12"/>
        <x:v>0</x:v>
      </x:c>
      <x:c r="AH24" s="527">
        <x:f t="shared" si="13"/>
        <x:v>0</x:v>
      </x:c>
      <x:c r="AI24" s="528" t="b">
        <x:v>0</x:v>
      </x:c>
      <x:c r="AJ24" s="284">
        <x:f t="shared" si="14"/>
        <x:v>30</x:v>
      </x:c>
      <x:c r="AK24" s="1063" t="str">
        <x:f t="shared" si="15"/>
        <x:v>K</x:v>
      </x:c>
      <x:c r="AL24" s="1202" t="str">
        <x:f t="shared" si="16"/>
        <x:v/>
      </x:c>
      <x:c r="AM24" s="1063">
        <x:f t="shared" si="17"/>
        <x:v>240</x:v>
      </x:c>
      <x:c r="AN24" s="1063">
        <x:f t="shared" si="18"/>
        <x:v>140</x:v>
      </x:c>
      <x:c r="AO24" s="1063" t="str">
        <x:f t="shared" si="19"/>
        <x:v/>
      </x:c>
      <x:c r="AP24" s="1063" t="b">
        <x:f>IF(ISERROR(AJ24),FALSE,IF(OR(AJ24=0,ISERROR(AL24),ISERROR(AM24),ISERROR(AN24),ISERROR(AO24)),FALSE,IF(AL24&lt;&gt;"",IF(ISERROR(VLOOKUP(SUBSTITUTE(SUBSTITUTE(C24,"R",""),"A",""),TblJoistSize!$A:$A,1,FALSE)),FALSE,TRUE),TRUE)))</x:f>
        <x:v>1</x:v>
      </x:c>
      <x:c r="AQ24" s="1305">
        <x:f t="shared" si="20"/>
        <x:v>4.625</x:v>
      </x:c>
      <x:c r="AR24" s="1305" t="b">
        <x:f t="shared" si="21"/>
        <x:v>1</x:v>
      </x:c>
      <x:c r="AS24" s="1305">
        <x:f t="shared" si="22"/>
        <x:v>4.625</x:v>
      </x:c>
      <x:c r="AT24" s="1305" t="b">
        <x:f t="shared" si="23"/>
        <x:v>1</x:v>
      </x:c>
      <x:c r="AU24" s="1203" t="str">
        <x:f t="shared" si="24"/>
        <x:v>K</x:v>
      </x:c>
      <x:c r="AV24" s="1063" t="str">
        <x:f t="shared" si="25"/>
        <x:v>K</x:v>
      </x:c>
      <x:c r="AW24" s="1063" t="str">
        <x:f t="shared" si="26"/>
        <x:v/>
      </x:c>
      <x:c r="AX24" s="1063" t="str">
        <x:f t="shared" si="99"/>
        <x:v>TJ150</x:v>
      </x:c>
      <x:c r="AY24" s="1306" t="b">
        <x:f t="shared" si="27"/>
        <x:v>0</x:v>
      </x:c>
      <x:c r="AZ24" s="1090" t="b">
        <x:f t="shared" si="28"/>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29"/>
        <x:v/>
      </x:c>
      <x:c r="CE24" s="935" t="str">
        <x:f t="shared" si="30"/>
        <x:v/>
      </x:c>
      <x:c r="CF24" s="1149"/>
      <x:c r="CG24" s="1150"/>
      <x:c r="CH24" s="738" t="str">
        <x:f t="shared" si="31"/>
        <x:v/>
      </x:c>
      <x:c r="CI24" s="739" t="str">
        <x:f t="shared" si="32"/>
        <x:v/>
      </x:c>
      <x:c r="CJ24" s="740" t="str">
        <x:f t="shared" si="33"/>
        <x:v/>
      </x:c>
      <x:c r="CK24" s="741" t="str">
        <x:f t="shared" si="34"/>
        <x:v/>
      </x:c>
      <x:c r="CL24" s="742" t="str">
        <x:f t="shared" si="35"/>
        <x:v/>
      </x:c>
      <x:c r="CM24" s="743" t="str">
        <x:f t="shared" si="36"/>
        <x:v/>
      </x:c>
      <x:c r="CN24" s="744" t="str">
        <x:f t="shared" si="37"/>
        <x:v/>
      </x:c>
      <x:c r="CO24" s="745" t="str">
        <x:f t="shared" si="38"/>
        <x:v/>
      </x:c>
      <x:c r="CP24" s="762" t="str">
        <x:f t="shared" si="39"/>
        <x:v/>
      </x:c>
      <x:c r="CQ24" s="763" t="str">
        <x:f t="shared" si="40"/>
        <x:v/>
      </x:c>
      <x:c r="CR24" s="953">
        <x:f t="shared" si="41"/>
        <x:v>2.5</x:v>
      </x:c>
      <x:c r="CS24" s="954">
        <x:f t="shared" si="42"/>
        <x:v>2.5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3"/>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4"/>
        <x:v>0</x:v>
      </x:c>
      <x:c r="DO24" s="1049">
        <x:f t="shared" si="45"/>
        <x:v>0</x:v>
      </x:c>
      <x:c r="DP24" s="1053" t="str">
        <x:f t="shared" si="46"/>
        <x:v/>
      </x:c>
      <x:c r="DQ24" s="1053" t="str">
        <x:f t="shared" si="47"/>
        <x:v/>
      </x:c>
      <x:c r="DR24" s="1053" t="str">
        <x:f t="shared" si="48"/>
        <x:v/>
      </x:c>
      <x:c r="DS24" s="1052">
        <x:f t="shared" si="49"/>
        <x:v>0</x:v>
      </x:c>
      <x:c r="DT24" s="1052">
        <x:f t="shared" si="50"/>
        <x:v>0</x:v>
      </x:c>
      <x:c r="DU24" s="1052" t="str">
        <x:f t="shared" si="51"/>
        <x:v/>
      </x:c>
      <x:c r="DV24" s="1053" t="str">
        <x:f t="shared" si="52"/>
        <x:v/>
      </x:c>
      <x:c r="DW24" s="1053" t="str">
        <x:f t="shared" si="53"/>
        <x:v/>
      </x:c>
      <x:c r="DX24" s="1269">
        <x:f t="shared" si="54"/>
        <x:v>0</x:v>
      </x:c>
      <x:c r="DY24" s="1053">
        <x:f t="shared" si="55"/>
        <x:v>0</x:v>
      </x:c>
      <x:c r="DZ24" s="1052">
        <x:f t="shared" si="56"/>
        <x:v>0</x:v>
      </x:c>
      <x:c r="EA24" s="1052" t="str">
        <x:f t="shared" si="57"/>
        <x:v/>
      </x:c>
      <x:c r="EB24" s="1053" t="str">
        <x:f t="shared" si="58"/>
        <x:v/>
      </x:c>
      <x:c r="EC24" s="1053" t="str">
        <x:f t="shared" si="59"/>
        <x:v/>
      </x:c>
      <x:c r="ED24" s="1269">
        <x:f t="shared" si="60"/>
        <x:v>0</x:v>
      </x:c>
      <x:c r="EE24" s="1090" t="str">
        <x:f t="shared" si="61"/>
        <x:v/>
      </x:c>
      <x:c r="EF24" s="1053" t="str">
        <x:f t="shared" si="62"/>
        <x:v/>
      </x:c>
      <x:c r="EG24" s="1053" t="str">
        <x:f t="shared" si="63"/>
        <x:v/>
      </x:c>
      <x:c r="EH24" s="1053" t="str">
        <x:f t="shared" si="64"/>
        <x:v>ERR</x:v>
      </x:c>
      <x:c r="EI24" s="1053" t="str">
        <x:f t="shared" si="65"/>
        <x:v>ERR</x:v>
      </x:c>
      <x:c r="EJ24" s="1053" t="str">
        <x:f t="shared" si="66"/>
        <x:v/>
      </x:c>
      <x:c r="EK24" s="1053" t="str">
        <x:f t="shared" si="66"/>
        <x:v/>
      </x:c>
      <x:c r="EL24" s="1090" t="str">
        <x:f t="shared" si="67"/>
        <x:v/>
      </x:c>
      <x:c r="EM24" s="1053" t="str">
        <x:f t="shared" si="68"/>
        <x:v/>
      </x:c>
      <x:c r="EN24" s="1053" t="str">
        <x:f t="shared" si="69"/>
        <x:v/>
      </x:c>
      <x:c r="EO24" s="1053" t="str">
        <x:f t="shared" si="70"/>
        <x:v>ERR</x:v>
      </x:c>
      <x:c r="EP24" s="1053" t="str">
        <x:f t="shared" si="71"/>
        <x:v>ERR</x:v>
      </x:c>
      <x:c r="EQ24" s="1053" t="str">
        <x:f t="shared" si="72"/>
        <x:v/>
      </x:c>
      <x:c r="ER24" s="1053" t="str">
        <x:f t="shared" si="72"/>
        <x:v/>
      </x:c>
      <x:c r="ES24" s="1053" t="str">
        <x:f t="shared" si="73"/>
        <x:v/>
      </x:c>
      <x:c r="ET24" s="1053" t="str">
        <x:f t="shared" si="74"/>
        <x:v/>
      </x:c>
      <x:c r="EU24" s="1061">
        <x:f t="shared" si="75"/>
        <x:v>3.5</x:v>
      </x:c>
      <x:c r="EV24" s="1055" t="str">
        <x:f t="shared" si="76"/>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7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78"/>
        <x:v/>
      </x:c>
      <x:c r="FD24" s="1052">
        <x:f t="shared" si="100"/>
        <x:v>0</x:v>
      </x:c>
      <x:c r="FE24" s="1052">
        <x:f t="shared" si="79"/>
        <x:v>0</x:v>
      </x:c>
      <x:c r="FF24" s="1052">
        <x:f t="shared" si="80"/>
        <x:v>0</x:v>
      </x:c>
      <x:c r="FG24" s="1052" t="str">
        <x:f t="shared" si="81"/>
        <x:v/>
      </x:c>
      <x:c r="FH24" s="1053" t="str">
        <x:f t="shared" si="82"/>
        <x:v/>
      </x:c>
      <x:c r="FI24" s="1052">
        <x:f t="shared" si="101"/>
        <x:v>0</x:v>
      </x:c>
      <x:c r="FJ24" s="1052">
        <x:f t="shared" si="83"/>
        <x:v>0</x:v>
      </x:c>
      <x:c r="FK24" s="1052">
        <x:f t="shared" si="84"/>
        <x:v>0</x:v>
      </x:c>
      <x:c r="FL24" s="1052" t="str">
        <x:f t="shared" si="85"/>
        <x:v/>
      </x:c>
      <x:c r="FM24" s="1053" t="str">
        <x:f t="shared" si="86"/>
        <x:v/>
      </x:c>
      <x:c r="FN24" s="1053" t="e">
        <x:f t="shared" si="87"/>
        <x:v>#VALUE!</x:v>
      </x:c>
      <x:c r="FO24" s="1062" t="e">
        <x:f t="shared" si="88"/>
        <x:v>#VALUE!</x:v>
      </x:c>
      <x:c r="FP24" s="1062" t="e">
        <x:f t="shared" si="89"/>
        <x:v>#VALUE!</x:v>
      </x:c>
      <x:c r="FQ24" s="1063" t="e">
        <x:f t="shared" si="90"/>
        <x:v>#VALUE!</x:v>
      </x:c>
      <x:c r="FR24" s="1064" t="e">
        <x:f t="shared" si="91"/>
        <x:v>#VALUE!</x:v>
      </x:c>
      <x:c r="FS24" s="1065" t="str">
        <x:f t="shared" si="92"/>
        <x:v/>
      </x:c>
      <x:c r="FT24" s="1066" t="str">
        <x:f t="shared" si="93"/>
        <x:v/>
      </x:c>
      <x:c r="FU24" s="1105">
        <x:f t="shared" si="94"/>
        <x:v>0</x:v>
      </x:c>
      <x:c r="FV24" s="1106">
        <x:f t="shared" si="95"/>
        <x:v>0</x:v>
      </x:c>
      <x:c r="GA24" s="1975">
        <x:v>50</x:v>
      </x:c>
      <x:c r="GB24" s="1976">
        <x:v>0</x:v>
      </x:c>
      <x:c r="GC24" s="1977">
        <x:v>-1</x:v>
      </x:c>
      <x:c r="GD24" s="1978">
        <x:v>-1</x:v>
      </x:c>
      <x:c r="GE24" s="1979">
        <x:v>-0.26</x:v>
      </x:c>
      <x:c r="GF24" s="1980" t="str">
        <x:f t="shared" si="96"/>
        <x:v>TJ150</x:v>
      </x:c>
      <x:c r="GG24" s="1453"/>
      <x:c r="GH24" s="1454"/>
      <x:c r="GI24" s="1453"/>
      <x:c r="GJ24" s="1454"/>
      <x:c r="GK24" s="533">
        <x:f t="shared" si="97"/>
        <x:v>598</x:v>
      </x:c>
      <x:c r="GL24" s="534">
        <x:f t="shared" si="98"/>
        <x:v>598.1403474194924</x:v>
      </x:c>
      <x:c r="GM24" s="535">
        <x:f>IF(ABS(GK24-GL24)&gt;='Job Info.'!$L$22,ABS(GK24-GL24),0)</x:f>
        <x:v>0</x:v>
      </x:c>
      <x:c r="HA24" s="1658" t="s">
        <x:v>1474</x:v>
      </x:c>
      <x:c r="HB24" s="1659">
        <x:v>8</x:v>
      </x:c>
      <x:c r="HC24" s="1659" t="s">
        <x:v>1979</x:v>
      </x:c>
      <x:c r="HD24" s="1660">
        <x:v>49</x:v>
      </x:c>
      <x:c r="HE24" s="1661">
        <x:v>10</x:v>
      </x:c>
      <x:c r="HF24" s="1659">
        <x:v>0</x:v>
      </x:c>
      <x:c r="HG24" s="1659">
        <x:v>0.625</x:v>
      </x:c>
      <x:c r="HH24" s="1659" t="s">
        <x:v>114</x:v>
      </x:c>
      <x:c r="HI24" s="1662">
        <x:v>0</x:v>
      </x:c>
      <x:c r="HJ24" s="1659">
        <x:v>0.625</x:v>
      </x:c>
      <x:c r="HK24" s="1659" t="s">
        <x:v>114</x:v>
      </x:c>
      <x:c r="HL24" s="1659">
        <x:v>3</x:v>
      </x:c>
      <x:c r="HM24" s="1659">
        <x:v>3</x:v>
      </x:c>
      <x:c r="HN24" s="1659">
        <x:v>0</x:v>
      </x:c>
      <x:c r="HO24" s="1659">
        <x:v>6.625</x:v>
      </x:c>
      <x:c r="HP24" s="1659">
        <x:v>2</x:v>
      </x:c>
      <x:c r="HQ24" s="1662">
        <x:v>0</x:v>
      </x:c>
      <x:c r="HR24" s="1659">
        <x:v>5.375</x:v>
      </x:c>
      <x:c r="HS24" s="1659">
        <x:v>2</x:v>
      </x:c>
      <x:c r="HT24" s="1659">
        <x:v>0</x:v>
      </x:c>
      <x:c r="HU24" s="1659">
        <x:v>1.5</x:v>
      </x:c>
      <x:c r="HV24" s="1659">
        <x:v>0</x:v>
      </x:c>
      <x:c r="HW24" s="1661">
        <x:v>1.5</x:v>
      </x:c>
      <x:c r="HX24" s="1661">
        <x:v>4</x:v>
      </x:c>
      <x:c r="HY24" s="1661" t="s">
        <x:v>117</x:v>
      </x:c>
      <x:c r="HZ24" s="1661" t="s">
        <x:v>117</x:v>
      </x:c>
      <x:c r="IA24" s="1661" t="s">
        <x:v>2101</x:v>
      </x:c>
      <x:c r="IB24" s="1661"/>
      <x:c r="IC24" s="1661"/>
      <x:c r="ID24" s="1661"/>
      <x:c r="IE24" s="1661"/>
      <x:c r="IF24" s="1663"/>
    </x:row>
    <x:row r="25" spans="1:240" ht="12.6" customHeight="1" x14ac:dyDescent="0.25">
      <x:c r="A25" s="1264" t="s">
        <x:v>1475</x:v>
      </x:c>
      <x:c r="B25" s="1265">
        <x:v>6</x:v>
      </x:c>
      <x:c r="C25" s="1265" t="s">
        <x:v>1979</x:v>
      </x:c>
      <x:c r="D25" s="1261">
        <x:v>49</x:v>
      </x:c>
      <x:c r="E25" s="1366">
        <x:v>11.5</x:v>
      </x:c>
      <x:c r="F25" s="1328">
        <x:v>0</x:v>
      </x:c>
      <x:c r="G25" s="1262">
        <x:v>1.375</x:v>
      </x:c>
      <x:c r="H25" s="1266" t="s">
        <x:v>114</x:v>
      </x:c>
      <x:c r="I25" s="1261">
        <x:v>0</x:v>
      </x:c>
      <x:c r="J25" s="1262">
        <x:v>1.375</x:v>
      </x:c>
      <x:c r="K25" s="1370"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x:v>0</x:v>
      </x:c>
      <x:c r="U25" s="1262">
        <x:v>2.25</x:v>
      </x:c>
      <x:c r="V25" s="1261">
        <x:v>0</x:v>
      </x:c>
      <x:c r="W25" s="1262">
        <x:v>2.25</x:v>
      </x:c>
      <x:c r="X25" s="1329">
        <x:v>4</x:v>
      </x:c>
      <x:c r="Y25" s="1377" t="str">
        <x:f t="shared" si="7"/>
        <x:v/>
      </x:c>
      <x:c r="Z25" s="1378" t="str">
        <x:f t="shared" si="8"/>
        <x:v/>
      </x:c>
      <x:c r="AA25" s="2159" t="s">
        <x:v>2167</x:v>
      </x:c>
      <x:c r="AC25" s="1226" t="b">
        <x:v>0</x:v>
      </x:c>
      <x:c r="AD25" s="525">
        <x:f t="shared" si="9"/>
        <x:v>6</x:v>
      </x:c>
      <x:c r="AE25" s="526">
        <x:f t="shared" si="10"/>
        <x:v>0</x:v>
      </x:c>
      <x:c r="AF25" s="526">
        <x:f t="shared" si="11"/>
        <x:v>0</x:v>
      </x:c>
      <x:c r="AG25" s="526">
        <x:f t="shared" si="12"/>
        <x:v>0</x:v>
      </x:c>
      <x:c r="AH25" s="527">
        <x:f t="shared" si="13"/>
        <x:v>0</x:v>
      </x:c>
      <x:c r="AI25" s="528" t="b">
        <x:v>0</x:v>
      </x:c>
      <x:c r="AJ25" s="284">
        <x:f t="shared" si="14"/>
        <x:v>30</x:v>
      </x:c>
      <x:c r="AK25" s="1063" t="str">
        <x:f t="shared" si="15"/>
        <x:v>K</x:v>
      </x:c>
      <x:c r="AL25" s="1202" t="str">
        <x:f t="shared" si="16"/>
        <x:v/>
      </x:c>
      <x:c r="AM25" s="1063">
        <x:f t="shared" si="17"/>
        <x:v>240</x:v>
      </x:c>
      <x:c r="AN25" s="1063">
        <x:f t="shared" si="18"/>
        <x:v>140</x:v>
      </x:c>
      <x:c r="AO25" s="1063" t="str">
        <x:f t="shared" si="19"/>
        <x:v/>
      </x:c>
      <x:c r="AP25" s="1063" t="b">
        <x:f>IF(ISERROR(AJ25),FALSE,IF(OR(AJ25=0,ISERROR(AL25),ISERROR(AM25),ISERROR(AN25),ISERROR(AO25)),FALSE,IF(AL25&lt;&gt;"",IF(ISERROR(VLOOKUP(SUBSTITUTE(SUBSTITUTE(C25,"R",""),"A",""),TblJoistSize!$A:$A,1,FALSE)),FALSE,TRUE),TRUE)))</x:f>
        <x:v>1</x:v>
      </x:c>
      <x:c r="AQ25" s="1305">
        <x:f t="shared" si="20"/>
        <x:v>5.375</x:v>
      </x:c>
      <x:c r="AR25" s="1305" t="b">
        <x:f t="shared" si="21"/>
        <x:v>1</x:v>
      </x:c>
      <x:c r="AS25" s="1305">
        <x:f t="shared" si="22"/>
        <x:v>5.375</x:v>
      </x:c>
      <x:c r="AT25" s="1305" t="b">
        <x:f t="shared" si="23"/>
        <x:v>1</x:v>
      </x:c>
      <x:c r="AU25" s="1203" t="str">
        <x:f t="shared" si="24"/>
        <x:v>K</x:v>
      </x:c>
      <x:c r="AV25" s="1063" t="str">
        <x:f t="shared" si="25"/>
        <x:v>K</x:v>
      </x:c>
      <x:c r="AW25" s="1063" t="str">
        <x:f t="shared" si="26"/>
        <x:v/>
      </x:c>
      <x:c r="AX25" s="1063" t="str">
        <x:f t="shared" si="99"/>
        <x:v>TJ151</x:v>
      </x:c>
      <x:c r="AY25" s="1306" t="b">
        <x:f t="shared" si="27"/>
        <x:v>0</x:v>
      </x:c>
      <x:c r="AZ25" s="1090" t="b">
        <x:f t="shared" si="28"/>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29"/>
        <x:v/>
      </x:c>
      <x:c r="CE25" s="935" t="str">
        <x:f t="shared" si="30"/>
        <x:v/>
      </x:c>
      <x:c r="CF25" s="1149"/>
      <x:c r="CG25" s="1150"/>
      <x:c r="CH25" s="738" t="str">
        <x:f t="shared" si="31"/>
        <x:v/>
      </x:c>
      <x:c r="CI25" s="739" t="str">
        <x:f t="shared" si="32"/>
        <x:v/>
      </x:c>
      <x:c r="CJ25" s="740" t="str">
        <x:f t="shared" si="33"/>
        <x:v/>
      </x:c>
      <x:c r="CK25" s="741" t="str">
        <x:f t="shared" si="34"/>
        <x:v/>
      </x:c>
      <x:c r="CL25" s="742" t="str">
        <x:f t="shared" si="35"/>
        <x:v/>
      </x:c>
      <x:c r="CM25" s="743" t="str">
        <x:f t="shared" si="36"/>
        <x:v/>
      </x:c>
      <x:c r="CN25" s="744" t="str">
        <x:f t="shared" si="37"/>
        <x:v/>
      </x:c>
      <x:c r="CO25" s="745" t="str">
        <x:f t="shared" si="38"/>
        <x:v/>
      </x:c>
      <x:c r="CP25" s="762" t="str">
        <x:f t="shared" si="39"/>
        <x:v/>
      </x:c>
      <x:c r="CQ25" s="763" t="str">
        <x:f t="shared" si="40"/>
        <x:v/>
      </x:c>
      <x:c r="CR25" s="953">
        <x:f t="shared" si="41"/>
        <x:v>2.5</x:v>
      </x:c>
      <x:c r="CS25" s="954">
        <x:f t="shared" si="42"/>
        <x:v>2.5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3"/>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4"/>
        <x:v>0</x:v>
      </x:c>
      <x:c r="DO25" s="1049">
        <x:f t="shared" si="45"/>
        <x:v>0</x:v>
      </x:c>
      <x:c r="DP25" s="1053" t="str">
        <x:f t="shared" si="46"/>
        <x:v/>
      </x:c>
      <x:c r="DQ25" s="1053" t="str">
        <x:f t="shared" si="47"/>
        <x:v/>
      </x:c>
      <x:c r="DR25" s="1053" t="str">
        <x:f t="shared" si="48"/>
        <x:v/>
      </x:c>
      <x:c r="DS25" s="1052">
        <x:f t="shared" si="49"/>
        <x:v>0</x:v>
      </x:c>
      <x:c r="DT25" s="1052">
        <x:f t="shared" si="50"/>
        <x:v>0</x:v>
      </x:c>
      <x:c r="DU25" s="1052" t="str">
        <x:f t="shared" si="51"/>
        <x:v/>
      </x:c>
      <x:c r="DV25" s="1053" t="str">
        <x:f t="shared" si="52"/>
        <x:v/>
      </x:c>
      <x:c r="DW25" s="1053" t="str">
        <x:f t="shared" si="53"/>
        <x:v/>
      </x:c>
      <x:c r="DX25" s="1269">
        <x:f t="shared" si="54"/>
        <x:v>0</x:v>
      </x:c>
      <x:c r="DY25" s="1053">
        <x:f t="shared" si="55"/>
        <x:v>0</x:v>
      </x:c>
      <x:c r="DZ25" s="1052">
        <x:f t="shared" si="56"/>
        <x:v>0</x:v>
      </x:c>
      <x:c r="EA25" s="1052" t="str">
        <x:f t="shared" si="57"/>
        <x:v/>
      </x:c>
      <x:c r="EB25" s="1053" t="str">
        <x:f t="shared" si="58"/>
        <x:v/>
      </x:c>
      <x:c r="EC25" s="1053" t="str">
        <x:f t="shared" si="59"/>
        <x:v/>
      </x:c>
      <x:c r="ED25" s="1269">
        <x:f t="shared" si="60"/>
        <x:v>0</x:v>
      </x:c>
      <x:c r="EE25" s="1090" t="str">
        <x:f t="shared" si="61"/>
        <x:v/>
      </x:c>
      <x:c r="EF25" s="1053" t="str">
        <x:f t="shared" si="62"/>
        <x:v/>
      </x:c>
      <x:c r="EG25" s="1053" t="str">
        <x:f t="shared" si="63"/>
        <x:v/>
      </x:c>
      <x:c r="EH25" s="1053" t="str">
        <x:f t="shared" si="64"/>
        <x:v>ERR</x:v>
      </x:c>
      <x:c r="EI25" s="1053" t="str">
        <x:f t="shared" si="65"/>
        <x:v>ERR</x:v>
      </x:c>
      <x:c r="EJ25" s="1053" t="str">
        <x:f t="shared" si="66"/>
        <x:v/>
      </x:c>
      <x:c r="EK25" s="1053" t="str">
        <x:f t="shared" si="66"/>
        <x:v/>
      </x:c>
      <x:c r="EL25" s="1090" t="str">
        <x:f t="shared" si="67"/>
        <x:v/>
      </x:c>
      <x:c r="EM25" s="1053" t="str">
        <x:f t="shared" si="68"/>
        <x:v/>
      </x:c>
      <x:c r="EN25" s="1053" t="str">
        <x:f t="shared" si="69"/>
        <x:v/>
      </x:c>
      <x:c r="EO25" s="1053" t="str">
        <x:f t="shared" si="70"/>
        <x:v>ERR</x:v>
      </x:c>
      <x:c r="EP25" s="1053" t="str">
        <x:f t="shared" si="71"/>
        <x:v>ERR</x:v>
      </x:c>
      <x:c r="EQ25" s="1053" t="str">
        <x:f t="shared" si="72"/>
        <x:v/>
      </x:c>
      <x:c r="ER25" s="1053" t="str">
        <x:f t="shared" si="72"/>
        <x:v/>
      </x:c>
      <x:c r="ES25" s="1053" t="str">
        <x:f t="shared" si="73"/>
        <x:v/>
      </x:c>
      <x:c r="ET25" s="1053" t="str">
        <x:f t="shared" si="74"/>
        <x:v/>
      </x:c>
      <x:c r="EU25" s="1061">
        <x:f t="shared" si="75"/>
        <x:v>3.5</x:v>
      </x:c>
      <x:c r="EV25" s="1055" t="str">
        <x:f t="shared" si="76"/>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7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78"/>
        <x:v/>
      </x:c>
      <x:c r="FD25" s="1052">
        <x:f t="shared" si="100"/>
        <x:v>0</x:v>
      </x:c>
      <x:c r="FE25" s="1052">
        <x:f t="shared" si="79"/>
        <x:v>0</x:v>
      </x:c>
      <x:c r="FF25" s="1052">
        <x:f t="shared" si="80"/>
        <x:v>0</x:v>
      </x:c>
      <x:c r="FG25" s="1052" t="str">
        <x:f t="shared" si="81"/>
        <x:v/>
      </x:c>
      <x:c r="FH25" s="1053" t="str">
        <x:f t="shared" si="82"/>
        <x:v/>
      </x:c>
      <x:c r="FI25" s="1052">
        <x:f t="shared" si="101"/>
        <x:v>0</x:v>
      </x:c>
      <x:c r="FJ25" s="1052">
        <x:f t="shared" si="83"/>
        <x:v>0</x:v>
      </x:c>
      <x:c r="FK25" s="1052">
        <x:f t="shared" si="84"/>
        <x:v>0</x:v>
      </x:c>
      <x:c r="FL25" s="1052" t="str">
        <x:f t="shared" si="85"/>
        <x:v/>
      </x:c>
      <x:c r="FM25" s="1053" t="str">
        <x:f t="shared" si="86"/>
        <x:v/>
      </x:c>
      <x:c r="FN25" s="1053" t="e">
        <x:f t="shared" si="87"/>
        <x:v>#VALUE!</x:v>
      </x:c>
      <x:c r="FO25" s="1062" t="e">
        <x:f t="shared" si="88"/>
        <x:v>#VALUE!</x:v>
      </x:c>
      <x:c r="FP25" s="1062" t="e">
        <x:f t="shared" si="89"/>
        <x:v>#VALUE!</x:v>
      </x:c>
      <x:c r="FQ25" s="1063" t="e">
        <x:f t="shared" si="90"/>
        <x:v>#VALUE!</x:v>
      </x:c>
      <x:c r="FR25" s="1064" t="e">
        <x:f t="shared" si="91"/>
        <x:v>#VALUE!</x:v>
      </x:c>
      <x:c r="FS25" s="1065" t="str">
        <x:f t="shared" si="92"/>
        <x:v/>
      </x:c>
      <x:c r="FT25" s="1066" t="str">
        <x:f t="shared" si="93"/>
        <x:v/>
      </x:c>
      <x:c r="FU25" s="1105">
        <x:f t="shared" si="94"/>
        <x:v>0</x:v>
      </x:c>
      <x:c r="FV25" s="1106">
        <x:f t="shared" si="95"/>
        <x:v>0</x:v>
      </x:c>
      <x:c r="GA25" s="1975">
        <x:v>50</x:v>
      </x:c>
      <x:c r="GB25" s="1976">
        <x:v>0</x:v>
      </x:c>
      <x:c r="GC25" s="1977">
        <x:v>-0.25</x:v>
      </x:c>
      <x:c r="GD25" s="1978">
        <x:v>-0.25</x:v>
      </x:c>
      <x:c r="GE25" s="1979">
        <x:v>-0.26</x:v>
      </x:c>
      <x:c r="GF25" s="1980" t="str">
        <x:f t="shared" si="96"/>
        <x:v>TJ151</x:v>
      </x:c>
      <x:c r="GG25" s="1453"/>
      <x:c r="GH25" s="1454"/>
      <x:c r="GI25" s="1453"/>
      <x:c r="GJ25" s="1454"/>
      <x:c r="GK25" s="533">
        <x:f t="shared" si="97"/>
        <x:v>599.5</x:v>
      </x:c>
      <x:c r="GL25" s="534">
        <x:f t="shared" si="98"/>
        <x:v>599.6406994615146</x:v>
      </x:c>
      <x:c r="GM25" s="535">
        <x:f>IF(ABS(GK25-GL25)&gt;='Job Info.'!$L$22,ABS(GK25-GL25),0)</x:f>
        <x:v>0</x:v>
      </x:c>
      <x:c r="HA25" s="1658" t="s">
        <x:v>1475</x:v>
      </x:c>
      <x:c r="HB25" s="1659">
        <x:v>6</x:v>
      </x:c>
      <x:c r="HC25" s="1659" t="s">
        <x:v>1979</x:v>
      </x:c>
      <x:c r="HD25" s="1660">
        <x:v>49</x:v>
      </x:c>
      <x:c r="HE25" s="1661">
        <x:v>11.5</x:v>
      </x:c>
      <x:c r="HF25" s="1659">
        <x:v>0</x:v>
      </x:c>
      <x:c r="HG25" s="1659">
        <x:v>1.375</x:v>
      </x:c>
      <x:c r="HH25" s="1659" t="s">
        <x:v>114</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x:v>0</x:v>
      </x:c>
      <x:c r="HU25" s="1659">
        <x:v>2.25</x:v>
      </x:c>
      <x:c r="HV25" s="1659">
        <x:v>0</x:v>
      </x:c>
      <x:c r="HW25" s="1661">
        <x:v>2.25</x:v>
      </x:c>
      <x:c r="HX25" s="1661">
        <x:v>4</x:v>
      </x:c>
      <x:c r="HY25" s="1661" t="s">
        <x:v>117</x:v>
      </x:c>
      <x:c r="HZ25" s="1661" t="s">
        <x:v>117</x:v>
      </x:c>
      <x:c r="IA25" s="1661" t="s">
        <x:v>2167</x:v>
      </x:c>
      <x:c r="IB25" s="1661"/>
      <x:c r="IC25" s="1661"/>
      <x:c r="ID25" s="1661"/>
      <x:c r="IE25" s="1661"/>
      <x:c r="IF25" s="1663"/>
    </x:row>
    <x:row r="26" spans="1:240" ht="12.6" customHeight="1" x14ac:dyDescent="0.25">
      <x:c r="A26" s="1264" t="s">
        <x:v>1476</x:v>
      </x:c>
      <x:c r="B26" s="1265">
        <x:v>10</x:v>
      </x:c>
      <x:c r="C26" s="1265" t="s">
        <x:v>1979</x:v>
      </x:c>
      <x:c r="D26" s="1261">
        <x:v>49</x:v>
      </x:c>
      <x:c r="E26" s="1366">
        <x:v>11.5</x:v>
      </x:c>
      <x:c r="F26" s="1328">
        <x:v>0</x:v>
      </x:c>
      <x:c r="G26" s="1262">
        <x:v>1.375</x:v>
      </x:c>
      <x:c r="H26" s="1266" t="s">
        <x:v>114</x:v>
      </x:c>
      <x:c r="I26" s="1261">
        <x:v>0</x:v>
      </x:c>
      <x:c r="J26" s="1262">
        <x:v>1.375</x:v>
      </x:c>
      <x:c r="K26" s="1370" t="s">
        <x:v>114</x:v>
      </x:c>
      <x:c r="L26" s="1327">
        <x:v>3</x:v>
      </x:c>
      <x:c r="M26" s="1329">
        <x:v>3</x:v>
      </x:c>
      <x:c r="N26" s="1263" t="str">
        <x:f t="shared" si="1"/>
        <x:v/>
      </x:c>
      <x:c r="O26" s="1262" t="str">
        <x:f t="shared" si="2"/>
        <x:v/>
      </x:c>
      <x:c r="P26" s="1260" t="str">
        <x:f t="shared" si="3"/>
        <x:v/>
      </x:c>
      <x:c r="Q26" s="1261" t="str">
        <x:f t="shared" si="4"/>
        <x:v/>
      </x:c>
      <x:c r="R26" s="1262" t="str">
        <x:f t="shared" si="5"/>
        <x:v/>
      </x:c>
      <x:c r="S26" s="1375" t="str">
        <x:f t="shared" si="6"/>
        <x:v/>
      </x:c>
      <x:c r="T26" s="1328">
        <x:v>0</x:v>
      </x:c>
      <x:c r="U26" s="1262">
        <x:v>2.25</x:v>
      </x:c>
      <x:c r="V26" s="1261">
        <x:v>0</x:v>
      </x:c>
      <x:c r="W26" s="1262">
        <x:v>2.25</x:v>
      </x:c>
      <x:c r="X26" s="1329">
        <x:v>4</x:v>
      </x:c>
      <x:c r="Y26" s="1377" t="str">
        <x:f t="shared" si="7"/>
        <x:v/>
      </x:c>
      <x:c r="Z26" s="1378" t="str">
        <x:f t="shared" si="8"/>
        <x:v/>
      </x:c>
      <x:c r="AA26" s="2159" t="s">
        <x:v>2169</x:v>
      </x:c>
      <x:c r="AC26" s="1226" t="b">
        <x:v>0</x:v>
      </x:c>
      <x:c r="AD26" s="525">
        <x:f t="shared" si="9"/>
        <x:v>10</x:v>
      </x:c>
      <x:c r="AE26" s="526">
        <x:f t="shared" si="10"/>
        <x:v>0</x:v>
      </x:c>
      <x:c r="AF26" s="526">
        <x:f t="shared" si="11"/>
        <x:v>0</x:v>
      </x:c>
      <x:c r="AG26" s="526">
        <x:f t="shared" si="12"/>
        <x:v>0</x:v>
      </x:c>
      <x:c r="AH26" s="527">
        <x:f t="shared" si="13"/>
        <x:v>0</x:v>
      </x:c>
      <x:c r="AI26" s="528" t="b">
        <x:v>0</x:v>
      </x:c>
      <x:c r="AJ26" s="284">
        <x:f t="shared" si="14"/>
        <x:v>30</x:v>
      </x:c>
      <x:c r="AK26" s="1063" t="str">
        <x:f t="shared" si="15"/>
        <x:v>K</x:v>
      </x:c>
      <x:c r="AL26" s="1202" t="str">
        <x:f t="shared" si="16"/>
        <x:v/>
      </x:c>
      <x:c r="AM26" s="1063">
        <x:f t="shared" si="17"/>
        <x:v>240</x:v>
      </x:c>
      <x:c r="AN26" s="1063">
        <x:f t="shared" si="18"/>
        <x:v>140</x:v>
      </x:c>
      <x:c r="AO26" s="1063" t="str">
        <x:f t="shared" si="19"/>
        <x:v/>
      </x:c>
      <x:c r="AP26" s="1063" t="b">
        <x:f>IF(ISERROR(AJ26),FALSE,IF(OR(AJ26=0,ISERROR(AL26),ISERROR(AM26),ISERROR(AN26),ISERROR(AO26)),FALSE,IF(AL26&lt;&gt;"",IF(ISERROR(VLOOKUP(SUBSTITUTE(SUBSTITUTE(C26,"R",""),"A",""),TblJoistSize!$A:$A,1,FALSE)),FALSE,TRUE),TRUE)))</x:f>
        <x:v>1</x:v>
      </x:c>
      <x:c r="AQ26" s="1305">
        <x:f t="shared" si="20"/>
        <x:v>5.375</x:v>
      </x:c>
      <x:c r="AR26" s="1305" t="b">
        <x:f t="shared" si="21"/>
        <x:v>1</x:v>
      </x:c>
      <x:c r="AS26" s="1305">
        <x:f t="shared" si="22"/>
        <x:v>5.375</x:v>
      </x:c>
      <x:c r="AT26" s="1305" t="b">
        <x:f t="shared" si="23"/>
        <x:v>1</x:v>
      </x:c>
      <x:c r="AU26" s="1203" t="str">
        <x:f t="shared" si="24"/>
        <x:v>K</x:v>
      </x:c>
      <x:c r="AV26" s="1063" t="str">
        <x:f t="shared" si="25"/>
        <x:v>K</x:v>
      </x:c>
      <x:c r="AW26" s="1063" t="str">
        <x:f t="shared" si="26"/>
        <x:v/>
      </x:c>
      <x:c r="AX26" s="1063" t="str">
        <x:f t="shared" si="99"/>
        <x:v>TJ152</x:v>
      </x:c>
      <x:c r="AY26" s="1306" t="b">
        <x:f t="shared" si="27"/>
        <x:v>0</x:v>
      </x:c>
      <x:c r="AZ26" s="1090" t="b">
        <x:f t="shared" si="28"/>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29"/>
        <x:v/>
      </x:c>
      <x:c r="CE26" s="935" t="str">
        <x:f t="shared" si="30"/>
        <x:v/>
      </x:c>
      <x:c r="CF26" s="1149"/>
      <x:c r="CG26" s="1150"/>
      <x:c r="CH26" s="738" t="str">
        <x:f t="shared" si="31"/>
        <x:v/>
      </x:c>
      <x:c r="CI26" s="739" t="str">
        <x:f t="shared" si="32"/>
        <x:v/>
      </x:c>
      <x:c r="CJ26" s="740" t="str">
        <x:f t="shared" si="33"/>
        <x:v/>
      </x:c>
      <x:c r="CK26" s="741" t="str">
        <x:f t="shared" si="34"/>
        <x:v/>
      </x:c>
      <x:c r="CL26" s="742" t="str">
        <x:f t="shared" si="35"/>
        <x:v/>
      </x:c>
      <x:c r="CM26" s="743" t="str">
        <x:f t="shared" si="36"/>
        <x:v/>
      </x:c>
      <x:c r="CN26" s="744" t="str">
        <x:f t="shared" si="37"/>
        <x:v/>
      </x:c>
      <x:c r="CO26" s="745" t="str">
        <x:f t="shared" si="38"/>
        <x:v/>
      </x:c>
      <x:c r="CP26" s="762" t="str">
        <x:f t="shared" si="39"/>
        <x:v/>
      </x:c>
      <x:c r="CQ26" s="763" t="str">
        <x:f t="shared" si="40"/>
        <x:v/>
      </x:c>
      <x:c r="CR26" s="953">
        <x:f t="shared" si="41"/>
        <x:v>2.5</x:v>
      </x:c>
      <x:c r="CS26" s="954">
        <x:f t="shared" si="42"/>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3"/>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4"/>
        <x:v>0</x:v>
      </x:c>
      <x:c r="DO26" s="1049">
        <x:f t="shared" si="45"/>
        <x:v>0</x:v>
      </x:c>
      <x:c r="DP26" s="1053" t="str">
        <x:f t="shared" si="46"/>
        <x:v/>
      </x:c>
      <x:c r="DQ26" s="1053" t="str">
        <x:f t="shared" si="47"/>
        <x:v/>
      </x:c>
      <x:c r="DR26" s="1053" t="str">
        <x:f t="shared" si="48"/>
        <x:v/>
      </x:c>
      <x:c r="DS26" s="1052">
        <x:f t="shared" si="49"/>
        <x:v>0</x:v>
      </x:c>
      <x:c r="DT26" s="1052">
        <x:f t="shared" si="50"/>
        <x:v>0</x:v>
      </x:c>
      <x:c r="DU26" s="1052" t="str">
        <x:f t="shared" si="51"/>
        <x:v/>
      </x:c>
      <x:c r="DV26" s="1053" t="str">
        <x:f t="shared" si="52"/>
        <x:v/>
      </x:c>
      <x:c r="DW26" s="1053" t="str">
        <x:f t="shared" si="53"/>
        <x:v/>
      </x:c>
      <x:c r="DX26" s="1269">
        <x:f t="shared" si="54"/>
        <x:v>0</x:v>
      </x:c>
      <x:c r="DY26" s="1053">
        <x:f t="shared" si="55"/>
        <x:v>0</x:v>
      </x:c>
      <x:c r="DZ26" s="1052">
        <x:f t="shared" si="56"/>
        <x:v>0</x:v>
      </x:c>
      <x:c r="EA26" s="1052" t="str">
        <x:f t="shared" si="57"/>
        <x:v/>
      </x:c>
      <x:c r="EB26" s="1053" t="str">
        <x:f t="shared" si="58"/>
        <x:v/>
      </x:c>
      <x:c r="EC26" s="1053" t="str">
        <x:f t="shared" si="59"/>
        <x:v/>
      </x:c>
      <x:c r="ED26" s="1269">
        <x:f t="shared" si="60"/>
        <x:v>0</x:v>
      </x:c>
      <x:c r="EE26" s="1090" t="str">
        <x:f t="shared" si="61"/>
        <x:v/>
      </x:c>
      <x:c r="EF26" s="1053" t="str">
        <x:f t="shared" si="62"/>
        <x:v/>
      </x:c>
      <x:c r="EG26" s="1053" t="str">
        <x:f t="shared" si="63"/>
        <x:v/>
      </x:c>
      <x:c r="EH26" s="1053" t="str">
        <x:f t="shared" si="64"/>
        <x:v>ERR</x:v>
      </x:c>
      <x:c r="EI26" s="1053" t="str">
        <x:f t="shared" si="65"/>
        <x:v>ERR</x:v>
      </x:c>
      <x:c r="EJ26" s="1053" t="str">
        <x:f t="shared" si="66"/>
        <x:v/>
      </x:c>
      <x:c r="EK26" s="1053" t="str">
        <x:f t="shared" si="66"/>
        <x:v/>
      </x:c>
      <x:c r="EL26" s="1090" t="str">
        <x:f t="shared" si="67"/>
        <x:v/>
      </x:c>
      <x:c r="EM26" s="1053" t="str">
        <x:f t="shared" si="68"/>
        <x:v/>
      </x:c>
      <x:c r="EN26" s="1053" t="str">
        <x:f t="shared" si="69"/>
        <x:v/>
      </x:c>
      <x:c r="EO26" s="1053" t="str">
        <x:f t="shared" si="70"/>
        <x:v>ERR</x:v>
      </x:c>
      <x:c r="EP26" s="1053" t="str">
        <x:f t="shared" si="71"/>
        <x:v>ERR</x:v>
      </x:c>
      <x:c r="EQ26" s="1053" t="str">
        <x:f t="shared" si="72"/>
        <x:v/>
      </x:c>
      <x:c r="ER26" s="1053" t="str">
        <x:f t="shared" si="72"/>
        <x:v/>
      </x:c>
      <x:c r="ES26" s="1053" t="str">
        <x:f t="shared" si="73"/>
        <x:v/>
      </x:c>
      <x:c r="ET26" s="1053" t="str">
        <x:f t="shared" si="74"/>
        <x:v/>
      </x:c>
      <x:c r="EU26" s="1061">
        <x:f t="shared" si="75"/>
        <x:v>3.5</x:v>
      </x:c>
      <x:c r="EV26" s="1055" t="str">
        <x:f t="shared" si="76"/>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7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78"/>
        <x:v/>
      </x:c>
      <x:c r="FD26" s="1052">
        <x:f t="shared" si="100"/>
        <x:v>0</x:v>
      </x:c>
      <x:c r="FE26" s="1052">
        <x:f t="shared" si="79"/>
        <x:v>0</x:v>
      </x:c>
      <x:c r="FF26" s="1052">
        <x:f t="shared" si="80"/>
        <x:v>0</x:v>
      </x:c>
      <x:c r="FG26" s="1052" t="str">
        <x:f t="shared" si="81"/>
        <x:v/>
      </x:c>
      <x:c r="FH26" s="1053" t="str">
        <x:f t="shared" si="82"/>
        <x:v/>
      </x:c>
      <x:c r="FI26" s="1052">
        <x:f t="shared" si="101"/>
        <x:v>0</x:v>
      </x:c>
      <x:c r="FJ26" s="1052">
        <x:f t="shared" si="83"/>
        <x:v>0</x:v>
      </x:c>
      <x:c r="FK26" s="1052">
        <x:f t="shared" si="84"/>
        <x:v>0</x:v>
      </x:c>
      <x:c r="FL26" s="1052" t="str">
        <x:f t="shared" si="85"/>
        <x:v/>
      </x:c>
      <x:c r="FM26" s="1053" t="str">
        <x:f t="shared" si="86"/>
        <x:v/>
      </x:c>
      <x:c r="FN26" s="1053" t="e">
        <x:f t="shared" si="87"/>
        <x:v>#VALUE!</x:v>
      </x:c>
      <x:c r="FO26" s="1062" t="e">
        <x:f t="shared" si="88"/>
        <x:v>#VALUE!</x:v>
      </x:c>
      <x:c r="FP26" s="1062" t="e">
        <x:f t="shared" si="89"/>
        <x:v>#VALUE!</x:v>
      </x:c>
      <x:c r="FQ26" s="1063" t="e">
        <x:f t="shared" si="90"/>
        <x:v>#VALUE!</x:v>
      </x:c>
      <x:c r="FR26" s="1064" t="e">
        <x:f t="shared" si="91"/>
        <x:v>#VALUE!</x:v>
      </x:c>
      <x:c r="FS26" s="1065" t="str">
        <x:f t="shared" si="92"/>
        <x:v/>
      </x:c>
      <x:c r="FT26" s="1066" t="str">
        <x:f t="shared" si="93"/>
        <x:v/>
      </x:c>
      <x:c r="FU26" s="1105">
        <x:f t="shared" si="94"/>
        <x:v>0</x:v>
      </x:c>
      <x:c r="FV26" s="1106">
        <x:f t="shared" si="95"/>
        <x:v>0</x:v>
      </x:c>
      <x:c r="GA26" s="1975">
        <x:v>50</x:v>
      </x:c>
      <x:c r="GB26" s="1976">
        <x:v>0</x:v>
      </x:c>
      <x:c r="GC26" s="1977">
        <x:v>-0.25</x:v>
      </x:c>
      <x:c r="GD26" s="1978">
        <x:v>-0.25</x:v>
      </x:c>
      <x:c r="GE26" s="1979">
        <x:v>-0.26</x:v>
      </x:c>
      <x:c r="GF26" s="1980" t="str">
        <x:f t="shared" si="96"/>
        <x:v>TJ152</x:v>
      </x:c>
      <x:c r="GG26" s="1453"/>
      <x:c r="GH26" s="1454"/>
      <x:c r="GI26" s="1453"/>
      <x:c r="GJ26" s="1454"/>
      <x:c r="GK26" s="533">
        <x:f t="shared" si="97"/>
        <x:v>599.5</x:v>
      </x:c>
      <x:c r="GL26" s="534">
        <x:f t="shared" si="98"/>
        <x:v>599.6406994615146</x:v>
      </x:c>
      <x:c r="GM26" s="535">
        <x:f>IF(ABS(GK26-GL26)&gt;='Job Info.'!$L$22,ABS(GK26-GL26),0)</x:f>
        <x:v>0</x:v>
      </x:c>
      <x:c r="HA26" s="1658" t="s">
        <x:v>1476</x:v>
      </x:c>
      <x:c r="HB26" s="1659">
        <x:v>10</x:v>
      </x:c>
      <x:c r="HC26" s="1659" t="s">
        <x:v>1979</x:v>
      </x:c>
      <x:c r="HD26" s="1660">
        <x:v>49</x:v>
      </x:c>
      <x:c r="HE26" s="1661">
        <x:v>11.5</x:v>
      </x:c>
      <x:c r="HF26" s="1659">
        <x:v>0</x:v>
      </x:c>
      <x:c r="HG26" s="1659">
        <x:v>1.375</x:v>
      </x:c>
      <x:c r="HH26" s="1659" t="s">
        <x:v>114</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x:v>0</x:v>
      </x:c>
      <x:c r="HU26" s="1659">
        <x:v>2.25</x:v>
      </x:c>
      <x:c r="HV26" s="1659">
        <x:v>0</x:v>
      </x:c>
      <x:c r="HW26" s="1661">
        <x:v>2.25</x:v>
      </x:c>
      <x:c r="HX26" s="1661">
        <x:v>4</x:v>
      </x:c>
      <x:c r="HY26" s="1661" t="s">
        <x:v>117</x:v>
      </x:c>
      <x:c r="HZ26" s="1661" t="s">
        <x:v>117</x:v>
      </x:c>
      <x:c r="IA26" s="1661" t="s">
        <x:v>2169</x:v>
      </x:c>
      <x:c r="IB26" s="1661"/>
      <x:c r="IC26" s="1661"/>
      <x:c r="ID26" s="1661"/>
      <x:c r="IE26" s="1661"/>
      <x:c r="IF26" s="1663"/>
    </x:row>
    <x:row r="27" spans="1:240" ht="12.6" customHeight="1" x14ac:dyDescent="0.25">
      <x:c r="A27" s="1264" t="s">
        <x:v>1477</x:v>
      </x:c>
      <x:c r="B27" s="1265">
        <x:v>2</x:v>
      </x:c>
      <x:c r="C27" s="1265" t="s">
        <x:v>1979</x:v>
      </x:c>
      <x:c r="D27" s="1261">
        <x:v>49</x:v>
      </x:c>
      <x:c r="E27" s="1366">
        <x:v>0.625</x:v>
      </x:c>
      <x:c r="F27" s="1328">
        <x:v>0</x:v>
      </x:c>
      <x:c r="G27" s="1262">
        <x:v>1.375</x:v>
      </x:c>
      <x:c r="H27" s="1266" t="s">
        <x:v>114</x:v>
      </x:c>
      <x:c r="I27" s="1261" t="str">
        <x:f t="shared" ref="I27:I44" si="107">IF(ED27=0,"",TRUNC(ED27/12))</x:f>
        <x:v/>
      </x:c>
      <x:c r="J27" s="1262" t="str">
        <x:f t="shared" ref="J27:J44" si="108">IF(ED27=0,"",ED27-(I27*12))</x:f>
        <x:v/>
      </x:c>
      <x:c r="K27" s="1370" t="str">
        <x:f t="shared" ref="K27:K44" si="109">IF(ED27=0,"",DG27)</x:f>
        <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102"/>
        <x:v/>
      </x:c>
      <x:c r="U27" s="1262" t="str">
        <x:f t="shared" si="103"/>
        <x:v/>
      </x:c>
      <x:c r="V27" s="1261" t="str">
        <x:f t="shared" si="104"/>
        <x:v/>
      </x:c>
      <x:c r="W27" s="1262" t="str">
        <x:f t="shared" si="105"/>
        <x:v/>
      </x:c>
      <x:c r="X27" s="1329">
        <x:f t="shared" si="106"/>
        <x:v>0</x:v>
      </x:c>
      <x:c r="Y27" s="1377" t="str">
        <x:f t="shared" si="7"/>
        <x:v/>
      </x:c>
      <x:c r="Z27" s="1378" t="str">
        <x:f t="shared" si="8"/>
        <x:v/>
      </x:c>
      <x:c r="AA27" s="2159" t="s">
        <x:v>2172</x:v>
      </x:c>
      <x:c r="AC27" s="1226" t="b">
        <x:v>0</x:v>
      </x:c>
      <x:c r="AD27" s="525">
        <x:f t="shared" si="9"/>
        <x:v>2</x:v>
      </x:c>
      <x:c r="AE27" s="526">
        <x:f t="shared" si="10"/>
        <x:v>0</x:v>
      </x:c>
      <x:c r="AF27" s="526">
        <x:f t="shared" si="11"/>
        <x:v>0</x:v>
      </x:c>
      <x:c r="AG27" s="526">
        <x:f t="shared" si="12"/>
        <x:v>0</x:v>
      </x:c>
      <x:c r="AH27" s="527">
        <x:f t="shared" si="13"/>
        <x:v>0</x:v>
      </x:c>
      <x:c r="AI27" s="528" t="b">
        <x:v>0</x:v>
      </x:c>
      <x:c r="AJ27" s="284">
        <x:f t="shared" si="14"/>
        <x:v>30</x:v>
      </x:c>
      <x:c r="AK27" s="1063" t="str">
        <x:f t="shared" si="15"/>
        <x:v>K</x:v>
      </x:c>
      <x:c r="AL27" s="1202" t="str">
        <x:f t="shared" si="16"/>
        <x:v/>
      </x:c>
      <x:c r="AM27" s="1063">
        <x:f t="shared" si="17"/>
        <x:v>240</x:v>
      </x:c>
      <x:c r="AN27" s="1063">
        <x:f t="shared" si="18"/>
        <x:v>140</x:v>
      </x:c>
      <x:c r="AO27" s="1063" t="str">
        <x:f t="shared" si="19"/>
        <x:v/>
      </x:c>
      <x:c r="AP27" s="1063" t="b">
        <x:f>IF(ISERROR(AJ27),FALSE,IF(OR(AJ27=0,ISERROR(AL27),ISERROR(AM27),ISERROR(AN27),ISERROR(AO27)),FALSE,IF(AL27&lt;&gt;"",IF(ISERROR(VLOOKUP(SUBSTITUTE(SUBSTITUTE(C27,"R",""),"A",""),TblJoistSize!$A:$A,1,FALSE)),FALSE,TRUE),TRUE)))</x:f>
        <x:v>1</x:v>
      </x:c>
      <x:c r="AQ27" s="1305">
        <x:f t="shared" si="20"/>
        <x:v>5.375</x:v>
      </x:c>
      <x:c r="AR27" s="1305" t="b">
        <x:f t="shared" si="21"/>
        <x:v>0</x:v>
      </x:c>
      <x:c r="AS27" s="1305">
        <x:f t="shared" si="22"/>
        <x:v>4</x:v>
      </x:c>
      <x:c r="AT27" s="1305" t="b">
        <x:f t="shared" si="23"/>
        <x:v>0</x:v>
      </x:c>
      <x:c r="AU27" s="1203" t="str">
        <x:f t="shared" si="24"/>
        <x:v>K</x:v>
      </x:c>
      <x:c r="AV27" s="1063" t="str">
        <x:f t="shared" si="25"/>
        <x:v>K</x:v>
      </x:c>
      <x:c r="AW27" s="1063" t="str">
        <x:f t="shared" si="26"/>
        <x:v/>
      </x:c>
      <x:c r="AX27" s="1063" t="str">
        <x:f t="shared" si="99"/>
        <x:v>J153</x:v>
      </x:c>
      <x:c r="AY27" s="1306" t="b">
        <x:f t="shared" si="27"/>
        <x:v>0</x:v>
      </x:c>
      <x:c r="AZ27" s="1090" t="b">
        <x:f t="shared" si="28"/>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29"/>
        <x:v/>
      </x:c>
      <x:c r="CE27" s="935" t="str">
        <x:f t="shared" si="30"/>
        <x:v/>
      </x:c>
      <x:c r="CF27" s="1149"/>
      <x:c r="CG27" s="1150"/>
      <x:c r="CH27" s="738" t="str">
        <x:f t="shared" si="31"/>
        <x:v/>
      </x:c>
      <x:c r="CI27" s="739" t="str">
        <x:f t="shared" si="32"/>
        <x:v/>
      </x:c>
      <x:c r="CJ27" s="740" t="str">
        <x:f t="shared" si="33"/>
        <x:v/>
      </x:c>
      <x:c r="CK27" s="741" t="str">
        <x:f t="shared" si="34"/>
        <x:v/>
      </x:c>
      <x:c r="CL27" s="742" t="str">
        <x:f t="shared" si="35"/>
        <x:v/>
      </x:c>
      <x:c r="CM27" s="743" t="str">
        <x:f t="shared" si="36"/>
        <x:v/>
      </x:c>
      <x:c r="CN27" s="744" t="str">
        <x:f t="shared" si="37"/>
        <x:v/>
      </x:c>
      <x:c r="CO27" s="745" t="str">
        <x:f t="shared" si="38"/>
        <x:v/>
      </x:c>
      <x:c r="CP27" s="762" t="str">
        <x:f t="shared" si="39"/>
        <x:v/>
      </x:c>
      <x:c r="CQ27" s="763" t="str">
        <x:f t="shared" si="40"/>
        <x:v/>
      </x:c>
      <x:c r="CR27" s="953">
        <x:f t="shared" si="41"/>
        <x:v>2.5</x:v>
      </x:c>
      <x:c r="CS27" s="954">
        <x:f t="shared" si="42"/>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3"/>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4"/>
        <x:v>0</x:v>
      </x:c>
      <x:c r="DO27" s="1049">
        <x:f t="shared" si="45"/>
        <x:v>0</x:v>
      </x:c>
      <x:c r="DP27" s="1053" t="str">
        <x:f t="shared" si="46"/>
        <x:v/>
      </x:c>
      <x:c r="DQ27" s="1053" t="str">
        <x:f t="shared" si="47"/>
        <x:v/>
      </x:c>
      <x:c r="DR27" s="1053" t="str">
        <x:f t="shared" si="48"/>
        <x:v/>
      </x:c>
      <x:c r="DS27" s="1052">
        <x:f t="shared" si="49"/>
        <x:v>0</x:v>
      </x:c>
      <x:c r="DT27" s="1052">
        <x:f t="shared" si="50"/>
        <x:v>0</x:v>
      </x:c>
      <x:c r="DU27" s="1052" t="str">
        <x:f t="shared" si="51"/>
        <x:v/>
      </x:c>
      <x:c r="DV27" s="1053" t="str">
        <x:f t="shared" si="52"/>
        <x:v/>
      </x:c>
      <x:c r="DW27" s="1053" t="str">
        <x:f t="shared" si="53"/>
        <x:v/>
      </x:c>
      <x:c r="DX27" s="1269">
        <x:f t="shared" si="54"/>
        <x:v>0</x:v>
      </x:c>
      <x:c r="DY27" s="1053">
        <x:f t="shared" si="55"/>
        <x:v>0</x:v>
      </x:c>
      <x:c r="DZ27" s="1052">
        <x:f t="shared" si="56"/>
        <x:v>0</x:v>
      </x:c>
      <x:c r="EA27" s="1052" t="str">
        <x:f t="shared" si="57"/>
        <x:v/>
      </x:c>
      <x:c r="EB27" s="1053" t="str">
        <x:f t="shared" si="58"/>
        <x:v/>
      </x:c>
      <x:c r="EC27" s="1053" t="str">
        <x:f t="shared" si="59"/>
        <x:v/>
      </x:c>
      <x:c r="ED27" s="1269">
        <x:f t="shared" si="60"/>
        <x:v>0</x:v>
      </x:c>
      <x:c r="EE27" s="1090" t="str">
        <x:f t="shared" si="61"/>
        <x:v/>
      </x:c>
      <x:c r="EF27" s="1053" t="str">
        <x:f t="shared" si="62"/>
        <x:v/>
      </x:c>
      <x:c r="EG27" s="1053" t="str">
        <x:f t="shared" si="63"/>
        <x:v/>
      </x:c>
      <x:c r="EH27" s="1053" t="str">
        <x:f t="shared" si="64"/>
        <x:v>ERR</x:v>
      </x:c>
      <x:c r="EI27" s="1053" t="str">
        <x:f t="shared" si="65"/>
        <x:v>ERR</x:v>
      </x:c>
      <x:c r="EJ27" s="1053" t="str">
        <x:f t="shared" si="66"/>
        <x:v/>
      </x:c>
      <x:c r="EK27" s="1053" t="str">
        <x:f t="shared" si="66"/>
        <x:v/>
      </x:c>
      <x:c r="EL27" s="1090" t="str">
        <x:f t="shared" si="67"/>
        <x:v/>
      </x:c>
      <x:c r="EM27" s="1053" t="str">
        <x:f t="shared" si="68"/>
        <x:v/>
      </x:c>
      <x:c r="EN27" s="1053" t="str">
        <x:f t="shared" si="69"/>
        <x:v/>
      </x:c>
      <x:c r="EO27" s="1053" t="str">
        <x:f t="shared" si="70"/>
        <x:v>ERR</x:v>
      </x:c>
      <x:c r="EP27" s="1053" t="str">
        <x:f t="shared" si="71"/>
        <x:v>ERR</x:v>
      </x:c>
      <x:c r="EQ27" s="1053" t="str">
        <x:f t="shared" si="72"/>
        <x:v/>
      </x:c>
      <x:c r="ER27" s="1053" t="str">
        <x:f t="shared" si="72"/>
        <x:v/>
      </x:c>
      <x:c r="ES27" s="1053" t="str">
        <x:f t="shared" si="73"/>
        <x:v/>
      </x:c>
      <x:c r="ET27" s="1053" t="str">
        <x:f t="shared" si="74"/>
        <x:v/>
      </x:c>
      <x:c r="EU27" s="1061">
        <x:f t="shared" si="75"/>
        <x:v>3.5</x:v>
      </x:c>
      <x:c r="EV27" s="1055" t="str">
        <x:f t="shared" si="76"/>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7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78"/>
        <x:v/>
      </x:c>
      <x:c r="FD27" s="1052">
        <x:f t="shared" si="100"/>
        <x:v>0</x:v>
      </x:c>
      <x:c r="FE27" s="1052">
        <x:f t="shared" si="79"/>
        <x:v>0</x:v>
      </x:c>
      <x:c r="FF27" s="1052">
        <x:f t="shared" si="80"/>
        <x:v>0</x:v>
      </x:c>
      <x:c r="FG27" s="1052" t="str">
        <x:f t="shared" si="81"/>
        <x:v/>
      </x:c>
      <x:c r="FH27" s="1053" t="str">
        <x:f t="shared" si="82"/>
        <x:v/>
      </x:c>
      <x:c r="FI27" s="1052">
        <x:f t="shared" si="101"/>
        <x:v>0</x:v>
      </x:c>
      <x:c r="FJ27" s="1052">
        <x:f t="shared" si="83"/>
        <x:v>0</x:v>
      </x:c>
      <x:c r="FK27" s="1052">
        <x:f t="shared" si="84"/>
        <x:v>0</x:v>
      </x:c>
      <x:c r="FL27" s="1052" t="str">
        <x:f t="shared" si="85"/>
        <x:v/>
      </x:c>
      <x:c r="FM27" s="1053" t="str">
        <x:f t="shared" si="86"/>
        <x:v/>
      </x:c>
      <x:c r="FN27" s="1053" t="e">
        <x:f t="shared" si="87"/>
        <x:v>#VALUE!</x:v>
      </x:c>
      <x:c r="FO27" s="1062" t="e">
        <x:f t="shared" si="88"/>
        <x:v>#VALUE!</x:v>
      </x:c>
      <x:c r="FP27" s="1062" t="e">
        <x:f t="shared" si="89"/>
        <x:v>#VALUE!</x:v>
      </x:c>
      <x:c r="FQ27" s="1063" t="e">
        <x:f t="shared" si="90"/>
        <x:v>#VALUE!</x:v>
      </x:c>
      <x:c r="FR27" s="1064" t="e">
        <x:f t="shared" si="91"/>
        <x:v>#VALUE!</x:v>
      </x:c>
      <x:c r="FS27" s="1065" t="str">
        <x:f t="shared" si="92"/>
        <x:v/>
      </x:c>
      <x:c r="FT27" s="1066" t="str">
        <x:f t="shared" si="93"/>
        <x:v/>
      </x:c>
      <x:c r="FU27" s="1105">
        <x:f t="shared" si="94"/>
        <x:v>0</x:v>
      </x:c>
      <x:c r="FV27" s="1106">
        <x:f t="shared" si="95"/>
        <x:v>0</x:v>
      </x:c>
      <x:c r="GA27" s="1975">
        <x:v>49</x:v>
      </x:c>
      <x:c r="GB27" s="1976">
        <x:v>2.75</x:v>
      </x:c>
      <x:c r="GC27" s="1977">
        <x:v>-0.25</x:v>
      </x:c>
      <x:c r="GD27" s="1978">
        <x:v>-1.875</x:v>
      </x:c>
      <x:c r="GE27" s="1979">
        <x:v>-0.314853999153618</x:v>
      </x:c>
      <x:c r="GF27" s="1980" t="str">
        <x:f t="shared" si="96"/>
        <x:v>J153</x:v>
      </x:c>
      <x:c r="GG27" s="1453"/>
      <x:c r="GH27" s="1454"/>
      <x:c r="GI27" s="1453"/>
      <x:c r="GJ27" s="1454"/>
      <x:c r="GK27" s="533">
        <x:f t="shared" si="97"/>
        <x:v>588.625</x:v>
      </x:c>
      <x:c r="GL27" s="534">
        <x:f t="shared" si="98"/>
        <x:v>588.827576898703</x:v>
      </x:c>
      <x:c r="GM27" s="535">
        <x:f>IF(ABS(GK27-GL27)&gt;='Job Info.'!$L$22,ABS(GK27-GL27),0)</x:f>
        <x:v>0</x:v>
      </x:c>
      <x:c r="HA27" s="1658" t="s">
        <x:v>1477</x:v>
      </x:c>
      <x:c r="HB27" s="1659">
        <x:v>2</x:v>
      </x:c>
      <x:c r="HC27" s="1659" t="s">
        <x:v>1979</x:v>
      </x:c>
      <x:c r="HD27" s="1660">
        <x:v>49</x:v>
      </x:c>
      <x:c r="HE27" s="1661">
        <x:v>0.625</x:v>
      </x:c>
      <x:c r="HF27" s="1659">
        <x:v>0</x:v>
      </x:c>
      <x:c r="HG27" s="1659">
        <x:v>1.375</x:v>
      </x:c>
      <x:c r="HH27" s="1659" t="s">
        <x:v>114</x:v>
      </x:c>
      <x:c r="HI27" s="1662" t="s">
        <x:v>117</x:v>
      </x:c>
      <x:c r="HJ27" s="1659" t="s">
        <x:v>117</x:v>
      </x:c>
      <x:c r="HK27" s="1659" t="s">
        <x:v>117</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2172</x:v>
      </x:c>
      <x:c r="IB27" s="1661"/>
      <x:c r="IC27" s="1661"/>
      <x:c r="ID27" s="1661"/>
      <x:c r="IE27" s="1661"/>
      <x:c r="IF27" s="1663"/>
    </x:row>
    <x:row r="28" spans="1:240" ht="12.6" customHeight="1" x14ac:dyDescent="0.25">
      <x:c r="A28" s="1264" t="s">
        <x:v>1478</x:v>
      </x:c>
      <x:c r="B28" s="1265">
        <x:v>1</x:v>
      </x:c>
      <x:c r="C28" s="1265" t="s">
        <x:v>1979</x:v>
      </x:c>
      <x:c r="D28" s="1261">
        <x:v>49</x:v>
      </x:c>
      <x:c r="E28" s="1366">
        <x:v>0.625</x:v>
      </x:c>
      <x:c r="F28" s="1328">
        <x:v>0</x:v>
      </x:c>
      <x:c r="G28" s="1262">
        <x:v>1.375</x:v>
      </x:c>
      <x:c r="H28" s="1266" t="s">
        <x:v>114</x:v>
      </x:c>
      <x:c r="I28" s="1261" t="str">
        <x:f t="shared" si="107"/>
        <x:v/>
      </x:c>
      <x:c r="J28" s="1262" t="str">
        <x:f t="shared" si="108"/>
        <x:v/>
      </x:c>
      <x:c r="K28" s="1370" t="str">
        <x:f t="shared" si="109"/>
        <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102"/>
        <x:v/>
      </x:c>
      <x:c r="U28" s="1262" t="str">
        <x:f t="shared" si="103"/>
        <x:v/>
      </x:c>
      <x:c r="V28" s="1261" t="str">
        <x:f t="shared" si="104"/>
        <x:v/>
      </x:c>
      <x:c r="W28" s="1262" t="str">
        <x:f t="shared" si="105"/>
        <x:v/>
      </x:c>
      <x:c r="X28" s="1329">
        <x:f t="shared" si="106"/>
        <x:v>0</x:v>
      </x:c>
      <x:c r="Y28" s="1377" t="str">
        <x:f t="shared" si="7"/>
        <x:v/>
      </x:c>
      <x:c r="Z28" s="1378" t="str">
        <x:f t="shared" si="8"/>
        <x:v/>
      </x:c>
      <x:c r="AA28" s="2159" t="s">
        <x:v>2173</x:v>
      </x:c>
      <x:c r="AC28" s="1226" t="b">
        <x:v>0</x:v>
      </x:c>
      <x:c r="AD28" s="525">
        <x:f t="shared" si="9"/>
        <x:v>1</x:v>
      </x:c>
      <x:c r="AE28" s="526">
        <x:f t="shared" si="10"/>
        <x:v>0</x:v>
      </x:c>
      <x:c r="AF28" s="526">
        <x:f t="shared" si="11"/>
        <x:v>0</x:v>
      </x:c>
      <x:c r="AG28" s="526">
        <x:f t="shared" si="12"/>
        <x:v>0</x:v>
      </x:c>
      <x:c r="AH28" s="527">
        <x:f t="shared" si="13"/>
        <x:v>0</x:v>
      </x:c>
      <x:c r="AI28" s="528" t="b">
        <x:v>0</x:v>
      </x:c>
      <x:c r="AJ28" s="284">
        <x:f t="shared" si="14"/>
        <x:v>30</x:v>
      </x:c>
      <x:c r="AK28" s="1063" t="str">
        <x:f t="shared" si="15"/>
        <x:v>K</x:v>
      </x:c>
      <x:c r="AL28" s="1202" t="str">
        <x:f t="shared" si="16"/>
        <x:v/>
      </x:c>
      <x:c r="AM28" s="1063">
        <x:f t="shared" si="17"/>
        <x:v>240</x:v>
      </x:c>
      <x:c r="AN28" s="1063">
        <x:f t="shared" si="18"/>
        <x:v>140</x:v>
      </x:c>
      <x:c r="AO28" s="1063" t="str">
        <x:f t="shared" si="19"/>
        <x:v/>
      </x:c>
      <x:c r="AP28" s="1063" t="b">
        <x:f>IF(ISERROR(AJ28),FALSE,IF(OR(AJ28=0,ISERROR(AL28),ISERROR(AM28),ISERROR(AN28),ISERROR(AO28)),FALSE,IF(AL28&lt;&gt;"",IF(ISERROR(VLOOKUP(SUBSTITUTE(SUBSTITUTE(C28,"R",""),"A",""),TblJoistSize!$A:$A,1,FALSE)),FALSE,TRUE),TRUE)))</x:f>
        <x:v>1</x:v>
      </x:c>
      <x:c r="AQ28" s="1305">
        <x:f t="shared" si="20"/>
        <x:v>5.375</x:v>
      </x:c>
      <x:c r="AR28" s="1305" t="b">
        <x:f t="shared" si="21"/>
        <x:v>0</x:v>
      </x:c>
      <x:c r="AS28" s="1305">
        <x:f t="shared" si="22"/>
        <x:v>4</x:v>
      </x:c>
      <x:c r="AT28" s="1305" t="b">
        <x:f t="shared" si="23"/>
        <x:v>0</x:v>
      </x:c>
      <x:c r="AU28" s="1203" t="str">
        <x:f t="shared" si="24"/>
        <x:v>K</x:v>
      </x:c>
      <x:c r="AV28" s="1063" t="str">
        <x:f t="shared" si="25"/>
        <x:v>K</x:v>
      </x:c>
      <x:c r="AW28" s="1063" t="str">
        <x:f t="shared" si="26"/>
        <x:v/>
      </x:c>
      <x:c r="AX28" s="1063" t="str">
        <x:f t="shared" si="99"/>
        <x:v>J154</x:v>
      </x:c>
      <x:c r="AY28" s="1306" t="b">
        <x:f t="shared" si="27"/>
        <x:v>0</x:v>
      </x:c>
      <x:c r="AZ28" s="1090" t="b">
        <x:f t="shared" si="28"/>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29"/>
        <x:v/>
      </x:c>
      <x:c r="CE28" s="935" t="str">
        <x:f t="shared" si="30"/>
        <x:v/>
      </x:c>
      <x:c r="CF28" s="1149"/>
      <x:c r="CG28" s="1150"/>
      <x:c r="CH28" s="738" t="str">
        <x:f t="shared" si="31"/>
        <x:v/>
      </x:c>
      <x:c r="CI28" s="739" t="str">
        <x:f t="shared" si="32"/>
        <x:v/>
      </x:c>
      <x:c r="CJ28" s="740" t="str">
        <x:f t="shared" si="33"/>
        <x:v/>
      </x:c>
      <x:c r="CK28" s="741" t="str">
        <x:f t="shared" si="34"/>
        <x:v/>
      </x:c>
      <x:c r="CL28" s="742" t="str">
        <x:f t="shared" si="35"/>
        <x:v/>
      </x:c>
      <x:c r="CM28" s="743" t="str">
        <x:f t="shared" si="36"/>
        <x:v/>
      </x:c>
      <x:c r="CN28" s="744" t="str">
        <x:f t="shared" si="37"/>
        <x:v/>
      </x:c>
      <x:c r="CO28" s="745" t="str">
        <x:f t="shared" si="38"/>
        <x:v/>
      </x:c>
      <x:c r="CP28" s="762" t="str">
        <x:f t="shared" si="39"/>
        <x:v/>
      </x:c>
      <x:c r="CQ28" s="763" t="str">
        <x:f t="shared" si="40"/>
        <x:v/>
      </x:c>
      <x:c r="CR28" s="953">
        <x:f t="shared" si="41"/>
        <x:v>2.5</x:v>
      </x:c>
      <x:c r="CS28" s="954">
        <x:f t="shared" si="42"/>
        <x:v>2.5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3"/>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4"/>
        <x:v>0</x:v>
      </x:c>
      <x:c r="DO28" s="1049">
        <x:f t="shared" si="45"/>
        <x:v>0</x:v>
      </x:c>
      <x:c r="DP28" s="1053" t="str">
        <x:f t="shared" si="46"/>
        <x:v/>
      </x:c>
      <x:c r="DQ28" s="1053" t="str">
        <x:f t="shared" si="47"/>
        <x:v/>
      </x:c>
      <x:c r="DR28" s="1053" t="str">
        <x:f t="shared" si="48"/>
        <x:v/>
      </x:c>
      <x:c r="DS28" s="1052">
        <x:f t="shared" si="49"/>
        <x:v>0</x:v>
      </x:c>
      <x:c r="DT28" s="1052">
        <x:f t="shared" si="50"/>
        <x:v>0</x:v>
      </x:c>
      <x:c r="DU28" s="1052" t="str">
        <x:f t="shared" si="51"/>
        <x:v/>
      </x:c>
      <x:c r="DV28" s="1053" t="str">
        <x:f t="shared" si="52"/>
        <x:v/>
      </x:c>
      <x:c r="DW28" s="1053" t="str">
        <x:f t="shared" si="53"/>
        <x:v/>
      </x:c>
      <x:c r="DX28" s="1269">
        <x:f t="shared" si="54"/>
        <x:v>0</x:v>
      </x:c>
      <x:c r="DY28" s="1053">
        <x:f t="shared" si="55"/>
        <x:v>0</x:v>
      </x:c>
      <x:c r="DZ28" s="1052">
        <x:f t="shared" si="56"/>
        <x:v>0</x:v>
      </x:c>
      <x:c r="EA28" s="1052" t="str">
        <x:f t="shared" si="57"/>
        <x:v/>
      </x:c>
      <x:c r="EB28" s="1053" t="str">
        <x:f t="shared" si="58"/>
        <x:v/>
      </x:c>
      <x:c r="EC28" s="1053" t="str">
        <x:f t="shared" si="59"/>
        <x:v/>
      </x:c>
      <x:c r="ED28" s="1269">
        <x:f t="shared" si="60"/>
        <x:v>0</x:v>
      </x:c>
      <x:c r="EE28" s="1090" t="str">
        <x:f t="shared" si="61"/>
        <x:v/>
      </x:c>
      <x:c r="EF28" s="1053" t="str">
        <x:f t="shared" si="62"/>
        <x:v/>
      </x:c>
      <x:c r="EG28" s="1053" t="str">
        <x:f t="shared" si="63"/>
        <x:v/>
      </x:c>
      <x:c r="EH28" s="1053" t="str">
        <x:f t="shared" si="64"/>
        <x:v>ERR</x:v>
      </x:c>
      <x:c r="EI28" s="1053" t="str">
        <x:f t="shared" si="65"/>
        <x:v>ERR</x:v>
      </x:c>
      <x:c r="EJ28" s="1053" t="str">
        <x:f t="shared" si="66"/>
        <x:v/>
      </x:c>
      <x:c r="EK28" s="1053" t="str">
        <x:f t="shared" si="66"/>
        <x:v/>
      </x:c>
      <x:c r="EL28" s="1090" t="str">
        <x:f t="shared" si="67"/>
        <x:v/>
      </x:c>
      <x:c r="EM28" s="1053" t="str">
        <x:f t="shared" si="68"/>
        <x:v/>
      </x:c>
      <x:c r="EN28" s="1053" t="str">
        <x:f t="shared" si="69"/>
        <x:v/>
      </x:c>
      <x:c r="EO28" s="1053" t="str">
        <x:f t="shared" si="70"/>
        <x:v>ERR</x:v>
      </x:c>
      <x:c r="EP28" s="1053" t="str">
        <x:f t="shared" si="71"/>
        <x:v>ERR</x:v>
      </x:c>
      <x:c r="EQ28" s="1053" t="str">
        <x:f t="shared" si="72"/>
        <x:v/>
      </x:c>
      <x:c r="ER28" s="1053" t="str">
        <x:f t="shared" si="72"/>
        <x:v/>
      </x:c>
      <x:c r="ES28" s="1053" t="str">
        <x:f t="shared" si="73"/>
        <x:v/>
      </x:c>
      <x:c r="ET28" s="1053" t="str">
        <x:f t="shared" si="74"/>
        <x:v/>
      </x:c>
      <x:c r="EU28" s="1061">
        <x:f t="shared" si="75"/>
        <x:v>3.5</x:v>
      </x:c>
      <x:c r="EV28" s="1055" t="str">
        <x:f t="shared" si="76"/>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7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78"/>
        <x:v/>
      </x:c>
      <x:c r="FD28" s="1052">
        <x:f t="shared" si="100"/>
        <x:v>0</x:v>
      </x:c>
      <x:c r="FE28" s="1052">
        <x:f t="shared" si="79"/>
        <x:v>0</x:v>
      </x:c>
      <x:c r="FF28" s="1052">
        <x:f t="shared" si="80"/>
        <x:v>0</x:v>
      </x:c>
      <x:c r="FG28" s="1052" t="str">
        <x:f t="shared" si="81"/>
        <x:v/>
      </x:c>
      <x:c r="FH28" s="1053" t="str">
        <x:f t="shared" si="82"/>
        <x:v/>
      </x:c>
      <x:c r="FI28" s="1052">
        <x:f t="shared" si="101"/>
        <x:v>0</x:v>
      </x:c>
      <x:c r="FJ28" s="1052">
        <x:f t="shared" si="83"/>
        <x:v>0</x:v>
      </x:c>
      <x:c r="FK28" s="1052">
        <x:f t="shared" si="84"/>
        <x:v>0</x:v>
      </x:c>
      <x:c r="FL28" s="1052" t="str">
        <x:f t="shared" si="85"/>
        <x:v/>
      </x:c>
      <x:c r="FM28" s="1053" t="str">
        <x:f t="shared" si="86"/>
        <x:v/>
      </x:c>
      <x:c r="FN28" s="1053" t="e">
        <x:f t="shared" si="87"/>
        <x:v>#VALUE!</x:v>
      </x:c>
      <x:c r="FO28" s="1062" t="e">
        <x:f t="shared" si="88"/>
        <x:v>#VALUE!</x:v>
      </x:c>
      <x:c r="FP28" s="1062" t="e">
        <x:f t="shared" si="89"/>
        <x:v>#VALUE!</x:v>
      </x:c>
      <x:c r="FQ28" s="1063" t="e">
        <x:f t="shared" si="90"/>
        <x:v>#VALUE!</x:v>
      </x:c>
      <x:c r="FR28" s="1064" t="e">
        <x:f t="shared" si="91"/>
        <x:v>#VALUE!</x:v>
      </x:c>
      <x:c r="FS28" s="1065" t="str">
        <x:f t="shared" si="92"/>
        <x:v/>
      </x:c>
      <x:c r="FT28" s="1066" t="str">
        <x:f t="shared" si="93"/>
        <x:v/>
      </x:c>
      <x:c r="FU28" s="1105">
        <x:f t="shared" si="94"/>
        <x:v>0</x:v>
      </x:c>
      <x:c r="FV28" s="1106">
        <x:f t="shared" si="95"/>
        <x:v>0</x:v>
      </x:c>
      <x:c r="GA28" s="1975">
        <x:v>49</x:v>
      </x:c>
      <x:c r="GB28" s="1976">
        <x:v>2.75</x:v>
      </x:c>
      <x:c r="GC28" s="1977">
        <x:v>-0.25</x:v>
      </x:c>
      <x:c r="GD28" s="1978">
        <x:v>-1.875</x:v>
      </x:c>
      <x:c r="GE28" s="1979">
        <x:v>-0.314853999153618</x:v>
      </x:c>
      <x:c r="GF28" s="1980" t="str">
        <x:f t="shared" si="96"/>
        <x:v>J154</x:v>
      </x:c>
      <x:c r="GG28" s="1453"/>
      <x:c r="GH28" s="1454"/>
      <x:c r="GI28" s="1453"/>
      <x:c r="GJ28" s="1454"/>
      <x:c r="GK28" s="533">
        <x:f t="shared" si="97"/>
        <x:v>588.625</x:v>
      </x:c>
      <x:c r="GL28" s="534">
        <x:f t="shared" si="98"/>
        <x:v>588.827576898703</x:v>
      </x:c>
      <x:c r="GM28" s="535">
        <x:f>IF(ABS(GK28-GL28)&gt;='Job Info.'!$L$22,ABS(GK28-GL28),0)</x:f>
        <x:v>0</x:v>
      </x:c>
      <x:c r="HA28" s="1658" t="s">
        <x:v>1478</x:v>
      </x:c>
      <x:c r="HB28" s="1659">
        <x:v>1</x:v>
      </x:c>
      <x:c r="HC28" s="1659" t="s">
        <x:v>1979</x:v>
      </x:c>
      <x:c r="HD28" s="1660">
        <x:v>49</x:v>
      </x:c>
      <x:c r="HE28" s="1661">
        <x:v>0.625</x:v>
      </x:c>
      <x:c r="HF28" s="1659">
        <x:v>0</x:v>
      </x:c>
      <x:c r="HG28" s="1659">
        <x:v>1.375</x:v>
      </x:c>
      <x:c r="HH28" s="1659" t="s">
        <x:v>114</x:v>
      </x:c>
      <x:c r="HI28" s="1662" t="s">
        <x:v>117</x:v>
      </x:c>
      <x:c r="HJ28" s="1659" t="s">
        <x:v>117</x:v>
      </x:c>
      <x:c r="HK28" s="1659" t="s">
        <x:v>117</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2173</x:v>
      </x:c>
      <x:c r="IB28" s="1661"/>
      <x:c r="IC28" s="1661"/>
      <x:c r="ID28" s="1661"/>
      <x:c r="IE28" s="1661"/>
      <x:c r="IF28" s="1663"/>
    </x:row>
    <x:row r="29" spans="1:240" ht="12.6" customHeight="1" x14ac:dyDescent="0.25">
      <x:c r="A29" s="1264" t="s">
        <x:v>1479</x:v>
      </x:c>
      <x:c r="B29" s="1265">
        <x:v>11</x:v>
      </x:c>
      <x:c r="C29" s="1265" t="s">
        <x:v>1979</x:v>
      </x:c>
      <x:c r="D29" s="1261">
        <x:v>49</x:v>
      </x:c>
      <x:c r="E29" s="1366">
        <x:v>0.625</x:v>
      </x:c>
      <x:c r="F29" s="1328">
        <x:v>0</x:v>
      </x:c>
      <x:c r="G29" s="1262">
        <x:v>1.375</x:v>
      </x:c>
      <x:c r="H29" s="1266" t="s">
        <x:v>114</x:v>
      </x:c>
      <x:c r="I29" s="1261" t="str">
        <x:f t="shared" si="107"/>
        <x:v/>
      </x:c>
      <x:c r="J29" s="1262" t="str">
        <x:f t="shared" si="108"/>
        <x:v/>
      </x:c>
      <x:c r="K29" s="1370" t="str">
        <x:f t="shared" si="109"/>
        <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102"/>
        <x:v/>
      </x:c>
      <x:c r="U29" s="1262" t="str">
        <x:f t="shared" si="103"/>
        <x:v/>
      </x:c>
      <x:c r="V29" s="1261" t="str">
        <x:f t="shared" si="104"/>
        <x:v/>
      </x:c>
      <x:c r="W29" s="1262" t="str">
        <x:f t="shared" si="105"/>
        <x:v/>
      </x:c>
      <x:c r="X29" s="1329">
        <x:f t="shared" si="106"/>
        <x:v>0</x:v>
      </x:c>
      <x:c r="Y29" s="1377" t="str">
        <x:f t="shared" si="7"/>
        <x:v/>
      </x:c>
      <x:c r="Z29" s="1378" t="str">
        <x:f t="shared" si="8"/>
        <x:v/>
      </x:c>
      <x:c r="AA29" s="2159" t="s">
        <x:v>2174</x:v>
      </x:c>
      <x:c r="AC29" s="1226" t="b">
        <x:v>0</x:v>
      </x:c>
      <x:c r="AD29" s="525">
        <x:f t="shared" si="9"/>
        <x:v>11</x:v>
      </x:c>
      <x:c r="AE29" s="526">
        <x:f t="shared" si="10"/>
        <x:v>0</x:v>
      </x:c>
      <x:c r="AF29" s="526">
        <x:f t="shared" si="11"/>
        <x:v>0</x:v>
      </x:c>
      <x:c r="AG29" s="526">
        <x:f t="shared" si="12"/>
        <x:v>0</x:v>
      </x:c>
      <x:c r="AH29" s="527">
        <x:f t="shared" si="13"/>
        <x:v>0</x:v>
      </x:c>
      <x:c r="AI29" s="528" t="b">
        <x:v>0</x:v>
      </x:c>
      <x:c r="AJ29" s="284">
        <x:f t="shared" si="14"/>
        <x:v>30</x:v>
      </x:c>
      <x:c r="AK29" s="1063" t="str">
        <x:f t="shared" si="15"/>
        <x:v>K</x:v>
      </x:c>
      <x:c r="AL29" s="1202" t="str">
        <x:f t="shared" si="16"/>
        <x:v/>
      </x:c>
      <x:c r="AM29" s="1063">
        <x:f t="shared" si="17"/>
        <x:v>240</x:v>
      </x:c>
      <x:c r="AN29" s="1063">
        <x:f t="shared" si="18"/>
        <x:v>140</x:v>
      </x:c>
      <x:c r="AO29" s="1063" t="str">
        <x:f t="shared" si="19"/>
        <x:v/>
      </x:c>
      <x:c r="AP29" s="1063" t="b">
        <x:f>IF(ISERROR(AJ29),FALSE,IF(OR(AJ29=0,ISERROR(AL29),ISERROR(AM29),ISERROR(AN29),ISERROR(AO29)),FALSE,IF(AL29&lt;&gt;"",IF(ISERROR(VLOOKUP(SUBSTITUTE(SUBSTITUTE(C29,"R",""),"A",""),TblJoistSize!$A:$A,1,FALSE)),FALSE,TRUE),TRUE)))</x:f>
        <x:v>1</x:v>
      </x:c>
      <x:c r="AQ29" s="1305">
        <x:f t="shared" si="20"/>
        <x:v>5.375</x:v>
      </x:c>
      <x:c r="AR29" s="1305" t="b">
        <x:f t="shared" si="21"/>
        <x:v>0</x:v>
      </x:c>
      <x:c r="AS29" s="1305">
        <x:f t="shared" si="22"/>
        <x:v>4</x:v>
      </x:c>
      <x:c r="AT29" s="1305" t="b">
        <x:f t="shared" si="23"/>
        <x:v>0</x:v>
      </x:c>
      <x:c r="AU29" s="1203" t="str">
        <x:f t="shared" si="24"/>
        <x:v>K</x:v>
      </x:c>
      <x:c r="AV29" s="1063" t="str">
        <x:f t="shared" si="25"/>
        <x:v>K</x:v>
      </x:c>
      <x:c r="AW29" s="1063" t="str">
        <x:f t="shared" si="26"/>
        <x:v/>
      </x:c>
      <x:c r="AX29" s="1063" t="str">
        <x:f t="shared" si="99"/>
        <x:v>J155</x:v>
      </x:c>
      <x:c r="AY29" s="1306" t="b">
        <x:f t="shared" si="27"/>
        <x:v>0</x:v>
      </x:c>
      <x:c r="AZ29" s="1090" t="b">
        <x:f t="shared" si="28"/>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29"/>
        <x:v/>
      </x:c>
      <x:c r="CE29" s="935" t="str">
        <x:f t="shared" si="30"/>
        <x:v/>
      </x:c>
      <x:c r="CF29" s="1149"/>
      <x:c r="CG29" s="1150"/>
      <x:c r="CH29" s="738" t="str">
        <x:f t="shared" si="31"/>
        <x:v/>
      </x:c>
      <x:c r="CI29" s="739" t="str">
        <x:f t="shared" si="32"/>
        <x:v/>
      </x:c>
      <x:c r="CJ29" s="740" t="str">
        <x:f t="shared" si="33"/>
        <x:v/>
      </x:c>
      <x:c r="CK29" s="741" t="str">
        <x:f t="shared" si="34"/>
        <x:v/>
      </x:c>
      <x:c r="CL29" s="742" t="str">
        <x:f t="shared" si="35"/>
        <x:v/>
      </x:c>
      <x:c r="CM29" s="743" t="str">
        <x:f t="shared" si="36"/>
        <x:v/>
      </x:c>
      <x:c r="CN29" s="744" t="str">
        <x:f t="shared" si="37"/>
        <x:v/>
      </x:c>
      <x:c r="CO29" s="745" t="str">
        <x:f t="shared" si="38"/>
        <x:v/>
      </x:c>
      <x:c r="CP29" s="762" t="str">
        <x:f t="shared" si="39"/>
        <x:v/>
      </x:c>
      <x:c r="CQ29" s="763" t="str">
        <x:f t="shared" si="40"/>
        <x:v/>
      </x:c>
      <x:c r="CR29" s="953">
        <x:f t="shared" si="41"/>
        <x:v>2.5</x:v>
      </x:c>
      <x:c r="CS29" s="954">
        <x:f t="shared" si="42"/>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3"/>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4"/>
        <x:v>0</x:v>
      </x:c>
      <x:c r="DO29" s="1049">
        <x:f t="shared" si="45"/>
        <x:v>0</x:v>
      </x:c>
      <x:c r="DP29" s="1053" t="str">
        <x:f t="shared" si="46"/>
        <x:v/>
      </x:c>
      <x:c r="DQ29" s="1053" t="str">
        <x:f t="shared" si="47"/>
        <x:v/>
      </x:c>
      <x:c r="DR29" s="1053" t="str">
        <x:f t="shared" si="48"/>
        <x:v/>
      </x:c>
      <x:c r="DS29" s="1052">
        <x:f t="shared" si="49"/>
        <x:v>0</x:v>
      </x:c>
      <x:c r="DT29" s="1052">
        <x:f t="shared" si="50"/>
        <x:v>0</x:v>
      </x:c>
      <x:c r="DU29" s="1052" t="str">
        <x:f t="shared" si="51"/>
        <x:v/>
      </x:c>
      <x:c r="DV29" s="1053" t="str">
        <x:f t="shared" si="52"/>
        <x:v/>
      </x:c>
      <x:c r="DW29" s="1053" t="str">
        <x:f t="shared" si="53"/>
        <x:v/>
      </x:c>
      <x:c r="DX29" s="1269">
        <x:f t="shared" si="54"/>
        <x:v>0</x:v>
      </x:c>
      <x:c r="DY29" s="1053">
        <x:f t="shared" si="55"/>
        <x:v>0</x:v>
      </x:c>
      <x:c r="DZ29" s="1052">
        <x:f t="shared" si="56"/>
        <x:v>0</x:v>
      </x:c>
      <x:c r="EA29" s="1052" t="str">
        <x:f t="shared" si="57"/>
        <x:v/>
      </x:c>
      <x:c r="EB29" s="1053" t="str">
        <x:f t="shared" si="58"/>
        <x:v/>
      </x:c>
      <x:c r="EC29" s="1053" t="str">
        <x:f t="shared" si="59"/>
        <x:v/>
      </x:c>
      <x:c r="ED29" s="1269">
        <x:f t="shared" si="60"/>
        <x:v>0</x:v>
      </x:c>
      <x:c r="EE29" s="1090" t="str">
        <x:f t="shared" si="61"/>
        <x:v/>
      </x:c>
      <x:c r="EF29" s="1053" t="str">
        <x:f t="shared" si="62"/>
        <x:v/>
      </x:c>
      <x:c r="EG29" s="1053" t="str">
        <x:f t="shared" si="63"/>
        <x:v/>
      </x:c>
      <x:c r="EH29" s="1053" t="str">
        <x:f t="shared" si="64"/>
        <x:v>ERR</x:v>
      </x:c>
      <x:c r="EI29" s="1053" t="str">
        <x:f t="shared" si="65"/>
        <x:v>ERR</x:v>
      </x:c>
      <x:c r="EJ29" s="1053" t="str">
        <x:f t="shared" si="66"/>
        <x:v/>
      </x:c>
      <x:c r="EK29" s="1053" t="str">
        <x:f t="shared" si="66"/>
        <x:v/>
      </x:c>
      <x:c r="EL29" s="1090" t="str">
        <x:f t="shared" si="67"/>
        <x:v/>
      </x:c>
      <x:c r="EM29" s="1053" t="str">
        <x:f t="shared" si="68"/>
        <x:v/>
      </x:c>
      <x:c r="EN29" s="1053" t="str">
        <x:f t="shared" si="69"/>
        <x:v/>
      </x:c>
      <x:c r="EO29" s="1053" t="str">
        <x:f t="shared" si="70"/>
        <x:v>ERR</x:v>
      </x:c>
      <x:c r="EP29" s="1053" t="str">
        <x:f t="shared" si="71"/>
        <x:v>ERR</x:v>
      </x:c>
      <x:c r="EQ29" s="1053" t="str">
        <x:f t="shared" si="72"/>
        <x:v/>
      </x:c>
      <x:c r="ER29" s="1053" t="str">
        <x:f t="shared" si="72"/>
        <x:v/>
      </x:c>
      <x:c r="ES29" s="1053" t="str">
        <x:f t="shared" si="73"/>
        <x:v/>
      </x:c>
      <x:c r="ET29" s="1053" t="str">
        <x:f t="shared" si="74"/>
        <x:v/>
      </x:c>
      <x:c r="EU29" s="1061">
        <x:f t="shared" si="75"/>
        <x:v>3.5</x:v>
      </x:c>
      <x:c r="EV29" s="1055" t="str">
        <x:f t="shared" si="76"/>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7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78"/>
        <x:v/>
      </x:c>
      <x:c r="FD29" s="1052">
        <x:f t="shared" si="100"/>
        <x:v>0</x:v>
      </x:c>
      <x:c r="FE29" s="1052">
        <x:f t="shared" si="79"/>
        <x:v>0</x:v>
      </x:c>
      <x:c r="FF29" s="1052">
        <x:f t="shared" si="80"/>
        <x:v>0</x:v>
      </x:c>
      <x:c r="FG29" s="1052" t="str">
        <x:f t="shared" si="81"/>
        <x:v/>
      </x:c>
      <x:c r="FH29" s="1053" t="str">
        <x:f t="shared" si="82"/>
        <x:v/>
      </x:c>
      <x:c r="FI29" s="1052">
        <x:f t="shared" si="101"/>
        <x:v>0</x:v>
      </x:c>
      <x:c r="FJ29" s="1052">
        <x:f t="shared" si="83"/>
        <x:v>0</x:v>
      </x:c>
      <x:c r="FK29" s="1052">
        <x:f t="shared" si="84"/>
        <x:v>0</x:v>
      </x:c>
      <x:c r="FL29" s="1052" t="str">
        <x:f t="shared" si="85"/>
        <x:v/>
      </x:c>
      <x:c r="FM29" s="1053" t="str">
        <x:f t="shared" si="86"/>
        <x:v/>
      </x:c>
      <x:c r="FN29" s="1053" t="e">
        <x:f t="shared" si="87"/>
        <x:v>#VALUE!</x:v>
      </x:c>
      <x:c r="FO29" s="1062" t="e">
        <x:f t="shared" si="88"/>
        <x:v>#VALUE!</x:v>
      </x:c>
      <x:c r="FP29" s="1062" t="e">
        <x:f t="shared" si="89"/>
        <x:v>#VALUE!</x:v>
      </x:c>
      <x:c r="FQ29" s="1063" t="e">
        <x:f t="shared" si="90"/>
        <x:v>#VALUE!</x:v>
      </x:c>
      <x:c r="FR29" s="1064" t="e">
        <x:f t="shared" si="91"/>
        <x:v>#VALUE!</x:v>
      </x:c>
      <x:c r="FS29" s="1065" t="str">
        <x:f t="shared" si="92"/>
        <x:v/>
      </x:c>
      <x:c r="FT29" s="1066" t="str">
        <x:f t="shared" si="93"/>
        <x:v/>
      </x:c>
      <x:c r="FU29" s="1105">
        <x:f t="shared" si="94"/>
        <x:v>0</x:v>
      </x:c>
      <x:c r="FV29" s="1106">
        <x:f t="shared" si="95"/>
        <x:v>0</x:v>
      </x:c>
      <x:c r="GA29" s="1975">
        <x:v>49</x:v>
      </x:c>
      <x:c r="GB29" s="1976">
        <x:v>2.75</x:v>
      </x:c>
      <x:c r="GC29" s="1977">
        <x:v>-0.25</x:v>
      </x:c>
      <x:c r="GD29" s="1978">
        <x:v>-1.875</x:v>
      </x:c>
      <x:c r="GE29" s="1979">
        <x:v>-0.314853999153618</x:v>
      </x:c>
      <x:c r="GF29" s="1980" t="str">
        <x:f t="shared" si="96"/>
        <x:v>J155</x:v>
      </x:c>
      <x:c r="GG29" s="1453"/>
      <x:c r="GH29" s="1454"/>
      <x:c r="GI29" s="1453"/>
      <x:c r="GJ29" s="1454"/>
      <x:c r="GK29" s="533">
        <x:f t="shared" si="97"/>
        <x:v>588.625</x:v>
      </x:c>
      <x:c r="GL29" s="534">
        <x:f t="shared" si="98"/>
        <x:v>588.827576898703</x:v>
      </x:c>
      <x:c r="GM29" s="535">
        <x:f>IF(ABS(GK29-GL29)&gt;='Job Info.'!$L$22,ABS(GK29-GL29),0)</x:f>
        <x:v>0</x:v>
      </x:c>
      <x:c r="HA29" s="1658" t="s">
        <x:v>1479</x:v>
      </x:c>
      <x:c r="HB29" s="1659">
        <x:v>10</x:v>
      </x:c>
      <x:c r="HC29" s="1659" t="s">
        <x:v>1979</x:v>
      </x:c>
      <x:c r="HD29" s="1660">
        <x:v>49</x:v>
      </x:c>
      <x:c r="HE29" s="1661">
        <x:v>0.625</x:v>
      </x:c>
      <x:c r="HF29" s="1659">
        <x:v>0</x:v>
      </x:c>
      <x:c r="HG29" s="1659">
        <x:v>1.375</x:v>
      </x:c>
      <x:c r="HH29" s="1659" t="s">
        <x:v>114</x:v>
      </x:c>
      <x:c r="HI29" s="1662" t="s">
        <x:v>117</x:v>
      </x:c>
      <x:c r="HJ29" s="1659" t="s">
        <x:v>117</x:v>
      </x:c>
      <x:c r="HK29" s="1659" t="s">
        <x:v>117</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2174</x:v>
      </x:c>
      <x:c r="IB29" s="1661"/>
      <x:c r="IC29" s="1661"/>
      <x:c r="ID29" s="1661"/>
      <x:c r="IE29" s="1661"/>
      <x:c r="IF29" s="1663"/>
    </x:row>
    <x:row r="30" spans="1:240" ht="12.6" customHeight="1" x14ac:dyDescent="0.25">
      <x:c r="A30" s="1264" t="s">
        <x:v>1480</x:v>
      </x:c>
      <x:c r="B30" s="1265">
        <x:v>71</x:v>
      </x:c>
      <x:c r="C30" s="1265" t="s">
        <x:v>1979</x:v>
      </x:c>
      <x:c r="D30" s="1261">
        <x:v>49</x:v>
      </x:c>
      <x:c r="E30" s="1366">
        <x:v>0.625</x:v>
      </x:c>
      <x:c r="F30" s="1328">
        <x:v>0</x:v>
      </x:c>
      <x:c r="G30" s="1262">
        <x:v>1.375</x:v>
      </x:c>
      <x:c r="H30" s="1266" t="s">
        <x:v>114</x:v>
      </x:c>
      <x:c r="I30" s="1261" t="str">
        <x:f t="shared" si="107"/>
        <x:v/>
      </x:c>
      <x:c r="J30" s="1262" t="str">
        <x:f t="shared" si="108"/>
        <x:v/>
      </x:c>
      <x:c r="K30" s="1370" t="str">
        <x:f t="shared" si="109"/>
        <x:v/>
      </x:c>
      <x:c r="L30" s="1327">
        <x:v>3</x:v>
      </x:c>
      <x:c r="M30" s="1329">
        <x:v>3</x:v>
      </x:c>
      <x:c r="N30" s="1263" t="str">
        <x:f t="shared" si="1"/>
        <x:v/>
      </x:c>
      <x:c r="O30" s="1262" t="str">
        <x:f t="shared" si="2"/>
        <x:v/>
      </x:c>
      <x:c r="P30" s="1260" t="str">
        <x:f t="shared" si="3"/>
        <x:v/>
      </x:c>
      <x:c r="Q30" s="1261" t="str">
        <x:f t="shared" si="4"/>
        <x:v/>
      </x:c>
      <x:c r="R30" s="1262" t="str">
        <x:f t="shared" si="5"/>
        <x:v/>
      </x:c>
      <x:c r="S30" s="1375" t="str">
        <x:f t="shared" si="6"/>
        <x:v/>
      </x:c>
      <x:c r="T30" s="1328" t="str">
        <x:f t="shared" si="102"/>
        <x:v/>
      </x:c>
      <x:c r="U30" s="1262" t="str">
        <x:f t="shared" si="103"/>
        <x:v/>
      </x:c>
      <x:c r="V30" s="1261" t="str">
        <x:f t="shared" si="104"/>
        <x:v/>
      </x:c>
      <x:c r="W30" s="1262" t="str">
        <x:f t="shared" si="105"/>
        <x:v/>
      </x:c>
      <x:c r="X30" s="1329">
        <x:f t="shared" si="106"/>
        <x:v>0</x:v>
      </x:c>
      <x:c r="Y30" s="1377" t="str">
        <x:f t="shared" si="7"/>
        <x:v/>
      </x:c>
      <x:c r="Z30" s="1378" t="str">
        <x:f t="shared" si="8"/>
        <x:v/>
      </x:c>
      <x:c r="AA30" s="2159" t="s">
        <x:v>2175</x:v>
      </x:c>
      <x:c r="AC30" s="1226" t="b">
        <x:v>0</x:v>
      </x:c>
      <x:c r="AD30" s="525">
        <x:f t="shared" si="9"/>
        <x:v>71</x:v>
      </x:c>
      <x:c r="AE30" s="526">
        <x:f t="shared" si="10"/>
        <x:v>0</x:v>
      </x:c>
      <x:c r="AF30" s="526">
        <x:f t="shared" si="11"/>
        <x:v>0</x:v>
      </x:c>
      <x:c r="AG30" s="526">
        <x:f t="shared" si="12"/>
        <x:v>0</x:v>
      </x:c>
      <x:c r="AH30" s="527">
        <x:f t="shared" si="13"/>
        <x:v>0</x:v>
      </x:c>
      <x:c r="AI30" s="528" t="b">
        <x:v>0</x:v>
      </x:c>
      <x:c r="AJ30" s="284">
        <x:f t="shared" si="14"/>
        <x:v>30</x:v>
      </x:c>
      <x:c r="AK30" s="1063" t="str">
        <x:f t="shared" si="15"/>
        <x:v>K</x:v>
      </x:c>
      <x:c r="AL30" s="1202" t="str">
        <x:f t="shared" si="16"/>
        <x:v/>
      </x:c>
      <x:c r="AM30" s="1063">
        <x:f t="shared" si="17"/>
        <x:v>240</x:v>
      </x:c>
      <x:c r="AN30" s="1063">
        <x:f t="shared" si="18"/>
        <x:v>140</x:v>
      </x:c>
      <x:c r="AO30" s="1063" t="str">
        <x:f t="shared" si="19"/>
        <x:v/>
      </x:c>
      <x:c r="AP30" s="1063" t="b">
        <x:f>IF(ISERROR(AJ30),FALSE,IF(OR(AJ30=0,ISERROR(AL30),ISERROR(AM30),ISERROR(AN30),ISERROR(AO30)),FALSE,IF(AL30&lt;&gt;"",IF(ISERROR(VLOOKUP(SUBSTITUTE(SUBSTITUTE(C30,"R",""),"A",""),TblJoistSize!$A:$A,1,FALSE)),FALSE,TRUE),TRUE)))</x:f>
        <x:v>1</x:v>
      </x:c>
      <x:c r="AQ30" s="1305">
        <x:f t="shared" si="20"/>
        <x:v>5.375</x:v>
      </x:c>
      <x:c r="AR30" s="1305" t="b">
        <x:f t="shared" si="21"/>
        <x:v>0</x:v>
      </x:c>
      <x:c r="AS30" s="1305">
        <x:f t="shared" si="22"/>
        <x:v>4</x:v>
      </x:c>
      <x:c r="AT30" s="1305" t="b">
        <x:f t="shared" si="23"/>
        <x:v>0</x:v>
      </x:c>
      <x:c r="AU30" s="1203" t="str">
        <x:f t="shared" si="24"/>
        <x:v>K</x:v>
      </x:c>
      <x:c r="AV30" s="1063" t="str">
        <x:f t="shared" si="25"/>
        <x:v>K</x:v>
      </x:c>
      <x:c r="AW30" s="1063" t="str">
        <x:f t="shared" si="26"/>
        <x:v/>
      </x:c>
      <x:c r="AX30" s="1063" t="str">
        <x:f t="shared" si="99"/>
        <x:v>J156</x:v>
      </x:c>
      <x:c r="AY30" s="1306" t="b">
        <x:f t="shared" si="27"/>
        <x:v>0</x:v>
      </x:c>
      <x:c r="AZ30" s="1090" t="b">
        <x:f t="shared" si="28"/>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29"/>
        <x:v/>
      </x:c>
      <x:c r="CE30" s="935" t="str">
        <x:f t="shared" si="30"/>
        <x:v/>
      </x:c>
      <x:c r="CF30" s="1149"/>
      <x:c r="CG30" s="1150"/>
      <x:c r="CH30" s="738" t="str">
        <x:f t="shared" si="31"/>
        <x:v/>
      </x:c>
      <x:c r="CI30" s="739" t="str">
        <x:f t="shared" si="32"/>
        <x:v/>
      </x:c>
      <x:c r="CJ30" s="740" t="str">
        <x:f t="shared" si="33"/>
        <x:v/>
      </x:c>
      <x:c r="CK30" s="741" t="str">
        <x:f t="shared" si="34"/>
        <x:v/>
      </x:c>
      <x:c r="CL30" s="742" t="str">
        <x:f t="shared" si="35"/>
        <x:v/>
      </x:c>
      <x:c r="CM30" s="743" t="str">
        <x:f t="shared" si="36"/>
        <x:v/>
      </x:c>
      <x:c r="CN30" s="744" t="str">
        <x:f t="shared" si="37"/>
        <x:v/>
      </x:c>
      <x:c r="CO30" s="745" t="str">
        <x:f t="shared" si="38"/>
        <x:v/>
      </x:c>
      <x:c r="CP30" s="762" t="str">
        <x:f t="shared" si="39"/>
        <x:v/>
      </x:c>
      <x:c r="CQ30" s="763" t="str">
        <x:f t="shared" si="40"/>
        <x:v/>
      </x:c>
      <x:c r="CR30" s="953">
        <x:f t="shared" si="41"/>
        <x:v>2.5</x:v>
      </x:c>
      <x:c r="CS30" s="954">
        <x:f t="shared" si="42"/>
        <x:v>2.5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3"/>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4"/>
        <x:v>0</x:v>
      </x:c>
      <x:c r="DO30" s="1049">
        <x:f t="shared" si="45"/>
        <x:v>0</x:v>
      </x:c>
      <x:c r="DP30" s="1053" t="str">
        <x:f t="shared" si="46"/>
        <x:v/>
      </x:c>
      <x:c r="DQ30" s="1053" t="str">
        <x:f t="shared" si="47"/>
        <x:v/>
      </x:c>
      <x:c r="DR30" s="1053" t="str">
        <x:f t="shared" si="48"/>
        <x:v/>
      </x:c>
      <x:c r="DS30" s="1052">
        <x:f t="shared" si="49"/>
        <x:v>0</x:v>
      </x:c>
      <x:c r="DT30" s="1052">
        <x:f t="shared" si="50"/>
        <x:v>0</x:v>
      </x:c>
      <x:c r="DU30" s="1052" t="str">
        <x:f t="shared" si="51"/>
        <x:v/>
      </x:c>
      <x:c r="DV30" s="1053" t="str">
        <x:f t="shared" si="52"/>
        <x:v/>
      </x:c>
      <x:c r="DW30" s="1053" t="str">
        <x:f t="shared" si="53"/>
        <x:v/>
      </x:c>
      <x:c r="DX30" s="1269">
        <x:f t="shared" si="54"/>
        <x:v>0</x:v>
      </x:c>
      <x:c r="DY30" s="1053">
        <x:f t="shared" si="55"/>
        <x:v>0</x:v>
      </x:c>
      <x:c r="DZ30" s="1052">
        <x:f t="shared" si="56"/>
        <x:v>0</x:v>
      </x:c>
      <x:c r="EA30" s="1052" t="str">
        <x:f t="shared" si="57"/>
        <x:v/>
      </x:c>
      <x:c r="EB30" s="1053" t="str">
        <x:f t="shared" si="58"/>
        <x:v/>
      </x:c>
      <x:c r="EC30" s="1053" t="str">
        <x:f t="shared" si="59"/>
        <x:v/>
      </x:c>
      <x:c r="ED30" s="1269">
        <x:f t="shared" si="60"/>
        <x:v>0</x:v>
      </x:c>
      <x:c r="EE30" s="1090" t="str">
        <x:f t="shared" si="61"/>
        <x:v/>
      </x:c>
      <x:c r="EF30" s="1053" t="str">
        <x:f t="shared" si="62"/>
        <x:v/>
      </x:c>
      <x:c r="EG30" s="1053" t="str">
        <x:f t="shared" si="63"/>
        <x:v/>
      </x:c>
      <x:c r="EH30" s="1053" t="str">
        <x:f t="shared" si="64"/>
        <x:v>ERR</x:v>
      </x:c>
      <x:c r="EI30" s="1053" t="str">
        <x:f t="shared" si="65"/>
        <x:v>ERR</x:v>
      </x:c>
      <x:c r="EJ30" s="1053" t="str">
        <x:f t="shared" si="66"/>
        <x:v/>
      </x:c>
      <x:c r="EK30" s="1053" t="str">
        <x:f t="shared" si="66"/>
        <x:v/>
      </x:c>
      <x:c r="EL30" s="1090" t="str">
        <x:f t="shared" si="67"/>
        <x:v/>
      </x:c>
      <x:c r="EM30" s="1053" t="str">
        <x:f t="shared" si="68"/>
        <x:v/>
      </x:c>
      <x:c r="EN30" s="1053" t="str">
        <x:f t="shared" si="69"/>
        <x:v/>
      </x:c>
      <x:c r="EO30" s="1053" t="str">
        <x:f t="shared" si="70"/>
        <x:v>ERR</x:v>
      </x:c>
      <x:c r="EP30" s="1053" t="str">
        <x:f t="shared" si="71"/>
        <x:v>ERR</x:v>
      </x:c>
      <x:c r="EQ30" s="1053" t="str">
        <x:f t="shared" si="72"/>
        <x:v/>
      </x:c>
      <x:c r="ER30" s="1053" t="str">
        <x:f t="shared" si="72"/>
        <x:v/>
      </x:c>
      <x:c r="ES30" s="1053" t="str">
        <x:f t="shared" si="73"/>
        <x:v/>
      </x:c>
      <x:c r="ET30" s="1053" t="str">
        <x:f t="shared" si="74"/>
        <x:v/>
      </x:c>
      <x:c r="EU30" s="1061">
        <x:f t="shared" si="75"/>
        <x:v>3.5</x:v>
      </x:c>
      <x:c r="EV30" s="1055" t="str">
        <x:f t="shared" si="76"/>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7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78"/>
        <x:v/>
      </x:c>
      <x:c r="FD30" s="1052">
        <x:f t="shared" si="100"/>
        <x:v>0</x:v>
      </x:c>
      <x:c r="FE30" s="1052">
        <x:f t="shared" si="79"/>
        <x:v>0</x:v>
      </x:c>
      <x:c r="FF30" s="1052">
        <x:f t="shared" si="80"/>
        <x:v>0</x:v>
      </x:c>
      <x:c r="FG30" s="1052" t="str">
        <x:f t="shared" si="81"/>
        <x:v/>
      </x:c>
      <x:c r="FH30" s="1053" t="str">
        <x:f t="shared" si="82"/>
        <x:v/>
      </x:c>
      <x:c r="FI30" s="1052">
        <x:f t="shared" si="101"/>
        <x:v>0</x:v>
      </x:c>
      <x:c r="FJ30" s="1052">
        <x:f t="shared" si="83"/>
        <x:v>0</x:v>
      </x:c>
      <x:c r="FK30" s="1052">
        <x:f t="shared" si="84"/>
        <x:v>0</x:v>
      </x:c>
      <x:c r="FL30" s="1052" t="str">
        <x:f t="shared" si="85"/>
        <x:v/>
      </x:c>
      <x:c r="FM30" s="1053" t="str">
        <x:f t="shared" si="86"/>
        <x:v/>
      </x:c>
      <x:c r="FN30" s="1053" t="e">
        <x:f t="shared" si="87"/>
        <x:v>#VALUE!</x:v>
      </x:c>
      <x:c r="FO30" s="1062" t="e">
        <x:f t="shared" si="88"/>
        <x:v>#VALUE!</x:v>
      </x:c>
      <x:c r="FP30" s="1062" t="e">
        <x:f t="shared" si="89"/>
        <x:v>#VALUE!</x:v>
      </x:c>
      <x:c r="FQ30" s="1063" t="e">
        <x:f t="shared" si="90"/>
        <x:v>#VALUE!</x:v>
      </x:c>
      <x:c r="FR30" s="1064" t="e">
        <x:f t="shared" si="91"/>
        <x:v>#VALUE!</x:v>
      </x:c>
      <x:c r="FS30" s="1065" t="str">
        <x:f t="shared" si="92"/>
        <x:v/>
      </x:c>
      <x:c r="FT30" s="1066" t="str">
        <x:f t="shared" si="93"/>
        <x:v/>
      </x:c>
      <x:c r="FU30" s="1105">
        <x:f t="shared" si="94"/>
        <x:v>0</x:v>
      </x:c>
      <x:c r="FV30" s="1106">
        <x:f t="shared" si="95"/>
        <x:v>0</x:v>
      </x:c>
      <x:c r="GA30" s="1975">
        <x:v>49</x:v>
      </x:c>
      <x:c r="GB30" s="1976">
        <x:v>2.75</x:v>
      </x:c>
      <x:c r="GC30" s="1977">
        <x:v>-0.25</x:v>
      </x:c>
      <x:c r="GD30" s="1978">
        <x:v>-1.875</x:v>
      </x:c>
      <x:c r="GE30" s="1979">
        <x:v>-0.314853999153618</x:v>
      </x:c>
      <x:c r="GF30" s="1980" t="str">
        <x:f t="shared" si="96"/>
        <x:v>J156</x:v>
      </x:c>
      <x:c r="GG30" s="1453"/>
      <x:c r="GH30" s="1454"/>
      <x:c r="GI30" s="1453"/>
      <x:c r="GJ30" s="1454"/>
      <x:c r="GK30" s="533">
        <x:f t="shared" si="97"/>
        <x:v>588.625</x:v>
      </x:c>
      <x:c r="GL30" s="534">
        <x:f t="shared" si="98"/>
        <x:v>588.827576898703</x:v>
      </x:c>
      <x:c r="GM30" s="535">
        <x:f>IF(ABS(GK30-GL30)&gt;='Job Info.'!$L$22,ABS(GK30-GL30),0)</x:f>
        <x:v>0</x:v>
      </x:c>
      <x:c r="HA30" s="1658" t="s">
        <x:v>1480</x:v>
      </x:c>
      <x:c r="HB30" s="1659">
        <x:v>72</x:v>
      </x:c>
      <x:c r="HC30" s="1659" t="s">
        <x:v>1979</x:v>
      </x:c>
      <x:c r="HD30" s="1660">
        <x:v>49</x:v>
      </x:c>
      <x:c r="HE30" s="1661">
        <x:v>0.625</x:v>
      </x:c>
      <x:c r="HF30" s="1659">
        <x:v>0</x:v>
      </x:c>
      <x:c r="HG30" s="1659">
        <x:v>1.375</x:v>
      </x:c>
      <x:c r="HH30" s="1659" t="s">
        <x:v>114</x:v>
      </x:c>
      <x:c r="HI30" s="1662" t="s">
        <x:v>117</x:v>
      </x:c>
      <x:c r="HJ30" s="1659" t="s">
        <x:v>117</x:v>
      </x:c>
      <x:c r="HK30" s="1659" t="s">
        <x:v>117</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2175</x:v>
      </x:c>
      <x:c r="IB30" s="1661"/>
      <x:c r="IC30" s="1661"/>
      <x:c r="ID30" s="1661"/>
      <x:c r="IE30" s="1661"/>
      <x:c r="IF30" s="1663"/>
    </x:row>
    <x:row r="31" spans="1:240" ht="12.6" customHeight="1" x14ac:dyDescent="0.25">
      <x:c r="A31" s="1264" t="s">
        <x:v>1481</x:v>
      </x:c>
      <x:c r="B31" s="1265">
        <x:v>1</x:v>
      </x:c>
      <x:c r="C31" s="1265" t="s">
        <x:v>1979</x:v>
      </x:c>
      <x:c r="D31" s="1261">
        <x:v>48</x:v>
      </x:c>
      <x:c r="E31" s="1366">
        <x:v>11.875</x:v>
      </x:c>
      <x:c r="F31" s="1328">
        <x:v>0</x:v>
      </x:c>
      <x:c r="G31" s="1262">
        <x:v>0.625</x:v>
      </x:c>
      <x:c r="H31" s="1266" t="s">
        <x:v>114</x:v>
      </x:c>
      <x:c r="I31" s="1261" t="str">
        <x:f t="shared" si="107"/>
        <x:v/>
      </x:c>
      <x:c r="J31" s="1262" t="str">
        <x:f t="shared" si="108"/>
        <x:v/>
      </x:c>
      <x:c r="K31" s="1370" t="str">
        <x:f t="shared" si="109"/>
        <x:v/>
      </x:c>
      <x:c r="L31" s="1327">
        <x:v>3</x:v>
      </x:c>
      <x:c r="M31" s="1329">
        <x:v>3</x:v>
      </x:c>
      <x:c r="N31" s="1263">
        <x:v>0</x:v>
      </x:c>
      <x:c r="O31" s="1262">
        <x:v>6.75</x:v>
      </x:c>
      <x:c r="P31" s="1260">
        <x:v>2</x:v>
      </x:c>
      <x:c r="Q31" s="1261" t="str">
        <x:f t="shared" si="4"/>
        <x:v/>
      </x:c>
      <x:c r="R31" s="1262" t="str">
        <x:f t="shared" si="5"/>
        <x:v/>
      </x:c>
      <x:c r="S31" s="1375" t="str">
        <x:f t="shared" si="6"/>
        <x:v/>
      </x:c>
      <x:c r="T31" s="1328">
        <x:v>0</x:v>
      </x:c>
      <x:c r="U31" s="1262">
        <x:v>1.5</x:v>
      </x:c>
      <x:c r="V31" s="1261">
        <x:v>0</x:v>
      </x:c>
      <x:c r="W31" s="1262">
        <x:v>1.125</x:v>
      </x:c>
      <x:c r="X31" s="1329">
        <x:v>4</x:v>
      </x:c>
      <x:c r="Y31" s="1377" t="str">
        <x:f t="shared" si="7"/>
        <x:v/>
      </x:c>
      <x:c r="Z31" s="1378" t="str">
        <x:f t="shared" si="8"/>
        <x:v/>
      </x:c>
      <x:c r="AA31" s="2159" t="s">
        <x:v>2176</x:v>
      </x:c>
      <x:c r="AC31" s="1226" t="b">
        <x:v>0</x:v>
      </x:c>
      <x:c r="AD31" s="525">
        <x:f t="shared" si="9"/>
        <x:v>1</x:v>
      </x:c>
      <x:c r="AE31" s="526">
        <x:f t="shared" si="10"/>
        <x:v>0</x:v>
      </x:c>
      <x:c r="AF31" s="526">
        <x:f t="shared" si="11"/>
        <x:v>0</x:v>
      </x:c>
      <x:c r="AG31" s="526">
        <x:f t="shared" si="12"/>
        <x:v>0</x:v>
      </x:c>
      <x:c r="AH31" s="527">
        <x:f t="shared" si="13"/>
        <x:v>0</x:v>
      </x:c>
      <x:c r="AI31" s="528" t="b">
        <x:v>0</x:v>
      </x:c>
      <x:c r="AJ31" s="284">
        <x:f t="shared" si="14"/>
        <x:v>30</x:v>
      </x:c>
      <x:c r="AK31" s="1063" t="str">
        <x:f t="shared" si="15"/>
        <x:v>K</x:v>
      </x:c>
      <x:c r="AL31" s="1202" t="str">
        <x:f t="shared" si="16"/>
        <x:v/>
      </x:c>
      <x:c r="AM31" s="1063">
        <x:f t="shared" si="17"/>
        <x:v>240</x:v>
      </x:c>
      <x:c r="AN31" s="1063">
        <x:f t="shared" si="18"/>
        <x:v>140</x:v>
      </x:c>
      <x:c r="AO31" s="1063" t="str">
        <x:f t="shared" si="19"/>
        <x:v/>
      </x:c>
      <x:c r="AP31" s="1063" t="b">
        <x:f>IF(ISERROR(AJ31),FALSE,IF(OR(AJ31=0,ISERROR(AL31),ISERROR(AM31),ISERROR(AN31),ISERROR(AO31)),FALSE,IF(AL31&lt;&gt;"",IF(ISERROR(VLOOKUP(SUBSTITUTE(SUBSTITUTE(C31,"R",""),"A",""),TblJoistSize!$A:$A,1,FALSE)),FALSE,TRUE),TRUE)))</x:f>
        <x:v>1</x:v>
      </x:c>
      <x:c r="AQ31" s="1305">
        <x:f t="shared" si="20"/>
        <x:v>4.625</x:v>
      </x:c>
      <x:c r="AR31" s="1305" t="b">
        <x:f t="shared" si="21"/>
        <x:v>1</x:v>
      </x:c>
      <x:c r="AS31" s="1305">
        <x:f t="shared" si="22"/>
        <x:v>4</x:v>
      </x:c>
      <x:c r="AT31" s="1305" t="b">
        <x:f t="shared" si="23"/>
        <x:v>1</x:v>
      </x:c>
      <x:c r="AU31" s="1203" t="str">
        <x:f t="shared" si="24"/>
        <x:v>K</x:v>
      </x:c>
      <x:c r="AV31" s="1063" t="str">
        <x:f t="shared" si="25"/>
        <x:v>K</x:v>
      </x:c>
      <x:c r="AW31" s="1063" t="str">
        <x:f t="shared" si="26"/>
        <x:v/>
      </x:c>
      <x:c r="AX31" s="1063" t="str">
        <x:f t="shared" si="99"/>
        <x:v>TJ157</x:v>
      </x:c>
      <x:c r="AY31" s="1306" t="b">
        <x:f t="shared" si="27"/>
        <x:v>0</x:v>
      </x:c>
      <x:c r="AZ31" s="1090" t="b">
        <x:f t="shared" si="28"/>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29"/>
        <x:v/>
      </x:c>
      <x:c r="CE31" s="935" t="str">
        <x:f t="shared" si="30"/>
        <x:v/>
      </x:c>
      <x:c r="CF31" s="1149"/>
      <x:c r="CG31" s="1150"/>
      <x:c r="CH31" s="738" t="str">
        <x:f t="shared" si="31"/>
        <x:v/>
      </x:c>
      <x:c r="CI31" s="739" t="str">
        <x:f t="shared" si="32"/>
        <x:v/>
      </x:c>
      <x:c r="CJ31" s="740" t="str">
        <x:f t="shared" si="33"/>
        <x:v/>
      </x:c>
      <x:c r="CK31" s="741" t="str">
        <x:f t="shared" si="34"/>
        <x:v/>
      </x:c>
      <x:c r="CL31" s="742" t="str">
        <x:f t="shared" si="35"/>
        <x:v/>
      </x:c>
      <x:c r="CM31" s="743" t="str">
        <x:f t="shared" si="36"/>
        <x:v/>
      </x:c>
      <x:c r="CN31" s="744" t="str">
        <x:f t="shared" si="37"/>
        <x:v/>
      </x:c>
      <x:c r="CO31" s="745" t="str">
        <x:f t="shared" si="38"/>
        <x:v/>
      </x:c>
      <x:c r="CP31" s="762" t="str">
        <x:f t="shared" si="39"/>
        <x:v/>
      </x:c>
      <x:c r="CQ31" s="763" t="str">
        <x:f t="shared" si="40"/>
        <x:v/>
      </x:c>
      <x:c r="CR31" s="953">
        <x:f t="shared" si="41"/>
        <x:v>2.5</x:v>
      </x:c>
      <x:c r="CS31" s="954">
        <x:f t="shared" si="42"/>
        <x:v>2.5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3"/>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4"/>
        <x:v>0</x:v>
      </x:c>
      <x:c r="DO31" s="1049">
        <x:f t="shared" si="45"/>
        <x:v>0</x:v>
      </x:c>
      <x:c r="DP31" s="1053" t="str">
        <x:f t="shared" si="46"/>
        <x:v/>
      </x:c>
      <x:c r="DQ31" s="1053" t="str">
        <x:f t="shared" si="47"/>
        <x:v/>
      </x:c>
      <x:c r="DR31" s="1053" t="str">
        <x:f t="shared" si="48"/>
        <x:v/>
      </x:c>
      <x:c r="DS31" s="1052">
        <x:f t="shared" si="49"/>
        <x:v>0</x:v>
      </x:c>
      <x:c r="DT31" s="1052">
        <x:f t="shared" si="50"/>
        <x:v>0</x:v>
      </x:c>
      <x:c r="DU31" s="1052" t="str">
        <x:f t="shared" si="51"/>
        <x:v/>
      </x:c>
      <x:c r="DV31" s="1053" t="str">
        <x:f t="shared" si="52"/>
        <x:v/>
      </x:c>
      <x:c r="DW31" s="1053" t="str">
        <x:f t="shared" si="53"/>
        <x:v/>
      </x:c>
      <x:c r="DX31" s="1269">
        <x:f t="shared" si="54"/>
        <x:v>0</x:v>
      </x:c>
      <x:c r="DY31" s="1053">
        <x:f t="shared" si="55"/>
        <x:v>0</x:v>
      </x:c>
      <x:c r="DZ31" s="1052">
        <x:f t="shared" si="56"/>
        <x:v>0</x:v>
      </x:c>
      <x:c r="EA31" s="1052" t="str">
        <x:f t="shared" si="57"/>
        <x:v/>
      </x:c>
      <x:c r="EB31" s="1053" t="str">
        <x:f t="shared" si="58"/>
        <x:v/>
      </x:c>
      <x:c r="EC31" s="1053" t="str">
        <x:f t="shared" si="59"/>
        <x:v/>
      </x:c>
      <x:c r="ED31" s="1269">
        <x:f t="shared" si="60"/>
        <x:v>0</x:v>
      </x:c>
      <x:c r="EE31" s="1090" t="str">
        <x:f t="shared" si="61"/>
        <x:v/>
      </x:c>
      <x:c r="EF31" s="1053" t="str">
        <x:f t="shared" si="62"/>
        <x:v/>
      </x:c>
      <x:c r="EG31" s="1053" t="str">
        <x:f t="shared" si="63"/>
        <x:v/>
      </x:c>
      <x:c r="EH31" s="1053" t="str">
        <x:f t="shared" si="64"/>
        <x:v>ERR</x:v>
      </x:c>
      <x:c r="EI31" s="1053" t="str">
        <x:f t="shared" si="65"/>
        <x:v>ERR</x:v>
      </x:c>
      <x:c r="EJ31" s="1053" t="str">
        <x:f t="shared" si="66"/>
        <x:v/>
      </x:c>
      <x:c r="EK31" s="1053" t="str">
        <x:f t="shared" si="66"/>
        <x:v/>
      </x:c>
      <x:c r="EL31" s="1090" t="str">
        <x:f t="shared" si="67"/>
        <x:v/>
      </x:c>
      <x:c r="EM31" s="1053" t="str">
        <x:f t="shared" si="68"/>
        <x:v/>
      </x:c>
      <x:c r="EN31" s="1053" t="str">
        <x:f t="shared" si="69"/>
        <x:v/>
      </x:c>
      <x:c r="EO31" s="1053" t="str">
        <x:f t="shared" si="70"/>
        <x:v>ERR</x:v>
      </x:c>
      <x:c r="EP31" s="1053" t="str">
        <x:f t="shared" si="71"/>
        <x:v>ERR</x:v>
      </x:c>
      <x:c r="EQ31" s="1053" t="str">
        <x:f t="shared" si="72"/>
        <x:v/>
      </x:c>
      <x:c r="ER31" s="1053" t="str">
        <x:f t="shared" si="72"/>
        <x:v/>
      </x:c>
      <x:c r="ES31" s="1053" t="str">
        <x:f t="shared" si="73"/>
        <x:v/>
      </x:c>
      <x:c r="ET31" s="1053" t="str">
        <x:f t="shared" si="74"/>
        <x:v/>
      </x:c>
      <x:c r="EU31" s="1061">
        <x:f t="shared" si="75"/>
        <x:v>3.5</x:v>
      </x:c>
      <x:c r="EV31" s="1055" t="str">
        <x:f t="shared" si="76"/>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7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78"/>
        <x:v/>
      </x:c>
      <x:c r="FD31" s="1052">
        <x:f t="shared" si="100"/>
        <x:v>0</x:v>
      </x:c>
      <x:c r="FE31" s="1052">
        <x:f t="shared" si="79"/>
        <x:v>0</x:v>
      </x:c>
      <x:c r="FF31" s="1052">
        <x:f t="shared" si="80"/>
        <x:v>0</x:v>
      </x:c>
      <x:c r="FG31" s="1052" t="str">
        <x:f t="shared" si="81"/>
        <x:v/>
      </x:c>
      <x:c r="FH31" s="1053" t="str">
        <x:f t="shared" si="82"/>
        <x:v/>
      </x:c>
      <x:c r="FI31" s="1052">
        <x:f t="shared" si="101"/>
        <x:v>0</x:v>
      </x:c>
      <x:c r="FJ31" s="1052">
        <x:f t="shared" si="83"/>
        <x:v>0</x:v>
      </x:c>
      <x:c r="FK31" s="1052">
        <x:f t="shared" si="84"/>
        <x:v>0</x:v>
      </x:c>
      <x:c r="FL31" s="1052" t="str">
        <x:f t="shared" si="85"/>
        <x:v/>
      </x:c>
      <x:c r="FM31" s="1053" t="str">
        <x:f t="shared" si="86"/>
        <x:v/>
      </x:c>
      <x:c r="FN31" s="1053" t="e">
        <x:f t="shared" si="87"/>
        <x:v>#VALUE!</x:v>
      </x:c>
      <x:c r="FO31" s="1062" t="e">
        <x:f t="shared" si="88"/>
        <x:v>#VALUE!</x:v>
      </x:c>
      <x:c r="FP31" s="1062" t="e">
        <x:f t="shared" si="89"/>
        <x:v>#VALUE!</x:v>
      </x:c>
      <x:c r="FQ31" s="1063" t="e">
        <x:f t="shared" si="90"/>
        <x:v>#VALUE!</x:v>
      </x:c>
      <x:c r="FR31" s="1064" t="e">
        <x:f t="shared" si="91"/>
        <x:v>#VALUE!</x:v>
      </x:c>
      <x:c r="FS31" s="1065" t="str">
        <x:f t="shared" si="92"/>
        <x:v/>
      </x:c>
      <x:c r="FT31" s="1066" t="str">
        <x:f t="shared" si="93"/>
        <x:v/>
      </x:c>
      <x:c r="FU31" s="1105">
        <x:f t="shared" si="94"/>
        <x:v>0</x:v>
      </x:c>
      <x:c r="FV31" s="1106">
        <x:f t="shared" si="95"/>
        <x:v>0</x:v>
      </x:c>
      <x:c r="GA31" s="1975">
        <x:v>49</x:v>
      </x:c>
      <x:c r="GB31" s="1976">
        <x:v>2.75</x:v>
      </x:c>
      <x:c r="GC31" s="1977">
        <x:v>-1</x:v>
      </x:c>
      <x:c r="GD31" s="1978">
        <x:v>-1.875</x:v>
      </x:c>
      <x:c r="GE31" s="1979">
        <x:v>-0.314853999153618</x:v>
      </x:c>
      <x:c r="GF31" s="1980" t="str">
        <x:f t="shared" si="96"/>
        <x:v>TJ157</x:v>
      </x:c>
      <x:c r="GG31" s="1453"/>
      <x:c r="GH31" s="1454"/>
      <x:c r="GI31" s="1453"/>
      <x:c r="GJ31" s="1454"/>
      <x:c r="GK31" s="533">
        <x:f t="shared" si="97"/>
        <x:v>587.875</x:v>
      </x:c>
      <x:c r="GL31" s="534">
        <x:f t="shared" si="98"/>
        <x:v>588.07731878415802</x:v>
      </x:c>
      <x:c r="GM31" s="535">
        <x:f>IF(ABS(GK31-GL31)&gt;='Job Info.'!$L$22,ABS(GK31-GL31),0)</x:f>
        <x:v>0</x:v>
      </x:c>
      <x:c r="HA31" s="1658" t="s">
        <x:v>1481</x:v>
      </x:c>
      <x:c r="HB31" s="1659">
        <x:v>1</x:v>
      </x:c>
      <x:c r="HC31" s="1659" t="s">
        <x:v>1979</x:v>
      </x:c>
      <x:c r="HD31" s="1660">
        <x:v>48</x:v>
      </x:c>
      <x:c r="HE31" s="1661">
        <x:v>11.875</x:v>
      </x:c>
      <x:c r="HF31" s="1659">
        <x:v>0</x:v>
      </x:c>
      <x:c r="HG31" s="1659">
        <x:v>0.625</x:v>
      </x:c>
      <x:c r="HH31" s="1659" t="s">
        <x:v>114</x:v>
      </x:c>
      <x:c r="HI31" s="1662" t="s">
        <x:v>117</x:v>
      </x:c>
      <x:c r="HJ31" s="1659" t="s">
        <x:v>117</x:v>
      </x:c>
      <x:c r="HK31" s="1659" t="s">
        <x:v>117</x:v>
      </x:c>
      <x:c r="HL31" s="1659">
        <x:v>3</x:v>
      </x:c>
      <x:c r="HM31" s="1659">
        <x:v>3</x:v>
      </x:c>
      <x:c r="HN31" s="1659">
        <x:v>0</x:v>
      </x:c>
      <x:c r="HO31" s="1659">
        <x:v>6.75</x:v>
      </x:c>
      <x:c r="HP31" s="1659">
        <x:v>2</x:v>
      </x:c>
      <x:c r="HQ31" s="1662" t="s">
        <x:v>117</x:v>
      </x:c>
      <x:c r="HR31" s="1659" t="s">
        <x:v>117</x:v>
      </x:c>
      <x:c r="HS31" s="1659" t="s">
        <x:v>117</x:v>
      </x:c>
      <x:c r="HT31" s="1659">
        <x:v>0</x:v>
      </x:c>
      <x:c r="HU31" s="1659">
        <x:v>1.5</x:v>
      </x:c>
      <x:c r="HV31" s="1659">
        <x:v>0</x:v>
      </x:c>
      <x:c r="HW31" s="1661">
        <x:v>1.125</x:v>
      </x:c>
      <x:c r="HX31" s="1661">
        <x:v>4</x:v>
      </x:c>
      <x:c r="HY31" s="1661" t="s">
        <x:v>117</x:v>
      </x:c>
      <x:c r="HZ31" s="1661" t="s">
        <x:v>117</x:v>
      </x:c>
      <x:c r="IA31" s="1661" t="s">
        <x:v>2176</x:v>
      </x:c>
      <x:c r="IB31" s="1661"/>
      <x:c r="IC31" s="1661"/>
      <x:c r="ID31" s="1661"/>
      <x:c r="IE31" s="1661"/>
      <x:c r="IF31" s="1663"/>
    </x:row>
    <x:row r="32" spans="1:240" ht="12.6" customHeight="1" x14ac:dyDescent="0.25">
      <x:c r="A32" s="1264" t="s">
        <x:v>1482</x:v>
      </x:c>
      <x:c r="B32" s="1265">
        <x:v>5</x:v>
      </x:c>
      <x:c r="C32" s="1265" t="s">
        <x:v>1979</x:v>
      </x:c>
      <x:c r="D32" s="1261">
        <x:v>49</x:v>
      </x:c>
      <x:c r="E32" s="1366">
        <x:v>0.625</x:v>
      </x:c>
      <x:c r="F32" s="1328">
        <x:v>0</x:v>
      </x:c>
      <x:c r="G32" s="1262">
        <x:v>1.375</x:v>
      </x:c>
      <x:c r="H32" s="1266" t="s">
        <x:v>114</x:v>
      </x:c>
      <x:c r="I32" s="1261" t="str">
        <x:f t="shared" si="107"/>
        <x:v/>
      </x:c>
      <x:c r="J32" s="1262" t="str">
        <x:f t="shared" si="108"/>
        <x:v/>
      </x:c>
      <x:c r="K32" s="1370" t="str">
        <x:f t="shared" si="109"/>
        <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t="str">
        <x:f t="shared" si="102"/>
        <x:v/>
      </x:c>
      <x:c r="U32" s="1262" t="str">
        <x:f t="shared" si="103"/>
        <x:v/>
      </x:c>
      <x:c r="V32" s="1261" t="str">
        <x:f t="shared" si="104"/>
        <x:v/>
      </x:c>
      <x:c r="W32" s="1262" t="str">
        <x:f t="shared" si="105"/>
        <x:v/>
      </x:c>
      <x:c r="X32" s="1329">
        <x:f t="shared" si="106"/>
        <x:v>0</x:v>
      </x:c>
      <x:c r="Y32" s="1377" t="str">
        <x:f t="shared" si="7"/>
        <x:v/>
      </x:c>
      <x:c r="Z32" s="1378" t="str">
        <x:f t="shared" si="8"/>
        <x:v/>
      </x:c>
      <x:c r="AA32" s="2159" t="s">
        <x:v>2177</x:v>
      </x:c>
      <x:c r="AC32" s="1226" t="b">
        <x:v>0</x:v>
      </x:c>
      <x:c r="AD32" s="525">
        <x:f t="shared" si="9"/>
        <x:v>5</x:v>
      </x:c>
      <x:c r="AE32" s="526">
        <x:f t="shared" si="10"/>
        <x:v>0</x:v>
      </x:c>
      <x:c r="AF32" s="526">
        <x:f t="shared" si="11"/>
        <x:v>0</x:v>
      </x:c>
      <x:c r="AG32" s="526">
        <x:f t="shared" si="12"/>
        <x:v>0</x:v>
      </x:c>
      <x:c r="AH32" s="527">
        <x:f t="shared" si="13"/>
        <x:v>0</x:v>
      </x:c>
      <x:c r="AI32" s="528" t="b">
        <x:v>0</x:v>
      </x:c>
      <x:c r="AJ32" s="284">
        <x:f t="shared" si="14"/>
        <x:v>30</x:v>
      </x:c>
      <x:c r="AK32" s="1063" t="str">
        <x:f t="shared" si="15"/>
        <x:v>K</x:v>
      </x:c>
      <x:c r="AL32" s="1202" t="str">
        <x:f t="shared" si="16"/>
        <x:v/>
      </x:c>
      <x:c r="AM32" s="1063">
        <x:f t="shared" si="17"/>
        <x:v>240</x:v>
      </x:c>
      <x:c r="AN32" s="1063">
        <x:f t="shared" si="18"/>
        <x:v>140</x:v>
      </x:c>
      <x:c r="AO32" s="1063" t="str">
        <x:f t="shared" si="19"/>
        <x:v/>
      </x:c>
      <x:c r="AP32" s="1063" t="b">
        <x:f>IF(ISERROR(AJ32),FALSE,IF(OR(AJ32=0,ISERROR(AL32),ISERROR(AM32),ISERROR(AN32),ISERROR(AO32)),FALSE,IF(AL32&lt;&gt;"",IF(ISERROR(VLOOKUP(SUBSTITUTE(SUBSTITUTE(C32,"R",""),"A",""),TblJoistSize!$A:$A,1,FALSE)),FALSE,TRUE),TRUE)))</x:f>
        <x:v>1</x:v>
      </x:c>
      <x:c r="AQ32" s="1305">
        <x:f t="shared" si="20"/>
        <x:v>5.375</x:v>
      </x:c>
      <x:c r="AR32" s="1305" t="b">
        <x:f t="shared" si="21"/>
        <x:v>0</x:v>
      </x:c>
      <x:c r="AS32" s="1305">
        <x:f t="shared" si="22"/>
        <x:v>4</x:v>
      </x:c>
      <x:c r="AT32" s="1305" t="b">
        <x:f t="shared" si="23"/>
        <x:v>0</x:v>
      </x:c>
      <x:c r="AU32" s="1203" t="str">
        <x:f t="shared" si="24"/>
        <x:v>K</x:v>
      </x:c>
      <x:c r="AV32" s="1063" t="str">
        <x:f t="shared" si="25"/>
        <x:v>K</x:v>
      </x:c>
      <x:c r="AW32" s="1063" t="str">
        <x:f t="shared" si="26"/>
        <x:v/>
      </x:c>
      <x:c r="AX32" s="1063" t="str">
        <x:f t="shared" si="99"/>
        <x:v>J158</x:v>
      </x:c>
      <x:c r="AY32" s="1306" t="b">
        <x:f t="shared" si="27"/>
        <x:v>0</x:v>
      </x:c>
      <x:c r="AZ32" s="1090" t="b">
        <x:f t="shared" si="28"/>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29"/>
        <x:v/>
      </x:c>
      <x:c r="CE32" s="935" t="str">
        <x:f t="shared" si="30"/>
        <x:v/>
      </x:c>
      <x:c r="CF32" s="1149"/>
      <x:c r="CG32" s="1150"/>
      <x:c r="CH32" s="738" t="str">
        <x:f t="shared" si="31"/>
        <x:v/>
      </x:c>
      <x:c r="CI32" s="739" t="str">
        <x:f t="shared" si="32"/>
        <x:v/>
      </x:c>
      <x:c r="CJ32" s="740" t="str">
        <x:f t="shared" si="33"/>
        <x:v/>
      </x:c>
      <x:c r="CK32" s="741" t="str">
        <x:f t="shared" si="34"/>
        <x:v/>
      </x:c>
      <x:c r="CL32" s="742" t="str">
        <x:f t="shared" si="35"/>
        <x:v/>
      </x:c>
      <x:c r="CM32" s="743" t="str">
        <x:f t="shared" si="36"/>
        <x:v/>
      </x:c>
      <x:c r="CN32" s="744" t="str">
        <x:f t="shared" si="37"/>
        <x:v/>
      </x:c>
      <x:c r="CO32" s="745" t="str">
        <x:f t="shared" si="38"/>
        <x:v/>
      </x:c>
      <x:c r="CP32" s="762" t="str">
        <x:f t="shared" si="39"/>
        <x:v/>
      </x:c>
      <x:c r="CQ32" s="763" t="str">
        <x:f t="shared" si="40"/>
        <x:v/>
      </x:c>
      <x:c r="CR32" s="953">
        <x:f t="shared" si="41"/>
        <x:v>2.5</x:v>
      </x:c>
      <x:c r="CS32" s="954">
        <x:f t="shared" si="42"/>
        <x:v>2.5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3"/>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4"/>
        <x:v>0</x:v>
      </x:c>
      <x:c r="DO32" s="1049">
        <x:f t="shared" si="45"/>
        <x:v>0</x:v>
      </x:c>
      <x:c r="DP32" s="1053" t="str">
        <x:f t="shared" si="46"/>
        <x:v/>
      </x:c>
      <x:c r="DQ32" s="1053" t="str">
        <x:f t="shared" si="47"/>
        <x:v/>
      </x:c>
      <x:c r="DR32" s="1053" t="str">
        <x:f t="shared" si="48"/>
        <x:v/>
      </x:c>
      <x:c r="DS32" s="1052">
        <x:f t="shared" si="49"/>
        <x:v>0</x:v>
      </x:c>
      <x:c r="DT32" s="1052">
        <x:f t="shared" si="50"/>
        <x:v>0</x:v>
      </x:c>
      <x:c r="DU32" s="1052" t="str">
        <x:f t="shared" si="51"/>
        <x:v/>
      </x:c>
      <x:c r="DV32" s="1053" t="str">
        <x:f t="shared" si="52"/>
        <x:v/>
      </x:c>
      <x:c r="DW32" s="1053" t="str">
        <x:f t="shared" si="53"/>
        <x:v/>
      </x:c>
      <x:c r="DX32" s="1269">
        <x:f t="shared" si="54"/>
        <x:v>0</x:v>
      </x:c>
      <x:c r="DY32" s="1053">
        <x:f t="shared" si="55"/>
        <x:v>0</x:v>
      </x:c>
      <x:c r="DZ32" s="1052">
        <x:f t="shared" si="56"/>
        <x:v>0</x:v>
      </x:c>
      <x:c r="EA32" s="1052" t="str">
        <x:f t="shared" si="57"/>
        <x:v/>
      </x:c>
      <x:c r="EB32" s="1053" t="str">
        <x:f t="shared" si="58"/>
        <x:v/>
      </x:c>
      <x:c r="EC32" s="1053" t="str">
        <x:f t="shared" si="59"/>
        <x:v/>
      </x:c>
      <x:c r="ED32" s="1269">
        <x:f t="shared" si="60"/>
        <x:v>0</x:v>
      </x:c>
      <x:c r="EE32" s="1090" t="str">
        <x:f t="shared" si="61"/>
        <x:v/>
      </x:c>
      <x:c r="EF32" s="1053" t="str">
        <x:f t="shared" si="62"/>
        <x:v/>
      </x:c>
      <x:c r="EG32" s="1053" t="str">
        <x:f t="shared" si="63"/>
        <x:v/>
      </x:c>
      <x:c r="EH32" s="1053" t="str">
        <x:f t="shared" si="64"/>
        <x:v>ERR</x:v>
      </x:c>
      <x:c r="EI32" s="1053" t="str">
        <x:f t="shared" si="65"/>
        <x:v>ERR</x:v>
      </x:c>
      <x:c r="EJ32" s="1053" t="str">
        <x:f t="shared" si="66"/>
        <x:v/>
      </x:c>
      <x:c r="EK32" s="1053" t="str">
        <x:f t="shared" si="66"/>
        <x:v/>
      </x:c>
      <x:c r="EL32" s="1090" t="str">
        <x:f t="shared" si="67"/>
        <x:v/>
      </x:c>
      <x:c r="EM32" s="1053" t="str">
        <x:f t="shared" si="68"/>
        <x:v/>
      </x:c>
      <x:c r="EN32" s="1053" t="str">
        <x:f t="shared" si="69"/>
        <x:v/>
      </x:c>
      <x:c r="EO32" s="1053" t="str">
        <x:f t="shared" si="70"/>
        <x:v>ERR</x:v>
      </x:c>
      <x:c r="EP32" s="1053" t="str">
        <x:f t="shared" si="71"/>
        <x:v>ERR</x:v>
      </x:c>
      <x:c r="EQ32" s="1053" t="str">
        <x:f t="shared" si="72"/>
        <x:v/>
      </x:c>
      <x:c r="ER32" s="1053" t="str">
        <x:f t="shared" si="72"/>
        <x:v/>
      </x:c>
      <x:c r="ES32" s="1053" t="str">
        <x:f t="shared" si="73"/>
        <x:v/>
      </x:c>
      <x:c r="ET32" s="1053" t="str">
        <x:f t="shared" si="74"/>
        <x:v/>
      </x:c>
      <x:c r="EU32" s="1061">
        <x:f t="shared" si="75"/>
        <x:v>3.5</x:v>
      </x:c>
      <x:c r="EV32" s="1055" t="str">
        <x:f t="shared" si="76"/>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7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78"/>
        <x:v/>
      </x:c>
      <x:c r="FD32" s="1052">
        <x:f t="shared" si="100"/>
        <x:v>0</x:v>
      </x:c>
      <x:c r="FE32" s="1052">
        <x:f t="shared" si="79"/>
        <x:v>0</x:v>
      </x:c>
      <x:c r="FF32" s="1052">
        <x:f t="shared" si="80"/>
        <x:v>0</x:v>
      </x:c>
      <x:c r="FG32" s="1052" t="str">
        <x:f t="shared" si="81"/>
        <x:v/>
      </x:c>
      <x:c r="FH32" s="1053" t="str">
        <x:f t="shared" si="82"/>
        <x:v/>
      </x:c>
      <x:c r="FI32" s="1052">
        <x:f t="shared" si="101"/>
        <x:v>0</x:v>
      </x:c>
      <x:c r="FJ32" s="1052">
        <x:f t="shared" si="83"/>
        <x:v>0</x:v>
      </x:c>
      <x:c r="FK32" s="1052">
        <x:f t="shared" si="84"/>
        <x:v>0</x:v>
      </x:c>
      <x:c r="FL32" s="1052" t="str">
        <x:f t="shared" si="85"/>
        <x:v/>
      </x:c>
      <x:c r="FM32" s="1053" t="str">
        <x:f t="shared" si="86"/>
        <x:v/>
      </x:c>
      <x:c r="FN32" s="1053" t="e">
        <x:f t="shared" si="87"/>
        <x:v>#VALUE!</x:v>
      </x:c>
      <x:c r="FO32" s="1062" t="e">
        <x:f t="shared" si="88"/>
        <x:v>#VALUE!</x:v>
      </x:c>
      <x:c r="FP32" s="1062" t="e">
        <x:f t="shared" si="89"/>
        <x:v>#VALUE!</x:v>
      </x:c>
      <x:c r="FQ32" s="1063" t="e">
        <x:f t="shared" si="90"/>
        <x:v>#VALUE!</x:v>
      </x:c>
      <x:c r="FR32" s="1064" t="e">
        <x:f t="shared" si="91"/>
        <x:v>#VALUE!</x:v>
      </x:c>
      <x:c r="FS32" s="1065" t="str">
        <x:f t="shared" si="92"/>
        <x:v/>
      </x:c>
      <x:c r="FT32" s="1066" t="str">
        <x:f t="shared" si="93"/>
        <x:v/>
      </x:c>
      <x:c r="FU32" s="1105">
        <x:f t="shared" si="94"/>
        <x:v>0</x:v>
      </x:c>
      <x:c r="FV32" s="1106">
        <x:f t="shared" si="95"/>
        <x:v>0</x:v>
      </x:c>
      <x:c r="GA32" s="1975">
        <x:v>49</x:v>
      </x:c>
      <x:c r="GB32" s="1976">
        <x:v>2.75</x:v>
      </x:c>
      <x:c r="GC32" s="1977">
        <x:v>-0.25</x:v>
      </x:c>
      <x:c r="GD32" s="1978">
        <x:v>-1.875</x:v>
      </x:c>
      <x:c r="GE32" s="1979">
        <x:v>-0.314853999153618</x:v>
      </x:c>
      <x:c r="GF32" s="1980" t="str">
        <x:f t="shared" si="96"/>
        <x:v>J158</x:v>
      </x:c>
      <x:c r="GG32" s="1453"/>
      <x:c r="GH32" s="1454"/>
      <x:c r="GI32" s="1453"/>
      <x:c r="GJ32" s="1454"/>
      <x:c r="GK32" s="533">
        <x:f t="shared" si="97"/>
        <x:v>588.625</x:v>
      </x:c>
      <x:c r="GL32" s="534">
        <x:f t="shared" si="98"/>
        <x:v>588.827576898703</x:v>
      </x:c>
      <x:c r="GM32" s="535">
        <x:f>IF(ABS(GK32-GL32)&gt;='Job Info.'!$L$22,ABS(GK32-GL32),0)</x:f>
        <x:v>0</x:v>
      </x:c>
      <x:c r="HA32" s="1658" t="s">
        <x:v>1482</x:v>
      </x:c>
      <x:c r="HB32" s="1659">
        <x:v>5</x:v>
      </x:c>
      <x:c r="HC32" s="1659" t="s">
        <x:v>1979</x:v>
      </x:c>
      <x:c r="HD32" s="1660">
        <x:v>49</x:v>
      </x:c>
      <x:c r="HE32" s="1661">
        <x:v>0.625</x:v>
      </x:c>
      <x:c r="HF32" s="1659">
        <x:v>0</x:v>
      </x:c>
      <x:c r="HG32" s="1659">
        <x:v>1.375</x:v>
      </x:c>
      <x:c r="HH32" s="1659" t="s">
        <x:v>114</x:v>
      </x:c>
      <x:c r="HI32" s="1662" t="s">
        <x:v>117</x:v>
      </x:c>
      <x:c r="HJ32" s="1659" t="s">
        <x:v>117</x:v>
      </x:c>
      <x:c r="HK32" s="1659" t="s">
        <x:v>117</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2177</x:v>
      </x:c>
      <x:c r="IB32" s="1661"/>
      <x:c r="IC32" s="1661"/>
      <x:c r="ID32" s="1661"/>
      <x:c r="IE32" s="1661"/>
      <x:c r="IF32" s="1663"/>
    </x:row>
    <x:row r="33" spans="1:240" ht="12.6" customHeight="1" x14ac:dyDescent="0.25">
      <x:c r="A33" s="1264" t="s">
        <x:v>1483</x:v>
      </x:c>
      <x:c r="B33" s="1265">
        <x:v>8</x:v>
      </x:c>
      <x:c r="C33" s="1265" t="s">
        <x:v>1979</x:v>
      </x:c>
      <x:c r="D33" s="1261">
        <x:v>49</x:v>
      </x:c>
      <x:c r="E33" s="1366">
        <x:v>0.625</x:v>
      </x:c>
      <x:c r="F33" s="1328">
        <x:v>0</x:v>
      </x:c>
      <x:c r="G33" s="1262">
        <x:v>1.375</x:v>
      </x:c>
      <x:c r="H33" s="1266" t="s">
        <x:v>114</x:v>
      </x:c>
      <x:c r="I33" s="1261" t="str">
        <x:f t="shared" si="107"/>
        <x:v/>
      </x:c>
      <x:c r="J33" s="1262" t="str">
        <x:f t="shared" si="108"/>
        <x:v/>
      </x:c>
      <x:c r="K33" s="1370" t="str">
        <x:f t="shared" si="109"/>
        <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x:v>0</x:v>
      </x:c>
      <x:c r="U33" s="1262">
        <x:v>2.25</x:v>
      </x:c>
      <x:c r="V33" s="1261">
        <x:v>0</x:v>
      </x:c>
      <x:c r="W33" s="1262">
        <x:v>1.125</x:v>
      </x:c>
      <x:c r="X33" s="1329">
        <x:v>4</x:v>
      </x:c>
      <x:c r="Y33" s="1377" t="str">
        <x:f t="shared" si="7"/>
        <x:v/>
      </x:c>
      <x:c r="Z33" s="1378" t="str">
        <x:f t="shared" si="8"/>
        <x:v/>
      </x:c>
      <x:c r="AA33" s="2159" t="s">
        <x:v>2175</x:v>
      </x:c>
      <x:c r="AC33" s="1226" t="b">
        <x:v>0</x:v>
      </x:c>
      <x:c r="AD33" s="525">
        <x:f t="shared" si="9"/>
        <x:v>8</x:v>
      </x:c>
      <x:c r="AE33" s="526">
        <x:f t="shared" si="10"/>
        <x:v>0</x:v>
      </x:c>
      <x:c r="AF33" s="526">
        <x:f t="shared" si="11"/>
        <x:v>0</x:v>
      </x:c>
      <x:c r="AG33" s="526">
        <x:f t="shared" si="12"/>
        <x:v>0</x:v>
      </x:c>
      <x:c r="AH33" s="527">
        <x:f t="shared" si="13"/>
        <x:v>0</x:v>
      </x:c>
      <x:c r="AI33" s="528" t="b">
        <x:v>0</x:v>
      </x:c>
      <x:c r="AJ33" s="284">
        <x:f t="shared" si="14"/>
        <x:v>30</x:v>
      </x:c>
      <x:c r="AK33" s="1063" t="str">
        <x:f t="shared" si="15"/>
        <x:v>K</x:v>
      </x:c>
      <x:c r="AL33" s="1202" t="str">
        <x:f t="shared" si="16"/>
        <x:v/>
      </x:c>
      <x:c r="AM33" s="1063">
        <x:f t="shared" si="17"/>
        <x:v>240</x:v>
      </x:c>
      <x:c r="AN33" s="1063">
        <x:f t="shared" si="18"/>
        <x:v>140</x:v>
      </x:c>
      <x:c r="AO33" s="1063" t="str">
        <x:f t="shared" si="19"/>
        <x:v/>
      </x:c>
      <x:c r="AP33" s="1063" t="b">
        <x:f>IF(ISERROR(AJ33),FALSE,IF(OR(AJ33=0,ISERROR(AL33),ISERROR(AM33),ISERROR(AN33),ISERROR(AO33)),FALSE,IF(AL33&lt;&gt;"",IF(ISERROR(VLOOKUP(SUBSTITUTE(SUBSTITUTE(C33,"R",""),"A",""),TblJoistSize!$A:$A,1,FALSE)),FALSE,TRUE),TRUE)))</x:f>
        <x:v>1</x:v>
      </x:c>
      <x:c r="AQ33" s="1305">
        <x:f t="shared" si="20"/>
        <x:v>5.375</x:v>
      </x:c>
      <x:c r="AR33" s="1305" t="b">
        <x:f t="shared" si="21"/>
        <x:v>1</x:v>
      </x:c>
      <x:c r="AS33" s="1305">
        <x:f t="shared" si="22"/>
        <x:v>4</x:v>
      </x:c>
      <x:c r="AT33" s="1305" t="b">
        <x:f t="shared" si="23"/>
        <x:v>1</x:v>
      </x:c>
      <x:c r="AU33" s="1203" t="str">
        <x:f t="shared" si="24"/>
        <x:v>K</x:v>
      </x:c>
      <x:c r="AV33" s="1063" t="str">
        <x:f t="shared" si="25"/>
        <x:v>K</x:v>
      </x:c>
      <x:c r="AW33" s="1063" t="str">
        <x:f t="shared" si="26"/>
        <x:v/>
      </x:c>
      <x:c r="AX33" s="1063" t="str">
        <x:f t="shared" si="99"/>
        <x:v>TJ159</x:v>
      </x:c>
      <x:c r="AY33" s="1306" t="b">
        <x:f t="shared" si="27"/>
        <x:v>0</x:v>
      </x:c>
      <x:c r="AZ33" s="1090" t="b">
        <x:f t="shared" si="28"/>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29"/>
        <x:v/>
      </x:c>
      <x:c r="CE33" s="935" t="str">
        <x:f t="shared" si="30"/>
        <x:v/>
      </x:c>
      <x:c r="CF33" s="1149"/>
      <x:c r="CG33" s="1150"/>
      <x:c r="CH33" s="738" t="str">
        <x:f t="shared" si="31"/>
        <x:v/>
      </x:c>
      <x:c r="CI33" s="739" t="str">
        <x:f t="shared" si="32"/>
        <x:v/>
      </x:c>
      <x:c r="CJ33" s="740" t="str">
        <x:f t="shared" si="33"/>
        <x:v/>
      </x:c>
      <x:c r="CK33" s="741" t="str">
        <x:f t="shared" si="34"/>
        <x:v/>
      </x:c>
      <x:c r="CL33" s="742" t="str">
        <x:f t="shared" si="35"/>
        <x:v/>
      </x:c>
      <x:c r="CM33" s="743" t="str">
        <x:f t="shared" si="36"/>
        <x:v/>
      </x:c>
      <x:c r="CN33" s="744" t="str">
        <x:f t="shared" si="37"/>
        <x:v/>
      </x:c>
      <x:c r="CO33" s="745" t="str">
        <x:f t="shared" si="38"/>
        <x:v/>
      </x:c>
      <x:c r="CP33" s="762" t="str">
        <x:f t="shared" si="39"/>
        <x:v/>
      </x:c>
      <x:c r="CQ33" s="763" t="str">
        <x:f t="shared" si="40"/>
        <x:v/>
      </x:c>
      <x:c r="CR33" s="953">
        <x:f t="shared" si="41"/>
        <x:v>2.5</x:v>
      </x:c>
      <x:c r="CS33" s="954">
        <x:f t="shared" si="42"/>
        <x:v>2.5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3"/>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4"/>
        <x:v>0</x:v>
      </x:c>
      <x:c r="DO33" s="1049">
        <x:f t="shared" si="45"/>
        <x:v>0</x:v>
      </x:c>
      <x:c r="DP33" s="1053" t="str">
        <x:f t="shared" si="46"/>
        <x:v/>
      </x:c>
      <x:c r="DQ33" s="1053" t="str">
        <x:f t="shared" si="47"/>
        <x:v/>
      </x:c>
      <x:c r="DR33" s="1053" t="str">
        <x:f t="shared" si="48"/>
        <x:v/>
      </x:c>
      <x:c r="DS33" s="1052">
        <x:f t="shared" si="49"/>
        <x:v>0</x:v>
      </x:c>
      <x:c r="DT33" s="1052">
        <x:f t="shared" si="50"/>
        <x:v>0</x:v>
      </x:c>
      <x:c r="DU33" s="1052" t="str">
        <x:f t="shared" si="51"/>
        <x:v/>
      </x:c>
      <x:c r="DV33" s="1053" t="str">
        <x:f t="shared" si="52"/>
        <x:v/>
      </x:c>
      <x:c r="DW33" s="1053" t="str">
        <x:f t="shared" si="53"/>
        <x:v/>
      </x:c>
      <x:c r="DX33" s="1269">
        <x:f t="shared" si="54"/>
        <x:v>0</x:v>
      </x:c>
      <x:c r="DY33" s="1053">
        <x:f t="shared" si="55"/>
        <x:v>0</x:v>
      </x:c>
      <x:c r="DZ33" s="1052">
        <x:f t="shared" si="56"/>
        <x:v>0</x:v>
      </x:c>
      <x:c r="EA33" s="1052" t="str">
        <x:f t="shared" si="57"/>
        <x:v/>
      </x:c>
      <x:c r="EB33" s="1053" t="str">
        <x:f t="shared" si="58"/>
        <x:v/>
      </x:c>
      <x:c r="EC33" s="1053" t="str">
        <x:f t="shared" si="59"/>
        <x:v/>
      </x:c>
      <x:c r="ED33" s="1269">
        <x:f t="shared" si="60"/>
        <x:v>0</x:v>
      </x:c>
      <x:c r="EE33" s="1090" t="str">
        <x:f t="shared" si="61"/>
        <x:v/>
      </x:c>
      <x:c r="EF33" s="1053" t="str">
        <x:f t="shared" si="62"/>
        <x:v/>
      </x:c>
      <x:c r="EG33" s="1053" t="str">
        <x:f t="shared" si="63"/>
        <x:v/>
      </x:c>
      <x:c r="EH33" s="1053" t="str">
        <x:f t="shared" si="64"/>
        <x:v>ERR</x:v>
      </x:c>
      <x:c r="EI33" s="1053" t="str">
        <x:f t="shared" si="65"/>
        <x:v>ERR</x:v>
      </x:c>
      <x:c r="EJ33" s="1053" t="str">
        <x:f t="shared" si="66"/>
        <x:v/>
      </x:c>
      <x:c r="EK33" s="1053" t="str">
        <x:f t="shared" si="66"/>
        <x:v/>
      </x:c>
      <x:c r="EL33" s="1090" t="str">
        <x:f t="shared" si="67"/>
        <x:v/>
      </x:c>
      <x:c r="EM33" s="1053" t="str">
        <x:f t="shared" si="68"/>
        <x:v/>
      </x:c>
      <x:c r="EN33" s="1053" t="str">
        <x:f t="shared" si="69"/>
        <x:v/>
      </x:c>
      <x:c r="EO33" s="1053" t="str">
        <x:f t="shared" si="70"/>
        <x:v>ERR</x:v>
      </x:c>
      <x:c r="EP33" s="1053" t="str">
        <x:f t="shared" si="71"/>
        <x:v>ERR</x:v>
      </x:c>
      <x:c r="EQ33" s="1053" t="str">
        <x:f t="shared" si="72"/>
        <x:v/>
      </x:c>
      <x:c r="ER33" s="1053" t="str">
        <x:f t="shared" si="72"/>
        <x:v/>
      </x:c>
      <x:c r="ES33" s="1053" t="str">
        <x:f t="shared" si="73"/>
        <x:v/>
      </x:c>
      <x:c r="ET33" s="1053" t="str">
        <x:f t="shared" si="74"/>
        <x:v/>
      </x:c>
      <x:c r="EU33" s="1061">
        <x:f t="shared" si="75"/>
        <x:v>3.5</x:v>
      </x:c>
      <x:c r="EV33" s="1055" t="str">
        <x:f t="shared" si="76"/>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7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78"/>
        <x:v/>
      </x:c>
      <x:c r="FD33" s="1052">
        <x:f t="shared" si="100"/>
        <x:v>0</x:v>
      </x:c>
      <x:c r="FE33" s="1052">
        <x:f t="shared" si="79"/>
        <x:v>0</x:v>
      </x:c>
      <x:c r="FF33" s="1052">
        <x:f t="shared" si="80"/>
        <x:v>0</x:v>
      </x:c>
      <x:c r="FG33" s="1052" t="str">
        <x:f t="shared" si="81"/>
        <x:v/>
      </x:c>
      <x:c r="FH33" s="1053" t="str">
        <x:f t="shared" si="82"/>
        <x:v/>
      </x:c>
      <x:c r="FI33" s="1052">
        <x:f t="shared" si="101"/>
        <x:v>0</x:v>
      </x:c>
      <x:c r="FJ33" s="1052">
        <x:f t="shared" si="83"/>
        <x:v>0</x:v>
      </x:c>
      <x:c r="FK33" s="1052">
        <x:f t="shared" si="84"/>
        <x:v>0</x:v>
      </x:c>
      <x:c r="FL33" s="1052" t="str">
        <x:f t="shared" si="85"/>
        <x:v/>
      </x:c>
      <x:c r="FM33" s="1053" t="str">
        <x:f t="shared" si="86"/>
        <x:v/>
      </x:c>
      <x:c r="FN33" s="1053" t="e">
        <x:f t="shared" si="87"/>
        <x:v>#VALUE!</x:v>
      </x:c>
      <x:c r="FO33" s="1062" t="e">
        <x:f t="shared" si="88"/>
        <x:v>#VALUE!</x:v>
      </x:c>
      <x:c r="FP33" s="1062" t="e">
        <x:f t="shared" si="89"/>
        <x:v>#VALUE!</x:v>
      </x:c>
      <x:c r="FQ33" s="1063" t="e">
        <x:f t="shared" si="90"/>
        <x:v>#VALUE!</x:v>
      </x:c>
      <x:c r="FR33" s="1064" t="e">
        <x:f t="shared" si="91"/>
        <x:v>#VALUE!</x:v>
      </x:c>
      <x:c r="FS33" s="1065" t="str">
        <x:f t="shared" si="92"/>
        <x:v/>
      </x:c>
      <x:c r="FT33" s="1066" t="str">
        <x:f t="shared" si="93"/>
        <x:v/>
      </x:c>
      <x:c r="FU33" s="1105">
        <x:f t="shared" si="94"/>
        <x:v>0</x:v>
      </x:c>
      <x:c r="FV33" s="1106">
        <x:f t="shared" si="95"/>
        <x:v>0</x:v>
      </x:c>
      <x:c r="GA33" s="1975">
        <x:v>49</x:v>
      </x:c>
      <x:c r="GB33" s="1976">
        <x:v>2.75</x:v>
      </x:c>
      <x:c r="GC33" s="1977">
        <x:v>-0.25</x:v>
      </x:c>
      <x:c r="GD33" s="1978">
        <x:v>-1.875</x:v>
      </x:c>
      <x:c r="GE33" s="1979">
        <x:v>-0.314853999153618</x:v>
      </x:c>
      <x:c r="GF33" s="1980" t="str">
        <x:f t="shared" si="96"/>
        <x:v>TJ159</x:v>
      </x:c>
      <x:c r="GG33" s="1453"/>
      <x:c r="GH33" s="1454"/>
      <x:c r="GI33" s="1453"/>
      <x:c r="GJ33" s="1454"/>
      <x:c r="GK33" s="533">
        <x:f t="shared" si="97"/>
        <x:v>588.625</x:v>
      </x:c>
      <x:c r="GL33" s="534">
        <x:f t="shared" si="98"/>
        <x:v>588.827576898703</x:v>
      </x:c>
      <x:c r="GM33" s="535">
        <x:f>IF(ABS(GK33-GL33)&gt;='Job Info.'!$L$22,ABS(GK33-GL33),0)</x:f>
        <x:v>0</x:v>
      </x:c>
      <x:c r="HA33" s="1658" t="s">
        <x:v>1483</x:v>
      </x:c>
      <x:c r="HB33" s="1659">
        <x:v>8</x:v>
      </x:c>
      <x:c r="HC33" s="1659" t="s">
        <x:v>1979</x:v>
      </x:c>
      <x:c r="HD33" s="1660">
        <x:v>49</x:v>
      </x:c>
      <x:c r="HE33" s="1661">
        <x:v>0.625</x:v>
      </x:c>
      <x:c r="HF33" s="1659">
        <x:v>0</x:v>
      </x:c>
      <x:c r="HG33" s="1659">
        <x:v>1.375</x:v>
      </x:c>
      <x:c r="HH33" s="1659" t="s">
        <x:v>114</x:v>
      </x:c>
      <x:c r="HI33" s="1662" t="s">
        <x:v>117</x:v>
      </x:c>
      <x:c r="HJ33" s="1659" t="s">
        <x:v>117</x:v>
      </x:c>
      <x:c r="HK33" s="1659" t="s">
        <x:v>117</x:v>
      </x:c>
      <x:c r="HL33" s="1659">
        <x:v>3</x:v>
      </x:c>
      <x:c r="HM33" s="1659">
        <x:v>3</x:v>
      </x:c>
      <x:c r="HN33" s="1659" t="s">
        <x:v>117</x:v>
      </x:c>
      <x:c r="HO33" s="1659" t="s">
        <x:v>117</x:v>
      </x:c>
      <x:c r="HP33" s="1659" t="s">
        <x:v>117</x:v>
      </x:c>
      <x:c r="HQ33" s="1662" t="s">
        <x:v>117</x:v>
      </x:c>
      <x:c r="HR33" s="1659" t="s">
        <x:v>117</x:v>
      </x:c>
      <x:c r="HS33" s="1659" t="s">
        <x:v>117</x:v>
      </x:c>
      <x:c r="HT33" s="1659">
        <x:v>0</x:v>
      </x:c>
      <x:c r="HU33" s="1659">
        <x:v>2.25</x:v>
      </x:c>
      <x:c r="HV33" s="1659">
        <x:v>0</x:v>
      </x:c>
      <x:c r="HW33" s="1661">
        <x:v>1.125</x:v>
      </x:c>
      <x:c r="HX33" s="1661">
        <x:v>4</x:v>
      </x:c>
      <x:c r="HY33" s="1661" t="s">
        <x:v>117</x:v>
      </x:c>
      <x:c r="HZ33" s="1661" t="s">
        <x:v>117</x:v>
      </x:c>
      <x:c r="IA33" s="1661" t="s">
        <x:v>2175</x:v>
      </x:c>
      <x:c r="IB33" s="1661"/>
      <x:c r="IC33" s="1661"/>
      <x:c r="ID33" s="1661"/>
      <x:c r="IE33" s="1661"/>
      <x:c r="IF33" s="1663"/>
    </x:row>
    <x:row r="34" spans="1:240" ht="12.6" customHeight="1" x14ac:dyDescent="0.25">
      <x:c r="A34" s="1264" t="s">
        <x:v>1484</x:v>
      </x:c>
      <x:c r="B34" s="1265">
        <x:v>2</x:v>
      </x:c>
      <x:c r="C34" s="1265" t="s">
        <x:v>1979</x:v>
      </x:c>
      <x:c r="D34" s="1261">
        <x:v>48</x:v>
      </x:c>
      <x:c r="E34" s="1366">
        <x:v>11.875</x:v>
      </x:c>
      <x:c r="F34" s="1328">
        <x:v>0</x:v>
      </x:c>
      <x:c r="G34" s="1262">
        <x:v>0.625</x:v>
      </x:c>
      <x:c r="H34" s="1266" t="s">
        <x:v>114</x:v>
      </x:c>
      <x:c r="I34" s="1261" t="str">
        <x:f t="shared" si="107"/>
        <x:v/>
      </x:c>
      <x:c r="J34" s="1262" t="str">
        <x:f t="shared" si="108"/>
        <x:v/>
      </x:c>
      <x:c r="K34" s="1370" t="str">
        <x:f t="shared" si="109"/>
        <x:v/>
      </x:c>
      <x:c r="L34" s="1327">
        <x:v>3</x:v>
      </x:c>
      <x:c r="M34" s="1329">
        <x:v>3</x:v>
      </x:c>
      <x:c r="N34" s="1263">
        <x:v>0</x:v>
      </x:c>
      <x:c r="O34" s="1262">
        <x:v>6.75</x:v>
      </x:c>
      <x:c r="P34" s="1260">
        <x:v>2</x:v>
      </x:c>
      <x:c r="Q34" s="1261" t="str">
        <x:f t="shared" si="4"/>
        <x:v/>
      </x:c>
      <x:c r="R34" s="1262" t="str">
        <x:f t="shared" si="5"/>
        <x:v/>
      </x:c>
      <x:c r="S34" s="1375" t="str">
        <x:f t="shared" si="6"/>
        <x:v/>
      </x:c>
      <x:c r="T34" s="1328">
        <x:v>0</x:v>
      </x:c>
      <x:c r="U34" s="1262">
        <x:v>1.5</x:v>
      </x:c>
      <x:c r="V34" s="1261">
        <x:v>0</x:v>
      </x:c>
      <x:c r="W34" s="1262">
        <x:v>1.125</x:v>
      </x:c>
      <x:c r="X34" s="1329">
        <x:v>4</x:v>
      </x:c>
      <x:c r="Y34" s="1377" t="str">
        <x:f t="shared" si="7"/>
        <x:v/>
      </x:c>
      <x:c r="Z34" s="1378" t="str">
        <x:f t="shared" si="8"/>
        <x:v/>
      </x:c>
      <x:c r="AA34" s="2159" t="s">
        <x:v>2178</x:v>
      </x:c>
      <x:c r="AC34" s="1226" t="b">
        <x:v>0</x:v>
      </x:c>
      <x:c r="AD34" s="525">
        <x:f t="shared" si="9"/>
        <x:v>2</x:v>
      </x:c>
      <x:c r="AE34" s="526">
        <x:f t="shared" si="10"/>
        <x:v>0</x:v>
      </x:c>
      <x:c r="AF34" s="526">
        <x:f t="shared" si="11"/>
        <x:v>0</x:v>
      </x:c>
      <x:c r="AG34" s="526">
        <x:f t="shared" si="12"/>
        <x:v>0</x:v>
      </x:c>
      <x:c r="AH34" s="527">
        <x:f t="shared" si="13"/>
        <x:v>0</x:v>
      </x:c>
      <x:c r="AI34" s="528" t="b">
        <x:v>0</x:v>
      </x:c>
      <x:c r="AJ34" s="284">
        <x:f t="shared" si="14"/>
        <x:v>30</x:v>
      </x:c>
      <x:c r="AK34" s="1063" t="str">
        <x:f t="shared" si="15"/>
        <x:v>K</x:v>
      </x:c>
      <x:c r="AL34" s="1202" t="str">
        <x:f t="shared" si="16"/>
        <x:v/>
      </x:c>
      <x:c r="AM34" s="1063">
        <x:f t="shared" si="17"/>
        <x:v>240</x:v>
      </x:c>
      <x:c r="AN34" s="1063">
        <x:f t="shared" si="18"/>
        <x:v>140</x:v>
      </x:c>
      <x:c r="AO34" s="1063" t="str">
        <x:f t="shared" si="19"/>
        <x:v/>
      </x:c>
      <x:c r="AP34" s="1063" t="b">
        <x:f>IF(ISERROR(AJ34),FALSE,IF(OR(AJ34=0,ISERROR(AL34),ISERROR(AM34),ISERROR(AN34),ISERROR(AO34)),FALSE,IF(AL34&lt;&gt;"",IF(ISERROR(VLOOKUP(SUBSTITUTE(SUBSTITUTE(C34,"R",""),"A",""),TblJoistSize!$A:$A,1,FALSE)),FALSE,TRUE),TRUE)))</x:f>
        <x:v>1</x:v>
      </x:c>
      <x:c r="AQ34" s="1305">
        <x:f t="shared" si="20"/>
        <x:v>4.625</x:v>
      </x:c>
      <x:c r="AR34" s="1305" t="b">
        <x:f t="shared" si="21"/>
        <x:v>1</x:v>
      </x:c>
      <x:c r="AS34" s="1305">
        <x:f t="shared" si="22"/>
        <x:v>4</x:v>
      </x:c>
      <x:c r="AT34" s="1305" t="b">
        <x:f t="shared" si="23"/>
        <x:v>1</x:v>
      </x:c>
      <x:c r="AU34" s="1203" t="str">
        <x:f t="shared" si="24"/>
        <x:v>K</x:v>
      </x:c>
      <x:c r="AV34" s="1063" t="str">
        <x:f t="shared" si="25"/>
        <x:v>K</x:v>
      </x:c>
      <x:c r="AW34" s="1063" t="str">
        <x:f t="shared" si="26"/>
        <x:v/>
      </x:c>
      <x:c r="AX34" s="1063" t="str">
        <x:f t="shared" si="99"/>
        <x:v>TJ160</x:v>
      </x:c>
      <x:c r="AY34" s="1306" t="b">
        <x:f t="shared" si="27"/>
        <x:v>0</x:v>
      </x:c>
      <x:c r="AZ34" s="1090" t="b">
        <x:f t="shared" si="28"/>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29"/>
        <x:v/>
      </x:c>
      <x:c r="CE34" s="935" t="str">
        <x:f t="shared" si="30"/>
        <x:v/>
      </x:c>
      <x:c r="CF34" s="1149"/>
      <x:c r="CG34" s="1150"/>
      <x:c r="CH34" s="738" t="str">
        <x:f t="shared" si="31"/>
        <x:v/>
      </x:c>
      <x:c r="CI34" s="739" t="str">
        <x:f t="shared" si="32"/>
        <x:v/>
      </x:c>
      <x:c r="CJ34" s="740" t="str">
        <x:f t="shared" si="33"/>
        <x:v/>
      </x:c>
      <x:c r="CK34" s="741" t="str">
        <x:f t="shared" si="34"/>
        <x:v/>
      </x:c>
      <x:c r="CL34" s="742" t="str">
        <x:f t="shared" si="35"/>
        <x:v/>
      </x:c>
      <x:c r="CM34" s="743" t="str">
        <x:f t="shared" si="36"/>
        <x:v/>
      </x:c>
      <x:c r="CN34" s="744" t="str">
        <x:f t="shared" si="37"/>
        <x:v/>
      </x:c>
      <x:c r="CO34" s="745" t="str">
        <x:f t="shared" si="38"/>
        <x:v/>
      </x:c>
      <x:c r="CP34" s="762" t="str">
        <x:f t="shared" si="39"/>
        <x:v/>
      </x:c>
      <x:c r="CQ34" s="763" t="str">
        <x:f t="shared" si="40"/>
        <x:v/>
      </x:c>
      <x:c r="CR34" s="953">
        <x:f t="shared" si="41"/>
        <x:v>2.5</x:v>
      </x:c>
      <x:c r="CS34" s="954">
        <x:f t="shared" si="42"/>
        <x:v>2.5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3"/>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4"/>
        <x:v>0</x:v>
      </x:c>
      <x:c r="DO34" s="1049">
        <x:f t="shared" si="45"/>
        <x:v>0</x:v>
      </x:c>
      <x:c r="DP34" s="1053" t="str">
        <x:f t="shared" si="46"/>
        <x:v/>
      </x:c>
      <x:c r="DQ34" s="1053" t="str">
        <x:f t="shared" si="47"/>
        <x:v/>
      </x:c>
      <x:c r="DR34" s="1053" t="str">
        <x:f t="shared" si="48"/>
        <x:v/>
      </x:c>
      <x:c r="DS34" s="1052">
        <x:f t="shared" si="49"/>
        <x:v>0</x:v>
      </x:c>
      <x:c r="DT34" s="1052">
        <x:f t="shared" si="50"/>
        <x:v>0</x:v>
      </x:c>
      <x:c r="DU34" s="1052" t="str">
        <x:f t="shared" si="51"/>
        <x:v/>
      </x:c>
      <x:c r="DV34" s="1053" t="str">
        <x:f t="shared" si="52"/>
        <x:v/>
      </x:c>
      <x:c r="DW34" s="1053" t="str">
        <x:f t="shared" si="53"/>
        <x:v/>
      </x:c>
      <x:c r="DX34" s="1269">
        <x:f t="shared" si="54"/>
        <x:v>0</x:v>
      </x:c>
      <x:c r="DY34" s="1053">
        <x:f t="shared" si="55"/>
        <x:v>0</x:v>
      </x:c>
      <x:c r="DZ34" s="1052">
        <x:f t="shared" si="56"/>
        <x:v>0</x:v>
      </x:c>
      <x:c r="EA34" s="1052" t="str">
        <x:f t="shared" si="57"/>
        <x:v/>
      </x:c>
      <x:c r="EB34" s="1053" t="str">
        <x:f t="shared" si="58"/>
        <x:v/>
      </x:c>
      <x:c r="EC34" s="1053" t="str">
        <x:f t="shared" si="59"/>
        <x:v/>
      </x:c>
      <x:c r="ED34" s="1269">
        <x:f t="shared" si="60"/>
        <x:v>0</x:v>
      </x:c>
      <x:c r="EE34" s="1090" t="str">
        <x:f t="shared" si="61"/>
        <x:v/>
      </x:c>
      <x:c r="EF34" s="1053" t="str">
        <x:f t="shared" si="62"/>
        <x:v/>
      </x:c>
      <x:c r="EG34" s="1053" t="str">
        <x:f t="shared" si="63"/>
        <x:v/>
      </x:c>
      <x:c r="EH34" s="1053" t="str">
        <x:f t="shared" si="64"/>
        <x:v>ERR</x:v>
      </x:c>
      <x:c r="EI34" s="1053" t="str">
        <x:f t="shared" si="65"/>
        <x:v>ERR</x:v>
      </x:c>
      <x:c r="EJ34" s="1053" t="str">
        <x:f t="shared" si="66"/>
        <x:v/>
      </x:c>
      <x:c r="EK34" s="1053" t="str">
        <x:f t="shared" si="66"/>
        <x:v/>
      </x:c>
      <x:c r="EL34" s="1090" t="str">
        <x:f t="shared" si="67"/>
        <x:v/>
      </x:c>
      <x:c r="EM34" s="1053" t="str">
        <x:f t="shared" si="68"/>
        <x:v/>
      </x:c>
      <x:c r="EN34" s="1053" t="str">
        <x:f t="shared" si="69"/>
        <x:v/>
      </x:c>
      <x:c r="EO34" s="1053" t="str">
        <x:f t="shared" si="70"/>
        <x:v>ERR</x:v>
      </x:c>
      <x:c r="EP34" s="1053" t="str">
        <x:f t="shared" si="71"/>
        <x:v>ERR</x:v>
      </x:c>
      <x:c r="EQ34" s="1053" t="str">
        <x:f t="shared" si="72"/>
        <x:v/>
      </x:c>
      <x:c r="ER34" s="1053" t="str">
        <x:f t="shared" si="72"/>
        <x:v/>
      </x:c>
      <x:c r="ES34" s="1053" t="str">
        <x:f t="shared" si="73"/>
        <x:v/>
      </x:c>
      <x:c r="ET34" s="1053" t="str">
        <x:f t="shared" si="74"/>
        <x:v/>
      </x:c>
      <x:c r="EU34" s="1061">
        <x:f t="shared" si="75"/>
        <x:v>3.5</x:v>
      </x:c>
      <x:c r="EV34" s="1055" t="str">
        <x:f t="shared" si="76"/>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7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78"/>
        <x:v/>
      </x:c>
      <x:c r="FD34" s="1052">
        <x:f t="shared" si="100"/>
        <x:v>0</x:v>
      </x:c>
      <x:c r="FE34" s="1052">
        <x:f t="shared" si="79"/>
        <x:v>0</x:v>
      </x:c>
      <x:c r="FF34" s="1052">
        <x:f t="shared" si="80"/>
        <x:v>0</x:v>
      </x:c>
      <x:c r="FG34" s="1052" t="str">
        <x:f t="shared" si="81"/>
        <x:v/>
      </x:c>
      <x:c r="FH34" s="1053" t="str">
        <x:f t="shared" si="82"/>
        <x:v/>
      </x:c>
      <x:c r="FI34" s="1052">
        <x:f t="shared" si="101"/>
        <x:v>0</x:v>
      </x:c>
      <x:c r="FJ34" s="1052">
        <x:f t="shared" si="83"/>
        <x:v>0</x:v>
      </x:c>
      <x:c r="FK34" s="1052">
        <x:f t="shared" si="84"/>
        <x:v>0</x:v>
      </x:c>
      <x:c r="FL34" s="1052" t="str">
        <x:f t="shared" si="85"/>
        <x:v/>
      </x:c>
      <x:c r="FM34" s="1053" t="str">
        <x:f t="shared" si="86"/>
        <x:v/>
      </x:c>
      <x:c r="FN34" s="1053" t="e">
        <x:f t="shared" si="87"/>
        <x:v>#VALUE!</x:v>
      </x:c>
      <x:c r="FO34" s="1062" t="e">
        <x:f t="shared" si="88"/>
        <x:v>#VALUE!</x:v>
      </x:c>
      <x:c r="FP34" s="1062" t="e">
        <x:f t="shared" si="89"/>
        <x:v>#VALUE!</x:v>
      </x:c>
      <x:c r="FQ34" s="1063" t="e">
        <x:f t="shared" si="90"/>
        <x:v>#VALUE!</x:v>
      </x:c>
      <x:c r="FR34" s="1064" t="e">
        <x:f t="shared" si="91"/>
        <x:v>#VALUE!</x:v>
      </x:c>
      <x:c r="FS34" s="1065" t="str">
        <x:f t="shared" si="92"/>
        <x:v/>
      </x:c>
      <x:c r="FT34" s="1066" t="str">
        <x:f t="shared" si="93"/>
        <x:v/>
      </x:c>
      <x:c r="FU34" s="1105">
        <x:f t="shared" si="94"/>
        <x:v>0</x:v>
      </x:c>
      <x:c r="FV34" s="1106">
        <x:f t="shared" si="95"/>
        <x:v>0</x:v>
      </x:c>
      <x:c r="GA34" s="1975">
        <x:v>49</x:v>
      </x:c>
      <x:c r="GB34" s="1976">
        <x:v>2.75</x:v>
      </x:c>
      <x:c r="GC34" s="1977">
        <x:v>-1</x:v>
      </x:c>
      <x:c r="GD34" s="1978">
        <x:v>-1.875</x:v>
      </x:c>
      <x:c r="GE34" s="1979">
        <x:v>-0.314853999153618</x:v>
      </x:c>
      <x:c r="GF34" s="1980" t="str">
        <x:f t="shared" si="96"/>
        <x:v>TJ160</x:v>
      </x:c>
      <x:c r="GG34" s="1453"/>
      <x:c r="GH34" s="1454"/>
      <x:c r="GI34" s="1453"/>
      <x:c r="GJ34" s="1454"/>
      <x:c r="GK34" s="533">
        <x:f t="shared" si="97"/>
        <x:v>587.875</x:v>
      </x:c>
      <x:c r="GL34" s="534">
        <x:f t="shared" si="98"/>
        <x:v>588.07731878415802</x:v>
      </x:c>
      <x:c r="GM34" s="535">
        <x:f>IF(ABS(GK34-GL34)&gt;='Job Info.'!$L$22,ABS(GK34-GL34),0)</x:f>
        <x:v>0</x:v>
      </x:c>
      <x:c r="HA34" s="1658" t="s">
        <x:v>1484</x:v>
      </x:c>
      <x:c r="HB34" s="1659">
        <x:v>2</x:v>
      </x:c>
      <x:c r="HC34" s="1659" t="s">
        <x:v>1979</x:v>
      </x:c>
      <x:c r="HD34" s="1660">
        <x:v>48</x:v>
      </x:c>
      <x:c r="HE34" s="1661">
        <x:v>11.875</x:v>
      </x:c>
      <x:c r="HF34" s="1659">
        <x:v>0</x:v>
      </x:c>
      <x:c r="HG34" s="1659">
        <x:v>0.625</x:v>
      </x:c>
      <x:c r="HH34" s="1659" t="s">
        <x:v>114</x:v>
      </x:c>
      <x:c r="HI34" s="1662" t="s">
        <x:v>117</x:v>
      </x:c>
      <x:c r="HJ34" s="1659" t="s">
        <x:v>117</x:v>
      </x:c>
      <x:c r="HK34" s="1659" t="s">
        <x:v>117</x:v>
      </x:c>
      <x:c r="HL34" s="1659">
        <x:v>3</x:v>
      </x:c>
      <x:c r="HM34" s="1659">
        <x:v>3</x:v>
      </x:c>
      <x:c r="HN34" s="1659">
        <x:v>0</x:v>
      </x:c>
      <x:c r="HO34" s="1659">
        <x:v>6.75</x:v>
      </x:c>
      <x:c r="HP34" s="1659">
        <x:v>2</x:v>
      </x:c>
      <x:c r="HQ34" s="1662" t="s">
        <x:v>117</x:v>
      </x:c>
      <x:c r="HR34" s="1659" t="s">
        <x:v>117</x:v>
      </x:c>
      <x:c r="HS34" s="1659" t="s">
        <x:v>117</x:v>
      </x:c>
      <x:c r="HT34" s="1659">
        <x:v>0</x:v>
      </x:c>
      <x:c r="HU34" s="1659">
        <x:v>1.5</x:v>
      </x:c>
      <x:c r="HV34" s="1659">
        <x:v>0</x:v>
      </x:c>
      <x:c r="HW34" s="1661">
        <x:v>1.125</x:v>
      </x:c>
      <x:c r="HX34" s="1661">
        <x:v>4</x:v>
      </x:c>
      <x:c r="HY34" s="1661" t="s">
        <x:v>117</x:v>
      </x:c>
      <x:c r="HZ34" s="1661" t="s">
        <x:v>117</x:v>
      </x:c>
      <x:c r="IA34" s="1661" t="s">
        <x:v>2178</x:v>
      </x:c>
      <x:c r="IB34" s="1661"/>
      <x:c r="IC34" s="1661"/>
      <x:c r="ID34" s="1661"/>
      <x:c r="IE34" s="1661"/>
      <x:c r="IF34" s="1663"/>
    </x:row>
    <x:row r="35" spans="1:240" ht="12.6" customHeight="1" x14ac:dyDescent="0.25">
      <x:c r="A35" s="1264" t="s">
        <x:v>1485</x:v>
      </x:c>
      <x:c r="B35" s="1265">
        <x:v>4</x:v>
      </x:c>
      <x:c r="C35" s="1265" t="s">
        <x:v>1979</x:v>
      </x:c>
      <x:c r="D35" s="1261">
        <x:v>48</x:v>
      </x:c>
      <x:c r="E35" s="1366">
        <x:v>11.875</x:v>
      </x:c>
      <x:c r="F35" s="1328">
        <x:v>0</x:v>
      </x:c>
      <x:c r="G35" s="1262">
        <x:v>0.625</x:v>
      </x:c>
      <x:c r="H35" s="1266" t="s">
        <x:v>114</x:v>
      </x:c>
      <x:c r="I35" s="1261" t="str">
        <x:f t="shared" si="107"/>
        <x:v/>
      </x:c>
      <x:c r="J35" s="1262" t="str">
        <x:f t="shared" si="108"/>
        <x:v/>
      </x:c>
      <x:c r="K35" s="1370" t="str">
        <x:f t="shared" si="109"/>
        <x:v/>
      </x:c>
      <x:c r="L35" s="1327">
        <x:v>3</x:v>
      </x:c>
      <x:c r="M35" s="1329">
        <x:v>3</x:v>
      </x:c>
      <x:c r="N35" s="1263">
        <x:v>0</x:v>
      </x:c>
      <x:c r="O35" s="1262">
        <x:v>6.75</x:v>
      </x:c>
      <x:c r="P35" s="1260">
        <x:v>2</x:v>
      </x:c>
      <x:c r="Q35" s="1261" t="str">
        <x:f t="shared" si="4"/>
        <x:v/>
      </x:c>
      <x:c r="R35" s="1262" t="str">
        <x:f t="shared" si="5"/>
        <x:v/>
      </x:c>
      <x:c r="S35" s="1375" t="str">
        <x:f t="shared" si="6"/>
        <x:v/>
      </x:c>
      <x:c r="T35" s="1328">
        <x:v>0</x:v>
      </x:c>
      <x:c r="U35" s="1262">
        <x:v>1.5</x:v>
      </x:c>
      <x:c r="V35" s="1261">
        <x:v>0</x:v>
      </x:c>
      <x:c r="W35" s="1262">
        <x:v>1.125</x:v>
      </x:c>
      <x:c r="X35" s="1329">
        <x:v>4</x:v>
      </x:c>
      <x:c r="Y35" s="1377" t="str">
        <x:f t="shared" si="7"/>
        <x:v/>
      </x:c>
      <x:c r="Z35" s="1378" t="str">
        <x:f t="shared" si="8"/>
        <x:v/>
      </x:c>
      <x:c r="AA35" s="2159" t="s">
        <x:v>2179</x:v>
      </x:c>
      <x:c r="AC35" s="1226" t="b">
        <x:v>0</x:v>
      </x:c>
      <x:c r="AD35" s="525">
        <x:f t="shared" si="9"/>
        <x:v>4</x:v>
      </x:c>
      <x:c r="AE35" s="526">
        <x:f t="shared" si="10"/>
        <x:v>0</x:v>
      </x:c>
      <x:c r="AF35" s="526">
        <x:f t="shared" si="11"/>
        <x:v>0</x:v>
      </x:c>
      <x:c r="AG35" s="526">
        <x:f t="shared" si="12"/>
        <x:v>0</x:v>
      </x:c>
      <x:c r="AH35" s="527">
        <x:f t="shared" si="13"/>
        <x:v>0</x:v>
      </x:c>
      <x:c r="AI35" s="528" t="b">
        <x:v>0</x:v>
      </x:c>
      <x:c r="AJ35" s="284">
        <x:f t="shared" si="14"/>
        <x:v>30</x:v>
      </x:c>
      <x:c r="AK35" s="1063" t="str">
        <x:f t="shared" si="15"/>
        <x:v>K</x:v>
      </x:c>
      <x:c r="AL35" s="1202" t="str">
        <x:f t="shared" si="16"/>
        <x:v/>
      </x:c>
      <x:c r="AM35" s="1063">
        <x:f t="shared" si="17"/>
        <x:v>240</x:v>
      </x:c>
      <x:c r="AN35" s="1063">
        <x:f t="shared" si="18"/>
        <x:v>140</x:v>
      </x:c>
      <x:c r="AO35" s="1063" t="str">
        <x:f t="shared" si="19"/>
        <x:v/>
      </x:c>
      <x:c r="AP35" s="1063" t="b">
        <x:f>IF(ISERROR(AJ35),FALSE,IF(OR(AJ35=0,ISERROR(AL35),ISERROR(AM35),ISERROR(AN35),ISERROR(AO35)),FALSE,IF(AL35&lt;&gt;"",IF(ISERROR(VLOOKUP(SUBSTITUTE(SUBSTITUTE(C35,"R",""),"A",""),TblJoistSize!$A:$A,1,FALSE)),FALSE,TRUE),TRUE)))</x:f>
        <x:v>1</x:v>
      </x:c>
      <x:c r="AQ35" s="1305">
        <x:f t="shared" si="20"/>
        <x:v>4.625</x:v>
      </x:c>
      <x:c r="AR35" s="1305" t="b">
        <x:f t="shared" si="21"/>
        <x:v>1</x:v>
      </x:c>
      <x:c r="AS35" s="1305">
        <x:f t="shared" si="22"/>
        <x:v>4</x:v>
      </x:c>
      <x:c r="AT35" s="1305" t="b">
        <x:f t="shared" si="23"/>
        <x:v>1</x:v>
      </x:c>
      <x:c r="AU35" s="1203" t="str">
        <x:f t="shared" si="24"/>
        <x:v>K</x:v>
      </x:c>
      <x:c r="AV35" s="1063" t="str">
        <x:f t="shared" si="25"/>
        <x:v>K</x:v>
      </x:c>
      <x:c r="AW35" s="1063" t="str">
        <x:f t="shared" si="26"/>
        <x:v/>
      </x:c>
      <x:c r="AX35" s="1063" t="str">
        <x:f t="shared" si="99"/>
        <x:v>TJ161</x:v>
      </x:c>
      <x:c r="AY35" s="1306" t="b">
        <x:f t="shared" si="27"/>
        <x:v>0</x:v>
      </x:c>
      <x:c r="AZ35" s="1090" t="b">
        <x:f t="shared" si="28"/>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29"/>
        <x:v/>
      </x:c>
      <x:c r="CE35" s="935" t="str">
        <x:f t="shared" si="30"/>
        <x:v/>
      </x:c>
      <x:c r="CF35" s="1149"/>
      <x:c r="CG35" s="1150"/>
      <x:c r="CH35" s="738" t="str">
        <x:f t="shared" si="31"/>
        <x:v/>
      </x:c>
      <x:c r="CI35" s="739" t="str">
        <x:f t="shared" si="32"/>
        <x:v/>
      </x:c>
      <x:c r="CJ35" s="740" t="str">
        <x:f t="shared" si="33"/>
        <x:v/>
      </x:c>
      <x:c r="CK35" s="741" t="str">
        <x:f t="shared" si="34"/>
        <x:v/>
      </x:c>
      <x:c r="CL35" s="742" t="str">
        <x:f t="shared" si="35"/>
        <x:v/>
      </x:c>
      <x:c r="CM35" s="743" t="str">
        <x:f t="shared" si="36"/>
        <x:v/>
      </x:c>
      <x:c r="CN35" s="744" t="str">
        <x:f t="shared" si="37"/>
        <x:v/>
      </x:c>
      <x:c r="CO35" s="745" t="str">
        <x:f t="shared" si="38"/>
        <x:v/>
      </x:c>
      <x:c r="CP35" s="762" t="str">
        <x:f t="shared" si="39"/>
        <x:v/>
      </x:c>
      <x:c r="CQ35" s="763" t="str">
        <x:f t="shared" si="40"/>
        <x:v/>
      </x:c>
      <x:c r="CR35" s="953">
        <x:f t="shared" si="41"/>
        <x:v>2.5</x:v>
      </x:c>
      <x:c r="CS35" s="954">
        <x:f t="shared" si="42"/>
        <x:v>2.5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3"/>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4"/>
        <x:v>0</x:v>
      </x:c>
      <x:c r="DO35" s="1049">
        <x:f t="shared" si="45"/>
        <x:v>0</x:v>
      </x:c>
      <x:c r="DP35" s="1053" t="str">
        <x:f t="shared" si="46"/>
        <x:v/>
      </x:c>
      <x:c r="DQ35" s="1053" t="str">
        <x:f t="shared" si="47"/>
        <x:v/>
      </x:c>
      <x:c r="DR35" s="1053" t="str">
        <x:f t="shared" si="48"/>
        <x:v/>
      </x:c>
      <x:c r="DS35" s="1052">
        <x:f t="shared" si="49"/>
        <x:v>0</x:v>
      </x:c>
      <x:c r="DT35" s="1052">
        <x:f t="shared" si="50"/>
        <x:v>0</x:v>
      </x:c>
      <x:c r="DU35" s="1052" t="str">
        <x:f t="shared" si="51"/>
        <x:v/>
      </x:c>
      <x:c r="DV35" s="1053" t="str">
        <x:f t="shared" si="52"/>
        <x:v/>
      </x:c>
      <x:c r="DW35" s="1053" t="str">
        <x:f t="shared" si="53"/>
        <x:v/>
      </x:c>
      <x:c r="DX35" s="1269">
        <x:f t="shared" si="54"/>
        <x:v>0</x:v>
      </x:c>
      <x:c r="DY35" s="1053">
        <x:f t="shared" si="55"/>
        <x:v>0</x:v>
      </x:c>
      <x:c r="DZ35" s="1052">
        <x:f t="shared" si="56"/>
        <x:v>0</x:v>
      </x:c>
      <x:c r="EA35" s="1052" t="str">
        <x:f t="shared" si="57"/>
        <x:v/>
      </x:c>
      <x:c r="EB35" s="1053" t="str">
        <x:f t="shared" si="58"/>
        <x:v/>
      </x:c>
      <x:c r="EC35" s="1053" t="str">
        <x:f t="shared" si="59"/>
        <x:v/>
      </x:c>
      <x:c r="ED35" s="1269">
        <x:f t="shared" si="60"/>
        <x:v>0</x:v>
      </x:c>
      <x:c r="EE35" s="1090" t="str">
        <x:f t="shared" si="61"/>
        <x:v/>
      </x:c>
      <x:c r="EF35" s="1053" t="str">
        <x:f t="shared" si="62"/>
        <x:v/>
      </x:c>
      <x:c r="EG35" s="1053" t="str">
        <x:f t="shared" si="63"/>
        <x:v/>
      </x:c>
      <x:c r="EH35" s="1053" t="str">
        <x:f t="shared" si="64"/>
        <x:v>ERR</x:v>
      </x:c>
      <x:c r="EI35" s="1053" t="str">
        <x:f t="shared" si="65"/>
        <x:v>ERR</x:v>
      </x:c>
      <x:c r="EJ35" s="1053" t="str">
        <x:f t="shared" si="66"/>
        <x:v/>
      </x:c>
      <x:c r="EK35" s="1053" t="str">
        <x:f t="shared" si="66"/>
        <x:v/>
      </x:c>
      <x:c r="EL35" s="1090" t="str">
        <x:f t="shared" si="67"/>
        <x:v/>
      </x:c>
      <x:c r="EM35" s="1053" t="str">
        <x:f t="shared" si="68"/>
        <x:v/>
      </x:c>
      <x:c r="EN35" s="1053" t="str">
        <x:f t="shared" si="69"/>
        <x:v/>
      </x:c>
      <x:c r="EO35" s="1053" t="str">
        <x:f t="shared" si="70"/>
        <x:v>ERR</x:v>
      </x:c>
      <x:c r="EP35" s="1053" t="str">
        <x:f t="shared" si="71"/>
        <x:v>ERR</x:v>
      </x:c>
      <x:c r="EQ35" s="1053" t="str">
        <x:f t="shared" si="72"/>
        <x:v/>
      </x:c>
      <x:c r="ER35" s="1053" t="str">
        <x:f t="shared" si="72"/>
        <x:v/>
      </x:c>
      <x:c r="ES35" s="1053" t="str">
        <x:f t="shared" si="73"/>
        <x:v/>
      </x:c>
      <x:c r="ET35" s="1053" t="str">
        <x:f t="shared" si="74"/>
        <x:v/>
      </x:c>
      <x:c r="EU35" s="1061">
        <x:f t="shared" si="75"/>
        <x:v>3.5</x:v>
      </x:c>
      <x:c r="EV35" s="1055" t="str">
        <x:f t="shared" si="76"/>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7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78"/>
        <x:v/>
      </x:c>
      <x:c r="FD35" s="1052">
        <x:f t="shared" si="100"/>
        <x:v>0</x:v>
      </x:c>
      <x:c r="FE35" s="1052">
        <x:f t="shared" si="79"/>
        <x:v>0</x:v>
      </x:c>
      <x:c r="FF35" s="1052">
        <x:f t="shared" si="80"/>
        <x:v>0</x:v>
      </x:c>
      <x:c r="FG35" s="1052" t="str">
        <x:f t="shared" si="81"/>
        <x:v/>
      </x:c>
      <x:c r="FH35" s="1053" t="str">
        <x:f t="shared" si="82"/>
        <x:v/>
      </x:c>
      <x:c r="FI35" s="1052">
        <x:f t="shared" si="101"/>
        <x:v>0</x:v>
      </x:c>
      <x:c r="FJ35" s="1052">
        <x:f t="shared" si="83"/>
        <x:v>0</x:v>
      </x:c>
      <x:c r="FK35" s="1052">
        <x:f t="shared" si="84"/>
        <x:v>0</x:v>
      </x:c>
      <x:c r="FL35" s="1052" t="str">
        <x:f t="shared" si="85"/>
        <x:v/>
      </x:c>
      <x:c r="FM35" s="1053" t="str">
        <x:f t="shared" si="86"/>
        <x:v/>
      </x:c>
      <x:c r="FN35" s="1053" t="e">
        <x:f t="shared" si="87"/>
        <x:v>#VALUE!</x:v>
      </x:c>
      <x:c r="FO35" s="1062" t="e">
        <x:f t="shared" si="88"/>
        <x:v>#VALUE!</x:v>
      </x:c>
      <x:c r="FP35" s="1062" t="e">
        <x:f t="shared" si="89"/>
        <x:v>#VALUE!</x:v>
      </x:c>
      <x:c r="FQ35" s="1063" t="e">
        <x:f t="shared" si="90"/>
        <x:v>#VALUE!</x:v>
      </x:c>
      <x:c r="FR35" s="1064" t="e">
        <x:f t="shared" si="91"/>
        <x:v>#VALUE!</x:v>
      </x:c>
      <x:c r="FS35" s="1065" t="str">
        <x:f t="shared" si="92"/>
        <x:v/>
      </x:c>
      <x:c r="FT35" s="1066" t="str">
        <x:f t="shared" si="93"/>
        <x:v/>
      </x:c>
      <x:c r="FU35" s="1105">
        <x:f t="shared" si="94"/>
        <x:v>0</x:v>
      </x:c>
      <x:c r="FV35" s="1106">
        <x:f t="shared" si="95"/>
        <x:v>0</x:v>
      </x:c>
      <x:c r="GA35" s="1975">
        <x:v>49</x:v>
      </x:c>
      <x:c r="GB35" s="1976">
        <x:v>2.75</x:v>
      </x:c>
      <x:c r="GC35" s="1977">
        <x:v>-1</x:v>
      </x:c>
      <x:c r="GD35" s="1978">
        <x:v>-1.875</x:v>
      </x:c>
      <x:c r="GE35" s="1979">
        <x:v>-0.314853999153618</x:v>
      </x:c>
      <x:c r="GF35" s="1980" t="str">
        <x:f t="shared" si="96"/>
        <x:v>TJ161</x:v>
      </x:c>
      <x:c r="GG35" s="1453"/>
      <x:c r="GH35" s="1454"/>
      <x:c r="GI35" s="1453"/>
      <x:c r="GJ35" s="1454"/>
      <x:c r="GK35" s="533">
        <x:f t="shared" si="97"/>
        <x:v>587.875</x:v>
      </x:c>
      <x:c r="GL35" s="534">
        <x:f t="shared" si="98"/>
        <x:v>588.07731878415802</x:v>
      </x:c>
      <x:c r="GM35" s="535">
        <x:f>IF(ABS(GK35-GL35)&gt;='Job Info.'!$L$22,ABS(GK35-GL35),0)</x:f>
        <x:v>0</x:v>
      </x:c>
      <x:c r="HA35" s="1658" t="s">
        <x:v>1485</x:v>
      </x:c>
      <x:c r="HB35" s="1659">
        <x:v>4</x:v>
      </x:c>
      <x:c r="HC35" s="1659" t="s">
        <x:v>1979</x:v>
      </x:c>
      <x:c r="HD35" s="1660">
        <x:v>48</x:v>
      </x:c>
      <x:c r="HE35" s="1661">
        <x:v>11.875</x:v>
      </x:c>
      <x:c r="HF35" s="1659">
        <x:v>0</x:v>
      </x:c>
      <x:c r="HG35" s="1659">
        <x:v>0.625</x:v>
      </x:c>
      <x:c r="HH35" s="1659" t="s">
        <x:v>114</x:v>
      </x:c>
      <x:c r="HI35" s="1662" t="s">
        <x:v>117</x:v>
      </x:c>
      <x:c r="HJ35" s="1659" t="s">
        <x:v>117</x:v>
      </x:c>
      <x:c r="HK35" s="1659" t="s">
        <x:v>117</x:v>
      </x:c>
      <x:c r="HL35" s="1659">
        <x:v>3</x:v>
      </x:c>
      <x:c r="HM35" s="1659">
        <x:v>3</x:v>
      </x:c>
      <x:c r="HN35" s="1659">
        <x:v>0</x:v>
      </x:c>
      <x:c r="HO35" s="1659">
        <x:v>6.75</x:v>
      </x:c>
      <x:c r="HP35" s="1659">
        <x:v>2</x:v>
      </x:c>
      <x:c r="HQ35" s="1662" t="s">
        <x:v>117</x:v>
      </x:c>
      <x:c r="HR35" s="1659" t="s">
        <x:v>117</x:v>
      </x:c>
      <x:c r="HS35" s="1659" t="s">
        <x:v>117</x:v>
      </x:c>
      <x:c r="HT35" s="1659">
        <x:v>0</x:v>
      </x:c>
      <x:c r="HU35" s="1659">
        <x:v>1.5</x:v>
      </x:c>
      <x:c r="HV35" s="1659">
        <x:v>0</x:v>
      </x:c>
      <x:c r="HW35" s="1661">
        <x:v>1.125</x:v>
      </x:c>
      <x:c r="HX35" s="1661">
        <x:v>4</x:v>
      </x:c>
      <x:c r="HY35" s="1661" t="s">
        <x:v>117</x:v>
      </x:c>
      <x:c r="HZ35" s="1661" t="s">
        <x:v>117</x:v>
      </x:c>
      <x:c r="IA35" s="1661" t="s">
        <x:v>2179</x:v>
      </x:c>
      <x:c r="IB35" s="1661"/>
      <x:c r="IC35" s="1661"/>
      <x:c r="ID35" s="1661"/>
      <x:c r="IE35" s="1661"/>
      <x:c r="IF35" s="1663"/>
    </x:row>
    <x:row r="36" spans="1:240" ht="12.6" customHeight="1" x14ac:dyDescent="0.25">
      <x:c r="A36" s="1264" t="s">
        <x:v>1486</x:v>
      </x:c>
      <x:c r="B36" s="1265">
        <x:v>3</x:v>
      </x:c>
      <x:c r="C36" s="1265" t="s">
        <x:v>1979</x:v>
      </x:c>
      <x:c r="D36" s="1261">
        <x:v>49</x:v>
      </x:c>
      <x:c r="E36" s="1366">
        <x:v>0.625</x:v>
      </x:c>
      <x:c r="F36" s="1328">
        <x:v>0</x:v>
      </x:c>
      <x:c r="G36" s="1262">
        <x:v>1.375</x:v>
      </x:c>
      <x:c r="H36" s="1266" t="s">
        <x:v>114</x:v>
      </x:c>
      <x:c r="I36" s="1261" t="str">
        <x:f t="shared" si="107"/>
        <x:v/>
      </x:c>
      <x:c r="J36" s="1262" t="str">
        <x:f t="shared" si="108"/>
        <x:v/>
      </x:c>
      <x:c r="K36" s="1370" t="str">
        <x:f t="shared" si="109"/>
        <x:v/>
      </x:c>
      <x:c r="L36" s="1327">
        <x:v>3</x:v>
      </x:c>
      <x:c r="M36" s="1329">
        <x:v>3</x:v>
      </x:c>
      <x:c r="N36" s="1263" t="str">
        <x:f t="shared" si="1"/>
        <x:v/>
      </x:c>
      <x:c r="O36" s="1262" t="str">
        <x:f t="shared" si="2"/>
        <x:v/>
      </x:c>
      <x:c r="P36" s="1260" t="str">
        <x:f t="shared" si="3"/>
        <x:v/>
      </x:c>
      <x:c r="Q36" s="1261" t="str">
        <x:f t="shared" si="4"/>
        <x:v/>
      </x:c>
      <x:c r="R36" s="1262" t="str">
        <x:f t="shared" si="5"/>
        <x:v/>
      </x:c>
      <x:c r="S36" s="1375" t="str">
        <x:f t="shared" si="6"/>
        <x:v/>
      </x:c>
      <x:c r="T36" s="1328">
        <x:v>0</x:v>
      </x:c>
      <x:c r="U36" s="1262">
        <x:v>2.25</x:v>
      </x:c>
      <x:c r="V36" s="1261">
        <x:v>0</x:v>
      </x:c>
      <x:c r="W36" s="1262">
        <x:v>1.125</x:v>
      </x:c>
      <x:c r="X36" s="1329">
        <x:v>4</x:v>
      </x:c>
      <x:c r="Y36" s="1377" t="str">
        <x:f t="shared" si="7"/>
        <x:v/>
      </x:c>
      <x:c r="Z36" s="1378" t="str">
        <x:f t="shared" si="8"/>
        <x:v/>
      </x:c>
      <x:c r="AA36" s="2159" t="s">
        <x:v>2174</x:v>
      </x:c>
      <x:c r="AC36" s="1226" t="b">
        <x:v>0</x:v>
      </x:c>
      <x:c r="AD36" s="525">
        <x:f t="shared" si="9"/>
        <x:v>3</x:v>
      </x:c>
      <x:c r="AE36" s="526">
        <x:f t="shared" si="10"/>
        <x:v>0</x:v>
      </x:c>
      <x:c r="AF36" s="526">
        <x:f t="shared" si="11"/>
        <x:v>0</x:v>
      </x:c>
      <x:c r="AG36" s="526">
        <x:f t="shared" si="12"/>
        <x:v>0</x:v>
      </x:c>
      <x:c r="AH36" s="527">
        <x:f t="shared" si="13"/>
        <x:v>0</x:v>
      </x:c>
      <x:c r="AI36" s="528" t="b">
        <x:v>0</x:v>
      </x:c>
      <x:c r="AJ36" s="284">
        <x:f t="shared" si="14"/>
        <x:v>30</x:v>
      </x:c>
      <x:c r="AK36" s="1063" t="str">
        <x:f t="shared" si="15"/>
        <x:v>K</x:v>
      </x:c>
      <x:c r="AL36" s="1202" t="str">
        <x:f t="shared" si="16"/>
        <x:v/>
      </x:c>
      <x:c r="AM36" s="1063">
        <x:f t="shared" si="17"/>
        <x:v>240</x:v>
      </x:c>
      <x:c r="AN36" s="1063">
        <x:f t="shared" si="18"/>
        <x:v>140</x:v>
      </x:c>
      <x:c r="AO36" s="1063" t="str">
        <x:f t="shared" si="19"/>
        <x:v/>
      </x:c>
      <x:c r="AP36" s="1063" t="b">
        <x:f>IF(ISERROR(AJ36),FALSE,IF(OR(AJ36=0,ISERROR(AL36),ISERROR(AM36),ISERROR(AN36),ISERROR(AO36)),FALSE,IF(AL36&lt;&gt;"",IF(ISERROR(VLOOKUP(SUBSTITUTE(SUBSTITUTE(C36,"R",""),"A",""),TblJoistSize!$A:$A,1,FALSE)),FALSE,TRUE),TRUE)))</x:f>
        <x:v>1</x:v>
      </x:c>
      <x:c r="AQ36" s="1305">
        <x:f t="shared" si="20"/>
        <x:v>5.375</x:v>
      </x:c>
      <x:c r="AR36" s="1305" t="b">
        <x:f t="shared" si="21"/>
        <x:v>1</x:v>
      </x:c>
      <x:c r="AS36" s="1305">
        <x:f t="shared" si="22"/>
        <x:v>4</x:v>
      </x:c>
      <x:c r="AT36" s="1305" t="b">
        <x:f t="shared" si="23"/>
        <x:v>1</x:v>
      </x:c>
      <x:c r="AU36" s="1203" t="str">
        <x:f t="shared" si="24"/>
        <x:v>K</x:v>
      </x:c>
      <x:c r="AV36" s="1063" t="str">
        <x:f t="shared" si="25"/>
        <x:v>K</x:v>
      </x:c>
      <x:c r="AW36" s="1063" t="str">
        <x:f t="shared" si="26"/>
        <x:v/>
      </x:c>
      <x:c r="AX36" s="1063" t="str">
        <x:f t="shared" si="99"/>
        <x:v>TJ162</x:v>
      </x:c>
      <x:c r="AY36" s="1306" t="b">
        <x:f t="shared" si="27"/>
        <x:v>0</x:v>
      </x:c>
      <x:c r="AZ36" s="1090" t="b">
        <x:f t="shared" si="28"/>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29"/>
        <x:v/>
      </x:c>
      <x:c r="CE36" s="935" t="str">
        <x:f t="shared" si="30"/>
        <x:v/>
      </x:c>
      <x:c r="CF36" s="1149"/>
      <x:c r="CG36" s="1150"/>
      <x:c r="CH36" s="738" t="str">
        <x:f t="shared" si="31"/>
        <x:v/>
      </x:c>
      <x:c r="CI36" s="739" t="str">
        <x:f t="shared" si="32"/>
        <x:v/>
      </x:c>
      <x:c r="CJ36" s="740" t="str">
        <x:f t="shared" si="33"/>
        <x:v/>
      </x:c>
      <x:c r="CK36" s="741" t="str">
        <x:f t="shared" si="34"/>
        <x:v/>
      </x:c>
      <x:c r="CL36" s="742" t="str">
        <x:f t="shared" si="35"/>
        <x:v/>
      </x:c>
      <x:c r="CM36" s="743" t="str">
        <x:f t="shared" si="36"/>
        <x:v/>
      </x:c>
      <x:c r="CN36" s="744" t="str">
        <x:f t="shared" si="37"/>
        <x:v/>
      </x:c>
      <x:c r="CO36" s="745" t="str">
        <x:f t="shared" si="38"/>
        <x:v/>
      </x:c>
      <x:c r="CP36" s="762" t="str">
        <x:f t="shared" si="39"/>
        <x:v/>
      </x:c>
      <x:c r="CQ36" s="763" t="str">
        <x:f t="shared" si="40"/>
        <x:v/>
      </x:c>
      <x:c r="CR36" s="953">
        <x:f t="shared" si="41"/>
        <x:v>2.5</x:v>
      </x:c>
      <x:c r="CS36" s="954">
        <x:f t="shared" si="42"/>
        <x:v>2.5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3"/>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4"/>
        <x:v>0</x:v>
      </x:c>
      <x:c r="DO36" s="1049">
        <x:f t="shared" si="45"/>
        <x:v>0</x:v>
      </x:c>
      <x:c r="DP36" s="1053" t="str">
        <x:f t="shared" si="46"/>
        <x:v/>
      </x:c>
      <x:c r="DQ36" s="1053" t="str">
        <x:f t="shared" si="47"/>
        <x:v/>
      </x:c>
      <x:c r="DR36" s="1053" t="str">
        <x:f t="shared" si="48"/>
        <x:v/>
      </x:c>
      <x:c r="DS36" s="1052">
        <x:f t="shared" si="49"/>
        <x:v>0</x:v>
      </x:c>
      <x:c r="DT36" s="1052">
        <x:f t="shared" si="50"/>
        <x:v>0</x:v>
      </x:c>
      <x:c r="DU36" s="1052" t="str">
        <x:f t="shared" si="51"/>
        <x:v/>
      </x:c>
      <x:c r="DV36" s="1053" t="str">
        <x:f t="shared" si="52"/>
        <x:v/>
      </x:c>
      <x:c r="DW36" s="1053" t="str">
        <x:f t="shared" si="53"/>
        <x:v/>
      </x:c>
      <x:c r="DX36" s="1269">
        <x:f t="shared" si="54"/>
        <x:v>0</x:v>
      </x:c>
      <x:c r="DY36" s="1053">
        <x:f t="shared" si="55"/>
        <x:v>0</x:v>
      </x:c>
      <x:c r="DZ36" s="1052">
        <x:f t="shared" si="56"/>
        <x:v>0</x:v>
      </x:c>
      <x:c r="EA36" s="1052" t="str">
        <x:f t="shared" si="57"/>
        <x:v/>
      </x:c>
      <x:c r="EB36" s="1053" t="str">
        <x:f t="shared" si="58"/>
        <x:v/>
      </x:c>
      <x:c r="EC36" s="1053" t="str">
        <x:f t="shared" si="59"/>
        <x:v/>
      </x:c>
      <x:c r="ED36" s="1269">
        <x:f t="shared" si="60"/>
        <x:v>0</x:v>
      </x:c>
      <x:c r="EE36" s="1090" t="str">
        <x:f t="shared" si="61"/>
        <x:v/>
      </x:c>
      <x:c r="EF36" s="1053" t="str">
        <x:f t="shared" si="62"/>
        <x:v/>
      </x:c>
      <x:c r="EG36" s="1053" t="str">
        <x:f t="shared" si="63"/>
        <x:v/>
      </x:c>
      <x:c r="EH36" s="1053" t="str">
        <x:f t="shared" si="64"/>
        <x:v>ERR</x:v>
      </x:c>
      <x:c r="EI36" s="1053" t="str">
        <x:f t="shared" si="65"/>
        <x:v>ERR</x:v>
      </x:c>
      <x:c r="EJ36" s="1053" t="str">
        <x:f t="shared" si="66"/>
        <x:v/>
      </x:c>
      <x:c r="EK36" s="1053" t="str">
        <x:f t="shared" si="66"/>
        <x:v/>
      </x:c>
      <x:c r="EL36" s="1090" t="str">
        <x:f t="shared" si="67"/>
        <x:v/>
      </x:c>
      <x:c r="EM36" s="1053" t="str">
        <x:f t="shared" si="68"/>
        <x:v/>
      </x:c>
      <x:c r="EN36" s="1053" t="str">
        <x:f t="shared" si="69"/>
        <x:v/>
      </x:c>
      <x:c r="EO36" s="1053" t="str">
        <x:f t="shared" si="70"/>
        <x:v>ERR</x:v>
      </x:c>
      <x:c r="EP36" s="1053" t="str">
        <x:f t="shared" si="71"/>
        <x:v>ERR</x:v>
      </x:c>
      <x:c r="EQ36" s="1053" t="str">
        <x:f t="shared" si="72"/>
        <x:v/>
      </x:c>
      <x:c r="ER36" s="1053" t="str">
        <x:f t="shared" si="72"/>
        <x:v/>
      </x:c>
      <x:c r="ES36" s="1053" t="str">
        <x:f t="shared" si="73"/>
        <x:v/>
      </x:c>
      <x:c r="ET36" s="1053" t="str">
        <x:f t="shared" si="74"/>
        <x:v/>
      </x:c>
      <x:c r="EU36" s="1061">
        <x:f t="shared" si="75"/>
        <x:v>3.5</x:v>
      </x:c>
      <x:c r="EV36" s="1055" t="str">
        <x:f t="shared" si="76"/>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7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78"/>
        <x:v/>
      </x:c>
      <x:c r="FD36" s="1052">
        <x:f t="shared" si="100"/>
        <x:v>0</x:v>
      </x:c>
      <x:c r="FE36" s="1052">
        <x:f t="shared" si="79"/>
        <x:v>0</x:v>
      </x:c>
      <x:c r="FF36" s="1052">
        <x:f t="shared" si="80"/>
        <x:v>0</x:v>
      </x:c>
      <x:c r="FG36" s="1052" t="str">
        <x:f t="shared" si="81"/>
        <x:v/>
      </x:c>
      <x:c r="FH36" s="1053" t="str">
        <x:f t="shared" si="82"/>
        <x:v/>
      </x:c>
      <x:c r="FI36" s="1052">
        <x:f t="shared" si="101"/>
        <x:v>0</x:v>
      </x:c>
      <x:c r="FJ36" s="1052">
        <x:f t="shared" si="83"/>
        <x:v>0</x:v>
      </x:c>
      <x:c r="FK36" s="1052">
        <x:f t="shared" si="84"/>
        <x:v>0</x:v>
      </x:c>
      <x:c r="FL36" s="1052" t="str">
        <x:f t="shared" si="85"/>
        <x:v/>
      </x:c>
      <x:c r="FM36" s="1053" t="str">
        <x:f t="shared" si="86"/>
        <x:v/>
      </x:c>
      <x:c r="FN36" s="1053" t="e">
        <x:f t="shared" si="87"/>
        <x:v>#VALUE!</x:v>
      </x:c>
      <x:c r="FO36" s="1062" t="e">
        <x:f t="shared" si="88"/>
        <x:v>#VALUE!</x:v>
      </x:c>
      <x:c r="FP36" s="1062" t="e">
        <x:f t="shared" si="89"/>
        <x:v>#VALUE!</x:v>
      </x:c>
      <x:c r="FQ36" s="1063" t="e">
        <x:f t="shared" si="90"/>
        <x:v>#VALUE!</x:v>
      </x:c>
      <x:c r="FR36" s="1064" t="e">
        <x:f t="shared" si="91"/>
        <x:v>#VALUE!</x:v>
      </x:c>
      <x:c r="FS36" s="1065" t="str">
        <x:f t="shared" si="92"/>
        <x:v/>
      </x:c>
      <x:c r="FT36" s="1066" t="str">
        <x:f t="shared" si="93"/>
        <x:v/>
      </x:c>
      <x:c r="FU36" s="1105">
        <x:f t="shared" si="94"/>
        <x:v>0</x:v>
      </x:c>
      <x:c r="FV36" s="1106">
        <x:f t="shared" si="95"/>
        <x:v>0</x:v>
      </x:c>
      <x:c r="GA36" s="1975">
        <x:v>49</x:v>
      </x:c>
      <x:c r="GB36" s="1976">
        <x:v>2.75</x:v>
      </x:c>
      <x:c r="GC36" s="1977">
        <x:v>-0.25</x:v>
      </x:c>
      <x:c r="GD36" s="1978">
        <x:v>-1.875</x:v>
      </x:c>
      <x:c r="GE36" s="1979">
        <x:v>-0.314853999153618</x:v>
      </x:c>
      <x:c r="GF36" s="1980" t="str">
        <x:f t="shared" si="96"/>
        <x:v>TJ162</x:v>
      </x:c>
      <x:c r="GG36" s="1453"/>
      <x:c r="GH36" s="1454"/>
      <x:c r="GI36" s="1453"/>
      <x:c r="GJ36" s="1454"/>
      <x:c r="GK36" s="533">
        <x:f t="shared" si="97"/>
        <x:v>588.625</x:v>
      </x:c>
      <x:c r="GL36" s="534">
        <x:f t="shared" si="98"/>
        <x:v>588.827576898703</x:v>
      </x:c>
      <x:c r="GM36" s="535">
        <x:f>IF(ABS(GK36-GL36)&gt;='Job Info.'!$L$22,ABS(GK36-GL36),0)</x:f>
        <x:v>0</x:v>
      </x:c>
      <x:c r="HA36" s="1658" t="s">
        <x:v>1486</x:v>
      </x:c>
      <x:c r="HB36" s="1659">
        <x:v>3</x:v>
      </x:c>
      <x:c r="HC36" s="1659" t="s">
        <x:v>1979</x:v>
      </x:c>
      <x:c r="HD36" s="1660">
        <x:v>49</x:v>
      </x:c>
      <x:c r="HE36" s="1661">
        <x:v>0.625</x:v>
      </x:c>
      <x:c r="HF36" s="1659">
        <x:v>0</x:v>
      </x:c>
      <x:c r="HG36" s="1659">
        <x:v>1.375</x:v>
      </x:c>
      <x:c r="HH36" s="1659" t="s">
        <x:v>114</x:v>
      </x:c>
      <x:c r="HI36" s="1662" t="s">
        <x:v>117</x:v>
      </x:c>
      <x:c r="HJ36" s="1659" t="s">
        <x:v>117</x:v>
      </x:c>
      <x:c r="HK36" s="1659" t="s">
        <x:v>117</x:v>
      </x:c>
      <x:c r="HL36" s="1659">
        <x:v>3</x:v>
      </x:c>
      <x:c r="HM36" s="1659">
        <x:v>3</x:v>
      </x:c>
      <x:c r="HN36" s="1659" t="s">
        <x:v>117</x:v>
      </x:c>
      <x:c r="HO36" s="1659" t="s">
        <x:v>117</x:v>
      </x:c>
      <x:c r="HP36" s="1659" t="s">
        <x:v>117</x:v>
      </x:c>
      <x:c r="HQ36" s="1662" t="s">
        <x:v>117</x:v>
      </x:c>
      <x:c r="HR36" s="1659" t="s">
        <x:v>117</x:v>
      </x:c>
      <x:c r="HS36" s="1659" t="s">
        <x:v>117</x:v>
      </x:c>
      <x:c r="HT36" s="1659">
        <x:v>0</x:v>
      </x:c>
      <x:c r="HU36" s="1659">
        <x:v>2.25</x:v>
      </x:c>
      <x:c r="HV36" s="1659">
        <x:v>0</x:v>
      </x:c>
      <x:c r="HW36" s="1661">
        <x:v>1.125</x:v>
      </x:c>
      <x:c r="HX36" s="1661">
        <x:v>4</x:v>
      </x:c>
      <x:c r="HY36" s="1661" t="s">
        <x:v>117</x:v>
      </x:c>
      <x:c r="HZ36" s="1661" t="s">
        <x:v>117</x:v>
      </x:c>
      <x:c r="IA36" s="1661" t="s">
        <x:v>2174</x:v>
      </x:c>
      <x:c r="IB36" s="1661"/>
      <x:c r="IC36" s="1661"/>
      <x:c r="ID36" s="1661"/>
      <x:c r="IE36" s="1661"/>
      <x:c r="IF36" s="1663"/>
    </x:row>
    <x:row r="37" spans="1:240" ht="12.6" customHeight="1" x14ac:dyDescent="0.25">
      <x:c r="A37" s="1264" t="s">
        <x:v>1487</x:v>
      </x:c>
      <x:c r="B37" s="1265">
        <x:v>4</x:v>
      </x:c>
      <x:c r="C37" s="1265" t="s">
        <x:v>1979</x:v>
      </x:c>
      <x:c r="D37" s="1261">
        <x:v>49</x:v>
      </x:c>
      <x:c r="E37" s="1366">
        <x:v>0.625</x:v>
      </x:c>
      <x:c r="F37" s="1328">
        <x:v>0</x:v>
      </x:c>
      <x:c r="G37" s="1262">
        <x:v>1.375</x:v>
      </x:c>
      <x:c r="H37" s="1266" t="s">
        <x:v>114</x:v>
      </x:c>
      <x:c r="I37" s="1261" t="str">
        <x:f t="shared" si="107"/>
        <x:v/>
      </x:c>
      <x:c r="J37" s="1262" t="str">
        <x:f t="shared" si="108"/>
        <x:v/>
      </x:c>
      <x:c r="K37" s="1370" t="str">
        <x:f t="shared" si="109"/>
        <x:v/>
      </x:c>
      <x:c r="L37" s="1327">
        <x:v>3</x:v>
      </x:c>
      <x:c r="M37" s="1329">
        <x:v>3</x:v>
      </x:c>
      <x:c r="N37" s="1263" t="str">
        <x:f t="shared" si="1"/>
        <x:v/>
      </x:c>
      <x:c r="O37" s="1262" t="str">
        <x:f t="shared" si="2"/>
        <x:v/>
      </x:c>
      <x:c r="P37" s="1260" t="str">
        <x:f t="shared" si="3"/>
        <x:v/>
      </x:c>
      <x:c r="Q37" s="1261" t="str">
        <x:f t="shared" si="4"/>
        <x:v/>
      </x:c>
      <x:c r="R37" s="1262" t="str">
        <x:f t="shared" si="5"/>
        <x:v/>
      </x:c>
      <x:c r="S37" s="1375" t="str">
        <x:f t="shared" si="6"/>
        <x:v/>
      </x:c>
      <x:c r="T37" s="1328">
        <x:v>0</x:v>
      </x:c>
      <x:c r="U37" s="1262">
        <x:v>2.25</x:v>
      </x:c>
      <x:c r="V37" s="1261">
        <x:v>0</x:v>
      </x:c>
      <x:c r="W37" s="1262">
        <x:v>1.125</x:v>
      </x:c>
      <x:c r="X37" s="1329">
        <x:v>4</x:v>
      </x:c>
      <x:c r="Y37" s="1377" t="str">
        <x:f t="shared" si="7"/>
        <x:v/>
      </x:c>
      <x:c r="Z37" s="1378" t="str">
        <x:f t="shared" si="8"/>
        <x:v/>
      </x:c>
      <x:c r="AA37" s="2159" t="s">
        <x:v>2177</x:v>
      </x:c>
      <x:c r="AC37" s="1226" t="b">
        <x:v>0</x:v>
      </x:c>
      <x:c r="AD37" s="525">
        <x:f t="shared" si="9"/>
        <x:v>4</x:v>
      </x:c>
      <x:c r="AE37" s="526">
        <x:f t="shared" si="10"/>
        <x:v>0</x:v>
      </x:c>
      <x:c r="AF37" s="526">
        <x:f t="shared" si="11"/>
        <x:v>0</x:v>
      </x:c>
      <x:c r="AG37" s="526">
        <x:f t="shared" si="12"/>
        <x:v>0</x:v>
      </x:c>
      <x:c r="AH37" s="527">
        <x:f t="shared" si="13"/>
        <x:v>0</x:v>
      </x:c>
      <x:c r="AI37" s="528" t="b">
        <x:v>0</x:v>
      </x:c>
      <x:c r="AJ37" s="284">
        <x:f t="shared" si="14"/>
        <x:v>30</x:v>
      </x:c>
      <x:c r="AK37" s="1063" t="str">
        <x:f t="shared" si="15"/>
        <x:v>K</x:v>
      </x:c>
      <x:c r="AL37" s="1202" t="str">
        <x:f t="shared" si="16"/>
        <x:v/>
      </x:c>
      <x:c r="AM37" s="1063">
        <x:f t="shared" si="17"/>
        <x:v>240</x:v>
      </x:c>
      <x:c r="AN37" s="1063">
        <x:f t="shared" si="18"/>
        <x:v>140</x:v>
      </x:c>
      <x:c r="AO37" s="1063" t="str">
        <x:f t="shared" si="19"/>
        <x:v/>
      </x:c>
      <x:c r="AP37" s="1063" t="b">
        <x:f>IF(ISERROR(AJ37),FALSE,IF(OR(AJ37=0,ISERROR(AL37),ISERROR(AM37),ISERROR(AN37),ISERROR(AO37)),FALSE,IF(AL37&lt;&gt;"",IF(ISERROR(VLOOKUP(SUBSTITUTE(SUBSTITUTE(C37,"R",""),"A",""),TblJoistSize!$A:$A,1,FALSE)),FALSE,TRUE),TRUE)))</x:f>
        <x:v>1</x:v>
      </x:c>
      <x:c r="AQ37" s="1305">
        <x:f t="shared" si="20"/>
        <x:v>5.375</x:v>
      </x:c>
      <x:c r="AR37" s="1305" t="b">
        <x:f t="shared" si="21"/>
        <x:v>1</x:v>
      </x:c>
      <x:c r="AS37" s="1305">
        <x:f t="shared" si="22"/>
        <x:v>4</x:v>
      </x:c>
      <x:c r="AT37" s="1305" t="b">
        <x:f t="shared" si="23"/>
        <x:v>1</x:v>
      </x:c>
      <x:c r="AU37" s="1203" t="str">
        <x:f t="shared" si="24"/>
        <x:v>K</x:v>
      </x:c>
      <x:c r="AV37" s="1063" t="str">
        <x:f t="shared" si="25"/>
        <x:v>K</x:v>
      </x:c>
      <x:c r="AW37" s="1063" t="str">
        <x:f t="shared" si="26"/>
        <x:v/>
      </x:c>
      <x:c r="AX37" s="1063" t="str">
        <x:f t="shared" si="99"/>
        <x:v>TJ163</x:v>
      </x:c>
      <x:c r="AY37" s="1306" t="b">
        <x:f t="shared" si="27"/>
        <x:v>0</x:v>
      </x:c>
      <x:c r="AZ37" s="1090" t="b">
        <x:f t="shared" si="28"/>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29"/>
        <x:v/>
      </x:c>
      <x:c r="CE37" s="935" t="str">
        <x:f t="shared" si="30"/>
        <x:v/>
      </x:c>
      <x:c r="CF37" s="1149"/>
      <x:c r="CG37" s="1150"/>
      <x:c r="CH37" s="738" t="str">
        <x:f t="shared" si="31"/>
        <x:v/>
      </x:c>
      <x:c r="CI37" s="739" t="str">
        <x:f t="shared" si="32"/>
        <x:v/>
      </x:c>
      <x:c r="CJ37" s="740" t="str">
        <x:f t="shared" si="33"/>
        <x:v/>
      </x:c>
      <x:c r="CK37" s="741" t="str">
        <x:f t="shared" si="34"/>
        <x:v/>
      </x:c>
      <x:c r="CL37" s="742" t="str">
        <x:f t="shared" si="35"/>
        <x:v/>
      </x:c>
      <x:c r="CM37" s="743" t="str">
        <x:f t="shared" si="36"/>
        <x:v/>
      </x:c>
      <x:c r="CN37" s="744" t="str">
        <x:f t="shared" si="37"/>
        <x:v/>
      </x:c>
      <x:c r="CO37" s="745" t="str">
        <x:f t="shared" si="38"/>
        <x:v/>
      </x:c>
      <x:c r="CP37" s="762" t="str">
        <x:f t="shared" si="39"/>
        <x:v/>
      </x:c>
      <x:c r="CQ37" s="763" t="str">
        <x:f t="shared" si="40"/>
        <x:v/>
      </x:c>
      <x:c r="CR37" s="953">
        <x:f t="shared" si="41"/>
        <x:v>2.5</x:v>
      </x:c>
      <x:c r="CS37" s="954">
        <x:f t="shared" si="42"/>
        <x:v>2.5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3"/>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4"/>
        <x:v>0</x:v>
      </x:c>
      <x:c r="DO37" s="1049">
        <x:f t="shared" si="45"/>
        <x:v>0</x:v>
      </x:c>
      <x:c r="DP37" s="1053" t="str">
        <x:f t="shared" si="46"/>
        <x:v/>
      </x:c>
      <x:c r="DQ37" s="1053" t="str">
        <x:f t="shared" si="47"/>
        <x:v/>
      </x:c>
      <x:c r="DR37" s="1053" t="str">
        <x:f t="shared" si="48"/>
        <x:v/>
      </x:c>
      <x:c r="DS37" s="1052">
        <x:f t="shared" si="49"/>
        <x:v>0</x:v>
      </x:c>
      <x:c r="DT37" s="1052">
        <x:f t="shared" si="50"/>
        <x:v>0</x:v>
      </x:c>
      <x:c r="DU37" s="1052" t="str">
        <x:f t="shared" si="51"/>
        <x:v/>
      </x:c>
      <x:c r="DV37" s="1053" t="str">
        <x:f t="shared" si="52"/>
        <x:v/>
      </x:c>
      <x:c r="DW37" s="1053" t="str">
        <x:f t="shared" si="53"/>
        <x:v/>
      </x:c>
      <x:c r="DX37" s="1269">
        <x:f t="shared" si="54"/>
        <x:v>0</x:v>
      </x:c>
      <x:c r="DY37" s="1053">
        <x:f t="shared" si="55"/>
        <x:v>0</x:v>
      </x:c>
      <x:c r="DZ37" s="1052">
        <x:f t="shared" si="56"/>
        <x:v>0</x:v>
      </x:c>
      <x:c r="EA37" s="1052" t="str">
        <x:f t="shared" si="57"/>
        <x:v/>
      </x:c>
      <x:c r="EB37" s="1053" t="str">
        <x:f t="shared" si="58"/>
        <x:v/>
      </x:c>
      <x:c r="EC37" s="1053" t="str">
        <x:f t="shared" si="59"/>
        <x:v/>
      </x:c>
      <x:c r="ED37" s="1269">
        <x:f t="shared" si="60"/>
        <x:v>0</x:v>
      </x:c>
      <x:c r="EE37" s="1090" t="str">
        <x:f t="shared" si="61"/>
        <x:v/>
      </x:c>
      <x:c r="EF37" s="1053" t="str">
        <x:f t="shared" si="62"/>
        <x:v/>
      </x:c>
      <x:c r="EG37" s="1053" t="str">
        <x:f t="shared" si="63"/>
        <x:v/>
      </x:c>
      <x:c r="EH37" s="1053" t="str">
        <x:f t="shared" si="64"/>
        <x:v>ERR</x:v>
      </x:c>
      <x:c r="EI37" s="1053" t="str">
        <x:f t="shared" si="65"/>
        <x:v>ERR</x:v>
      </x:c>
      <x:c r="EJ37" s="1053" t="str">
        <x:f t="shared" si="66"/>
        <x:v/>
      </x:c>
      <x:c r="EK37" s="1053" t="str">
        <x:f t="shared" si="66"/>
        <x:v/>
      </x:c>
      <x:c r="EL37" s="1090" t="str">
        <x:f t="shared" si="67"/>
        <x:v/>
      </x:c>
      <x:c r="EM37" s="1053" t="str">
        <x:f t="shared" si="68"/>
        <x:v/>
      </x:c>
      <x:c r="EN37" s="1053" t="str">
        <x:f t="shared" si="69"/>
        <x:v/>
      </x:c>
      <x:c r="EO37" s="1053" t="str">
        <x:f t="shared" si="70"/>
        <x:v>ERR</x:v>
      </x:c>
      <x:c r="EP37" s="1053" t="str">
        <x:f t="shared" si="71"/>
        <x:v>ERR</x:v>
      </x:c>
      <x:c r="EQ37" s="1053" t="str">
        <x:f t="shared" si="72"/>
        <x:v/>
      </x:c>
      <x:c r="ER37" s="1053" t="str">
        <x:f t="shared" si="72"/>
        <x:v/>
      </x:c>
      <x:c r="ES37" s="1053" t="str">
        <x:f t="shared" si="73"/>
        <x:v/>
      </x:c>
      <x:c r="ET37" s="1053" t="str">
        <x:f t="shared" si="74"/>
        <x:v/>
      </x:c>
      <x:c r="EU37" s="1061">
        <x:f t="shared" si="75"/>
        <x:v>3.5</x:v>
      </x:c>
      <x:c r="EV37" s="1055" t="str">
        <x:f t="shared" si="76"/>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7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78"/>
        <x:v/>
      </x:c>
      <x:c r="FD37" s="1052">
        <x:f t="shared" si="100"/>
        <x:v>0</x:v>
      </x:c>
      <x:c r="FE37" s="1052">
        <x:f t="shared" si="79"/>
        <x:v>0</x:v>
      </x:c>
      <x:c r="FF37" s="1052">
        <x:f t="shared" si="80"/>
        <x:v>0</x:v>
      </x:c>
      <x:c r="FG37" s="1052" t="str">
        <x:f t="shared" si="81"/>
        <x:v/>
      </x:c>
      <x:c r="FH37" s="1053" t="str">
        <x:f t="shared" si="82"/>
        <x:v/>
      </x:c>
      <x:c r="FI37" s="1052">
        <x:f t="shared" si="101"/>
        <x:v>0</x:v>
      </x:c>
      <x:c r="FJ37" s="1052">
        <x:f t="shared" si="83"/>
        <x:v>0</x:v>
      </x:c>
      <x:c r="FK37" s="1052">
        <x:f t="shared" si="84"/>
        <x:v>0</x:v>
      </x:c>
      <x:c r="FL37" s="1052" t="str">
        <x:f t="shared" si="85"/>
        <x:v/>
      </x:c>
      <x:c r="FM37" s="1053" t="str">
        <x:f t="shared" si="86"/>
        <x:v/>
      </x:c>
      <x:c r="FN37" s="1053" t="e">
        <x:f t="shared" si="87"/>
        <x:v>#VALUE!</x:v>
      </x:c>
      <x:c r="FO37" s="1062" t="e">
        <x:f t="shared" si="88"/>
        <x:v>#VALUE!</x:v>
      </x:c>
      <x:c r="FP37" s="1062" t="e">
        <x:f t="shared" si="89"/>
        <x:v>#VALUE!</x:v>
      </x:c>
      <x:c r="FQ37" s="1063" t="e">
        <x:f t="shared" si="90"/>
        <x:v>#VALUE!</x:v>
      </x:c>
      <x:c r="FR37" s="1064" t="e">
        <x:f t="shared" si="91"/>
        <x:v>#VALUE!</x:v>
      </x:c>
      <x:c r="FS37" s="1065" t="str">
        <x:f t="shared" si="92"/>
        <x:v/>
      </x:c>
      <x:c r="FT37" s="1066" t="str">
        <x:f t="shared" si="93"/>
        <x:v/>
      </x:c>
      <x:c r="FU37" s="1105">
        <x:f t="shared" si="94"/>
        <x:v>0</x:v>
      </x:c>
      <x:c r="FV37" s="1106">
        <x:f t="shared" si="95"/>
        <x:v>0</x:v>
      </x:c>
      <x:c r="GA37" s="1975">
        <x:v>49</x:v>
      </x:c>
      <x:c r="GB37" s="1976">
        <x:v>2.75</x:v>
      </x:c>
      <x:c r="GC37" s="1977">
        <x:v>-0.25</x:v>
      </x:c>
      <x:c r="GD37" s="1978">
        <x:v>-1.875</x:v>
      </x:c>
      <x:c r="GE37" s="1979">
        <x:v>-0.314853999153618</x:v>
      </x:c>
      <x:c r="GF37" s="1980" t="str">
        <x:f t="shared" si="96"/>
        <x:v>TJ163</x:v>
      </x:c>
      <x:c r="GG37" s="1453"/>
      <x:c r="GH37" s="1454"/>
      <x:c r="GI37" s="1453"/>
      <x:c r="GJ37" s="1454"/>
      <x:c r="GK37" s="533">
        <x:f t="shared" si="97"/>
        <x:v>588.625</x:v>
      </x:c>
      <x:c r="GL37" s="534">
        <x:f t="shared" si="98"/>
        <x:v>588.827576898703</x:v>
      </x:c>
      <x:c r="GM37" s="535">
        <x:f>IF(ABS(GK37-GL37)&gt;='Job Info.'!$L$22,ABS(GK37-GL37),0)</x:f>
        <x:v>0</x:v>
      </x:c>
      <x:c r="HA37" s="1658" t="s">
        <x:v>1487</x:v>
      </x:c>
      <x:c r="HB37" s="1659">
        <x:v>4</x:v>
      </x:c>
      <x:c r="HC37" s="1659" t="s">
        <x:v>1979</x:v>
      </x:c>
      <x:c r="HD37" s="1660">
        <x:v>49</x:v>
      </x:c>
      <x:c r="HE37" s="1661">
        <x:v>0.625</x:v>
      </x:c>
      <x:c r="HF37" s="1659">
        <x:v>0</x:v>
      </x:c>
      <x:c r="HG37" s="1659">
        <x:v>1.375</x:v>
      </x:c>
      <x:c r="HH37" s="1659" t="s">
        <x:v>114</x:v>
      </x:c>
      <x:c r="HI37" s="1662" t="s">
        <x:v>117</x:v>
      </x:c>
      <x:c r="HJ37" s="1659" t="s">
        <x:v>117</x:v>
      </x:c>
      <x:c r="HK37" s="1659" t="s">
        <x:v>117</x:v>
      </x:c>
      <x:c r="HL37" s="1659">
        <x:v>3</x:v>
      </x:c>
      <x:c r="HM37" s="1659">
        <x:v>3</x:v>
      </x:c>
      <x:c r="HN37" s="1659" t="s">
        <x:v>117</x:v>
      </x:c>
      <x:c r="HO37" s="1659" t="s">
        <x:v>117</x:v>
      </x:c>
      <x:c r="HP37" s="1659" t="s">
        <x:v>117</x:v>
      </x:c>
      <x:c r="HQ37" s="1662" t="s">
        <x:v>117</x:v>
      </x:c>
      <x:c r="HR37" s="1659" t="s">
        <x:v>117</x:v>
      </x:c>
      <x:c r="HS37" s="1659" t="s">
        <x:v>117</x:v>
      </x:c>
      <x:c r="HT37" s="1659">
        <x:v>0</x:v>
      </x:c>
      <x:c r="HU37" s="1659">
        <x:v>2.25</x:v>
      </x:c>
      <x:c r="HV37" s="1659">
        <x:v>0</x:v>
      </x:c>
      <x:c r="HW37" s="1661">
        <x:v>1.125</x:v>
      </x:c>
      <x:c r="HX37" s="1661">
        <x:v>4</x:v>
      </x:c>
      <x:c r="HY37" s="1661" t="s">
        <x:v>117</x:v>
      </x:c>
      <x:c r="HZ37" s="1661" t="s">
        <x:v>117</x:v>
      </x:c>
      <x:c r="IA37" s="1661" t="s">
        <x:v>2177</x:v>
      </x:c>
      <x:c r="IB37" s="1661"/>
      <x:c r="IC37" s="1661"/>
      <x:c r="ID37" s="1661"/>
      <x:c r="IE37" s="1661"/>
      <x:c r="IF37" s="1663"/>
    </x:row>
    <x:row r="38" spans="1:240" ht="12.6" customHeight="1" x14ac:dyDescent="0.25">
      <x:c r="A38" s="1264" t="s">
        <x:v>1488</x:v>
      </x:c>
      <x:c r="B38" s="1265">
        <x:v>1</x:v>
      </x:c>
      <x:c r="C38" s="1265" t="s">
        <x:v>1978</x:v>
      </x:c>
      <x:c r="D38" s="1261">
        <x:v>63</x:v>
      </x:c>
      <x:c r="E38" s="1366">
        <x:v>3.5</x:v>
      </x:c>
      <x:c r="F38" s="1328" t="str">
        <x:f t="shared" ref="F38:F44" si="110">IF(DX38=0,"",TRUNC(DX38/12))</x:f>
        <x:v/>
      </x:c>
      <x:c r="G38" s="1262" t="str">
        <x:f t="shared" ref="G38:G44" si="111">IF(DX38=0,"",DX38-(F38*12))</x:f>
        <x:v/>
      </x:c>
      <x:c r="H38" s="1266" t="str">
        <x:f t="shared" ref="H38:H44" si="112">IF(DX38=0,"",CW38)</x:f>
        <x:v/>
      </x:c>
      <x:c r="I38" s="1261">
        <x:v>4</x:v>
      </x:c>
      <x:c r="J38" s="1262">
        <x:v>4.25</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102"/>
        <x:v/>
      </x:c>
      <x:c r="U38" s="1262" t="str">
        <x:f t="shared" si="103"/>
        <x:v/>
      </x:c>
      <x:c r="V38" s="1261" t="str">
        <x:f t="shared" si="104"/>
        <x:v/>
      </x:c>
      <x:c r="W38" s="1262" t="str">
        <x:f t="shared" si="105"/>
        <x:v/>
      </x:c>
      <x:c r="X38" s="1329">
        <x:f t="shared" si="106"/>
        <x:v>0</x:v>
      </x:c>
      <x:c r="Y38" s="1377" t="str">
        <x:f t="shared" si="7"/>
        <x:v/>
      </x:c>
      <x:c r="Z38" s="1378" t="str">
        <x:f t="shared" si="8"/>
        <x:v/>
      </x:c>
      <x:c r="AA38" s="2159" t="s">
        <x:v>2180</x:v>
      </x:c>
      <x:c r="AC38" s="1226" t="b">
        <x:v>0</x:v>
      </x:c>
      <x:c r="AD38" s="525">
        <x:f t="shared" si="9"/>
        <x:v>0</x:v>
      </x:c>
      <x:c r="AE38" s="526">
        <x:f t="shared" si="10"/>
        <x:v>1</x:v>
      </x:c>
      <x:c r="AF38" s="526">
        <x:f t="shared" si="11"/>
        <x:v>0</x:v>
      </x:c>
      <x:c r="AG38" s="526">
        <x:f t="shared" si="12"/>
        <x:v>0</x:v>
      </x:c>
      <x:c r="AH38" s="527">
        <x:f t="shared" si="13"/>
        <x:v>0</x:v>
      </x:c>
      <x:c r="AI38" s="528" t="b">
        <x:v>0</x:v>
      </x:c>
      <x:c r="AJ38" s="284">
        <x:f t="shared" si="14"/>
        <x:v>36</x:v>
      </x:c>
      <x:c r="AK38" s="1063" t="str">
        <x:f t="shared" si="15"/>
        <x:v>LH</x:v>
      </x:c>
      <x:c r="AL38" s="1202" t="str">
        <x:f t="shared" si="16"/>
        <x:v/>
      </x:c>
      <x:c r="AM38" s="1063">
        <x:f t="shared" si="17"/>
        <x:v>270</x:v>
      </x:c>
      <x:c r="AN38" s="1063">
        <x:f t="shared" si="18"/>
        <x:v>120</x:v>
      </x:c>
      <x:c r="AO38" s="1063" t="str">
        <x:f t="shared" si="19"/>
        <x:v/>
      </x:c>
      <x:c r="AP38" s="1063" t="b">
        <x:f>IF(ISERROR(AJ38),FALSE,IF(OR(AJ38=0,ISERROR(AL38),ISERROR(AM38),ISERROR(AN38),ISERROR(AO38)),FALSE,IF(AL38&lt;&gt;"",IF(ISERROR(VLOOKUP(SUBSTITUTE(SUBSTITUTE(C38,"R",""),"A",""),TblJoistSize!$A:$A,1,FALSE)),FALSE,TRUE),TRUE)))</x:f>
        <x:v>1</x:v>
      </x:c>
      <x:c r="AQ38" s="1305">
        <x:f t="shared" si="20"/>
        <x:v>6</x:v>
      </x:c>
      <x:c r="AR38" s="1305" t="b">
        <x:f t="shared" si="21"/>
        <x:v>0</x:v>
      </x:c>
      <x:c r="AS38" s="1305">
        <x:f t="shared" si="22"/>
        <x:v>58.25</x:v>
      </x:c>
      <x:c r="AT38" s="1305" t="b">
        <x:f t="shared" si="23"/>
        <x:v>0</x:v>
      </x:c>
      <x:c r="AU38" s="1203" t="str">
        <x:f t="shared" si="24"/>
        <x:v>LH</x:v>
      </x:c>
      <x:c r="AV38" s="1063" t="str">
        <x:f t="shared" si="25"/>
        <x:v/>
      </x:c>
      <x:c r="AW38" s="1063" t="str">
        <x:f t="shared" si="26"/>
        <x:v>LH</x:v>
      </x:c>
      <x:c r="AX38" s="1063" t="str">
        <x:f t="shared" si="99"/>
        <x:v>J164</x:v>
      </x:c>
      <x:c r="AY38" s="1306" t="b">
        <x:f t="shared" si="27"/>
        <x:v>0</x:v>
      </x:c>
      <x:c r="AZ38" s="1090" t="b">
        <x:f t="shared" si="28"/>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29"/>
        <x:v/>
      </x:c>
      <x:c r="CE38" s="935" t="str">
        <x:f t="shared" si="30"/>
        <x:v/>
      </x:c>
      <x:c r="CF38" s="1149"/>
      <x:c r="CG38" s="1150"/>
      <x:c r="CH38" s="738" t="str">
        <x:f t="shared" si="31"/>
        <x:v/>
      </x:c>
      <x:c r="CI38" s="739" t="str">
        <x:f t="shared" si="32"/>
        <x:v/>
      </x:c>
      <x:c r="CJ38" s="740" t="str">
        <x:f t="shared" si="33"/>
        <x:v/>
      </x:c>
      <x:c r="CK38" s="741" t="str">
        <x:f t="shared" si="34"/>
        <x:v/>
      </x:c>
      <x:c r="CL38" s="742" t="str">
        <x:f t="shared" si="35"/>
        <x:v/>
      </x:c>
      <x:c r="CM38" s="743" t="str">
        <x:f t="shared" si="36"/>
        <x:v/>
      </x:c>
      <x:c r="CN38" s="744" t="str">
        <x:f t="shared" si="37"/>
        <x:v/>
      </x:c>
      <x:c r="CO38" s="745" t="str">
        <x:f t="shared" si="38"/>
        <x:v/>
      </x:c>
      <x:c r="CP38" s="762" t="str">
        <x:f t="shared" si="39"/>
        <x:v/>
      </x:c>
      <x:c r="CQ38" s="763" t="str">
        <x:f t="shared" si="40"/>
        <x:v/>
      </x:c>
      <x:c r="CR38" s="953">
        <x:f t="shared" si="41"/>
        <x:v>5</x:v>
      </x:c>
      <x:c r="CS38" s="954">
        <x:f t="shared" si="42"/>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3"/>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4"/>
        <x:v>0</x:v>
      </x:c>
      <x:c r="DO38" s="1049">
        <x:f t="shared" si="45"/>
        <x:v>0</x:v>
      </x:c>
      <x:c r="DP38" s="1053" t="str">
        <x:f t="shared" si="46"/>
        <x:v/>
      </x:c>
      <x:c r="DQ38" s="1053" t="str">
        <x:f t="shared" si="47"/>
        <x:v/>
      </x:c>
      <x:c r="DR38" s="1053" t="str">
        <x:f t="shared" si="48"/>
        <x:v/>
      </x:c>
      <x:c r="DS38" s="1052">
        <x:f t="shared" si="49"/>
        <x:v>0</x:v>
      </x:c>
      <x:c r="DT38" s="1052">
        <x:f t="shared" si="50"/>
        <x:v>0</x:v>
      </x:c>
      <x:c r="DU38" s="1052" t="str">
        <x:f t="shared" si="51"/>
        <x:v/>
      </x:c>
      <x:c r="DV38" s="1053" t="str">
        <x:f t="shared" si="52"/>
        <x:v/>
      </x:c>
      <x:c r="DW38" s="1053" t="str">
        <x:f t="shared" si="53"/>
        <x:v/>
      </x:c>
      <x:c r="DX38" s="1269">
        <x:f t="shared" si="54"/>
        <x:v>0</x:v>
      </x:c>
      <x:c r="DY38" s="1053">
        <x:f t="shared" si="55"/>
        <x:v>0</x:v>
      </x:c>
      <x:c r="DZ38" s="1052">
        <x:f t="shared" si="56"/>
        <x:v>0</x:v>
      </x:c>
      <x:c r="EA38" s="1052" t="str">
        <x:f t="shared" si="57"/>
        <x:v/>
      </x:c>
      <x:c r="EB38" s="1053" t="str">
        <x:f t="shared" si="58"/>
        <x:v/>
      </x:c>
      <x:c r="EC38" s="1053" t="str">
        <x:f t="shared" si="59"/>
        <x:v/>
      </x:c>
      <x:c r="ED38" s="1269">
        <x:f t="shared" si="60"/>
        <x:v>0</x:v>
      </x:c>
      <x:c r="EE38" s="1090" t="str">
        <x:f t="shared" si="61"/>
        <x:v/>
      </x:c>
      <x:c r="EF38" s="1053" t="str">
        <x:f t="shared" si="62"/>
        <x:v/>
      </x:c>
      <x:c r="EG38" s="1053" t="str">
        <x:f t="shared" si="63"/>
        <x:v/>
      </x:c>
      <x:c r="EH38" s="1053" t="str">
        <x:f t="shared" si="64"/>
        <x:v>ERR</x:v>
      </x:c>
      <x:c r="EI38" s="1053" t="str">
        <x:f t="shared" si="65"/>
        <x:v>ERR</x:v>
      </x:c>
      <x:c r="EJ38" s="1053" t="str">
        <x:f t="shared" si="66"/>
        <x:v/>
      </x:c>
      <x:c r="EK38" s="1053" t="str">
        <x:f t="shared" si="66"/>
        <x:v/>
      </x:c>
      <x:c r="EL38" s="1090" t="str">
        <x:f t="shared" si="67"/>
        <x:v/>
      </x:c>
      <x:c r="EM38" s="1053" t="str">
        <x:f t="shared" si="68"/>
        <x:v/>
      </x:c>
      <x:c r="EN38" s="1053" t="str">
        <x:f t="shared" si="69"/>
        <x:v/>
      </x:c>
      <x:c r="EO38" s="1053" t="str">
        <x:f t="shared" si="70"/>
        <x:v>ERR</x:v>
      </x:c>
      <x:c r="EP38" s="1053" t="str">
        <x:f t="shared" si="71"/>
        <x:v>ERR</x:v>
      </x:c>
      <x:c r="EQ38" s="1053" t="str">
        <x:f t="shared" si="72"/>
        <x:v/>
      </x:c>
      <x:c r="ER38" s="1053" t="str">
        <x:f t="shared" si="72"/>
        <x:v/>
      </x:c>
      <x:c r="ES38" s="1053" t="str">
        <x:f t="shared" si="73"/>
        <x:v/>
      </x:c>
      <x:c r="ET38" s="1053" t="str">
        <x:f t="shared" si="74"/>
        <x:v/>
      </x:c>
      <x:c r="EU38" s="1061">
        <x:f t="shared" si="75"/>
        <x:v>4</x:v>
      </x:c>
      <x:c r="EV38" s="1055" t="str">
        <x:f t="shared" si="76"/>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7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78"/>
        <x:v/>
      </x:c>
      <x:c r="FD38" s="1052">
        <x:f t="shared" si="100"/>
        <x:v>0</x:v>
      </x:c>
      <x:c r="FE38" s="1052">
        <x:f t="shared" si="79"/>
        <x:v>0</x:v>
      </x:c>
      <x:c r="FF38" s="1052">
        <x:f t="shared" si="80"/>
        <x:v>0</x:v>
      </x:c>
      <x:c r="FG38" s="1052" t="str">
        <x:f t="shared" si="81"/>
        <x:v/>
      </x:c>
      <x:c r="FH38" s="1053" t="str">
        <x:f t="shared" si="82"/>
        <x:v/>
      </x:c>
      <x:c r="FI38" s="1052">
        <x:f t="shared" si="101"/>
        <x:v>0</x:v>
      </x:c>
      <x:c r="FJ38" s="1052">
        <x:f t="shared" si="83"/>
        <x:v>0</x:v>
      </x:c>
      <x:c r="FK38" s="1052">
        <x:f t="shared" si="84"/>
        <x:v>0</x:v>
      </x:c>
      <x:c r="FL38" s="1052" t="str">
        <x:f t="shared" si="85"/>
        <x:v/>
      </x:c>
      <x:c r="FM38" s="1053" t="str">
        <x:f t="shared" si="86"/>
        <x:v/>
      </x:c>
      <x:c r="FN38" s="1053" t="e">
        <x:f t="shared" si="87"/>
        <x:v>#VALUE!</x:v>
      </x:c>
      <x:c r="FO38" s="1062" t="e">
        <x:f t="shared" si="88"/>
        <x:v>#VALUE!</x:v>
      </x:c>
      <x:c r="FP38" s="1062" t="e">
        <x:f t="shared" si="89"/>
        <x:v>#VALUE!</x:v>
      </x:c>
      <x:c r="FQ38" s="1063" t="e">
        <x:f t="shared" si="90"/>
        <x:v>#VALUE!</x:v>
      </x:c>
      <x:c r="FR38" s="1064" t="e">
        <x:f t="shared" si="91"/>
        <x:v>#VALUE!</x:v>
      </x:c>
      <x:c r="FS38" s="1065" t="str">
        <x:f t="shared" si="92"/>
        <x:v/>
      </x:c>
      <x:c r="FT38" s="1066" t="str">
        <x:f t="shared" si="93"/>
        <x:v/>
      </x:c>
      <x:c r="FU38" s="1105">
        <x:f t="shared" si="94"/>
        <x:v>0</x:v>
      </x:c>
      <x:c r="FV38" s="1106">
        <x:f t="shared" si="95"/>
        <x:v>0</x:v>
      </x:c>
      <x:c r="GA38" s="1975">
        <x:v>59</x:v>
      </x:c>
      <x:c r="GB38" s="1976">
        <x:v>2.75</x:v>
      </x:c>
      <x:c r="GC38" s="1977">
        <x:v>-1.875</x:v>
      </x:c>
      <x:c r="GD38" s="1978">
        <x:v>50.625</x:v>
      </x:c>
      <x:c r="GE38" s="1979">
        <x:v>0.14787367560638101</x:v>
      </x:c>
      <x:c r="GF38" s="1980" t="str">
        <x:f t="shared" si="96"/>
        <x:v>J164</x:v>
      </x:c>
      <x:c r="GG38" s="1453"/>
      <x:c r="GH38" s="1454"/>
      <x:c r="GI38" s="1453"/>
      <x:c r="GJ38" s="1454"/>
      <x:c r="GK38" s="533">
        <x:f t="shared" si="97"/>
        <x:v>759.5</x:v>
      </x:c>
      <x:c r="GL38" s="534">
        <x:f t="shared" si="98"/>
        <x:v>759.5576634390693</x:v>
      </x:c>
      <x:c r="GM38" s="535">
        <x:f>IF(ABS(GK38-GL38)&gt;='Job Info.'!$L$22,ABS(GK38-GL38),0)</x:f>
        <x:v>0</x:v>
      </x:c>
      <x:c r="HA38" s="1658" t="s">
        <x:v>1488</x:v>
      </x:c>
      <x:c r="HB38" s="1659">
        <x:v>1</x:v>
      </x:c>
      <x:c r="HC38" s="1659" t="s">
        <x:v>1978</x:v>
      </x:c>
      <x:c r="HD38" s="1660">
        <x:v>63</x:v>
      </x:c>
      <x:c r="HE38" s="1661">
        <x:v>3.5</x:v>
      </x:c>
      <x:c r="HF38" s="1659" t="s">
        <x:v>117</x:v>
      </x:c>
      <x:c r="HG38" s="1659" t="s">
        <x:v>117</x:v>
      </x:c>
      <x:c r="HH38" s="1659" t="s">
        <x:v>117</x:v>
      </x:c>
      <x:c r="HI38" s="1662">
        <x:v>4</x:v>
      </x:c>
      <x:c r="HJ38" s="1659">
        <x:v>4.25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2180</x:v>
      </x:c>
      <x:c r="IB38" s="1661"/>
      <x:c r="IC38" s="1661"/>
      <x:c r="ID38" s="1661"/>
      <x:c r="IE38" s="1661"/>
      <x:c r="IF38" s="1663"/>
    </x:row>
    <x:row r="39" spans="1:240" ht="12.6" customHeight="1" x14ac:dyDescent="0.25">
      <x:c r="A39" s="1264" t="s">
        <x:v>1489</x:v>
      </x:c>
      <x:c r="B39" s="1265">
        <x:v>13</x:v>
      </x:c>
      <x:c r="C39" s="1265" t="s">
        <x:v>1978</x:v>
      </x:c>
      <x:c r="D39" s="1261">
        <x:v>59</x:v>
      </x:c>
      <x:c r="E39" s="1366">
        <x:v>0.625</x:v>
      </x:c>
      <x:c r="F39" s="1328" t="str">
        <x:f t="shared" si="110"/>
        <x:v/>
      </x:c>
      <x:c r="G39" s="1262" t="str">
        <x:f t="shared" si="111"/>
        <x:v/>
      </x:c>
      <x:c r="H39" s="1266" t="str">
        <x:f t="shared" si="112"/>
        <x:v/>
      </x:c>
      <x:c r="I39" s="1261">
        <x:v>0</x:v>
      </x:c>
      <x:c r="J39" s="1262">
        <x:v>1.375</x:v>
      </x:c>
      <x:c r="K39" s="1370" t="s">
        <x:v>114</x:v>
      </x:c>
      <x:c r="L39" s="1327">
        <x:v>3</x:v>
      </x:c>
      <x:c r="M39" s="1329">
        <x:v>3</x:v>
      </x:c>
      <x:c r="N39" s="1263" t="str">
        <x:f t="shared" si="1"/>
        <x:v/>
      </x:c>
      <x:c r="O39" s="1262" t="str">
        <x:f t="shared" si="2"/>
        <x:v/>
      </x:c>
      <x:c r="P39" s="1260" t="str">
        <x:f t="shared" si="3"/>
        <x:v/>
      </x:c>
      <x:c r="Q39" s="1261" t="str">
        <x:f t="shared" si="4"/>
        <x:v/>
      </x:c>
      <x:c r="R39" s="1262" t="str">
        <x:f t="shared" si="5"/>
        <x:v/>
      </x:c>
      <x:c r="S39" s="1375" t="str">
        <x:f t="shared" si="6"/>
        <x:v/>
      </x:c>
      <x:c r="T39" s="1328" t="str">
        <x:f t="shared" si="102"/>
        <x:v/>
      </x:c>
      <x:c r="U39" s="1262" t="str">
        <x:f t="shared" si="103"/>
        <x:v/>
      </x:c>
      <x:c r="V39" s="1261" t="str">
        <x:f t="shared" si="104"/>
        <x:v/>
      </x:c>
      <x:c r="W39" s="1262" t="str">
        <x:f t="shared" si="105"/>
        <x:v/>
      </x:c>
      <x:c r="X39" s="1329">
        <x:f t="shared" si="106"/>
        <x:v>0</x:v>
      </x:c>
      <x:c r="Y39" s="1377" t="str">
        <x:f t="shared" si="7"/>
        <x:v/>
      </x:c>
      <x:c r="Z39" s="1378" t="str">
        <x:f t="shared" si="8"/>
        <x:v/>
      </x:c>
      <x:c r="AA39" s="2159" t="s">
        <x:v>2181</x:v>
      </x:c>
      <x:c r="AC39" s="1226" t="b">
        <x:v>0</x:v>
      </x:c>
      <x:c r="AD39" s="525">
        <x:f t="shared" si="9"/>
        <x:v>0</x:v>
      </x:c>
      <x:c r="AE39" s="526">
        <x:f t="shared" si="10"/>
        <x:v>13</x:v>
      </x:c>
      <x:c r="AF39" s="526">
        <x:f t="shared" si="11"/>
        <x:v>0</x:v>
      </x:c>
      <x:c r="AG39" s="526">
        <x:f t="shared" si="12"/>
        <x:v>0</x:v>
      </x:c>
      <x:c r="AH39" s="527">
        <x:f t="shared" si="13"/>
        <x:v>0</x:v>
      </x:c>
      <x:c r="AI39" s="528" t="b">
        <x:v>0</x:v>
      </x:c>
      <x:c r="AJ39" s="284">
        <x:f t="shared" si="14"/>
        <x:v>36</x:v>
      </x:c>
      <x:c r="AK39" s="1063" t="str">
        <x:f t="shared" si="15"/>
        <x:v>LH</x:v>
      </x:c>
      <x:c r="AL39" s="1202" t="str">
        <x:f t="shared" si="16"/>
        <x:v/>
      </x:c>
      <x:c r="AM39" s="1063">
        <x:f t="shared" si="17"/>
        <x:v>270</x:v>
      </x:c>
      <x:c r="AN39" s="1063">
        <x:f t="shared" si="18"/>
        <x:v>120</x:v>
      </x:c>
      <x:c r="AO39" s="1063" t="str">
        <x:f t="shared" si="19"/>
        <x:v/>
      </x:c>
      <x:c r="AP39" s="1063" t="b">
        <x:f>IF(ISERROR(AJ39),FALSE,IF(OR(AJ39=0,ISERROR(AL39),ISERROR(AM39),ISERROR(AN39),ISERROR(AO39)),FALSE,IF(AL39&lt;&gt;"",IF(ISERROR(VLOOKUP(SUBSTITUTE(SUBSTITUTE(C39,"R",""),"A",""),TblJoistSize!$A:$A,1,FALSE)),FALSE,TRUE),TRUE)))</x:f>
        <x:v>1</x:v>
      </x:c>
      <x:c r="AQ39" s="1305">
        <x:f t="shared" si="20"/>
        <x:v>6</x:v>
      </x:c>
      <x:c r="AR39" s="1305" t="b">
        <x:f t="shared" si="21"/>
        <x:v>0</x:v>
      </x:c>
      <x:c r="AS39" s="1305">
        <x:f t="shared" si="22"/>
        <x:v>7.375</x:v>
      </x:c>
      <x:c r="AT39" s="1305" t="b">
        <x:f t="shared" si="23"/>
        <x:v>0</x:v>
      </x:c>
      <x:c r="AU39" s="1203" t="str">
        <x:f t="shared" si="24"/>
        <x:v>LH</x:v>
      </x:c>
      <x:c r="AV39" s="1063" t="str">
        <x:f t="shared" si="25"/>
        <x:v/>
      </x:c>
      <x:c r="AW39" s="1063" t="str">
        <x:f t="shared" si="26"/>
        <x:v>LH</x:v>
      </x:c>
      <x:c r="AX39" s="1063" t="str">
        <x:f t="shared" si="99"/>
        <x:v>J165</x:v>
      </x:c>
      <x:c r="AY39" s="1306" t="b">
        <x:f t="shared" si="27"/>
        <x:v>0</x:v>
      </x:c>
      <x:c r="AZ39" s="1090" t="b">
        <x:f t="shared" si="28"/>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29"/>
        <x:v/>
      </x:c>
      <x:c r="CE39" s="935" t="str">
        <x:f t="shared" si="30"/>
        <x:v/>
      </x:c>
      <x:c r="CF39" s="1149"/>
      <x:c r="CG39" s="1150"/>
      <x:c r="CH39" s="738" t="str">
        <x:f t="shared" si="31"/>
        <x:v/>
      </x:c>
      <x:c r="CI39" s="739" t="str">
        <x:f t="shared" si="32"/>
        <x:v/>
      </x:c>
      <x:c r="CJ39" s="740" t="str">
        <x:f t="shared" si="33"/>
        <x:v/>
      </x:c>
      <x:c r="CK39" s="741" t="str">
        <x:f t="shared" si="34"/>
        <x:v/>
      </x:c>
      <x:c r="CL39" s="742" t="str">
        <x:f t="shared" si="35"/>
        <x:v/>
      </x:c>
      <x:c r="CM39" s="743" t="str">
        <x:f t="shared" si="36"/>
        <x:v/>
      </x:c>
      <x:c r="CN39" s="744" t="str">
        <x:f t="shared" si="37"/>
        <x:v/>
      </x:c>
      <x:c r="CO39" s="745" t="str">
        <x:f t="shared" si="38"/>
        <x:v/>
      </x:c>
      <x:c r="CP39" s="762" t="str">
        <x:f t="shared" si="39"/>
        <x:v/>
      </x:c>
      <x:c r="CQ39" s="763" t="str">
        <x:f t="shared" si="40"/>
        <x:v/>
      </x:c>
      <x:c r="CR39" s="953">
        <x:f t="shared" si="41"/>
        <x:v>5</x:v>
      </x:c>
      <x:c r="CS39" s="954">
        <x:f t="shared" si="42"/>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3"/>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4"/>
        <x:v>0</x:v>
      </x:c>
      <x:c r="DO39" s="1049">
        <x:f t="shared" si="45"/>
        <x:v>0</x:v>
      </x:c>
      <x:c r="DP39" s="1053" t="str">
        <x:f t="shared" si="46"/>
        <x:v/>
      </x:c>
      <x:c r="DQ39" s="1053" t="str">
        <x:f t="shared" si="47"/>
        <x:v/>
      </x:c>
      <x:c r="DR39" s="1053" t="str">
        <x:f t="shared" si="48"/>
        <x:v/>
      </x:c>
      <x:c r="DS39" s="1052">
        <x:f t="shared" si="49"/>
        <x:v>0</x:v>
      </x:c>
      <x:c r="DT39" s="1052">
        <x:f t="shared" si="50"/>
        <x:v>0</x:v>
      </x:c>
      <x:c r="DU39" s="1052" t="str">
        <x:f t="shared" si="51"/>
        <x:v/>
      </x:c>
      <x:c r="DV39" s="1053" t="str">
        <x:f t="shared" si="52"/>
        <x:v/>
      </x:c>
      <x:c r="DW39" s="1053" t="str">
        <x:f t="shared" si="53"/>
        <x:v/>
      </x:c>
      <x:c r="DX39" s="1269">
        <x:f t="shared" si="54"/>
        <x:v>0</x:v>
      </x:c>
      <x:c r="DY39" s="1053">
        <x:f t="shared" si="55"/>
        <x:v>0</x:v>
      </x:c>
      <x:c r="DZ39" s="1052">
        <x:f t="shared" si="56"/>
        <x:v>0</x:v>
      </x:c>
      <x:c r="EA39" s="1052" t="str">
        <x:f t="shared" si="57"/>
        <x:v/>
      </x:c>
      <x:c r="EB39" s="1053" t="str">
        <x:f t="shared" si="58"/>
        <x:v/>
      </x:c>
      <x:c r="EC39" s="1053" t="str">
        <x:f t="shared" si="59"/>
        <x:v/>
      </x:c>
      <x:c r="ED39" s="1269">
        <x:f t="shared" si="60"/>
        <x:v>0</x:v>
      </x:c>
      <x:c r="EE39" s="1090" t="str">
        <x:f t="shared" si="61"/>
        <x:v/>
      </x:c>
      <x:c r="EF39" s="1053" t="str">
        <x:f t="shared" si="62"/>
        <x:v/>
      </x:c>
      <x:c r="EG39" s="1053" t="str">
        <x:f t="shared" si="63"/>
        <x:v/>
      </x:c>
      <x:c r="EH39" s="1053" t="str">
        <x:f t="shared" si="64"/>
        <x:v>ERR</x:v>
      </x:c>
      <x:c r="EI39" s="1053" t="str">
        <x:f t="shared" si="65"/>
        <x:v>ERR</x:v>
      </x:c>
      <x:c r="EJ39" s="1053" t="str">
        <x:f t="shared" si="66"/>
        <x:v/>
      </x:c>
      <x:c r="EK39" s="1053" t="str">
        <x:f t="shared" si="66"/>
        <x:v/>
      </x:c>
      <x:c r="EL39" s="1090" t="str">
        <x:f t="shared" si="67"/>
        <x:v/>
      </x:c>
      <x:c r="EM39" s="1053" t="str">
        <x:f t="shared" si="68"/>
        <x:v/>
      </x:c>
      <x:c r="EN39" s="1053" t="str">
        <x:f t="shared" si="69"/>
        <x:v/>
      </x:c>
      <x:c r="EO39" s="1053" t="str">
        <x:f t="shared" si="70"/>
        <x:v>ERR</x:v>
      </x:c>
      <x:c r="EP39" s="1053" t="str">
        <x:f t="shared" si="71"/>
        <x:v>ERR</x:v>
      </x:c>
      <x:c r="EQ39" s="1053" t="str">
        <x:f t="shared" si="72"/>
        <x:v/>
      </x:c>
      <x:c r="ER39" s="1053" t="str">
        <x:f t="shared" si="72"/>
        <x:v/>
      </x:c>
      <x:c r="ES39" s="1053" t="str">
        <x:f t="shared" si="73"/>
        <x:v/>
      </x:c>
      <x:c r="ET39" s="1053" t="str">
        <x:f t="shared" si="74"/>
        <x:v/>
      </x:c>
      <x:c r="EU39" s="1061">
        <x:f t="shared" si="75"/>
        <x:v>4</x:v>
      </x:c>
      <x:c r="EV39" s="1055" t="str">
        <x:f t="shared" si="76"/>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7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78"/>
        <x:v/>
      </x:c>
      <x:c r="FD39" s="1052">
        <x:f t="shared" si="100"/>
        <x:v>0</x:v>
      </x:c>
      <x:c r="FE39" s="1052">
        <x:f t="shared" si="79"/>
        <x:v>0</x:v>
      </x:c>
      <x:c r="FF39" s="1052">
        <x:f t="shared" si="80"/>
        <x:v>0</x:v>
      </x:c>
      <x:c r="FG39" s="1052" t="str">
        <x:f t="shared" si="81"/>
        <x:v/>
      </x:c>
      <x:c r="FH39" s="1053" t="str">
        <x:f t="shared" si="82"/>
        <x:v/>
      </x:c>
      <x:c r="FI39" s="1052">
        <x:f t="shared" si="101"/>
        <x:v>0</x:v>
      </x:c>
      <x:c r="FJ39" s="1052">
        <x:f t="shared" si="83"/>
        <x:v>0</x:v>
      </x:c>
      <x:c r="FK39" s="1052">
        <x:f t="shared" si="84"/>
        <x:v>0</x:v>
      </x:c>
      <x:c r="FL39" s="1052" t="str">
        <x:f t="shared" si="85"/>
        <x:v/>
      </x:c>
      <x:c r="FM39" s="1053" t="str">
        <x:f t="shared" si="86"/>
        <x:v/>
      </x:c>
      <x:c r="FN39" s="1053" t="e">
        <x:f t="shared" si="87"/>
        <x:v>#VALUE!</x:v>
      </x:c>
      <x:c r="FO39" s="1062" t="e">
        <x:f t="shared" si="88"/>
        <x:v>#VALUE!</x:v>
      </x:c>
      <x:c r="FP39" s="1062" t="e">
        <x:f t="shared" si="89"/>
        <x:v>#VALUE!</x:v>
      </x:c>
      <x:c r="FQ39" s="1063" t="e">
        <x:f t="shared" si="90"/>
        <x:v>#VALUE!</x:v>
      </x:c>
      <x:c r="FR39" s="1064" t="e">
        <x:f t="shared" si="91"/>
        <x:v>#VALUE!</x:v>
      </x:c>
      <x:c r="FS39" s="1065" t="str">
        <x:f t="shared" si="92"/>
        <x:v/>
      </x:c>
      <x:c r="FT39" s="1066" t="str">
        <x:f t="shared" si="93"/>
        <x:v/>
      </x:c>
      <x:c r="FU39" s="1105">
        <x:f t="shared" si="94"/>
        <x:v>0</x:v>
      </x:c>
      <x:c r="FV39" s="1106">
        <x:f t="shared" si="95"/>
        <x:v>0</x:v>
      </x:c>
      <x:c r="GA39" s="1975">
        <x:v>59</x:v>
      </x:c>
      <x:c r="GB39" s="1976">
        <x:v>2.75</x:v>
      </x:c>
      <x:c r="GC39" s="1977">
        <x:v>-1.875</x:v>
      </x:c>
      <x:c r="GD39" s="1978">
        <x:v>-0.25</x:v>
      </x:c>
      <x:c r="GE39" s="1979">
        <x:v>0.19361914372377401</x:v>
      </x:c>
      <x:c r="GF39" s="1980" t="str">
        <x:f t="shared" si="96"/>
        <x:v>J165</x:v>
      </x:c>
      <x:c r="GG39" s="1453"/>
      <x:c r="GH39" s="1454"/>
      <x:c r="GI39" s="1453"/>
      <x:c r="GJ39" s="1454"/>
      <x:c r="GK39" s="533">
        <x:f t="shared" si="97"/>
        <x:v>708.625</x:v>
      </x:c>
      <x:c r="GL39" s="534">
        <x:f t="shared" si="98"/>
        <x:v>708.7172342688998</x:v>
      </x:c>
      <x:c r="GM39" s="535">
        <x:f>IF(ABS(GK39-GL39)&gt;='Job Info.'!$L$22,ABS(GK39-GL39),0)</x:f>
        <x:v>0</x:v>
      </x:c>
      <x:c r="HA39" s="1658" t="s">
        <x:v>1489</x:v>
      </x:c>
      <x:c r="HB39" s="1659">
        <x:v>13</x:v>
      </x:c>
      <x:c r="HC39" s="1659" t="s">
        <x:v>1978</x:v>
      </x:c>
      <x:c r="HD39" s="1660">
        <x:v>59</x:v>
      </x:c>
      <x:c r="HE39" s="1661">
        <x:v>0.625</x:v>
      </x:c>
      <x:c r="HF39" s="1659" t="s">
        <x:v>117</x:v>
      </x:c>
      <x:c r="HG39" s="1659" t="s">
        <x:v>117</x:v>
      </x:c>
      <x:c r="HH39" s="1659" t="s">
        <x:v>117</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t="s">
        <x:v>117</x:v>
      </x:c>
      <x:c r="HU39" s="1659" t="s">
        <x:v>117</x:v>
      </x:c>
      <x:c r="HV39" s="1659" t="s">
        <x:v>117</x:v>
      </x:c>
      <x:c r="HW39" s="1661" t="s">
        <x:v>117</x:v>
      </x:c>
      <x:c r="HX39" s="1661">
        <x:v>0</x:v>
      </x:c>
      <x:c r="HY39" s="1661" t="s">
        <x:v>117</x:v>
      </x:c>
      <x:c r="HZ39" s="1661" t="s">
        <x:v>117</x:v>
      </x:c>
      <x:c r="IA39" s="1661" t="s">
        <x:v>2181</x:v>
      </x:c>
      <x:c r="IB39" s="1661"/>
      <x:c r="IC39" s="1661"/>
      <x:c r="ID39" s="1661"/>
      <x:c r="IE39" s="1661"/>
      <x:c r="IF39" s="1663"/>
    </x:row>
    <x:row r="40" spans="1:240" ht="12.6" customHeight="1" x14ac:dyDescent="0.25">
      <x:c r="A40" s="1264" t="s">
        <x:v>1490</x:v>
      </x:c>
      <x:c r="B40" s="1265">
        <x:v>2</x:v>
      </x:c>
      <x:c r="C40" s="1265" t="s">
        <x:v>1978</x:v>
      </x:c>
      <x:c r="D40" s="1261">
        <x:v>59</x:v>
      </x:c>
      <x:c r="E40" s="1366">
        <x:v>0.625</x:v>
      </x:c>
      <x:c r="F40" s="1328" t="str">
        <x:f t="shared" si="110"/>
        <x:v/>
      </x:c>
      <x:c r="G40" s="1262" t="str">
        <x:f t="shared" si="111"/>
        <x:v/>
      </x:c>
      <x:c r="H40" s="1266" t="str">
        <x:f t="shared" si="112"/>
        <x:v/>
      </x:c>
      <x:c r="I40" s="1261">
        <x:v>0</x:v>
      </x:c>
      <x:c r="J40" s="1262">
        <x:v>1.375</x:v>
      </x:c>
      <x:c r="K40" s="1370" t="s">
        <x:v>114</x:v>
      </x:c>
      <x:c r="L40" s="1327">
        <x:v>3</x:v>
      </x:c>
      <x:c r="M40" s="1329">
        <x:v>3</x:v>
      </x:c>
      <x:c r="N40" s="1263" t="str">
        <x:f t="shared" si="1"/>
        <x:v/>
      </x:c>
      <x:c r="O40" s="1262" t="str">
        <x:f t="shared" si="2"/>
        <x:v/>
      </x:c>
      <x:c r="P40" s="1260" t="str">
        <x:f t="shared" si="3"/>
        <x:v/>
      </x:c>
      <x:c r="Q40" s="1261" t="str">
        <x:f t="shared" si="4"/>
        <x:v/>
      </x:c>
      <x:c r="R40" s="1262" t="str">
        <x:f t="shared" si="5"/>
        <x:v/>
      </x:c>
      <x:c r="S40" s="1375" t="str">
        <x:f t="shared" si="6"/>
        <x:v/>
      </x:c>
      <x:c r="T40" s="1328" t="str">
        <x:f t="shared" si="102"/>
        <x:v/>
      </x:c>
      <x:c r="U40" s="1262" t="str">
        <x:f t="shared" si="103"/>
        <x:v/>
      </x:c>
      <x:c r="V40" s="1261" t="str">
        <x:f t="shared" si="104"/>
        <x:v/>
      </x:c>
      <x:c r="W40" s="1262" t="str">
        <x:f t="shared" si="105"/>
        <x:v/>
      </x:c>
      <x:c r="X40" s="1329">
        <x:f t="shared" si="106"/>
        <x:v>0</x:v>
      </x:c>
      <x:c r="Y40" s="1377" t="str">
        <x:f t="shared" si="7"/>
        <x:v/>
      </x:c>
      <x:c r="Z40" s="1378" t="str">
        <x:f t="shared" si="8"/>
        <x:v/>
      </x:c>
      <x:c r="AA40" s="2159" t="s">
        <x:v>2182</x:v>
      </x:c>
      <x:c r="AC40" s="1226" t="b">
        <x:v>0</x:v>
      </x:c>
      <x:c r="AD40" s="525">
        <x:f t="shared" si="9"/>
        <x:v>0</x:v>
      </x:c>
      <x:c r="AE40" s="526">
        <x:f t="shared" si="10"/>
        <x:v>2</x:v>
      </x:c>
      <x:c r="AF40" s="526">
        <x:f t="shared" si="11"/>
        <x:v>0</x:v>
      </x:c>
      <x:c r="AG40" s="526">
        <x:f t="shared" si="12"/>
        <x:v>0</x:v>
      </x:c>
      <x:c r="AH40" s="527">
        <x:f t="shared" si="13"/>
        <x:v>0</x:v>
      </x:c>
      <x:c r="AI40" s="528" t="b">
        <x:v>0</x:v>
      </x:c>
      <x:c r="AJ40" s="284">
        <x:f t="shared" si="14"/>
        <x:v>36</x:v>
      </x:c>
      <x:c r="AK40" s="1063" t="str">
        <x:f t="shared" si="15"/>
        <x:v>LH</x:v>
      </x:c>
      <x:c r="AL40" s="1202" t="str">
        <x:f t="shared" si="16"/>
        <x:v/>
      </x:c>
      <x:c r="AM40" s="1063">
        <x:f t="shared" si="17"/>
        <x:v>270</x:v>
      </x:c>
      <x:c r="AN40" s="1063">
        <x:f t="shared" si="18"/>
        <x:v>120</x:v>
      </x:c>
      <x:c r="AO40" s="1063" t="str">
        <x:f t="shared" si="19"/>
        <x:v/>
      </x:c>
      <x:c r="AP40" s="1063" t="b">
        <x:f>IF(ISERROR(AJ40),FALSE,IF(OR(AJ40=0,ISERROR(AL40),ISERROR(AM40),ISERROR(AN40),ISERROR(AO40)),FALSE,IF(AL40&lt;&gt;"",IF(ISERROR(VLOOKUP(SUBSTITUTE(SUBSTITUTE(C40,"R",""),"A",""),TblJoistSize!$A:$A,1,FALSE)),FALSE,TRUE),TRUE)))</x:f>
        <x:v>1</x:v>
      </x:c>
      <x:c r="AQ40" s="1305">
        <x:f t="shared" si="20"/>
        <x:v>6</x:v>
      </x:c>
      <x:c r="AR40" s="1305" t="b">
        <x:f t="shared" si="21"/>
        <x:v>0</x:v>
      </x:c>
      <x:c r="AS40" s="1305">
        <x:f t="shared" si="22"/>
        <x:v>7.375</x:v>
      </x:c>
      <x:c r="AT40" s="1305" t="b">
        <x:f t="shared" si="23"/>
        <x:v>0</x:v>
      </x:c>
      <x:c r="AU40" s="1203" t="str">
        <x:f t="shared" si="24"/>
        <x:v>LH</x:v>
      </x:c>
      <x:c r="AV40" s="1063" t="str">
        <x:f t="shared" si="25"/>
        <x:v/>
      </x:c>
      <x:c r="AW40" s="1063" t="str">
        <x:f t="shared" si="26"/>
        <x:v>LH</x:v>
      </x:c>
      <x:c r="AX40" s="1063" t="str">
        <x:f t="shared" si="99"/>
        <x:v>J166</x:v>
      </x:c>
      <x:c r="AY40" s="1306" t="b">
        <x:f t="shared" si="27"/>
        <x:v>0</x:v>
      </x:c>
      <x:c r="AZ40" s="1090" t="b">
        <x:f t="shared" si="28"/>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29"/>
        <x:v/>
      </x:c>
      <x:c r="CE40" s="935" t="str">
        <x:f t="shared" si="30"/>
        <x:v/>
      </x:c>
      <x:c r="CF40" s="1149"/>
      <x:c r="CG40" s="1150"/>
      <x:c r="CH40" s="738" t="str">
        <x:f t="shared" si="31"/>
        <x:v/>
      </x:c>
      <x:c r="CI40" s="739" t="str">
        <x:f t="shared" si="32"/>
        <x:v/>
      </x:c>
      <x:c r="CJ40" s="740" t="str">
        <x:f t="shared" si="33"/>
        <x:v/>
      </x:c>
      <x:c r="CK40" s="741" t="str">
        <x:f t="shared" si="34"/>
        <x:v/>
      </x:c>
      <x:c r="CL40" s="742" t="str">
        <x:f t="shared" si="35"/>
        <x:v/>
      </x:c>
      <x:c r="CM40" s="743" t="str">
        <x:f t="shared" si="36"/>
        <x:v/>
      </x:c>
      <x:c r="CN40" s="744" t="str">
        <x:f t="shared" si="37"/>
        <x:v/>
      </x:c>
      <x:c r="CO40" s="745" t="str">
        <x:f t="shared" si="38"/>
        <x:v/>
      </x:c>
      <x:c r="CP40" s="762" t="str">
        <x:f t="shared" si="39"/>
        <x:v/>
      </x:c>
      <x:c r="CQ40" s="763" t="str">
        <x:f t="shared" si="40"/>
        <x:v/>
      </x:c>
      <x:c r="CR40" s="953">
        <x:f t="shared" si="41"/>
        <x:v>5</x:v>
      </x:c>
      <x:c r="CS40" s="954">
        <x:f t="shared" si="42"/>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3"/>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4"/>
        <x:v>0</x:v>
      </x:c>
      <x:c r="DO40" s="1049">
        <x:f t="shared" si="45"/>
        <x:v>0</x:v>
      </x:c>
      <x:c r="DP40" s="1053" t="str">
        <x:f t="shared" si="46"/>
        <x:v/>
      </x:c>
      <x:c r="DQ40" s="1053" t="str">
        <x:f t="shared" si="47"/>
        <x:v/>
      </x:c>
      <x:c r="DR40" s="1053" t="str">
        <x:f t="shared" si="48"/>
        <x:v/>
      </x:c>
      <x:c r="DS40" s="1052">
        <x:f t="shared" si="49"/>
        <x:v>0</x:v>
      </x:c>
      <x:c r="DT40" s="1052">
        <x:f t="shared" si="50"/>
        <x:v>0</x:v>
      </x:c>
      <x:c r="DU40" s="1052" t="str">
        <x:f t="shared" si="51"/>
        <x:v/>
      </x:c>
      <x:c r="DV40" s="1053" t="str">
        <x:f t="shared" si="52"/>
        <x:v/>
      </x:c>
      <x:c r="DW40" s="1053" t="str">
        <x:f t="shared" si="53"/>
        <x:v/>
      </x:c>
      <x:c r="DX40" s="1269">
        <x:f t="shared" si="54"/>
        <x:v>0</x:v>
      </x:c>
      <x:c r="DY40" s="1053">
        <x:f t="shared" si="55"/>
        <x:v>0</x:v>
      </x:c>
      <x:c r="DZ40" s="1052">
        <x:f t="shared" si="56"/>
        <x:v>0</x:v>
      </x:c>
      <x:c r="EA40" s="1052" t="str">
        <x:f t="shared" si="57"/>
        <x:v/>
      </x:c>
      <x:c r="EB40" s="1053" t="str">
        <x:f t="shared" si="58"/>
        <x:v/>
      </x:c>
      <x:c r="EC40" s="1053" t="str">
        <x:f t="shared" si="59"/>
        <x:v/>
      </x:c>
      <x:c r="ED40" s="1269">
        <x:f t="shared" si="60"/>
        <x:v>0</x:v>
      </x:c>
      <x:c r="EE40" s="1090" t="str">
        <x:f t="shared" si="61"/>
        <x:v/>
      </x:c>
      <x:c r="EF40" s="1053" t="str">
        <x:f t="shared" si="62"/>
        <x:v/>
      </x:c>
      <x:c r="EG40" s="1053" t="str">
        <x:f t="shared" si="63"/>
        <x:v/>
      </x:c>
      <x:c r="EH40" s="1053" t="str">
        <x:f t="shared" si="64"/>
        <x:v>ERR</x:v>
      </x:c>
      <x:c r="EI40" s="1053" t="str">
        <x:f t="shared" si="65"/>
        <x:v>ERR</x:v>
      </x:c>
      <x:c r="EJ40" s="1053" t="str">
        <x:f t="shared" si="66"/>
        <x:v/>
      </x:c>
      <x:c r="EK40" s="1053" t="str">
        <x:f t="shared" si="66"/>
        <x:v/>
      </x:c>
      <x:c r="EL40" s="1090" t="str">
        <x:f t="shared" si="67"/>
        <x:v/>
      </x:c>
      <x:c r="EM40" s="1053" t="str">
        <x:f t="shared" si="68"/>
        <x:v/>
      </x:c>
      <x:c r="EN40" s="1053" t="str">
        <x:f t="shared" si="69"/>
        <x:v/>
      </x:c>
      <x:c r="EO40" s="1053" t="str">
        <x:f t="shared" si="70"/>
        <x:v>ERR</x:v>
      </x:c>
      <x:c r="EP40" s="1053" t="str">
        <x:f t="shared" si="71"/>
        <x:v>ERR</x:v>
      </x:c>
      <x:c r="EQ40" s="1053" t="str">
        <x:f t="shared" si="72"/>
        <x:v/>
      </x:c>
      <x:c r="ER40" s="1053" t="str">
        <x:f t="shared" si="72"/>
        <x:v/>
      </x:c>
      <x:c r="ES40" s="1053" t="str">
        <x:f t="shared" si="73"/>
        <x:v/>
      </x:c>
      <x:c r="ET40" s="1053" t="str">
        <x:f t="shared" si="74"/>
        <x:v/>
      </x:c>
      <x:c r="EU40" s="1061">
        <x:f t="shared" si="75"/>
        <x:v>4</x:v>
      </x:c>
      <x:c r="EV40" s="1055" t="str">
        <x:f t="shared" si="76"/>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77"/>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78"/>
        <x:v/>
      </x:c>
      <x:c r="FD40" s="1052">
        <x:f t="shared" si="100"/>
        <x:v>0</x:v>
      </x:c>
      <x:c r="FE40" s="1052">
        <x:f t="shared" si="79"/>
        <x:v>0</x:v>
      </x:c>
      <x:c r="FF40" s="1052">
        <x:f t="shared" si="80"/>
        <x:v>0</x:v>
      </x:c>
      <x:c r="FG40" s="1052" t="str">
        <x:f t="shared" si="81"/>
        <x:v/>
      </x:c>
      <x:c r="FH40" s="1053" t="str">
        <x:f t="shared" si="82"/>
        <x:v/>
      </x:c>
      <x:c r="FI40" s="1052">
        <x:f t="shared" si="101"/>
        <x:v>0</x:v>
      </x:c>
      <x:c r="FJ40" s="1052">
        <x:f t="shared" si="83"/>
        <x:v>0</x:v>
      </x:c>
      <x:c r="FK40" s="1052">
        <x:f t="shared" si="84"/>
        <x:v>0</x:v>
      </x:c>
      <x:c r="FL40" s="1052" t="str">
        <x:f t="shared" si="85"/>
        <x:v/>
      </x:c>
      <x:c r="FM40" s="1053" t="str">
        <x:f t="shared" si="86"/>
        <x:v/>
      </x:c>
      <x:c r="FN40" s="1053" t="e">
        <x:f t="shared" si="87"/>
        <x:v>#VALUE!</x:v>
      </x:c>
      <x:c r="FO40" s="1062" t="e">
        <x:f t="shared" si="88"/>
        <x:v>#VALUE!</x:v>
      </x:c>
      <x:c r="FP40" s="1062" t="e">
        <x:f t="shared" si="89"/>
        <x:v>#VALUE!</x:v>
      </x:c>
      <x:c r="FQ40" s="1063" t="e">
        <x:f t="shared" si="90"/>
        <x:v>#VALUE!</x:v>
      </x:c>
      <x:c r="FR40" s="1064" t="e">
        <x:f t="shared" si="91"/>
        <x:v>#VALUE!</x:v>
      </x:c>
      <x:c r="FS40" s="1065" t="str">
        <x:f t="shared" si="92"/>
        <x:v/>
      </x:c>
      <x:c r="FT40" s="1066" t="str">
        <x:f t="shared" si="93"/>
        <x:v/>
      </x:c>
      <x:c r="FU40" s="1105">
        <x:f t="shared" si="94"/>
        <x:v>0</x:v>
      </x:c>
      <x:c r="FV40" s="1106">
        <x:f t="shared" si="95"/>
        <x:v>0</x:v>
      </x:c>
      <x:c r="GA40" s="1975">
        <x:v>59</x:v>
      </x:c>
      <x:c r="GB40" s="1976">
        <x:v>2.75</x:v>
      </x:c>
      <x:c r="GC40" s="1977">
        <x:v>-1.875</x:v>
      </x:c>
      <x:c r="GD40" s="1978">
        <x:v>-0.25</x:v>
      </x:c>
      <x:c r="GE40" s="1979">
        <x:v>0.21077369426779652</x:v>
      </x:c>
      <x:c r="GF40" s="1980" t="str">
        <x:f t="shared" si="96"/>
        <x:v>J166</x:v>
      </x:c>
      <x:c r="GG40" s="1453"/>
      <x:c r="GH40" s="1454"/>
      <x:c r="GI40" s="1453"/>
      <x:c r="GJ40" s="1454"/>
      <x:c r="GK40" s="533">
        <x:f t="shared" si="97"/>
        <x:v>708.625</x:v>
      </x:c>
      <x:c r="GL40" s="534">
        <x:f t="shared" si="98"/>
        <x:v>708.73430079104332</x:v>
      </x:c>
      <x:c r="GM40" s="535">
        <x:f>IF(ABS(GK40-GL40)&gt;='Job Info.'!$L$22,ABS(GK40-GL40),0)</x:f>
        <x:v>0</x:v>
      </x:c>
      <x:c r="HA40" s="1658" t="s">
        <x:v>1490</x:v>
      </x:c>
      <x:c r="HB40" s="1659">
        <x:v>2</x:v>
      </x:c>
      <x:c r="HC40" s="1659" t="s">
        <x:v>1978</x:v>
      </x:c>
      <x:c r="HD40" s="1660">
        <x:v>59</x:v>
      </x:c>
      <x:c r="HE40" s="1661">
        <x:v>0.625</x:v>
      </x:c>
      <x:c r="HF40" s="1659" t="s">
        <x:v>117</x:v>
      </x:c>
      <x:c r="HG40" s="1659" t="s">
        <x:v>117</x:v>
      </x:c>
      <x:c r="HH40" s="1659" t="s">
        <x:v>117</x:v>
      </x:c>
      <x:c r="HI40" s="1662">
        <x:v>0</x:v>
      </x:c>
      <x:c r="HJ40" s="1659">
        <x:v>1.375</x:v>
      </x:c>
      <x:c r="HK40" s="1659" t="s">
        <x:v>114</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2182</x:v>
      </x:c>
      <x:c r="IB40" s="1661"/>
      <x:c r="IC40" s="1661"/>
      <x:c r="ID40" s="1661"/>
      <x:c r="IE40" s="1661"/>
      <x:c r="IF40" s="1663"/>
    </x:row>
    <x:row r="41" spans="1:240" ht="12.6" customHeight="1" x14ac:dyDescent="0.25">
      <x:c r="A41" s="1264" t="str">
        <x:f t="shared" ref="A41:A44" si="113">IF(BB41="","",UPPER(BB41))</x:f>
        <x:v/>
      </x:c>
      <x:c r="B41" s="1265"/>
      <x:c r="C41" s="1265" t="str">
        <x:f t="shared" ref="C41:C44" si="114">IF(BD41="","",UPPER(BD41))</x:f>
        <x:v/>
      </x:c>
      <x:c r="D41" s="1261" t="str">
        <x:f t="shared" ref="D41:D44" si="115">IF(DP41="","",TRUNC(DP41/12))</x:f>
        <x:v/>
      </x:c>
      <x:c r="E41" s="1366" t="str">
        <x:f t="shared" ref="E41:E44" si="116">IF(DP41="","",DP41-(D41*12))</x:f>
        <x:v/>
      </x:c>
      <x:c r="F41" s="1328" t="str">
        <x:f t="shared" si="110"/>
        <x:v/>
      </x:c>
      <x:c r="G41" s="1262" t="str">
        <x:f t="shared" si="111"/>
        <x:v/>
      </x:c>
      <x:c r="H41" s="1266" t="str">
        <x:f t="shared" si="112"/>
        <x:v/>
      </x:c>
      <x:c r="I41" s="1261" t="str">
        <x:f t="shared" si="107"/>
        <x:v/>
      </x:c>
      <x:c r="J41" s="1262" t="str">
        <x:f t="shared" si="108"/>
        <x:v/>
      </x:c>
      <x:c r="K41" s="1370" t="str">
        <x:f t="shared" si="109"/>
        <x:v/>
      </x:c>
      <x:c r="L41" s="1327" t="str">
        <x:f t="shared" ref="L41:M44" si="117">DQ41</x:f>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102"/>
        <x:v/>
      </x:c>
      <x:c r="U41" s="1262" t="str">
        <x:f t="shared" si="103"/>
        <x:v/>
      </x:c>
      <x:c r="V41" s="1261" t="str">
        <x:f t="shared" si="104"/>
        <x:v/>
      </x:c>
      <x:c r="W41" s="1262" t="str">
        <x:f t="shared" si="105"/>
        <x:v/>
      </x:c>
      <x:c r="X41" s="1329">
        <x:f t="shared" si="106"/>
        <x:v>0</x:v>
      </x:c>
      <x:c r="Y41" s="1377" t="str">
        <x:f t="shared" si="7"/>
        <x:v/>
      </x:c>
      <x:c r="Z41" s="1378" t="str">
        <x:f t="shared" si="8"/>
        <x:v/>
      </x:c>
      <x:c r="AA41" s="2159"/>
      <x:c r="AC41" s="1226" t="b">
        <x:v>0</x:v>
      </x:c>
      <x:c r="AD41" s="525">
        <x:f t="shared" si="9"/>
        <x:v>0</x:v>
      </x:c>
      <x:c r="AE41" s="526">
        <x:f t="shared" si="10"/>
        <x:v>0</x:v>
      </x:c>
      <x:c r="AF41" s="526">
        <x:f t="shared" si="11"/>
        <x:v>0</x:v>
      </x:c>
      <x:c r="AG41" s="526">
        <x:f t="shared" si="12"/>
        <x:v>0</x:v>
      </x:c>
      <x:c r="AH41" s="527">
        <x:f t="shared" si="13"/>
        <x:v>0</x:v>
      </x:c>
      <x:c r="AI41" s="528" t="b">
        <x:v>0</x:v>
      </x:c>
      <x:c r="AJ41" s="284">
        <x:f t="shared" si="14"/>
        <x:v>0</x:v>
      </x:c>
      <x:c r="AK41" s="1063" t="str">
        <x:f t="shared" si="15"/>
        <x:v/>
      </x:c>
      <x:c r="AL41" s="1202" t="str">
        <x:f t="shared" si="16"/>
        <x:v/>
      </x:c>
      <x:c r="AM41" s="1063" t="str">
        <x:f t="shared" si="17"/>
        <x:v/>
      </x:c>
      <x:c r="AN41" s="1063" t="str">
        <x:f t="shared" si="18"/>
        <x:v/>
      </x:c>
      <x:c r="AO41" s="1063" t="str">
        <x:f t="shared" si="19"/>
        <x:v/>
      </x:c>
      <x:c r="AP41" s="1063" t="b">
        <x:f>IF(ISERROR(AJ41),FALSE,IF(OR(AJ41=0,ISERROR(AL41),ISERROR(AM41),ISERROR(AN41),ISERROR(AO41)),FALSE,IF(AL41&lt;&gt;"",IF(ISERROR(VLOOKUP(SUBSTITUTE(SUBSTITUTE(C41,"R",""),"A",""),TblJoistSize!$A:$A,1,FALSE)),FALSE,TRUE),TRUE)))</x:f>
        <x:v>0</x:v>
      </x:c>
      <x:c r="AQ41" s="1305" t="e">
        <x:f t="shared" si="20"/>
        <x:v>#N/A</x:v>
      </x:c>
      <x:c r="AR41" s="1305" t="b">
        <x:f t="shared" si="21"/>
        <x:v>0</x:v>
      </x:c>
      <x:c r="AS41" s="1305" t="e">
        <x:f t="shared" si="22"/>
        <x:v>#N/A</x:v>
      </x:c>
      <x:c r="AT41" s="1305" t="b">
        <x:f t="shared" si="23"/>
        <x:v>0</x:v>
      </x:c>
      <x:c r="AU41" s="1203" t="str">
        <x:f t="shared" si="24"/>
        <x:v/>
      </x:c>
      <x:c r="AV41" s="1063" t="str">
        <x:f t="shared" si="25"/>
        <x:v/>
      </x:c>
      <x:c r="AW41" s="1063" t="str">
        <x:f t="shared" si="26"/>
        <x:v/>
      </x:c>
      <x:c r="AX41" s="1063" t="str">
        <x:f t="shared" si="99"/>
        <x:v/>
      </x:c>
      <x:c r="AY41" s="1306" t="b">
        <x:f t="shared" si="27"/>
        <x:v>0</x:v>
      </x:c>
      <x:c r="AZ41" s="1090" t="str">
        <x:f t="shared" si="28"/>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29"/>
        <x:v/>
      </x:c>
      <x:c r="CE41" s="935" t="str">
        <x:f t="shared" si="30"/>
        <x:v/>
      </x:c>
      <x:c r="CF41" s="1149"/>
      <x:c r="CG41" s="1150"/>
      <x:c r="CH41" s="738" t="str">
        <x:f t="shared" si="31"/>
        <x:v/>
      </x:c>
      <x:c r="CI41" s="739" t="str">
        <x:f t="shared" si="32"/>
        <x:v/>
      </x:c>
      <x:c r="CJ41" s="740" t="str">
        <x:f t="shared" si="33"/>
        <x:v/>
      </x:c>
      <x:c r="CK41" s="741" t="str">
        <x:f t="shared" si="34"/>
        <x:v/>
      </x:c>
      <x:c r="CL41" s="742" t="str">
        <x:f t="shared" si="35"/>
        <x:v/>
      </x:c>
      <x:c r="CM41" s="743" t="str">
        <x:f t="shared" si="36"/>
        <x:v/>
      </x:c>
      <x:c r="CN41" s="744" t="str">
        <x:f t="shared" si="37"/>
        <x:v/>
      </x:c>
      <x:c r="CO41" s="745" t="str">
        <x:f t="shared" si="38"/>
        <x:v/>
      </x:c>
      <x:c r="CP41" s="762" t="str">
        <x:f t="shared" si="39"/>
        <x:v/>
      </x:c>
      <x:c r="CQ41" s="763" t="str">
        <x:f t="shared" si="40"/>
        <x:v/>
      </x:c>
      <x:c r="CR41" s="953" t="str">
        <x:f t="shared" si="41"/>
        <x:v/>
      </x:c>
      <x:c r="CS41" s="954" t="str">
        <x:f t="shared" si="42"/>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3"/>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4"/>
        <x:v>0</x:v>
      </x:c>
      <x:c r="DO41" s="1049">
        <x:f t="shared" si="45"/>
        <x:v>0</x:v>
      </x:c>
      <x:c r="DP41" s="1053" t="str">
        <x:f t="shared" si="46"/>
        <x:v/>
      </x:c>
      <x:c r="DQ41" s="1053" t="str">
        <x:f t="shared" si="47"/>
        <x:v/>
      </x:c>
      <x:c r="DR41" s="1053" t="str">
        <x:f t="shared" si="48"/>
        <x:v/>
      </x:c>
      <x:c r="DS41" s="1052">
        <x:f t="shared" si="49"/>
        <x:v>0</x:v>
      </x:c>
      <x:c r="DT41" s="1052">
        <x:f t="shared" si="50"/>
        <x:v>0</x:v>
      </x:c>
      <x:c r="DU41" s="1052" t="str">
        <x:f t="shared" si="51"/>
        <x:v/>
      </x:c>
      <x:c r="DV41" s="1053" t="str">
        <x:f t="shared" si="52"/>
        <x:v/>
      </x:c>
      <x:c r="DW41" s="1053" t="str">
        <x:f t="shared" si="53"/>
        <x:v/>
      </x:c>
      <x:c r="DX41" s="1269">
        <x:f t="shared" si="54"/>
        <x:v>0</x:v>
      </x:c>
      <x:c r="DY41" s="1053">
        <x:f t="shared" si="55"/>
        <x:v>0</x:v>
      </x:c>
      <x:c r="DZ41" s="1052">
        <x:f t="shared" si="56"/>
        <x:v>0</x:v>
      </x:c>
      <x:c r="EA41" s="1052" t="str">
        <x:f t="shared" si="57"/>
        <x:v/>
      </x:c>
      <x:c r="EB41" s="1053" t="str">
        <x:f t="shared" si="58"/>
        <x:v/>
      </x:c>
      <x:c r="EC41" s="1053" t="str">
        <x:f t="shared" si="59"/>
        <x:v/>
      </x:c>
      <x:c r="ED41" s="1269">
        <x:f t="shared" si="60"/>
        <x:v>0</x:v>
      </x:c>
      <x:c r="EE41" s="1090" t="str">
        <x:f t="shared" si="61"/>
        <x:v/>
      </x:c>
      <x:c r="EF41" s="1053" t="str">
        <x:f t="shared" si="62"/>
        <x:v/>
      </x:c>
      <x:c r="EG41" s="1053" t="str">
        <x:f t="shared" si="63"/>
        <x:v/>
      </x:c>
      <x:c r="EH41" s="1053" t="e">
        <x:f t="shared" si="64"/>
        <x:v>#N/A</x:v>
      </x:c>
      <x:c r="EI41" s="1053" t="e">
        <x:f t="shared" si="65"/>
        <x:v>#N/A</x:v>
      </x:c>
      <x:c r="EJ41" s="1053" t="str">
        <x:f t="shared" si="66"/>
        <x:v/>
      </x:c>
      <x:c r="EK41" s="1053" t="str">
        <x:f t="shared" si="66"/>
        <x:v/>
      </x:c>
      <x:c r="EL41" s="1090" t="str">
        <x:f t="shared" si="67"/>
        <x:v/>
      </x:c>
      <x:c r="EM41" s="1053" t="str">
        <x:f t="shared" si="68"/>
        <x:v/>
      </x:c>
      <x:c r="EN41" s="1053" t="str">
        <x:f t="shared" si="69"/>
        <x:v/>
      </x:c>
      <x:c r="EO41" s="1053" t="e">
        <x:f t="shared" si="70"/>
        <x:v>#N/A</x:v>
      </x:c>
      <x:c r="EP41" s="1053" t="e">
        <x:f t="shared" si="71"/>
        <x:v>#N/A</x:v>
      </x:c>
      <x:c r="EQ41" s="1053" t="str">
        <x:f t="shared" si="72"/>
        <x:v/>
      </x:c>
      <x:c r="ER41" s="1053" t="str">
        <x:f t="shared" si="72"/>
        <x:v/>
      </x:c>
      <x:c r="ES41" s="1053" t="str">
        <x:f t="shared" si="73"/>
        <x:v/>
      </x:c>
      <x:c r="ET41" s="1053" t="str">
        <x:f t="shared" si="74"/>
        <x:v/>
      </x:c>
      <x:c r="EU41" s="1061" t="str">
        <x:f t="shared" si="75"/>
        <x:v/>
      </x:c>
      <x:c r="EV41" s="1055" t="str">
        <x:f t="shared" si="76"/>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77"/>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78"/>
        <x:v/>
      </x:c>
      <x:c r="FD41" s="1052">
        <x:f t="shared" si="100"/>
        <x:v>0</x:v>
      </x:c>
      <x:c r="FE41" s="1052">
        <x:f t="shared" si="79"/>
        <x:v>0</x:v>
      </x:c>
      <x:c r="FF41" s="1052">
        <x:f t="shared" si="80"/>
        <x:v>0</x:v>
      </x:c>
      <x:c r="FG41" s="1052" t="str">
        <x:f t="shared" si="81"/>
        <x:v/>
      </x:c>
      <x:c r="FH41" s="1053" t="str">
        <x:f t="shared" si="82"/>
        <x:v/>
      </x:c>
      <x:c r="FI41" s="1052">
        <x:f t="shared" si="101"/>
        <x:v>0</x:v>
      </x:c>
      <x:c r="FJ41" s="1052">
        <x:f t="shared" si="83"/>
        <x:v>0</x:v>
      </x:c>
      <x:c r="FK41" s="1052">
        <x:f t="shared" si="84"/>
        <x:v>0</x:v>
      </x:c>
      <x:c r="FL41" s="1052" t="str">
        <x:f t="shared" si="85"/>
        <x:v/>
      </x:c>
      <x:c r="FM41" s="1053" t="str">
        <x:f t="shared" si="86"/>
        <x:v/>
      </x:c>
      <x:c r="FN41" s="1053" t="e">
        <x:f t="shared" si="87"/>
        <x:v>#VALUE!</x:v>
      </x:c>
      <x:c r="FO41" s="1062" t="e">
        <x:f t="shared" si="88"/>
        <x:v>#VALUE!</x:v>
      </x:c>
      <x:c r="FP41" s="1062" t="e">
        <x:f t="shared" si="89"/>
        <x:v>#VALUE!</x:v>
      </x:c>
      <x:c r="FQ41" s="1063" t="e">
        <x:f t="shared" si="90"/>
        <x:v>#VALUE!</x:v>
      </x:c>
      <x:c r="FR41" s="1064" t="e">
        <x:f t="shared" si="91"/>
        <x:v>#VALUE!</x:v>
      </x:c>
      <x:c r="FS41" s="1065" t="str">
        <x:f t="shared" si="92"/>
        <x:v/>
      </x:c>
      <x:c r="FT41" s="1066" t="str">
        <x:f t="shared" si="93"/>
        <x:v/>
      </x:c>
      <x:c r="FU41" s="1105">
        <x:f t="shared" si="94"/>
        <x:v>0</x:v>
      </x:c>
      <x:c r="FV41" s="1106">
        <x:f t="shared" si="95"/>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96"/>
        <x:v/>
      </x:c>
      <x:c r="GG41" s="1453"/>
      <x:c r="GH41" s="1454"/>
      <x:c r="GI41" s="1453"/>
      <x:c r="GJ41" s="1454"/>
      <x:c r="GK41" s="533">
        <x:f t="shared" si="97"/>
        <x:v>0</x:v>
      </x:c>
      <x:c r="GL41" s="534" t="e">
        <x:f t="shared" si="98"/>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3"/>
        <x:v/>
      </x:c>
      <x:c r="B42" s="1265"/>
      <x:c r="C42" s="1265" t="str">
        <x:f t="shared" si="114"/>
        <x:v/>
      </x:c>
      <x:c r="D42" s="1261" t="str">
        <x:f t="shared" si="115"/>
        <x:v/>
      </x:c>
      <x:c r="E42" s="1366" t="str">
        <x:f t="shared" si="116"/>
        <x:v/>
      </x:c>
      <x:c r="F42" s="1328" t="str">
        <x:f t="shared" si="110"/>
        <x:v/>
      </x:c>
      <x:c r="G42" s="1262" t="str">
        <x:f t="shared" si="111"/>
        <x:v/>
      </x:c>
      <x:c r="H42" s="1266" t="str">
        <x:f t="shared" si="112"/>
        <x:v/>
      </x:c>
      <x:c r="I42" s="1261" t="str">
        <x:f t="shared" si="107"/>
        <x:v/>
      </x:c>
      <x:c r="J42" s="1262" t="str">
        <x:f t="shared" si="108"/>
        <x:v/>
      </x:c>
      <x:c r="K42" s="1370" t="str">
        <x:f t="shared" si="109"/>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102"/>
        <x:v/>
      </x:c>
      <x:c r="U42" s="1262" t="str">
        <x:f t="shared" si="103"/>
        <x:v/>
      </x:c>
      <x:c r="V42" s="1261" t="str">
        <x:f t="shared" si="104"/>
        <x:v/>
      </x:c>
      <x:c r="W42" s="1262" t="str">
        <x:f t="shared" si="105"/>
        <x:v/>
      </x:c>
      <x:c r="X42" s="1329">
        <x:f t="shared" si="106"/>
        <x:v>0</x:v>
      </x:c>
      <x:c r="Y42" s="1377" t="str">
        <x:f t="shared" si="7"/>
        <x:v/>
      </x:c>
      <x:c r="Z42" s="1378" t="str">
        <x:f t="shared" si="8"/>
        <x:v/>
      </x:c>
      <x:c r="AA42" s="2159"/>
      <x:c r="AC42" s="1226" t="b">
        <x:v>0</x:v>
      </x:c>
      <x:c r="AD42" s="525">
        <x:f t="shared" si="9"/>
        <x:v>0</x:v>
      </x:c>
      <x:c r="AE42" s="526">
        <x:f t="shared" si="10"/>
        <x:v>0</x:v>
      </x:c>
      <x:c r="AF42" s="526">
        <x:f t="shared" si="11"/>
        <x:v>0</x:v>
      </x:c>
      <x:c r="AG42" s="526">
        <x:f t="shared" si="12"/>
        <x:v>0</x:v>
      </x:c>
      <x:c r="AH42" s="527">
        <x:f t="shared" si="13"/>
        <x:v>0</x:v>
      </x:c>
      <x:c r="AI42" s="528" t="b">
        <x:v>0</x:v>
      </x:c>
      <x:c r="AJ42" s="284">
        <x:f t="shared" si="14"/>
        <x:v>0</x:v>
      </x:c>
      <x:c r="AK42" s="1063" t="str">
        <x:f t="shared" si="15"/>
        <x:v/>
      </x:c>
      <x:c r="AL42" s="1202" t="str">
        <x:f t="shared" si="16"/>
        <x:v/>
      </x:c>
      <x:c r="AM42" s="1063" t="str">
        <x:f t="shared" si="17"/>
        <x:v/>
      </x:c>
      <x:c r="AN42" s="1063" t="str">
        <x:f t="shared" si="18"/>
        <x:v/>
      </x:c>
      <x:c r="AO42" s="1063" t="str">
        <x:f t="shared" si="19"/>
        <x:v/>
      </x:c>
      <x:c r="AP42" s="1063" t="b">
        <x:f>IF(ISERROR(AJ42),FALSE,IF(OR(AJ42=0,ISERROR(AL42),ISERROR(AM42),ISERROR(AN42),ISERROR(AO42)),FALSE,IF(AL42&lt;&gt;"",IF(ISERROR(VLOOKUP(SUBSTITUTE(SUBSTITUTE(C42,"R",""),"A",""),TblJoistSize!$A:$A,1,FALSE)),FALSE,TRUE),TRUE)))</x:f>
        <x:v>0</x:v>
      </x:c>
      <x:c r="AQ42" s="1305" t="e">
        <x:f t="shared" si="20"/>
        <x:v>#N/A</x:v>
      </x:c>
      <x:c r="AR42" s="1305" t="b">
        <x:f t="shared" si="21"/>
        <x:v>0</x:v>
      </x:c>
      <x:c r="AS42" s="1305" t="e">
        <x:f t="shared" si="22"/>
        <x:v>#N/A</x:v>
      </x:c>
      <x:c r="AT42" s="1305" t="b">
        <x:f t="shared" si="23"/>
        <x:v>0</x:v>
      </x:c>
      <x:c r="AU42" s="1203" t="str">
        <x:f t="shared" si="24"/>
        <x:v/>
      </x:c>
      <x:c r="AV42" s="1063" t="str">
        <x:f t="shared" si="25"/>
        <x:v/>
      </x:c>
      <x:c r="AW42" s="1063" t="str">
        <x:f t="shared" si="26"/>
        <x:v/>
      </x:c>
      <x:c r="AX42" s="1063" t="str">
        <x:f t="shared" si="99"/>
        <x:v/>
      </x:c>
      <x:c r="AY42" s="1306" t="b">
        <x:f t="shared" si="27"/>
        <x:v>0</x:v>
      </x:c>
      <x:c r="AZ42" s="1090" t="str">
        <x:f t="shared" si="28"/>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29"/>
        <x:v/>
      </x:c>
      <x:c r="CE42" s="935" t="str">
        <x:f t="shared" si="30"/>
        <x:v/>
      </x:c>
      <x:c r="CF42" s="1149"/>
      <x:c r="CG42" s="1150"/>
      <x:c r="CH42" s="738" t="str">
        <x:f t="shared" si="31"/>
        <x:v/>
      </x:c>
      <x:c r="CI42" s="739" t="str">
        <x:f t="shared" si="32"/>
        <x:v/>
      </x:c>
      <x:c r="CJ42" s="740" t="str">
        <x:f t="shared" si="33"/>
        <x:v/>
      </x:c>
      <x:c r="CK42" s="741" t="str">
        <x:f t="shared" si="34"/>
        <x:v/>
      </x:c>
      <x:c r="CL42" s="742" t="str">
        <x:f t="shared" si="35"/>
        <x:v/>
      </x:c>
      <x:c r="CM42" s="743" t="str">
        <x:f t="shared" si="36"/>
        <x:v/>
      </x:c>
      <x:c r="CN42" s="744" t="str">
        <x:f t="shared" si="37"/>
        <x:v/>
      </x:c>
      <x:c r="CO42" s="745" t="str">
        <x:f t="shared" si="38"/>
        <x:v/>
      </x:c>
      <x:c r="CP42" s="762" t="str">
        <x:f t="shared" si="39"/>
        <x:v/>
      </x:c>
      <x:c r="CQ42" s="763" t="str">
        <x:f t="shared" si="40"/>
        <x:v/>
      </x:c>
      <x:c r="CR42" s="953" t="str">
        <x:f t="shared" si="41"/>
        <x:v/>
      </x:c>
      <x:c r="CS42" s="954" t="str">
        <x:f t="shared" si="42"/>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3"/>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4"/>
        <x:v>0</x:v>
      </x:c>
      <x:c r="DO42" s="1049">
        <x:f t="shared" si="45"/>
        <x:v>0</x:v>
      </x:c>
      <x:c r="DP42" s="1053" t="str">
        <x:f t="shared" si="46"/>
        <x:v/>
      </x:c>
      <x:c r="DQ42" s="1053" t="str">
        <x:f t="shared" si="47"/>
        <x:v/>
      </x:c>
      <x:c r="DR42" s="1053" t="str">
        <x:f t="shared" si="48"/>
        <x:v/>
      </x:c>
      <x:c r="DS42" s="1052">
        <x:f t="shared" si="49"/>
        <x:v>0</x:v>
      </x:c>
      <x:c r="DT42" s="1052">
        <x:f t="shared" si="50"/>
        <x:v>0</x:v>
      </x:c>
      <x:c r="DU42" s="1052" t="str">
        <x:f t="shared" si="51"/>
        <x:v/>
      </x:c>
      <x:c r="DV42" s="1053" t="str">
        <x:f t="shared" si="52"/>
        <x:v/>
      </x:c>
      <x:c r="DW42" s="1053" t="str">
        <x:f t="shared" si="53"/>
        <x:v/>
      </x:c>
      <x:c r="DX42" s="1269">
        <x:f t="shared" si="54"/>
        <x:v>0</x:v>
      </x:c>
      <x:c r="DY42" s="1053">
        <x:f t="shared" si="55"/>
        <x:v>0</x:v>
      </x:c>
      <x:c r="DZ42" s="1052">
        <x:f t="shared" si="56"/>
        <x:v>0</x:v>
      </x:c>
      <x:c r="EA42" s="1052" t="str">
        <x:f t="shared" si="57"/>
        <x:v/>
      </x:c>
      <x:c r="EB42" s="1053" t="str">
        <x:f t="shared" si="58"/>
        <x:v/>
      </x:c>
      <x:c r="EC42" s="1053" t="str">
        <x:f t="shared" si="59"/>
        <x:v/>
      </x:c>
      <x:c r="ED42" s="1269">
        <x:f t="shared" si="60"/>
        <x:v>0</x:v>
      </x:c>
      <x:c r="EE42" s="1090" t="str">
        <x:f t="shared" si="61"/>
        <x:v/>
      </x:c>
      <x:c r="EF42" s="1053" t="str">
        <x:f t="shared" si="62"/>
        <x:v/>
      </x:c>
      <x:c r="EG42" s="1053" t="str">
        <x:f t="shared" si="63"/>
        <x:v/>
      </x:c>
      <x:c r="EH42" s="1053" t="e">
        <x:f t="shared" si="64"/>
        <x:v>#N/A</x:v>
      </x:c>
      <x:c r="EI42" s="1053" t="e">
        <x:f t="shared" si="65"/>
        <x:v>#N/A</x:v>
      </x:c>
      <x:c r="EJ42" s="1053" t="str">
        <x:f t="shared" si="66"/>
        <x:v/>
      </x:c>
      <x:c r="EK42" s="1053" t="str">
        <x:f t="shared" si="66"/>
        <x:v/>
      </x:c>
      <x:c r="EL42" s="1090" t="str">
        <x:f t="shared" si="67"/>
        <x:v/>
      </x:c>
      <x:c r="EM42" s="1053" t="str">
        <x:f t="shared" si="68"/>
        <x:v/>
      </x:c>
      <x:c r="EN42" s="1053" t="str">
        <x:f t="shared" si="69"/>
        <x:v/>
      </x:c>
      <x:c r="EO42" s="1053" t="e">
        <x:f t="shared" si="70"/>
        <x:v>#N/A</x:v>
      </x:c>
      <x:c r="EP42" s="1053" t="e">
        <x:f t="shared" si="71"/>
        <x:v>#N/A</x:v>
      </x:c>
      <x:c r="EQ42" s="1053" t="str">
        <x:f t="shared" si="72"/>
        <x:v/>
      </x:c>
      <x:c r="ER42" s="1053" t="str">
        <x:f t="shared" si="72"/>
        <x:v/>
      </x:c>
      <x:c r="ES42" s="1053" t="str">
        <x:f t="shared" si="73"/>
        <x:v/>
      </x:c>
      <x:c r="ET42" s="1053" t="str">
        <x:f t="shared" si="74"/>
        <x:v/>
      </x:c>
      <x:c r="EU42" s="1061" t="str">
        <x:f t="shared" si="75"/>
        <x:v/>
      </x:c>
      <x:c r="EV42" s="1055" t="str">
        <x:f t="shared" si="76"/>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77"/>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78"/>
        <x:v/>
      </x:c>
      <x:c r="FD42" s="1052">
        <x:f t="shared" si="100"/>
        <x:v>0</x:v>
      </x:c>
      <x:c r="FE42" s="1052">
        <x:f t="shared" si="79"/>
        <x:v>0</x:v>
      </x:c>
      <x:c r="FF42" s="1052">
        <x:f t="shared" si="80"/>
        <x:v>0</x:v>
      </x:c>
      <x:c r="FG42" s="1052" t="str">
        <x:f t="shared" si="81"/>
        <x:v/>
      </x:c>
      <x:c r="FH42" s="1053" t="str">
        <x:f t="shared" si="82"/>
        <x:v/>
      </x:c>
      <x:c r="FI42" s="1052">
        <x:f t="shared" si="101"/>
        <x:v>0</x:v>
      </x:c>
      <x:c r="FJ42" s="1052">
        <x:f t="shared" si="83"/>
        <x:v>0</x:v>
      </x:c>
      <x:c r="FK42" s="1052">
        <x:f t="shared" si="84"/>
        <x:v>0</x:v>
      </x:c>
      <x:c r="FL42" s="1052" t="str">
        <x:f t="shared" si="85"/>
        <x:v/>
      </x:c>
      <x:c r="FM42" s="1053" t="str">
        <x:f t="shared" si="86"/>
        <x:v/>
      </x:c>
      <x:c r="FN42" s="1053" t="e">
        <x:f t="shared" si="87"/>
        <x:v>#VALUE!</x:v>
      </x:c>
      <x:c r="FO42" s="1062" t="e">
        <x:f t="shared" si="88"/>
        <x:v>#VALUE!</x:v>
      </x:c>
      <x:c r="FP42" s="1062" t="e">
        <x:f t="shared" si="89"/>
        <x:v>#VALUE!</x:v>
      </x:c>
      <x:c r="FQ42" s="1063" t="e">
        <x:f t="shared" si="90"/>
        <x:v>#VALUE!</x:v>
      </x:c>
      <x:c r="FR42" s="1064" t="e">
        <x:f t="shared" si="91"/>
        <x:v>#VALUE!</x:v>
      </x:c>
      <x:c r="FS42" s="1065" t="str">
        <x:f t="shared" si="92"/>
        <x:v/>
      </x:c>
      <x:c r="FT42" s="1066" t="str">
        <x:f t="shared" si="93"/>
        <x:v/>
      </x:c>
      <x:c r="FU42" s="1105">
        <x:f t="shared" si="94"/>
        <x:v>0</x:v>
      </x:c>
      <x:c r="FV42" s="1106">
        <x:f t="shared" si="95"/>
        <x:v>0</x:v>
      </x:c>
      <x:c r="GA42" s="1975" t="str">
        <x:f t="shared" si="118"/>
        <x:v/>
      </x:c>
      <x:c r="GB42" s="1976" t="str">
        <x:f t="shared" si="119"/>
        <x:v/>
      </x:c>
      <x:c r="GC42" s="1977" t="str">
        <x:f t="shared" si="120"/>
        <x:v/>
      </x:c>
      <x:c r="GD42" s="1978" t="str">
        <x:f t="shared" si="121"/>
        <x:v/>
      </x:c>
      <x:c r="GE42" s="1979" t="str">
        <x:f t="shared" si="122"/>
        <x:v/>
      </x:c>
      <x:c r="GF42" s="1980" t="str">
        <x:f t="shared" si="96"/>
        <x:v/>
      </x:c>
      <x:c r="GG42" s="1453"/>
      <x:c r="GH42" s="1454"/>
      <x:c r="GI42" s="1453"/>
      <x:c r="GJ42" s="1454"/>
      <x:c r="GK42" s="533">
        <x:f t="shared" si="97"/>
        <x:v>0</x:v>
      </x:c>
      <x:c r="GL42" s="534" t="e">
        <x:f t="shared" si="98"/>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3"/>
        <x:v/>
      </x:c>
      <x:c r="B43" s="1265"/>
      <x:c r="C43" s="1265" t="str">
        <x:f t="shared" si="114"/>
        <x:v/>
      </x:c>
      <x:c r="D43" s="1261" t="str">
        <x:f t="shared" si="115"/>
        <x:v/>
      </x:c>
      <x:c r="E43" s="1366" t="str">
        <x:f t="shared" si="116"/>
        <x:v/>
      </x:c>
      <x:c r="F43" s="1328" t="str">
        <x:f t="shared" si="110"/>
        <x:v/>
      </x:c>
      <x:c r="G43" s="1262" t="str">
        <x:f t="shared" si="111"/>
        <x:v/>
      </x:c>
      <x:c r="H43" s="1266" t="str">
        <x:f t="shared" si="112"/>
        <x:v/>
      </x:c>
      <x:c r="I43" s="1261" t="str">
        <x:f t="shared" si="107"/>
        <x:v/>
      </x:c>
      <x:c r="J43" s="1262" t="str">
        <x:f t="shared" si="108"/>
        <x:v/>
      </x:c>
      <x:c r="K43" s="1370" t="str">
        <x:f t="shared" si="109"/>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102"/>
        <x:v/>
      </x:c>
      <x:c r="U43" s="1262" t="str">
        <x:f t="shared" si="103"/>
        <x:v/>
      </x:c>
      <x:c r="V43" s="1261" t="str">
        <x:f t="shared" si="104"/>
        <x:v/>
      </x:c>
      <x:c r="W43" s="1262" t="str">
        <x:f t="shared" si="105"/>
        <x:v/>
      </x:c>
      <x:c r="X43" s="1329">
        <x:f t="shared" si="106"/>
        <x:v>0</x:v>
      </x:c>
      <x:c r="Y43" s="1377" t="str">
        <x:f t="shared" si="7"/>
        <x:v/>
      </x:c>
      <x:c r="Z43" s="1378" t="str">
        <x:f t="shared" si="8"/>
        <x:v/>
      </x:c>
      <x:c r="AA43" s="2159"/>
      <x:c r="AC43" s="1226" t="b">
        <x:v>0</x:v>
      </x:c>
      <x:c r="AD43" s="525">
        <x:f t="shared" si="9"/>
        <x:v>0</x:v>
      </x:c>
      <x:c r="AE43" s="526">
        <x:f t="shared" si="10"/>
        <x:v>0</x:v>
      </x:c>
      <x:c r="AF43" s="526">
        <x:f t="shared" si="11"/>
        <x:v>0</x:v>
      </x:c>
      <x:c r="AG43" s="526">
        <x:f t="shared" si="12"/>
        <x:v>0</x:v>
      </x:c>
      <x:c r="AH43" s="527">
        <x:f t="shared" si="13"/>
        <x:v>0</x:v>
      </x:c>
      <x:c r="AI43" s="528" t="b">
        <x:v>0</x:v>
      </x:c>
      <x:c r="AJ43" s="284">
        <x:f t="shared" si="14"/>
        <x:v>0</x:v>
      </x:c>
      <x:c r="AK43" s="1063" t="str">
        <x:f t="shared" si="15"/>
        <x:v/>
      </x:c>
      <x:c r="AL43" s="1202" t="str">
        <x:f t="shared" si="16"/>
        <x:v/>
      </x:c>
      <x:c r="AM43" s="1063" t="str">
        <x:f t="shared" si="17"/>
        <x:v/>
      </x:c>
      <x:c r="AN43" s="1063" t="str">
        <x:f t="shared" si="18"/>
        <x:v/>
      </x:c>
      <x:c r="AO43" s="1063" t="str">
        <x:f t="shared" si="19"/>
        <x:v/>
      </x:c>
      <x:c r="AP43" s="1063" t="b">
        <x:f>IF(ISERROR(AJ43),FALSE,IF(OR(AJ43=0,ISERROR(AL43),ISERROR(AM43),ISERROR(AN43),ISERROR(AO43)),FALSE,IF(AL43&lt;&gt;"",IF(ISERROR(VLOOKUP(SUBSTITUTE(SUBSTITUTE(C43,"R",""),"A",""),TblJoistSize!$A:$A,1,FALSE)),FALSE,TRUE),TRUE)))</x:f>
        <x:v>0</x:v>
      </x:c>
      <x:c r="AQ43" s="1305" t="e">
        <x:f t="shared" si="20"/>
        <x:v>#N/A</x:v>
      </x:c>
      <x:c r="AR43" s="1305" t="b">
        <x:f t="shared" si="21"/>
        <x:v>0</x:v>
      </x:c>
      <x:c r="AS43" s="1305" t="e">
        <x:f t="shared" si="22"/>
        <x:v>#N/A</x:v>
      </x:c>
      <x:c r="AT43" s="1305" t="b">
        <x:f t="shared" si="23"/>
        <x:v>0</x:v>
      </x:c>
      <x:c r="AU43" s="1203" t="str">
        <x:f t="shared" si="24"/>
        <x:v/>
      </x:c>
      <x:c r="AV43" s="1063" t="str">
        <x:f t="shared" si="25"/>
        <x:v/>
      </x:c>
      <x:c r="AW43" s="1063" t="str">
        <x:f t="shared" si="26"/>
        <x:v/>
      </x:c>
      <x:c r="AX43" s="1063" t="str">
        <x:f t="shared" si="99"/>
        <x:v/>
      </x:c>
      <x:c r="AY43" s="1306" t="b">
        <x:f t="shared" si="27"/>
        <x:v>0</x:v>
      </x:c>
      <x:c r="AZ43" s="1090" t="str">
        <x:f t="shared" si="28"/>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29"/>
        <x:v/>
      </x:c>
      <x:c r="CE43" s="935" t="str">
        <x:f t="shared" si="30"/>
        <x:v/>
      </x:c>
      <x:c r="CF43" s="1149"/>
      <x:c r="CG43" s="1150"/>
      <x:c r="CH43" s="738" t="str">
        <x:f t="shared" si="31"/>
        <x:v/>
      </x:c>
      <x:c r="CI43" s="739" t="str">
        <x:f t="shared" si="32"/>
        <x:v/>
      </x:c>
      <x:c r="CJ43" s="740" t="str">
        <x:f t="shared" si="33"/>
        <x:v/>
      </x:c>
      <x:c r="CK43" s="741" t="str">
        <x:f t="shared" si="34"/>
        <x:v/>
      </x:c>
      <x:c r="CL43" s="742" t="str">
        <x:f t="shared" si="35"/>
        <x:v/>
      </x:c>
      <x:c r="CM43" s="743" t="str">
        <x:f t="shared" si="36"/>
        <x:v/>
      </x:c>
      <x:c r="CN43" s="744" t="str">
        <x:f t="shared" si="37"/>
        <x:v/>
      </x:c>
      <x:c r="CO43" s="745" t="str">
        <x:f t="shared" si="38"/>
        <x:v/>
      </x:c>
      <x:c r="CP43" s="762" t="str">
        <x:f t="shared" si="39"/>
        <x:v/>
      </x:c>
      <x:c r="CQ43" s="763" t="str">
        <x:f t="shared" si="40"/>
        <x:v/>
      </x:c>
      <x:c r="CR43" s="953" t="str">
        <x:f t="shared" si="41"/>
        <x:v/>
      </x:c>
      <x:c r="CS43" s="954" t="str">
        <x:f t="shared" si="42"/>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3"/>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4"/>
        <x:v>0</x:v>
      </x:c>
      <x:c r="DO43" s="1049">
        <x:f t="shared" si="45"/>
        <x:v>0</x:v>
      </x:c>
      <x:c r="DP43" s="1053" t="str">
        <x:f t="shared" si="46"/>
        <x:v/>
      </x:c>
      <x:c r="DQ43" s="1053" t="str">
        <x:f t="shared" si="47"/>
        <x:v/>
      </x:c>
      <x:c r="DR43" s="1053" t="str">
        <x:f t="shared" si="48"/>
        <x:v/>
      </x:c>
      <x:c r="DS43" s="1052">
        <x:f t="shared" si="49"/>
        <x:v>0</x:v>
      </x:c>
      <x:c r="DT43" s="1052">
        <x:f t="shared" si="50"/>
        <x:v>0</x:v>
      </x:c>
      <x:c r="DU43" s="1052" t="str">
        <x:f t="shared" si="51"/>
        <x:v/>
      </x:c>
      <x:c r="DV43" s="1053" t="str">
        <x:f t="shared" si="52"/>
        <x:v/>
      </x:c>
      <x:c r="DW43" s="1053" t="str">
        <x:f t="shared" si="53"/>
        <x:v/>
      </x:c>
      <x:c r="DX43" s="1269">
        <x:f t="shared" si="54"/>
        <x:v>0</x:v>
      </x:c>
      <x:c r="DY43" s="1053">
        <x:f t="shared" si="55"/>
        <x:v>0</x:v>
      </x:c>
      <x:c r="DZ43" s="1052">
        <x:f t="shared" si="56"/>
        <x:v>0</x:v>
      </x:c>
      <x:c r="EA43" s="1052" t="str">
        <x:f t="shared" si="57"/>
        <x:v/>
      </x:c>
      <x:c r="EB43" s="1053" t="str">
        <x:f t="shared" si="58"/>
        <x:v/>
      </x:c>
      <x:c r="EC43" s="1053" t="str">
        <x:f t="shared" si="59"/>
        <x:v/>
      </x:c>
      <x:c r="ED43" s="1269">
        <x:f t="shared" si="60"/>
        <x:v>0</x:v>
      </x:c>
      <x:c r="EE43" s="1090" t="str">
        <x:f t="shared" si="61"/>
        <x:v/>
      </x:c>
      <x:c r="EF43" s="1053" t="str">
        <x:f t="shared" si="62"/>
        <x:v/>
      </x:c>
      <x:c r="EG43" s="1053" t="str">
        <x:f t="shared" si="63"/>
        <x:v/>
      </x:c>
      <x:c r="EH43" s="1053" t="e">
        <x:f t="shared" si="64"/>
        <x:v>#N/A</x:v>
      </x:c>
      <x:c r="EI43" s="1053" t="e">
        <x:f t="shared" si="65"/>
        <x:v>#N/A</x:v>
      </x:c>
      <x:c r="EJ43" s="1053" t="str">
        <x:f t="shared" si="66"/>
        <x:v/>
      </x:c>
      <x:c r="EK43" s="1053" t="str">
        <x:f t="shared" si="66"/>
        <x:v/>
      </x:c>
      <x:c r="EL43" s="1090" t="str">
        <x:f t="shared" si="67"/>
        <x:v/>
      </x:c>
      <x:c r="EM43" s="1053" t="str">
        <x:f t="shared" si="68"/>
        <x:v/>
      </x:c>
      <x:c r="EN43" s="1053" t="str">
        <x:f t="shared" si="69"/>
        <x:v/>
      </x:c>
      <x:c r="EO43" s="1053" t="e">
        <x:f t="shared" si="70"/>
        <x:v>#N/A</x:v>
      </x:c>
      <x:c r="EP43" s="1053" t="e">
        <x:f t="shared" si="71"/>
        <x:v>#N/A</x:v>
      </x:c>
      <x:c r="EQ43" s="1053" t="str">
        <x:f t="shared" si="72"/>
        <x:v/>
      </x:c>
      <x:c r="ER43" s="1053" t="str">
        <x:f t="shared" si="72"/>
        <x:v/>
      </x:c>
      <x:c r="ES43" s="1053" t="str">
        <x:f t="shared" si="73"/>
        <x:v/>
      </x:c>
      <x:c r="ET43" s="1053" t="str">
        <x:f t="shared" si="74"/>
        <x:v/>
      </x:c>
      <x:c r="EU43" s="1061" t="str">
        <x:f t="shared" si="75"/>
        <x:v/>
      </x:c>
      <x:c r="EV43" s="1055" t="str">
        <x:f t="shared" si="76"/>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77"/>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78"/>
        <x:v/>
      </x:c>
      <x:c r="FD43" s="1052">
        <x:f t="shared" si="100"/>
        <x:v>0</x:v>
      </x:c>
      <x:c r="FE43" s="1052">
        <x:f t="shared" si="79"/>
        <x:v>0</x:v>
      </x:c>
      <x:c r="FF43" s="1052">
        <x:f t="shared" si="80"/>
        <x:v>0</x:v>
      </x:c>
      <x:c r="FG43" s="1052" t="str">
        <x:f t="shared" si="81"/>
        <x:v/>
      </x:c>
      <x:c r="FH43" s="1053" t="str">
        <x:f t="shared" si="82"/>
        <x:v/>
      </x:c>
      <x:c r="FI43" s="1052">
        <x:f t="shared" si="101"/>
        <x:v>0</x:v>
      </x:c>
      <x:c r="FJ43" s="1052">
        <x:f t="shared" si="83"/>
        <x:v>0</x:v>
      </x:c>
      <x:c r="FK43" s="1052">
        <x:f t="shared" si="84"/>
        <x:v>0</x:v>
      </x:c>
      <x:c r="FL43" s="1052" t="str">
        <x:f t="shared" si="85"/>
        <x:v/>
      </x:c>
      <x:c r="FM43" s="1053" t="str">
        <x:f t="shared" si="86"/>
        <x:v/>
      </x:c>
      <x:c r="FN43" s="1053" t="e">
        <x:f t="shared" si="87"/>
        <x:v>#VALUE!</x:v>
      </x:c>
      <x:c r="FO43" s="1062" t="e">
        <x:f t="shared" si="88"/>
        <x:v>#VALUE!</x:v>
      </x:c>
      <x:c r="FP43" s="1062" t="e">
        <x:f t="shared" si="89"/>
        <x:v>#VALUE!</x:v>
      </x:c>
      <x:c r="FQ43" s="1063" t="e">
        <x:f t="shared" si="90"/>
        <x:v>#VALUE!</x:v>
      </x:c>
      <x:c r="FR43" s="1064" t="e">
        <x:f t="shared" si="91"/>
        <x:v>#VALUE!</x:v>
      </x:c>
      <x:c r="FS43" s="1065" t="str">
        <x:f t="shared" si="92"/>
        <x:v/>
      </x:c>
      <x:c r="FT43" s="1066" t="str">
        <x:f t="shared" si="93"/>
        <x:v/>
      </x:c>
      <x:c r="FU43" s="1105">
        <x:f t="shared" si="94"/>
        <x:v>0</x:v>
      </x:c>
      <x:c r="FV43" s="1106">
        <x:f t="shared" si="95"/>
        <x:v>0</x:v>
      </x:c>
      <x:c r="GA43" s="1975" t="str">
        <x:f t="shared" si="118"/>
        <x:v/>
      </x:c>
      <x:c r="GB43" s="1976" t="str">
        <x:f t="shared" si="119"/>
        <x:v/>
      </x:c>
      <x:c r="GC43" s="1977" t="str">
        <x:f t="shared" si="120"/>
        <x:v/>
      </x:c>
      <x:c r="GD43" s="1978" t="str">
        <x:f t="shared" si="121"/>
        <x:v/>
      </x:c>
      <x:c r="GE43" s="1979" t="str">
        <x:f t="shared" si="122"/>
        <x:v/>
      </x:c>
      <x:c r="GF43" s="1980" t="str">
        <x:f t="shared" si="96"/>
        <x:v/>
      </x:c>
      <x:c r="GG43" s="1453"/>
      <x:c r="GH43" s="1454"/>
      <x:c r="GI43" s="1453"/>
      <x:c r="GJ43" s="1454"/>
      <x:c r="GK43" s="533">
        <x:f t="shared" si="97"/>
        <x:v>0</x:v>
      </x:c>
      <x:c r="GL43" s="534" t="e">
        <x:f t="shared" si="98"/>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3"/>
        <x:v/>
      </x:c>
      <x:c r="B44" s="1265"/>
      <x:c r="C44" s="1265" t="str">
        <x:f t="shared" si="114"/>
        <x:v/>
      </x:c>
      <x:c r="D44" s="1261" t="str">
        <x:f t="shared" si="115"/>
        <x:v/>
      </x:c>
      <x:c r="E44" s="1366" t="str">
        <x:f t="shared" si="116"/>
        <x:v/>
      </x:c>
      <x:c r="F44" s="1328" t="str">
        <x:f t="shared" si="110"/>
        <x:v/>
      </x:c>
      <x:c r="G44" s="1262" t="str">
        <x:f t="shared" si="111"/>
        <x:v/>
      </x:c>
      <x:c r="H44" s="1266" t="str">
        <x:f t="shared" si="112"/>
        <x:v/>
      </x:c>
      <x:c r="I44" s="1261" t="str">
        <x:f t="shared" si="107"/>
        <x:v/>
      </x:c>
      <x:c r="J44" s="1262" t="str">
        <x:f t="shared" si="108"/>
        <x:v/>
      </x:c>
      <x:c r="K44" s="1370" t="str">
        <x:f t="shared" si="109"/>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102"/>
        <x:v/>
      </x:c>
      <x:c r="U44" s="1262" t="str">
        <x:f t="shared" si="103"/>
        <x:v/>
      </x:c>
      <x:c r="V44" s="1261" t="str">
        <x:f t="shared" si="104"/>
        <x:v/>
      </x:c>
      <x:c r="W44" s="1262" t="str">
        <x:f t="shared" si="105"/>
        <x:v/>
      </x:c>
      <x:c r="X44" s="1329">
        <x:f t="shared" si="106"/>
        <x:v>0</x:v>
      </x:c>
      <x:c r="Y44" s="1377" t="str">
        <x:f t="shared" si="7"/>
        <x:v/>
      </x:c>
      <x:c r="Z44" s="1378" t="str">
        <x:f t="shared" si="8"/>
        <x:v/>
      </x:c>
      <x:c r="AA44" s="2159"/>
      <x:c r="AC44" s="1226" t="b">
        <x:v>0</x:v>
      </x:c>
      <x:c r="AD44" s="525">
        <x:f t="shared" si="9"/>
        <x:v>0</x:v>
      </x:c>
      <x:c r="AE44" s="526">
        <x:f t="shared" si="10"/>
        <x:v>0</x:v>
      </x:c>
      <x:c r="AF44" s="526">
        <x:f t="shared" si="11"/>
        <x:v>0</x:v>
      </x:c>
      <x:c r="AG44" s="526">
        <x:f t="shared" si="12"/>
        <x:v>0</x:v>
      </x:c>
      <x:c r="AH44" s="527">
        <x:f t="shared" si="13"/>
        <x:v>0</x:v>
      </x:c>
      <x:c r="AI44" s="528" t="b">
        <x:v>0</x:v>
      </x:c>
      <x:c r="AJ44" s="284">
        <x:f t="shared" si="14"/>
        <x:v>0</x:v>
      </x:c>
      <x:c r="AK44" s="1063" t="str">
        <x:f t="shared" si="15"/>
        <x:v/>
      </x:c>
      <x:c r="AL44" s="1202" t="str">
        <x:f t="shared" si="16"/>
        <x:v/>
      </x:c>
      <x:c r="AM44" s="1063" t="str">
        <x:f t="shared" si="17"/>
        <x:v/>
      </x:c>
      <x:c r="AN44" s="1063" t="str">
        <x:f t="shared" si="18"/>
        <x:v/>
      </x:c>
      <x:c r="AO44" s="1063" t="str">
        <x:f t="shared" si="19"/>
        <x:v/>
      </x:c>
      <x:c r="AP44" s="1063" t="b">
        <x:f>IF(ISERROR(AJ44),FALSE,IF(OR(AJ44=0,ISERROR(AL44),ISERROR(AM44),ISERROR(AN44),ISERROR(AO44)),FALSE,IF(AL44&lt;&gt;"",IF(ISERROR(VLOOKUP(SUBSTITUTE(SUBSTITUTE(C44,"R",""),"A",""),TblJoistSize!$A:$A,1,FALSE)),FALSE,TRUE),TRUE)))</x:f>
        <x:v>0</x:v>
      </x:c>
      <x:c r="AQ44" s="1305" t="e">
        <x:f t="shared" si="20"/>
        <x:v>#N/A</x:v>
      </x:c>
      <x:c r="AR44" s="1305" t="b">
        <x:f t="shared" si="21"/>
        <x:v>0</x:v>
      </x:c>
      <x:c r="AS44" s="1305" t="e">
        <x:f t="shared" si="22"/>
        <x:v>#N/A</x:v>
      </x:c>
      <x:c r="AT44" s="1305" t="b">
        <x:f t="shared" si="23"/>
        <x:v>0</x:v>
      </x:c>
      <x:c r="AU44" s="1203" t="str">
        <x:f t="shared" si="24"/>
        <x:v/>
      </x:c>
      <x:c r="AV44" s="1063" t="str">
        <x:f t="shared" si="25"/>
        <x:v/>
      </x:c>
      <x:c r="AW44" s="1063" t="str">
        <x:f t="shared" si="26"/>
        <x:v/>
      </x:c>
      <x:c r="AX44" s="1063" t="str">
        <x:f t="shared" si="99"/>
        <x:v/>
      </x:c>
      <x:c r="AY44" s="1306" t="b">
        <x:f t="shared" si="27"/>
        <x:v>0</x:v>
      </x:c>
      <x:c r="AZ44" s="1090" t="str">
        <x:f t="shared" si="28"/>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29"/>
        <x:v/>
      </x:c>
      <x:c r="CE44" s="935" t="str">
        <x:f t="shared" si="30"/>
        <x:v/>
      </x:c>
      <x:c r="CF44" s="1149"/>
      <x:c r="CG44" s="1150"/>
      <x:c r="CH44" s="738" t="str">
        <x:f t="shared" si="31"/>
        <x:v/>
      </x:c>
      <x:c r="CI44" s="739" t="str">
        <x:f t="shared" si="32"/>
        <x:v/>
      </x:c>
      <x:c r="CJ44" s="740" t="str">
        <x:f t="shared" si="33"/>
        <x:v/>
      </x:c>
      <x:c r="CK44" s="741" t="str">
        <x:f t="shared" si="34"/>
        <x:v/>
      </x:c>
      <x:c r="CL44" s="742" t="str">
        <x:f t="shared" si="35"/>
        <x:v/>
      </x:c>
      <x:c r="CM44" s="743" t="str">
        <x:f t="shared" si="36"/>
        <x:v/>
      </x:c>
      <x:c r="CN44" s="744" t="str">
        <x:f t="shared" si="37"/>
        <x:v/>
      </x:c>
      <x:c r="CO44" s="745" t="str">
        <x:f t="shared" si="38"/>
        <x:v/>
      </x:c>
      <x:c r="CP44" s="762" t="str">
        <x:f t="shared" si="39"/>
        <x:v/>
      </x:c>
      <x:c r="CQ44" s="763" t="str">
        <x:f t="shared" si="40"/>
        <x:v/>
      </x:c>
      <x:c r="CR44" s="953" t="str">
        <x:f t="shared" si="41"/>
        <x:v/>
      </x:c>
      <x:c r="CS44" s="954" t="str">
        <x:f t="shared" si="42"/>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3"/>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4"/>
        <x:v>0</x:v>
      </x:c>
      <x:c r="DO44" s="1049">
        <x:f t="shared" si="45"/>
        <x:v>0</x:v>
      </x:c>
      <x:c r="DP44" s="1053" t="str">
        <x:f t="shared" si="46"/>
        <x:v/>
      </x:c>
      <x:c r="DQ44" s="1053" t="str">
        <x:f t="shared" si="47"/>
        <x:v/>
      </x:c>
      <x:c r="DR44" s="1053" t="str">
        <x:f t="shared" si="48"/>
        <x:v/>
      </x:c>
      <x:c r="DS44" s="1052">
        <x:f t="shared" si="49"/>
        <x:v>0</x:v>
      </x:c>
      <x:c r="DT44" s="1052">
        <x:f t="shared" si="50"/>
        <x:v>0</x:v>
      </x:c>
      <x:c r="DU44" s="1052" t="str">
        <x:f t="shared" si="51"/>
        <x:v/>
      </x:c>
      <x:c r="DV44" s="1053" t="str">
        <x:f t="shared" si="52"/>
        <x:v/>
      </x:c>
      <x:c r="DW44" s="1053" t="str">
        <x:f t="shared" si="53"/>
        <x:v/>
      </x:c>
      <x:c r="DX44" s="1269">
        <x:f t="shared" si="54"/>
        <x:v>0</x:v>
      </x:c>
      <x:c r="DY44" s="1053">
        <x:f t="shared" si="55"/>
        <x:v>0</x:v>
      </x:c>
      <x:c r="DZ44" s="1052">
        <x:f t="shared" si="56"/>
        <x:v>0</x:v>
      </x:c>
      <x:c r="EA44" s="1052" t="str">
        <x:f t="shared" si="57"/>
        <x:v/>
      </x:c>
      <x:c r="EB44" s="1053" t="str">
        <x:f t="shared" si="58"/>
        <x:v/>
      </x:c>
      <x:c r="EC44" s="1053" t="str">
        <x:f t="shared" si="59"/>
        <x:v/>
      </x:c>
      <x:c r="ED44" s="1269">
        <x:f t="shared" si="60"/>
        <x:v>0</x:v>
      </x:c>
      <x:c r="EE44" s="1090" t="str">
        <x:f t="shared" si="61"/>
        <x:v/>
      </x:c>
      <x:c r="EF44" s="1053" t="str">
        <x:f t="shared" si="62"/>
        <x:v/>
      </x:c>
      <x:c r="EG44" s="1053" t="str">
        <x:f t="shared" si="63"/>
        <x:v/>
      </x:c>
      <x:c r="EH44" s="1053" t="e">
        <x:f t="shared" si="64"/>
        <x:v>#N/A</x:v>
      </x:c>
      <x:c r="EI44" s="1053" t="e">
        <x:f t="shared" si="65"/>
        <x:v>#N/A</x:v>
      </x:c>
      <x:c r="EJ44" s="1053" t="str">
        <x:f t="shared" si="66"/>
        <x:v/>
      </x:c>
      <x:c r="EK44" s="1053" t="str">
        <x:f t="shared" si="66"/>
        <x:v/>
      </x:c>
      <x:c r="EL44" s="1090" t="str">
        <x:f t="shared" si="67"/>
        <x:v/>
      </x:c>
      <x:c r="EM44" s="1053" t="str">
        <x:f t="shared" si="68"/>
        <x:v/>
      </x:c>
      <x:c r="EN44" s="1053" t="str">
        <x:f t="shared" si="69"/>
        <x:v/>
      </x:c>
      <x:c r="EO44" s="1053" t="e">
        <x:f t="shared" si="70"/>
        <x:v>#N/A</x:v>
      </x:c>
      <x:c r="EP44" s="1053" t="e">
        <x:f t="shared" si="71"/>
        <x:v>#N/A</x:v>
      </x:c>
      <x:c r="EQ44" s="1053" t="str">
        <x:f t="shared" si="72"/>
        <x:v/>
      </x:c>
      <x:c r="ER44" s="1053" t="str">
        <x:f t="shared" si="72"/>
        <x:v/>
      </x:c>
      <x:c r="ES44" s="1053" t="str">
        <x:f t="shared" si="73"/>
        <x:v/>
      </x:c>
      <x:c r="ET44" s="1053" t="str">
        <x:f t="shared" si="74"/>
        <x:v/>
      </x:c>
      <x:c r="EU44" s="1061" t="str">
        <x:f t="shared" si="75"/>
        <x:v/>
      </x:c>
      <x:c r="EV44" s="1055" t="str">
        <x:f t="shared" si="76"/>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77"/>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78"/>
        <x:v/>
      </x:c>
      <x:c r="FD44" s="1052">
        <x:f t="shared" si="100"/>
        <x:v>0</x:v>
      </x:c>
      <x:c r="FE44" s="1052">
        <x:f t="shared" si="79"/>
        <x:v>0</x:v>
      </x:c>
      <x:c r="FF44" s="1052">
        <x:f t="shared" si="80"/>
        <x:v>0</x:v>
      </x:c>
      <x:c r="FG44" s="1052" t="str">
        <x:f t="shared" si="81"/>
        <x:v/>
      </x:c>
      <x:c r="FH44" s="1053" t="str">
        <x:f t="shared" si="82"/>
        <x:v/>
      </x:c>
      <x:c r="FI44" s="1052">
        <x:f t="shared" si="101"/>
        <x:v>0</x:v>
      </x:c>
      <x:c r="FJ44" s="1052">
        <x:f t="shared" si="83"/>
        <x:v>0</x:v>
      </x:c>
      <x:c r="FK44" s="1052">
        <x:f t="shared" si="84"/>
        <x:v>0</x:v>
      </x:c>
      <x:c r="FL44" s="1052" t="str">
        <x:f t="shared" si="85"/>
        <x:v/>
      </x:c>
      <x:c r="FM44" s="1053" t="str">
        <x:f t="shared" si="86"/>
        <x:v/>
      </x:c>
      <x:c r="FN44" s="1053" t="e">
        <x:f t="shared" si="87"/>
        <x:v>#VALUE!</x:v>
      </x:c>
      <x:c r="FO44" s="1062" t="e">
        <x:f t="shared" si="88"/>
        <x:v>#VALUE!</x:v>
      </x:c>
      <x:c r="FP44" s="1062" t="e">
        <x:f t="shared" si="89"/>
        <x:v>#VALUE!</x:v>
      </x:c>
      <x:c r="FQ44" s="1063" t="e">
        <x:f t="shared" si="90"/>
        <x:v>#VALUE!</x:v>
      </x:c>
      <x:c r="FR44" s="1064" t="e">
        <x:f t="shared" si="91"/>
        <x:v>#VALUE!</x:v>
      </x:c>
      <x:c r="FS44" s="1065" t="str">
        <x:f t="shared" si="92"/>
        <x:v/>
      </x:c>
      <x:c r="FT44" s="1066" t="str">
        <x:f t="shared" si="93"/>
        <x:v/>
      </x:c>
      <x:c r="FU44" s="1105">
        <x:f t="shared" si="94"/>
        <x:v>0</x:v>
      </x:c>
      <x:c r="FV44" s="1106">
        <x:f t="shared" si="95"/>
        <x:v>0</x:v>
      </x:c>
      <x:c r="GA44" s="1975" t="str">
        <x:f t="shared" si="118"/>
        <x:v/>
      </x:c>
      <x:c r="GB44" s="1976" t="str">
        <x:f t="shared" si="119"/>
        <x:v/>
      </x:c>
      <x:c r="GC44" s="1977" t="str">
        <x:f t="shared" si="120"/>
        <x:v/>
      </x:c>
      <x:c r="GD44" s="1978" t="str">
        <x:f t="shared" si="121"/>
        <x:v/>
      </x:c>
      <x:c r="GE44" s="1979" t="str">
        <x:f t="shared" si="122"/>
        <x:v/>
      </x:c>
      <x:c r="GF44" s="1980" t="str">
        <x:f t="shared" si="96"/>
        <x:v/>
      </x:c>
      <x:c r="GG44" s="1453"/>
      <x:c r="GH44" s="1454"/>
      <x:c r="GI44" s="1453"/>
      <x:c r="GJ44" s="1454"/>
      <x:c r="GK44" s="533">
        <x:f t="shared" si="97"/>
        <x:v>0</x:v>
      </x:c>
      <x:c r="GL44" s="534" t="e">
        <x:f t="shared" si="98"/>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9"/>
        <x:v>0</x:v>
      </x:c>
      <x:c r="AE45" s="526">
        <x:f t="shared" si="10"/>
        <x:v>0</x:v>
      </x:c>
      <x:c r="AF45" s="526">
        <x:f t="shared" si="11"/>
        <x:v>0</x:v>
      </x:c>
      <x:c r="AG45" s="526">
        <x:f t="shared" si="12"/>
        <x:v>0</x:v>
      </x:c>
      <x:c r="AH45" s="527">
        <x:f t="shared" si="13"/>
        <x:v>0</x:v>
      </x:c>
      <x:c r="AI45" s="528" t="b">
        <x:v>0</x:v>
      </x:c>
      <x:c r="AJ45" s="284">
        <x:f t="shared" si="14"/>
        <x:v>0</x:v>
      </x:c>
      <x:c r="AK45" s="1063" t="str">
        <x:f t="shared" si="15"/>
        <x:v/>
      </x:c>
      <x:c r="AL45" s="1202" t="str">
        <x:f t="shared" si="16"/>
        <x:v/>
      </x:c>
      <x:c r="AM45" s="1063" t="str">
        <x:f t="shared" si="17"/>
        <x:v/>
      </x:c>
      <x:c r="AN45" s="1063" t="str">
        <x:f t="shared" si="18"/>
        <x:v/>
      </x:c>
      <x:c r="AO45" s="1063" t="str">
        <x:f t="shared" si="19"/>
        <x:v/>
      </x:c>
      <x:c r="AP45" s="1063" t="b">
        <x:f>IF(ISERROR(AJ45),FALSE,IF(OR(AJ45=0,ISERROR(AL45),ISERROR(AM45),ISERROR(AN45),ISERROR(AO45)),FALSE,IF(AL45&lt;&gt;"",IF(ISERROR(VLOOKUP(SUBSTITUTE(SUBSTITUTE(C45,"R",""),"A",""),TblJoistSize!$A:$A,1,FALSE)),FALSE,TRUE),TRUE)))</x:f>
        <x:v>0</x:v>
      </x:c>
      <x:c r="AQ45" s="1305" t="e">
        <x:f t="shared" si="20"/>
        <x:v>#N/A</x:v>
      </x:c>
      <x:c r="AR45" s="1305" t="b">
        <x:f t="shared" si="21"/>
        <x:v>0</x:v>
      </x:c>
      <x:c r="AS45" s="1305" t="e">
        <x:f t="shared" si="22"/>
        <x:v>#N/A</x:v>
      </x:c>
      <x:c r="AT45" s="1305" t="b">
        <x:f t="shared" si="23"/>
        <x:v>0</x:v>
      </x:c>
      <x:c r="AU45" s="1203" t="str">
        <x:f t="shared" si="24"/>
        <x:v/>
      </x:c>
      <x:c r="AV45" s="1063" t="str">
        <x:f t="shared" si="25"/>
        <x:v/>
      </x:c>
      <x:c r="AW45" s="1063" t="str">
        <x:f t="shared" si="26"/>
        <x:v/>
      </x:c>
      <x:c r="AX45" s="1063" t="str">
        <x:f t="shared" si="99"/>
        <x:v/>
      </x:c>
      <x:c r="AY45" s="1306" t="b">
        <x:f t="shared" si="27"/>
        <x:v>0</x:v>
      </x:c>
      <x:c r="AZ45" s="1090" t="str">
        <x:f t="shared" si="28"/>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29"/>
        <x:v/>
      </x:c>
      <x:c r="CE45" s="942" t="str">
        <x:f t="shared" si="30"/>
        <x:v/>
      </x:c>
      <x:c r="CF45" s="1151"/>
      <x:c r="CG45" s="1152"/>
      <x:c r="CH45" s="748" t="str">
        <x:f t="shared" si="31"/>
        <x:v/>
      </x:c>
      <x:c r="CI45" s="749" t="str">
        <x:f t="shared" si="32"/>
        <x:v/>
      </x:c>
      <x:c r="CJ45" s="750" t="str">
        <x:f t="shared" si="33"/>
        <x:v/>
      </x:c>
      <x:c r="CK45" s="751" t="str">
        <x:f t="shared" si="34"/>
        <x:v/>
      </x:c>
      <x:c r="CL45" s="752" t="str">
        <x:f t="shared" si="35"/>
        <x:v/>
      </x:c>
      <x:c r="CM45" s="753" t="str">
        <x:f t="shared" si="36"/>
        <x:v/>
      </x:c>
      <x:c r="CN45" s="754" t="str">
        <x:f t="shared" si="37"/>
        <x:v/>
      </x:c>
      <x:c r="CO45" s="755" t="str">
        <x:f t="shared" si="38"/>
        <x:v/>
      </x:c>
      <x:c r="CP45" s="764" t="str">
        <x:f t="shared" si="39"/>
        <x:v/>
      </x:c>
      <x:c r="CQ45" s="765" t="str">
        <x:f t="shared" si="40"/>
        <x:v/>
      </x:c>
      <x:c r="CR45" s="955" t="str">
        <x:f t="shared" si="41"/>
        <x:v/>
      </x:c>
      <x:c r="CS45" s="956" t="str">
        <x:f t="shared" si="42"/>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3"/>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4"/>
        <x:v>0</x:v>
      </x:c>
      <x:c r="DO45" s="1049">
        <x:f t="shared" si="45"/>
        <x:v>0</x:v>
      </x:c>
      <x:c r="DP45" s="1053" t="str">
        <x:f t="shared" si="46"/>
        <x:v/>
      </x:c>
      <x:c r="DQ45" s="1053" t="str">
        <x:f t="shared" si="47"/>
        <x:v/>
      </x:c>
      <x:c r="DR45" s="1053" t="str">
        <x:f t="shared" si="48"/>
        <x:v/>
      </x:c>
      <x:c r="DS45" s="1052">
        <x:f t="shared" si="49"/>
        <x:v>0</x:v>
      </x:c>
      <x:c r="DT45" s="1052">
        <x:f t="shared" si="50"/>
        <x:v>0</x:v>
      </x:c>
      <x:c r="DU45" s="1052" t="str">
        <x:f t="shared" si="51"/>
        <x:v/>
      </x:c>
      <x:c r="DV45" s="1053" t="str">
        <x:f t="shared" si="52"/>
        <x:v/>
      </x:c>
      <x:c r="DW45" s="1053" t="str">
        <x:f t="shared" si="53"/>
        <x:v/>
      </x:c>
      <x:c r="DX45" s="1269">
        <x:f t="shared" si="54"/>
        <x:v>0</x:v>
      </x:c>
      <x:c r="DY45" s="1053">
        <x:f t="shared" si="55"/>
        <x:v>0</x:v>
      </x:c>
      <x:c r="DZ45" s="1052">
        <x:f t="shared" si="56"/>
        <x:v>0</x:v>
      </x:c>
      <x:c r="EA45" s="1052" t="str">
        <x:f t="shared" si="57"/>
        <x:v/>
      </x:c>
      <x:c r="EB45" s="1053" t="str">
        <x:f t="shared" si="58"/>
        <x:v/>
      </x:c>
      <x:c r="EC45" s="1053" t="str">
        <x:f t="shared" si="59"/>
        <x:v/>
      </x:c>
      <x:c r="ED45" s="1269">
        <x:f t="shared" si="60"/>
        <x:v>0</x:v>
      </x:c>
      <x:c r="EE45" s="1090" t="str">
        <x:f t="shared" si="61"/>
        <x:v/>
      </x:c>
      <x:c r="EF45" s="1053" t="str">
        <x:f t="shared" si="62"/>
        <x:v/>
      </x:c>
      <x:c r="EG45" s="1053" t="str">
        <x:f t="shared" si="63"/>
        <x:v/>
      </x:c>
      <x:c r="EH45" s="1053" t="e">
        <x:f t="shared" si="64"/>
        <x:v>#N/A</x:v>
      </x:c>
      <x:c r="EI45" s="1053" t="e">
        <x:f t="shared" si="65"/>
        <x:v>#N/A</x:v>
      </x:c>
      <x:c r="EJ45" s="1053" t="str">
        <x:f t="shared" si="66"/>
        <x:v/>
      </x:c>
      <x:c r="EK45" s="1053" t="str">
        <x:f t="shared" si="66"/>
        <x:v/>
      </x:c>
      <x:c r="EL45" s="1090" t="str">
        <x:f t="shared" si="67"/>
        <x:v/>
      </x:c>
      <x:c r="EM45" s="1053" t="str">
        <x:f t="shared" si="68"/>
        <x:v/>
      </x:c>
      <x:c r="EN45" s="1053" t="str">
        <x:f t="shared" si="69"/>
        <x:v/>
      </x:c>
      <x:c r="EO45" s="1053" t="e">
        <x:f t="shared" si="70"/>
        <x:v>#N/A</x:v>
      </x:c>
      <x:c r="EP45" s="1053" t="e">
        <x:f t="shared" si="71"/>
        <x:v>#N/A</x:v>
      </x:c>
      <x:c r="EQ45" s="1053" t="str">
        <x:f t="shared" si="72"/>
        <x:v/>
      </x:c>
      <x:c r="ER45" s="1053" t="str">
        <x:f t="shared" si="72"/>
        <x:v/>
      </x:c>
      <x:c r="ES45" s="1053" t="str">
        <x:f t="shared" si="73"/>
        <x:v/>
      </x:c>
      <x:c r="ET45" s="1053" t="str">
        <x:f t="shared" si="74"/>
        <x:v/>
      </x:c>
      <x:c r="EU45" s="1061" t="str">
        <x:f t="shared" si="75"/>
        <x:v/>
      </x:c>
      <x:c r="EV45" s="1055" t="str">
        <x:f t="shared" si="76"/>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77"/>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78"/>
        <x:v/>
      </x:c>
      <x:c r="FD45" s="1052">
        <x:f t="shared" si="100"/>
        <x:v>0</x:v>
      </x:c>
      <x:c r="FE45" s="1052">
        <x:f t="shared" si="79"/>
        <x:v>0</x:v>
      </x:c>
      <x:c r="FF45" s="1052">
        <x:f t="shared" si="80"/>
        <x:v>0</x:v>
      </x:c>
      <x:c r="FG45" s="1052" t="str">
        <x:f t="shared" si="81"/>
        <x:v/>
      </x:c>
      <x:c r="FH45" s="1053" t="str">
        <x:f t="shared" si="82"/>
        <x:v/>
      </x:c>
      <x:c r="FI45" s="1052">
        <x:f t="shared" si="101"/>
        <x:v>0</x:v>
      </x:c>
      <x:c r="FJ45" s="1052">
        <x:f t="shared" si="83"/>
        <x:v>0</x:v>
      </x:c>
      <x:c r="FK45" s="1052">
        <x:f t="shared" si="84"/>
        <x:v>0</x:v>
      </x:c>
      <x:c r="FL45" s="1052" t="str">
        <x:f t="shared" si="85"/>
        <x:v/>
      </x:c>
      <x:c r="FM45" s="1053" t="str">
        <x:f t="shared" si="86"/>
        <x:v/>
      </x:c>
      <x:c r="FN45" s="1053" t="e">
        <x:f t="shared" si="87"/>
        <x:v>#VALUE!</x:v>
      </x:c>
      <x:c r="FO45" s="1062" t="e">
        <x:f t="shared" si="88"/>
        <x:v>#VALUE!</x:v>
      </x:c>
      <x:c r="FP45" s="1062" t="e">
        <x:f t="shared" si="89"/>
        <x:v>#VALUE!</x:v>
      </x:c>
      <x:c r="FQ45" s="1063" t="e">
        <x:f t="shared" si="90"/>
        <x:v>#VALUE!</x:v>
      </x:c>
      <x:c r="FR45" s="1064" t="e">
        <x:f t="shared" si="91"/>
        <x:v>#VALUE!</x:v>
      </x:c>
      <x:c r="FS45" s="1065" t="str">
        <x:f t="shared" si="92"/>
        <x:v/>
      </x:c>
      <x:c r="FT45" s="1066" t="str">
        <x:f t="shared" si="93"/>
        <x:v/>
      </x:c>
      <x:c r="FU45" s="1105">
        <x:f t="shared" si="94"/>
        <x:v>0</x:v>
      </x:c>
      <x:c r="FV45" s="1106">
        <x:f t="shared" si="95"/>
        <x:v>0</x:v>
      </x:c>
      <x:c r="GA45" s="1975" t="str">
        <x:f t="shared" si="118"/>
        <x:v/>
      </x:c>
      <x:c r="GB45" s="1976" t="str">
        <x:f t="shared" si="119"/>
        <x:v/>
      </x:c>
      <x:c r="GC45" s="1977" t="str">
        <x:f t="shared" si="120"/>
        <x:v/>
      </x:c>
      <x:c r="GD45" s="1978" t="str">
        <x:f t="shared" si="121"/>
        <x:v/>
      </x:c>
      <x:c r="GE45" s="1979" t="str">
        <x:f t="shared" si="122"/>
        <x:v/>
      </x:c>
      <x:c r="GF45" s="1980" t="str">
        <x:f t="shared" si="96"/>
        <x:v/>
      </x:c>
      <x:c r="GG45" s="1455"/>
      <x:c r="GH45" s="1456"/>
      <x:c r="GI45" s="1455"/>
      <x:c r="GJ45" s="1456"/>
      <x:c r="GK45" s="533">
        <x:f t="shared" si="97"/>
        <x:v>0</x:v>
      </x:c>
      <x:c r="GL45" s="534" t="e">
        <x:f t="shared" si="98"/>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351</x:v>
      </x:c>
      <x:c r="AE46" s="540">
        <x:f>SUM(AE16:AE45)</x:f>
        <x:v>16</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367</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2170</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NLxbvj/kAkLLZOudQgqk1pW1ILa5mMXicCe6aWEM7s30Juhv4StdbXjgEvO3iWbgS1VzMriPtIN4DnzXXRppeg==" saltValue="e7glXhiIiJTuyBO+EOA9GA=="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560" priority="69" stopIfTrue="1">
      <x:formula>GM57&gt;=0.125</x:formula>
    </x:cfRule>
  </x:conditionalFormatting>
  <x:conditionalFormatting sqref="EF57">
    <x:cfRule type="cellIs" dxfId="559" priority="70" stopIfTrue="1" operator="notEqual">
      <x:formula>$EG57</x:formula>
    </x:cfRule>
  </x:conditionalFormatting>
  <x:conditionalFormatting sqref="EM57">
    <x:cfRule type="cellIs" dxfId="558" priority="71" stopIfTrue="1" operator="notEqual">
      <x:formula>$EN57</x:formula>
    </x:cfRule>
  </x:conditionalFormatting>
  <x:conditionalFormatting sqref="CD16:CD45">
    <x:cfRule type="expression" dxfId="557" priority="62">
      <x:formula>AND(CD16="X",CY16="")</x:formula>
    </x:cfRule>
    <x:cfRule type="expression" dxfId="556" priority="72">
      <x:formula>AND(CD16="",CY16&lt;&gt;"")</x:formula>
    </x:cfRule>
  </x:conditionalFormatting>
  <x:conditionalFormatting sqref="CE16:CE45">
    <x:cfRule type="expression" dxfId="555" priority="73">
      <x:formula>AND(CE16="X",DI16="")</x:formula>
    </x:cfRule>
    <x:cfRule type="expression" dxfId="554" priority="74">
      <x:formula>AND(CE16="",DI16&lt;&gt;"")</x:formula>
    </x:cfRule>
  </x:conditionalFormatting>
  <x:conditionalFormatting sqref="P2:S4">
    <x:cfRule type="cellIs" dxfId="553" priority="76" stopIfTrue="1" operator="equal">
      <x:formula>""</x:formula>
    </x:cfRule>
  </x:conditionalFormatting>
  <x:conditionalFormatting sqref="EF16:EF45">
    <x:cfRule type="cellIs" dxfId="552" priority="68" stopIfTrue="1" operator="notEqual">
      <x:formula>$EG16</x:formula>
    </x:cfRule>
  </x:conditionalFormatting>
  <x:conditionalFormatting sqref="EM16:EM45">
    <x:cfRule type="cellIs" dxfId="551" priority="67" stopIfTrue="1" operator="notEqual">
      <x:formula>$EN16</x:formula>
    </x:cfRule>
  </x:conditionalFormatting>
  <x:conditionalFormatting sqref="CC12">
    <x:cfRule type="expression" dxfId="550" priority="66" stopIfTrue="1">
      <x:formula>ISBLANK($CC$12)</x:formula>
    </x:cfRule>
  </x:conditionalFormatting>
  <x:conditionalFormatting sqref="CC11">
    <x:cfRule type="expression" dxfId="549" priority="65" stopIfTrue="1">
      <x:formula>ISBLANK($CC$11)</x:formula>
    </x:cfRule>
  </x:conditionalFormatting>
  <x:conditionalFormatting sqref="M7">
    <x:cfRule type="expression" dxfId="548" priority="63" stopIfTrue="1">
      <x:formula>OR(ISBLANK($M$7),$M$7="")</x:formula>
    </x:cfRule>
    <x:cfRule type="expression" dxfId="547" priority="64" stopIfTrue="1">
      <x:formula>AND(LOWER($M$7)&lt;&gt;"std gray primer: one shop coat",LOWER($M$7)&lt;&gt;"gray",$M$7&lt;&gt;"")</x:formula>
    </x:cfRule>
  </x:conditionalFormatting>
  <x:conditionalFormatting sqref="BV16:BV45">
    <x:cfRule type="expression" dxfId="546" priority="60">
      <x:formula>AND(NOT($AY16),AND(ISBLANK(BV16),AND(NOT(ISBLANK(BU16)),$BW16&lt;&gt;0)))</x:formula>
    </x:cfRule>
  </x:conditionalFormatting>
  <x:conditionalFormatting sqref="BD16:BD45">
    <x:cfRule type="expression" dxfId="545" priority="61">
      <x:formula>AND(NOT($AY16),NOT($AP16))</x:formula>
    </x:cfRule>
  </x:conditionalFormatting>
  <x:conditionalFormatting sqref="U16:U45">
    <x:cfRule type="expression" dxfId="544" priority="57">
      <x:formula>AND(NOT($AY16),NOT(AR16))</x:formula>
    </x:cfRule>
  </x:conditionalFormatting>
  <x:conditionalFormatting sqref="W16:W45">
    <x:cfRule type="expression" dxfId="543" priority="59">
      <x:formula>AND(NOT($AY16),NOT(AT16))</x:formula>
    </x:cfRule>
  </x:conditionalFormatting>
  <x:conditionalFormatting sqref="T16:T45">
    <x:cfRule type="expression" dxfId="542" priority="56">
      <x:formula>AND(NOT($AY16),NOT(AR16))</x:formula>
    </x:cfRule>
  </x:conditionalFormatting>
  <x:conditionalFormatting sqref="V16:V45">
    <x:cfRule type="expression" dxfId="541" priority="58">
      <x:formula>AND(NOT($AY16),NOT(AT16))</x:formula>
    </x:cfRule>
  </x:conditionalFormatting>
  <x:conditionalFormatting sqref="C16:C45">
    <x:cfRule type="expression" dxfId="540" priority="54">
      <x:formula>AND(NOT($AY16),NOT($AP16))</x:formula>
    </x:cfRule>
  </x:conditionalFormatting>
  <x:conditionalFormatting sqref="X16:X45">
    <x:cfRule type="expression" dxfId="539" priority="14">
      <x:formula>$X16=0</x:formula>
    </x:cfRule>
  </x:conditionalFormatting>
  <x:conditionalFormatting sqref="CB16:CB45">
    <x:cfRule type="expression" dxfId="538" priority="53">
      <x:formula>OR(CB16&gt;CV16,CB16&lt;0)</x:formula>
    </x:cfRule>
  </x:conditionalFormatting>
  <x:conditionalFormatting sqref="CC16:CC45">
    <x:cfRule type="expression" dxfId="537" priority="51">
      <x:formula>OR(CC16&gt;DF16,CC16&lt;0)</x:formula>
    </x:cfRule>
  </x:conditionalFormatting>
  <x:conditionalFormatting sqref="BY16:BY45">
    <x:cfRule type="expression" dxfId="536" priority="75">
      <x:formula>OR(CH16&lt;&gt;"",CI16&lt;&gt;"",CJ16&lt;&gt;"",CK16&lt;&gt;"",CL16&lt;&gt;"",CM16&lt;&gt;"")</x:formula>
    </x:cfRule>
  </x:conditionalFormatting>
  <x:conditionalFormatting sqref="BE16:BF45">
    <x:cfRule type="expression" dxfId="535" priority="77">
      <x:formula>AND(NOT($AY16),AND($AZ16,AND($AK16&lt;&gt;"HDR",$AK16&lt;&gt;"JS",$AJ16&gt;=8)))</x:formula>
    </x:cfRule>
  </x:conditionalFormatting>
  <x:conditionalFormatting sqref="D16:E45">
    <x:cfRule type="expression" dxfId="534" priority="55">
      <x:formula>AND(NOT($AY16),AND($AZ16,AND($AK16&lt;&gt;"HDR",$AK16&lt;&gt;"JS",$AJ16&gt;=8)))</x:formula>
    </x:cfRule>
  </x:conditionalFormatting>
  <x:conditionalFormatting sqref="AA12">
    <x:cfRule type="expression" dxfId="533" priority="52">
      <x:formula>OR(ISBLANK(AA12),AA12="")</x:formula>
    </x:cfRule>
  </x:conditionalFormatting>
  <x:conditionalFormatting sqref="A16:Z45 BB16:CG45">
    <x:cfRule type="expression" dxfId="532" priority="78">
      <x:formula>$AC16</x:formula>
    </x:cfRule>
  </x:conditionalFormatting>
  <x:conditionalFormatting sqref="BN16:BN45">
    <x:cfRule type="expression" dxfId="531" priority="17">
      <x:formula>AND(NOT($AY16),AND(ISBLANK(BN16),AND(NOT(ISBLANK(BM16)),$BW16&lt;&gt;0)))</x:formula>
    </x:cfRule>
  </x:conditionalFormatting>
  <x:conditionalFormatting sqref="BO16:BO45">
    <x:cfRule type="expression" dxfId="530" priority="16">
      <x:formula>AND(NOT($AY16),ISERROR(DE16))</x:formula>
    </x:cfRule>
    <x:cfRule type="expression" dxfId="529" priority="43">
      <x:formula>AND(NOT($AY16),OR(DE16="", CQ16&lt;&gt;""))</x:formula>
    </x:cfRule>
  </x:conditionalFormatting>
  <x:conditionalFormatting sqref="BG16:BG45">
    <x:cfRule type="expression" dxfId="528" priority="15">
      <x:formula>AND(NOT($AY16),ISERROR(CU16))</x:formula>
    </x:cfRule>
    <x:cfRule type="expression" dxfId="527" priority="42">
      <x:formula>AND(NOT($AY16),OR(CP16&lt;&gt;"", CU16=""))</x:formula>
    </x:cfRule>
  </x:conditionalFormatting>
  <x:conditionalFormatting sqref="BH16:BH45">
    <x:cfRule type="expression" dxfId="526" priority="30">
      <x:formula>AND(NOT($AY16),OR($CU16="M",$CU16="C",AND($CU16="B",$DC16&gt;0)))</x:formula>
    </x:cfRule>
    <x:cfRule type="expression" dxfId="525" priority="31">
      <x:formula>AND(NOT($AY16),AND(BH16="",BI16="",OR($CU16="B",$CU16="G")))</x:formula>
    </x:cfRule>
    <x:cfRule type="expression" dxfId="524" priority="32">
      <x:formula>AND(NOT($AY16),(BH16/2)/COS(RADIANS(BM16))+CV16-DW16&lt;VLOOKUP(AU16,$DF$2:$DJ$9,5,FALSE))</x:formula>
    </x:cfRule>
  </x:conditionalFormatting>
  <x:conditionalFormatting sqref="BI16:BI45">
    <x:cfRule type="expression" dxfId="523" priority="39">
      <x:formula>AND(NOT($AY16),OR($CU16="M",$CU16="C",AND($CU16="B",$DC16&gt;0)))</x:formula>
    </x:cfRule>
    <x:cfRule type="expression" dxfId="522" priority="40">
      <x:formula>AND(NOT($AY16),AND(BH16="",BI16="",OR($CU16="B",$CU16="G")))</x:formula>
    </x:cfRule>
    <x:cfRule type="expression" dxfId="521" priority="41">
      <x:formula>AND(NOT($AY16),(BI16/2)/COS(RADIANS(BM16))+CV16-DW16&lt;VLOOKUP(AU16,$DF$2:$DJ$9,5,FALSE))</x:formula>
    </x:cfRule>
  </x:conditionalFormatting>
  <x:conditionalFormatting sqref="BK16:BK45">
    <x:cfRule type="expression" dxfId="520" priority="18">
      <x:formula>AND(NOT($AY16),OR($CU16="M",$CU16="C",AND($CU16="B",$DA16&lt;&gt;"")))</x:formula>
    </x:cfRule>
    <x:cfRule type="expression" dxfId="519" priority="19">
      <x:formula>AND(NOT($AY16),AND(BJ16="X",BK16="",BL16=""))</x:formula>
    </x:cfRule>
    <x:cfRule type="expression" dxfId="518" priority="20">
      <x:formula>AND(NOT($AY16),EZ16="ERR")</x:formula>
    </x:cfRule>
  </x:conditionalFormatting>
  <x:conditionalFormatting sqref="BL16:BL45">
    <x:cfRule type="expression" dxfId="517" priority="21">
      <x:formula>AND(NOT($AY16),OR($CU16="M",$CU16="C",AND($CU16="B",$DA16&lt;&gt;"")))</x:formula>
    </x:cfRule>
    <x:cfRule type="expression" dxfId="516" priority="22">
      <x:formula>AND(NOT($AY16),AND(BJ16="X",BK16="",BL16=""))</x:formula>
    </x:cfRule>
    <x:cfRule type="expression" dxfId="515" priority="23">
      <x:formula>AND(NOT($AY16),EZ16="ERR")</x:formula>
    </x:cfRule>
  </x:conditionalFormatting>
  <x:conditionalFormatting sqref="BS16:BS45">
    <x:cfRule type="expression" dxfId="514" priority="24">
      <x:formula>AND(NOT($AY16),OR($DE16="M",$DE16="C",AND($DE16="B",$DK16&lt;&gt;"")))</x:formula>
    </x:cfRule>
    <x:cfRule type="expression" dxfId="513" priority="25">
      <x:formula>AND(NOT($AY16),AND(BR16="X",BS16="",BT16=""))</x:formula>
    </x:cfRule>
    <x:cfRule type="expression" dxfId="512" priority="26">
      <x:formula>AND(NOT($AY16),FC16="ERR")</x:formula>
    </x:cfRule>
  </x:conditionalFormatting>
  <x:conditionalFormatting sqref="BT16:BT45">
    <x:cfRule type="expression" dxfId="511" priority="27">
      <x:formula>AND(NOT($AY16),OR($DE16="M",$DE16="C",AND($DE16="B",$DK16&lt;&gt;"")))</x:formula>
    </x:cfRule>
    <x:cfRule type="expression" dxfId="510" priority="28">
      <x:formula>AND(NOT($AY16),AND(BR16="X",BS16="",BT16=""))</x:formula>
    </x:cfRule>
    <x:cfRule type="expression" dxfId="509" priority="29">
      <x:formula>AND(NOT($AY16),FC16="ERR")</x:formula>
    </x:cfRule>
  </x:conditionalFormatting>
  <x:conditionalFormatting sqref="BP16:BP45">
    <x:cfRule type="expression" dxfId="508" priority="33">
      <x:formula>AND(NOT($AY16),OR($DE16="M",$DE16="C",AND($DE16="B",$DM16&gt;0)))</x:formula>
    </x:cfRule>
    <x:cfRule type="expression" dxfId="507" priority="34">
      <x:formula>AND(NOT($AY16),AND(BP16="",BQ16="",OR($DE16="B",$DE16="G")))</x:formula>
    </x:cfRule>
    <x:cfRule type="expression" dxfId="506" priority="35">
      <x:formula>AND(NOT($AY16),(BP16/2)/COS(RADIANS(BU16))+DF16-EC16&lt;VLOOKUP(AU16,$DF$2:$DJ$9,5,FALSE))</x:formula>
    </x:cfRule>
  </x:conditionalFormatting>
  <x:conditionalFormatting sqref="BQ16:BQ45">
    <x:cfRule type="expression" dxfId="505" priority="36">
      <x:formula>AND(NOT($AY16),OR($DE16="M",$DE16="C",AND($DE16="B",$DM16&gt;0)))</x:formula>
    </x:cfRule>
    <x:cfRule type="expression" dxfId="504" priority="37">
      <x:formula>AND(NOT($AY16),AND(BP16="",BQ16="",OR($DE16="B",$DE16="G")))</x:formula>
    </x:cfRule>
    <x:cfRule type="expression" dxfId="503" priority="38">
      <x:formula>AND(NOT($AY16),(BQ16/2)/COS(RADIANS(BU16))+DF16-EC16&lt;VLOOKUP(AU16,$DF$2:$DJ$9,5,FALSE))</x:formula>
    </x:cfRule>
  </x:conditionalFormatting>
  <x:conditionalFormatting sqref="BJ16:BJ45">
    <x:cfRule type="expression" dxfId="502" priority="44">
      <x:formula>AND(NOT($AY16),OR($CU16="C",AND($CU16="M",$DA16&gt;0)))</x:formula>
    </x:cfRule>
    <x:cfRule type="expression" dxfId="501" priority="45">
      <x:formula>AND(NOT($AY16),OR(NOT(IF(AND(OR(MID($BB16,1,1)="T",($BE16+$BF16/12)/IF(ABS($BW16)&gt;$DQ$1,COS($DO16),1)&gt;=40),OR($CU16="B",$CU16="G")),"X","")="X"),$EZ16="ERR"))</x:formula>
    </x:cfRule>
    <x:cfRule type="expression" dxfId="500" priority="46">
      <x:formula>AND(NOT($AY16),$BJ16&lt;&gt;"X",$BJ16&lt;&gt;IF(AND(OR(MID(BB16,1,1)="T",($BE16+$BF16/12)/IF(ABS($BW16)&gt;$DQ$1,COS($DO16),1)&gt;=40),OR($CU16="B",$CU16="G")),"X",""))</x:formula>
    </x:cfRule>
  </x:conditionalFormatting>
  <x:conditionalFormatting sqref="BR16:BR45">
    <x:cfRule type="expression" dxfId="499" priority="47">
      <x:formula>AND(NOT($AY16),OR($DE16="C",AND($DE16="M",$DK16&gt;0)))</x:formula>
    </x:cfRule>
    <x:cfRule type="expression" dxfId="498" priority="48">
      <x:formula>AND(NOT($AY16),OR(NOT(IF(AND(OR(MID($BB16,1,1)="T",($BE16+$BF16/12)/IF(ABS($BW16)&gt;$DQ$1,COS($DO16),1)&gt;=40),OR($DE16="B",$DE16="G")),"X","")="X"),$FC16="ERR"))</x:formula>
    </x:cfRule>
    <x:cfRule type="expression" dxfId="497" priority="49">
      <x:formula>AND(NOT($AY16),$BR16&lt;&gt;"X",$BR16&lt;&gt;IF(AND(OR(MID(BB16,1,1)="T",($BE16+$BF16/12)/IF(ABS($BW16)&gt;$DQ$1,COS($DO16),1)&gt;=40),OR($DE16="B",$DE16="G")),"X",""))</x:formula>
    </x:cfRule>
  </x:conditionalFormatting>
  <x:conditionalFormatting sqref="A16:B45 BB16:BC45">
    <x:cfRule type="expression" dxfId="496" priority="50">
      <x:formula>AND(NOT($AE$1),$B16=0,$AD$1="M")</x:formula>
    </x:cfRule>
  </x:conditionalFormatting>
  <x:conditionalFormatting sqref="U57">
    <x:cfRule type="expression" dxfId="495" priority="11" stopIfTrue="1">
      <x:formula>AND(NOT($AY57),NOT(AR57))</x:formula>
    </x:cfRule>
  </x:conditionalFormatting>
  <x:conditionalFormatting sqref="W57">
    <x:cfRule type="expression" dxfId="494" priority="13" stopIfTrue="1">
      <x:formula>AND(NOT($AY57),NOT(AT57))</x:formula>
    </x:cfRule>
  </x:conditionalFormatting>
  <x:conditionalFormatting sqref="T57">
    <x:cfRule type="expression" dxfId="493" priority="10" stopIfTrue="1">
      <x:formula>AND(NOT($AY57),NOT(AR57))</x:formula>
    </x:cfRule>
  </x:conditionalFormatting>
  <x:conditionalFormatting sqref="V57">
    <x:cfRule type="expression" dxfId="492" priority="12" stopIfTrue="1">
      <x:formula>AND(NOT($AY57),NOT(AT57))</x:formula>
    </x:cfRule>
  </x:conditionalFormatting>
  <x:conditionalFormatting sqref="C57">
    <x:cfRule type="expression" dxfId="491" priority="8" stopIfTrue="1">
      <x:formula>AND(NOT($AY57),NOT($AP57))</x:formula>
    </x:cfRule>
  </x:conditionalFormatting>
  <x:conditionalFormatting sqref="X57">
    <x:cfRule type="expression" dxfId="490" priority="4">
      <x:formula>$X57=0</x:formula>
    </x:cfRule>
  </x:conditionalFormatting>
  <x:conditionalFormatting sqref="D57:E57">
    <x:cfRule type="expression" dxfId="489" priority="9" stopIfTrue="1">
      <x:formula>AND(NOT($AY57),AND($AZ57,AND($AK57&lt;&gt;"HDR",$AK57&lt;&gt;"JS",$AJ57&gt;=8)))</x:formula>
    </x:cfRule>
  </x:conditionalFormatting>
  <x:conditionalFormatting sqref="A57:AA57">
    <x:cfRule type="expression" dxfId="488" priority="5">
      <x:formula>$AC57</x:formula>
    </x:cfRule>
  </x:conditionalFormatting>
  <x:conditionalFormatting sqref="AA57">
    <x:cfRule type="expression" dxfId="487" priority="6" stopIfTrue="1">
      <x:formula>AND(NOT($AY57),LEN(AA57)&gt;31)</x:formula>
    </x:cfRule>
  </x:conditionalFormatting>
  <x:conditionalFormatting sqref="A57:B57">
    <x:cfRule type="expression" dxfId="486" priority="7">
      <x:formula>AND(NOT($AE$1),$B57=0,$AD$1="M")</x:formula>
    </x:cfRule>
  </x:conditionalFormatting>
  <x:conditionalFormatting sqref="AA16:AA45">
    <x:cfRule type="expression" dxfId="485" priority="2">
      <x:formula>$AC16</x:formula>
    </x:cfRule>
  </x:conditionalFormatting>
  <x:conditionalFormatting sqref="AA16:AA45">
    <x:cfRule type="expression" dxfId="484" priority="3" stopIfTrue="1">
      <x:formula>AND(NOT($AY16),LEN(AA16)&gt;31)</x:formula>
    </x:cfRule>
  </x:conditionalFormatting>
  <x:conditionalFormatting sqref="GA16:GB45">
    <x:cfRule type="expression" dxfId="483"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8.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3">
    <x:tabColor indexed="43"/>
  </x:sheetPr>
  <x:dimension ref="A1:IG104"/>
  <x:sheetViews>
    <x:sheetView showGridLines="0" zoomScaleNormal="100" zoomScaleSheetLayoutView="75" workbookViewId="0">
      <x:selection activeCell="GA41" sqref="GA41"/>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37 of 42</x:v>
      </x:c>
      <x:c r="Z7" s="822"/>
      <x:c r="AA7" s="444"/>
      <x:c r="AB7" s="449"/>
      <x:c r="AC7" s="1393">
        <x:v>37</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1491</x:v>
      </x:c>
      <x:c r="B16" s="1265">
        <x:v>1</x:v>
      </x:c>
      <x:c r="C16" s="1265" t="s">
        <x:v>1978</x:v>
      </x:c>
      <x:c r="D16" s="1261">
        <x:v>58</x:v>
      </x:c>
      <x:c r="E16" s="1366">
        <x:v>11.875</x:v>
      </x:c>
      <x:c r="F16" s="1328" t="str">
        <x:f t="shared" ref="F16:F44" si="1">IF(DX16=0,"",TRUNC(DX16/12))</x:f>
        <x:v/>
      </x:c>
      <x:c r="G16" s="1262" t="str">
        <x:f t="shared" ref="G16:G44" si="2">IF(DX16=0,"",DX16-(F16*12))</x:f>
        <x:v/>
      </x:c>
      <x:c r="H16" s="1266" t="str">
        <x:f t="shared" ref="H16:H44" si="3">IF(DX16=0,"",CW16)</x:f>
        <x:v/>
      </x:c>
      <x:c r="I16" s="1261">
        <x:v>0</x:v>
      </x:c>
      <x:c r="J16" s="1262">
        <x:v>0.625</x:v>
      </x:c>
      <x:c r="K16" s="1370" t="s">
        <x:v>114</x:v>
      </x:c>
      <x:c r="L16" s="1327">
        <x:v>3</x:v>
      </x:c>
      <x:c r="M16" s="1329">
        <x:v>3</x:v>
      </x:c>
      <x:c r="N16" s="1263" t="str">
        <x:f t="shared" ref="N16:N44" si="4">IF(ES16="","",IF(AND(ES16&lt;0,ES16&gt;-12),TRUNC(ES16/12)-0.0000001,TRUNC(ES16/12)))</x:f>
        <x:v/>
      </x:c>
      <x:c r="O16" s="1262" t="str">
        <x:f t="shared" ref="O16:O44" si="5">IF(ES16="","",IF(AND(ES16-(N16*12)=0,ES16&lt;0),-0.000001,ES16-(N16*12)))</x:f>
        <x:v/>
      </x:c>
      <x:c r="P16" s="1260" t="str">
        <x:f t="shared" ref="P16:P44" si="6">IF(ES16="","",CZ16)</x:f>
        <x:v/>
      </x:c>
      <x:c r="Q16" s="1261">
        <x:v>0</x:v>
      </x:c>
      <x:c r="R16" s="1262">
        <x:v>6.625</x:v>
      </x:c>
      <x:c r="S16" s="1375">
        <x:v>2</x:v>
      </x:c>
      <x:c r="T16" s="1328">
        <x:v>0</x:v>
      </x:c>
      <x:c r="U16" s="1262">
        <x:v>1.125</x:v>
      </x:c>
      <x:c r="V16" s="1261">
        <x:v>0</x:v>
      </x:c>
      <x:c r="W16" s="1262">
        <x:v>1.5</x:v>
      </x:c>
      <x:c r="X16" s="1329">
        <x:v>4</x:v>
      </x:c>
      <x:c r="Y16" s="1377" t="str">
        <x:f t="shared" ref="Y16:Y44" si="7">FG16</x:f>
        <x:v/>
      </x:c>
      <x:c r="Z16" s="1378" t="str">
        <x:f t="shared" ref="Z16:Z44" si="8">FL16</x:f>
        <x:v/>
      </x:c>
      <x:c r="AA16" s="2159" t="s">
        <x:v>2181</x:v>
      </x:c>
      <x:c r="AC16" s="1226" t="b">
        <x:v>0</x:v>
      </x:c>
      <x:c r="AD16" s="525">
        <x:f t="shared" ref="AD16:AD45" si="9">IF($C16="",0,IF(SUM(AE16:AG16)&gt;0,0,IF(ISERROR(SEARCH("K",$C16,1))=TRUE,0,$B16)))</x:f>
        <x:v>0</x:v>
      </x:c>
      <x:c r="AE16" s="526">
        <x:f t="shared" ref="AE16:AE45" si="10">IF(ISERROR(SEARCH("LH",$C16,1))=TRUE,0,$B16)</x:f>
        <x:v>1</x:v>
      </x:c>
      <x:c r="AF16" s="526">
        <x:f t="shared" ref="AF16:AF45" si="11">IF(ISERROR(SEARCH("JS",$C16))=TRUE,IF(ISERROR(SEARCH("2.5K",$C16))=TRUE,0,$B16),$B16)</x:f>
        <x:v>0</x:v>
      </x:c>
      <x:c r="AG16" s="526">
        <x:f t="shared" ref="AG16:AG45" si="12">IF(ISERROR(SEARCH("HDR",$C16,1))=TRUE,0,$B16)</x:f>
        <x:v>0</x:v>
      </x:c>
      <x:c r="AH16" s="527">
        <x:f t="shared" ref="AH16:AH45" si="13">IF(ISERROR(SEARCH("CJ",$C16,1))=TRUE,0,$B16)</x:f>
        <x:v>0</x:v>
      </x:c>
      <x:c r="AI16" s="528" t="b">
        <x:v>0</x:v>
      </x:c>
      <x:c r="AJ16" s="284">
        <x:f t="shared" ref="AJ16:AJ45" si="14">IF(OR(ISERROR(VALUE(LEFT(C16,SEARCH(AK16,C16)-1))),AK16=""),0,VALUE(LEFT(C16,SEARCH(AK16,C16)-1)))</x:f>
        <x:v>36</x:v>
      </x:c>
      <x:c r="AK16" s="1063" t="str">
        <x:f t="shared" ref="AK16:AK45" si="15">IF(AV16="",AW16,AV16)</x:f>
        <x:v>LH</x:v>
      </x:c>
      <x:c r="AL16" s="1202" t="str">
        <x:f t="shared" ref="AL16:AL45" si="16">IF(AK16="","",IF(ISERROR(SEARCH("/",C16)),IF(VALUE(MID(C16,SEARCH(AK16,C16)+LEN(AK16),LEN(C16)))&gt;25,"",VALUE(MID(C16,SEARCH(AK16,C16)+LEN(AK16),LEN(C16)))),""))</x:f>
        <x:v/>
      </x:c>
      <x:c r="AM16" s="1063">
        <x:f t="shared" ref="AM16:AM45" si="17">IF(AK16="","",IF(ISERROR(SEARCH("/",C16)),IF(VALUE(MID(C16,SEARCH(AK16,C16)+LEN(AK16),LEN(C16)))&lt;26,"",VALUE(MID(C16,SEARCH(AK16,C16)+LEN(AK16),LEN(C16)))),VALUE(MID(C16,SEARCH(AK16,C16)+LEN(AK16),SEARCH("/",C16)-SEARCH(AK16,C16)-LEN(AK16)))))</x:f>
        <x:v>270</x:v>
      </x:c>
      <x:c r="AN16" s="1063">
        <x:f t="shared" ref="AN16:AN45" si="18">IF(AK16="","",IF(AK16="CJ",MID(MID(C16,SEARCH("/",C16)+1,LEN(C16)),1,SEARCH("/",MID(C16,SEARCH("/",C16)+1,LEN(C16)))-1),IF(ISERROR(SEARCH("/",C16)),"",VALUE(MID(C16,SEARCH("/",C16)+1,LEN(C16))))))</x:f>
        <x:v>120</x:v>
      </x:c>
      <x:c r="AO16" s="1063" t="str">
        <x:f t="shared" ref="AO16:AO45" si="19">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0">VLOOKUP(AK16,$DF$2:$DN$9,4,FALSE)+IF(LEFT(H16,1)="R",IF(ISNUMBER(F16),F16*12,0)+IF(ISNUMBER(G16),G16,0),0)</x:f>
        <x:v>6</x:v>
      </x:c>
      <x:c r="AR16" s="1305" t="b">
        <x:f t="shared" ref="AR16:AR45" si="21">IF(IF(ISNUMBER(T16),T16*12,0)+IF(ISNUMBER(U16),U16,0)&gt;0,IF(AND((IF(ISNUMBER(T16),T16*12,0)+IF(ISNUMBER(U16),U16,0))&gt;=1,(IF(ISNUMBER(T16),T16*12,0)+IF(ISNUMBER(U16),U16,0))&lt;=(AQ16-1)+IF(H16="X",2,0)),TRUE,FALSE),FALSE)</x:f>
        <x:v>1</x:v>
      </x:c>
      <x:c r="AS16" s="1305">
        <x:f t="shared" ref="AS16:AS45" si="22">VLOOKUP(AK16,$DF$2:$DN$9,4,FALSE)+IF(LEFT(K16,1)="R",(IF(ISNUMBER(I16),I16*12,0)+IF(ISNUMBER(J16),J16,0)),0)</x:f>
        <x:v>6.625</x:v>
      </x:c>
      <x:c r="AT16" s="1305" t="b">
        <x:f t="shared" ref="AT16:AT45" si="23">IF(IF(ISNUMBER(V16),V16*12,0)+IF(ISNUMBER(W16),W16,0)&gt;0,IF(AND((IF(ISNUMBER(V16),V16*12,0)+IF(ISNUMBER(W16),W16,0))&gt;=1,(IF(ISNUMBER(V16),V16*12,0)+IF(ISNUMBER(W16),W16,0))&lt;=(AS16-1)+IF(K16="X",2,0)),TRUE,FALSE),FALSE)</x:f>
        <x:v>1</x:v>
      </x:c>
      <x:c r="AU16" s="1203" t="str">
        <x: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25">IF(NOT(ISERROR(SEARCH("KCSR",C16))),"KCSR",IF(NOT(ISERROR(SEARCH("KCSA",C16))),"KCSA",IF(NOT(ISERROR(SEARCH("KCS",C16))),"KCS",IF(NOT(ISERROR(SEARCH("KR",C16))),"KR",IF(NOT(ISERROR(SEARCH("KA",C16))),"KA",IF(NOT(ISERROR(SEARCH("K",C16))),"K",IF(NOT(ISERROR(SEARCH("CJ",C16))),"CJ","")))))))</x:f>
        <x:v/>
      </x:c>
      <x:c r="AW16" s="1063" t="str">
        <x:f t="shared" ref="AW16:AW45" si="26">IF(NOT(ISERROR(SEARCH("HDR",C16))),"HDR",IF(NOT(ISERROR(SEARCH("JS",C16))),"JS",IF(NOT(ISERROR(SEARCH("SLH",C16))),"SLH",IF(NOT(ISERROR(SEARCH("DLH",C16))),"DLH",IF(NOT(ISERROR(SEARCH("LH",C16))),"LH","")))))</x:f>
        <x:v>LH</x:v>
      </x:c>
      <x:c r="AX16" s="1063" t="str">
        <x:f>IF(OR(ISBLANK(A16),A16=""),"",A16)</x:f>
        <x:v>TJ167</x:v>
      </x:c>
      <x:c r="AY16" s="1306" t="b">
        <x:f t="shared" ref="AY16:AY45" si="27">IF($AE$1,IF(AX16=AX15,AY15,IF(AND(AX16&lt;&gt;"",OR(B16=0,B16="")),TRUE,FALSE)),FALSE)</x:f>
        <x:v>0</x:v>
      </x:c>
      <x:c r="AZ16" s="1090" t="b">
        <x:f t="shared" ref="AZ16:AZ45" si="28">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29">IF(CY16="","","X")</x:f>
        <x:v/>
      </x:c>
      <x:c r="CE16" s="925" t="str">
        <x:f t="shared" ref="CE16:CE45" si="30">IF(DI16="","","X")</x:f>
        <x:v/>
      </x:c>
      <x:c r="CF16" s="1147"/>
      <x:c r="CG16" s="1148"/>
      <x:c r="CH16" s="730" t="str">
        <x:f t="shared" ref="CH16:CH45" si="31">IF(EJ16=EK16,IF(EK16="ERR","ERR",""),CONCATENATE(IF(BM16&lt;0,"NS ","FS "),IF(EK16="ERR","Slot Only",CONCATENATE("Slot @ ",EJ16))))</x:f>
        <x:v/>
      </x:c>
      <x:c r="CI16" s="731" t="str">
        <x:f t="shared" ref="CI16:CI45" si="32">IF(EQ16=ER16,IF(ER16="ERR","ERR",""),CONCATENATE(IF(BU16&lt;0,"FS ","NS "),IF(ER16="ERR","Slot Only",CONCATENATE("Slot @ ",EQ16))))</x:f>
        <x:v/>
      </x:c>
      <x:c r="CJ16" s="732" t="str">
        <x:f t="shared" ref="CJ16:CJ45" si="33">IF(EV16="","",IF(AND(DB16&lt;&gt;EV16,OR(NOT(ISBLANK(BJ16)),CU16="C")),CONCATENATE("LE slots @ ",DB16," Ga."),IF(AND(DL16&lt;&gt;EV16,OR(NOT(ISBLANK(BR16)),DE16="C")),CONCATENATE("RE slots @ ",DL16," Ga."),"")))</x:f>
        <x:v/>
      </x:c>
      <x:c r="CK16" s="733" t="str">
        <x:f t="shared" ref="CK16:CK45" si="34">IF(AND(CP16&lt;&gt;"",BM16&lt;&gt;"",CQ16&lt;&gt;"",BU16&lt;&gt;""),"BE",IF(AND(CP16&lt;&gt;"",BM16&lt;&gt;""),"LE",IF(AND(CQ16&lt;&gt;"",BU16&lt;&gt;""),"RE","")))</x:f>
        <x:v/>
      </x:c>
      <x:c r="CL16" s="734" t="str">
        <x:f t="shared" ref="CL16:CL45" si="35">IF(ISBLANK(CB16),"",CEILING(DV16,0.125))</x:f>
        <x:v/>
      </x:c>
      <x:c r="CM16" s="735" t="str">
        <x:f t="shared" ref="CM16:CM45" si="36">IF(ISBLANK(CC16),"",CEILING(EB16,0.125))</x:f>
        <x:v/>
      </x:c>
      <x:c r="CN16" s="736" t="str">
        <x:f t="shared" ref="CN16:CN45" si="37">IF(AND(BW16&lt;&gt;0,BM16&lt;&gt;0),BW16*COS(RADIANS(90-BM16))/(1/COS(RADIANS(90-BM16)))*-1,"")</x:f>
        <x:v/>
      </x:c>
      <x:c r="CO16" s="737" t="str">
        <x:f t="shared" ref="CO16:CO45" si="38">IF(AND(BW16&lt;&gt;0,BU16&lt;&gt;0),BW16*COS(RADIANS(90-BU16))/(1/COS(RADIANS(90-BU16))),"")</x:f>
        <x:v/>
      </x:c>
      <x:c r="CP16" s="760" t="str">
        <x:f t="shared" ref="CP16:CP45" si="39">IF(BG16="","",IF(AU16="JS","",IF(VLOOKUP(AU16,$DF$2:$DN$9,5,FALSE)&gt;FO16,IF(FO16&gt;=0.0625,CEILING(FO16-0.0625,0.125),FO16),"")))</x:f>
        <x:v/>
      </x:c>
      <x:c r="CQ16" s="761" t="str">
        <x:f t="shared" ref="CQ16:CQ45" si="40">IF(BO16="","",IF(AU16="JS","",IF(VLOOKUP(AU16,$DF$2:$DN$9,5,FALSE)&gt;FP16,IF(FP16&gt;=0.0625,CEILING(FP16-0.0625,0.125),FP16),"")))</x:f>
        <x:v/>
      </x:c>
      <x:c r="CR16" s="951">
        <x:f t="shared" ref="CR16:CR45" si="41">IF(AU16="","",IF(ABS(FF16)&lt;ABS($CX$2),VLOOKUP(AU16,$DF$2:$DN$9,3,FALSE),CEILING(VLOOKUP(AU16,$DF$2:$DN$9,3,FALSE)/COS(FE16)+0.375+IF(CU16="M",IF(FE16&gt;0,(DV16-DW16)/12,0),IF(FE16&gt;0,0,(DV16-CV16)/12))*ABS(FF16),0.125)))</x:f>
        <x:v>5</x:v>
      </x:c>
      <x:c r="CS16" s="952">
        <x:f t="shared" ref="CS16:CS45" si="42">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3">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4">BV16*-1</x:f>
        <x:v>0</x:v>
      </x:c>
      <x:c r="DO16" s="1094">
        <x:f t="shared" ref="DO16:DO45" si="45">IF(BW16="",0,ATAN(BW16/12))</x:f>
        <x:v>0</x:v>
      </x:c>
      <x:c r="DP16" s="1095" t="str">
        <x:f t="shared" ref="DP16:DP45" si="46">IF(OR(CV16="",BE16="",DF16=""),"",CEILING(IF(AND(BE16="",BF16=""),"",((BE16*12+BF16)+CV16+DF16)/COS(FN16))-0.0625,0.125))</x:f>
        <x:v/>
      </x:c>
      <x:c r="DQ16" s="1095" t="str">
        <x:f t="shared" ref="DQ16:DQ45" si="47">IF(AU16="","",IF(ABS(FF16)&lt;ABS($CX$2),CX16,IF(FF16=0,CX16,CEILING((CX16+((DW16-CV16)/12)*FF16)-0.0625,0.125))))</x:f>
        <x:v/>
      </x:c>
      <x:c r="DR16" s="1095" t="str">
        <x:f t="shared" ref="DR16:DR45" si="48">IF(AU16="","",IF(ABS(FK16)&lt;ABS($CX$2),DH16,IF(FK16=0,DH16,CEILING((DH16+((EC16-DF16)/12)*FK16)-0.0625,0.125))))</x:f>
        <x:v/>
      </x:c>
      <x:c r="DS16" s="1096">
        <x:f t="shared" ref="DS16:DS45" si="49">IF(BM16="",0,RADIANS(ABS(BM16)))</x:f>
        <x:v>0</x:v>
      </x:c>
      <x:c r="DT16" s="1052">
        <x:f t="shared" ref="DT16:DT45" si="50">MIN(IF(BH16&gt;0,BH16/2,MAX(BI16/2,DC16)),IF(BI16&gt;0,BI16/2,MAX(BH16/2,DC16)),IF(DC16&gt;0,DC16,MAX(BI16/2,BH16/2)))/IF(OR(CU16="C",AND(CU16="M",$DD$1="N")),1,COS(DS16))</x:f>
        <x:v>0</x:v>
      </x:c>
      <x:c r="DU16" s="1052" t="str">
        <x:f t="shared" ref="DU16:DU45" si="51">IF(CV16="","",IF(DC16&gt;=0,MAX(BH16/2,BI16/2,DC16),DC16)/IF(OR(CU16="C",AND(CU16="M",$DD$1="N")),1,COS(DS16)))</x:f>
        <x:v/>
      </x:c>
      <x:c r="DV16" s="1095" t="str">
        <x:f t="shared" ref="DV16:DV45" si="52">IF(CV16="","",(CV16+DU16+(VLOOKUP(IF(AU16="HDR","K",AU16),$DF$2:$DN$9,2,FALSE))*TAN(DS16))/COS(FD16)-FH16)</x:f>
        <x:v/>
      </x:c>
      <x:c r="DW16" s="1095" t="str">
        <x:f t="shared" ref="DW16:DW45" si="53">IF(CV16="","",MAX(0,IF(NOT(ISBLANK(CB16)),CV16-CB16,DV16-VLOOKUP(IF(AU16="HDR","K",AU16),$DF$2:$DN$9,4,FALSE))))</x:f>
        <x:v/>
      </x:c>
      <x:c r="DX16" s="1451">
        <x:f t="shared" ref="DX16:DX45" si="54">IF(CV16="",0,IF(DW16/COS(FN16-FD16)&lt;0.0625,0,CEILING(DW16/COS(FN16-FD16)-0.03125,0.125)))</x:f>
        <x:v>0</x:v>
      </x:c>
      <x:c r="DY16" s="1095">
        <x:f t="shared" ref="DY16:DY45" si="55">RADIANS(ABS(BU16))</x:f>
        <x:v>0</x:v>
      </x:c>
      <x:c r="DZ16" s="1052">
        <x:f t="shared" ref="DZ16:DZ45" si="56">MIN(IF(BP16&gt;0,BP16/2,MAX(BQ16/2,DM16)),IF(BQ16&gt;0,BQ16/2,MAX(BP16/2,DM16)),IF(DM16&gt;0,DM16,MAX(BQ16/2,BP16/2)))/IF(OR(DE16="C",AND(DE16="M",$DD$1="N")),1,COS(DY16))</x:f>
        <x:v>0</x:v>
      </x:c>
      <x:c r="EA16" s="1052" t="str">
        <x:f t="shared" ref="EA16:EA45" si="57">IF(DF16="","",IF(DM16&gt;=0,MAX(BP16/2,BQ16/2,DM16),DM16)/IF(OR(DE16="C",AND(DE16="M",$DD$1="N")),1,COS(DY16)))</x:f>
        <x:v/>
      </x:c>
      <x:c r="EB16" s="1095" t="str">
        <x:f t="shared" ref="EB16:EB45" si="58">IF(DF16="","",(DF16+EA16+(VLOOKUP(IF(AU16="HDR","K",AU16),$DF$2:$DN$9,2,FALSE))*TAN(DY16))/COS(FI16)-FM16)</x:f>
        <x:v/>
      </x:c>
      <x:c r="EC16" s="1095" t="str">
        <x:f t="shared" ref="EC16:EC45" si="59">IF(DF16="","",MAX(0,IF(NOT(ISBLANK(CC16)),DF16-CC16,EB16-VLOOKUP(IF(AU16="HDR","K",AU16),$DF$2:$DN$9,4,FALSE))))</x:f>
        <x:v/>
      </x:c>
      <x:c r="ED16" s="1451">
        <x:f t="shared" ref="ED16:ED45" si="60">IF(DF16="",0,IF(EC16/COS(FN16+FI16)&lt;0.0625,0,CEILING(EC16/COS(FN16+FI16)-0.03125,0.125)))</x:f>
        <x:v>0</x:v>
      </x:c>
      <x:c r="EE16" s="1107" t="str">
        <x:f t="shared" ref="EE16:EE45" si="61">IF(AND(EZ16="",DA16=""),"",IF(EZ16="ERR","ERR",IF(CU16="C",DA16,IF(BJ16="","",IF(DA16="",(EZ16/2)*-1,DA16)))))</x:f>
        <x:v/>
      </x:c>
      <x:c r="EF16" s="1095" t="str">
        <x:f t="shared" ref="EF16:EF45" si="62">IF(EE16="ERR","ERR",IF(EE16="","",IF(DB16*TAN(DS16)&lt;=(VLOOKUP(AU16,$DF$2:$DN$9,8,FALSE)-(VLOOKUP(AU16,$DF$2:$DN$9,7,FALSE)-0.0625)),CV16-(EE16-FH16)/IF(OR(CU16="C",AND(CU16="M",$DD$1="N")),1,COS(DS16))-IF(MID(CW16,1,1)="R",0,DW16),(ABS(EE16-FH16)/IF(OR(CU16="C",AND(CU16="M",$DD$1="N")),1,COS(DS16))+CV16)-((DB16/2)*TAN(DS16))-IF(MID(CW16,1,1)="R",0,DW16))))</x:f>
        <x:v/>
      </x:c>
      <x:c r="EG16" s="1095" t="str">
        <x:f t="shared" ref="EG16:EG45" si="63">IF(EE16="ERR","ERR",IF(EE16="","",IF(DB16*TAN(DS16)&lt;=(VLOOKUP(AU16,$DF$2:$DN$9,8,FALSE)-(VLOOKUP(AU16,$DF$2:$DN$9,7,FALSE)-0.0625)),CV16-(EE16-FH16)/IF(OR(CU16="C",AND(CU16="M",$DD$1="N")),1,COS(DS16))-IF(MID(CW16,1,1)="R",0,DW16),(ABS(EE16-FH16)/IF(OR(CU16="C",AND(CU16="M",$DD$1="N")),1,COS(DS16))+CV16)+((DB16/2)*TAN(DS16))-IF(MID(CW16,1,1)="R",0,DW16))))</x:f>
        <x:v/>
      </x:c>
      <x:c r="EH16" s="1095" t="str">
        <x:f t="shared" ref="EH16:EH45" si="64">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5">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6">IF(ISERROR(EF16),"ERR",IF(EF16="","",IF(EH16="ERR","ERR",CEILING(EH16-0.0625,0.125))))</x:f>
        <x:v/>
      </x:c>
      <x:c r="EK16" s="1095" t="str">
        <x:f t="shared" si="66"/>
        <x:v/>
      </x:c>
      <x:c r="EL16" s="1107" t="str">
        <x:f t="shared" ref="EL16:EL45" si="67">IF(AND(FC16="",DK16=""),"",IF(FC16="ERR","ERR",IF(DE16="C",DK16,IF(BR16="","",IF(DK16="",(FC16/2)*-1,DK16)))))</x:f>
        <x:v/>
      </x:c>
      <x:c r="EM16" s="1095" t="str">
        <x:f t="shared" ref="EM16:EM45" si="68">IF(EL16="ERR","ERR",IF(EL16="","",IF(DL16*TAN(DY16)&lt;=(VLOOKUP(AU16,$DF$2:$DN$9,8,FALSE)-(VLOOKUP(AU16,$DF$2:$DN$9,7,FALSE)-0.0625)),DF16-(EL16-FM16)/IF(OR(DE16="C",AND(DE16="M",$DD$1="N")),1,COS(DY16))-IF(MID(DG16,1,1)="R",0,EC16),(ABS(EL16-FM16)/IF(OR(DE16="C",AND(DE16="M",$DD$1="N")),1,COS(DY16))+DF16)-((DL16/2)*TAN(DY16))-IF(MID(DG16,1,1)="R",0,EC16))))</x:f>
        <x:v/>
      </x:c>
      <x:c r="EN16" s="1095" t="str">
        <x:f t="shared" ref="EN16:EN45" si="69">IF(EL16="ERR","ERR",IF(EL16="","",IF(DL16*TAN(DY16)&lt;=(VLOOKUP(AU16,$DF$2:$DN$9,8,FALSE)-(VLOOKUP(AU16,$DF$2:$DN$9,7,FALSE)-0.0625)),DF16-(EL16-FM16)/IF(OR(DE16="C",AND(DE16="M",$DD$1="N")),1,COS(DY16))-IF(MID(DG16,1,1)="R",0,EC16),(ABS(EL16-FM16)/IF(OR(DE16="C",AND(DE16="M",$DD$1="N")),1,COS(DY16))+DF16)+((DL16/2)*TAN(DY16))-IF(MID(DG16,1,1)="R",0,EC16))))</x:f>
        <x:v/>
      </x:c>
      <x:c r="EO16" s="1095" t="str">
        <x:f t="shared" ref="EO16:EO45" si="70">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1">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2">IF(ISERROR(EM16),"ERR",IF(EM16="","",IF(EO16="ERR","ERR",CEILING(EO16-0.0625,0.125))))</x:f>
        <x:v/>
      </x:c>
      <x:c r="ER16" s="1095" t="str">
        <x:f t="shared" si="72"/>
        <x:v/>
      </x:c>
      <x:c r="ES16" s="1053" t="str">
        <x:f t="shared" ref="ES16:ES45" si="73">IF(OR(CY16="",AU16="JS",AU16="HDR",CD16=""),"",IF((CV16-CY16)/COS(DO16)-FS16&lt;=-0.0625,CEILING((CV16-CY16)/COS(DO16)-FS16+0.0625,-0.125),IF((CV16-CY16)/COS(DO16)-FS16&gt;=0.0625,CEILING((CV16-CY16)/COS(DO16)-FS16-0.0625,0.125),0)))</x:f>
        <x:v/>
      </x:c>
      <x:c r="ET16" s="1053" t="str">
        <x:f t="shared" ref="ET16:ET45" si="74">IF(OR(DI16="",AU16="JS",AU16="HDR",CE16=""),"",IF((DF16-DI16)/COS(DO16)-FT16&lt;=-0.0625,CEILING((DF16-DI16)/COS(DO16)-FT16+0.0625,-0.125),IF((DF16-DI16)/COS(DO16)-FT16&gt;=0.0625,CEILING((DF16-DI16)/COS(DO16)-FT16-0.0625,0.125),0)))</x:f>
        <x:v/>
      </x:c>
      <x:c r="EU16" s="1097">
        <x:f t="shared" ref="EU16:EU45" si="75">IF(AU16="","",VLOOKUP(AU16,$DF$2:$DN$9,6,FALSE))</x:f>
        <x:v>4</x:v>
      </x:c>
      <x:c r="EV16" s="1055" t="str">
        <x:f t="shared" ref="EV16:EV45" si="76">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77">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78">IF(BR16="X",IF(OR(DE16="M",DE16="C"),"",IF((FB16-FA16)/2&lt;=(VLOOKUP(AU16,$DF$2:$DN$9,8,FALSE)-(VLOOKUP(AU16,$DF$2:$DN$9,7,FALSE)-0.0625)),(FA16+FB16)/2,"ERR")),"")</x:f>
        <x:v/>
      </x:c>
      <x:c r="FD16" s="1096">
        <x:f>IF(DD16="",0,ATAN(DD16/12))</x:f>
        <x:v>0</x:v>
      </x:c>
      <x:c r="FE16" s="1096">
        <x:f t="shared" ref="FE16:FE45" si="79">DO16-FD16</x:f>
        <x:v>0</x:v>
      </x:c>
      <x:c r="FF16" s="1096">
        <x:f t="shared" ref="FF16:FF45" si="80">TAN(FE16)*12</x:f>
        <x:v>0</x:v>
      </x:c>
      <x:c r="FG16" s="1096" t="str">
        <x:f t="shared" ref="FG16:FG45" si="81">IF(FF16=0,"",IF(ABS(FF16)&lt;$CX$2,IF(AND(ABS(MIN(DV16,FQ16)/12*FF16)&gt;$DD$2,FF16&gt;0),IF(FF16&gt;0,CEILING(FF16-0.0625,0.125),CEILING(FF16+0.0625,-0.125)),""),IF(FF16&gt;0,CEILING(FF16-0.0625,0.125),CEILING(FF16+0.0625,-0.125))))</x:f>
        <x:v/>
      </x:c>
      <x:c r="FH16" s="1095" t="str">
        <x:f t="shared" ref="FH16:FH45" si="82">IF(CX16="","",CX16*TAN(FD16))</x:f>
        <x:v/>
      </x:c>
      <x:c r="FI16" s="1096">
        <x:f>IF(DN16="",0,ATAN(DN16/12))</x:f>
        <x:v>0</x:v>
      </x:c>
      <x:c r="FJ16" s="1096">
        <x:f t="shared" ref="FJ16:FJ45" si="83">DO16+FI16</x:f>
        <x:v>0</x:v>
      </x:c>
      <x:c r="FK16" s="1096">
        <x:f t="shared" ref="FK16:FK45" si="84">TAN(FJ16)*-12</x:f>
        <x:v>0</x:v>
      </x:c>
      <x:c r="FL16" s="1096" t="str">
        <x:f t="shared" ref="FL16:FL45" si="85">IF(FK16=0,"",IF(ABS(FK16)&lt;$CX$2,IF(AND(ABS(MIN(EB16,FR16)/12*FK16)&gt;$DD$2,FK16&gt;0),IF(FK16&gt;0,CEILING(FK16-0.0625,0.125),CEILING(FK16+0.0625,-0.125)),""),IF(FK16&gt;0,CEILING(FK16-0.0625,0.125),CEILING(FK16+0.0625,-0.125))))</x:f>
        <x:v/>
      </x:c>
      <x:c r="FM16" s="1095" t="str">
        <x:f t="shared" ref="FM16:FM45" si="86">IF(DH16="","",DH16*TAN(FI16))</x:f>
        <x:v/>
      </x:c>
      <x:c r="FN16" s="1095" t="e">
        <x:f t="shared" ref="FN16:FN45" si="87">IF(((BE16*12+BF16)+CV16+DF16)/COS(DO16)-((BE16*12+BF16)+CV16+DF16)&lt;$DB$2,0,DO16)</x:f>
        <x:v>#VALUE!</x:v>
      </x:c>
      <x:c r="FO16" s="1098" t="e">
        <x:f t="shared" ref="FO16:FO45" si="88">MIN(IF(BH16&gt;0,BH16/2,MAX(BI16/2,DC16)),IF(BI16&gt;0,BI16/2,MAX(BH16/2,DC16)),IF(DC16&gt;0,DC16,MAX(BI16/2,BH16/2)))/COS(DS16)+CV16-DW16</x:f>
        <x:v>#VALUE!</x:v>
      </x:c>
      <x:c r="FP16" s="1098" t="e">
        <x:f t="shared" ref="FP16:FP45" si="89">MIN(IF(BP16&gt;0,BP16/2,MAX(BQ16/2,DM16)),IF(BQ16&gt;0,BQ16/2,MAX(BP16/2,DM16)),IF(DM16&gt;0,DM16,MAX(BQ16/2,BP16/2)))/COS(DY16)+DF16-EC16</x:f>
        <x:v>#VALUE!</x:v>
      </x:c>
      <x:c r="FQ16" s="1099" t="e">
        <x:f t="shared" ref="FQ16:FQ45" si="90">IF(OR(CU16="M", CU16="B",CU16="G"),MAX(BH16,BI16),DC16+CV16)</x:f>
        <x:v>#VALUE!</x:v>
      </x:c>
      <x:c r="FR16" s="1100" t="e">
        <x:f t="shared" ref="FR16:FR45" si="91">IF(OR(DE16="M", DE16="B",DE16="G"),MAX(BP16,BQ16),DM16+DF16)</x:f>
        <x:v>#VALUE!</x:v>
      </x:c>
      <x:c r="FS16" s="1101" t="str">
        <x:f t="shared" ref="FS16:FS45" si="92">IF(CY16="","",IF(ABS(BW16*((AJ16-IF(BW16&gt;0,VLOOKUP(AU16,$DF$2:$DN$9,9,FALSE),0))/12))&gt;$CZ$2,BW16*((AJ16-IF(BW16&gt;0,VLOOKUP(AU16,$DF$2:$DN$9,9,FALSE),0))/12),0))</x:f>
        <x:v/>
      </x:c>
      <x:c r="FT16" s="1102" t="str">
        <x:f t="shared" ref="FT16:FT45" si="93">IF(DI16="","",IF(ABS(BW16*((AJ16-IF(BW16&lt;0,VLOOKUP(AU16,$DF$2:$DN$9,9,FALSE),0))/12))&gt;$CZ$2,BW16*((AJ16-IF(BW16&lt;0,VLOOKUP(AU16,$DF$2:$DN$9,9,FALSE),0))/12)*-1,0))</x:f>
        <x:v/>
      </x:c>
      <x:c r="FU16" s="1103">
        <x:f t="shared" ref="FU16:FU45" si="94">IF(CX16="",0,MAX(0,MIN(DV16-VLOOKUP(AU16,DF$2:DN$9,4,FALSE),(MAX(0,CX16-VLOOKUP(AU16,DF$2:DN$9,3,FALSE))+VLOOKUP(AU16,DF$2:DN$9,4,FALSE))*COS(DO16)+((MAX(0,CX16-VLOOKUP(AU16,DF$2:DN$9,3,FALSE))+VLOOKUP(AU16,DF$2:DN$9,4,FALSE))*COS(PI()/2-DO16))/TAN(PI()/2-(DO16+PI()/4))-VLOOKUP(AU16,DF$2:DN$9,4,FALSE))))</x:f>
        <x:v>0</x:v>
      </x:c>
      <x:c r="FV16" s="1104">
        <x:f t="shared" ref="FV16:FV45" si="95">IF(DH16="",0,MAX(0,MIN(EB16-VLOOKUP(AU16,DF$2:DN$9,4,FALSE),(MAX(0,DH16-VLOOKUP(AU16,DF$2:DN$9,3,FALSE))+VLOOKUP(AU16,DF$2:DN$9,4,FALSE))*COS(DO16)+((MAX(0,DH16-VLOOKUP(AU16,DF$2:DN$9,3,FALSE))+VLOOKUP(AU16,DF$2:DN$9,4,FALSE))*COS(PI()/2-DO16))/TAN(PI()/2-(DO16+PI()/4))-VLOOKUP(AU16,DF$2:DN$9,4,FALSE))))</x:f>
        <x:v>0</x:v>
      </x:c>
      <x:c r="GA16" s="1975">
        <x:v>59</x:v>
      </x:c>
      <x:c r="GB16" s="1976">
        <x:v>2.75</x:v>
      </x:c>
      <x:c r="GC16" s="1977">
        <x:v>-1.875</x:v>
      </x:c>
      <x:c r="GD16" s="1978">
        <x:v>-1</x:v>
      </x:c>
      <x:c r="GE16" s="1979">
        <x:v>0.227928244811819</x:v>
      </x:c>
      <x:c r="GF16" s="1980" t="str">
        <x:f t="shared" ref="GF16:GF45" si="96">IF(A16=0,"",A16)</x:f>
        <x:v>TJ167</x:v>
      </x:c>
      <x:c r="GG16" s="1453"/>
      <x:c r="GH16" s="1454"/>
      <x:c r="GI16" s="1453"/>
      <x:c r="GJ16" s="1454"/>
      <x:c r="GK16" s="533">
        <x:f t="shared" ref="GK16:GK45" si="97">IF(D16="",0,D16*12+E16)</x:f>
        <x:v>707.875</x:v>
      </x:c>
      <x:c r="GL16" s="534">
        <x:f t="shared" ref="GL16:GL45" si="98">(GA16*12+GB16+GC16+GD16)/COS(ATAN(ABS(GE16/12)))</x:f>
        <x:v>708.0026795120051</x:v>
      </x:c>
      <x:c r="GM16" s="535">
        <x:f>IF(ABS(GK16-GL16)&gt;='Job Info.'!$L$22,ABS(GK16-GL16),0)</x:f>
        <x:v>0</x:v>
      </x:c>
      <x:c r="HA16" s="1652" t="s">
        <x:v>1491</x:v>
      </x:c>
      <x:c r="HB16" s="1653">
        <x:v>1</x:v>
      </x:c>
      <x:c r="HC16" s="1653" t="s">
        <x:v>1978</x:v>
      </x:c>
      <x:c r="HD16" s="1654">
        <x:v>58</x:v>
      </x:c>
      <x:c r="HE16" s="1655">
        <x:v>11.875</x:v>
      </x:c>
      <x:c r="HF16" s="1653" t="s">
        <x:v>117</x:v>
      </x:c>
      <x:c r="HG16" s="1653" t="s">
        <x:v>117</x:v>
      </x:c>
      <x:c r="HH16" s="1653" t="s">
        <x:v>117</x:v>
      </x:c>
      <x:c r="HI16" s="1656">
        <x:v>0</x:v>
      </x:c>
      <x:c r="HJ16" s="1653">
        <x:v>0.625</x:v>
      </x:c>
      <x:c r="HK16" s="1653" t="s">
        <x:v>114</x:v>
      </x:c>
      <x:c r="HL16" s="1653">
        <x:v>3</x:v>
      </x:c>
      <x:c r="HM16" s="1653">
        <x:v>3</x:v>
      </x:c>
      <x:c r="HN16" s="1653" t="s">
        <x:v>117</x:v>
      </x:c>
      <x:c r="HO16" s="1653" t="s">
        <x:v>117</x:v>
      </x:c>
      <x:c r="HP16" s="1653" t="s">
        <x:v>117</x:v>
      </x:c>
      <x:c r="HQ16" s="1656">
        <x:v>0</x:v>
      </x:c>
      <x:c r="HR16" s="1653">
        <x:v>6.625</x:v>
      </x:c>
      <x:c r="HS16" s="1653">
        <x:v>2</x:v>
      </x:c>
      <x:c r="HT16" s="1653">
        <x:v>0</x:v>
      </x:c>
      <x:c r="HU16" s="1653">
        <x:v>1.125</x:v>
      </x:c>
      <x:c r="HV16" s="1653">
        <x:v>0</x:v>
      </x:c>
      <x:c r="HW16" s="1655">
        <x:v>1.5</x:v>
      </x:c>
      <x:c r="HX16" s="1655">
        <x:v>4</x:v>
      </x:c>
      <x:c r="HY16" s="1655" t="s">
        <x:v>117</x:v>
      </x:c>
      <x:c r="HZ16" s="1655" t="s">
        <x:v>117</x:v>
      </x:c>
      <x:c r="IA16" s="1655" t="s">
        <x:v>2181</x:v>
      </x:c>
      <x:c r="IB16" s="1655"/>
      <x:c r="IC16" s="1655"/>
      <x:c r="ID16" s="1655"/>
      <x:c r="IE16" s="1655"/>
      <x:c r="IF16" s="1657"/>
    </x:row>
    <x:row r="17" spans="1:240" ht="12.6" customHeight="1" x14ac:dyDescent="0.25">
      <x:c r="A17" s="1264" t="s">
        <x:v>1492</x:v>
      </x:c>
      <x:c r="B17" s="1265">
        <x:v>2</x:v>
      </x:c>
      <x:c r="C17" s="1265" t="s">
        <x:v>1978</x:v>
      </x:c>
      <x:c r="D17" s="1261">
        <x:v>59</x:v>
      </x:c>
      <x:c r="E17" s="1366">
        <x:v>0.625</x:v>
      </x:c>
      <x:c r="F17" s="1328" t="str">
        <x:f t="shared" si="1"/>
        <x:v/>
      </x:c>
      <x:c r="G17" s="1262" t="str">
        <x:f t="shared" si="2"/>
        <x:v/>
      </x:c>
      <x:c r="H17" s="1266" t="str">
        <x:f t="shared" si="3"/>
        <x:v/>
      </x:c>
      <x:c r="I17" s="1261">
        <x:v>0</x:v>
      </x:c>
      <x:c r="J17" s="1262">
        <x:v>1.375</x:v>
      </x:c>
      <x:c r="K17" s="1370" t="s">
        <x:v>114</x:v>
      </x:c>
      <x:c r="L17" s="1327">
        <x:v>3</x:v>
      </x:c>
      <x:c r="M17" s="1329">
        <x:v>3</x:v>
      </x:c>
      <x:c r="N17" s="1263" t="str">
        <x:f t="shared" si="4"/>
        <x:v/>
      </x:c>
      <x:c r="O17" s="1262" t="str">
        <x:f t="shared" si="5"/>
        <x:v/>
      </x:c>
      <x:c r="P17" s="1260" t="str">
        <x:f t="shared" si="6"/>
        <x:v/>
      </x:c>
      <x:c r="Q17" s="1261" t="str">
        <x:f t="shared" ref="Q17:Q44" si="99">IF(ET17="","",IF(AND(ET17&lt;0,ET17&gt;-12),TRUNC(ET17/12)-0.0000001,TRUNC(ET17/12)))</x:f>
        <x:v/>
      </x:c>
      <x:c r="R17" s="1262" t="str">
        <x:f t="shared" ref="R17:R44" si="100">IF(ET17="","",IF(AND(ET17-(Q17*12)=0,ET17&lt;0),-0.000001,ET17-(Q17*12)))</x:f>
        <x:v/>
      </x:c>
      <x:c r="S17" s="1375" t="str">
        <x:f t="shared" ref="S17:S44" si="101">IF(ET17="","",DJ17)</x:f>
        <x:v/>
      </x:c>
      <x:c r="T17" s="1328">
        <x:v>0</x:v>
      </x:c>
      <x:c r="U17" s="1262">
        <x:v>1.125</x:v>
      </x:c>
      <x:c r="V17" s="1261">
        <x:v>0</x:v>
      </x:c>
      <x:c r="W17" s="1262">
        <x:v>2.25</x:v>
      </x:c>
      <x:c r="X17" s="1329">
        <x:v>4</x:v>
      </x:c>
      <x:c r="Y17" s="1377" t="str">
        <x:f t="shared" si="7"/>
        <x:v/>
      </x:c>
      <x:c r="Z17" s="1378" t="str">
        <x:f t="shared" si="8"/>
        <x:v/>
      </x:c>
      <x:c r="AA17" s="2159" t="s">
        <x:v>2181</x:v>
      </x:c>
      <x:c r="AC17" s="1226" t="b">
        <x:v>0</x:v>
      </x:c>
      <x:c r="AD17" s="525">
        <x:f t="shared" si="9"/>
        <x:v>0</x:v>
      </x:c>
      <x:c r="AE17" s="526">
        <x:f t="shared" si="10"/>
        <x:v>2</x:v>
      </x:c>
      <x:c r="AF17" s="526">
        <x:f t="shared" si="11"/>
        <x:v>0</x:v>
      </x:c>
      <x:c r="AG17" s="526">
        <x:f t="shared" si="12"/>
        <x:v>0</x:v>
      </x:c>
      <x:c r="AH17" s="527">
        <x:f t="shared" si="13"/>
        <x:v>0</x:v>
      </x:c>
      <x:c r="AI17" s="528" t="b">
        <x:v>0</x:v>
      </x:c>
      <x:c r="AJ17" s="284">
        <x:f t="shared" si="14"/>
        <x:v>36</x:v>
      </x:c>
      <x:c r="AK17" s="1063" t="str">
        <x:f t="shared" si="15"/>
        <x:v>LH</x:v>
      </x:c>
      <x:c r="AL17" s="1202" t="str">
        <x:f t="shared" si="16"/>
        <x:v/>
      </x:c>
      <x:c r="AM17" s="1063">
        <x:f t="shared" si="17"/>
        <x:v>270</x:v>
      </x:c>
      <x:c r="AN17" s="1063">
        <x:f t="shared" si="18"/>
        <x:v>120</x:v>
      </x:c>
      <x:c r="AO17" s="1063" t="str">
        <x:f t="shared" si="19"/>
        <x:v/>
      </x:c>
      <x:c r="AP17" s="1063" t="b">
        <x:f>IF(ISERROR(AJ17),FALSE,IF(OR(AJ17=0,ISERROR(AL17),ISERROR(AM17),ISERROR(AN17),ISERROR(AO17)),FALSE,IF(AL17&lt;&gt;"",IF(ISERROR(VLOOKUP(SUBSTITUTE(SUBSTITUTE(C17,"R",""),"A",""),TblJoistSize!$A:$A,1,FALSE)),FALSE,TRUE),TRUE)))</x:f>
        <x:v>1</x:v>
      </x:c>
      <x:c r="AQ17" s="1305">
        <x:f t="shared" si="20"/>
        <x:v>6</x:v>
      </x:c>
      <x:c r="AR17" s="1305" t="b">
        <x:f t="shared" si="21"/>
        <x:v>1</x:v>
      </x:c>
      <x:c r="AS17" s="1305">
        <x:f t="shared" si="22"/>
        <x:v>7.375</x:v>
      </x:c>
      <x:c r="AT17" s="1305" t="b">
        <x:f t="shared" si="23"/>
        <x:v>1</x:v>
      </x:c>
      <x:c r="AU17" s="1203" t="str">
        <x:f t="shared" si="24"/>
        <x:v>LH</x:v>
      </x:c>
      <x:c r="AV17" s="1063" t="str">
        <x:f t="shared" si="25"/>
        <x:v/>
      </x:c>
      <x:c r="AW17" s="1063" t="str">
        <x:f t="shared" si="26"/>
        <x:v>LH</x:v>
      </x:c>
      <x:c r="AX17" s="1063" t="str">
        <x:f t="shared" ref="AX17:AX45" si="102">IF(AND(OR(ISBLANK(A17),A17=""),AA17&lt;&gt;""),AX16,IF(OR(ISBLANK(A17),A17=""),"",A17))</x:f>
        <x:v>TJ168</x:v>
      </x:c>
      <x:c r="AY17" s="1306" t="b">
        <x:f t="shared" si="27"/>
        <x:v>0</x:v>
      </x:c>
      <x:c r="AZ17" s="1090" t="b">
        <x:f t="shared" si="28"/>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29"/>
        <x:v/>
      </x:c>
      <x:c r="CE17" s="935" t="str">
        <x:f t="shared" si="30"/>
        <x:v/>
      </x:c>
      <x:c r="CF17" s="1149"/>
      <x:c r="CG17" s="1150"/>
      <x:c r="CH17" s="738" t="str">
        <x:f t="shared" si="31"/>
        <x:v/>
      </x:c>
      <x:c r="CI17" s="739" t="str">
        <x:f t="shared" si="32"/>
        <x:v/>
      </x:c>
      <x:c r="CJ17" s="740" t="str">
        <x:f t="shared" si="33"/>
        <x:v/>
      </x:c>
      <x:c r="CK17" s="741" t="str">
        <x:f t="shared" si="34"/>
        <x:v/>
      </x:c>
      <x:c r="CL17" s="742" t="str">
        <x:f t="shared" si="35"/>
        <x:v/>
      </x:c>
      <x:c r="CM17" s="743" t="str">
        <x:f t="shared" si="36"/>
        <x:v/>
      </x:c>
      <x:c r="CN17" s="744" t="str">
        <x:f t="shared" si="37"/>
        <x:v/>
      </x:c>
      <x:c r="CO17" s="745" t="str">
        <x:f t="shared" si="38"/>
        <x:v/>
      </x:c>
      <x:c r="CP17" s="762" t="str">
        <x:f t="shared" si="39"/>
        <x:v/>
      </x:c>
      <x:c r="CQ17" s="763" t="str">
        <x:f t="shared" si="40"/>
        <x:v/>
      </x:c>
      <x:c r="CR17" s="953">
        <x:f t="shared" si="41"/>
        <x:v>5</x:v>
      </x:c>
      <x:c r="CS17" s="954">
        <x:f t="shared" si="42"/>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3"/>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4"/>
        <x:v>0</x:v>
      </x:c>
      <x:c r="DO17" s="1049">
        <x:f t="shared" si="45"/>
        <x:v>0</x:v>
      </x:c>
      <x:c r="DP17" s="1053" t="str">
        <x:f t="shared" si="46"/>
        <x:v/>
      </x:c>
      <x:c r="DQ17" s="1053" t="str">
        <x:f t="shared" si="47"/>
        <x:v/>
      </x:c>
      <x:c r="DR17" s="1053" t="str">
        <x:f t="shared" si="48"/>
        <x:v/>
      </x:c>
      <x:c r="DS17" s="1052">
        <x:f t="shared" si="49"/>
        <x:v>0</x:v>
      </x:c>
      <x:c r="DT17" s="1052">
        <x:f t="shared" si="50"/>
        <x:v>0</x:v>
      </x:c>
      <x:c r="DU17" s="1052" t="str">
        <x:f t="shared" si="51"/>
        <x:v/>
      </x:c>
      <x:c r="DV17" s="1053" t="str">
        <x:f t="shared" si="52"/>
        <x:v/>
      </x:c>
      <x:c r="DW17" s="1053" t="str">
        <x:f t="shared" si="53"/>
        <x:v/>
      </x:c>
      <x:c r="DX17" s="1269">
        <x:f t="shared" si="54"/>
        <x:v>0</x:v>
      </x:c>
      <x:c r="DY17" s="1053">
        <x:f t="shared" si="55"/>
        <x:v>0</x:v>
      </x:c>
      <x:c r="DZ17" s="1052">
        <x:f t="shared" si="56"/>
        <x:v>0</x:v>
      </x:c>
      <x:c r="EA17" s="1052" t="str">
        <x:f t="shared" si="57"/>
        <x:v/>
      </x:c>
      <x:c r="EB17" s="1053" t="str">
        <x:f t="shared" si="58"/>
        <x:v/>
      </x:c>
      <x:c r="EC17" s="1053" t="str">
        <x:f t="shared" si="59"/>
        <x:v/>
      </x:c>
      <x:c r="ED17" s="1269">
        <x:f t="shared" si="60"/>
        <x:v>0</x:v>
      </x:c>
      <x:c r="EE17" s="1090" t="str">
        <x:f t="shared" si="61"/>
        <x:v/>
      </x:c>
      <x:c r="EF17" s="1053" t="str">
        <x:f t="shared" si="62"/>
        <x:v/>
      </x:c>
      <x:c r="EG17" s="1053" t="str">
        <x:f t="shared" si="63"/>
        <x:v/>
      </x:c>
      <x:c r="EH17" s="1053" t="str">
        <x:f t="shared" si="64"/>
        <x:v>ERR</x:v>
      </x:c>
      <x:c r="EI17" s="1053" t="str">
        <x:f t="shared" si="65"/>
        <x:v>ERR</x:v>
      </x:c>
      <x:c r="EJ17" s="1053" t="str">
        <x:f t="shared" si="66"/>
        <x:v/>
      </x:c>
      <x:c r="EK17" s="1053" t="str">
        <x:f t="shared" si="66"/>
        <x:v/>
      </x:c>
      <x:c r="EL17" s="1090" t="str">
        <x:f t="shared" si="67"/>
        <x:v/>
      </x:c>
      <x:c r="EM17" s="1053" t="str">
        <x:f t="shared" si="68"/>
        <x:v/>
      </x:c>
      <x:c r="EN17" s="1053" t="str">
        <x:f t="shared" si="69"/>
        <x:v/>
      </x:c>
      <x:c r="EO17" s="1053" t="str">
        <x:f t="shared" si="70"/>
        <x:v>ERR</x:v>
      </x:c>
      <x:c r="EP17" s="1053" t="str">
        <x:f t="shared" si="71"/>
        <x:v>ERR</x:v>
      </x:c>
      <x:c r="EQ17" s="1053" t="str">
        <x:f t="shared" si="72"/>
        <x:v/>
      </x:c>
      <x:c r="ER17" s="1053" t="str">
        <x:f t="shared" si="72"/>
        <x:v/>
      </x:c>
      <x:c r="ES17" s="1053" t="str">
        <x:f t="shared" si="73"/>
        <x:v/>
      </x:c>
      <x:c r="ET17" s="1053" t="str">
        <x:f t="shared" si="74"/>
        <x:v/>
      </x:c>
      <x:c r="EU17" s="1061">
        <x:f t="shared" si="75"/>
        <x:v>4</x:v>
      </x:c>
      <x:c r="EV17" s="1055" t="str">
        <x:f t="shared" si="76"/>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77"/>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78"/>
        <x:v/>
      </x:c>
      <x:c r="FD17" s="1052">
        <x:f t="shared" ref="FD17:FD45" si="103">IF(DD17="",0,ATAN(DD17/12))</x:f>
        <x:v>0</x:v>
      </x:c>
      <x:c r="FE17" s="1052">
        <x:f t="shared" si="79"/>
        <x:v>0</x:v>
      </x:c>
      <x:c r="FF17" s="1052">
        <x:f t="shared" si="80"/>
        <x:v>0</x:v>
      </x:c>
      <x:c r="FG17" s="1052" t="str">
        <x:f t="shared" si="81"/>
        <x:v/>
      </x:c>
      <x:c r="FH17" s="1053" t="str">
        <x:f t="shared" si="82"/>
        <x:v/>
      </x:c>
      <x:c r="FI17" s="1052">
        <x:f t="shared" ref="FI17:FI45" si="104">IF(DN17="",0,ATAN(DN17/12))</x:f>
        <x:v>0</x:v>
      </x:c>
      <x:c r="FJ17" s="1052">
        <x:f t="shared" si="83"/>
        <x:v>0</x:v>
      </x:c>
      <x:c r="FK17" s="1052">
        <x:f t="shared" si="84"/>
        <x:v>0</x:v>
      </x:c>
      <x:c r="FL17" s="1052" t="str">
        <x:f t="shared" si="85"/>
        <x:v/>
      </x:c>
      <x:c r="FM17" s="1053" t="str">
        <x:f t="shared" si="86"/>
        <x:v/>
      </x:c>
      <x:c r="FN17" s="1053" t="e">
        <x:f t="shared" si="87"/>
        <x:v>#VALUE!</x:v>
      </x:c>
      <x:c r="FO17" s="1062" t="e">
        <x:f t="shared" si="88"/>
        <x:v>#VALUE!</x:v>
      </x:c>
      <x:c r="FP17" s="1062" t="e">
        <x:f t="shared" si="89"/>
        <x:v>#VALUE!</x:v>
      </x:c>
      <x:c r="FQ17" s="1063" t="e">
        <x:f t="shared" si="90"/>
        <x:v>#VALUE!</x:v>
      </x:c>
      <x:c r="FR17" s="1064" t="e">
        <x:f t="shared" si="91"/>
        <x:v>#VALUE!</x:v>
      </x:c>
      <x:c r="FS17" s="1065" t="str">
        <x:f t="shared" si="92"/>
        <x:v/>
      </x:c>
      <x:c r="FT17" s="1066" t="str">
        <x:f t="shared" si="93"/>
        <x:v/>
      </x:c>
      <x:c r="FU17" s="1105">
        <x:f t="shared" si="94"/>
        <x:v>0</x:v>
      </x:c>
      <x:c r="FV17" s="1106">
        <x:f t="shared" si="95"/>
        <x:v>0</x:v>
      </x:c>
      <x:c r="GA17" s="1975">
        <x:v>59</x:v>
      </x:c>
      <x:c r="GB17" s="1976">
        <x:v>2.75</x:v>
      </x:c>
      <x:c r="GC17" s="1977">
        <x:v>-1.875</x:v>
      </x:c>
      <x:c r="GD17" s="1978">
        <x:v>-0.25</x:v>
      </x:c>
      <x:c r="GE17" s="1979">
        <x:v>0.227928244811819</x:v>
      </x:c>
      <x:c r="GF17" s="1980" t="str">
        <x:f t="shared" si="96"/>
        <x:v>TJ168</x:v>
      </x:c>
      <x:c r="GG17" s="1453"/>
      <x:c r="GH17" s="1454"/>
      <x:c r="GI17" s="1453"/>
      <x:c r="GJ17" s="1454"/>
      <x:c r="GK17" s="533">
        <x:f t="shared" si="97"/>
        <x:v>708.625</x:v>
      </x:c>
      <x:c r="GL17" s="534">
        <x:f t="shared" si="98"/>
        <x:v>708.75281478960926</x:v>
      </x:c>
      <x:c r="GM17" s="535">
        <x:f>IF(ABS(GK17-GL17)&gt;='Job Info.'!$L$22,ABS(GK17-GL17),0)</x:f>
        <x:v>0</x:v>
      </x:c>
      <x:c r="HA17" s="1658" t="s">
        <x:v>1492</x:v>
      </x:c>
      <x:c r="HB17" s="1659">
        <x:v>2</x:v>
      </x:c>
      <x:c r="HC17" s="1659" t="s">
        <x:v>1978</x:v>
      </x:c>
      <x:c r="HD17" s="1660">
        <x:v>59</x:v>
      </x:c>
      <x:c r="HE17" s="1661">
        <x:v>0.625</x:v>
      </x:c>
      <x:c r="HF17" s="1659" t="s">
        <x:v>117</x:v>
      </x:c>
      <x:c r="HG17" s="1659" t="s">
        <x:v>117</x:v>
      </x:c>
      <x:c r="HH17" s="1659" t="s">
        <x:v>117</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1.125</x:v>
      </x:c>
      <x:c r="HV17" s="1659">
        <x:v>0</x:v>
      </x:c>
      <x:c r="HW17" s="1661">
        <x:v>2.25</x:v>
      </x:c>
      <x:c r="HX17" s="1661">
        <x:v>4</x:v>
      </x:c>
      <x:c r="HY17" s="1661" t="s">
        <x:v>117</x:v>
      </x:c>
      <x:c r="HZ17" s="1661" t="s">
        <x:v>117</x:v>
      </x:c>
      <x:c r="IA17" s="1661" t="s">
        <x:v>2181</x:v>
      </x:c>
      <x:c r="IB17" s="1661"/>
      <x:c r="IC17" s="1661"/>
      <x:c r="ID17" s="1661"/>
      <x:c r="IE17" s="1661"/>
      <x:c r="IF17" s="1663"/>
    </x:row>
    <x:row r="18" spans="1:240" ht="12.6" customHeight="1" x14ac:dyDescent="0.25">
      <x:c r="A18" s="1264" t="s">
        <x:v>1493</x:v>
      </x:c>
      <x:c r="B18" s="1265">
        <x:v>1</x:v>
      </x:c>
      <x:c r="C18" s="1265" t="s">
        <x:v>1978</x:v>
      </x:c>
      <x:c r="D18" s="1261">
        <x:v>59</x:v>
      </x:c>
      <x:c r="E18" s="1366">
        <x:v>0.625</x:v>
      </x:c>
      <x:c r="F18" s="1328" t="str">
        <x:f t="shared" si="1"/>
        <x:v/>
      </x:c>
      <x:c r="G18" s="1262" t="str">
        <x:f t="shared" si="2"/>
        <x:v/>
      </x:c>
      <x:c r="H18" s="1266" t="str">
        <x:f t="shared" si="3"/>
        <x:v/>
      </x:c>
      <x:c r="I18" s="1261">
        <x:v>0</x:v>
      </x:c>
      <x:c r="J18" s="1262">
        <x:v>1.375</x:v>
      </x:c>
      <x:c r="K18" s="1370" t="s">
        <x:v>114</x:v>
      </x:c>
      <x:c r="L18" s="1327">
        <x:v>3</x:v>
      </x:c>
      <x:c r="M18" s="1329">
        <x:v>3</x:v>
      </x:c>
      <x:c r="N18" s="1263" t="str">
        <x:f t="shared" si="4"/>
        <x:v/>
      </x:c>
      <x:c r="O18" s="1262" t="str">
        <x:f t="shared" si="5"/>
        <x:v/>
      </x:c>
      <x:c r="P18" s="1260" t="str">
        <x:f t="shared" si="6"/>
        <x:v/>
      </x:c>
      <x:c r="Q18" s="1261" t="str">
        <x:f t="shared" si="99"/>
        <x:v/>
      </x:c>
      <x:c r="R18" s="1262" t="str">
        <x:f t="shared" si="100"/>
        <x:v/>
      </x:c>
      <x:c r="S18" s="1375" t="str">
        <x:f t="shared" si="101"/>
        <x:v/>
      </x:c>
      <x:c r="T18" s="1328" t="str">
        <x:f t="shared" ref="T18:T44" si="105">IF(CH18="ERR","",IF(EK18="","",IF(EK18="ERR",TRUNC(EJ18/12),TRUNC(EK18/12))))</x:f>
        <x:v/>
      </x:c>
      <x:c r="U18" s="1262" t="str">
        <x:f t="shared" ref="U18:U44" si="106">IF(CH18="ERR","",IF(EK18="","",IF(EK18="ERR",EJ18-(T18*12),EK18-(T18*12))))</x:f>
        <x:v/>
      </x:c>
      <x:c r="V18" s="1261" t="str">
        <x:f t="shared" ref="V18:V44" si="107">IF(CI18="ERR","",IF(ER18="","",IF(ER18="ERR",TRUNC(EQ18/12),TRUNC(ER18/12))))</x:f>
        <x:v/>
      </x:c>
      <x:c r="W18" s="1262" t="str">
        <x:f t="shared" ref="W18:W44" si="108">IF(CI18="ERR","",IF(ER18="","",IF(ER18="ERR",EQ18-(V18*12),ER18-(V18*12))))</x:f>
        <x:v/>
      </x:c>
      <x:c r="X18" s="1329">
        <x:f t="shared" ref="X18:X44" si="109">IF(EV18="",0,EV18)</x:f>
        <x:v>0</x:v>
      </x:c>
      <x:c r="Y18" s="1377" t="str">
        <x:f t="shared" si="7"/>
        <x:v/>
      </x:c>
      <x:c r="Z18" s="1378" t="str">
        <x:f t="shared" si="8"/>
        <x:v/>
      </x:c>
      <x:c r="AA18" s="2159" t="s">
        <x:v>2184</x:v>
      </x:c>
      <x:c r="AC18" s="1226" t="b">
        <x:v>0</x:v>
      </x:c>
      <x:c r="AD18" s="525">
        <x:f t="shared" si="9"/>
        <x:v>0</x:v>
      </x:c>
      <x:c r="AE18" s="526">
        <x:f t="shared" si="10"/>
        <x:v>1</x:v>
      </x:c>
      <x:c r="AF18" s="526">
        <x:f t="shared" si="11"/>
        <x:v>0</x:v>
      </x:c>
      <x:c r="AG18" s="526">
        <x:f t="shared" si="12"/>
        <x:v>0</x:v>
      </x:c>
      <x:c r="AH18" s="527">
        <x:f t="shared" si="13"/>
        <x:v>0</x:v>
      </x:c>
      <x:c r="AI18" s="528" t="b">
        <x:v>0</x:v>
      </x:c>
      <x:c r="AJ18" s="284">
        <x:f t="shared" si="14"/>
        <x:v>36</x:v>
      </x:c>
      <x:c r="AK18" s="1063" t="str">
        <x:f t="shared" si="15"/>
        <x:v>LH</x:v>
      </x:c>
      <x:c r="AL18" s="1202" t="str">
        <x:f t="shared" si="16"/>
        <x:v/>
      </x:c>
      <x:c r="AM18" s="1063">
        <x:f t="shared" si="17"/>
        <x:v>270</x:v>
      </x:c>
      <x:c r="AN18" s="1063">
        <x:f t="shared" si="18"/>
        <x:v>120</x:v>
      </x:c>
      <x:c r="AO18" s="1063" t="str">
        <x:f t="shared" si="19"/>
        <x:v/>
      </x:c>
      <x:c r="AP18" s="1063" t="b">
        <x:f>IF(ISERROR(AJ18),FALSE,IF(OR(AJ18=0,ISERROR(AL18),ISERROR(AM18),ISERROR(AN18),ISERROR(AO18)),FALSE,IF(AL18&lt;&gt;"",IF(ISERROR(VLOOKUP(SUBSTITUTE(SUBSTITUTE(C18,"R",""),"A",""),TblJoistSize!$A:$A,1,FALSE)),FALSE,TRUE),TRUE)))</x:f>
        <x:v>1</x:v>
      </x:c>
      <x:c r="AQ18" s="1305">
        <x:f t="shared" si="20"/>
        <x:v>6</x:v>
      </x:c>
      <x:c r="AR18" s="1305" t="b">
        <x:f t="shared" si="21"/>
        <x:v>0</x:v>
      </x:c>
      <x:c r="AS18" s="1305">
        <x:f t="shared" si="22"/>
        <x:v>7.375</x:v>
      </x:c>
      <x:c r="AT18" s="1305" t="b">
        <x:f t="shared" si="23"/>
        <x:v>0</x:v>
      </x:c>
      <x:c r="AU18" s="1203" t="str">
        <x:f t="shared" si="24"/>
        <x:v>LH</x:v>
      </x:c>
      <x:c r="AV18" s="1063" t="str">
        <x:f t="shared" si="25"/>
        <x:v/>
      </x:c>
      <x:c r="AW18" s="1063" t="str">
        <x:f t="shared" si="26"/>
        <x:v>LH</x:v>
      </x:c>
      <x:c r="AX18" s="1063" t="str">
        <x:f t="shared" si="102"/>
        <x:v>J169</x:v>
      </x:c>
      <x:c r="AY18" s="1306" t="b">
        <x:f t="shared" si="27"/>
        <x:v>0</x:v>
      </x:c>
      <x:c r="AZ18" s="1090" t="b">
        <x:f t="shared" si="28"/>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29"/>
        <x:v/>
      </x:c>
      <x:c r="CE18" s="935" t="str">
        <x:f t="shared" si="30"/>
        <x:v/>
      </x:c>
      <x:c r="CF18" s="1149"/>
      <x:c r="CG18" s="1150"/>
      <x:c r="CH18" s="738" t="str">
        <x:f t="shared" si="31"/>
        <x:v/>
      </x:c>
      <x:c r="CI18" s="739" t="str">
        <x:f t="shared" si="32"/>
        <x:v/>
      </x:c>
      <x:c r="CJ18" s="740" t="str">
        <x:f t="shared" si="33"/>
        <x:v/>
      </x:c>
      <x:c r="CK18" s="741" t="str">
        <x:f t="shared" si="34"/>
        <x:v/>
      </x:c>
      <x:c r="CL18" s="742" t="str">
        <x:f t="shared" si="35"/>
        <x:v/>
      </x:c>
      <x:c r="CM18" s="743" t="str">
        <x:f t="shared" si="36"/>
        <x:v/>
      </x:c>
      <x:c r="CN18" s="744" t="str">
        <x:f t="shared" si="37"/>
        <x:v/>
      </x:c>
      <x:c r="CO18" s="745" t="str">
        <x:f t="shared" si="38"/>
        <x:v/>
      </x:c>
      <x:c r="CP18" s="762" t="str">
        <x:f t="shared" si="39"/>
        <x:v/>
      </x:c>
      <x:c r="CQ18" s="763" t="str">
        <x:f t="shared" si="40"/>
        <x:v/>
      </x:c>
      <x:c r="CR18" s="953">
        <x:f t="shared" si="41"/>
        <x:v>5</x:v>
      </x:c>
      <x:c r="CS18" s="954">
        <x:f t="shared" si="42"/>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3"/>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4"/>
        <x:v>0</x:v>
      </x:c>
      <x:c r="DO18" s="1049">
        <x:f t="shared" si="45"/>
        <x:v>0</x:v>
      </x:c>
      <x:c r="DP18" s="1053" t="str">
        <x:f t="shared" si="46"/>
        <x:v/>
      </x:c>
      <x:c r="DQ18" s="1053" t="str">
        <x:f t="shared" si="47"/>
        <x:v/>
      </x:c>
      <x:c r="DR18" s="1053" t="str">
        <x:f t="shared" si="48"/>
        <x:v/>
      </x:c>
      <x:c r="DS18" s="1052">
        <x:f t="shared" si="49"/>
        <x:v>0</x:v>
      </x:c>
      <x:c r="DT18" s="1052">
        <x:f t="shared" si="50"/>
        <x:v>0</x:v>
      </x:c>
      <x:c r="DU18" s="1052" t="str">
        <x:f t="shared" si="51"/>
        <x:v/>
      </x:c>
      <x:c r="DV18" s="1053" t="str">
        <x:f t="shared" si="52"/>
        <x:v/>
      </x:c>
      <x:c r="DW18" s="1053" t="str">
        <x:f t="shared" si="53"/>
        <x:v/>
      </x:c>
      <x:c r="DX18" s="1269">
        <x:f t="shared" si="54"/>
        <x:v>0</x:v>
      </x:c>
      <x:c r="DY18" s="1053">
        <x:f t="shared" si="55"/>
        <x:v>0</x:v>
      </x:c>
      <x:c r="DZ18" s="1052">
        <x:f t="shared" si="56"/>
        <x:v>0</x:v>
      </x:c>
      <x:c r="EA18" s="1052" t="str">
        <x:f t="shared" si="57"/>
        <x:v/>
      </x:c>
      <x:c r="EB18" s="1053" t="str">
        <x:f t="shared" si="58"/>
        <x:v/>
      </x:c>
      <x:c r="EC18" s="1053" t="str">
        <x:f t="shared" si="59"/>
        <x:v/>
      </x:c>
      <x:c r="ED18" s="1269">
        <x:f t="shared" si="60"/>
        <x:v>0</x:v>
      </x:c>
      <x:c r="EE18" s="1090" t="str">
        <x:f t="shared" si="61"/>
        <x:v/>
      </x:c>
      <x:c r="EF18" s="1053" t="str">
        <x:f t="shared" si="62"/>
        <x:v/>
      </x:c>
      <x:c r="EG18" s="1053" t="str">
        <x:f t="shared" si="63"/>
        <x:v/>
      </x:c>
      <x:c r="EH18" s="1053" t="str">
        <x:f t="shared" si="64"/>
        <x:v>ERR</x:v>
      </x:c>
      <x:c r="EI18" s="1053" t="str">
        <x:f t="shared" si="65"/>
        <x:v>ERR</x:v>
      </x:c>
      <x:c r="EJ18" s="1053" t="str">
        <x:f t="shared" si="66"/>
        <x:v/>
      </x:c>
      <x:c r="EK18" s="1053" t="str">
        <x:f t="shared" si="66"/>
        <x:v/>
      </x:c>
      <x:c r="EL18" s="1090" t="str">
        <x:f t="shared" si="67"/>
        <x:v/>
      </x:c>
      <x:c r="EM18" s="1053" t="str">
        <x:f t="shared" si="68"/>
        <x:v/>
      </x:c>
      <x:c r="EN18" s="1053" t="str">
        <x:f t="shared" si="69"/>
        <x:v/>
      </x:c>
      <x:c r="EO18" s="1053" t="str">
        <x:f t="shared" si="70"/>
        <x:v>ERR</x:v>
      </x:c>
      <x:c r="EP18" s="1053" t="str">
        <x:f t="shared" si="71"/>
        <x:v>ERR</x:v>
      </x:c>
      <x:c r="EQ18" s="1053" t="str">
        <x:f t="shared" si="72"/>
        <x:v/>
      </x:c>
      <x:c r="ER18" s="1053" t="str">
        <x:f t="shared" si="72"/>
        <x:v/>
      </x:c>
      <x:c r="ES18" s="1053" t="str">
        <x:f t="shared" si="73"/>
        <x:v/>
      </x:c>
      <x:c r="ET18" s="1053" t="str">
        <x:f t="shared" si="74"/>
        <x:v/>
      </x:c>
      <x:c r="EU18" s="1061">
        <x:f t="shared" si="75"/>
        <x:v>4</x:v>
      </x:c>
      <x:c r="EV18" s="1055" t="str">
        <x:f t="shared" si="76"/>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77"/>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78"/>
        <x:v/>
      </x:c>
      <x:c r="FD18" s="1052">
        <x:f t="shared" si="103"/>
        <x:v>0</x:v>
      </x:c>
      <x:c r="FE18" s="1052">
        <x:f t="shared" si="79"/>
        <x:v>0</x:v>
      </x:c>
      <x:c r="FF18" s="1052">
        <x:f t="shared" si="80"/>
        <x:v>0</x:v>
      </x:c>
      <x:c r="FG18" s="1052" t="str">
        <x:f t="shared" si="81"/>
        <x:v/>
      </x:c>
      <x:c r="FH18" s="1053" t="str">
        <x:f t="shared" si="82"/>
        <x:v/>
      </x:c>
      <x:c r="FI18" s="1052">
        <x:f t="shared" si="104"/>
        <x:v>0</x:v>
      </x:c>
      <x:c r="FJ18" s="1052">
        <x:f t="shared" si="83"/>
        <x:v>0</x:v>
      </x:c>
      <x:c r="FK18" s="1052">
        <x:f t="shared" si="84"/>
        <x:v>0</x:v>
      </x:c>
      <x:c r="FL18" s="1052" t="str">
        <x:f t="shared" si="85"/>
        <x:v/>
      </x:c>
      <x:c r="FM18" s="1053" t="str">
        <x:f t="shared" si="86"/>
        <x:v/>
      </x:c>
      <x:c r="FN18" s="1053" t="e">
        <x:f t="shared" si="87"/>
        <x:v>#VALUE!</x:v>
      </x:c>
      <x:c r="FO18" s="1062" t="e">
        <x:f t="shared" si="88"/>
        <x:v>#VALUE!</x:v>
      </x:c>
      <x:c r="FP18" s="1062" t="e">
        <x:f t="shared" si="89"/>
        <x:v>#VALUE!</x:v>
      </x:c>
      <x:c r="FQ18" s="1063" t="e">
        <x:f t="shared" si="90"/>
        <x:v>#VALUE!</x:v>
      </x:c>
      <x:c r="FR18" s="1064" t="e">
        <x:f t="shared" si="91"/>
        <x:v>#VALUE!</x:v>
      </x:c>
      <x:c r="FS18" s="1065" t="str">
        <x:f t="shared" si="92"/>
        <x:v/>
      </x:c>
      <x:c r="FT18" s="1066" t="str">
        <x:f t="shared" si="93"/>
        <x:v/>
      </x:c>
      <x:c r="FU18" s="1105">
        <x:f t="shared" si="94"/>
        <x:v>0</x:v>
      </x:c>
      <x:c r="FV18" s="1106">
        <x:f t="shared" si="95"/>
        <x:v>0</x:v>
      </x:c>
      <x:c r="GA18" s="1975">
        <x:v>59</x:v>
      </x:c>
      <x:c r="GB18" s="1976">
        <x:v>2.75</x:v>
      </x:c>
      <x:c r="GC18" s="1977">
        <x:v>-1.875</x:v>
      </x:c>
      <x:c r="GD18" s="1978">
        <x:v>-0.25</x:v>
      </x:c>
      <x:c r="GE18" s="1979">
        <x:v>0.227928244811819</x:v>
      </x:c>
      <x:c r="GF18" s="1980" t="str">
        <x:f t="shared" si="96"/>
        <x:v>J169</x:v>
      </x:c>
      <x:c r="GG18" s="1453"/>
      <x:c r="GH18" s="1454"/>
      <x:c r="GI18" s="1453"/>
      <x:c r="GJ18" s="1454"/>
      <x:c r="GK18" s="533">
        <x:f t="shared" si="97"/>
        <x:v>708.625</x:v>
      </x:c>
      <x:c r="GL18" s="534">
        <x:f t="shared" si="98"/>
        <x:v>708.75281478960926</x:v>
      </x:c>
      <x:c r="GM18" s="535">
        <x:f>IF(ABS(GK18-GL18)&gt;='Job Info.'!$L$22,ABS(GK18-GL18),0)</x:f>
        <x:v>0</x:v>
      </x:c>
      <x:c r="HA18" s="1658" t="s">
        <x:v>1493</x:v>
      </x:c>
      <x:c r="HB18" s="1659">
        <x:v>1</x:v>
      </x:c>
      <x:c r="HC18" s="1659" t="s">
        <x:v>1978</x:v>
      </x:c>
      <x:c r="HD18" s="1660">
        <x:v>59</x:v>
      </x:c>
      <x:c r="HE18" s="1661">
        <x:v>0.625</x:v>
      </x:c>
      <x:c r="HF18" s="1659" t="s">
        <x:v>117</x:v>
      </x:c>
      <x:c r="HG18" s="1659" t="s">
        <x:v>117</x:v>
      </x:c>
      <x:c r="HH18" s="1659" t="s">
        <x:v>117</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2184</x:v>
      </x:c>
      <x:c r="IB18" s="1661"/>
      <x:c r="IC18" s="1661"/>
      <x:c r="ID18" s="1661"/>
      <x:c r="IE18" s="1661"/>
      <x:c r="IF18" s="1663"/>
    </x:row>
    <x:row r="19" spans="1:240" ht="12.6" customHeight="1" x14ac:dyDescent="0.25">
      <x:c r="A19" s="1264" t="s">
        <x:v>1494</x:v>
      </x:c>
      <x:c r="B19" s="1265">
        <x:v>1</x:v>
      </x:c>
      <x:c r="C19" s="1265" t="s">
        <x:v>1980</x:v>
      </x:c>
      <x:c r="D19" s="1261">
        <x:v>15</x:v>
      </x:c>
      <x:c r="E19" s="1366">
        <x:v>4.625</x:v>
      </x:c>
      <x:c r="F19" s="1328">
        <x:v>0</x:v>
      </x:c>
      <x:c r="G19" s="1262">
        <x:v>1.375</x:v>
      </x:c>
      <x:c r="H19" s="1266" t="s">
        <x:v>114</x:v>
      </x:c>
      <x:c r="I19" s="1261">
        <x:v>0</x:v>
      </x:c>
      <x:c r="J19" s="2122">
        <x:v>2</x:v>
      </x:c>
      <x:c r="K19" s="1370" t="s">
        <x:v>114</x:v>
      </x:c>
      <x:c r="L19" s="1327">
        <x:v>3</x:v>
      </x:c>
      <x:c r="M19" s="1329">
        <x:v>3</x:v>
      </x:c>
      <x:c r="N19" s="1263" t="str">
        <x:f t="shared" si="4"/>
        <x:v/>
      </x:c>
      <x:c r="O19" s="1262" t="str">
        <x:f t="shared" si="5"/>
        <x:v/>
      </x:c>
      <x:c r="P19" s="1260" t="str">
        <x:f t="shared" si="6"/>
        <x:v/>
      </x:c>
      <x:c r="Q19" s="1261" t="str">
        <x:f t="shared" si="99"/>
        <x:v/>
      </x:c>
      <x:c r="R19" s="1262" t="str">
        <x:f t="shared" si="100"/>
        <x:v/>
      </x:c>
      <x:c r="S19" s="1375" t="str">
        <x:f t="shared" si="101"/>
        <x:v/>
      </x:c>
      <x:c r="T19" s="1328" t="str">
        <x:f t="shared" si="105"/>
        <x:v/>
      </x:c>
      <x:c r="U19" s="1262" t="str">
        <x:f t="shared" si="106"/>
        <x:v/>
      </x:c>
      <x:c r="V19" s="1261" t="str">
        <x:f t="shared" si="107"/>
        <x:v/>
      </x:c>
      <x:c r="W19" s="1262" t="str">
        <x:f t="shared" si="108"/>
        <x:v/>
      </x:c>
      <x:c r="X19" s="1329">
        <x:f t="shared" si="109"/>
        <x:v>0</x:v>
      </x:c>
      <x:c r="Y19" s="1377" t="str">
        <x:f t="shared" si="7"/>
        <x:v/>
      </x:c>
      <x:c r="Z19" s="1378" t="str">
        <x:f t="shared" si="8"/>
        <x:v/>
      </x:c>
      <x:c r="AA19" s="2159" t="s">
        <x:v>2185</x:v>
      </x:c>
      <x:c r="AC19" s="1226" t="b">
        <x:v>0</x:v>
      </x:c>
      <x:c r="AD19" s="525">
        <x:f t="shared" si="9"/>
        <x:v>1</x:v>
      </x:c>
      <x:c r="AE19" s="526">
        <x:f t="shared" si="10"/>
        <x:v>0</x:v>
      </x:c>
      <x:c r="AF19" s="526">
        <x:f t="shared" si="11"/>
        <x:v>0</x:v>
      </x:c>
      <x:c r="AG19" s="526">
        <x:f t="shared" si="12"/>
        <x:v>0</x:v>
      </x:c>
      <x:c r="AH19" s="527">
        <x:f t="shared" si="13"/>
        <x:v>0</x:v>
      </x:c>
      <x:c r="AI19" s="528" t="b">
        <x:v>0</x:v>
      </x:c>
      <x:c r="AJ19" s="284">
        <x:f t="shared" si="14"/>
        <x:v>30</x:v>
      </x:c>
      <x:c r="AK19" s="1063" t="str">
        <x:f t="shared" si="15"/>
        <x:v>K</x:v>
      </x:c>
      <x:c r="AL19" s="1202" t="str">
        <x:f t="shared" si="16"/>
        <x:v/>
      </x:c>
      <x:c r="AM19" s="1063">
        <x:f t="shared" si="17"/>
        <x:v>310</x:v>
      </x:c>
      <x:c r="AN19" s="1063">
        <x:f t="shared" si="18"/>
        <x:v>160</x:v>
      </x:c>
      <x:c r="AO19" s="1063" t="str">
        <x:f t="shared" si="19"/>
        <x:v/>
      </x:c>
      <x:c r="AP19" s="1063" t="b">
        <x:f>IF(ISERROR(AJ19),FALSE,IF(OR(AJ19=0,ISERROR(AL19),ISERROR(AM19),ISERROR(AN19),ISERROR(AO19)),FALSE,IF(AL19&lt;&gt;"",IF(ISERROR(VLOOKUP(SUBSTITUTE(SUBSTITUTE(C19,"R",""),"A",""),TblJoistSize!$A:$A,1,FALSE)),FALSE,TRUE),TRUE)))</x:f>
        <x:v>1</x:v>
      </x:c>
      <x:c r="AQ19" s="1305">
        <x:f t="shared" si="20"/>
        <x:v>5.375</x:v>
      </x:c>
      <x:c r="AR19" s="1305" t="b">
        <x:f t="shared" si="21"/>
        <x:v>0</x:v>
      </x:c>
      <x:c r="AS19" s="1305">
        <x:f t="shared" si="22"/>
        <x:v>6</x:v>
      </x:c>
      <x:c r="AT19" s="1305" t="b">
        <x:f t="shared" si="23"/>
        <x:v>0</x:v>
      </x:c>
      <x:c r="AU19" s="1203" t="str">
        <x:f t="shared" si="24"/>
        <x:v>K</x:v>
      </x:c>
      <x:c r="AV19" s="1063" t="str">
        <x:f t="shared" si="25"/>
        <x:v>K</x:v>
      </x:c>
      <x:c r="AW19" s="1063" t="str">
        <x:f t="shared" si="26"/>
        <x:v/>
      </x:c>
      <x:c r="AX19" s="1063" t="str">
        <x:f t="shared" si="102"/>
        <x:v>J170</x:v>
      </x:c>
      <x:c r="AY19" s="1306" t="b">
        <x:f t="shared" si="27"/>
        <x:v>0</x:v>
      </x:c>
      <x:c r="AZ19" s="1090" t="b">
        <x:f t="shared" si="28"/>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29"/>
        <x:v/>
      </x:c>
      <x:c r="CE19" s="935" t="str">
        <x:f t="shared" si="30"/>
        <x:v/>
      </x:c>
      <x:c r="CF19" s="1149"/>
      <x:c r="CG19" s="1150"/>
      <x:c r="CH19" s="738" t="str">
        <x:f t="shared" si="31"/>
        <x:v/>
      </x:c>
      <x:c r="CI19" s="739" t="str">
        <x:f t="shared" si="32"/>
        <x:v/>
      </x:c>
      <x:c r="CJ19" s="740" t="str">
        <x:f t="shared" si="33"/>
        <x:v/>
      </x:c>
      <x:c r="CK19" s="741" t="str">
        <x:f t="shared" si="34"/>
        <x:v/>
      </x:c>
      <x:c r="CL19" s="742" t="str">
        <x:f t="shared" si="35"/>
        <x:v/>
      </x:c>
      <x:c r="CM19" s="743" t="str">
        <x:f t="shared" si="36"/>
        <x:v/>
      </x:c>
      <x:c r="CN19" s="744" t="str">
        <x:f t="shared" si="37"/>
        <x:v/>
      </x:c>
      <x:c r="CO19" s="745" t="str">
        <x:f t="shared" si="38"/>
        <x:v/>
      </x:c>
      <x:c r="CP19" s="762" t="str">
        <x:f t="shared" si="39"/>
        <x:v/>
      </x:c>
      <x:c r="CQ19" s="763" t="str">
        <x:f t="shared" si="40"/>
        <x:v/>
      </x:c>
      <x:c r="CR19" s="953">
        <x:f t="shared" si="41"/>
        <x:v>2.5</x:v>
      </x:c>
      <x:c r="CS19" s="954">
        <x:f t="shared" si="42"/>
        <x:v>2.5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3"/>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4"/>
        <x:v>0</x:v>
      </x:c>
      <x:c r="DO19" s="1049">
        <x:f t="shared" si="45"/>
        <x:v>0</x:v>
      </x:c>
      <x:c r="DP19" s="1053" t="str">
        <x:f t="shared" si="46"/>
        <x:v/>
      </x:c>
      <x:c r="DQ19" s="1053" t="str">
        <x:f t="shared" si="47"/>
        <x:v/>
      </x:c>
      <x:c r="DR19" s="1053" t="str">
        <x:f t="shared" si="48"/>
        <x:v/>
      </x:c>
      <x:c r="DS19" s="1052">
        <x:f t="shared" si="49"/>
        <x:v>0</x:v>
      </x:c>
      <x:c r="DT19" s="1052">
        <x:f t="shared" si="50"/>
        <x:v>0</x:v>
      </x:c>
      <x:c r="DU19" s="1052" t="str">
        <x:f t="shared" si="51"/>
        <x:v/>
      </x:c>
      <x:c r="DV19" s="1053" t="str">
        <x:f t="shared" si="52"/>
        <x:v/>
      </x:c>
      <x:c r="DW19" s="1053" t="str">
        <x:f t="shared" si="53"/>
        <x:v/>
      </x:c>
      <x:c r="DX19" s="1269">
        <x:f t="shared" si="54"/>
        <x:v>0</x:v>
      </x:c>
      <x:c r="DY19" s="1053">
        <x:f t="shared" si="55"/>
        <x:v>0</x:v>
      </x:c>
      <x:c r="DZ19" s="1052">
        <x:f t="shared" si="56"/>
        <x:v>0</x:v>
      </x:c>
      <x:c r="EA19" s="1052" t="str">
        <x:f t="shared" si="57"/>
        <x:v/>
      </x:c>
      <x:c r="EB19" s="1053" t="str">
        <x:f t="shared" si="58"/>
        <x:v/>
      </x:c>
      <x:c r="EC19" s="1053" t="str">
        <x:f t="shared" si="59"/>
        <x:v/>
      </x:c>
      <x:c r="ED19" s="1269">
        <x:f t="shared" si="60"/>
        <x:v>0</x:v>
      </x:c>
      <x:c r="EE19" s="1090" t="str">
        <x:f t="shared" si="61"/>
        <x:v/>
      </x:c>
      <x:c r="EF19" s="1053" t="str">
        <x:f t="shared" si="62"/>
        <x:v/>
      </x:c>
      <x:c r="EG19" s="1053" t="str">
        <x:f t="shared" si="63"/>
        <x:v/>
      </x:c>
      <x:c r="EH19" s="1053" t="str">
        <x:f t="shared" si="64"/>
        <x:v>ERR</x:v>
      </x:c>
      <x:c r="EI19" s="1053" t="str">
        <x:f t="shared" si="65"/>
        <x:v>ERR</x:v>
      </x:c>
      <x:c r="EJ19" s="1053" t="str">
        <x:f t="shared" si="66"/>
        <x:v/>
      </x:c>
      <x:c r="EK19" s="1053" t="str">
        <x:f t="shared" si="66"/>
        <x:v/>
      </x:c>
      <x:c r="EL19" s="1090" t="str">
        <x:f t="shared" si="67"/>
        <x:v/>
      </x:c>
      <x:c r="EM19" s="1053" t="str">
        <x:f t="shared" si="68"/>
        <x:v/>
      </x:c>
      <x:c r="EN19" s="1053" t="str">
        <x:f t="shared" si="69"/>
        <x:v/>
      </x:c>
      <x:c r="EO19" s="1053" t="str">
        <x:f t="shared" si="70"/>
        <x:v>ERR</x:v>
      </x:c>
      <x:c r="EP19" s="1053" t="str">
        <x:f t="shared" si="71"/>
        <x:v>ERR</x:v>
      </x:c>
      <x:c r="EQ19" s="1053" t="str">
        <x:f t="shared" si="72"/>
        <x:v/>
      </x:c>
      <x:c r="ER19" s="1053" t="str">
        <x:f t="shared" si="72"/>
        <x:v/>
      </x:c>
      <x:c r="ES19" s="1053" t="str">
        <x:f t="shared" si="73"/>
        <x:v/>
      </x:c>
      <x:c r="ET19" s="1053" t="str">
        <x:f t="shared" si="74"/>
        <x:v/>
      </x:c>
      <x:c r="EU19" s="1061">
        <x:f t="shared" si="75"/>
        <x:v>3.5</x:v>
      </x:c>
      <x:c r="EV19" s="1055" t="str">
        <x:f t="shared" si="76"/>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77"/>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78"/>
        <x:v/>
      </x:c>
      <x:c r="FD19" s="1052">
        <x:f t="shared" si="103"/>
        <x:v>0</x:v>
      </x:c>
      <x:c r="FE19" s="1052">
        <x:f t="shared" si="79"/>
        <x:v>0</x:v>
      </x:c>
      <x:c r="FF19" s="1052">
        <x:f t="shared" si="80"/>
        <x:v>0</x:v>
      </x:c>
      <x:c r="FG19" s="1052" t="str">
        <x:f t="shared" si="81"/>
        <x:v/>
      </x:c>
      <x:c r="FH19" s="1053" t="str">
        <x:f t="shared" si="82"/>
        <x:v/>
      </x:c>
      <x:c r="FI19" s="1052">
        <x:f t="shared" si="104"/>
        <x:v>0</x:v>
      </x:c>
      <x:c r="FJ19" s="1052">
        <x:f t="shared" si="83"/>
        <x:v>0</x:v>
      </x:c>
      <x:c r="FK19" s="1052">
        <x:f t="shared" si="84"/>
        <x:v>0</x:v>
      </x:c>
      <x:c r="FL19" s="1052" t="str">
        <x:f t="shared" si="85"/>
        <x:v/>
      </x:c>
      <x:c r="FM19" s="1053" t="str">
        <x:f t="shared" si="86"/>
        <x:v/>
      </x:c>
      <x:c r="FN19" s="1053" t="e">
        <x:f t="shared" si="87"/>
        <x:v>#VALUE!</x:v>
      </x:c>
      <x:c r="FO19" s="1062" t="e">
        <x:f t="shared" si="88"/>
        <x:v>#VALUE!</x:v>
      </x:c>
      <x:c r="FP19" s="1062" t="e">
        <x:f t="shared" si="89"/>
        <x:v>#VALUE!</x:v>
      </x:c>
      <x:c r="FQ19" s="1063" t="e">
        <x:f t="shared" si="90"/>
        <x:v>#VALUE!</x:v>
      </x:c>
      <x:c r="FR19" s="1064" t="e">
        <x:f t="shared" si="91"/>
        <x:v>#VALUE!</x:v>
      </x:c>
      <x:c r="FS19" s="1065" t="str">
        <x:f t="shared" si="92"/>
        <x:v/>
      </x:c>
      <x:c r="FT19" s="1066" t="str">
        <x:f t="shared" si="93"/>
        <x:v/>
      </x:c>
      <x:c r="FU19" s="1105">
        <x:f t="shared" si="94"/>
        <x:v>0</x:v>
      </x:c>
      <x:c r="FV19" s="1106">
        <x:f t="shared" si="95"/>
        <x:v>0</x:v>
      </x:c>
      <x:c r="GA19" s="1975">
        <x:v>15</x:v>
      </x:c>
      <x:c r="GB19" s="1976">
        <x:v>5.375</x:v>
      </x:c>
      <x:c r="GC19" s="1977">
        <x:v>-0.25</x:v>
      </x:c>
      <x:c r="GD19" s="1978">
        <x:v>-0.5</x:v>
      </x:c>
      <x:c r="GE19" s="1979">
        <x:v>0.14179547308906201</x:v>
      </x:c>
      <x:c r="GF19" s="1980" t="str">
        <x:f t="shared" si="96"/>
        <x:v>J170</x:v>
      </x:c>
      <x:c r="GG19" s="1453"/>
      <x:c r="GH19" s="1454"/>
      <x:c r="GI19" s="1453"/>
      <x:c r="GJ19" s="1454"/>
      <x:c r="GK19" s="533">
        <x:f t="shared" si="97"/>
        <x:v>184.625</x:v>
      </x:c>
      <x:c r="GL19" s="534">
        <x:f t="shared" si="98"/>
        <x:v>184.63788865484884</x:v>
      </x:c>
      <x:c r="GM19" s="535">
        <x:f>IF(ABS(GK19-GL19)&gt;='Job Info.'!$L$22,ABS(GK19-GL19),0)</x:f>
        <x:v>0</x:v>
      </x:c>
      <x:c r="HA19" s="1658" t="s">
        <x:v>1494</x:v>
      </x:c>
      <x:c r="HB19" s="1659">
        <x:v>1</x:v>
      </x:c>
      <x:c r="HC19" s="1659" t="s">
        <x:v>1980</x:v>
      </x:c>
      <x:c r="HD19" s="1660">
        <x:v>15</x:v>
      </x:c>
      <x:c r="HE19" s="1661">
        <x:v>4.625</x:v>
      </x:c>
      <x:c r="HF19" s="1659">
        <x:v>0</x:v>
      </x:c>
      <x:c r="HG19" s="1659">
        <x:v>1.375</x:v>
      </x:c>
      <x:c r="HH19" s="1659" t="s">
        <x:v>114</x:v>
      </x:c>
      <x:c r="HI19" s="1662">
        <x:v>0</x:v>
      </x:c>
      <x:c r="HJ19" s="1659">
        <x:v>0.25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2185</x:v>
      </x:c>
      <x:c r="IB19" s="1661"/>
      <x:c r="IC19" s="1661"/>
      <x:c r="ID19" s="1661"/>
      <x:c r="IE19" s="1661"/>
      <x:c r="IF19" s="1663"/>
    </x:row>
    <x:row r="20" spans="1:240" ht="12.6" customHeight="1" x14ac:dyDescent="0.25">
      <x:c r="A20" s="1264" t="s">
        <x:v>1495</x:v>
      </x:c>
      <x:c r="B20" s="1265">
        <x:v>1</x:v>
      </x:c>
      <x:c r="C20" s="1265" t="s">
        <x:v>1980</x:v>
      </x:c>
      <x:c r="D20" s="1261">
        <x:v>26</x:v>
      </x:c>
      <x:c r="E20" s="1366">
        <x:v>6.875</x:v>
      </x:c>
      <x:c r="F20" s="1328">
        <x:v>0</x:v>
      </x:c>
      <x:c r="G20" s="1262">
        <x:v>1.375</x:v>
      </x:c>
      <x:c r="H20" s="1266" t="s">
        <x:v>114</x:v>
      </x:c>
      <x:c r="I20" s="1261">
        <x:v>0</x:v>
      </x:c>
      <x:c r="J20" s="2122">
        <x:v>2</x:v>
      </x:c>
      <x:c r="K20" s="1370" t="s">
        <x:v>114</x:v>
      </x:c>
      <x:c r="L20" s="1327">
        <x:v>3</x:v>
      </x:c>
      <x:c r="M20" s="1329">
        <x:v>3</x:v>
      </x:c>
      <x:c r="N20" s="1263" t="str">
        <x:f t="shared" si="4"/>
        <x:v/>
      </x:c>
      <x:c r="O20" s="1262" t="str">
        <x:f t="shared" si="5"/>
        <x:v/>
      </x:c>
      <x:c r="P20" s="1260" t="str">
        <x:f t="shared" si="6"/>
        <x:v/>
      </x:c>
      <x:c r="Q20" s="1261" t="str">
        <x:f t="shared" si="99"/>
        <x:v/>
      </x:c>
      <x:c r="R20" s="1262" t="str">
        <x:f t="shared" si="100"/>
        <x:v/>
      </x:c>
      <x:c r="S20" s="1375" t="str">
        <x:f t="shared" si="101"/>
        <x:v/>
      </x:c>
      <x:c r="T20" s="1328" t="str">
        <x:f t="shared" si="105"/>
        <x:v/>
      </x:c>
      <x:c r="U20" s="1262" t="str">
        <x:f t="shared" si="106"/>
        <x:v/>
      </x:c>
      <x:c r="V20" s="1261" t="str">
        <x:f t="shared" si="107"/>
        <x:v/>
      </x:c>
      <x:c r="W20" s="1262" t="str">
        <x:f t="shared" si="108"/>
        <x:v/>
      </x:c>
      <x:c r="X20" s="1329">
        <x:f t="shared" si="109"/>
        <x:v>0</x:v>
      </x:c>
      <x:c r="Y20" s="1377" t="str">
        <x:f t="shared" si="7"/>
        <x:v/>
      </x:c>
      <x:c r="Z20" s="1378" t="str">
        <x:f t="shared" si="8"/>
        <x:v/>
      </x:c>
      <x:c r="AA20" s="2159" t="s">
        <x:v>2186</x:v>
      </x:c>
      <x:c r="AC20" s="1226" t="b">
        <x:v>0</x:v>
      </x:c>
      <x:c r="AD20" s="525">
        <x:f t="shared" si="9"/>
        <x:v>1</x:v>
      </x:c>
      <x:c r="AE20" s="526">
        <x:f t="shared" si="10"/>
        <x:v>0</x:v>
      </x:c>
      <x:c r="AF20" s="526">
        <x:f t="shared" si="11"/>
        <x:v>0</x:v>
      </x:c>
      <x:c r="AG20" s="526">
        <x:f t="shared" si="12"/>
        <x:v>0</x:v>
      </x:c>
      <x:c r="AH20" s="527">
        <x:f t="shared" si="13"/>
        <x:v>0</x:v>
      </x:c>
      <x:c r="AI20" s="528" t="b">
        <x:v>0</x:v>
      </x:c>
      <x:c r="AJ20" s="284">
        <x:f t="shared" si="14"/>
        <x:v>30</x:v>
      </x:c>
      <x:c r="AK20" s="1063" t="str">
        <x:f t="shared" si="15"/>
        <x:v>K</x:v>
      </x:c>
      <x:c r="AL20" s="1202" t="str">
        <x:f t="shared" si="16"/>
        <x:v/>
      </x:c>
      <x:c r="AM20" s="1063">
        <x:f t="shared" si="17"/>
        <x:v>310</x:v>
      </x:c>
      <x:c r="AN20" s="1063">
        <x:f t="shared" si="18"/>
        <x:v>160</x:v>
      </x:c>
      <x:c r="AO20" s="1063" t="str">
        <x:f t="shared" si="19"/>
        <x:v/>
      </x:c>
      <x:c r="AP20" s="1063" t="b">
        <x:f>IF(ISERROR(AJ20),FALSE,IF(OR(AJ20=0,ISERROR(AL20),ISERROR(AM20),ISERROR(AN20),ISERROR(AO20)),FALSE,IF(AL20&lt;&gt;"",IF(ISERROR(VLOOKUP(SUBSTITUTE(SUBSTITUTE(C20,"R",""),"A",""),TblJoistSize!$A:$A,1,FALSE)),FALSE,TRUE),TRUE)))</x:f>
        <x:v>1</x:v>
      </x:c>
      <x:c r="AQ20" s="1305">
        <x:f t="shared" si="20"/>
        <x:v>5.375</x:v>
      </x:c>
      <x:c r="AR20" s="1305" t="b">
        <x:f t="shared" si="21"/>
        <x:v>0</x:v>
      </x:c>
      <x:c r="AS20" s="1305">
        <x:f t="shared" si="22"/>
        <x:v>6</x:v>
      </x:c>
      <x:c r="AT20" s="1305" t="b">
        <x:f t="shared" si="23"/>
        <x:v>0</x:v>
      </x:c>
      <x:c r="AU20" s="1203" t="str">
        <x:f t="shared" si="24"/>
        <x:v>K</x:v>
      </x:c>
      <x:c r="AV20" s="1063" t="str">
        <x:f t="shared" si="25"/>
        <x:v>K</x:v>
      </x:c>
      <x:c r="AW20" s="1063" t="str">
        <x:f t="shared" si="26"/>
        <x:v/>
      </x:c>
      <x:c r="AX20" s="1063" t="str">
        <x:f t="shared" si="102"/>
        <x:v>J171</x:v>
      </x:c>
      <x:c r="AY20" s="1306" t="b">
        <x:f t="shared" si="27"/>
        <x:v>0</x:v>
      </x:c>
      <x:c r="AZ20" s="1090" t="b">
        <x:f t="shared" si="28"/>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29"/>
        <x:v/>
      </x:c>
      <x:c r="CE20" s="935" t="str">
        <x:f t="shared" si="30"/>
        <x:v/>
      </x:c>
      <x:c r="CF20" s="1149"/>
      <x:c r="CG20" s="1150"/>
      <x:c r="CH20" s="738" t="str">
        <x:f t="shared" si="31"/>
        <x:v/>
      </x:c>
      <x:c r="CI20" s="739" t="str">
        <x:f t="shared" si="32"/>
        <x:v/>
      </x:c>
      <x:c r="CJ20" s="740" t="str">
        <x:f t="shared" si="33"/>
        <x:v/>
      </x:c>
      <x:c r="CK20" s="741" t="str">
        <x:f t="shared" si="34"/>
        <x:v/>
      </x:c>
      <x:c r="CL20" s="742" t="str">
        <x:f t="shared" si="35"/>
        <x:v/>
      </x:c>
      <x:c r="CM20" s="743" t="str">
        <x:f t="shared" si="36"/>
        <x:v/>
      </x:c>
      <x:c r="CN20" s="744" t="str">
        <x:f t="shared" si="37"/>
        <x:v/>
      </x:c>
      <x:c r="CO20" s="745" t="str">
        <x:f t="shared" si="38"/>
        <x:v/>
      </x:c>
      <x:c r="CP20" s="762" t="str">
        <x:f t="shared" si="39"/>
        <x:v/>
      </x:c>
      <x:c r="CQ20" s="763" t="str">
        <x:f t="shared" si="40"/>
        <x:v/>
      </x:c>
      <x:c r="CR20" s="953">
        <x:f t="shared" si="41"/>
        <x:v>2.5</x:v>
      </x:c>
      <x:c r="CS20" s="954">
        <x:f t="shared" si="42"/>
        <x:v>2.5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3"/>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4"/>
        <x:v>0</x:v>
      </x:c>
      <x:c r="DO20" s="1049">
        <x:f t="shared" si="45"/>
        <x:v>0</x:v>
      </x:c>
      <x:c r="DP20" s="1053" t="str">
        <x:f t="shared" si="46"/>
        <x:v/>
      </x:c>
      <x:c r="DQ20" s="1053" t="str">
        <x:f t="shared" si="47"/>
        <x:v/>
      </x:c>
      <x:c r="DR20" s="1053" t="str">
        <x:f t="shared" si="48"/>
        <x:v/>
      </x:c>
      <x:c r="DS20" s="1052">
        <x:f t="shared" si="49"/>
        <x:v>0</x:v>
      </x:c>
      <x:c r="DT20" s="1052">
        <x:f t="shared" si="50"/>
        <x:v>0</x:v>
      </x:c>
      <x:c r="DU20" s="1052" t="str">
        <x:f t="shared" si="51"/>
        <x:v/>
      </x:c>
      <x:c r="DV20" s="1053" t="str">
        <x:f t="shared" si="52"/>
        <x:v/>
      </x:c>
      <x:c r="DW20" s="1053" t="str">
        <x:f t="shared" si="53"/>
        <x:v/>
      </x:c>
      <x:c r="DX20" s="1269">
        <x:f t="shared" si="54"/>
        <x:v>0</x:v>
      </x:c>
      <x:c r="DY20" s="1053">
        <x:f t="shared" si="55"/>
        <x:v>0</x:v>
      </x:c>
      <x:c r="DZ20" s="1052">
        <x:f t="shared" si="56"/>
        <x:v>0</x:v>
      </x:c>
      <x:c r="EA20" s="1052" t="str">
        <x:f t="shared" si="57"/>
        <x:v/>
      </x:c>
      <x:c r="EB20" s="1053" t="str">
        <x:f t="shared" si="58"/>
        <x:v/>
      </x:c>
      <x:c r="EC20" s="1053" t="str">
        <x:f t="shared" si="59"/>
        <x:v/>
      </x:c>
      <x:c r="ED20" s="1269">
        <x:f t="shared" si="60"/>
        <x:v>0</x:v>
      </x:c>
      <x:c r="EE20" s="1090" t="str">
        <x:f t="shared" si="61"/>
        <x:v/>
      </x:c>
      <x:c r="EF20" s="1053" t="str">
        <x:f t="shared" si="62"/>
        <x:v/>
      </x:c>
      <x:c r="EG20" s="1053" t="str">
        <x:f t="shared" si="63"/>
        <x:v/>
      </x:c>
      <x:c r="EH20" s="1053" t="str">
        <x:f t="shared" si="64"/>
        <x:v>ERR</x:v>
      </x:c>
      <x:c r="EI20" s="1053" t="str">
        <x:f t="shared" si="65"/>
        <x:v>ERR</x:v>
      </x:c>
      <x:c r="EJ20" s="1053" t="str">
        <x:f t="shared" si="66"/>
        <x:v/>
      </x:c>
      <x:c r="EK20" s="1053" t="str">
        <x:f t="shared" si="66"/>
        <x:v/>
      </x:c>
      <x:c r="EL20" s="1090" t="str">
        <x:f t="shared" si="67"/>
        <x:v/>
      </x:c>
      <x:c r="EM20" s="1053" t="str">
        <x:f t="shared" si="68"/>
        <x:v/>
      </x:c>
      <x:c r="EN20" s="1053" t="str">
        <x:f t="shared" si="69"/>
        <x:v/>
      </x:c>
      <x:c r="EO20" s="1053" t="str">
        <x:f t="shared" si="70"/>
        <x:v>ERR</x:v>
      </x:c>
      <x:c r="EP20" s="1053" t="str">
        <x:f t="shared" si="71"/>
        <x:v>ERR</x:v>
      </x:c>
      <x:c r="EQ20" s="1053" t="str">
        <x:f t="shared" si="72"/>
        <x:v/>
      </x:c>
      <x:c r="ER20" s="1053" t="str">
        <x:f t="shared" si="72"/>
        <x:v/>
      </x:c>
      <x:c r="ES20" s="1053" t="str">
        <x:f t="shared" si="73"/>
        <x:v/>
      </x:c>
      <x:c r="ET20" s="1053" t="str">
        <x:f t="shared" si="74"/>
        <x:v/>
      </x:c>
      <x:c r="EU20" s="1061">
        <x:f t="shared" si="75"/>
        <x:v>3.5</x:v>
      </x:c>
      <x:c r="EV20" s="1055" t="str">
        <x:f t="shared" si="76"/>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77"/>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78"/>
        <x:v/>
      </x:c>
      <x:c r="FD20" s="1052">
        <x:f t="shared" si="103"/>
        <x:v>0</x:v>
      </x:c>
      <x:c r="FE20" s="1052">
        <x:f t="shared" si="79"/>
        <x:v>0</x:v>
      </x:c>
      <x:c r="FF20" s="1052">
        <x:f t="shared" si="80"/>
        <x:v>0</x:v>
      </x:c>
      <x:c r="FG20" s="1052" t="str">
        <x:f t="shared" si="81"/>
        <x:v/>
      </x:c>
      <x:c r="FH20" s="1053" t="str">
        <x:f t="shared" si="82"/>
        <x:v/>
      </x:c>
      <x:c r="FI20" s="1052">
        <x:f t="shared" si="104"/>
        <x:v>0</x:v>
      </x:c>
      <x:c r="FJ20" s="1052">
        <x:f t="shared" si="83"/>
        <x:v>0</x:v>
      </x:c>
      <x:c r="FK20" s="1052">
        <x:f t="shared" si="84"/>
        <x:v>0</x:v>
      </x:c>
      <x:c r="FL20" s="1052" t="str">
        <x:f t="shared" si="85"/>
        <x:v/>
      </x:c>
      <x:c r="FM20" s="1053" t="str">
        <x:f t="shared" si="86"/>
        <x:v/>
      </x:c>
      <x:c r="FN20" s="1053" t="e">
        <x:f t="shared" si="87"/>
        <x:v>#VALUE!</x:v>
      </x:c>
      <x:c r="FO20" s="1062" t="e">
        <x:f t="shared" si="88"/>
        <x:v>#VALUE!</x:v>
      </x:c>
      <x:c r="FP20" s="1062" t="e">
        <x:f t="shared" si="89"/>
        <x:v>#VALUE!</x:v>
      </x:c>
      <x:c r="FQ20" s="1063" t="e">
        <x:f t="shared" si="90"/>
        <x:v>#VALUE!</x:v>
      </x:c>
      <x:c r="FR20" s="1064" t="e">
        <x:f t="shared" si="91"/>
        <x:v>#VALUE!</x:v>
      </x:c>
      <x:c r="FS20" s="1065" t="str">
        <x:f t="shared" si="92"/>
        <x:v/>
      </x:c>
      <x:c r="FT20" s="1066" t="str">
        <x:f t="shared" si="93"/>
        <x:v/>
      </x:c>
      <x:c r="FU20" s="1105">
        <x:f t="shared" si="94"/>
        <x:v>0</x:v>
      </x:c>
      <x:c r="FV20" s="1106">
        <x:f t="shared" si="95"/>
        <x:v>0</x:v>
      </x:c>
      <x:c r="GA20" s="1975">
        <x:v>26</x:v>
      </x:c>
      <x:c r="GB20" s="1976">
        <x:v>7.625</x:v>
      </x:c>
      <x:c r="GC20" s="1977">
        <x:v>-0.25</x:v>
      </x:c>
      <x:c r="GD20" s="1978">
        <x:v>-0.5</x:v>
      </x:c>
      <x:c r="GE20" s="1979">
        <x:v>0.14045652792947599</x:v>
      </x:c>
      <x:c r="GF20" s="1980" t="str">
        <x:f t="shared" si="96"/>
        <x:v>J171</x:v>
      </x:c>
      <x:c r="GG20" s="1453"/>
      <x:c r="GH20" s="1454"/>
      <x:c r="GI20" s="1453"/>
      <x:c r="GJ20" s="1454"/>
      <x:c r="GK20" s="533">
        <x:f t="shared" si="97"/>
        <x:v>318.875</x:v>
      </x:c>
      <x:c r="GL20" s="534">
        <x:f t="shared" si="98"/>
        <x:v>318.89684222955077</x:v>
      </x:c>
      <x:c r="GM20" s="535">
        <x:f>IF(ABS(GK20-GL20)&gt;='Job Info.'!$L$22,ABS(GK20-GL20),0)</x:f>
        <x:v>0</x:v>
      </x:c>
      <x:c r="HA20" s="1658" t="s">
        <x:v>1495</x:v>
      </x:c>
      <x:c r="HB20" s="1659">
        <x:v>1</x:v>
      </x:c>
      <x:c r="HC20" s="1659" t="s">
        <x:v>1980</x:v>
      </x:c>
      <x:c r="HD20" s="1660">
        <x:v>26</x:v>
      </x:c>
      <x:c r="HE20" s="1661">
        <x:v>6.875</x:v>
      </x:c>
      <x:c r="HF20" s="1659">
        <x:v>0</x:v>
      </x:c>
      <x:c r="HG20" s="1659">
        <x:v>1.375</x:v>
      </x:c>
      <x:c r="HH20" s="1659" t="s">
        <x:v>114</x:v>
      </x:c>
      <x:c r="HI20" s="1662">
        <x:v>0</x:v>
      </x:c>
      <x:c r="HJ20" s="1659">
        <x:v>0.25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2186</x:v>
      </x:c>
      <x:c r="IB20" s="1661"/>
      <x:c r="IC20" s="1661"/>
      <x:c r="ID20" s="1661"/>
      <x:c r="IE20" s="1661"/>
      <x:c r="IF20" s="1663"/>
    </x:row>
    <x:row r="21" spans="1:240" ht="12.6" customHeight="1" x14ac:dyDescent="0.25">
      <x:c r="A21" s="1264" t="s">
        <x:v>1496</x:v>
      </x:c>
      <x:c r="B21" s="1265">
        <x:v>1</x:v>
      </x:c>
      <x:c r="C21" s="1265" t="s">
        <x:v>1980</x:v>
      </x:c>
      <x:c r="D21" s="1261">
        <x:v>37</x:v>
      </x:c>
      <x:c r="E21" s="1366">
        <x:v>9</x:v>
      </x:c>
      <x:c r="F21" s="1328">
        <x:v>0</x:v>
      </x:c>
      <x:c r="G21" s="1262">
        <x:v>1.375</x:v>
      </x:c>
      <x:c r="H21" s="1266" t="s">
        <x:v>114</x:v>
      </x:c>
      <x:c r="I21" s="1261">
        <x:v>0</x:v>
      </x:c>
      <x:c r="J21" s="2122">
        <x:v>2</x:v>
      </x:c>
      <x:c r="K21" s="1370" t="s">
        <x:v>114</x:v>
      </x:c>
      <x:c r="L21" s="1327">
        <x:v>3</x:v>
      </x:c>
      <x:c r="M21" s="1329">
        <x:v>3</x:v>
      </x:c>
      <x:c r="N21" s="1263" t="str">
        <x:f t="shared" si="4"/>
        <x:v/>
      </x:c>
      <x:c r="O21" s="1262" t="str">
        <x:f t="shared" si="5"/>
        <x:v/>
      </x:c>
      <x:c r="P21" s="1260" t="str">
        <x:f t="shared" si="6"/>
        <x:v/>
      </x:c>
      <x:c r="Q21" s="1261" t="str">
        <x:f t="shared" si="99"/>
        <x:v/>
      </x:c>
      <x:c r="R21" s="1262" t="str">
        <x:f t="shared" si="100"/>
        <x:v/>
      </x:c>
      <x:c r="S21" s="1375" t="str">
        <x:f t="shared" si="101"/>
        <x:v/>
      </x:c>
      <x:c r="T21" s="1328" t="str">
        <x:f t="shared" si="105"/>
        <x:v/>
      </x:c>
      <x:c r="U21" s="1262" t="str">
        <x:f t="shared" si="106"/>
        <x:v/>
      </x:c>
      <x:c r="V21" s="1261" t="str">
        <x:f t="shared" si="107"/>
        <x:v/>
      </x:c>
      <x:c r="W21" s="1262" t="str">
        <x:f t="shared" si="108"/>
        <x:v/>
      </x:c>
      <x:c r="X21" s="1329">
        <x:f t="shared" si="109"/>
        <x:v>0</x:v>
      </x:c>
      <x:c r="Y21" s="1377" t="str">
        <x:f t="shared" si="7"/>
        <x:v/>
      </x:c>
      <x:c r="Z21" s="1378" t="str">
        <x:f t="shared" si="8"/>
        <x:v/>
      </x:c>
      <x:c r="AA21" s="2159" t="s">
        <x:v>2187</x:v>
      </x:c>
      <x:c r="AC21" s="1226" t="b">
        <x:v>0</x:v>
      </x:c>
      <x:c r="AD21" s="525">
        <x:f t="shared" si="9"/>
        <x:v>1</x:v>
      </x:c>
      <x:c r="AE21" s="526">
        <x:f t="shared" si="10"/>
        <x:v>0</x:v>
      </x:c>
      <x:c r="AF21" s="526">
        <x:f t="shared" si="11"/>
        <x:v>0</x:v>
      </x:c>
      <x:c r="AG21" s="526">
        <x:f t="shared" si="12"/>
        <x:v>0</x:v>
      </x:c>
      <x:c r="AH21" s="527">
        <x:f t="shared" si="13"/>
        <x:v>0</x:v>
      </x:c>
      <x:c r="AI21" s="528" t="b">
        <x:v>0</x:v>
      </x:c>
      <x:c r="AJ21" s="284">
        <x:f t="shared" si="14"/>
        <x:v>30</x:v>
      </x:c>
      <x:c r="AK21" s="1063" t="str">
        <x:f t="shared" si="15"/>
        <x:v>K</x:v>
      </x:c>
      <x:c r="AL21" s="1202" t="str">
        <x:f t="shared" si="16"/>
        <x:v/>
      </x:c>
      <x:c r="AM21" s="1063">
        <x:f t="shared" si="17"/>
        <x:v>310</x:v>
      </x:c>
      <x:c r="AN21" s="1063">
        <x:f t="shared" si="18"/>
        <x:v>160</x:v>
      </x:c>
      <x:c r="AO21" s="1063" t="str">
        <x:f t="shared" si="19"/>
        <x:v/>
      </x:c>
      <x:c r="AP21" s="1063" t="b">
        <x:f>IF(ISERROR(AJ21),FALSE,IF(OR(AJ21=0,ISERROR(AL21),ISERROR(AM21),ISERROR(AN21),ISERROR(AO21)),FALSE,IF(AL21&lt;&gt;"",IF(ISERROR(VLOOKUP(SUBSTITUTE(SUBSTITUTE(C21,"R",""),"A",""),TblJoistSize!$A:$A,1,FALSE)),FALSE,TRUE),TRUE)))</x:f>
        <x:v>1</x:v>
      </x:c>
      <x:c r="AQ21" s="1305">
        <x:f t="shared" si="20"/>
        <x:v>5.375</x:v>
      </x:c>
      <x:c r="AR21" s="1305" t="b">
        <x:f t="shared" si="21"/>
        <x:v>0</x:v>
      </x:c>
      <x:c r="AS21" s="1305">
        <x:f t="shared" si="22"/>
        <x:v>6</x:v>
      </x:c>
      <x:c r="AT21" s="1305" t="b">
        <x:f t="shared" si="23"/>
        <x:v>0</x:v>
      </x:c>
      <x:c r="AU21" s="1203" t="str">
        <x:f t="shared" si="24"/>
        <x:v>K</x:v>
      </x:c>
      <x:c r="AV21" s="1063" t="str">
        <x:f t="shared" si="25"/>
        <x:v>K</x:v>
      </x:c>
      <x:c r="AW21" s="1063" t="str">
        <x:f t="shared" si="26"/>
        <x:v/>
      </x:c>
      <x:c r="AX21" s="1063" t="str">
        <x:f t="shared" si="102"/>
        <x:v>J172</x:v>
      </x:c>
      <x:c r="AY21" s="1306" t="b">
        <x:f t="shared" si="27"/>
        <x:v>0</x:v>
      </x:c>
      <x:c r="AZ21" s="1090" t="b">
        <x:f t="shared" si="28"/>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29"/>
        <x:v/>
      </x:c>
      <x:c r="CE21" s="1812" t="str">
        <x:f t="shared" si="30"/>
        <x:v/>
      </x:c>
      <x:c r="CF21" s="1813"/>
      <x:c r="CG21" s="1814"/>
      <x:c r="CH21" s="738" t="str">
        <x:f t="shared" si="31"/>
        <x:v/>
      </x:c>
      <x:c r="CI21" s="739" t="str">
        <x:f t="shared" si="32"/>
        <x:v/>
      </x:c>
      <x:c r="CJ21" s="740" t="str">
        <x:f t="shared" si="33"/>
        <x:v/>
      </x:c>
      <x:c r="CK21" s="741" t="str">
        <x:f t="shared" si="34"/>
        <x:v/>
      </x:c>
      <x:c r="CL21" s="742" t="str">
        <x:f t="shared" si="35"/>
        <x:v/>
      </x:c>
      <x:c r="CM21" s="743" t="str">
        <x:f t="shared" si="36"/>
        <x:v/>
      </x:c>
      <x:c r="CN21" s="744" t="str">
        <x:f t="shared" si="37"/>
        <x:v/>
      </x:c>
      <x:c r="CO21" s="745" t="str">
        <x:f t="shared" si="38"/>
        <x:v/>
      </x:c>
      <x:c r="CP21" s="762" t="str">
        <x:f t="shared" si="39"/>
        <x:v/>
      </x:c>
      <x:c r="CQ21" s="763" t="str">
        <x:f t="shared" si="40"/>
        <x:v/>
      </x:c>
      <x:c r="CR21" s="953">
        <x:f t="shared" si="41"/>
        <x:v>2.5</x:v>
      </x:c>
      <x:c r="CS21" s="954">
        <x:f t="shared" si="42"/>
        <x:v>2.5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3"/>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4"/>
        <x:v>0</x:v>
      </x:c>
      <x:c r="DO21" s="1049">
        <x:f t="shared" si="45"/>
        <x:v>0</x:v>
      </x:c>
      <x:c r="DP21" s="1053" t="str">
        <x:f t="shared" si="46"/>
        <x:v/>
      </x:c>
      <x:c r="DQ21" s="1053" t="str">
        <x:f t="shared" si="47"/>
        <x:v/>
      </x:c>
      <x:c r="DR21" s="1053" t="str">
        <x:f t="shared" si="48"/>
        <x:v/>
      </x:c>
      <x:c r="DS21" s="1052">
        <x:f t="shared" si="49"/>
        <x:v>0</x:v>
      </x:c>
      <x:c r="DT21" s="1052">
        <x:f t="shared" si="50"/>
        <x:v>0</x:v>
      </x:c>
      <x:c r="DU21" s="1052" t="str">
        <x:f t="shared" si="51"/>
        <x:v/>
      </x:c>
      <x:c r="DV21" s="1053" t="str">
        <x:f t="shared" si="52"/>
        <x:v/>
      </x:c>
      <x:c r="DW21" s="1053" t="str">
        <x:f t="shared" si="53"/>
        <x:v/>
      </x:c>
      <x:c r="DX21" s="1269">
        <x:f t="shared" si="54"/>
        <x:v>0</x:v>
      </x:c>
      <x:c r="DY21" s="1053">
        <x:f t="shared" si="55"/>
        <x:v>0</x:v>
      </x:c>
      <x:c r="DZ21" s="1052">
        <x:f t="shared" si="56"/>
        <x:v>0</x:v>
      </x:c>
      <x:c r="EA21" s="1052" t="str">
        <x:f t="shared" si="57"/>
        <x:v/>
      </x:c>
      <x:c r="EB21" s="1053" t="str">
        <x:f t="shared" si="58"/>
        <x:v/>
      </x:c>
      <x:c r="EC21" s="1053" t="str">
        <x:f t="shared" si="59"/>
        <x:v/>
      </x:c>
      <x:c r="ED21" s="1269">
        <x:f t="shared" si="60"/>
        <x:v>0</x:v>
      </x:c>
      <x:c r="EE21" s="1090" t="str">
        <x:f t="shared" si="61"/>
        <x:v/>
      </x:c>
      <x:c r="EF21" s="1053" t="str">
        <x:f t="shared" si="62"/>
        <x:v/>
      </x:c>
      <x:c r="EG21" s="1053" t="str">
        <x:f t="shared" si="63"/>
        <x:v/>
      </x:c>
      <x:c r="EH21" s="1053" t="str">
        <x:f t="shared" si="64"/>
        <x:v>ERR</x:v>
      </x:c>
      <x:c r="EI21" s="1053" t="str">
        <x:f t="shared" si="65"/>
        <x:v>ERR</x:v>
      </x:c>
      <x:c r="EJ21" s="1053" t="str">
        <x:f t="shared" si="66"/>
        <x:v/>
      </x:c>
      <x:c r="EK21" s="1053" t="str">
        <x:f t="shared" si="66"/>
        <x:v/>
      </x:c>
      <x:c r="EL21" s="1090" t="str">
        <x:f t="shared" si="67"/>
        <x:v/>
      </x:c>
      <x:c r="EM21" s="1053" t="str">
        <x:f t="shared" si="68"/>
        <x:v/>
      </x:c>
      <x:c r="EN21" s="1053" t="str">
        <x:f t="shared" si="69"/>
        <x:v/>
      </x:c>
      <x:c r="EO21" s="1053" t="str">
        <x:f t="shared" si="70"/>
        <x:v>ERR</x:v>
      </x:c>
      <x:c r="EP21" s="1053" t="str">
        <x:f t="shared" si="71"/>
        <x:v>ERR</x:v>
      </x:c>
      <x:c r="EQ21" s="1053" t="str">
        <x:f t="shared" si="72"/>
        <x:v/>
      </x:c>
      <x:c r="ER21" s="1053" t="str">
        <x:f t="shared" si="72"/>
        <x:v/>
      </x:c>
      <x:c r="ES21" s="1053" t="str">
        <x:f t="shared" si="73"/>
        <x:v/>
      </x:c>
      <x:c r="ET21" s="1053" t="str">
        <x:f t="shared" si="74"/>
        <x:v/>
      </x:c>
      <x:c r="EU21" s="1061">
        <x:f t="shared" si="75"/>
        <x:v>3.5</x:v>
      </x:c>
      <x:c r="EV21" s="1055" t="str">
        <x:f t="shared" si="76"/>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77"/>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78"/>
        <x:v/>
      </x:c>
      <x:c r="FD21" s="1052">
        <x:f t="shared" si="103"/>
        <x:v>0</x:v>
      </x:c>
      <x:c r="FE21" s="1052">
        <x:f t="shared" si="79"/>
        <x:v>0</x:v>
      </x:c>
      <x:c r="FF21" s="1052">
        <x:f t="shared" si="80"/>
        <x:v>0</x:v>
      </x:c>
      <x:c r="FG21" s="1052" t="str">
        <x:f t="shared" si="81"/>
        <x:v/>
      </x:c>
      <x:c r="FH21" s="1053" t="str">
        <x:f t="shared" si="82"/>
        <x:v/>
      </x:c>
      <x:c r="FI21" s="1052">
        <x:f t="shared" si="104"/>
        <x:v>0</x:v>
      </x:c>
      <x:c r="FJ21" s="1052">
        <x:f t="shared" si="83"/>
        <x:v>0</x:v>
      </x:c>
      <x:c r="FK21" s="1052">
        <x:f t="shared" si="84"/>
        <x:v>0</x:v>
      </x:c>
      <x:c r="FL21" s="1052" t="str">
        <x:f t="shared" si="85"/>
        <x:v/>
      </x:c>
      <x:c r="FM21" s="1053" t="str">
        <x:f t="shared" si="86"/>
        <x:v/>
      </x:c>
      <x:c r="FN21" s="1053" t="e">
        <x:f t="shared" si="87"/>
        <x:v>#VALUE!</x:v>
      </x:c>
      <x:c r="FO21" s="1062" t="e">
        <x:f t="shared" si="88"/>
        <x:v>#VALUE!</x:v>
      </x:c>
      <x:c r="FP21" s="1062" t="e">
        <x:f t="shared" si="89"/>
        <x:v>#VALUE!</x:v>
      </x:c>
      <x:c r="FQ21" s="1063" t="e">
        <x:f t="shared" si="90"/>
        <x:v>#VALUE!</x:v>
      </x:c>
      <x:c r="FR21" s="1064" t="e">
        <x:f t="shared" si="91"/>
        <x:v>#VALUE!</x:v>
      </x:c>
      <x:c r="FS21" s="1065" t="str">
        <x:f t="shared" si="92"/>
        <x:v/>
      </x:c>
      <x:c r="FT21" s="1066" t="str">
        <x:f t="shared" si="93"/>
        <x:v/>
      </x:c>
      <x:c r="FU21" s="1105">
        <x:f t="shared" si="94"/>
        <x:v>0</x:v>
      </x:c>
      <x:c r="FV21" s="1106">
        <x:f t="shared" si="95"/>
        <x:v>0</x:v>
      </x:c>
      <x:c r="GA21" s="1975">
        <x:v>37</x:v>
      </x:c>
      <x:c r="GB21" s="1976">
        <x:v>9.75</x:v>
      </x:c>
      <x:c r="GC21" s="1977">
        <x:v>-0.25</x:v>
      </x:c>
      <x:c r="GD21" s="1978">
        <x:v>-0.5</x:v>
      </x:c>
      <x:c r="GE21" s="1979">
        <x:v>0.13990949991648599</x:v>
      </x:c>
      <x:c r="GF21" s="1980" t="str">
        <x:f t="shared" si="96"/>
        <x:v>J172</x:v>
      </x:c>
      <x:c r="GG21" s="1453"/>
      <x:c r="GH21" s="1454"/>
      <x:c r="GI21" s="1453"/>
      <x:c r="GJ21" s="1454"/>
      <x:c r="GK21" s="533">
        <x:f t="shared" si="97"/>
        <x:v>453</x:v>
      </x:c>
      <x:c r="GL21" s="534">
        <x:f t="shared" si="98"/>
        <x:v>453.03078827553713</x:v>
      </x:c>
      <x:c r="GM21" s="535">
        <x:f>IF(ABS(GK21-GL21)&gt;='Job Info.'!$L$22,ABS(GK21-GL21),0)</x:f>
        <x:v>0</x:v>
      </x:c>
      <x:c r="HA21" s="1658" t="s">
        <x:v>1496</x:v>
      </x:c>
      <x:c r="HB21" s="1659">
        <x:v>1</x:v>
      </x:c>
      <x:c r="HC21" s="1659" t="s">
        <x:v>1980</x:v>
      </x:c>
      <x:c r="HD21" s="1660">
        <x:v>37</x:v>
      </x:c>
      <x:c r="HE21" s="1661">
        <x:v>9</x:v>
      </x:c>
      <x:c r="HF21" s="1659">
        <x:v>0</x:v>
      </x:c>
      <x:c r="HG21" s="1659">
        <x:v>1.375</x:v>
      </x:c>
      <x:c r="HH21" s="1659" t="s">
        <x:v>114</x:v>
      </x:c>
      <x:c r="HI21" s="1662">
        <x:v>0</x:v>
      </x:c>
      <x:c r="HJ21" s="1659">
        <x:v>0.25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2187</x:v>
      </x:c>
      <x:c r="IB21" s="1661"/>
      <x:c r="IC21" s="1661"/>
      <x:c r="ID21" s="1661"/>
      <x:c r="IE21" s="1661"/>
      <x:c r="IF21" s="1663"/>
    </x:row>
    <x:row r="22" spans="1:240" ht="12.6" customHeight="1" x14ac:dyDescent="0.25">
      <x:c r="A22" s="1264" t="s">
        <x:v>1497</x:v>
      </x:c>
      <x:c r="B22" s="1265">
        <x:v>1</x:v>
      </x:c>
      <x:c r="C22" s="1265" t="s">
        <x:v>1979</x:v>
      </x:c>
      <x:c r="D22" s="1261">
        <x:v>48</x:v>
      </x:c>
      <x:c r="E22" s="1366">
        <x:v>11.25</x:v>
      </x:c>
      <x:c r="F22" s="1328">
        <x:v>0</x:v>
      </x:c>
      <x:c r="G22" s="1262">
        <x:v>1.375</x:v>
      </x:c>
      <x:c r="H22" s="1266" t="s">
        <x:v>114</x:v>
      </x:c>
      <x:c r="I22" s="1261">
        <x:v>0</x:v>
      </x:c>
      <x:c r="J22" s="2122">
        <x:v>2</x:v>
      </x:c>
      <x:c r="K22" s="1370" t="s">
        <x:v>114</x:v>
      </x:c>
      <x:c r="L22" s="1327">
        <x:v>3</x:v>
      </x:c>
      <x:c r="M22" s="1329">
        <x:v>3</x:v>
      </x:c>
      <x:c r="N22" s="1263" t="str">
        <x:f t="shared" si="4"/>
        <x:v/>
      </x:c>
      <x:c r="O22" s="1262" t="str">
        <x:f t="shared" si="5"/>
        <x:v/>
      </x:c>
      <x:c r="P22" s="1260" t="str">
        <x:f t="shared" si="6"/>
        <x:v/>
      </x:c>
      <x:c r="Q22" s="1261" t="str">
        <x:f t="shared" si="99"/>
        <x:v/>
      </x:c>
      <x:c r="R22" s="1262" t="str">
        <x:f t="shared" si="100"/>
        <x:v/>
      </x:c>
      <x:c r="S22" s="1375" t="str">
        <x:f t="shared" si="101"/>
        <x:v/>
      </x:c>
      <x:c r="T22" s="1328" t="str">
        <x:f t="shared" si="105"/>
        <x:v/>
      </x:c>
      <x:c r="U22" s="1262" t="str">
        <x:f t="shared" si="106"/>
        <x:v/>
      </x:c>
      <x:c r="V22" s="1261" t="str">
        <x:f t="shared" si="107"/>
        <x:v/>
      </x:c>
      <x:c r="W22" s="1262" t="str">
        <x:f t="shared" si="108"/>
        <x:v/>
      </x:c>
      <x:c r="X22" s="1329">
        <x:f t="shared" si="109"/>
        <x:v>0</x:v>
      </x:c>
      <x:c r="Y22" s="1377" t="str">
        <x:f t="shared" si="7"/>
        <x:v/>
      </x:c>
      <x:c r="Z22" s="1378" t="str">
        <x:f t="shared" si="8"/>
        <x:v/>
      </x:c>
      <x:c r="AA22" s="2159" t="s">
        <x:v>2188</x:v>
      </x:c>
      <x:c r="AC22" s="1226" t="b">
        <x:v>0</x:v>
      </x:c>
      <x:c r="AD22" s="525">
        <x:f t="shared" si="9"/>
        <x:v>1</x:v>
      </x:c>
      <x:c r="AE22" s="526">
        <x:f t="shared" si="10"/>
        <x:v>0</x:v>
      </x:c>
      <x:c r="AF22" s="526">
        <x:f t="shared" si="11"/>
        <x:v>0</x:v>
      </x:c>
      <x:c r="AG22" s="526">
        <x:f t="shared" si="12"/>
        <x:v>0</x:v>
      </x:c>
      <x:c r="AH22" s="527">
        <x:f t="shared" si="13"/>
        <x:v>0</x:v>
      </x:c>
      <x:c r="AI22" s="528" t="b">
        <x:v>0</x:v>
      </x:c>
      <x:c r="AJ22" s="284">
        <x:f t="shared" si="14"/>
        <x:v>30</x:v>
      </x:c>
      <x:c r="AK22" s="1063" t="str">
        <x:f t="shared" si="15"/>
        <x:v>K</x:v>
      </x:c>
      <x:c r="AL22" s="1202" t="str">
        <x:f t="shared" si="16"/>
        <x:v/>
      </x:c>
      <x:c r="AM22" s="1063">
        <x:f t="shared" si="17"/>
        <x:v>240</x:v>
      </x:c>
      <x:c r="AN22" s="1063">
        <x:f t="shared" si="18"/>
        <x:v>140</x:v>
      </x:c>
      <x:c r="AO22" s="1063" t="str">
        <x:f t="shared" si="19"/>
        <x:v/>
      </x:c>
      <x:c r="AP22" s="1063" t="b">
        <x:f>IF(ISERROR(AJ22),FALSE,IF(OR(AJ22=0,ISERROR(AL22),ISERROR(AM22),ISERROR(AN22),ISERROR(AO22)),FALSE,IF(AL22&lt;&gt;"",IF(ISERROR(VLOOKUP(SUBSTITUTE(SUBSTITUTE(C22,"R",""),"A",""),TblJoistSize!$A:$A,1,FALSE)),FALSE,TRUE),TRUE)))</x:f>
        <x:v>1</x:v>
      </x:c>
      <x:c r="AQ22" s="1305">
        <x:f t="shared" si="20"/>
        <x:v>5.375</x:v>
      </x:c>
      <x:c r="AR22" s="1305" t="b">
        <x:f t="shared" si="21"/>
        <x:v>0</x:v>
      </x:c>
      <x:c r="AS22" s="1305">
        <x:f t="shared" si="22"/>
        <x:v>6</x:v>
      </x:c>
      <x:c r="AT22" s="1305" t="b">
        <x:f t="shared" si="23"/>
        <x:v>0</x:v>
      </x:c>
      <x:c r="AU22" s="1203" t="str">
        <x:f t="shared" si="24"/>
        <x:v>K</x:v>
      </x:c>
      <x:c r="AV22" s="1063" t="str">
        <x:f t="shared" si="25"/>
        <x:v>K</x:v>
      </x:c>
      <x:c r="AW22" s="1063" t="str">
        <x:f t="shared" si="26"/>
        <x:v/>
      </x:c>
      <x:c r="AX22" s="1063" t="str">
        <x:f t="shared" si="102"/>
        <x:v>J173</x:v>
      </x:c>
      <x:c r="AY22" s="1306" t="b">
        <x:f t="shared" si="27"/>
        <x:v>0</x:v>
      </x:c>
      <x:c r="AZ22" s="1090" t="b">
        <x:f t="shared" si="28"/>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29"/>
        <x:v/>
      </x:c>
      <x:c r="CE22" s="935" t="str">
        <x:f t="shared" si="30"/>
        <x:v/>
      </x:c>
      <x:c r="CF22" s="1149"/>
      <x:c r="CG22" s="1150"/>
      <x:c r="CH22" s="738" t="str">
        <x:f t="shared" si="31"/>
        <x:v/>
      </x:c>
      <x:c r="CI22" s="739" t="str">
        <x:f t="shared" si="32"/>
        <x:v/>
      </x:c>
      <x:c r="CJ22" s="740" t="str">
        <x:f t="shared" si="33"/>
        <x:v/>
      </x:c>
      <x:c r="CK22" s="741" t="str">
        <x:f t="shared" si="34"/>
        <x:v/>
      </x:c>
      <x:c r="CL22" s="742" t="str">
        <x:f t="shared" si="35"/>
        <x:v/>
      </x:c>
      <x:c r="CM22" s="743" t="str">
        <x:f t="shared" si="36"/>
        <x:v/>
      </x:c>
      <x:c r="CN22" s="744" t="str">
        <x:f t="shared" si="37"/>
        <x:v/>
      </x:c>
      <x:c r="CO22" s="745" t="str">
        <x:f t="shared" si="38"/>
        <x:v/>
      </x:c>
      <x:c r="CP22" s="762" t="str">
        <x:f t="shared" si="39"/>
        <x:v/>
      </x:c>
      <x:c r="CQ22" s="763" t="str">
        <x:f t="shared" si="40"/>
        <x:v/>
      </x:c>
      <x:c r="CR22" s="953">
        <x:f t="shared" si="41"/>
        <x:v>2.5</x:v>
      </x:c>
      <x:c r="CS22" s="954">
        <x:f t="shared" si="42"/>
        <x:v>2.5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3"/>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4"/>
        <x:v>0</x:v>
      </x:c>
      <x:c r="DO22" s="1049">
        <x:f t="shared" si="45"/>
        <x:v>0</x:v>
      </x:c>
      <x:c r="DP22" s="1053" t="str">
        <x:f t="shared" si="46"/>
        <x:v/>
      </x:c>
      <x:c r="DQ22" s="1053" t="str">
        <x:f t="shared" si="47"/>
        <x:v/>
      </x:c>
      <x:c r="DR22" s="1053" t="str">
        <x:f t="shared" si="48"/>
        <x:v/>
      </x:c>
      <x:c r="DS22" s="1052">
        <x:f t="shared" si="49"/>
        <x:v>0</x:v>
      </x:c>
      <x:c r="DT22" s="1052">
        <x:f t="shared" si="50"/>
        <x:v>0</x:v>
      </x:c>
      <x:c r="DU22" s="1052" t="str">
        <x:f t="shared" si="51"/>
        <x:v/>
      </x:c>
      <x:c r="DV22" s="1053" t="str">
        <x:f t="shared" si="52"/>
        <x:v/>
      </x:c>
      <x:c r="DW22" s="1053" t="str">
        <x:f t="shared" si="53"/>
        <x:v/>
      </x:c>
      <x:c r="DX22" s="1269">
        <x:f t="shared" si="54"/>
        <x:v>0</x:v>
      </x:c>
      <x:c r="DY22" s="1053">
        <x:f t="shared" si="55"/>
        <x:v>0</x:v>
      </x:c>
      <x:c r="DZ22" s="1052">
        <x:f t="shared" si="56"/>
        <x:v>0</x:v>
      </x:c>
      <x:c r="EA22" s="1052" t="str">
        <x:f t="shared" si="57"/>
        <x:v/>
      </x:c>
      <x:c r="EB22" s="1053" t="str">
        <x:f t="shared" si="58"/>
        <x:v/>
      </x:c>
      <x:c r="EC22" s="1053" t="str">
        <x:f t="shared" si="59"/>
        <x:v/>
      </x:c>
      <x:c r="ED22" s="1269">
        <x:f t="shared" si="60"/>
        <x:v>0</x:v>
      </x:c>
      <x:c r="EE22" s="1090" t="str">
        <x:f t="shared" si="61"/>
        <x:v/>
      </x:c>
      <x:c r="EF22" s="1053" t="str">
        <x:f t="shared" si="62"/>
        <x:v/>
      </x:c>
      <x:c r="EG22" s="1053" t="str">
        <x:f t="shared" si="63"/>
        <x:v/>
      </x:c>
      <x:c r="EH22" s="1053" t="str">
        <x:f t="shared" si="64"/>
        <x:v>ERR</x:v>
      </x:c>
      <x:c r="EI22" s="1053" t="str">
        <x:f t="shared" si="65"/>
        <x:v>ERR</x:v>
      </x:c>
      <x:c r="EJ22" s="1053" t="str">
        <x:f t="shared" si="66"/>
        <x:v/>
      </x:c>
      <x:c r="EK22" s="1053" t="str">
        <x:f t="shared" si="66"/>
        <x:v/>
      </x:c>
      <x:c r="EL22" s="1090" t="str">
        <x:f t="shared" si="67"/>
        <x:v/>
      </x:c>
      <x:c r="EM22" s="1053" t="str">
        <x:f t="shared" si="68"/>
        <x:v/>
      </x:c>
      <x:c r="EN22" s="1053" t="str">
        <x:f t="shared" si="69"/>
        <x:v/>
      </x:c>
      <x:c r="EO22" s="1053" t="str">
        <x:f t="shared" si="70"/>
        <x:v>ERR</x:v>
      </x:c>
      <x:c r="EP22" s="1053" t="str">
        <x:f t="shared" si="71"/>
        <x:v>ERR</x:v>
      </x:c>
      <x:c r="EQ22" s="1053" t="str">
        <x:f t="shared" si="72"/>
        <x:v/>
      </x:c>
      <x:c r="ER22" s="1053" t="str">
        <x:f t="shared" si="72"/>
        <x:v/>
      </x:c>
      <x:c r="ES22" s="1053" t="str">
        <x:f t="shared" si="73"/>
        <x:v/>
      </x:c>
      <x:c r="ET22" s="1053" t="str">
        <x:f t="shared" si="74"/>
        <x:v/>
      </x:c>
      <x:c r="EU22" s="1061">
        <x:f t="shared" si="75"/>
        <x:v>3.5</x:v>
      </x:c>
      <x:c r="EV22" s="1055" t="str">
        <x:f t="shared" si="76"/>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77"/>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78"/>
        <x:v/>
      </x:c>
      <x:c r="FD22" s="1052">
        <x:f t="shared" si="103"/>
        <x:v>0</x:v>
      </x:c>
      <x:c r="FE22" s="1052">
        <x:f t="shared" si="79"/>
        <x:v>0</x:v>
      </x:c>
      <x:c r="FF22" s="1052">
        <x:f t="shared" si="80"/>
        <x:v>0</x:v>
      </x:c>
      <x:c r="FG22" s="1052" t="str">
        <x:f t="shared" si="81"/>
        <x:v/>
      </x:c>
      <x:c r="FH22" s="1053" t="str">
        <x:f t="shared" si="82"/>
        <x:v/>
      </x:c>
      <x:c r="FI22" s="1052">
        <x:f t="shared" si="104"/>
        <x:v>0</x:v>
      </x:c>
      <x:c r="FJ22" s="1052">
        <x:f t="shared" si="83"/>
        <x:v>0</x:v>
      </x:c>
      <x:c r="FK22" s="1052">
        <x:f t="shared" si="84"/>
        <x:v>0</x:v>
      </x:c>
      <x:c r="FL22" s="1052" t="str">
        <x:f t="shared" si="85"/>
        <x:v/>
      </x:c>
      <x:c r="FM22" s="1053" t="str">
        <x:f t="shared" si="86"/>
        <x:v/>
      </x:c>
      <x:c r="FN22" s="1053" t="e">
        <x:f t="shared" si="87"/>
        <x:v>#VALUE!</x:v>
      </x:c>
      <x:c r="FO22" s="1062" t="e">
        <x:f t="shared" si="88"/>
        <x:v>#VALUE!</x:v>
      </x:c>
      <x:c r="FP22" s="1062" t="e">
        <x:f t="shared" si="89"/>
        <x:v>#VALUE!</x:v>
      </x:c>
      <x:c r="FQ22" s="1063" t="e">
        <x:f t="shared" si="90"/>
        <x:v>#VALUE!</x:v>
      </x:c>
      <x:c r="FR22" s="1064" t="e">
        <x:f t="shared" si="91"/>
        <x:v>#VALUE!</x:v>
      </x:c>
      <x:c r="FS22" s="1065" t="str">
        <x:f t="shared" si="92"/>
        <x:v/>
      </x:c>
      <x:c r="FT22" s="1066" t="str">
        <x:f t="shared" si="93"/>
        <x:v/>
      </x:c>
      <x:c r="FU22" s="1105">
        <x:f t="shared" si="94"/>
        <x:v>0</x:v>
      </x:c>
      <x:c r="FV22" s="1106">
        <x:f t="shared" si="95"/>
        <x:v>0</x:v>
      </x:c>
      <x:c r="GA22" s="1975">
        <x:v>49</x:v>
      </x:c>
      <x:c r="GB22" s="1976">
        <x:v>0</x:v>
      </x:c>
      <x:c r="GC22" s="1977">
        <x:v>-0.25</x:v>
      </x:c>
      <x:c r="GD22" s="1978">
        <x:v>-0.5</x:v>
      </x:c>
      <x:c r="GE22" s="1979">
        <x:v>0.139612172007792</x:v>
      </x:c>
      <x:c r="GF22" s="1980" t="str">
        <x:f t="shared" si="96"/>
        <x:v>J173</x:v>
      </x:c>
      <x:c r="GG22" s="1453"/>
      <x:c r="GH22" s="1454"/>
      <x:c r="GI22" s="1453"/>
      <x:c r="GJ22" s="1454"/>
      <x:c r="GK22" s="533">
        <x:f t="shared" si="97"/>
        <x:v>587.25</x:v>
      </x:c>
      <x:c r="GL22" s="534">
        <x:f t="shared" si="98"/>
        <x:v>587.28974316130859</x:v>
      </x:c>
      <x:c r="GM22" s="535">
        <x:f>IF(ABS(GK22-GL22)&gt;='Job Info.'!$L$22,ABS(GK22-GL22),0)</x:f>
        <x:v>0</x:v>
      </x:c>
      <x:c r="HA22" s="1658" t="s">
        <x:v>1497</x:v>
      </x:c>
      <x:c r="HB22" s="1659">
        <x:v>1</x:v>
      </x:c>
      <x:c r="HC22" s="1659" t="s">
        <x:v>1979</x:v>
      </x:c>
      <x:c r="HD22" s="1660">
        <x:v>48</x:v>
      </x:c>
      <x:c r="HE22" s="1661">
        <x:v>11.25</x:v>
      </x:c>
      <x:c r="HF22" s="1659">
        <x:v>0</x:v>
      </x:c>
      <x:c r="HG22" s="1659">
        <x:v>1.375</x:v>
      </x:c>
      <x:c r="HH22" s="1659" t="s">
        <x:v>114</x:v>
      </x:c>
      <x:c r="HI22" s="1662">
        <x:v>0</x:v>
      </x:c>
      <x:c r="HJ22" s="1659">
        <x:v>0.25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t="s">
        <x:v>117</x:v>
      </x:c>
      <x:c r="HZ22" s="1661" t="s">
        <x:v>117</x:v>
      </x:c>
      <x:c r="IA22" s="1661" t="s">
        <x:v>2188</x:v>
      </x:c>
      <x:c r="IB22" s="1661"/>
      <x:c r="IC22" s="1661"/>
      <x:c r="ID22" s="1661"/>
      <x:c r="IE22" s="1661"/>
      <x:c r="IF22" s="1663"/>
    </x:row>
    <x:row r="23" spans="1:240" ht="12.6" customHeight="1" x14ac:dyDescent="0.25">
      <x:c r="A23" s="1264" t="s">
        <x:v>1498</x:v>
      </x:c>
      <x:c r="B23" s="1265">
        <x:v>1</x:v>
      </x:c>
      <x:c r="C23" s="1265" t="s">
        <x:v>1978</x:v>
      </x:c>
      <x:c r="D23" s="1261">
        <x:v>59</x:v>
      </x:c>
      <x:c r="E23" s="1366">
        <x:v>11.5</x:v>
      </x:c>
      <x:c r="F23" s="1328">
        <x:v>0</x:v>
      </x:c>
      <x:c r="G23" s="1262">
        <x:v>1.375</x:v>
      </x:c>
      <x:c r="H23" s="1266" t="s">
        <x:v>114</x:v>
      </x:c>
      <x:c r="I23" s="1261">
        <x:v>0</x:v>
      </x:c>
      <x:c r="J23" s="1262">
        <x:v>1.375</x:v>
      </x:c>
      <x:c r="K23" s="1370" t="s">
        <x:v>114</x:v>
      </x:c>
      <x:c r="L23" s="1327">
        <x:v>3</x:v>
      </x:c>
      <x:c r="M23" s="1329">
        <x:v>3</x:v>
      </x:c>
      <x:c r="N23" s="1263" t="str">
        <x:f t="shared" si="4"/>
        <x:v/>
      </x:c>
      <x:c r="O23" s="1262" t="str">
        <x:f t="shared" si="5"/>
        <x:v/>
      </x:c>
      <x:c r="P23" s="1260" t="str">
        <x:f t="shared" si="6"/>
        <x:v/>
      </x:c>
      <x:c r="Q23" s="1261" t="str">
        <x:f t="shared" si="99"/>
        <x:v/>
      </x:c>
      <x:c r="R23" s="1262" t="str">
        <x:f t="shared" si="100"/>
        <x:v/>
      </x:c>
      <x:c r="S23" s="1375" t="str">
        <x:f t="shared" si="101"/>
        <x:v/>
      </x:c>
      <x:c r="T23" s="1328" t="str">
        <x:f t="shared" si="105"/>
        <x:v/>
      </x:c>
      <x:c r="U23" s="1262" t="str">
        <x:f t="shared" si="106"/>
        <x:v/>
      </x:c>
      <x:c r="V23" s="1261" t="str">
        <x:f t="shared" si="107"/>
        <x:v/>
      </x:c>
      <x:c r="W23" s="1262" t="str">
        <x:f t="shared" si="108"/>
        <x:v/>
      </x:c>
      <x:c r="X23" s="1329">
        <x:f t="shared" si="109"/>
        <x:v>0</x:v>
      </x:c>
      <x:c r="Y23" s="1377" t="str">
        <x:f t="shared" si="7"/>
        <x:v/>
      </x:c>
      <x:c r="Z23" s="1378" t="str">
        <x:f t="shared" si="8"/>
        <x:v/>
      </x:c>
      <x:c r="AA23" s="2159" t="s">
        <x:v>2189</x:v>
      </x:c>
      <x:c r="AC23" s="1226" t="b">
        <x:v>0</x:v>
      </x:c>
      <x:c r="AD23" s="525">
        <x:f t="shared" si="9"/>
        <x:v>0</x:v>
      </x:c>
      <x:c r="AE23" s="526">
        <x:f t="shared" si="10"/>
        <x:v>1</x:v>
      </x:c>
      <x:c r="AF23" s="526">
        <x:f t="shared" si="11"/>
        <x:v>0</x:v>
      </x:c>
      <x:c r="AG23" s="526">
        <x:f t="shared" si="12"/>
        <x:v>0</x:v>
      </x:c>
      <x:c r="AH23" s="527">
        <x:f t="shared" si="13"/>
        <x:v>0</x:v>
      </x:c>
      <x:c r="AI23" s="528" t="b">
        <x:v>0</x:v>
      </x:c>
      <x:c r="AJ23" s="284">
        <x:f t="shared" si="14"/>
        <x:v>36</x:v>
      </x:c>
      <x:c r="AK23" s="1063" t="str">
        <x:f t="shared" si="15"/>
        <x:v>LH</x:v>
      </x:c>
      <x:c r="AL23" s="1202" t="str">
        <x:f t="shared" si="16"/>
        <x:v/>
      </x:c>
      <x:c r="AM23" s="1063">
        <x:f t="shared" si="17"/>
        <x:v>270</x:v>
      </x:c>
      <x:c r="AN23" s="1063">
        <x:f t="shared" si="18"/>
        <x:v>120</x:v>
      </x:c>
      <x:c r="AO23" s="1063" t="str">
        <x:f t="shared" si="19"/>
        <x:v/>
      </x:c>
      <x:c r="AP23" s="1063" t="b">
        <x:f>IF(ISERROR(AJ23),FALSE,IF(OR(AJ23=0,ISERROR(AL23),ISERROR(AM23),ISERROR(AN23),ISERROR(AO23)),FALSE,IF(AL23&lt;&gt;"",IF(ISERROR(VLOOKUP(SUBSTITUTE(SUBSTITUTE(C23,"R",""),"A",""),TblJoistSize!$A:$A,1,FALSE)),FALSE,TRUE),TRUE)))</x:f>
        <x:v>1</x:v>
      </x:c>
      <x:c r="AQ23" s="1305">
        <x:f t="shared" si="20"/>
        <x:v>7.375</x:v>
      </x:c>
      <x:c r="AR23" s="1305" t="b">
        <x:f t="shared" si="21"/>
        <x:v>0</x:v>
      </x:c>
      <x:c r="AS23" s="1305">
        <x:f t="shared" si="22"/>
        <x:v>7.375</x:v>
      </x:c>
      <x:c r="AT23" s="1305" t="b">
        <x:f t="shared" si="23"/>
        <x:v>0</x:v>
      </x:c>
      <x:c r="AU23" s="1203" t="str">
        <x:f t="shared" si="24"/>
        <x:v>LH</x:v>
      </x:c>
      <x:c r="AV23" s="1063" t="str">
        <x:f t="shared" si="25"/>
        <x:v/>
      </x:c>
      <x:c r="AW23" s="1063" t="str">
        <x:f t="shared" si="26"/>
        <x:v>LH</x:v>
      </x:c>
      <x:c r="AX23" s="1063" t="str">
        <x:f t="shared" si="102"/>
        <x:v>J174</x:v>
      </x:c>
      <x:c r="AY23" s="1306" t="b">
        <x:f t="shared" si="27"/>
        <x:v>0</x:v>
      </x:c>
      <x:c r="AZ23" s="1090" t="b">
        <x:f t="shared" si="28"/>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29"/>
        <x:v/>
      </x:c>
      <x:c r="CE23" s="935" t="str">
        <x:f t="shared" si="30"/>
        <x:v/>
      </x:c>
      <x:c r="CF23" s="1149"/>
      <x:c r="CG23" s="1150"/>
      <x:c r="CH23" s="738" t="str">
        <x:f t="shared" si="31"/>
        <x:v/>
      </x:c>
      <x:c r="CI23" s="739" t="str">
        <x:f t="shared" si="32"/>
        <x:v/>
      </x:c>
      <x:c r="CJ23" s="740" t="str">
        <x:f t="shared" si="33"/>
        <x:v/>
      </x:c>
      <x:c r="CK23" s="741" t="str">
        <x:f t="shared" si="34"/>
        <x:v/>
      </x:c>
      <x:c r="CL23" s="742" t="str">
        <x:f t="shared" si="35"/>
        <x:v/>
      </x:c>
      <x:c r="CM23" s="743" t="str">
        <x:f t="shared" si="36"/>
        <x:v/>
      </x:c>
      <x:c r="CN23" s="744" t="str">
        <x:f t="shared" si="37"/>
        <x:v/>
      </x:c>
      <x:c r="CO23" s="745" t="str">
        <x:f t="shared" si="38"/>
        <x:v/>
      </x:c>
      <x:c r="CP23" s="762" t="str">
        <x:f t="shared" si="39"/>
        <x:v/>
      </x:c>
      <x:c r="CQ23" s="763" t="str">
        <x:f t="shared" si="40"/>
        <x:v/>
      </x:c>
      <x:c r="CR23" s="953">
        <x:f t="shared" si="41"/>
        <x:v>5</x:v>
      </x:c>
      <x:c r="CS23" s="954">
        <x:f t="shared" si="42"/>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3"/>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4"/>
        <x:v>0</x:v>
      </x:c>
      <x:c r="DO23" s="1049">
        <x:f t="shared" si="45"/>
        <x:v>0</x:v>
      </x:c>
      <x:c r="DP23" s="1053" t="str">
        <x:f t="shared" si="46"/>
        <x:v/>
      </x:c>
      <x:c r="DQ23" s="1053" t="str">
        <x:f t="shared" si="47"/>
        <x:v/>
      </x:c>
      <x:c r="DR23" s="1053" t="str">
        <x:f t="shared" si="48"/>
        <x:v/>
      </x:c>
      <x:c r="DS23" s="1052">
        <x:f t="shared" si="49"/>
        <x:v>0</x:v>
      </x:c>
      <x:c r="DT23" s="1052">
        <x:f t="shared" si="50"/>
        <x:v>0</x:v>
      </x:c>
      <x:c r="DU23" s="1052" t="str">
        <x:f t="shared" si="51"/>
        <x:v/>
      </x:c>
      <x:c r="DV23" s="1053" t="str">
        <x:f t="shared" si="52"/>
        <x:v/>
      </x:c>
      <x:c r="DW23" s="1053" t="str">
        <x:f t="shared" si="53"/>
        <x:v/>
      </x:c>
      <x:c r="DX23" s="1269">
        <x:f t="shared" si="54"/>
        <x:v>0</x:v>
      </x:c>
      <x:c r="DY23" s="1053">
        <x:f t="shared" si="55"/>
        <x:v>0</x:v>
      </x:c>
      <x:c r="DZ23" s="1052">
        <x:f t="shared" si="56"/>
        <x:v>0</x:v>
      </x:c>
      <x:c r="EA23" s="1052" t="str">
        <x:f t="shared" si="57"/>
        <x:v/>
      </x:c>
      <x:c r="EB23" s="1053" t="str">
        <x:f t="shared" si="58"/>
        <x:v/>
      </x:c>
      <x:c r="EC23" s="1053" t="str">
        <x:f t="shared" si="59"/>
        <x:v/>
      </x:c>
      <x:c r="ED23" s="1269">
        <x:f t="shared" si="60"/>
        <x:v>0</x:v>
      </x:c>
      <x:c r="EE23" s="1090" t="str">
        <x:f t="shared" si="61"/>
        <x:v/>
      </x:c>
      <x:c r="EF23" s="1053" t="str">
        <x:f t="shared" si="62"/>
        <x:v/>
      </x:c>
      <x:c r="EG23" s="1053" t="str">
        <x:f t="shared" si="63"/>
        <x:v/>
      </x:c>
      <x:c r="EH23" s="1053" t="str">
        <x:f t="shared" si="64"/>
        <x:v>ERR</x:v>
      </x:c>
      <x:c r="EI23" s="1053" t="str">
        <x:f t="shared" si="65"/>
        <x:v>ERR</x:v>
      </x:c>
      <x:c r="EJ23" s="1053" t="str">
        <x:f t="shared" si="66"/>
        <x:v/>
      </x:c>
      <x:c r="EK23" s="1053" t="str">
        <x:f t="shared" si="66"/>
        <x:v/>
      </x:c>
      <x:c r="EL23" s="1090" t="str">
        <x:f t="shared" si="67"/>
        <x:v/>
      </x:c>
      <x:c r="EM23" s="1053" t="str">
        <x:f t="shared" si="68"/>
        <x:v/>
      </x:c>
      <x:c r="EN23" s="1053" t="str">
        <x:f t="shared" si="69"/>
        <x:v/>
      </x:c>
      <x:c r="EO23" s="1053" t="str">
        <x:f t="shared" si="70"/>
        <x:v>ERR</x:v>
      </x:c>
      <x:c r="EP23" s="1053" t="str">
        <x:f t="shared" si="71"/>
        <x:v>ERR</x:v>
      </x:c>
      <x:c r="EQ23" s="1053" t="str">
        <x:f t="shared" si="72"/>
        <x:v/>
      </x:c>
      <x:c r="ER23" s="1053" t="str">
        <x:f t="shared" si="72"/>
        <x:v/>
      </x:c>
      <x:c r="ES23" s="1053" t="str">
        <x:f t="shared" si="73"/>
        <x:v/>
      </x:c>
      <x:c r="ET23" s="1053" t="str">
        <x:f t="shared" si="74"/>
        <x:v/>
      </x:c>
      <x:c r="EU23" s="1061">
        <x:f t="shared" si="75"/>
        <x:v>4</x:v>
      </x:c>
      <x:c r="EV23" s="1055" t="str">
        <x:f t="shared" si="76"/>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77"/>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78"/>
        <x:v/>
      </x:c>
      <x:c r="FD23" s="1052">
        <x:f t="shared" si="103"/>
        <x:v>0</x:v>
      </x:c>
      <x:c r="FE23" s="1052">
        <x:f t="shared" si="79"/>
        <x:v>0</x:v>
      </x:c>
      <x:c r="FF23" s="1052">
        <x:f t="shared" si="80"/>
        <x:v>0</x:v>
      </x:c>
      <x:c r="FG23" s="1052" t="str">
        <x:f t="shared" si="81"/>
        <x:v/>
      </x:c>
      <x:c r="FH23" s="1053" t="str">
        <x:f t="shared" si="82"/>
        <x:v/>
      </x:c>
      <x:c r="FI23" s="1052">
        <x:f t="shared" si="104"/>
        <x:v>0</x:v>
      </x:c>
      <x:c r="FJ23" s="1052">
        <x:f t="shared" si="83"/>
        <x:v>0</x:v>
      </x:c>
      <x:c r="FK23" s="1052">
        <x:f t="shared" si="84"/>
        <x:v>0</x:v>
      </x:c>
      <x:c r="FL23" s="1052" t="str">
        <x:f t="shared" si="85"/>
        <x:v/>
      </x:c>
      <x:c r="FM23" s="1053" t="str">
        <x:f t="shared" si="86"/>
        <x:v/>
      </x:c>
      <x:c r="FN23" s="1053" t="e">
        <x:f t="shared" si="87"/>
        <x:v>#VALUE!</x:v>
      </x:c>
      <x:c r="FO23" s="1062" t="e">
        <x:f t="shared" si="88"/>
        <x:v>#VALUE!</x:v>
      </x:c>
      <x:c r="FP23" s="1062" t="e">
        <x:f t="shared" si="89"/>
        <x:v>#VALUE!</x:v>
      </x:c>
      <x:c r="FQ23" s="1063" t="e">
        <x:f t="shared" si="90"/>
        <x:v>#VALUE!</x:v>
      </x:c>
      <x:c r="FR23" s="1064" t="e">
        <x:f t="shared" si="91"/>
        <x:v>#VALUE!</x:v>
      </x:c>
      <x:c r="FS23" s="1065" t="str">
        <x:f t="shared" si="92"/>
        <x:v/>
      </x:c>
      <x:c r="FT23" s="1066" t="str">
        <x:f t="shared" si="93"/>
        <x:v/>
      </x:c>
      <x:c r="FU23" s="1105">
        <x:f t="shared" si="94"/>
        <x:v>0</x:v>
      </x:c>
      <x:c r="FV23" s="1106">
        <x:f t="shared" si="95"/>
        <x:v>0</x:v>
      </x:c>
      <x:c r="GA23" s="1975">
        <x:v>60</x:v>
      </x:c>
      <x:c r="GB23" s="1976">
        <x:v>0</x:v>
      </x:c>
      <x:c r="GC23" s="1977">
        <x:v>-0.25</x:v>
      </x:c>
      <x:c r="GD23" s="1978">
        <x:v>-0.25</x:v>
      </x:c>
      <x:c r="GE23" s="1979">
        <x:v>0.139245549628081</x:v>
      </x:c>
      <x:c r="GF23" s="1980" t="str">
        <x:f t="shared" si="96"/>
        <x:v>J174</x:v>
      </x:c>
      <x:c r="GG23" s="1453"/>
      <x:c r="GH23" s="1454"/>
      <x:c r="GI23" s="1453"/>
      <x:c r="GJ23" s="1454"/>
      <x:c r="GK23" s="533">
        <x:f t="shared" si="97"/>
        <x:v>719.5</x:v>
      </x:c>
      <x:c r="GL23" s="534">
        <x:f t="shared" si="98"/>
        <x:v>719.54843801524225</x:v>
      </x:c>
      <x:c r="GM23" s="535">
        <x:f>IF(ABS(GK23-GL23)&gt;='Job Info.'!$L$22,ABS(GK23-GL23),0)</x:f>
        <x:v>0</x:v>
      </x:c>
      <x:c r="HA23" s="1658" t="s">
        <x:v>1498</x:v>
      </x:c>
      <x:c r="HB23" s="1659">
        <x:v>1</x:v>
      </x:c>
      <x:c r="HC23" s="1659" t="s">
        <x:v>1978</x:v>
      </x:c>
      <x:c r="HD23" s="1660">
        <x:v>59</x:v>
      </x:c>
      <x:c r="HE23" s="1661">
        <x:v>11.5</x:v>
      </x:c>
      <x:c r="HF23" s="1659">
        <x:v>0</x:v>
      </x:c>
      <x:c r="HG23" s="1659">
        <x:v>1.375</x:v>
      </x:c>
      <x:c r="HH23" s="1659" t="s">
        <x:v>114</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2189</x:v>
      </x:c>
      <x:c r="IB23" s="1661"/>
      <x:c r="IC23" s="1661"/>
      <x:c r="ID23" s="1661"/>
      <x:c r="IE23" s="1661"/>
      <x:c r="IF23" s="1663"/>
    </x:row>
    <x:row r="24" spans="1:240" ht="12.6" customHeight="1" x14ac:dyDescent="0.25">
      <x:c r="A24" s="1264" t="s">
        <x:v>1499</x:v>
      </x:c>
      <x:c r="B24" s="1265">
        <x:v>2</x:v>
      </x:c>
      <x:c r="C24" s="1265" t="s">
        <x:v>1978</x:v>
      </x:c>
      <x:c r="D24" s="1261">
        <x:v>59</x:v>
      </x:c>
      <x:c r="E24" s="1366">
        <x:v>10</x:v>
      </x:c>
      <x:c r="F24" s="1328">
        <x:v>0</x:v>
      </x:c>
      <x:c r="G24" s="1262">
        <x:v>0.625</x:v>
      </x:c>
      <x:c r="H24" s="1266" t="s">
        <x:v>114</x:v>
      </x:c>
      <x:c r="I24" s="1261">
        <x:v>0</x:v>
      </x:c>
      <x:c r="J24" s="1262">
        <x:v>0.625</x:v>
      </x:c>
      <x:c r="K24" s="1370" t="s">
        <x:v>114</x:v>
      </x:c>
      <x:c r="L24" s="1327">
        <x:v>3</x:v>
      </x:c>
      <x:c r="M24" s="1329">
        <x:v>3</x:v>
      </x:c>
      <x:c r="N24" s="1263">
        <x:v>0</x:v>
      </x:c>
      <x:c r="O24" s="1262">
        <x:v>6</x:v>
      </x:c>
      <x:c r="P24" s="1260">
        <x:v>2</x:v>
      </x:c>
      <x:c r="Q24" s="1261">
        <x:v>0</x:v>
      </x:c>
      <x:c r="R24" s="1262">
        <x:v>6</x:v>
      </x:c>
      <x:c r="S24" s="1375">
        <x:v>2</x:v>
      </x:c>
      <x:c r="T24" s="1328">
        <x:v>0</x:v>
      </x:c>
      <x:c r="U24" s="1262">
        <x:v>1.5</x:v>
      </x:c>
      <x:c r="V24" s="1261">
        <x:v>0</x:v>
      </x:c>
      <x:c r="W24" s="1262">
        <x:v>1.5</x:v>
      </x:c>
      <x:c r="X24" s="1329">
        <x:v>4</x:v>
      </x:c>
      <x:c r="Y24" s="1377" t="str">
        <x:f t="shared" si="7"/>
        <x:v/>
      </x:c>
      <x:c r="Z24" s="1378" t="str">
        <x:f t="shared" si="8"/>
        <x:v/>
      </x:c>
      <x:c r="AA24" s="2159" t="s">
        <x:v>2095</x:v>
      </x:c>
      <x:c r="AC24" s="1226" t="b">
        <x:v>0</x:v>
      </x:c>
      <x:c r="AD24" s="525">
        <x:f t="shared" si="9"/>
        <x:v>0</x:v>
      </x:c>
      <x:c r="AE24" s="526">
        <x:f t="shared" si="10"/>
        <x:v>2</x:v>
      </x:c>
      <x:c r="AF24" s="526">
        <x:f t="shared" si="11"/>
        <x:v>0</x:v>
      </x:c>
      <x:c r="AG24" s="526">
        <x:f t="shared" si="12"/>
        <x:v>0</x:v>
      </x:c>
      <x:c r="AH24" s="527">
        <x:f t="shared" si="13"/>
        <x:v>0</x:v>
      </x:c>
      <x:c r="AI24" s="528" t="b">
        <x:v>0</x:v>
      </x:c>
      <x:c r="AJ24" s="284">
        <x:f t="shared" si="14"/>
        <x:v>36</x:v>
      </x:c>
      <x:c r="AK24" s="1063" t="str">
        <x:f t="shared" si="15"/>
        <x:v>LH</x:v>
      </x:c>
      <x:c r="AL24" s="1202" t="str">
        <x:f t="shared" si="16"/>
        <x:v/>
      </x:c>
      <x:c r="AM24" s="1063">
        <x:f t="shared" si="17"/>
        <x:v>270</x:v>
      </x:c>
      <x:c r="AN24" s="1063">
        <x:f t="shared" si="18"/>
        <x:v>120</x:v>
      </x:c>
      <x:c r="AO24" s="1063" t="str">
        <x:f t="shared" si="19"/>
        <x:v/>
      </x:c>
      <x:c r="AP24" s="1063" t="b">
        <x:f>IF(ISERROR(AJ24),FALSE,IF(OR(AJ24=0,ISERROR(AL24),ISERROR(AM24),ISERROR(AN24),ISERROR(AO24)),FALSE,IF(AL24&lt;&gt;"",IF(ISERROR(VLOOKUP(SUBSTITUTE(SUBSTITUTE(C24,"R",""),"A",""),TblJoistSize!$A:$A,1,FALSE)),FALSE,TRUE),TRUE)))</x:f>
        <x:v>1</x:v>
      </x:c>
      <x:c r="AQ24" s="1305">
        <x:f t="shared" si="20"/>
        <x:v>6.625</x:v>
      </x:c>
      <x:c r="AR24" s="1305" t="b">
        <x:f t="shared" si="21"/>
        <x:v>1</x:v>
      </x:c>
      <x:c r="AS24" s="1305">
        <x:f t="shared" si="22"/>
        <x:v>6.625</x:v>
      </x:c>
      <x:c r="AT24" s="1305" t="b">
        <x:f t="shared" si="23"/>
        <x:v>1</x:v>
      </x:c>
      <x:c r="AU24" s="1203" t="str">
        <x:f t="shared" si="24"/>
        <x:v>LH</x:v>
      </x:c>
      <x:c r="AV24" s="1063" t="str">
        <x:f t="shared" si="25"/>
        <x:v/>
      </x:c>
      <x:c r="AW24" s="1063" t="str">
        <x:f t="shared" si="26"/>
        <x:v>LH</x:v>
      </x:c>
      <x:c r="AX24" s="1063" t="str">
        <x:f t="shared" si="102"/>
        <x:v>TJ175</x:v>
      </x:c>
      <x:c r="AY24" s="1306" t="b">
        <x:f t="shared" si="27"/>
        <x:v>0</x:v>
      </x:c>
      <x:c r="AZ24" s="1090" t="b">
        <x:f t="shared" si="28"/>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29"/>
        <x:v/>
      </x:c>
      <x:c r="CE24" s="935" t="str">
        <x:f t="shared" si="30"/>
        <x:v/>
      </x:c>
      <x:c r="CF24" s="1149"/>
      <x:c r="CG24" s="1150"/>
      <x:c r="CH24" s="738" t="str">
        <x:f t="shared" si="31"/>
        <x:v/>
      </x:c>
      <x:c r="CI24" s="739" t="str">
        <x:f t="shared" si="32"/>
        <x:v/>
      </x:c>
      <x:c r="CJ24" s="740" t="str">
        <x:f t="shared" si="33"/>
        <x:v/>
      </x:c>
      <x:c r="CK24" s="741" t="str">
        <x:f t="shared" si="34"/>
        <x:v/>
      </x:c>
      <x:c r="CL24" s="742" t="str">
        <x:f t="shared" si="35"/>
        <x:v/>
      </x:c>
      <x:c r="CM24" s="743" t="str">
        <x:f t="shared" si="36"/>
        <x:v/>
      </x:c>
      <x:c r="CN24" s="744" t="str">
        <x:f t="shared" si="37"/>
        <x:v/>
      </x:c>
      <x:c r="CO24" s="745" t="str">
        <x:f t="shared" si="38"/>
        <x:v/>
      </x:c>
      <x:c r="CP24" s="762" t="str">
        <x:f t="shared" si="39"/>
        <x:v/>
      </x:c>
      <x:c r="CQ24" s="763" t="str">
        <x:f t="shared" si="40"/>
        <x:v/>
      </x:c>
      <x:c r="CR24" s="953">
        <x:f t="shared" si="41"/>
        <x:v>5</x:v>
      </x:c>
      <x:c r="CS24" s="954">
        <x:f t="shared" si="42"/>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3"/>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4"/>
        <x:v>0</x:v>
      </x:c>
      <x:c r="DO24" s="1049">
        <x:f t="shared" si="45"/>
        <x:v>0</x:v>
      </x:c>
      <x:c r="DP24" s="1053" t="str">
        <x:f t="shared" si="46"/>
        <x:v/>
      </x:c>
      <x:c r="DQ24" s="1053" t="str">
        <x:f t="shared" si="47"/>
        <x:v/>
      </x:c>
      <x:c r="DR24" s="1053" t="str">
        <x:f t="shared" si="48"/>
        <x:v/>
      </x:c>
      <x:c r="DS24" s="1052">
        <x:f t="shared" si="49"/>
        <x:v>0</x:v>
      </x:c>
      <x:c r="DT24" s="1052">
        <x:f t="shared" si="50"/>
        <x:v>0</x:v>
      </x:c>
      <x:c r="DU24" s="1052" t="str">
        <x:f t="shared" si="51"/>
        <x:v/>
      </x:c>
      <x:c r="DV24" s="1053" t="str">
        <x:f t="shared" si="52"/>
        <x:v/>
      </x:c>
      <x:c r="DW24" s="1053" t="str">
        <x:f t="shared" si="53"/>
        <x:v/>
      </x:c>
      <x:c r="DX24" s="1269">
        <x:f t="shared" si="54"/>
        <x:v>0</x:v>
      </x:c>
      <x:c r="DY24" s="1053">
        <x:f t="shared" si="55"/>
        <x:v>0</x:v>
      </x:c>
      <x:c r="DZ24" s="1052">
        <x:f t="shared" si="56"/>
        <x:v>0</x:v>
      </x:c>
      <x:c r="EA24" s="1052" t="str">
        <x:f t="shared" si="57"/>
        <x:v/>
      </x:c>
      <x:c r="EB24" s="1053" t="str">
        <x:f t="shared" si="58"/>
        <x:v/>
      </x:c>
      <x:c r="EC24" s="1053" t="str">
        <x:f t="shared" si="59"/>
        <x:v/>
      </x:c>
      <x:c r="ED24" s="1269">
        <x:f t="shared" si="60"/>
        <x:v>0</x:v>
      </x:c>
      <x:c r="EE24" s="1090" t="str">
        <x:f t="shared" si="61"/>
        <x:v/>
      </x:c>
      <x:c r="EF24" s="1053" t="str">
        <x:f t="shared" si="62"/>
        <x:v/>
      </x:c>
      <x:c r="EG24" s="1053" t="str">
        <x:f t="shared" si="63"/>
        <x:v/>
      </x:c>
      <x:c r="EH24" s="1053" t="str">
        <x:f t="shared" si="64"/>
        <x:v>ERR</x:v>
      </x:c>
      <x:c r="EI24" s="1053" t="str">
        <x:f t="shared" si="65"/>
        <x:v>ERR</x:v>
      </x:c>
      <x:c r="EJ24" s="1053" t="str">
        <x:f t="shared" si="66"/>
        <x:v/>
      </x:c>
      <x:c r="EK24" s="1053" t="str">
        <x:f t="shared" si="66"/>
        <x:v/>
      </x:c>
      <x:c r="EL24" s="1090" t="str">
        <x:f t="shared" si="67"/>
        <x:v/>
      </x:c>
      <x:c r="EM24" s="1053" t="str">
        <x:f t="shared" si="68"/>
        <x:v/>
      </x:c>
      <x:c r="EN24" s="1053" t="str">
        <x:f t="shared" si="69"/>
        <x:v/>
      </x:c>
      <x:c r="EO24" s="1053" t="str">
        <x:f t="shared" si="70"/>
        <x:v>ERR</x:v>
      </x:c>
      <x:c r="EP24" s="1053" t="str">
        <x:f t="shared" si="71"/>
        <x:v>ERR</x:v>
      </x:c>
      <x:c r="EQ24" s="1053" t="str">
        <x:f t="shared" si="72"/>
        <x:v/>
      </x:c>
      <x:c r="ER24" s="1053" t="str">
        <x:f t="shared" si="72"/>
        <x:v/>
      </x:c>
      <x:c r="ES24" s="1053" t="str">
        <x:f t="shared" si="73"/>
        <x:v/>
      </x:c>
      <x:c r="ET24" s="1053" t="str">
        <x:f t="shared" si="74"/>
        <x:v/>
      </x:c>
      <x:c r="EU24" s="1061">
        <x:f t="shared" si="75"/>
        <x:v>4</x:v>
      </x:c>
      <x:c r="EV24" s="1055" t="str">
        <x:f t="shared" si="76"/>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7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78"/>
        <x:v/>
      </x:c>
      <x:c r="FD24" s="1052">
        <x:f t="shared" si="103"/>
        <x:v>0</x:v>
      </x:c>
      <x:c r="FE24" s="1052">
        <x:f t="shared" si="79"/>
        <x:v>0</x:v>
      </x:c>
      <x:c r="FF24" s="1052">
        <x:f t="shared" si="80"/>
        <x:v>0</x:v>
      </x:c>
      <x:c r="FG24" s="1052" t="str">
        <x:f t="shared" si="81"/>
        <x:v/>
      </x:c>
      <x:c r="FH24" s="1053" t="str">
        <x:f t="shared" si="82"/>
        <x:v/>
      </x:c>
      <x:c r="FI24" s="1052">
        <x:f t="shared" si="104"/>
        <x:v>0</x:v>
      </x:c>
      <x:c r="FJ24" s="1052">
        <x:f t="shared" si="83"/>
        <x:v>0</x:v>
      </x:c>
      <x:c r="FK24" s="1052">
        <x:f t="shared" si="84"/>
        <x:v>0</x:v>
      </x:c>
      <x:c r="FL24" s="1052" t="str">
        <x:f t="shared" si="85"/>
        <x:v/>
      </x:c>
      <x:c r="FM24" s="1053" t="str">
        <x:f t="shared" si="86"/>
        <x:v/>
      </x:c>
      <x:c r="FN24" s="1053" t="e">
        <x:f t="shared" si="87"/>
        <x:v>#VALUE!</x:v>
      </x:c>
      <x:c r="FO24" s="1062" t="e">
        <x:f t="shared" si="88"/>
        <x:v>#VALUE!</x:v>
      </x:c>
      <x:c r="FP24" s="1062" t="e">
        <x:f t="shared" si="89"/>
        <x:v>#VALUE!</x:v>
      </x:c>
      <x:c r="FQ24" s="1063" t="e">
        <x:f t="shared" si="90"/>
        <x:v>#VALUE!</x:v>
      </x:c>
      <x:c r="FR24" s="1064" t="e">
        <x:f t="shared" si="91"/>
        <x:v>#VALUE!</x:v>
      </x:c>
      <x:c r="FS24" s="1065" t="str">
        <x:f t="shared" si="92"/>
        <x:v/>
      </x:c>
      <x:c r="FT24" s="1066" t="str">
        <x:f t="shared" si="93"/>
        <x:v/>
      </x:c>
      <x:c r="FU24" s="1105">
        <x:f t="shared" si="94"/>
        <x:v>0</x:v>
      </x:c>
      <x:c r="FV24" s="1106">
        <x:f t="shared" si="95"/>
        <x:v>0</x:v>
      </x:c>
      <x:c r="GA24" s="1975">
        <x:v>60</x:v>
      </x:c>
      <x:c r="GB24" s="1976">
        <x:v>0</x:v>
      </x:c>
      <x:c r="GC24" s="1977">
        <x:v>-1</x:v>
      </x:c>
      <x:c r="GD24" s="1978">
        <x:v>-1</x:v>
      </x:c>
      <x:c r="GE24" s="1979">
        <x:v>0.125</x:v>
      </x:c>
      <x:c r="GF24" s="1980" t="str">
        <x:f t="shared" si="96"/>
        <x:v>TJ175</x:v>
      </x:c>
      <x:c r="GG24" s="1453"/>
      <x:c r="GH24" s="1454"/>
      <x:c r="GI24" s="1453"/>
      <x:c r="GJ24" s="1454"/>
      <x:c r="GK24" s="533">
        <x:f t="shared" si="97"/>
        <x:v>718</x:v>
      </x:c>
      <x:c r="GL24" s="534">
        <x:f t="shared" si="98"/>
        <x:v>718.03895293641824</x:v>
      </x:c>
      <x:c r="GM24" s="535">
        <x:f>IF(ABS(GK24-GL24)&gt;='Job Info.'!$L$22,ABS(GK24-GL24),0)</x:f>
        <x:v>0</x:v>
      </x:c>
      <x:c r="HA24" s="1658" t="s">
        <x:v>1499</x:v>
      </x:c>
      <x:c r="HB24" s="1659">
        <x:v>2</x:v>
      </x:c>
      <x:c r="HC24" s="1659" t="s">
        <x:v>1978</x:v>
      </x:c>
      <x:c r="HD24" s="1660">
        <x:v>59</x:v>
      </x:c>
      <x:c r="HE24" s="1661">
        <x:v>10</x:v>
      </x:c>
      <x:c r="HF24" s="1659">
        <x:v>0</x:v>
      </x:c>
      <x:c r="HG24" s="1659">
        <x:v>0.625</x:v>
      </x:c>
      <x:c r="HH24" s="1659" t="s">
        <x:v>114</x:v>
      </x:c>
      <x:c r="HI24" s="1662">
        <x:v>0</x:v>
      </x:c>
      <x:c r="HJ24" s="1659">
        <x:v>0.625</x:v>
      </x:c>
      <x:c r="HK24" s="1659" t="s">
        <x:v>114</x:v>
      </x:c>
      <x:c r="HL24" s="1659">
        <x:v>3</x:v>
      </x:c>
      <x:c r="HM24" s="1659">
        <x:v>3</x:v>
      </x:c>
      <x:c r="HN24" s="1659">
        <x:v>0</x:v>
      </x:c>
      <x:c r="HO24" s="1659">
        <x:v>6</x:v>
      </x:c>
      <x:c r="HP24" s="1659">
        <x:v>2</x:v>
      </x:c>
      <x:c r="HQ24" s="1662">
        <x:v>0</x:v>
      </x:c>
      <x:c r="HR24" s="1659">
        <x:v>6</x:v>
      </x:c>
      <x:c r="HS24" s="1659">
        <x:v>2</x:v>
      </x:c>
      <x:c r="HT24" s="1659">
        <x:v>0</x:v>
      </x:c>
      <x:c r="HU24" s="1659">
        <x:v>1.5</x:v>
      </x:c>
      <x:c r="HV24" s="1659">
        <x:v>0</x:v>
      </x:c>
      <x:c r="HW24" s="1661">
        <x:v>1.5</x:v>
      </x:c>
      <x:c r="HX24" s="1661">
        <x:v>4</x:v>
      </x:c>
      <x:c r="HY24" s="1661" t="s">
        <x:v>117</x:v>
      </x:c>
      <x:c r="HZ24" s="1661" t="s">
        <x:v>117</x:v>
      </x:c>
      <x:c r="IA24" s="1661" t="s">
        <x:v>2095</x:v>
      </x:c>
      <x:c r="IB24" s="1661"/>
      <x:c r="IC24" s="1661"/>
      <x:c r="ID24" s="1661"/>
      <x:c r="IE24" s="1661"/>
      <x:c r="IF24" s="1663"/>
    </x:row>
    <x:row r="25" spans="1:240" ht="12.6" customHeight="1" x14ac:dyDescent="0.25">
      <x:c r="A25" s="1264" t="s">
        <x:v>1500</x:v>
      </x:c>
      <x:c r="B25" s="1265">
        <x:v>2</x:v>
      </x:c>
      <x:c r="C25" s="1265" t="s">
        <x:v>1978</x:v>
      </x:c>
      <x:c r="D25" s="1261">
        <x:v>59</x:v>
      </x:c>
      <x:c r="E25" s="1366">
        <x:v>11.5</x:v>
      </x:c>
      <x:c r="F25" s="1328">
        <x:v>0</x:v>
      </x:c>
      <x:c r="G25" s="1262">
        <x:v>1.375</x:v>
      </x:c>
      <x:c r="H25" s="1266" t="s">
        <x:v>114</x:v>
      </x:c>
      <x:c r="I25" s="1261">
        <x:v>0</x:v>
      </x:c>
      <x:c r="J25" s="1262">
        <x:v>1.375</x:v>
      </x:c>
      <x:c r="K25" s="1370" t="s">
        <x:v>114</x:v>
      </x:c>
      <x:c r="L25" s="1327">
        <x:v>3</x:v>
      </x:c>
      <x:c r="M25" s="1329">
        <x:v>3</x:v>
      </x:c>
      <x:c r="N25" s="1263" t="str">
        <x:f t="shared" si="4"/>
        <x:v/>
      </x:c>
      <x:c r="O25" s="1262" t="str">
        <x:f t="shared" si="5"/>
        <x:v/>
      </x:c>
      <x:c r="P25" s="1260" t="str">
        <x:f t="shared" si="6"/>
        <x:v/>
      </x:c>
      <x:c r="Q25" s="1261" t="str">
        <x:f t="shared" si="99"/>
        <x:v/>
      </x:c>
      <x:c r="R25" s="1262" t="str">
        <x:f t="shared" si="100"/>
        <x:v/>
      </x:c>
      <x:c r="S25" s="1375" t="str">
        <x:f t="shared" si="101"/>
        <x:v/>
      </x:c>
      <x:c r="T25" s="1328" t="str">
        <x:f t="shared" si="105"/>
        <x:v/>
      </x:c>
      <x:c r="U25" s="1262" t="str">
        <x:f t="shared" si="106"/>
        <x:v/>
      </x:c>
      <x:c r="V25" s="1261" t="str">
        <x:f t="shared" si="107"/>
        <x:v/>
      </x:c>
      <x:c r="W25" s="1262" t="str">
        <x:f t="shared" si="108"/>
        <x:v/>
      </x:c>
      <x:c r="X25" s="1329">
        <x:f t="shared" si="109"/>
        <x:v>0</x:v>
      </x:c>
      <x:c r="Y25" s="1377" t="str">
        <x:f t="shared" si="7"/>
        <x:v/>
      </x:c>
      <x:c r="Z25" s="1378" t="str">
        <x:f t="shared" si="8"/>
        <x:v/>
      </x:c>
      <x:c r="AA25" s="2159" t="s">
        <x:v>2190</x:v>
      </x:c>
      <x:c r="AC25" s="1226" t="b">
        <x:v>0</x:v>
      </x:c>
      <x:c r="AD25" s="525">
        <x:f t="shared" si="9"/>
        <x:v>0</x:v>
      </x:c>
      <x:c r="AE25" s="526">
        <x:f t="shared" si="10"/>
        <x:v>2</x:v>
      </x:c>
      <x:c r="AF25" s="526">
        <x:f t="shared" si="11"/>
        <x:v>0</x:v>
      </x:c>
      <x:c r="AG25" s="526">
        <x:f t="shared" si="12"/>
        <x:v>0</x:v>
      </x:c>
      <x:c r="AH25" s="527">
        <x:f t="shared" si="13"/>
        <x:v>0</x:v>
      </x:c>
      <x:c r="AI25" s="528" t="b">
        <x:v>0</x:v>
      </x:c>
      <x:c r="AJ25" s="284">
        <x:f t="shared" si="14"/>
        <x:v>36</x:v>
      </x:c>
      <x:c r="AK25" s="1063" t="str">
        <x:f t="shared" si="15"/>
        <x:v>LH</x:v>
      </x:c>
      <x:c r="AL25" s="1202" t="str">
        <x:f t="shared" si="16"/>
        <x:v/>
      </x:c>
      <x:c r="AM25" s="1063">
        <x:f t="shared" si="17"/>
        <x:v>270</x:v>
      </x:c>
      <x:c r="AN25" s="1063">
        <x:f t="shared" si="18"/>
        <x:v>120</x:v>
      </x:c>
      <x:c r="AO25" s="1063" t="str">
        <x:f t="shared" si="19"/>
        <x:v/>
      </x:c>
      <x:c r="AP25" s="1063" t="b">
        <x:f>IF(ISERROR(AJ25),FALSE,IF(OR(AJ25=0,ISERROR(AL25),ISERROR(AM25),ISERROR(AN25),ISERROR(AO25)),FALSE,IF(AL25&lt;&gt;"",IF(ISERROR(VLOOKUP(SUBSTITUTE(SUBSTITUTE(C25,"R",""),"A",""),TblJoistSize!$A:$A,1,FALSE)),FALSE,TRUE),TRUE)))</x:f>
        <x:v>1</x:v>
      </x:c>
      <x:c r="AQ25" s="1305">
        <x:f t="shared" si="20"/>
        <x:v>7.375</x:v>
      </x:c>
      <x:c r="AR25" s="1305" t="b">
        <x:f t="shared" si="21"/>
        <x:v>0</x:v>
      </x:c>
      <x:c r="AS25" s="1305">
        <x:f t="shared" si="22"/>
        <x:v>7.375</x:v>
      </x:c>
      <x:c r="AT25" s="1305" t="b">
        <x:f t="shared" si="23"/>
        <x:v>0</x:v>
      </x:c>
      <x:c r="AU25" s="1203" t="str">
        <x:f t="shared" si="24"/>
        <x:v>LH</x:v>
      </x:c>
      <x:c r="AV25" s="1063" t="str">
        <x:f t="shared" si="25"/>
        <x:v/>
      </x:c>
      <x:c r="AW25" s="1063" t="str">
        <x:f t="shared" si="26"/>
        <x:v>LH</x:v>
      </x:c>
      <x:c r="AX25" s="1063" t="str">
        <x:f t="shared" si="102"/>
        <x:v>J176</x:v>
      </x:c>
      <x:c r="AY25" s="1306" t="b">
        <x:f t="shared" si="27"/>
        <x:v>0</x:v>
      </x:c>
      <x:c r="AZ25" s="1090" t="b">
        <x:f t="shared" si="28"/>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29"/>
        <x:v/>
      </x:c>
      <x:c r="CE25" s="935" t="str">
        <x:f t="shared" si="30"/>
        <x:v/>
      </x:c>
      <x:c r="CF25" s="1149"/>
      <x:c r="CG25" s="1150"/>
      <x:c r="CH25" s="738" t="str">
        <x:f t="shared" si="31"/>
        <x:v/>
      </x:c>
      <x:c r="CI25" s="739" t="str">
        <x:f t="shared" si="32"/>
        <x:v/>
      </x:c>
      <x:c r="CJ25" s="740" t="str">
        <x:f t="shared" si="33"/>
        <x:v/>
      </x:c>
      <x:c r="CK25" s="741" t="str">
        <x:f t="shared" si="34"/>
        <x:v/>
      </x:c>
      <x:c r="CL25" s="742" t="str">
        <x:f t="shared" si="35"/>
        <x:v/>
      </x:c>
      <x:c r="CM25" s="743" t="str">
        <x:f t="shared" si="36"/>
        <x:v/>
      </x:c>
      <x:c r="CN25" s="744" t="str">
        <x:f t="shared" si="37"/>
        <x:v/>
      </x:c>
      <x:c r="CO25" s="745" t="str">
        <x:f t="shared" si="38"/>
        <x:v/>
      </x:c>
      <x:c r="CP25" s="762" t="str">
        <x:f t="shared" si="39"/>
        <x:v/>
      </x:c>
      <x:c r="CQ25" s="763" t="str">
        <x:f t="shared" si="40"/>
        <x:v/>
      </x:c>
      <x:c r="CR25" s="953">
        <x:f t="shared" si="41"/>
        <x:v>5</x:v>
      </x:c>
      <x:c r="CS25" s="954">
        <x:f t="shared" si="42"/>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3"/>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4"/>
        <x:v>0</x:v>
      </x:c>
      <x:c r="DO25" s="1049">
        <x:f t="shared" si="45"/>
        <x:v>0</x:v>
      </x:c>
      <x:c r="DP25" s="1053" t="str">
        <x:f t="shared" si="46"/>
        <x:v/>
      </x:c>
      <x:c r="DQ25" s="1053" t="str">
        <x:f t="shared" si="47"/>
        <x:v/>
      </x:c>
      <x:c r="DR25" s="1053" t="str">
        <x:f t="shared" si="48"/>
        <x:v/>
      </x:c>
      <x:c r="DS25" s="1052">
        <x:f t="shared" si="49"/>
        <x:v>0</x:v>
      </x:c>
      <x:c r="DT25" s="1052">
        <x:f t="shared" si="50"/>
        <x:v>0</x:v>
      </x:c>
      <x:c r="DU25" s="1052" t="str">
        <x:f t="shared" si="51"/>
        <x:v/>
      </x:c>
      <x:c r="DV25" s="1053" t="str">
        <x:f t="shared" si="52"/>
        <x:v/>
      </x:c>
      <x:c r="DW25" s="1053" t="str">
        <x:f t="shared" si="53"/>
        <x:v/>
      </x:c>
      <x:c r="DX25" s="1269">
        <x:f t="shared" si="54"/>
        <x:v>0</x:v>
      </x:c>
      <x:c r="DY25" s="1053">
        <x:f t="shared" si="55"/>
        <x:v>0</x:v>
      </x:c>
      <x:c r="DZ25" s="1052">
        <x:f t="shared" si="56"/>
        <x:v>0</x:v>
      </x:c>
      <x:c r="EA25" s="1052" t="str">
        <x:f t="shared" si="57"/>
        <x:v/>
      </x:c>
      <x:c r="EB25" s="1053" t="str">
        <x:f t="shared" si="58"/>
        <x:v/>
      </x:c>
      <x:c r="EC25" s="1053" t="str">
        <x:f t="shared" si="59"/>
        <x:v/>
      </x:c>
      <x:c r="ED25" s="1269">
        <x:f t="shared" si="60"/>
        <x:v>0</x:v>
      </x:c>
      <x:c r="EE25" s="1090" t="str">
        <x:f t="shared" si="61"/>
        <x:v/>
      </x:c>
      <x:c r="EF25" s="1053" t="str">
        <x:f t="shared" si="62"/>
        <x:v/>
      </x:c>
      <x:c r="EG25" s="1053" t="str">
        <x:f t="shared" si="63"/>
        <x:v/>
      </x:c>
      <x:c r="EH25" s="1053" t="str">
        <x:f t="shared" si="64"/>
        <x:v>ERR</x:v>
      </x:c>
      <x:c r="EI25" s="1053" t="str">
        <x:f t="shared" si="65"/>
        <x:v>ERR</x:v>
      </x:c>
      <x:c r="EJ25" s="1053" t="str">
        <x:f t="shared" si="66"/>
        <x:v/>
      </x:c>
      <x:c r="EK25" s="1053" t="str">
        <x:f t="shared" si="66"/>
        <x:v/>
      </x:c>
      <x:c r="EL25" s="1090" t="str">
        <x:f t="shared" si="67"/>
        <x:v/>
      </x:c>
      <x:c r="EM25" s="1053" t="str">
        <x:f t="shared" si="68"/>
        <x:v/>
      </x:c>
      <x:c r="EN25" s="1053" t="str">
        <x:f t="shared" si="69"/>
        <x:v/>
      </x:c>
      <x:c r="EO25" s="1053" t="str">
        <x:f t="shared" si="70"/>
        <x:v>ERR</x:v>
      </x:c>
      <x:c r="EP25" s="1053" t="str">
        <x:f t="shared" si="71"/>
        <x:v>ERR</x:v>
      </x:c>
      <x:c r="EQ25" s="1053" t="str">
        <x:f t="shared" si="72"/>
        <x:v/>
      </x:c>
      <x:c r="ER25" s="1053" t="str">
        <x:f t="shared" si="72"/>
        <x:v/>
      </x:c>
      <x:c r="ES25" s="1053" t="str">
        <x:f t="shared" si="73"/>
        <x:v/>
      </x:c>
      <x:c r="ET25" s="1053" t="str">
        <x:f t="shared" si="74"/>
        <x:v/>
      </x:c>
      <x:c r="EU25" s="1061">
        <x:f t="shared" si="75"/>
        <x:v>4</x:v>
      </x:c>
      <x:c r="EV25" s="1055" t="str">
        <x:f t="shared" si="76"/>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7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78"/>
        <x:v/>
      </x:c>
      <x:c r="FD25" s="1052">
        <x:f t="shared" si="103"/>
        <x:v>0</x:v>
      </x:c>
      <x:c r="FE25" s="1052">
        <x:f t="shared" si="79"/>
        <x:v>0</x:v>
      </x:c>
      <x:c r="FF25" s="1052">
        <x:f t="shared" si="80"/>
        <x:v>0</x:v>
      </x:c>
      <x:c r="FG25" s="1052" t="str">
        <x:f t="shared" si="81"/>
        <x:v/>
      </x:c>
      <x:c r="FH25" s="1053" t="str">
        <x:f t="shared" si="82"/>
        <x:v/>
      </x:c>
      <x:c r="FI25" s="1052">
        <x:f t="shared" si="104"/>
        <x:v>0</x:v>
      </x:c>
      <x:c r="FJ25" s="1052">
        <x:f t="shared" si="83"/>
        <x:v>0</x:v>
      </x:c>
      <x:c r="FK25" s="1052">
        <x:f t="shared" si="84"/>
        <x:v>0</x:v>
      </x:c>
      <x:c r="FL25" s="1052" t="str">
        <x:f t="shared" si="85"/>
        <x:v/>
      </x:c>
      <x:c r="FM25" s="1053" t="str">
        <x:f t="shared" si="86"/>
        <x:v/>
      </x:c>
      <x:c r="FN25" s="1053" t="e">
        <x:f t="shared" si="87"/>
        <x:v>#VALUE!</x:v>
      </x:c>
      <x:c r="FO25" s="1062" t="e">
        <x:f t="shared" si="88"/>
        <x:v>#VALUE!</x:v>
      </x:c>
      <x:c r="FP25" s="1062" t="e">
        <x:f t="shared" si="89"/>
        <x:v>#VALUE!</x:v>
      </x:c>
      <x:c r="FQ25" s="1063" t="e">
        <x:f t="shared" si="90"/>
        <x:v>#VALUE!</x:v>
      </x:c>
      <x:c r="FR25" s="1064" t="e">
        <x:f t="shared" si="91"/>
        <x:v>#VALUE!</x:v>
      </x:c>
      <x:c r="FS25" s="1065" t="str">
        <x:f t="shared" si="92"/>
        <x:v/>
      </x:c>
      <x:c r="FT25" s="1066" t="str">
        <x:f t="shared" si="93"/>
        <x:v/>
      </x:c>
      <x:c r="FU25" s="1105">
        <x:f t="shared" si="94"/>
        <x:v>0</x:v>
      </x:c>
      <x:c r="FV25" s="1106">
        <x:f t="shared" si="95"/>
        <x:v>0</x:v>
      </x:c>
      <x:c r="GA25" s="1975">
        <x:v>60</x:v>
      </x:c>
      <x:c r="GB25" s="1976">
        <x:v>0</x:v>
      </x:c>
      <x:c r="GC25" s="1977">
        <x:v>-0.25</x:v>
      </x:c>
      <x:c r="GD25" s="1978">
        <x:v>-0.25</x:v>
      </x:c>
      <x:c r="GE25" s="1979">
        <x:v>0.12760268401789349</x:v>
      </x:c>
      <x:c r="GF25" s="1980" t="str">
        <x:f t="shared" si="96"/>
        <x:v>J176</x:v>
      </x:c>
      <x:c r="GG25" s="1453"/>
      <x:c r="GH25" s="1454"/>
      <x:c r="GI25" s="1453"/>
      <x:c r="GJ25" s="1454"/>
      <x:c r="GK25" s="533">
        <x:f t="shared" si="97"/>
        <x:v>719.5</x:v>
      </x:c>
      <x:c r="GL25" s="534">
        <x:f t="shared" si="98"/>
        <x:v>719.54067669446601</x:v>
      </x:c>
      <x:c r="GM25" s="535">
        <x:f>IF(ABS(GK25-GL25)&gt;='Job Info.'!$L$22,ABS(GK25-GL25),0)</x:f>
        <x:v>0</x:v>
      </x:c>
      <x:c r="HA25" s="1658" t="s">
        <x:v>1500</x:v>
      </x:c>
      <x:c r="HB25" s="1659">
        <x:v>2</x:v>
      </x:c>
      <x:c r="HC25" s="1659" t="s">
        <x:v>1978</x:v>
      </x:c>
      <x:c r="HD25" s="1660">
        <x:v>59</x:v>
      </x:c>
      <x:c r="HE25" s="1661">
        <x:v>11.5</x:v>
      </x:c>
      <x:c r="HF25" s="1659">
        <x:v>0</x:v>
      </x:c>
      <x:c r="HG25" s="1659">
        <x:v>1.375</x:v>
      </x:c>
      <x:c r="HH25" s="1659" t="s">
        <x:v>114</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2190</x:v>
      </x:c>
      <x:c r="IB25" s="1661"/>
      <x:c r="IC25" s="1661"/>
      <x:c r="ID25" s="1661"/>
      <x:c r="IE25" s="1661"/>
      <x:c r="IF25" s="1663"/>
    </x:row>
    <x:row r="26" spans="1:240" ht="12.6" customHeight="1" x14ac:dyDescent="0.25">
      <x:c r="A26" s="1264" t="s">
        <x:v>1501</x:v>
      </x:c>
      <x:c r="B26" s="1265">
        <x:v>1</x:v>
      </x:c>
      <x:c r="C26" s="1265" t="s">
        <x:v>1978</x:v>
      </x:c>
      <x:c r="D26" s="1261">
        <x:v>59</x:v>
      </x:c>
      <x:c r="E26" s="1366">
        <x:v>11.5</x:v>
      </x:c>
      <x:c r="F26" s="1328">
        <x:v>0</x:v>
      </x:c>
      <x:c r="G26" s="1262">
        <x:v>1.375</x:v>
      </x:c>
      <x:c r="H26" s="1266" t="s">
        <x:v>114</x:v>
      </x:c>
      <x:c r="I26" s="1261">
        <x:v>0</x:v>
      </x:c>
      <x:c r="J26" s="1262">
        <x:v>1.375</x:v>
      </x:c>
      <x:c r="K26" s="1370" t="s">
        <x:v>114</x:v>
      </x:c>
      <x:c r="L26" s="1327">
        <x:v>3</x:v>
      </x:c>
      <x:c r="M26" s="1329">
        <x:v>3</x:v>
      </x:c>
      <x:c r="N26" s="1263" t="str">
        <x:f t="shared" si="4"/>
        <x:v/>
      </x:c>
      <x:c r="O26" s="1262" t="str">
        <x:f t="shared" si="5"/>
        <x:v/>
      </x:c>
      <x:c r="P26" s="1260" t="str">
        <x:f t="shared" si="6"/>
        <x:v/>
      </x:c>
      <x:c r="Q26" s="1261" t="str">
        <x:f t="shared" si="99"/>
        <x:v/>
      </x:c>
      <x:c r="R26" s="1262" t="str">
        <x:f t="shared" si="100"/>
        <x:v/>
      </x:c>
      <x:c r="S26" s="1375" t="str">
        <x:f t="shared" si="101"/>
        <x:v/>
      </x:c>
      <x:c r="T26" s="1328" t="str">
        <x:f t="shared" si="105"/>
        <x:v/>
      </x:c>
      <x:c r="U26" s="1262" t="str">
        <x:f t="shared" si="106"/>
        <x:v/>
      </x:c>
      <x:c r="V26" s="1261" t="str">
        <x:f t="shared" si="107"/>
        <x:v/>
      </x:c>
      <x:c r="W26" s="1262" t="str">
        <x:f t="shared" si="108"/>
        <x:v/>
      </x:c>
      <x:c r="X26" s="1329">
        <x:f t="shared" si="109"/>
        <x:v>0</x:v>
      </x:c>
      <x:c r="Y26" s="1377" t="str">
        <x:f t="shared" si="7"/>
        <x:v/>
      </x:c>
      <x:c r="Z26" s="1378" t="str">
        <x:f t="shared" si="8"/>
        <x:v/>
      </x:c>
      <x:c r="AA26" s="2159" t="s">
        <x:v>2191</x:v>
      </x:c>
      <x:c r="AC26" s="1226" t="b">
        <x:v>0</x:v>
      </x:c>
      <x:c r="AD26" s="525">
        <x:f t="shared" si="9"/>
        <x:v>0</x:v>
      </x:c>
      <x:c r="AE26" s="526">
        <x:f t="shared" si="10"/>
        <x:v>1</x:v>
      </x:c>
      <x:c r="AF26" s="526">
        <x:f t="shared" si="11"/>
        <x:v>0</x:v>
      </x:c>
      <x:c r="AG26" s="526">
        <x:f t="shared" si="12"/>
        <x:v>0</x:v>
      </x:c>
      <x:c r="AH26" s="527">
        <x:f t="shared" si="13"/>
        <x:v>0</x:v>
      </x:c>
      <x:c r="AI26" s="528" t="b">
        <x:v>0</x:v>
      </x:c>
      <x:c r="AJ26" s="284">
        <x:f t="shared" si="14"/>
        <x:v>36</x:v>
      </x:c>
      <x:c r="AK26" s="1063" t="str">
        <x:f t="shared" si="15"/>
        <x:v>LH</x:v>
      </x:c>
      <x:c r="AL26" s="1202" t="str">
        <x:f t="shared" si="16"/>
        <x:v/>
      </x:c>
      <x:c r="AM26" s="1063">
        <x:f t="shared" si="17"/>
        <x:v>270</x:v>
      </x:c>
      <x:c r="AN26" s="1063">
        <x:f t="shared" si="18"/>
        <x:v>120</x:v>
      </x:c>
      <x:c r="AO26" s="1063" t="str">
        <x:f t="shared" si="19"/>
        <x:v/>
      </x:c>
      <x:c r="AP26" s="1063" t="b">
        <x:f>IF(ISERROR(AJ26),FALSE,IF(OR(AJ26=0,ISERROR(AL26),ISERROR(AM26),ISERROR(AN26),ISERROR(AO26)),FALSE,IF(AL26&lt;&gt;"",IF(ISERROR(VLOOKUP(SUBSTITUTE(SUBSTITUTE(C26,"R",""),"A",""),TblJoistSize!$A:$A,1,FALSE)),FALSE,TRUE),TRUE)))</x:f>
        <x:v>1</x:v>
      </x:c>
      <x:c r="AQ26" s="1305">
        <x:f t="shared" si="20"/>
        <x:v>7.375</x:v>
      </x:c>
      <x:c r="AR26" s="1305" t="b">
        <x:f t="shared" si="21"/>
        <x:v>0</x:v>
      </x:c>
      <x:c r="AS26" s="1305">
        <x:f t="shared" si="22"/>
        <x:v>7.375</x:v>
      </x:c>
      <x:c r="AT26" s="1305" t="b">
        <x:f t="shared" si="23"/>
        <x:v>0</x:v>
      </x:c>
      <x:c r="AU26" s="1203" t="str">
        <x:f t="shared" si="24"/>
        <x:v>LH</x:v>
      </x:c>
      <x:c r="AV26" s="1063" t="str">
        <x:f t="shared" si="25"/>
        <x:v/>
      </x:c>
      <x:c r="AW26" s="1063" t="str">
        <x:f t="shared" si="26"/>
        <x:v>LH</x:v>
      </x:c>
      <x:c r="AX26" s="1063" t="str">
        <x:f t="shared" si="102"/>
        <x:v>J177</x:v>
      </x:c>
      <x:c r="AY26" s="1306" t="b">
        <x:f t="shared" si="27"/>
        <x:v>0</x:v>
      </x:c>
      <x:c r="AZ26" s="1090" t="b">
        <x:f t="shared" si="28"/>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29"/>
        <x:v/>
      </x:c>
      <x:c r="CE26" s="935" t="str">
        <x:f t="shared" si="30"/>
        <x:v/>
      </x:c>
      <x:c r="CF26" s="1149"/>
      <x:c r="CG26" s="1150"/>
      <x:c r="CH26" s="738" t="str">
        <x:f t="shared" si="31"/>
        <x:v/>
      </x:c>
      <x:c r="CI26" s="739" t="str">
        <x:f t="shared" si="32"/>
        <x:v/>
      </x:c>
      <x:c r="CJ26" s="740" t="str">
        <x:f t="shared" si="33"/>
        <x:v/>
      </x:c>
      <x:c r="CK26" s="741" t="str">
        <x:f t="shared" si="34"/>
        <x:v/>
      </x:c>
      <x:c r="CL26" s="742" t="str">
        <x:f t="shared" si="35"/>
        <x:v/>
      </x:c>
      <x:c r="CM26" s="743" t="str">
        <x:f t="shared" si="36"/>
        <x:v/>
      </x:c>
      <x:c r="CN26" s="744" t="str">
        <x:f t="shared" si="37"/>
        <x:v/>
      </x:c>
      <x:c r="CO26" s="745" t="str">
        <x:f t="shared" si="38"/>
        <x:v/>
      </x:c>
      <x:c r="CP26" s="762" t="str">
        <x:f t="shared" si="39"/>
        <x:v/>
      </x:c>
      <x:c r="CQ26" s="763" t="str">
        <x:f t="shared" si="40"/>
        <x:v/>
      </x:c>
      <x:c r="CR26" s="953">
        <x:f t="shared" si="41"/>
        <x:v>5</x:v>
      </x:c>
      <x:c r="CS26" s="954">
        <x:f t="shared" si="42"/>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3"/>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4"/>
        <x:v>0</x:v>
      </x:c>
      <x:c r="DO26" s="1049">
        <x:f t="shared" si="45"/>
        <x:v>0</x:v>
      </x:c>
      <x:c r="DP26" s="1053" t="str">
        <x:f t="shared" si="46"/>
        <x:v/>
      </x:c>
      <x:c r="DQ26" s="1053" t="str">
        <x:f t="shared" si="47"/>
        <x:v/>
      </x:c>
      <x:c r="DR26" s="1053" t="str">
        <x:f t="shared" si="48"/>
        <x:v/>
      </x:c>
      <x:c r="DS26" s="1052">
        <x:f t="shared" si="49"/>
        <x:v>0</x:v>
      </x:c>
      <x:c r="DT26" s="1052">
        <x:f t="shared" si="50"/>
        <x:v>0</x:v>
      </x:c>
      <x:c r="DU26" s="1052" t="str">
        <x:f t="shared" si="51"/>
        <x:v/>
      </x:c>
      <x:c r="DV26" s="1053" t="str">
        <x:f t="shared" si="52"/>
        <x:v/>
      </x:c>
      <x:c r="DW26" s="1053" t="str">
        <x:f t="shared" si="53"/>
        <x:v/>
      </x:c>
      <x:c r="DX26" s="1269">
        <x:f t="shared" si="54"/>
        <x:v>0</x:v>
      </x:c>
      <x:c r="DY26" s="1053">
        <x:f t="shared" si="55"/>
        <x:v>0</x:v>
      </x:c>
      <x:c r="DZ26" s="1052">
        <x:f t="shared" si="56"/>
        <x:v>0</x:v>
      </x:c>
      <x:c r="EA26" s="1052" t="str">
        <x:f t="shared" si="57"/>
        <x:v/>
      </x:c>
      <x:c r="EB26" s="1053" t="str">
        <x:f t="shared" si="58"/>
        <x:v/>
      </x:c>
      <x:c r="EC26" s="1053" t="str">
        <x:f t="shared" si="59"/>
        <x:v/>
      </x:c>
      <x:c r="ED26" s="1269">
        <x:f t="shared" si="60"/>
        <x:v>0</x:v>
      </x:c>
      <x:c r="EE26" s="1090" t="str">
        <x:f t="shared" si="61"/>
        <x:v/>
      </x:c>
      <x:c r="EF26" s="1053" t="str">
        <x:f t="shared" si="62"/>
        <x:v/>
      </x:c>
      <x:c r="EG26" s="1053" t="str">
        <x:f t="shared" si="63"/>
        <x:v/>
      </x:c>
      <x:c r="EH26" s="1053" t="str">
        <x:f t="shared" si="64"/>
        <x:v>ERR</x:v>
      </x:c>
      <x:c r="EI26" s="1053" t="str">
        <x:f t="shared" si="65"/>
        <x:v>ERR</x:v>
      </x:c>
      <x:c r="EJ26" s="1053" t="str">
        <x:f t="shared" si="66"/>
        <x:v/>
      </x:c>
      <x:c r="EK26" s="1053" t="str">
        <x:f t="shared" si="66"/>
        <x:v/>
      </x:c>
      <x:c r="EL26" s="1090" t="str">
        <x:f t="shared" si="67"/>
        <x:v/>
      </x:c>
      <x:c r="EM26" s="1053" t="str">
        <x:f t="shared" si="68"/>
        <x:v/>
      </x:c>
      <x:c r="EN26" s="1053" t="str">
        <x:f t="shared" si="69"/>
        <x:v/>
      </x:c>
      <x:c r="EO26" s="1053" t="str">
        <x:f t="shared" si="70"/>
        <x:v>ERR</x:v>
      </x:c>
      <x:c r="EP26" s="1053" t="str">
        <x:f t="shared" si="71"/>
        <x:v>ERR</x:v>
      </x:c>
      <x:c r="EQ26" s="1053" t="str">
        <x:f t="shared" si="72"/>
        <x:v/>
      </x:c>
      <x:c r="ER26" s="1053" t="str">
        <x:f t="shared" si="72"/>
        <x:v/>
      </x:c>
      <x:c r="ES26" s="1053" t="str">
        <x:f t="shared" si="73"/>
        <x:v/>
      </x:c>
      <x:c r="ET26" s="1053" t="str">
        <x:f t="shared" si="74"/>
        <x:v/>
      </x:c>
      <x:c r="EU26" s="1061">
        <x:f t="shared" si="75"/>
        <x:v>4</x:v>
      </x:c>
      <x:c r="EV26" s="1055" t="str">
        <x:f t="shared" si="76"/>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7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78"/>
        <x:v/>
      </x:c>
      <x:c r="FD26" s="1052">
        <x:f t="shared" si="103"/>
        <x:v>0</x:v>
      </x:c>
      <x:c r="FE26" s="1052">
        <x:f t="shared" si="79"/>
        <x:v>0</x:v>
      </x:c>
      <x:c r="FF26" s="1052">
        <x:f t="shared" si="80"/>
        <x:v>0</x:v>
      </x:c>
      <x:c r="FG26" s="1052" t="str">
        <x:f t="shared" si="81"/>
        <x:v/>
      </x:c>
      <x:c r="FH26" s="1053" t="str">
        <x:f t="shared" si="82"/>
        <x:v/>
      </x:c>
      <x:c r="FI26" s="1052">
        <x:f t="shared" si="104"/>
        <x:v>0</x:v>
      </x:c>
      <x:c r="FJ26" s="1052">
        <x:f t="shared" si="83"/>
        <x:v>0</x:v>
      </x:c>
      <x:c r="FK26" s="1052">
        <x:f t="shared" si="84"/>
        <x:v>0</x:v>
      </x:c>
      <x:c r="FL26" s="1052" t="str">
        <x:f t="shared" si="85"/>
        <x:v/>
      </x:c>
      <x:c r="FM26" s="1053" t="str">
        <x:f t="shared" si="86"/>
        <x:v/>
      </x:c>
      <x:c r="FN26" s="1053" t="e">
        <x:f t="shared" si="87"/>
        <x:v>#VALUE!</x:v>
      </x:c>
      <x:c r="FO26" s="1062" t="e">
        <x:f t="shared" si="88"/>
        <x:v>#VALUE!</x:v>
      </x:c>
      <x:c r="FP26" s="1062" t="e">
        <x:f t="shared" si="89"/>
        <x:v>#VALUE!</x:v>
      </x:c>
      <x:c r="FQ26" s="1063" t="e">
        <x:f t="shared" si="90"/>
        <x:v>#VALUE!</x:v>
      </x:c>
      <x:c r="FR26" s="1064" t="e">
        <x:f t="shared" si="91"/>
        <x:v>#VALUE!</x:v>
      </x:c>
      <x:c r="FS26" s="1065" t="str">
        <x:f t="shared" si="92"/>
        <x:v/>
      </x:c>
      <x:c r="FT26" s="1066" t="str">
        <x:f t="shared" si="93"/>
        <x:v/>
      </x:c>
      <x:c r="FU26" s="1105">
        <x:f t="shared" si="94"/>
        <x:v>0</x:v>
      </x:c>
      <x:c r="FV26" s="1106">
        <x:f t="shared" si="95"/>
        <x:v>0</x:v>
      </x:c>
      <x:c r="GA26" s="1975">
        <x:v>60</x:v>
      </x:c>
      <x:c r="GB26" s="1976">
        <x:v>0</x:v>
      </x:c>
      <x:c r="GC26" s="1977">
        <x:v>-0.25</x:v>
      </x:c>
      <x:c r="GD26" s="1978">
        <x:v>-0.25</x:v>
      </x:c>
      <x:c r="GE26" s="1979">
        <x:v>0.116666666666667</x:v>
      </x:c>
      <x:c r="GF26" s="1980" t="str">
        <x:f t="shared" si="96"/>
        <x:v>J177</x:v>
      </x:c>
      <x:c r="GG26" s="1453"/>
      <x:c r="GH26" s="1454"/>
      <x:c r="GI26" s="1453"/>
      <x:c r="GJ26" s="1454"/>
      <x:c r="GK26" s="533">
        <x:f t="shared" si="97"/>
        <x:v>719.5</x:v>
      </x:c>
      <x:c r="GL26" s="534">
        <x:f t="shared" si="98"/>
        <x:v>719.53400334388289</x:v>
      </x:c>
      <x:c r="GM26" s="535">
        <x:f>IF(ABS(GK26-GL26)&gt;='Job Info.'!$L$22,ABS(GK26-GL26),0)</x:f>
        <x:v>0</x:v>
      </x:c>
      <x:c r="HA26" s="1658" t="s">
        <x:v>1501</x:v>
      </x:c>
      <x:c r="HB26" s="1659">
        <x:v>1</x:v>
      </x:c>
      <x:c r="HC26" s="1659" t="s">
        <x:v>1978</x:v>
      </x:c>
      <x:c r="HD26" s="1660">
        <x:v>59</x:v>
      </x:c>
      <x:c r="HE26" s="1661">
        <x:v>11.5</x:v>
      </x:c>
      <x:c r="HF26" s="1659">
        <x:v>0</x:v>
      </x:c>
      <x:c r="HG26" s="1659">
        <x:v>1.375</x:v>
      </x:c>
      <x:c r="HH26" s="1659" t="s">
        <x:v>114</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2191</x:v>
      </x:c>
      <x:c r="IB26" s="1661"/>
      <x:c r="IC26" s="1661"/>
      <x:c r="ID26" s="1661"/>
      <x:c r="IE26" s="1661"/>
      <x:c r="IF26" s="1663"/>
    </x:row>
    <x:row r="27" spans="1:240" ht="12.6" customHeight="1" x14ac:dyDescent="0.25">
      <x:c r="A27" s="1264" t="s">
        <x:v>1502</x:v>
      </x:c>
      <x:c r="B27" s="1265">
        <x:v>1</x:v>
      </x:c>
      <x:c r="C27" s="1265" t="s">
        <x:v>1978</x:v>
      </x:c>
      <x:c r="D27" s="1261">
        <x:v>59</x:v>
      </x:c>
      <x:c r="E27" s="1366">
        <x:v>0.625</x:v>
      </x:c>
      <x:c r="F27" s="1328" t="str">
        <x:f t="shared" si="1"/>
        <x:v/>
      </x:c>
      <x:c r="G27" s="1262" t="str">
        <x:f t="shared" si="2"/>
        <x:v/>
      </x:c>
      <x:c r="H27" s="1266" t="str">
        <x:f t="shared" si="3"/>
        <x:v/>
      </x:c>
      <x:c r="I27" s="1261">
        <x:v>0</x:v>
      </x:c>
      <x:c r="J27" s="1262">
        <x:v>1.375</x:v>
      </x:c>
      <x:c r="K27" s="1370" t="s">
        <x:v>114</x:v>
      </x:c>
      <x:c r="L27" s="1327">
        <x:v>3</x:v>
      </x:c>
      <x:c r="M27" s="1329">
        <x:v>3</x:v>
      </x:c>
      <x:c r="N27" s="1263" t="str">
        <x:f t="shared" si="4"/>
        <x:v/>
      </x:c>
      <x:c r="O27" s="1262" t="str">
        <x:f t="shared" si="5"/>
        <x:v/>
      </x:c>
      <x:c r="P27" s="1260" t="str">
        <x:f t="shared" si="6"/>
        <x:v/>
      </x:c>
      <x:c r="Q27" s="1261" t="str">
        <x:f t="shared" si="99"/>
        <x:v/>
      </x:c>
      <x:c r="R27" s="1262" t="str">
        <x:f t="shared" si="100"/>
        <x:v/>
      </x:c>
      <x:c r="S27" s="1375" t="str">
        <x:f t="shared" si="101"/>
        <x:v/>
      </x:c>
      <x:c r="T27" s="1328" t="str">
        <x:f t="shared" si="105"/>
        <x:v/>
      </x:c>
      <x:c r="U27" s="1262" t="str">
        <x:f t="shared" si="106"/>
        <x:v/>
      </x:c>
      <x:c r="V27" s="1261" t="str">
        <x:f t="shared" si="107"/>
        <x:v/>
      </x:c>
      <x:c r="W27" s="1262" t="str">
        <x:f t="shared" si="108"/>
        <x:v/>
      </x:c>
      <x:c r="X27" s="1329">
        <x:f t="shared" si="109"/>
        <x:v>0</x:v>
      </x:c>
      <x:c r="Y27" s="1377" t="str">
        <x:f t="shared" si="7"/>
        <x:v/>
      </x:c>
      <x:c r="Z27" s="1378" t="str">
        <x:f t="shared" si="8"/>
        <x:v/>
      </x:c>
      <x:c r="AA27" s="2159" t="s">
        <x:v>2192</x:v>
      </x:c>
      <x:c r="AC27" s="1226" t="b">
        <x:v>0</x:v>
      </x:c>
      <x:c r="AD27" s="525">
        <x:f t="shared" si="9"/>
        <x:v>0</x:v>
      </x:c>
      <x:c r="AE27" s="526">
        <x:f t="shared" si="10"/>
        <x:v>1</x:v>
      </x:c>
      <x:c r="AF27" s="526">
        <x:f t="shared" si="11"/>
        <x:v>0</x:v>
      </x:c>
      <x:c r="AG27" s="526">
        <x:f t="shared" si="12"/>
        <x:v>0</x:v>
      </x:c>
      <x:c r="AH27" s="527">
        <x:f t="shared" si="13"/>
        <x:v>0</x:v>
      </x:c>
      <x:c r="AI27" s="528" t="b">
        <x:v>0</x:v>
      </x:c>
      <x:c r="AJ27" s="284">
        <x:f t="shared" si="14"/>
        <x:v>36</x:v>
      </x:c>
      <x:c r="AK27" s="1063" t="str">
        <x:f t="shared" si="15"/>
        <x:v>LH</x:v>
      </x:c>
      <x:c r="AL27" s="1202" t="str">
        <x:f t="shared" si="16"/>
        <x:v/>
      </x:c>
      <x:c r="AM27" s="1063">
        <x:f t="shared" si="17"/>
        <x:v>270</x:v>
      </x:c>
      <x:c r="AN27" s="1063">
        <x:f t="shared" si="18"/>
        <x:v>120</x:v>
      </x:c>
      <x:c r="AO27" s="1063" t="str">
        <x:f t="shared" si="19"/>
        <x:v/>
      </x:c>
      <x:c r="AP27" s="1063" t="b">
        <x:f>IF(ISERROR(AJ27),FALSE,IF(OR(AJ27=0,ISERROR(AL27),ISERROR(AM27),ISERROR(AN27),ISERROR(AO27)),FALSE,IF(AL27&lt;&gt;"",IF(ISERROR(VLOOKUP(SUBSTITUTE(SUBSTITUTE(C27,"R",""),"A",""),TblJoistSize!$A:$A,1,FALSE)),FALSE,TRUE),TRUE)))</x:f>
        <x:v>1</x:v>
      </x:c>
      <x:c r="AQ27" s="1305">
        <x:f t="shared" si="20"/>
        <x:v>6</x:v>
      </x:c>
      <x:c r="AR27" s="1305" t="b">
        <x:f t="shared" si="21"/>
        <x:v>0</x:v>
      </x:c>
      <x:c r="AS27" s="1305">
        <x:f t="shared" si="22"/>
        <x:v>7.375</x:v>
      </x:c>
      <x:c r="AT27" s="1305" t="b">
        <x:f t="shared" si="23"/>
        <x:v>0</x:v>
      </x:c>
      <x:c r="AU27" s="1203" t="str">
        <x:f t="shared" si="24"/>
        <x:v>LH</x:v>
      </x:c>
      <x:c r="AV27" s="1063" t="str">
        <x:f t="shared" si="25"/>
        <x:v/>
      </x:c>
      <x:c r="AW27" s="1063" t="str">
        <x:f t="shared" si="26"/>
        <x:v>LH</x:v>
      </x:c>
      <x:c r="AX27" s="1063" t="str">
        <x:f t="shared" si="102"/>
        <x:v>J178</x:v>
      </x:c>
      <x:c r="AY27" s="1306" t="b">
        <x:f t="shared" si="27"/>
        <x:v>0</x:v>
      </x:c>
      <x:c r="AZ27" s="1090" t="b">
        <x:f t="shared" si="28"/>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29"/>
        <x:v/>
      </x:c>
      <x:c r="CE27" s="935" t="str">
        <x:f t="shared" si="30"/>
        <x:v/>
      </x:c>
      <x:c r="CF27" s="1149"/>
      <x:c r="CG27" s="1150"/>
      <x:c r="CH27" s="738" t="str">
        <x:f t="shared" si="31"/>
        <x:v/>
      </x:c>
      <x:c r="CI27" s="739" t="str">
        <x:f t="shared" si="32"/>
        <x:v/>
      </x:c>
      <x:c r="CJ27" s="740" t="str">
        <x:f t="shared" si="33"/>
        <x:v/>
      </x:c>
      <x:c r="CK27" s="741" t="str">
        <x:f t="shared" si="34"/>
        <x:v/>
      </x:c>
      <x:c r="CL27" s="742" t="str">
        <x:f t="shared" si="35"/>
        <x:v/>
      </x:c>
      <x:c r="CM27" s="743" t="str">
        <x:f t="shared" si="36"/>
        <x:v/>
      </x:c>
      <x:c r="CN27" s="744" t="str">
        <x:f t="shared" si="37"/>
        <x:v/>
      </x:c>
      <x:c r="CO27" s="745" t="str">
        <x:f t="shared" si="38"/>
        <x:v/>
      </x:c>
      <x:c r="CP27" s="762" t="str">
        <x:f t="shared" si="39"/>
        <x:v/>
      </x:c>
      <x:c r="CQ27" s="763" t="str">
        <x:f t="shared" si="40"/>
        <x:v/>
      </x:c>
      <x:c r="CR27" s="953">
        <x:f t="shared" si="41"/>
        <x:v>5</x:v>
      </x:c>
      <x:c r="CS27" s="954">
        <x:f t="shared" si="42"/>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3"/>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4"/>
        <x:v>0</x:v>
      </x:c>
      <x:c r="DO27" s="1049">
        <x:f t="shared" si="45"/>
        <x:v>0</x:v>
      </x:c>
      <x:c r="DP27" s="1053" t="str">
        <x:f t="shared" si="46"/>
        <x:v/>
      </x:c>
      <x:c r="DQ27" s="1053" t="str">
        <x:f t="shared" si="47"/>
        <x:v/>
      </x:c>
      <x:c r="DR27" s="1053" t="str">
        <x:f t="shared" si="48"/>
        <x:v/>
      </x:c>
      <x:c r="DS27" s="1052">
        <x:f t="shared" si="49"/>
        <x:v>0</x:v>
      </x:c>
      <x:c r="DT27" s="1052">
        <x:f t="shared" si="50"/>
        <x:v>0</x:v>
      </x:c>
      <x:c r="DU27" s="1052" t="str">
        <x:f t="shared" si="51"/>
        <x:v/>
      </x:c>
      <x:c r="DV27" s="1053" t="str">
        <x:f t="shared" si="52"/>
        <x:v/>
      </x:c>
      <x:c r="DW27" s="1053" t="str">
        <x:f t="shared" si="53"/>
        <x:v/>
      </x:c>
      <x:c r="DX27" s="1269">
        <x:f t="shared" si="54"/>
        <x:v>0</x:v>
      </x:c>
      <x:c r="DY27" s="1053">
        <x:f t="shared" si="55"/>
        <x:v>0</x:v>
      </x:c>
      <x:c r="DZ27" s="1052">
        <x:f t="shared" si="56"/>
        <x:v>0</x:v>
      </x:c>
      <x:c r="EA27" s="1052" t="str">
        <x:f t="shared" si="57"/>
        <x:v/>
      </x:c>
      <x:c r="EB27" s="1053" t="str">
        <x:f t="shared" si="58"/>
        <x:v/>
      </x:c>
      <x:c r="EC27" s="1053" t="str">
        <x:f t="shared" si="59"/>
        <x:v/>
      </x:c>
      <x:c r="ED27" s="1269">
        <x:f t="shared" si="60"/>
        <x:v>0</x:v>
      </x:c>
      <x:c r="EE27" s="1090" t="str">
        <x:f t="shared" si="61"/>
        <x:v/>
      </x:c>
      <x:c r="EF27" s="1053" t="str">
        <x:f t="shared" si="62"/>
        <x:v/>
      </x:c>
      <x:c r="EG27" s="1053" t="str">
        <x:f t="shared" si="63"/>
        <x:v/>
      </x:c>
      <x:c r="EH27" s="1053" t="str">
        <x:f t="shared" si="64"/>
        <x:v>ERR</x:v>
      </x:c>
      <x:c r="EI27" s="1053" t="str">
        <x:f t="shared" si="65"/>
        <x:v>ERR</x:v>
      </x:c>
      <x:c r="EJ27" s="1053" t="str">
        <x:f t="shared" si="66"/>
        <x:v/>
      </x:c>
      <x:c r="EK27" s="1053" t="str">
        <x:f t="shared" si="66"/>
        <x:v/>
      </x:c>
      <x:c r="EL27" s="1090" t="str">
        <x:f t="shared" si="67"/>
        <x:v/>
      </x:c>
      <x:c r="EM27" s="1053" t="str">
        <x:f t="shared" si="68"/>
        <x:v/>
      </x:c>
      <x:c r="EN27" s="1053" t="str">
        <x:f t="shared" si="69"/>
        <x:v/>
      </x:c>
      <x:c r="EO27" s="1053" t="str">
        <x:f t="shared" si="70"/>
        <x:v>ERR</x:v>
      </x:c>
      <x:c r="EP27" s="1053" t="str">
        <x:f t="shared" si="71"/>
        <x:v>ERR</x:v>
      </x:c>
      <x:c r="EQ27" s="1053" t="str">
        <x:f t="shared" si="72"/>
        <x:v/>
      </x:c>
      <x:c r="ER27" s="1053" t="str">
        <x:f t="shared" si="72"/>
        <x:v/>
      </x:c>
      <x:c r="ES27" s="1053" t="str">
        <x:f t="shared" si="73"/>
        <x:v/>
      </x:c>
      <x:c r="ET27" s="1053" t="str">
        <x:f t="shared" si="74"/>
        <x:v/>
      </x:c>
      <x:c r="EU27" s="1061">
        <x:f t="shared" si="75"/>
        <x:v>4</x:v>
      </x:c>
      <x:c r="EV27" s="1055" t="str">
        <x:f t="shared" si="76"/>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7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78"/>
        <x:v/>
      </x:c>
      <x:c r="FD27" s="1052">
        <x:f t="shared" si="103"/>
        <x:v>0</x:v>
      </x:c>
      <x:c r="FE27" s="1052">
        <x:f t="shared" si="79"/>
        <x:v>0</x:v>
      </x:c>
      <x:c r="FF27" s="1052">
        <x:f t="shared" si="80"/>
        <x:v>0</x:v>
      </x:c>
      <x:c r="FG27" s="1052" t="str">
        <x:f t="shared" si="81"/>
        <x:v/>
      </x:c>
      <x:c r="FH27" s="1053" t="str">
        <x:f t="shared" si="82"/>
        <x:v/>
      </x:c>
      <x:c r="FI27" s="1052">
        <x:f t="shared" si="104"/>
        <x:v>0</x:v>
      </x:c>
      <x:c r="FJ27" s="1052">
        <x:f t="shared" si="83"/>
        <x:v>0</x:v>
      </x:c>
      <x:c r="FK27" s="1052">
        <x:f t="shared" si="84"/>
        <x:v>0</x:v>
      </x:c>
      <x:c r="FL27" s="1052" t="str">
        <x:f t="shared" si="85"/>
        <x:v/>
      </x:c>
      <x:c r="FM27" s="1053" t="str">
        <x:f t="shared" si="86"/>
        <x:v/>
      </x:c>
      <x:c r="FN27" s="1053" t="e">
        <x:f t="shared" si="87"/>
        <x:v>#VALUE!</x:v>
      </x:c>
      <x:c r="FO27" s="1062" t="e">
        <x:f t="shared" si="88"/>
        <x:v>#VALUE!</x:v>
      </x:c>
      <x:c r="FP27" s="1062" t="e">
        <x:f t="shared" si="89"/>
        <x:v>#VALUE!</x:v>
      </x:c>
      <x:c r="FQ27" s="1063" t="e">
        <x:f t="shared" si="90"/>
        <x:v>#VALUE!</x:v>
      </x:c>
      <x:c r="FR27" s="1064" t="e">
        <x:f t="shared" si="91"/>
        <x:v>#VALUE!</x:v>
      </x:c>
      <x:c r="FS27" s="1065" t="str">
        <x:f t="shared" si="92"/>
        <x:v/>
      </x:c>
      <x:c r="FT27" s="1066" t="str">
        <x:f t="shared" si="93"/>
        <x:v/>
      </x:c>
      <x:c r="FU27" s="1105">
        <x:f t="shared" si="94"/>
        <x:v>0</x:v>
      </x:c>
      <x:c r="FV27" s="1106">
        <x:f t="shared" si="95"/>
        <x:v>0</x:v>
      </x:c>
      <x:c r="GA27" s="1975">
        <x:v>59</x:v>
      </x:c>
      <x:c r="GB27" s="1976">
        <x:v>2.75</x:v>
      </x:c>
      <x:c r="GC27" s="1977">
        <x:v>-1.875</x:v>
      </x:c>
      <x:c r="GD27" s="1978">
        <x:v>-0.25</x:v>
      </x:c>
      <x:c r="GE27" s="1979">
        <x:v>0.227928244811819</x:v>
      </x:c>
      <x:c r="GF27" s="1980" t="str">
        <x:f t="shared" si="96"/>
        <x:v>J178</x:v>
      </x:c>
      <x:c r="GG27" s="1453"/>
      <x:c r="GH27" s="1454"/>
      <x:c r="GI27" s="1453"/>
      <x:c r="GJ27" s="1454"/>
      <x:c r="GK27" s="533">
        <x:f t="shared" si="97"/>
        <x:v>708.625</x:v>
      </x:c>
      <x:c r="GL27" s="534">
        <x:f t="shared" si="98"/>
        <x:v>708.75281478960926</x:v>
      </x:c>
      <x:c r="GM27" s="535">
        <x:f>IF(ABS(GK27-GL27)&gt;='Job Info.'!$L$22,ABS(GK27-GL27),0)</x:f>
        <x:v>0</x:v>
      </x:c>
      <x:c r="HA27" s="1658" t="s">
        <x:v>1502</x:v>
      </x:c>
      <x:c r="HB27" s="1659">
        <x:v>1</x:v>
      </x:c>
      <x:c r="HC27" s="1659" t="s">
        <x:v>1978</x:v>
      </x:c>
      <x:c r="HD27" s="1660">
        <x:v>59</x:v>
      </x:c>
      <x:c r="HE27" s="1661">
        <x:v>0.625</x:v>
      </x:c>
      <x:c r="HF27" s="1659" t="s">
        <x:v>117</x:v>
      </x:c>
      <x:c r="HG27" s="1659" t="s">
        <x:v>117</x:v>
      </x:c>
      <x:c r="HH27" s="1659" t="s">
        <x:v>117</x:v>
      </x:c>
      <x:c r="HI27" s="1662">
        <x:v>0</x:v>
      </x:c>
      <x:c r="HJ27" s="1659">
        <x:v>1.375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2192</x:v>
      </x:c>
      <x:c r="IB27" s="1661"/>
      <x:c r="IC27" s="1661"/>
      <x:c r="ID27" s="1661"/>
      <x:c r="IE27" s="1661"/>
      <x:c r="IF27" s="1663"/>
    </x:row>
    <x:row r="28" spans="1:240" ht="12.6" customHeight="1" x14ac:dyDescent="0.25">
      <x:c r="A28" s="1264" t="s">
        <x:v>1503</x:v>
      </x:c>
      <x:c r="B28" s="1265">
        <x:v>1</x:v>
      </x:c>
      <x:c r="C28" s="1265" t="s">
        <x:v>1978</x:v>
      </x:c>
      <x:c r="D28" s="1261">
        <x:v>59</x:v>
      </x:c>
      <x:c r="E28" s="1366">
        <x:v>0.625</x:v>
      </x:c>
      <x:c r="F28" s="1328" t="str">
        <x:f t="shared" si="1"/>
        <x:v/>
      </x:c>
      <x:c r="G28" s="1262" t="str">
        <x:f t="shared" si="2"/>
        <x:v/>
      </x:c>
      <x:c r="H28" s="1266" t="str">
        <x:f t="shared" si="3"/>
        <x:v/>
      </x:c>
      <x:c r="I28" s="1261">
        <x:v>0</x:v>
      </x:c>
      <x:c r="J28" s="1262">
        <x:v>1.375</x:v>
      </x:c>
      <x:c r="K28" s="1370" t="s">
        <x:v>114</x:v>
      </x:c>
      <x:c r="L28" s="1327">
        <x:v>3</x:v>
      </x:c>
      <x:c r="M28" s="1329">
        <x:v>3</x:v>
      </x:c>
      <x:c r="N28" s="1263" t="str">
        <x:f t="shared" si="4"/>
        <x:v/>
      </x:c>
      <x:c r="O28" s="1262" t="str">
        <x:f t="shared" si="5"/>
        <x:v/>
      </x:c>
      <x:c r="P28" s="1260" t="str">
        <x:f t="shared" si="6"/>
        <x:v/>
      </x:c>
      <x:c r="Q28" s="1261" t="str">
        <x:f>IF(ET28="","",IF(AND(ET28&lt;0,ET28&gt;-12),TRUNC(ET28/12)-0.0000001,TRUNC(ET28/12)))</x:f>
        <x:v/>
      </x:c>
      <x:c r="R28" s="1262" t="str">
        <x:f t="shared" si="100"/>
        <x:v/>
      </x:c>
      <x:c r="S28" s="1375" t="str">
        <x:f t="shared" si="101"/>
        <x:v/>
      </x:c>
      <x:c r="T28" s="1328" t="str">
        <x:f t="shared" si="105"/>
        <x:v/>
      </x:c>
      <x:c r="U28" s="1262" t="str">
        <x:f t="shared" si="106"/>
        <x:v/>
      </x:c>
      <x:c r="V28" s="1261" t="str">
        <x:f t="shared" si="107"/>
        <x:v/>
      </x:c>
      <x:c r="W28" s="1262" t="str">
        <x:f t="shared" si="108"/>
        <x:v/>
      </x:c>
      <x:c r="X28" s="1329">
        <x:f t="shared" si="109"/>
        <x:v>0</x:v>
      </x:c>
      <x:c r="Y28" s="1377" t="str">
        <x:f t="shared" si="7"/>
        <x:v/>
      </x:c>
      <x:c r="Z28" s="1378" t="str">
        <x:f t="shared" si="8"/>
        <x:v/>
      </x:c>
      <x:c r="AA28" s="2159" t="s">
        <x:v>2193</x:v>
      </x:c>
      <x:c r="AC28" s="1226" t="b">
        <x:v>0</x:v>
      </x:c>
      <x:c r="AD28" s="525">
        <x:f t="shared" si="9"/>
        <x:v>0</x:v>
      </x:c>
      <x:c r="AE28" s="526">
        <x:f t="shared" si="10"/>
        <x:v>1</x:v>
      </x:c>
      <x:c r="AF28" s="526">
        <x:f t="shared" si="11"/>
        <x:v>0</x:v>
      </x:c>
      <x:c r="AG28" s="526">
        <x:f t="shared" si="12"/>
        <x:v>0</x:v>
      </x:c>
      <x:c r="AH28" s="527">
        <x:f t="shared" si="13"/>
        <x:v>0</x:v>
      </x:c>
      <x:c r="AI28" s="528" t="b">
        <x:v>0</x:v>
      </x:c>
      <x:c r="AJ28" s="284">
        <x:f t="shared" si="14"/>
        <x:v>36</x:v>
      </x:c>
      <x:c r="AK28" s="1063" t="str">
        <x:f t="shared" si="15"/>
        <x:v>LH</x:v>
      </x:c>
      <x:c r="AL28" s="1202" t="str">
        <x:f t="shared" si="16"/>
        <x:v/>
      </x:c>
      <x:c r="AM28" s="1063">
        <x:f t="shared" si="17"/>
        <x:v>270</x:v>
      </x:c>
      <x:c r="AN28" s="1063">
        <x:f t="shared" si="18"/>
        <x:v>120</x:v>
      </x:c>
      <x:c r="AO28" s="1063" t="str">
        <x:f t="shared" si="19"/>
        <x:v/>
      </x:c>
      <x:c r="AP28" s="1063" t="b">
        <x:f>IF(ISERROR(AJ28),FALSE,IF(OR(AJ28=0,ISERROR(AL28),ISERROR(AM28),ISERROR(AN28),ISERROR(AO28)),FALSE,IF(AL28&lt;&gt;"",IF(ISERROR(VLOOKUP(SUBSTITUTE(SUBSTITUTE(C28,"R",""),"A",""),TblJoistSize!$A:$A,1,FALSE)),FALSE,TRUE),TRUE)))</x:f>
        <x:v>1</x:v>
      </x:c>
      <x:c r="AQ28" s="1305">
        <x:f t="shared" si="20"/>
        <x:v>6</x:v>
      </x:c>
      <x:c r="AR28" s="1305" t="b">
        <x:f t="shared" si="21"/>
        <x:v>0</x:v>
      </x:c>
      <x:c r="AS28" s="1305">
        <x:f t="shared" si="22"/>
        <x:v>7.375</x:v>
      </x:c>
      <x:c r="AT28" s="1305" t="b">
        <x:f t="shared" si="23"/>
        <x:v>0</x:v>
      </x:c>
      <x:c r="AU28" s="1203" t="str">
        <x:f t="shared" si="24"/>
        <x:v>LH</x:v>
      </x:c>
      <x:c r="AV28" s="1063" t="str">
        <x:f t="shared" si="25"/>
        <x:v/>
      </x:c>
      <x:c r="AW28" s="1063" t="str">
        <x:f t="shared" si="26"/>
        <x:v>LH</x:v>
      </x:c>
      <x:c r="AX28" s="1063" t="str">
        <x:f t="shared" si="102"/>
        <x:v>J179</x:v>
      </x:c>
      <x:c r="AY28" s="1306" t="b">
        <x:f t="shared" si="27"/>
        <x:v>0</x:v>
      </x:c>
      <x:c r="AZ28" s="1090" t="b">
        <x:f t="shared" si="28"/>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29"/>
        <x:v/>
      </x:c>
      <x:c r="CE28" s="935" t="str">
        <x:f t="shared" si="30"/>
        <x:v/>
      </x:c>
      <x:c r="CF28" s="1149"/>
      <x:c r="CG28" s="1150"/>
      <x:c r="CH28" s="738" t="str">
        <x:f t="shared" si="31"/>
        <x:v/>
      </x:c>
      <x:c r="CI28" s="739" t="str">
        <x:f t="shared" si="32"/>
        <x:v/>
      </x:c>
      <x:c r="CJ28" s="740" t="str">
        <x:f t="shared" si="33"/>
        <x:v/>
      </x:c>
      <x:c r="CK28" s="741" t="str">
        <x:f t="shared" si="34"/>
        <x:v/>
      </x:c>
      <x:c r="CL28" s="742" t="str">
        <x:f t="shared" si="35"/>
        <x:v/>
      </x:c>
      <x:c r="CM28" s="743" t="str">
        <x:f t="shared" si="36"/>
        <x:v/>
      </x:c>
      <x:c r="CN28" s="744" t="str">
        <x:f t="shared" si="37"/>
        <x:v/>
      </x:c>
      <x:c r="CO28" s="745" t="str">
        <x:f t="shared" si="38"/>
        <x:v/>
      </x:c>
      <x:c r="CP28" s="762" t="str">
        <x:f t="shared" si="39"/>
        <x:v/>
      </x:c>
      <x:c r="CQ28" s="763" t="str">
        <x:f t="shared" si="40"/>
        <x:v/>
      </x:c>
      <x:c r="CR28" s="953">
        <x:f t="shared" si="41"/>
        <x:v>5</x:v>
      </x:c>
      <x:c r="CS28" s="954">
        <x:f t="shared" si="42"/>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3"/>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4"/>
        <x:v>0</x:v>
      </x:c>
      <x:c r="DO28" s="1049">
        <x:f t="shared" si="45"/>
        <x:v>0</x:v>
      </x:c>
      <x:c r="DP28" s="1053" t="str">
        <x:f t="shared" si="46"/>
        <x:v/>
      </x:c>
      <x:c r="DQ28" s="1053" t="str">
        <x:f t="shared" si="47"/>
        <x:v/>
      </x:c>
      <x:c r="DR28" s="1053" t="str">
        <x:f t="shared" si="48"/>
        <x:v/>
      </x:c>
      <x:c r="DS28" s="1052">
        <x:f t="shared" si="49"/>
        <x:v>0</x:v>
      </x:c>
      <x:c r="DT28" s="1052">
        <x:f t="shared" si="50"/>
        <x:v>0</x:v>
      </x:c>
      <x:c r="DU28" s="1052" t="str">
        <x:f t="shared" si="51"/>
        <x:v/>
      </x:c>
      <x:c r="DV28" s="1053" t="str">
        <x:f t="shared" si="52"/>
        <x:v/>
      </x:c>
      <x:c r="DW28" s="1053" t="str">
        <x:f t="shared" si="53"/>
        <x:v/>
      </x:c>
      <x:c r="DX28" s="1269">
        <x:f t="shared" si="54"/>
        <x:v>0</x:v>
      </x:c>
      <x:c r="DY28" s="1053">
        <x:f t="shared" si="55"/>
        <x:v>0</x:v>
      </x:c>
      <x:c r="DZ28" s="1052">
        <x:f t="shared" si="56"/>
        <x:v>0</x:v>
      </x:c>
      <x:c r="EA28" s="1052" t="str">
        <x:f t="shared" si="57"/>
        <x:v/>
      </x:c>
      <x:c r="EB28" s="1053" t="str">
        <x:f t="shared" si="58"/>
        <x:v/>
      </x:c>
      <x:c r="EC28" s="1053" t="str">
        <x:f t="shared" si="59"/>
        <x:v/>
      </x:c>
      <x:c r="ED28" s="1269">
        <x:f t="shared" si="60"/>
        <x:v>0</x:v>
      </x:c>
      <x:c r="EE28" s="1090" t="str">
        <x:f t="shared" si="61"/>
        <x:v/>
      </x:c>
      <x:c r="EF28" s="1053" t="str">
        <x:f t="shared" si="62"/>
        <x:v/>
      </x:c>
      <x:c r="EG28" s="1053" t="str">
        <x:f t="shared" si="63"/>
        <x:v/>
      </x:c>
      <x:c r="EH28" s="1053" t="str">
        <x:f t="shared" si="64"/>
        <x:v>ERR</x:v>
      </x:c>
      <x:c r="EI28" s="1053" t="str">
        <x:f t="shared" si="65"/>
        <x:v>ERR</x:v>
      </x:c>
      <x:c r="EJ28" s="1053" t="str">
        <x:f t="shared" si="66"/>
        <x:v/>
      </x:c>
      <x:c r="EK28" s="1053" t="str">
        <x:f t="shared" si="66"/>
        <x:v/>
      </x:c>
      <x:c r="EL28" s="1090" t="str">
        <x:f t="shared" si="67"/>
        <x:v/>
      </x:c>
      <x:c r="EM28" s="1053" t="str">
        <x:f t="shared" si="68"/>
        <x:v/>
      </x:c>
      <x:c r="EN28" s="1053" t="str">
        <x:f t="shared" si="69"/>
        <x:v/>
      </x:c>
      <x:c r="EO28" s="1053" t="str">
        <x:f t="shared" si="70"/>
        <x:v>ERR</x:v>
      </x:c>
      <x:c r="EP28" s="1053" t="str">
        <x:f t="shared" si="71"/>
        <x:v>ERR</x:v>
      </x:c>
      <x:c r="EQ28" s="1053" t="str">
        <x:f t="shared" si="72"/>
        <x:v/>
      </x:c>
      <x:c r="ER28" s="1053" t="str">
        <x:f t="shared" si="72"/>
        <x:v/>
      </x:c>
      <x:c r="ES28" s="1053" t="str">
        <x:f t="shared" si="73"/>
        <x:v/>
      </x:c>
      <x:c r="ET28" s="1053" t="str">
        <x:f t="shared" si="74"/>
        <x:v/>
      </x:c>
      <x:c r="EU28" s="1061">
        <x:f t="shared" si="75"/>
        <x:v>4</x:v>
      </x:c>
      <x:c r="EV28" s="1055" t="str">
        <x:f t="shared" si="76"/>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7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78"/>
        <x:v/>
      </x:c>
      <x:c r="FD28" s="1052">
        <x:f t="shared" si="103"/>
        <x:v>0</x:v>
      </x:c>
      <x:c r="FE28" s="1052">
        <x:f t="shared" si="79"/>
        <x:v>0</x:v>
      </x:c>
      <x:c r="FF28" s="1052">
        <x:f t="shared" si="80"/>
        <x:v>0</x:v>
      </x:c>
      <x:c r="FG28" s="1052" t="str">
        <x:f t="shared" si="81"/>
        <x:v/>
      </x:c>
      <x:c r="FH28" s="1053" t="str">
        <x:f t="shared" si="82"/>
        <x:v/>
      </x:c>
      <x:c r="FI28" s="1052">
        <x:f t="shared" si="104"/>
        <x:v>0</x:v>
      </x:c>
      <x:c r="FJ28" s="1052">
        <x:f t="shared" si="83"/>
        <x:v>0</x:v>
      </x:c>
      <x:c r="FK28" s="1052">
        <x:f t="shared" si="84"/>
        <x:v>0</x:v>
      </x:c>
      <x:c r="FL28" s="1052" t="str">
        <x:f t="shared" si="85"/>
        <x:v/>
      </x:c>
      <x:c r="FM28" s="1053" t="str">
        <x:f t="shared" si="86"/>
        <x:v/>
      </x:c>
      <x:c r="FN28" s="1053" t="e">
        <x:f t="shared" si="87"/>
        <x:v>#VALUE!</x:v>
      </x:c>
      <x:c r="FO28" s="1062" t="e">
        <x:f t="shared" si="88"/>
        <x:v>#VALUE!</x:v>
      </x:c>
      <x:c r="FP28" s="1062" t="e">
        <x:f t="shared" si="89"/>
        <x:v>#VALUE!</x:v>
      </x:c>
      <x:c r="FQ28" s="1063" t="e">
        <x:f t="shared" si="90"/>
        <x:v>#VALUE!</x:v>
      </x:c>
      <x:c r="FR28" s="1064" t="e">
        <x:f t="shared" si="91"/>
        <x:v>#VALUE!</x:v>
      </x:c>
      <x:c r="FS28" s="1065" t="str">
        <x:f t="shared" si="92"/>
        <x:v/>
      </x:c>
      <x:c r="FT28" s="1066" t="str">
        <x:f t="shared" si="93"/>
        <x:v/>
      </x:c>
      <x:c r="FU28" s="1105">
        <x:f t="shared" si="94"/>
        <x:v>0</x:v>
      </x:c>
      <x:c r="FV28" s="1106">
        <x:f t="shared" si="95"/>
        <x:v>0</x:v>
      </x:c>
      <x:c r="GA28" s="1975">
        <x:v>59</x:v>
      </x:c>
      <x:c r="GB28" s="1976">
        <x:v>2.75</x:v>
      </x:c>
      <x:c r="GC28" s="1977">
        <x:v>-1.875</x:v>
      </x:c>
      <x:c r="GD28" s="1978">
        <x:v>-0.25</x:v>
      </x:c>
      <x:c r="GE28" s="1979">
        <x:v>0.227928244811819</x:v>
      </x:c>
      <x:c r="GF28" s="1980" t="str">
        <x:f t="shared" si="96"/>
        <x:v>J179</x:v>
      </x:c>
      <x:c r="GG28" s="1453"/>
      <x:c r="GH28" s="1454"/>
      <x:c r="GI28" s="1453"/>
      <x:c r="GJ28" s="1454"/>
      <x:c r="GK28" s="533">
        <x:f t="shared" si="97"/>
        <x:v>708.625</x:v>
      </x:c>
      <x:c r="GL28" s="534">
        <x:f t="shared" si="98"/>
        <x:v>708.75281478960926</x:v>
      </x:c>
      <x:c r="GM28" s="535">
        <x:f>IF(ABS(GK28-GL28)&gt;='Job Info.'!$L$22,ABS(GK28-GL28),0)</x:f>
        <x:v>0</x:v>
      </x:c>
      <x:c r="HA28" s="1658" t="s">
        <x:v>1503</x:v>
      </x:c>
      <x:c r="HB28" s="1659">
        <x:v>1</x:v>
      </x:c>
      <x:c r="HC28" s="1659" t="s">
        <x:v>1978</x:v>
      </x:c>
      <x:c r="HD28" s="1660">
        <x:v>59</x:v>
      </x:c>
      <x:c r="HE28" s="1661">
        <x:v>0.625</x:v>
      </x:c>
      <x:c r="HF28" s="1659" t="s">
        <x:v>117</x:v>
      </x:c>
      <x:c r="HG28" s="1659" t="s">
        <x:v>117</x:v>
      </x:c>
      <x:c r="HH28" s="1659" t="s">
        <x:v>117</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2193</x:v>
      </x:c>
      <x:c r="IB28" s="1661"/>
      <x:c r="IC28" s="1661"/>
      <x:c r="ID28" s="1661"/>
      <x:c r="IE28" s="1661"/>
      <x:c r="IF28" s="1663"/>
    </x:row>
    <x:row r="29" spans="1:240" ht="12.6" customHeight="1" x14ac:dyDescent="0.25">
      <x:c r="A29" s="1264" t="s">
        <x:v>1504</x:v>
      </x:c>
      <x:c r="B29" s="1265">
        <x:v>1</x:v>
      </x:c>
      <x:c r="C29" s="1265" t="s">
        <x:v>1978</x:v>
      </x:c>
      <x:c r="D29" s="1261">
        <x:v>59</x:v>
      </x:c>
      <x:c r="E29" s="1366">
        <x:v>0.625</x:v>
      </x:c>
      <x:c r="F29" s="1328" t="str">
        <x:f t="shared" si="1"/>
        <x:v/>
      </x:c>
      <x:c r="G29" s="1262" t="str">
        <x:f t="shared" si="2"/>
        <x:v/>
      </x:c>
      <x:c r="H29" s="1266" t="str">
        <x:f t="shared" si="3"/>
        <x:v/>
      </x:c>
      <x:c r="I29" s="1261">
        <x:v>0</x:v>
      </x:c>
      <x:c r="J29" s="1262">
        <x:v>1.375</x:v>
      </x:c>
      <x:c r="K29" s="1370" t="s">
        <x:v>114</x:v>
      </x:c>
      <x:c r="L29" s="1327">
        <x:v>3</x:v>
      </x:c>
      <x:c r="M29" s="1329">
        <x:v>3</x:v>
      </x:c>
      <x:c r="N29" s="1263" t="str">
        <x:f t="shared" si="4"/>
        <x:v/>
      </x:c>
      <x:c r="O29" s="1262" t="str">
        <x:f t="shared" si="5"/>
        <x:v/>
      </x:c>
      <x:c r="P29" s="1260" t="str">
        <x:f t="shared" si="6"/>
        <x:v/>
      </x:c>
      <x:c r="Q29" s="1261" t="str">
        <x:f t="shared" si="99"/>
        <x:v/>
      </x:c>
      <x:c r="R29" s="1262" t="str">
        <x:f t="shared" si="100"/>
        <x:v/>
      </x:c>
      <x:c r="S29" s="1375" t="str">
        <x:f t="shared" si="101"/>
        <x:v/>
      </x:c>
      <x:c r="T29" s="1328" t="str">
        <x:f t="shared" si="105"/>
        <x:v/>
      </x:c>
      <x:c r="U29" s="1262" t="str">
        <x:f t="shared" si="106"/>
        <x:v/>
      </x:c>
      <x:c r="V29" s="1261" t="str">
        <x:f t="shared" si="107"/>
        <x:v/>
      </x:c>
      <x:c r="W29" s="1262" t="str">
        <x:f t="shared" si="108"/>
        <x:v/>
      </x:c>
      <x:c r="X29" s="1329">
        <x:f t="shared" si="109"/>
        <x:v>0</x:v>
      </x:c>
      <x:c r="Y29" s="1377" t="str">
        <x:f t="shared" si="7"/>
        <x:v/>
      </x:c>
      <x:c r="Z29" s="1378" t="str">
        <x:f t="shared" si="8"/>
        <x:v/>
      </x:c>
      <x:c r="AA29" s="2159" t="s">
        <x:v>2194</x:v>
      </x:c>
      <x:c r="AC29" s="1226" t="b">
        <x:v>0</x:v>
      </x:c>
      <x:c r="AD29" s="525">
        <x:f t="shared" si="9"/>
        <x:v>0</x:v>
      </x:c>
      <x:c r="AE29" s="526">
        <x:f t="shared" si="10"/>
        <x:v>1</x:v>
      </x:c>
      <x:c r="AF29" s="526">
        <x:f t="shared" si="11"/>
        <x:v>0</x:v>
      </x:c>
      <x:c r="AG29" s="526">
        <x:f t="shared" si="12"/>
        <x:v>0</x:v>
      </x:c>
      <x:c r="AH29" s="527">
        <x:f t="shared" si="13"/>
        <x:v>0</x:v>
      </x:c>
      <x:c r="AI29" s="528" t="b">
        <x:v>0</x:v>
      </x:c>
      <x:c r="AJ29" s="284">
        <x:f t="shared" si="14"/>
        <x:v>36</x:v>
      </x:c>
      <x:c r="AK29" s="1063" t="str">
        <x:f t="shared" si="15"/>
        <x:v>LH</x:v>
      </x:c>
      <x:c r="AL29" s="1202" t="str">
        <x:f t="shared" si="16"/>
        <x:v/>
      </x:c>
      <x:c r="AM29" s="1063">
        <x:f t="shared" si="17"/>
        <x:v>270</x:v>
      </x:c>
      <x:c r="AN29" s="1063">
        <x:f t="shared" si="18"/>
        <x:v>120</x:v>
      </x:c>
      <x:c r="AO29" s="1063" t="str">
        <x:f t="shared" si="19"/>
        <x:v/>
      </x:c>
      <x:c r="AP29" s="1063" t="b">
        <x:f>IF(ISERROR(AJ29),FALSE,IF(OR(AJ29=0,ISERROR(AL29),ISERROR(AM29),ISERROR(AN29),ISERROR(AO29)),FALSE,IF(AL29&lt;&gt;"",IF(ISERROR(VLOOKUP(SUBSTITUTE(SUBSTITUTE(C29,"R",""),"A",""),TblJoistSize!$A:$A,1,FALSE)),FALSE,TRUE),TRUE)))</x:f>
        <x:v>1</x:v>
      </x:c>
      <x:c r="AQ29" s="1305">
        <x:f t="shared" si="20"/>
        <x:v>6</x:v>
      </x:c>
      <x:c r="AR29" s="1305" t="b">
        <x:f t="shared" si="21"/>
        <x:v>0</x:v>
      </x:c>
      <x:c r="AS29" s="1305">
        <x:f t="shared" si="22"/>
        <x:v>7.375</x:v>
      </x:c>
      <x:c r="AT29" s="1305" t="b">
        <x:f t="shared" si="23"/>
        <x:v>0</x:v>
      </x:c>
      <x:c r="AU29" s="1203" t="str">
        <x:f t="shared" si="24"/>
        <x:v>LH</x:v>
      </x:c>
      <x:c r="AV29" s="1063" t="str">
        <x:f t="shared" si="25"/>
        <x:v/>
      </x:c>
      <x:c r="AW29" s="1063" t="str">
        <x:f t="shared" si="26"/>
        <x:v>LH</x:v>
      </x:c>
      <x:c r="AX29" s="1063" t="str">
        <x:f t="shared" si="102"/>
        <x:v>J180</x:v>
      </x:c>
      <x:c r="AY29" s="1306" t="b">
        <x:f t="shared" si="27"/>
        <x:v>0</x:v>
      </x:c>
      <x:c r="AZ29" s="1090" t="b">
        <x:f t="shared" si="28"/>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29"/>
        <x:v/>
      </x:c>
      <x:c r="CE29" s="935" t="str">
        <x:f t="shared" si="30"/>
        <x:v/>
      </x:c>
      <x:c r="CF29" s="1149"/>
      <x:c r="CG29" s="1150"/>
      <x:c r="CH29" s="738" t="str">
        <x:f t="shared" si="31"/>
        <x:v/>
      </x:c>
      <x:c r="CI29" s="739" t="str">
        <x:f t="shared" si="32"/>
        <x:v/>
      </x:c>
      <x:c r="CJ29" s="740" t="str">
        <x:f t="shared" si="33"/>
        <x:v/>
      </x:c>
      <x:c r="CK29" s="741" t="str">
        <x:f t="shared" si="34"/>
        <x:v/>
      </x:c>
      <x:c r="CL29" s="742" t="str">
        <x:f t="shared" si="35"/>
        <x:v/>
      </x:c>
      <x:c r="CM29" s="743" t="str">
        <x:f t="shared" si="36"/>
        <x:v/>
      </x:c>
      <x:c r="CN29" s="744" t="str">
        <x:f t="shared" si="37"/>
        <x:v/>
      </x:c>
      <x:c r="CO29" s="745" t="str">
        <x:f t="shared" si="38"/>
        <x:v/>
      </x:c>
      <x:c r="CP29" s="762" t="str">
        <x:f t="shared" si="39"/>
        <x:v/>
      </x:c>
      <x:c r="CQ29" s="763" t="str">
        <x:f t="shared" si="40"/>
        <x:v/>
      </x:c>
      <x:c r="CR29" s="953">
        <x:f t="shared" si="41"/>
        <x:v>5</x:v>
      </x:c>
      <x:c r="CS29" s="954">
        <x:f t="shared" si="42"/>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3"/>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4"/>
        <x:v>0</x:v>
      </x:c>
      <x:c r="DO29" s="1049">
        <x:f t="shared" si="45"/>
        <x:v>0</x:v>
      </x:c>
      <x:c r="DP29" s="1053" t="str">
        <x:f t="shared" si="46"/>
        <x:v/>
      </x:c>
      <x:c r="DQ29" s="1053" t="str">
        <x:f t="shared" si="47"/>
        <x:v/>
      </x:c>
      <x:c r="DR29" s="1053" t="str">
        <x:f t="shared" si="48"/>
        <x:v/>
      </x:c>
      <x:c r="DS29" s="1052">
        <x:f t="shared" si="49"/>
        <x:v>0</x:v>
      </x:c>
      <x:c r="DT29" s="1052">
        <x:f t="shared" si="50"/>
        <x:v>0</x:v>
      </x:c>
      <x:c r="DU29" s="1052" t="str">
        <x:f t="shared" si="51"/>
        <x:v/>
      </x:c>
      <x:c r="DV29" s="1053" t="str">
        <x:f t="shared" si="52"/>
        <x:v/>
      </x:c>
      <x:c r="DW29" s="1053" t="str">
        <x:f t="shared" si="53"/>
        <x:v/>
      </x:c>
      <x:c r="DX29" s="1269">
        <x:f t="shared" si="54"/>
        <x:v>0</x:v>
      </x:c>
      <x:c r="DY29" s="1053">
        <x:f t="shared" si="55"/>
        <x:v>0</x:v>
      </x:c>
      <x:c r="DZ29" s="1052">
        <x:f t="shared" si="56"/>
        <x:v>0</x:v>
      </x:c>
      <x:c r="EA29" s="1052" t="str">
        <x:f t="shared" si="57"/>
        <x:v/>
      </x:c>
      <x:c r="EB29" s="1053" t="str">
        <x:f t="shared" si="58"/>
        <x:v/>
      </x:c>
      <x:c r="EC29" s="1053" t="str">
        <x:f t="shared" si="59"/>
        <x:v/>
      </x:c>
      <x:c r="ED29" s="1269">
        <x:f t="shared" si="60"/>
        <x:v>0</x:v>
      </x:c>
      <x:c r="EE29" s="1090" t="str">
        <x:f t="shared" si="61"/>
        <x:v/>
      </x:c>
      <x:c r="EF29" s="1053" t="str">
        <x:f t="shared" si="62"/>
        <x:v/>
      </x:c>
      <x:c r="EG29" s="1053" t="str">
        <x:f t="shared" si="63"/>
        <x:v/>
      </x:c>
      <x:c r="EH29" s="1053" t="str">
        <x:f t="shared" si="64"/>
        <x:v>ERR</x:v>
      </x:c>
      <x:c r="EI29" s="1053" t="str">
        <x:f t="shared" si="65"/>
        <x:v>ERR</x:v>
      </x:c>
      <x:c r="EJ29" s="1053" t="str">
        <x:f t="shared" si="66"/>
        <x:v/>
      </x:c>
      <x:c r="EK29" s="1053" t="str">
        <x:f t="shared" si="66"/>
        <x:v/>
      </x:c>
      <x:c r="EL29" s="1090" t="str">
        <x:f t="shared" si="67"/>
        <x:v/>
      </x:c>
      <x:c r="EM29" s="1053" t="str">
        <x:f t="shared" si="68"/>
        <x:v/>
      </x:c>
      <x:c r="EN29" s="1053" t="str">
        <x:f t="shared" si="69"/>
        <x:v/>
      </x:c>
      <x:c r="EO29" s="1053" t="str">
        <x:f t="shared" si="70"/>
        <x:v>ERR</x:v>
      </x:c>
      <x:c r="EP29" s="1053" t="str">
        <x:f t="shared" si="71"/>
        <x:v>ERR</x:v>
      </x:c>
      <x:c r="EQ29" s="1053" t="str">
        <x:f t="shared" si="72"/>
        <x:v/>
      </x:c>
      <x:c r="ER29" s="1053" t="str">
        <x:f t="shared" si="72"/>
        <x:v/>
      </x:c>
      <x:c r="ES29" s="1053" t="str">
        <x:f t="shared" si="73"/>
        <x:v/>
      </x:c>
      <x:c r="ET29" s="1053" t="str">
        <x:f t="shared" si="74"/>
        <x:v/>
      </x:c>
      <x:c r="EU29" s="1061">
        <x:f t="shared" si="75"/>
        <x:v>4</x:v>
      </x:c>
      <x:c r="EV29" s="1055" t="str">
        <x:f t="shared" si="76"/>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7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78"/>
        <x:v/>
      </x:c>
      <x:c r="FD29" s="1052">
        <x:f t="shared" si="103"/>
        <x:v>0</x:v>
      </x:c>
      <x:c r="FE29" s="1052">
        <x:f t="shared" si="79"/>
        <x:v>0</x:v>
      </x:c>
      <x:c r="FF29" s="1052">
        <x:f t="shared" si="80"/>
        <x:v>0</x:v>
      </x:c>
      <x:c r="FG29" s="1052" t="str">
        <x:f t="shared" si="81"/>
        <x:v/>
      </x:c>
      <x:c r="FH29" s="1053" t="str">
        <x:f t="shared" si="82"/>
        <x:v/>
      </x:c>
      <x:c r="FI29" s="1052">
        <x:f t="shared" si="104"/>
        <x:v>0</x:v>
      </x:c>
      <x:c r="FJ29" s="1052">
        <x:f t="shared" si="83"/>
        <x:v>0</x:v>
      </x:c>
      <x:c r="FK29" s="1052">
        <x:f t="shared" si="84"/>
        <x:v>0</x:v>
      </x:c>
      <x:c r="FL29" s="1052" t="str">
        <x:f t="shared" si="85"/>
        <x:v/>
      </x:c>
      <x:c r="FM29" s="1053" t="str">
        <x:f t="shared" si="86"/>
        <x:v/>
      </x:c>
      <x:c r="FN29" s="1053" t="e">
        <x:f t="shared" si="87"/>
        <x:v>#VALUE!</x:v>
      </x:c>
      <x:c r="FO29" s="1062" t="e">
        <x:f t="shared" si="88"/>
        <x:v>#VALUE!</x:v>
      </x:c>
      <x:c r="FP29" s="1062" t="e">
        <x:f t="shared" si="89"/>
        <x:v>#VALUE!</x:v>
      </x:c>
      <x:c r="FQ29" s="1063" t="e">
        <x:f t="shared" si="90"/>
        <x:v>#VALUE!</x:v>
      </x:c>
      <x:c r="FR29" s="1064" t="e">
        <x:f t="shared" si="91"/>
        <x:v>#VALUE!</x:v>
      </x:c>
      <x:c r="FS29" s="1065" t="str">
        <x:f t="shared" si="92"/>
        <x:v/>
      </x:c>
      <x:c r="FT29" s="1066" t="str">
        <x:f t="shared" si="93"/>
        <x:v/>
      </x:c>
      <x:c r="FU29" s="1105">
        <x:f t="shared" si="94"/>
        <x:v>0</x:v>
      </x:c>
      <x:c r="FV29" s="1106">
        <x:f t="shared" si="95"/>
        <x:v>0</x:v>
      </x:c>
      <x:c r="GA29" s="1975">
        <x:v>59</x:v>
      </x:c>
      <x:c r="GB29" s="1976">
        <x:v>2.75</x:v>
      </x:c>
      <x:c r="GC29" s="1977">
        <x:v>-1.875</x:v>
      </x:c>
      <x:c r="GD29" s="1978">
        <x:v>-0.25</x:v>
      </x:c>
      <x:c r="GE29" s="1979">
        <x:v>0.227928244811819</x:v>
      </x:c>
      <x:c r="GF29" s="1980" t="str">
        <x:f t="shared" si="96"/>
        <x:v>J180</x:v>
      </x:c>
      <x:c r="GG29" s="1453"/>
      <x:c r="GH29" s="1454"/>
      <x:c r="GI29" s="1453"/>
      <x:c r="GJ29" s="1454"/>
      <x:c r="GK29" s="533">
        <x:f t="shared" si="97"/>
        <x:v>708.625</x:v>
      </x:c>
      <x:c r="GL29" s="534">
        <x:f t="shared" si="98"/>
        <x:v>708.75281478960926</x:v>
      </x:c>
      <x:c r="GM29" s="535">
        <x:f>IF(ABS(GK29-GL29)&gt;='Job Info.'!$L$22,ABS(GK29-GL29),0)</x:f>
        <x:v>0</x:v>
      </x:c>
      <x:c r="HA29" s="1658" t="s">
        <x:v>1504</x:v>
      </x:c>
      <x:c r="HB29" s="1659">
        <x:v>1</x:v>
      </x:c>
      <x:c r="HC29" s="1659" t="s">
        <x:v>1978</x:v>
      </x:c>
      <x:c r="HD29" s="1660">
        <x:v>59</x:v>
      </x:c>
      <x:c r="HE29" s="1661">
        <x:v>0.625</x:v>
      </x:c>
      <x:c r="HF29" s="1659" t="s">
        <x:v>117</x:v>
      </x:c>
      <x:c r="HG29" s="1659" t="s">
        <x:v>117</x:v>
      </x:c>
      <x:c r="HH29" s="1659" t="s">
        <x:v>117</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2194</x:v>
      </x:c>
      <x:c r="IB29" s="1661"/>
      <x:c r="IC29" s="1661"/>
      <x:c r="ID29" s="1661"/>
      <x:c r="IE29" s="1661"/>
      <x:c r="IF29" s="1663"/>
    </x:row>
    <x:row r="30" spans="1:240" ht="12.6" customHeight="1" x14ac:dyDescent="0.25">
      <x:c r="A30" s="1264" t="s">
        <x:v>1505</x:v>
      </x:c>
      <x:c r="B30" s="1265">
        <x:v>7</x:v>
      </x:c>
      <x:c r="C30" s="1265" t="s">
        <x:v>1978</x:v>
      </x:c>
      <x:c r="D30" s="1261">
        <x:v>59</x:v>
      </x:c>
      <x:c r="E30" s="1366">
        <x:v>0.625</x:v>
      </x:c>
      <x:c r="F30" s="1328" t="str">
        <x:f t="shared" si="1"/>
        <x:v/>
      </x:c>
      <x:c r="G30" s="1262" t="str">
        <x:f t="shared" si="2"/>
        <x:v/>
      </x:c>
      <x:c r="H30" s="1266" t="str">
        <x:f t="shared" si="3"/>
        <x:v/>
      </x:c>
      <x:c r="I30" s="1261">
        <x:v>0</x:v>
      </x:c>
      <x:c r="J30" s="1262">
        <x:v>1.375</x:v>
      </x:c>
      <x:c r="K30" s="1370" t="s">
        <x:v>114</x:v>
      </x:c>
      <x:c r="L30" s="1327">
        <x:v>3</x:v>
      </x:c>
      <x:c r="M30" s="1329">
        <x:v>3</x:v>
      </x:c>
      <x:c r="N30" s="1263" t="str">
        <x:f t="shared" si="4"/>
        <x:v/>
      </x:c>
      <x:c r="O30" s="1262" t="str">
        <x:f t="shared" si="5"/>
        <x:v/>
      </x:c>
      <x:c r="P30" s="1260" t="str">
        <x:f t="shared" si="6"/>
        <x:v/>
      </x:c>
      <x:c r="Q30" s="1261" t="str">
        <x:f t="shared" si="99"/>
        <x:v/>
      </x:c>
      <x:c r="R30" s="1262" t="str">
        <x:f t="shared" si="100"/>
        <x:v/>
      </x:c>
      <x:c r="S30" s="1375" t="str">
        <x:f t="shared" si="101"/>
        <x:v/>
      </x:c>
      <x:c r="T30" s="1328" t="str">
        <x:f t="shared" si="105"/>
        <x:v/>
      </x:c>
      <x:c r="U30" s="1262" t="str">
        <x:f t="shared" si="106"/>
        <x:v/>
      </x:c>
      <x:c r="V30" s="1261" t="str">
        <x:f t="shared" si="107"/>
        <x:v/>
      </x:c>
      <x:c r="W30" s="1262" t="str">
        <x:f t="shared" si="108"/>
        <x:v/>
      </x:c>
      <x:c r="X30" s="1329">
        <x:f t="shared" si="109"/>
        <x:v>0</x:v>
      </x:c>
      <x:c r="Y30" s="1377" t="str">
        <x:f t="shared" si="7"/>
        <x:v/>
      </x:c>
      <x:c r="Z30" s="1378" t="str">
        <x:f t="shared" si="8"/>
        <x:v/>
      </x:c>
      <x:c r="AA30" s="2159" t="s">
        <x:v>2195</x:v>
      </x:c>
      <x:c r="AC30" s="1226" t="b">
        <x:v>0</x:v>
      </x:c>
      <x:c r="AD30" s="525">
        <x:f t="shared" si="9"/>
        <x:v>0</x:v>
      </x:c>
      <x:c r="AE30" s="526">
        <x:f t="shared" si="10"/>
        <x:v>7</x:v>
      </x:c>
      <x:c r="AF30" s="526">
        <x:f t="shared" si="11"/>
        <x:v>0</x:v>
      </x:c>
      <x:c r="AG30" s="526">
        <x:f t="shared" si="12"/>
        <x:v>0</x:v>
      </x:c>
      <x:c r="AH30" s="527">
        <x:f t="shared" si="13"/>
        <x:v>0</x:v>
      </x:c>
      <x:c r="AI30" s="528" t="b">
        <x:v>0</x:v>
      </x:c>
      <x:c r="AJ30" s="284">
        <x:f t="shared" si="14"/>
        <x:v>36</x:v>
      </x:c>
      <x:c r="AK30" s="1063" t="str">
        <x:f t="shared" si="15"/>
        <x:v>LH</x:v>
      </x:c>
      <x:c r="AL30" s="1202" t="str">
        <x:f t="shared" si="16"/>
        <x:v/>
      </x:c>
      <x:c r="AM30" s="1063">
        <x:f t="shared" si="17"/>
        <x:v>270</x:v>
      </x:c>
      <x:c r="AN30" s="1063">
        <x:f t="shared" si="18"/>
        <x:v>120</x:v>
      </x:c>
      <x:c r="AO30" s="1063" t="str">
        <x:f t="shared" si="19"/>
        <x:v/>
      </x:c>
      <x:c r="AP30" s="1063" t="b">
        <x:f>IF(ISERROR(AJ30),FALSE,IF(OR(AJ30=0,ISERROR(AL30),ISERROR(AM30),ISERROR(AN30),ISERROR(AO30)),FALSE,IF(AL30&lt;&gt;"",IF(ISERROR(VLOOKUP(SUBSTITUTE(SUBSTITUTE(C30,"R",""),"A",""),TblJoistSize!$A:$A,1,FALSE)),FALSE,TRUE),TRUE)))</x:f>
        <x:v>1</x:v>
      </x:c>
      <x:c r="AQ30" s="1305">
        <x:f t="shared" si="20"/>
        <x:v>6</x:v>
      </x:c>
      <x:c r="AR30" s="1305" t="b">
        <x:f t="shared" si="21"/>
        <x:v>0</x:v>
      </x:c>
      <x:c r="AS30" s="1305">
        <x:f t="shared" si="22"/>
        <x:v>7.375</x:v>
      </x:c>
      <x:c r="AT30" s="1305" t="b">
        <x:f t="shared" si="23"/>
        <x:v>0</x:v>
      </x:c>
      <x:c r="AU30" s="1203" t="str">
        <x:f t="shared" si="24"/>
        <x:v>LH</x:v>
      </x:c>
      <x:c r="AV30" s="1063" t="str">
        <x:f t="shared" si="25"/>
        <x:v/>
      </x:c>
      <x:c r="AW30" s="1063" t="str">
        <x:f t="shared" si="26"/>
        <x:v>LH</x:v>
      </x:c>
      <x:c r="AX30" s="1063" t="str">
        <x:f t="shared" si="102"/>
        <x:v>J181</x:v>
      </x:c>
      <x:c r="AY30" s="1306" t="b">
        <x:f t="shared" si="27"/>
        <x:v>0</x:v>
      </x:c>
      <x:c r="AZ30" s="1090" t="b">
        <x:f t="shared" si="28"/>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29"/>
        <x:v/>
      </x:c>
      <x:c r="CE30" s="935" t="str">
        <x:f t="shared" si="30"/>
        <x:v/>
      </x:c>
      <x:c r="CF30" s="1149"/>
      <x:c r="CG30" s="1150"/>
      <x:c r="CH30" s="738" t="str">
        <x:f t="shared" si="31"/>
        <x:v/>
      </x:c>
      <x:c r="CI30" s="739" t="str">
        <x:f t="shared" si="32"/>
        <x:v/>
      </x:c>
      <x:c r="CJ30" s="740" t="str">
        <x:f t="shared" si="33"/>
        <x:v/>
      </x:c>
      <x:c r="CK30" s="741" t="str">
        <x:f t="shared" si="34"/>
        <x:v/>
      </x:c>
      <x:c r="CL30" s="742" t="str">
        <x:f t="shared" si="35"/>
        <x:v/>
      </x:c>
      <x:c r="CM30" s="743" t="str">
        <x:f t="shared" si="36"/>
        <x:v/>
      </x:c>
      <x:c r="CN30" s="744" t="str">
        <x:f t="shared" si="37"/>
        <x:v/>
      </x:c>
      <x:c r="CO30" s="745" t="str">
        <x:f t="shared" si="38"/>
        <x:v/>
      </x:c>
      <x:c r="CP30" s="762" t="str">
        <x:f t="shared" si="39"/>
        <x:v/>
      </x:c>
      <x:c r="CQ30" s="763" t="str">
        <x:f t="shared" si="40"/>
        <x:v/>
      </x:c>
      <x:c r="CR30" s="953">
        <x:f t="shared" si="41"/>
        <x:v>5</x:v>
      </x:c>
      <x:c r="CS30" s="954">
        <x:f t="shared" si="42"/>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3"/>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4"/>
        <x:v>0</x:v>
      </x:c>
      <x:c r="DO30" s="1049">
        <x:f t="shared" si="45"/>
        <x:v>0</x:v>
      </x:c>
      <x:c r="DP30" s="1053" t="str">
        <x:f t="shared" si="46"/>
        <x:v/>
      </x:c>
      <x:c r="DQ30" s="1053" t="str">
        <x:f t="shared" si="47"/>
        <x:v/>
      </x:c>
      <x:c r="DR30" s="1053" t="str">
        <x:f t="shared" si="48"/>
        <x:v/>
      </x:c>
      <x:c r="DS30" s="1052">
        <x:f t="shared" si="49"/>
        <x:v>0</x:v>
      </x:c>
      <x:c r="DT30" s="1052">
        <x:f t="shared" si="50"/>
        <x:v>0</x:v>
      </x:c>
      <x:c r="DU30" s="1052" t="str">
        <x:f t="shared" si="51"/>
        <x:v/>
      </x:c>
      <x:c r="DV30" s="1053" t="str">
        <x:f t="shared" si="52"/>
        <x:v/>
      </x:c>
      <x:c r="DW30" s="1053" t="str">
        <x:f t="shared" si="53"/>
        <x:v/>
      </x:c>
      <x:c r="DX30" s="1269">
        <x:f t="shared" si="54"/>
        <x:v>0</x:v>
      </x:c>
      <x:c r="DY30" s="1053">
        <x:f t="shared" si="55"/>
        <x:v>0</x:v>
      </x:c>
      <x:c r="DZ30" s="1052">
        <x:f t="shared" si="56"/>
        <x:v>0</x:v>
      </x:c>
      <x:c r="EA30" s="1052" t="str">
        <x:f t="shared" si="57"/>
        <x:v/>
      </x:c>
      <x:c r="EB30" s="1053" t="str">
        <x:f t="shared" si="58"/>
        <x:v/>
      </x:c>
      <x:c r="EC30" s="1053" t="str">
        <x:f t="shared" si="59"/>
        <x:v/>
      </x:c>
      <x:c r="ED30" s="1269">
        <x:f t="shared" si="60"/>
        <x:v>0</x:v>
      </x:c>
      <x:c r="EE30" s="1090" t="str">
        <x:f t="shared" si="61"/>
        <x:v/>
      </x:c>
      <x:c r="EF30" s="1053" t="str">
        <x:f t="shared" si="62"/>
        <x:v/>
      </x:c>
      <x:c r="EG30" s="1053" t="str">
        <x:f t="shared" si="63"/>
        <x:v/>
      </x:c>
      <x:c r="EH30" s="1053" t="str">
        <x:f t="shared" si="64"/>
        <x:v>ERR</x:v>
      </x:c>
      <x:c r="EI30" s="1053" t="str">
        <x:f t="shared" si="65"/>
        <x:v>ERR</x:v>
      </x:c>
      <x:c r="EJ30" s="1053" t="str">
        <x:f t="shared" si="66"/>
        <x:v/>
      </x:c>
      <x:c r="EK30" s="1053" t="str">
        <x:f t="shared" si="66"/>
        <x:v/>
      </x:c>
      <x:c r="EL30" s="1090" t="str">
        <x:f t="shared" si="67"/>
        <x:v/>
      </x:c>
      <x:c r="EM30" s="1053" t="str">
        <x:f t="shared" si="68"/>
        <x:v/>
      </x:c>
      <x:c r="EN30" s="1053" t="str">
        <x:f t="shared" si="69"/>
        <x:v/>
      </x:c>
      <x:c r="EO30" s="1053" t="str">
        <x:f t="shared" si="70"/>
        <x:v>ERR</x:v>
      </x:c>
      <x:c r="EP30" s="1053" t="str">
        <x:f t="shared" si="71"/>
        <x:v>ERR</x:v>
      </x:c>
      <x:c r="EQ30" s="1053" t="str">
        <x:f t="shared" si="72"/>
        <x:v/>
      </x:c>
      <x:c r="ER30" s="1053" t="str">
        <x:f t="shared" si="72"/>
        <x:v/>
      </x:c>
      <x:c r="ES30" s="1053" t="str">
        <x:f t="shared" si="73"/>
        <x:v/>
      </x:c>
      <x:c r="ET30" s="1053" t="str">
        <x:f t="shared" si="74"/>
        <x:v/>
      </x:c>
      <x:c r="EU30" s="1061">
        <x:f t="shared" si="75"/>
        <x:v>4</x:v>
      </x:c>
      <x:c r="EV30" s="1055" t="str">
        <x:f t="shared" si="76"/>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7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78"/>
        <x:v/>
      </x:c>
      <x:c r="FD30" s="1052">
        <x:f t="shared" si="103"/>
        <x:v>0</x:v>
      </x:c>
      <x:c r="FE30" s="1052">
        <x:f t="shared" si="79"/>
        <x:v>0</x:v>
      </x:c>
      <x:c r="FF30" s="1052">
        <x:f t="shared" si="80"/>
        <x:v>0</x:v>
      </x:c>
      <x:c r="FG30" s="1052" t="str">
        <x:f t="shared" si="81"/>
        <x:v/>
      </x:c>
      <x:c r="FH30" s="1053" t="str">
        <x:f t="shared" si="82"/>
        <x:v/>
      </x:c>
      <x:c r="FI30" s="1052">
        <x:f t="shared" si="104"/>
        <x:v>0</x:v>
      </x:c>
      <x:c r="FJ30" s="1052">
        <x:f t="shared" si="83"/>
        <x:v>0</x:v>
      </x:c>
      <x:c r="FK30" s="1052">
        <x:f t="shared" si="84"/>
        <x:v>0</x:v>
      </x:c>
      <x:c r="FL30" s="1052" t="str">
        <x:f t="shared" si="85"/>
        <x:v/>
      </x:c>
      <x:c r="FM30" s="1053" t="str">
        <x:f t="shared" si="86"/>
        <x:v/>
      </x:c>
      <x:c r="FN30" s="1053" t="e">
        <x:f t="shared" si="87"/>
        <x:v>#VALUE!</x:v>
      </x:c>
      <x:c r="FO30" s="1062" t="e">
        <x:f t="shared" si="88"/>
        <x:v>#VALUE!</x:v>
      </x:c>
      <x:c r="FP30" s="1062" t="e">
        <x:f t="shared" si="89"/>
        <x:v>#VALUE!</x:v>
      </x:c>
      <x:c r="FQ30" s="1063" t="e">
        <x:f t="shared" si="90"/>
        <x:v>#VALUE!</x:v>
      </x:c>
      <x:c r="FR30" s="1064" t="e">
        <x:f t="shared" si="91"/>
        <x:v>#VALUE!</x:v>
      </x:c>
      <x:c r="FS30" s="1065" t="str">
        <x:f t="shared" si="92"/>
        <x:v/>
      </x:c>
      <x:c r="FT30" s="1066" t="str">
        <x:f t="shared" si="93"/>
        <x:v/>
      </x:c>
      <x:c r="FU30" s="1105">
        <x:f t="shared" si="94"/>
        <x:v>0</x:v>
      </x:c>
      <x:c r="FV30" s="1106">
        <x:f t="shared" si="95"/>
        <x:v>0</x:v>
      </x:c>
      <x:c r="GA30" s="1975">
        <x:v>59</x:v>
      </x:c>
      <x:c r="GB30" s="1976">
        <x:v>2.75</x:v>
      </x:c>
      <x:c r="GC30" s="1977">
        <x:v>-1.875</x:v>
      </x:c>
      <x:c r="GD30" s="1978">
        <x:v>-0.25</x:v>
      </x:c>
      <x:c r="GE30" s="1979">
        <x:v>0.227928244811819</x:v>
      </x:c>
      <x:c r="GF30" s="1980" t="str">
        <x:f t="shared" si="96"/>
        <x:v>J181</x:v>
      </x:c>
      <x:c r="GG30" s="1453"/>
      <x:c r="GH30" s="1454"/>
      <x:c r="GI30" s="1453"/>
      <x:c r="GJ30" s="1454"/>
      <x:c r="GK30" s="533">
        <x:f t="shared" si="97"/>
        <x:v>708.625</x:v>
      </x:c>
      <x:c r="GL30" s="534">
        <x:f t="shared" si="98"/>
        <x:v>708.75281478960926</x:v>
      </x:c>
      <x:c r="GM30" s="535">
        <x:f>IF(ABS(GK30-GL30)&gt;='Job Info.'!$L$22,ABS(GK30-GL30),0)</x:f>
        <x:v>0</x:v>
      </x:c>
      <x:c r="HA30" s="1658" t="s">
        <x:v>1505</x:v>
      </x:c>
      <x:c r="HB30" s="1659">
        <x:v>7</x:v>
      </x:c>
      <x:c r="HC30" s="1659" t="s">
        <x:v>1978</x:v>
      </x:c>
      <x:c r="HD30" s="1660">
        <x:v>59</x:v>
      </x:c>
      <x:c r="HE30" s="1661">
        <x:v>0.625</x:v>
      </x:c>
      <x:c r="HF30" s="1659" t="s">
        <x:v>117</x:v>
      </x:c>
      <x:c r="HG30" s="1659" t="s">
        <x:v>117</x:v>
      </x:c>
      <x:c r="HH30" s="1659" t="s">
        <x:v>117</x:v>
      </x:c>
      <x:c r="HI30" s="1662">
        <x:v>0</x:v>
      </x:c>
      <x:c r="HJ30" s="1659">
        <x:v>1.375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2195</x:v>
      </x:c>
      <x:c r="IB30" s="1661"/>
      <x:c r="IC30" s="1661"/>
      <x:c r="ID30" s="1661"/>
      <x:c r="IE30" s="1661"/>
      <x:c r="IF30" s="1663"/>
    </x:row>
    <x:row r="31" spans="1:240" ht="12.6" customHeight="1" x14ac:dyDescent="0.25">
      <x:c r="A31" s="1264" t="s">
        <x:v>1506</x:v>
      </x:c>
      <x:c r="B31" s="1265">
        <x:v>2</x:v>
      </x:c>
      <x:c r="C31" s="1265" t="s">
        <x:v>1978</x:v>
      </x:c>
      <x:c r="D31" s="1261">
        <x:v>59</x:v>
      </x:c>
      <x:c r="E31" s="1366">
        <x:v>0.625</x:v>
      </x:c>
      <x:c r="F31" s="1328" t="str">
        <x:f t="shared" si="1"/>
        <x:v/>
      </x:c>
      <x:c r="G31" s="1262" t="str">
        <x:f t="shared" si="2"/>
        <x:v/>
      </x:c>
      <x:c r="H31" s="1266" t="str">
        <x:f t="shared" si="3"/>
        <x:v/>
      </x:c>
      <x:c r="I31" s="1261">
        <x:v>0</x:v>
      </x:c>
      <x:c r="J31" s="1262">
        <x:v>1.375</x:v>
      </x:c>
      <x:c r="K31" s="1370" t="s">
        <x:v>114</x:v>
      </x:c>
      <x:c r="L31" s="1327">
        <x:v>3</x:v>
      </x:c>
      <x:c r="M31" s="1329">
        <x:v>3</x:v>
      </x:c>
      <x:c r="N31" s="1263" t="str">
        <x:f t="shared" si="4"/>
        <x:v/>
      </x:c>
      <x:c r="O31" s="1262" t="str">
        <x:f t="shared" si="5"/>
        <x:v/>
      </x:c>
      <x:c r="P31" s="1260" t="str">
        <x:f t="shared" si="6"/>
        <x:v/>
      </x:c>
      <x:c r="Q31" s="1261" t="str">
        <x:f t="shared" si="99"/>
        <x:v/>
      </x:c>
      <x:c r="R31" s="1262" t="str">
        <x:f t="shared" si="100"/>
        <x:v/>
      </x:c>
      <x:c r="S31" s="1375" t="str">
        <x:f t="shared" si="101"/>
        <x:v/>
      </x:c>
      <x:c r="T31" s="1328">
        <x:v>0</x:v>
      </x:c>
      <x:c r="U31" s="1262">
        <x:v>1.125</x:v>
      </x:c>
      <x:c r="V31" s="1261">
        <x:v>0</x:v>
      </x:c>
      <x:c r="W31" s="1262">
        <x:v>2.25</x:v>
      </x:c>
      <x:c r="X31" s="1329">
        <x:v>4</x:v>
      </x:c>
      <x:c r="Y31" s="1377" t="str">
        <x:f t="shared" si="7"/>
        <x:v/>
      </x:c>
      <x:c r="Z31" s="1378" t="str">
        <x:f t="shared" si="8"/>
        <x:v/>
      </x:c>
      <x:c r="AA31" s="2159" t="s">
        <x:v>2196</x:v>
      </x:c>
      <x:c r="AC31" s="1226" t="b">
        <x:v>0</x:v>
      </x:c>
      <x:c r="AD31" s="525">
        <x:f t="shared" si="9"/>
        <x:v>0</x:v>
      </x:c>
      <x:c r="AE31" s="526">
        <x:f t="shared" si="10"/>
        <x:v>2</x:v>
      </x:c>
      <x:c r="AF31" s="526">
        <x:f t="shared" si="11"/>
        <x:v>0</x:v>
      </x:c>
      <x:c r="AG31" s="526">
        <x:f t="shared" si="12"/>
        <x:v>0</x:v>
      </x:c>
      <x:c r="AH31" s="527">
        <x:f t="shared" si="13"/>
        <x:v>0</x:v>
      </x:c>
      <x:c r="AI31" s="528" t="b">
        <x:v>0</x:v>
      </x:c>
      <x:c r="AJ31" s="284">
        <x:f t="shared" si="14"/>
        <x:v>36</x:v>
      </x:c>
      <x:c r="AK31" s="1063" t="str">
        <x:f t="shared" si="15"/>
        <x:v>LH</x:v>
      </x:c>
      <x:c r="AL31" s="1202" t="str">
        <x:f t="shared" si="16"/>
        <x:v/>
      </x:c>
      <x:c r="AM31" s="1063">
        <x:f t="shared" si="17"/>
        <x:v>270</x:v>
      </x:c>
      <x:c r="AN31" s="1063">
        <x:f t="shared" si="18"/>
        <x:v>120</x:v>
      </x:c>
      <x:c r="AO31" s="1063" t="str">
        <x:f t="shared" si="19"/>
        <x:v/>
      </x:c>
      <x:c r="AP31" s="1063" t="b">
        <x:f>IF(ISERROR(AJ31),FALSE,IF(OR(AJ31=0,ISERROR(AL31),ISERROR(AM31),ISERROR(AN31),ISERROR(AO31)),FALSE,IF(AL31&lt;&gt;"",IF(ISERROR(VLOOKUP(SUBSTITUTE(SUBSTITUTE(C31,"R",""),"A",""),TblJoistSize!$A:$A,1,FALSE)),FALSE,TRUE),TRUE)))</x:f>
        <x:v>1</x:v>
      </x:c>
      <x:c r="AQ31" s="1305">
        <x:f t="shared" si="20"/>
        <x:v>6</x:v>
      </x:c>
      <x:c r="AR31" s="1305" t="b">
        <x:f t="shared" si="21"/>
        <x:v>1</x:v>
      </x:c>
      <x:c r="AS31" s="1305">
        <x:f t="shared" si="22"/>
        <x:v>7.375</x:v>
      </x:c>
      <x:c r="AT31" s="1305" t="b">
        <x:f t="shared" si="23"/>
        <x:v>1</x:v>
      </x:c>
      <x:c r="AU31" s="1203" t="str">
        <x:f t="shared" si="24"/>
        <x:v>LH</x:v>
      </x:c>
      <x:c r="AV31" s="1063" t="str">
        <x:f t="shared" si="25"/>
        <x:v/>
      </x:c>
      <x:c r="AW31" s="1063" t="str">
        <x:f t="shared" si="26"/>
        <x:v>LH</x:v>
      </x:c>
      <x:c r="AX31" s="1063" t="str">
        <x:f t="shared" si="102"/>
        <x:v>TJ182</x:v>
      </x:c>
      <x:c r="AY31" s="1306" t="b">
        <x:f t="shared" si="27"/>
        <x:v>0</x:v>
      </x:c>
      <x:c r="AZ31" s="1090" t="b">
        <x:f t="shared" si="28"/>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29"/>
        <x:v/>
      </x:c>
      <x:c r="CE31" s="935" t="str">
        <x:f t="shared" si="30"/>
        <x:v/>
      </x:c>
      <x:c r="CF31" s="1149"/>
      <x:c r="CG31" s="1150"/>
      <x:c r="CH31" s="738" t="str">
        <x:f t="shared" si="31"/>
        <x:v/>
      </x:c>
      <x:c r="CI31" s="739" t="str">
        <x:f t="shared" si="32"/>
        <x:v/>
      </x:c>
      <x:c r="CJ31" s="740" t="str">
        <x:f t="shared" si="33"/>
        <x:v/>
      </x:c>
      <x:c r="CK31" s="741" t="str">
        <x:f t="shared" si="34"/>
        <x:v/>
      </x:c>
      <x:c r="CL31" s="742" t="str">
        <x:f t="shared" si="35"/>
        <x:v/>
      </x:c>
      <x:c r="CM31" s="743" t="str">
        <x:f t="shared" si="36"/>
        <x:v/>
      </x:c>
      <x:c r="CN31" s="744" t="str">
        <x:f t="shared" si="37"/>
        <x:v/>
      </x:c>
      <x:c r="CO31" s="745" t="str">
        <x:f t="shared" si="38"/>
        <x:v/>
      </x:c>
      <x:c r="CP31" s="762" t="str">
        <x:f t="shared" si="39"/>
        <x:v/>
      </x:c>
      <x:c r="CQ31" s="763" t="str">
        <x:f t="shared" si="40"/>
        <x:v/>
      </x:c>
      <x:c r="CR31" s="953">
        <x:f t="shared" si="41"/>
        <x:v>5</x:v>
      </x:c>
      <x:c r="CS31" s="954">
        <x:f t="shared" si="42"/>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3"/>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4"/>
        <x:v>0</x:v>
      </x:c>
      <x:c r="DO31" s="1049">
        <x:f t="shared" si="45"/>
        <x:v>0</x:v>
      </x:c>
      <x:c r="DP31" s="1053" t="str">
        <x:f t="shared" si="46"/>
        <x:v/>
      </x:c>
      <x:c r="DQ31" s="1053" t="str">
        <x:f t="shared" si="47"/>
        <x:v/>
      </x:c>
      <x:c r="DR31" s="1053" t="str">
        <x:f t="shared" si="48"/>
        <x:v/>
      </x:c>
      <x:c r="DS31" s="1052">
        <x:f t="shared" si="49"/>
        <x:v>0</x:v>
      </x:c>
      <x:c r="DT31" s="1052">
        <x:f t="shared" si="50"/>
        <x:v>0</x:v>
      </x:c>
      <x:c r="DU31" s="1052" t="str">
        <x:f t="shared" si="51"/>
        <x:v/>
      </x:c>
      <x:c r="DV31" s="1053" t="str">
        <x:f t="shared" si="52"/>
        <x:v/>
      </x:c>
      <x:c r="DW31" s="1053" t="str">
        <x:f t="shared" si="53"/>
        <x:v/>
      </x:c>
      <x:c r="DX31" s="1269">
        <x:f t="shared" si="54"/>
        <x:v>0</x:v>
      </x:c>
      <x:c r="DY31" s="1053">
        <x:f t="shared" si="55"/>
        <x:v>0</x:v>
      </x:c>
      <x:c r="DZ31" s="1052">
        <x:f t="shared" si="56"/>
        <x:v>0</x:v>
      </x:c>
      <x:c r="EA31" s="1052" t="str">
        <x:f t="shared" si="57"/>
        <x:v/>
      </x:c>
      <x:c r="EB31" s="1053" t="str">
        <x:f t="shared" si="58"/>
        <x:v/>
      </x:c>
      <x:c r="EC31" s="1053" t="str">
        <x:f t="shared" si="59"/>
        <x:v/>
      </x:c>
      <x:c r="ED31" s="1269">
        <x:f t="shared" si="60"/>
        <x:v>0</x:v>
      </x:c>
      <x:c r="EE31" s="1090" t="str">
        <x:f t="shared" si="61"/>
        <x:v/>
      </x:c>
      <x:c r="EF31" s="1053" t="str">
        <x:f t="shared" si="62"/>
        <x:v/>
      </x:c>
      <x:c r="EG31" s="1053" t="str">
        <x:f t="shared" si="63"/>
        <x:v/>
      </x:c>
      <x:c r="EH31" s="1053" t="str">
        <x:f t="shared" si="64"/>
        <x:v>ERR</x:v>
      </x:c>
      <x:c r="EI31" s="1053" t="str">
        <x:f t="shared" si="65"/>
        <x:v>ERR</x:v>
      </x:c>
      <x:c r="EJ31" s="1053" t="str">
        <x:f t="shared" si="66"/>
        <x:v/>
      </x:c>
      <x:c r="EK31" s="1053" t="str">
        <x:f t="shared" si="66"/>
        <x:v/>
      </x:c>
      <x:c r="EL31" s="1090" t="str">
        <x:f t="shared" si="67"/>
        <x:v/>
      </x:c>
      <x:c r="EM31" s="1053" t="str">
        <x:f t="shared" si="68"/>
        <x:v/>
      </x:c>
      <x:c r="EN31" s="1053" t="str">
        <x:f t="shared" si="69"/>
        <x:v/>
      </x:c>
      <x:c r="EO31" s="1053" t="str">
        <x:f t="shared" si="70"/>
        <x:v>ERR</x:v>
      </x:c>
      <x:c r="EP31" s="1053" t="str">
        <x:f t="shared" si="71"/>
        <x:v>ERR</x:v>
      </x:c>
      <x:c r="EQ31" s="1053" t="str">
        <x:f t="shared" si="72"/>
        <x:v/>
      </x:c>
      <x:c r="ER31" s="1053" t="str">
        <x:f t="shared" si="72"/>
        <x:v/>
      </x:c>
      <x:c r="ES31" s="1053" t="str">
        <x:f t="shared" si="73"/>
        <x:v/>
      </x:c>
      <x:c r="ET31" s="1053" t="str">
        <x:f t="shared" si="74"/>
        <x:v/>
      </x:c>
      <x:c r="EU31" s="1061">
        <x:f t="shared" si="75"/>
        <x:v>4</x:v>
      </x:c>
      <x:c r="EV31" s="1055" t="str">
        <x:f t="shared" si="76"/>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7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78"/>
        <x:v/>
      </x:c>
      <x:c r="FD31" s="1052">
        <x:f t="shared" si="103"/>
        <x:v>0</x:v>
      </x:c>
      <x:c r="FE31" s="1052">
        <x:f t="shared" si="79"/>
        <x:v>0</x:v>
      </x:c>
      <x:c r="FF31" s="1052">
        <x:f t="shared" si="80"/>
        <x:v>0</x:v>
      </x:c>
      <x:c r="FG31" s="1052" t="str">
        <x:f t="shared" si="81"/>
        <x:v/>
      </x:c>
      <x:c r="FH31" s="1053" t="str">
        <x:f t="shared" si="82"/>
        <x:v/>
      </x:c>
      <x:c r="FI31" s="1052">
        <x:f t="shared" si="104"/>
        <x:v>0</x:v>
      </x:c>
      <x:c r="FJ31" s="1052">
        <x:f t="shared" si="83"/>
        <x:v>0</x:v>
      </x:c>
      <x:c r="FK31" s="1052">
        <x:f t="shared" si="84"/>
        <x:v>0</x:v>
      </x:c>
      <x:c r="FL31" s="1052" t="str">
        <x:f t="shared" si="85"/>
        <x:v/>
      </x:c>
      <x:c r="FM31" s="1053" t="str">
        <x:f t="shared" si="86"/>
        <x:v/>
      </x:c>
      <x:c r="FN31" s="1053" t="e">
        <x:f t="shared" si="87"/>
        <x:v>#VALUE!</x:v>
      </x:c>
      <x:c r="FO31" s="1062" t="e">
        <x:f t="shared" si="88"/>
        <x:v>#VALUE!</x:v>
      </x:c>
      <x:c r="FP31" s="1062" t="e">
        <x:f t="shared" si="89"/>
        <x:v>#VALUE!</x:v>
      </x:c>
      <x:c r="FQ31" s="1063" t="e">
        <x:f t="shared" si="90"/>
        <x:v>#VALUE!</x:v>
      </x:c>
      <x:c r="FR31" s="1064" t="e">
        <x:f t="shared" si="91"/>
        <x:v>#VALUE!</x:v>
      </x:c>
      <x:c r="FS31" s="1065" t="str">
        <x:f t="shared" si="92"/>
        <x:v/>
      </x:c>
      <x:c r="FT31" s="1066" t="str">
        <x:f t="shared" si="93"/>
        <x:v/>
      </x:c>
      <x:c r="FU31" s="1105">
        <x:f t="shared" si="94"/>
        <x:v>0</x:v>
      </x:c>
      <x:c r="FV31" s="1106">
        <x:f t="shared" si="95"/>
        <x:v>0</x:v>
      </x:c>
      <x:c r="GA31" s="1975">
        <x:v>59</x:v>
      </x:c>
      <x:c r="GB31" s="1976">
        <x:v>2.75</x:v>
      </x:c>
      <x:c r="GC31" s="1977">
        <x:v>-1.875</x:v>
      </x:c>
      <x:c r="GD31" s="1978">
        <x:v>-0.25</x:v>
      </x:c>
      <x:c r="GE31" s="1979">
        <x:v>0.227928244811819</x:v>
      </x:c>
      <x:c r="GF31" s="1980" t="str">
        <x:f t="shared" si="96"/>
        <x:v>TJ182</x:v>
      </x:c>
      <x:c r="GG31" s="1453"/>
      <x:c r="GH31" s="1454"/>
      <x:c r="GI31" s="1453"/>
      <x:c r="GJ31" s="1454"/>
      <x:c r="GK31" s="533">
        <x:f t="shared" si="97"/>
        <x:v>708.625</x:v>
      </x:c>
      <x:c r="GL31" s="534">
        <x:f t="shared" si="98"/>
        <x:v>708.75281478960926</x:v>
      </x:c>
      <x:c r="GM31" s="535">
        <x:f>IF(ABS(GK31-GL31)&gt;='Job Info.'!$L$22,ABS(GK31-GL31),0)</x:f>
        <x:v>0</x:v>
      </x:c>
      <x:c r="HA31" s="1658" t="s">
        <x:v>1506</x:v>
      </x:c>
      <x:c r="HB31" s="1659">
        <x:v>2</x:v>
      </x:c>
      <x:c r="HC31" s="1659" t="s">
        <x:v>1978</x:v>
      </x:c>
      <x:c r="HD31" s="1660">
        <x:v>59</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x:v>0</x:v>
      </x:c>
      <x:c r="HU31" s="1659">
        <x:v>1.125</x:v>
      </x:c>
      <x:c r="HV31" s="1659">
        <x:v>0</x:v>
      </x:c>
      <x:c r="HW31" s="1661">
        <x:v>2.25</x:v>
      </x:c>
      <x:c r="HX31" s="1661">
        <x:v>4</x:v>
      </x:c>
      <x:c r="HY31" s="1661" t="s">
        <x:v>117</x:v>
      </x:c>
      <x:c r="HZ31" s="1661" t="s">
        <x:v>117</x:v>
      </x:c>
      <x:c r="IA31" s="1661" t="s">
        <x:v>2196</x:v>
      </x:c>
      <x:c r="IB31" s="1661"/>
      <x:c r="IC31" s="1661"/>
      <x:c r="ID31" s="1661"/>
      <x:c r="IE31" s="1661"/>
      <x:c r="IF31" s="1663"/>
    </x:row>
    <x:row r="32" spans="1:240" ht="12.6" customHeight="1" x14ac:dyDescent="0.25">
      <x:c r="A32" s="1264" t="s">
        <x:v>1507</x:v>
      </x:c>
      <x:c r="B32" s="1265">
        <x:v>1</x:v>
      </x:c>
      <x:c r="C32" s="1265" t="s">
        <x:v>1978</x:v>
      </x:c>
      <x:c r="D32" s="1261">
        <x:v>58</x:v>
      </x:c>
      <x:c r="E32" s="1366">
        <x:v>11.875</x:v>
      </x:c>
      <x:c r="F32" s="1328" t="str">
        <x:f t="shared" si="1"/>
        <x:v/>
      </x:c>
      <x:c r="G32" s="1262" t="str">
        <x:f t="shared" si="2"/>
        <x:v/>
      </x:c>
      <x:c r="H32" s="1266" t="str">
        <x:f t="shared" si="3"/>
        <x:v/>
      </x:c>
      <x:c r="I32" s="1261">
        <x:v>0</x:v>
      </x:c>
      <x:c r="J32" s="1262">
        <x:v>0.625</x:v>
      </x:c>
      <x:c r="K32" s="1370" t="s">
        <x:v>114</x:v>
      </x:c>
      <x:c r="L32" s="1327">
        <x:v>3</x:v>
      </x:c>
      <x:c r="M32" s="1329">
        <x:v>3</x:v>
      </x:c>
      <x:c r="N32" s="1263" t="str">
        <x:f t="shared" si="4"/>
        <x:v/>
      </x:c>
      <x:c r="O32" s="1262" t="str">
        <x:f t="shared" si="5"/>
        <x:v/>
      </x:c>
      <x:c r="P32" s="1260" t="str">
        <x:f t="shared" si="6"/>
        <x:v/>
      </x:c>
      <x:c r="Q32" s="1261">
        <x:v>0</x:v>
      </x:c>
      <x:c r="R32" s="1262">
        <x:v>6.625</x:v>
      </x:c>
      <x:c r="S32" s="1375">
        <x:v>2</x:v>
      </x:c>
      <x:c r="T32" s="1328">
        <x:v>0</x:v>
      </x:c>
      <x:c r="U32" s="1262">
        <x:v>1.125</x:v>
      </x:c>
      <x:c r="V32" s="1261">
        <x:v>0</x:v>
      </x:c>
      <x:c r="W32" s="1262">
        <x:v>1.5</x:v>
      </x:c>
      <x:c r="X32" s="1329">
        <x:v>4</x:v>
      </x:c>
      <x:c r="Y32" s="1377" t="str">
        <x:f t="shared" si="7"/>
        <x:v/>
      </x:c>
      <x:c r="Z32" s="1378" t="str">
        <x:f t="shared" si="8"/>
        <x:v/>
      </x:c>
      <x:c r="AA32" s="2159" t="s">
        <x:v>2194</x:v>
      </x:c>
      <x:c r="AC32" s="1226" t="b">
        <x:v>0</x:v>
      </x:c>
      <x:c r="AD32" s="525">
        <x:f t="shared" si="9"/>
        <x:v>0</x:v>
      </x:c>
      <x:c r="AE32" s="526">
        <x:f t="shared" si="10"/>
        <x:v>1</x:v>
      </x:c>
      <x:c r="AF32" s="526">
        <x:f t="shared" si="11"/>
        <x:v>0</x:v>
      </x:c>
      <x:c r="AG32" s="526">
        <x:f t="shared" si="12"/>
        <x:v>0</x:v>
      </x:c>
      <x:c r="AH32" s="527">
        <x:f t="shared" si="13"/>
        <x:v>0</x:v>
      </x:c>
      <x:c r="AI32" s="528" t="b">
        <x:v>0</x:v>
      </x:c>
      <x:c r="AJ32" s="284">
        <x:f t="shared" si="14"/>
        <x:v>36</x:v>
      </x:c>
      <x:c r="AK32" s="1063" t="str">
        <x:f t="shared" si="15"/>
        <x:v>LH</x:v>
      </x:c>
      <x:c r="AL32" s="1202" t="str">
        <x:f t="shared" si="16"/>
        <x:v/>
      </x:c>
      <x:c r="AM32" s="1063">
        <x:f t="shared" si="17"/>
        <x:v>270</x:v>
      </x:c>
      <x:c r="AN32" s="1063">
        <x:f t="shared" si="18"/>
        <x:v>120</x:v>
      </x:c>
      <x:c r="AO32" s="1063" t="str">
        <x:f t="shared" si="19"/>
        <x:v/>
      </x:c>
      <x:c r="AP32" s="1063" t="b">
        <x:f>IF(ISERROR(AJ32),FALSE,IF(OR(AJ32=0,ISERROR(AL32),ISERROR(AM32),ISERROR(AN32),ISERROR(AO32)),FALSE,IF(AL32&lt;&gt;"",IF(ISERROR(VLOOKUP(SUBSTITUTE(SUBSTITUTE(C32,"R",""),"A",""),TblJoistSize!$A:$A,1,FALSE)),FALSE,TRUE),TRUE)))</x:f>
        <x:v>1</x:v>
      </x:c>
      <x:c r="AQ32" s="1305">
        <x:f t="shared" si="20"/>
        <x:v>6</x:v>
      </x:c>
      <x:c r="AR32" s="1305" t="b">
        <x:f t="shared" si="21"/>
        <x:v>1</x:v>
      </x:c>
      <x:c r="AS32" s="1305">
        <x:f t="shared" si="22"/>
        <x:v>6.625</x:v>
      </x:c>
      <x:c r="AT32" s="1305" t="b">
        <x:f t="shared" si="23"/>
        <x:v>1</x:v>
      </x:c>
      <x:c r="AU32" s="1203" t="str">
        <x:f t="shared" si="24"/>
        <x:v>LH</x:v>
      </x:c>
      <x:c r="AV32" s="1063" t="str">
        <x:f t="shared" si="25"/>
        <x:v/>
      </x:c>
      <x:c r="AW32" s="1063" t="str">
        <x:f t="shared" si="26"/>
        <x:v>LH</x:v>
      </x:c>
      <x:c r="AX32" s="1063" t="str">
        <x:f t="shared" si="102"/>
        <x:v>TJ183</x:v>
      </x:c>
      <x:c r="AY32" s="1306" t="b">
        <x:f t="shared" si="27"/>
        <x:v>0</x:v>
      </x:c>
      <x:c r="AZ32" s="1090" t="b">
        <x:f t="shared" si="28"/>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29"/>
        <x:v/>
      </x:c>
      <x:c r="CE32" s="935" t="str">
        <x:f t="shared" si="30"/>
        <x:v/>
      </x:c>
      <x:c r="CF32" s="1149"/>
      <x:c r="CG32" s="1150"/>
      <x:c r="CH32" s="738" t="str">
        <x:f t="shared" si="31"/>
        <x:v/>
      </x:c>
      <x:c r="CI32" s="739" t="str">
        <x:f t="shared" si="32"/>
        <x:v/>
      </x:c>
      <x:c r="CJ32" s="740" t="str">
        <x:f t="shared" si="33"/>
        <x:v/>
      </x:c>
      <x:c r="CK32" s="741" t="str">
        <x:f t="shared" si="34"/>
        <x:v/>
      </x:c>
      <x:c r="CL32" s="742" t="str">
        <x:f t="shared" si="35"/>
        <x:v/>
      </x:c>
      <x:c r="CM32" s="743" t="str">
        <x:f t="shared" si="36"/>
        <x:v/>
      </x:c>
      <x:c r="CN32" s="744" t="str">
        <x:f t="shared" si="37"/>
        <x:v/>
      </x:c>
      <x:c r="CO32" s="745" t="str">
        <x:f t="shared" si="38"/>
        <x:v/>
      </x:c>
      <x:c r="CP32" s="762" t="str">
        <x:f t="shared" si="39"/>
        <x:v/>
      </x:c>
      <x:c r="CQ32" s="763" t="str">
        <x:f t="shared" si="40"/>
        <x:v/>
      </x:c>
      <x:c r="CR32" s="953">
        <x:f t="shared" si="41"/>
        <x:v>5</x:v>
      </x:c>
      <x:c r="CS32" s="954">
        <x:f t="shared" si="42"/>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3"/>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4"/>
        <x:v>0</x:v>
      </x:c>
      <x:c r="DO32" s="1049">
        <x:f t="shared" si="45"/>
        <x:v>0</x:v>
      </x:c>
      <x:c r="DP32" s="1053" t="str">
        <x:f t="shared" si="46"/>
        <x:v/>
      </x:c>
      <x:c r="DQ32" s="1053" t="str">
        <x:f t="shared" si="47"/>
        <x:v/>
      </x:c>
      <x:c r="DR32" s="1053" t="str">
        <x:f t="shared" si="48"/>
        <x:v/>
      </x:c>
      <x:c r="DS32" s="1052">
        <x:f t="shared" si="49"/>
        <x:v>0</x:v>
      </x:c>
      <x:c r="DT32" s="1052">
        <x:f t="shared" si="50"/>
        <x:v>0</x:v>
      </x:c>
      <x:c r="DU32" s="1052" t="str">
        <x:f t="shared" si="51"/>
        <x:v/>
      </x:c>
      <x:c r="DV32" s="1053" t="str">
        <x:f t="shared" si="52"/>
        <x:v/>
      </x:c>
      <x:c r="DW32" s="1053" t="str">
        <x:f t="shared" si="53"/>
        <x:v/>
      </x:c>
      <x:c r="DX32" s="1269">
        <x:f t="shared" si="54"/>
        <x:v>0</x:v>
      </x:c>
      <x:c r="DY32" s="1053">
        <x:f t="shared" si="55"/>
        <x:v>0</x:v>
      </x:c>
      <x:c r="DZ32" s="1052">
        <x:f t="shared" si="56"/>
        <x:v>0</x:v>
      </x:c>
      <x:c r="EA32" s="1052" t="str">
        <x:f t="shared" si="57"/>
        <x:v/>
      </x:c>
      <x:c r="EB32" s="1053" t="str">
        <x:f t="shared" si="58"/>
        <x:v/>
      </x:c>
      <x:c r="EC32" s="1053" t="str">
        <x:f t="shared" si="59"/>
        <x:v/>
      </x:c>
      <x:c r="ED32" s="1269">
        <x:f t="shared" si="60"/>
        <x:v>0</x:v>
      </x:c>
      <x:c r="EE32" s="1090" t="str">
        <x:f t="shared" si="61"/>
        <x:v/>
      </x:c>
      <x:c r="EF32" s="1053" t="str">
        <x:f t="shared" si="62"/>
        <x:v/>
      </x:c>
      <x:c r="EG32" s="1053" t="str">
        <x:f t="shared" si="63"/>
        <x:v/>
      </x:c>
      <x:c r="EH32" s="1053" t="str">
        <x:f t="shared" si="64"/>
        <x:v>ERR</x:v>
      </x:c>
      <x:c r="EI32" s="1053" t="str">
        <x:f t="shared" si="65"/>
        <x:v>ERR</x:v>
      </x:c>
      <x:c r="EJ32" s="1053" t="str">
        <x:f t="shared" si="66"/>
        <x:v/>
      </x:c>
      <x:c r="EK32" s="1053" t="str">
        <x:f t="shared" si="66"/>
        <x:v/>
      </x:c>
      <x:c r="EL32" s="1090" t="str">
        <x:f t="shared" si="67"/>
        <x:v/>
      </x:c>
      <x:c r="EM32" s="1053" t="str">
        <x:f t="shared" si="68"/>
        <x:v/>
      </x:c>
      <x:c r="EN32" s="1053" t="str">
        <x:f t="shared" si="69"/>
        <x:v/>
      </x:c>
      <x:c r="EO32" s="1053" t="str">
        <x:f t="shared" si="70"/>
        <x:v>ERR</x:v>
      </x:c>
      <x:c r="EP32" s="1053" t="str">
        <x:f t="shared" si="71"/>
        <x:v>ERR</x:v>
      </x:c>
      <x:c r="EQ32" s="1053" t="str">
        <x:f t="shared" si="72"/>
        <x:v/>
      </x:c>
      <x:c r="ER32" s="1053" t="str">
        <x:f t="shared" si="72"/>
        <x:v/>
      </x:c>
      <x:c r="ES32" s="1053" t="str">
        <x:f t="shared" si="73"/>
        <x:v/>
      </x:c>
      <x:c r="ET32" s="1053" t="str">
        <x:f t="shared" si="74"/>
        <x:v/>
      </x:c>
      <x:c r="EU32" s="1061">
        <x:f t="shared" si="75"/>
        <x:v>4</x:v>
      </x:c>
      <x:c r="EV32" s="1055" t="str">
        <x:f t="shared" si="76"/>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7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78"/>
        <x:v/>
      </x:c>
      <x:c r="FD32" s="1052">
        <x:f t="shared" si="103"/>
        <x:v>0</x:v>
      </x:c>
      <x:c r="FE32" s="1052">
        <x:f t="shared" si="79"/>
        <x:v>0</x:v>
      </x:c>
      <x:c r="FF32" s="1052">
        <x:f t="shared" si="80"/>
        <x:v>0</x:v>
      </x:c>
      <x:c r="FG32" s="1052" t="str">
        <x:f t="shared" si="81"/>
        <x:v/>
      </x:c>
      <x:c r="FH32" s="1053" t="str">
        <x:f t="shared" si="82"/>
        <x:v/>
      </x:c>
      <x:c r="FI32" s="1052">
        <x:f t="shared" si="104"/>
        <x:v>0</x:v>
      </x:c>
      <x:c r="FJ32" s="1052">
        <x:f t="shared" si="83"/>
        <x:v>0</x:v>
      </x:c>
      <x:c r="FK32" s="1052">
        <x:f t="shared" si="84"/>
        <x:v>0</x:v>
      </x:c>
      <x:c r="FL32" s="1052" t="str">
        <x:f t="shared" si="85"/>
        <x:v/>
      </x:c>
      <x:c r="FM32" s="1053" t="str">
        <x:f t="shared" si="86"/>
        <x:v/>
      </x:c>
      <x:c r="FN32" s="1053" t="e">
        <x:f t="shared" si="87"/>
        <x:v>#VALUE!</x:v>
      </x:c>
      <x:c r="FO32" s="1062" t="e">
        <x:f t="shared" si="88"/>
        <x:v>#VALUE!</x:v>
      </x:c>
      <x:c r="FP32" s="1062" t="e">
        <x:f t="shared" si="89"/>
        <x:v>#VALUE!</x:v>
      </x:c>
      <x:c r="FQ32" s="1063" t="e">
        <x:f t="shared" si="90"/>
        <x:v>#VALUE!</x:v>
      </x:c>
      <x:c r="FR32" s="1064" t="e">
        <x:f t="shared" si="91"/>
        <x:v>#VALUE!</x:v>
      </x:c>
      <x:c r="FS32" s="1065" t="str">
        <x:f t="shared" si="92"/>
        <x:v/>
      </x:c>
      <x:c r="FT32" s="1066" t="str">
        <x:f t="shared" si="93"/>
        <x:v/>
      </x:c>
      <x:c r="FU32" s="1105">
        <x:f t="shared" si="94"/>
        <x:v>0</x:v>
      </x:c>
      <x:c r="FV32" s="1106">
        <x:f t="shared" si="95"/>
        <x:v>0</x:v>
      </x:c>
      <x:c r="GA32" s="1975">
        <x:v>59</x:v>
      </x:c>
      <x:c r="GB32" s="1976">
        <x:v>2.75</x:v>
      </x:c>
      <x:c r="GC32" s="1977">
        <x:v>-1.875</x:v>
      </x:c>
      <x:c r="GD32" s="1978">
        <x:v>-1</x:v>
      </x:c>
      <x:c r="GE32" s="1979">
        <x:v>0.227928244811819</x:v>
      </x:c>
      <x:c r="GF32" s="1980" t="str">
        <x:f t="shared" si="96"/>
        <x:v>TJ183</x:v>
      </x:c>
      <x:c r="GG32" s="1453"/>
      <x:c r="GH32" s="1454"/>
      <x:c r="GI32" s="1453"/>
      <x:c r="GJ32" s="1454"/>
      <x:c r="GK32" s="533">
        <x:f t="shared" si="97"/>
        <x:v>707.875</x:v>
      </x:c>
      <x:c r="GL32" s="534">
        <x:f t="shared" si="98"/>
        <x:v>708.0026795120051</x:v>
      </x:c>
      <x:c r="GM32" s="535">
        <x:f>IF(ABS(GK32-GL32)&gt;='Job Info.'!$L$22,ABS(GK32-GL32),0)</x:f>
        <x:v>0</x:v>
      </x:c>
      <x:c r="HA32" s="1658" t="s">
        <x:v>1507</x:v>
      </x:c>
      <x:c r="HB32" s="1659">
        <x:v>1</x:v>
      </x:c>
      <x:c r="HC32" s="1659" t="s">
        <x:v>1978</x:v>
      </x:c>
      <x:c r="HD32" s="1660">
        <x:v>58</x:v>
      </x:c>
      <x:c r="HE32" s="1661">
        <x:v>11.875</x:v>
      </x:c>
      <x:c r="HF32" s="1659" t="s">
        <x:v>117</x:v>
      </x:c>
      <x:c r="HG32" s="1659" t="s">
        <x:v>117</x:v>
      </x:c>
      <x:c r="HH32" s="1659" t="s">
        <x:v>117</x:v>
      </x:c>
      <x:c r="HI32" s="1662">
        <x:v>0</x:v>
      </x:c>
      <x:c r="HJ32" s="1659">
        <x:v>0.625</x:v>
      </x:c>
      <x:c r="HK32" s="1659" t="s">
        <x:v>114</x:v>
      </x:c>
      <x:c r="HL32" s="1659">
        <x:v>3</x:v>
      </x:c>
      <x:c r="HM32" s="1659">
        <x:v>3</x:v>
      </x:c>
      <x:c r="HN32" s="1659" t="s">
        <x:v>117</x:v>
      </x:c>
      <x:c r="HO32" s="1659" t="s">
        <x:v>117</x:v>
      </x:c>
      <x:c r="HP32" s="1659" t="s">
        <x:v>117</x:v>
      </x:c>
      <x:c r="HQ32" s="1662">
        <x:v>0</x:v>
      </x:c>
      <x:c r="HR32" s="1659">
        <x:v>6.625</x:v>
      </x:c>
      <x:c r="HS32" s="1659">
        <x:v>2</x:v>
      </x:c>
      <x:c r="HT32" s="1659">
        <x:v>0</x:v>
      </x:c>
      <x:c r="HU32" s="1659">
        <x:v>1.125</x:v>
      </x:c>
      <x:c r="HV32" s="1659">
        <x:v>0</x:v>
      </x:c>
      <x:c r="HW32" s="1661">
        <x:v>1.5</x:v>
      </x:c>
      <x:c r="HX32" s="1661">
        <x:v>4</x:v>
      </x:c>
      <x:c r="HY32" s="1661" t="s">
        <x:v>117</x:v>
      </x:c>
      <x:c r="HZ32" s="1661" t="s">
        <x:v>117</x:v>
      </x:c>
      <x:c r="IA32" s="1661" t="s">
        <x:v>2194</x:v>
      </x:c>
      <x:c r="IB32" s="1661"/>
      <x:c r="IC32" s="1661"/>
      <x:c r="ID32" s="1661"/>
      <x:c r="IE32" s="1661"/>
      <x:c r="IF32" s="1663"/>
    </x:row>
    <x:row r="33" spans="1:240" ht="12.6" customHeight="1" x14ac:dyDescent="0.25">
      <x:c r="A33" s="1264" t="s">
        <x:v>1508</x:v>
      </x:c>
      <x:c r="B33" s="1265">
        <x:v>1</x:v>
      </x:c>
      <x:c r="C33" s="1265" t="s">
        <x:v>1978</x:v>
      </x:c>
      <x:c r="D33" s="1261">
        <x:v>59</x:v>
      </x:c>
      <x:c r="E33" s="1366">
        <x:v>0.625</x:v>
      </x:c>
      <x:c r="F33" s="1328" t="str">
        <x:f t="shared" si="1"/>
        <x:v/>
      </x:c>
      <x:c r="G33" s="1262" t="str">
        <x:f t="shared" si="2"/>
        <x:v/>
      </x:c>
      <x:c r="H33" s="1266" t="str">
        <x:f t="shared" si="3"/>
        <x:v/>
      </x:c>
      <x:c r="I33" s="1261">
        <x:v>0</x:v>
      </x:c>
      <x:c r="J33" s="1262">
        <x:v>1.375</x:v>
      </x:c>
      <x:c r="K33" s="1370" t="s">
        <x:v>114</x:v>
      </x:c>
      <x:c r="L33" s="1327">
        <x:v>3</x:v>
      </x:c>
      <x:c r="M33" s="1329">
        <x:v>3</x:v>
      </x:c>
      <x:c r="N33" s="1263" t="str">
        <x:f t="shared" si="4"/>
        <x:v/>
      </x:c>
      <x:c r="O33" s="1262" t="str">
        <x:f t="shared" si="5"/>
        <x:v/>
      </x:c>
      <x:c r="P33" s="1260" t="str">
        <x:f t="shared" si="6"/>
        <x:v/>
      </x:c>
      <x:c r="Q33" s="1261" t="str">
        <x:f t="shared" si="99"/>
        <x:v/>
      </x:c>
      <x:c r="R33" s="1262" t="str">
        <x:f t="shared" si="100"/>
        <x:v/>
      </x:c>
      <x:c r="S33" s="1375" t="str">
        <x:f t="shared" si="101"/>
        <x:v/>
      </x:c>
      <x:c r="T33" s="1328" t="str">
        <x:f t="shared" si="105"/>
        <x:v/>
      </x:c>
      <x:c r="U33" s="1262" t="str">
        <x:f t="shared" si="106"/>
        <x:v/>
      </x:c>
      <x:c r="V33" s="1261" t="str">
        <x:f t="shared" si="107"/>
        <x:v/>
      </x:c>
      <x:c r="W33" s="1262" t="str">
        <x:f t="shared" si="108"/>
        <x:v/>
      </x:c>
      <x:c r="X33" s="1329">
        <x:f t="shared" si="109"/>
        <x:v>0</x:v>
      </x:c>
      <x:c r="Y33" s="1377" t="str">
        <x:f t="shared" si="7"/>
        <x:v/>
      </x:c>
      <x:c r="Z33" s="1378" t="str">
        <x:f t="shared" si="8"/>
        <x:v/>
      </x:c>
      <x:c r="AA33" s="2159" t="s">
        <x:v>2197</x:v>
      </x:c>
      <x:c r="AC33" s="1226" t="b">
        <x:v>0</x:v>
      </x:c>
      <x:c r="AD33" s="525">
        <x:f t="shared" si="9"/>
        <x:v>0</x:v>
      </x:c>
      <x:c r="AE33" s="526">
        <x:f t="shared" si="10"/>
        <x:v>1</x:v>
      </x:c>
      <x:c r="AF33" s="526">
        <x:f t="shared" si="11"/>
        <x:v>0</x:v>
      </x:c>
      <x:c r="AG33" s="526">
        <x:f t="shared" si="12"/>
        <x:v>0</x:v>
      </x:c>
      <x:c r="AH33" s="527">
        <x:f t="shared" si="13"/>
        <x:v>0</x:v>
      </x:c>
      <x:c r="AI33" s="528" t="b">
        <x:v>0</x:v>
      </x:c>
      <x:c r="AJ33" s="284">
        <x:f t="shared" si="14"/>
        <x:v>36</x:v>
      </x:c>
      <x:c r="AK33" s="1063" t="str">
        <x:f t="shared" si="15"/>
        <x:v>LH</x:v>
      </x:c>
      <x:c r="AL33" s="1202" t="str">
        <x:f t="shared" si="16"/>
        <x:v/>
      </x:c>
      <x:c r="AM33" s="1063">
        <x:f t="shared" si="17"/>
        <x:v>270</x:v>
      </x:c>
      <x:c r="AN33" s="1063">
        <x:f t="shared" si="18"/>
        <x:v>120</x:v>
      </x:c>
      <x:c r="AO33" s="1063" t="str">
        <x:f t="shared" si="19"/>
        <x:v/>
      </x:c>
      <x:c r="AP33" s="1063" t="b">
        <x:f>IF(ISERROR(AJ33),FALSE,IF(OR(AJ33=0,ISERROR(AL33),ISERROR(AM33),ISERROR(AN33),ISERROR(AO33)),FALSE,IF(AL33&lt;&gt;"",IF(ISERROR(VLOOKUP(SUBSTITUTE(SUBSTITUTE(C33,"R",""),"A",""),TblJoistSize!$A:$A,1,FALSE)),FALSE,TRUE),TRUE)))</x:f>
        <x:v>1</x:v>
      </x:c>
      <x:c r="AQ33" s="1305">
        <x:f t="shared" si="20"/>
        <x:v>6</x:v>
      </x:c>
      <x:c r="AR33" s="1305" t="b">
        <x:f t="shared" si="21"/>
        <x:v>0</x:v>
      </x:c>
      <x:c r="AS33" s="1305">
        <x:f t="shared" si="22"/>
        <x:v>7.375</x:v>
      </x:c>
      <x:c r="AT33" s="1305" t="b">
        <x:f t="shared" si="23"/>
        <x:v>0</x:v>
      </x:c>
      <x:c r="AU33" s="1203" t="str">
        <x:f t="shared" si="24"/>
        <x:v>LH</x:v>
      </x:c>
      <x:c r="AV33" s="1063" t="str">
        <x:f t="shared" si="25"/>
        <x:v/>
      </x:c>
      <x:c r="AW33" s="1063" t="str">
        <x:f t="shared" si="26"/>
        <x:v>LH</x:v>
      </x:c>
      <x:c r="AX33" s="1063" t="str">
        <x:f t="shared" si="102"/>
        <x:v>J184</x:v>
      </x:c>
      <x:c r="AY33" s="1306" t="b">
        <x:f t="shared" si="27"/>
        <x:v>0</x:v>
      </x:c>
      <x:c r="AZ33" s="1090" t="b">
        <x:f t="shared" si="28"/>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29"/>
        <x:v/>
      </x:c>
      <x:c r="CE33" s="935" t="str">
        <x:f t="shared" si="30"/>
        <x:v/>
      </x:c>
      <x:c r="CF33" s="1149"/>
      <x:c r="CG33" s="1150"/>
      <x:c r="CH33" s="738" t="str">
        <x:f t="shared" si="31"/>
        <x:v/>
      </x:c>
      <x:c r="CI33" s="739" t="str">
        <x:f t="shared" si="32"/>
        <x:v/>
      </x:c>
      <x:c r="CJ33" s="740" t="str">
        <x:f t="shared" si="33"/>
        <x:v/>
      </x:c>
      <x:c r="CK33" s="741" t="str">
        <x:f t="shared" si="34"/>
        <x:v/>
      </x:c>
      <x:c r="CL33" s="742" t="str">
        <x:f t="shared" si="35"/>
        <x:v/>
      </x:c>
      <x:c r="CM33" s="743" t="str">
        <x:f t="shared" si="36"/>
        <x:v/>
      </x:c>
      <x:c r="CN33" s="744" t="str">
        <x:f t="shared" si="37"/>
        <x:v/>
      </x:c>
      <x:c r="CO33" s="745" t="str">
        <x:f t="shared" si="38"/>
        <x:v/>
      </x:c>
      <x:c r="CP33" s="762" t="str">
        <x:f t="shared" si="39"/>
        <x:v/>
      </x:c>
      <x:c r="CQ33" s="763" t="str">
        <x:f t="shared" si="40"/>
        <x:v/>
      </x:c>
      <x:c r="CR33" s="953">
        <x:f t="shared" si="41"/>
        <x:v>5</x:v>
      </x:c>
      <x:c r="CS33" s="954">
        <x:f t="shared" si="42"/>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3"/>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4"/>
        <x:v>0</x:v>
      </x:c>
      <x:c r="DO33" s="1049">
        <x:f t="shared" si="45"/>
        <x:v>0</x:v>
      </x:c>
      <x:c r="DP33" s="1053" t="str">
        <x:f t="shared" si="46"/>
        <x:v/>
      </x:c>
      <x:c r="DQ33" s="1053" t="str">
        <x:f t="shared" si="47"/>
        <x:v/>
      </x:c>
      <x:c r="DR33" s="1053" t="str">
        <x:f t="shared" si="48"/>
        <x:v/>
      </x:c>
      <x:c r="DS33" s="1052">
        <x:f t="shared" si="49"/>
        <x:v>0</x:v>
      </x:c>
      <x:c r="DT33" s="1052">
        <x:f t="shared" si="50"/>
        <x:v>0</x:v>
      </x:c>
      <x:c r="DU33" s="1052" t="str">
        <x:f t="shared" si="51"/>
        <x:v/>
      </x:c>
      <x:c r="DV33" s="1053" t="str">
        <x:f t="shared" si="52"/>
        <x:v/>
      </x:c>
      <x:c r="DW33" s="1053" t="str">
        <x:f t="shared" si="53"/>
        <x:v/>
      </x:c>
      <x:c r="DX33" s="1269">
        <x:f t="shared" si="54"/>
        <x:v>0</x:v>
      </x:c>
      <x:c r="DY33" s="1053">
        <x:f t="shared" si="55"/>
        <x:v>0</x:v>
      </x:c>
      <x:c r="DZ33" s="1052">
        <x:f t="shared" si="56"/>
        <x:v>0</x:v>
      </x:c>
      <x:c r="EA33" s="1052" t="str">
        <x:f t="shared" si="57"/>
        <x:v/>
      </x:c>
      <x:c r="EB33" s="1053" t="str">
        <x:f t="shared" si="58"/>
        <x:v/>
      </x:c>
      <x:c r="EC33" s="1053" t="str">
        <x:f t="shared" si="59"/>
        <x:v/>
      </x:c>
      <x:c r="ED33" s="1269">
        <x:f t="shared" si="60"/>
        <x:v>0</x:v>
      </x:c>
      <x:c r="EE33" s="1090" t="str">
        <x:f t="shared" si="61"/>
        <x:v/>
      </x:c>
      <x:c r="EF33" s="1053" t="str">
        <x:f t="shared" si="62"/>
        <x:v/>
      </x:c>
      <x:c r="EG33" s="1053" t="str">
        <x:f t="shared" si="63"/>
        <x:v/>
      </x:c>
      <x:c r="EH33" s="1053" t="str">
        <x:f t="shared" si="64"/>
        <x:v>ERR</x:v>
      </x:c>
      <x:c r="EI33" s="1053" t="str">
        <x:f t="shared" si="65"/>
        <x:v>ERR</x:v>
      </x:c>
      <x:c r="EJ33" s="1053" t="str">
        <x:f t="shared" si="66"/>
        <x:v/>
      </x:c>
      <x:c r="EK33" s="1053" t="str">
        <x:f t="shared" si="66"/>
        <x:v/>
      </x:c>
      <x:c r="EL33" s="1090" t="str">
        <x:f t="shared" si="67"/>
        <x:v/>
      </x:c>
      <x:c r="EM33" s="1053" t="str">
        <x:f t="shared" si="68"/>
        <x:v/>
      </x:c>
      <x:c r="EN33" s="1053" t="str">
        <x:f t="shared" si="69"/>
        <x:v/>
      </x:c>
      <x:c r="EO33" s="1053" t="str">
        <x:f t="shared" si="70"/>
        <x:v>ERR</x:v>
      </x:c>
      <x:c r="EP33" s="1053" t="str">
        <x:f t="shared" si="71"/>
        <x:v>ERR</x:v>
      </x:c>
      <x:c r="EQ33" s="1053" t="str">
        <x:f t="shared" si="72"/>
        <x:v/>
      </x:c>
      <x:c r="ER33" s="1053" t="str">
        <x:f t="shared" si="72"/>
        <x:v/>
      </x:c>
      <x:c r="ES33" s="1053" t="str">
        <x:f t="shared" si="73"/>
        <x:v/>
      </x:c>
      <x:c r="ET33" s="1053" t="str">
        <x:f t="shared" si="74"/>
        <x:v/>
      </x:c>
      <x:c r="EU33" s="1061">
        <x:f t="shared" si="75"/>
        <x:v>4</x:v>
      </x:c>
      <x:c r="EV33" s="1055" t="str">
        <x:f t="shared" si="76"/>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7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78"/>
        <x:v/>
      </x:c>
      <x:c r="FD33" s="1052">
        <x:f t="shared" si="103"/>
        <x:v>0</x:v>
      </x:c>
      <x:c r="FE33" s="1052">
        <x:f t="shared" si="79"/>
        <x:v>0</x:v>
      </x:c>
      <x:c r="FF33" s="1052">
        <x:f t="shared" si="80"/>
        <x:v>0</x:v>
      </x:c>
      <x:c r="FG33" s="1052" t="str">
        <x:f t="shared" si="81"/>
        <x:v/>
      </x:c>
      <x:c r="FH33" s="1053" t="str">
        <x:f t="shared" si="82"/>
        <x:v/>
      </x:c>
      <x:c r="FI33" s="1052">
        <x:f t="shared" si="104"/>
        <x:v>0</x:v>
      </x:c>
      <x:c r="FJ33" s="1052">
        <x:f t="shared" si="83"/>
        <x:v>0</x:v>
      </x:c>
      <x:c r="FK33" s="1052">
        <x:f t="shared" si="84"/>
        <x:v>0</x:v>
      </x:c>
      <x:c r="FL33" s="1052" t="str">
        <x:f t="shared" si="85"/>
        <x:v/>
      </x:c>
      <x:c r="FM33" s="1053" t="str">
        <x:f t="shared" si="86"/>
        <x:v/>
      </x:c>
      <x:c r="FN33" s="1053" t="e">
        <x:f t="shared" si="87"/>
        <x:v>#VALUE!</x:v>
      </x:c>
      <x:c r="FO33" s="1062" t="e">
        <x:f t="shared" si="88"/>
        <x:v>#VALUE!</x:v>
      </x:c>
      <x:c r="FP33" s="1062" t="e">
        <x:f t="shared" si="89"/>
        <x:v>#VALUE!</x:v>
      </x:c>
      <x:c r="FQ33" s="1063" t="e">
        <x:f t="shared" si="90"/>
        <x:v>#VALUE!</x:v>
      </x:c>
      <x:c r="FR33" s="1064" t="e">
        <x:f t="shared" si="91"/>
        <x:v>#VALUE!</x:v>
      </x:c>
      <x:c r="FS33" s="1065" t="str">
        <x:f t="shared" si="92"/>
        <x:v/>
      </x:c>
      <x:c r="FT33" s="1066" t="str">
        <x:f t="shared" si="93"/>
        <x:v/>
      </x:c>
      <x:c r="FU33" s="1105">
        <x:f t="shared" si="94"/>
        <x:v>0</x:v>
      </x:c>
      <x:c r="FV33" s="1106">
        <x:f t="shared" si="95"/>
        <x:v>0</x:v>
      </x:c>
      <x:c r="GA33" s="1975">
        <x:v>59</x:v>
      </x:c>
      <x:c r="GB33" s="1976">
        <x:v>2.75</x:v>
      </x:c>
      <x:c r="GC33" s="1977">
        <x:v>-1.875</x:v>
      </x:c>
      <x:c r="GD33" s="1978">
        <x:v>-0.25</x:v>
      </x:c>
      <x:c r="GE33" s="1979">
        <x:v>0.227928244811819</x:v>
      </x:c>
      <x:c r="GF33" s="1980" t="str">
        <x:f t="shared" si="96"/>
        <x:v>J184</x:v>
      </x:c>
      <x:c r="GG33" s="1453"/>
      <x:c r="GH33" s="1454"/>
      <x:c r="GI33" s="1453"/>
      <x:c r="GJ33" s="1454"/>
      <x:c r="GK33" s="533">
        <x:f t="shared" si="97"/>
        <x:v>708.625</x:v>
      </x:c>
      <x:c r="GL33" s="534">
        <x:f t="shared" si="98"/>
        <x:v>708.75281478960926</x:v>
      </x:c>
      <x:c r="GM33" s="535">
        <x:f>IF(ABS(GK33-GL33)&gt;='Job Info.'!$L$22,ABS(GK33-GL33),0)</x:f>
        <x:v>0</x:v>
      </x:c>
      <x:c r="HA33" s="1658" t="s">
        <x:v>1508</x:v>
      </x:c>
      <x:c r="HB33" s="1659">
        <x:v>1</x:v>
      </x:c>
      <x:c r="HC33" s="1659" t="s">
        <x:v>1978</x:v>
      </x:c>
      <x:c r="HD33" s="1660">
        <x:v>59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2197</x:v>
      </x:c>
      <x:c r="IB33" s="1661"/>
      <x:c r="IC33" s="1661"/>
      <x:c r="ID33" s="1661"/>
      <x:c r="IE33" s="1661"/>
      <x:c r="IF33" s="1663"/>
    </x:row>
    <x:row r="34" spans="1:240" ht="12.6" customHeight="1" x14ac:dyDescent="0.25">
      <x:c r="A34" s="1264" t="s">
        <x:v>1509</x:v>
      </x:c>
      <x:c r="B34" s="1265">
        <x:v>1</x:v>
      </x:c>
      <x:c r="C34" s="1265" t="s">
        <x:v>1978</x:v>
      </x:c>
      <x:c r="D34" s="1261">
        <x:v>59</x:v>
      </x:c>
      <x:c r="E34" s="1366">
        <x:v>0.625</x:v>
      </x:c>
      <x:c r="F34" s="1328" t="str">
        <x:f t="shared" si="1"/>
        <x:v/>
      </x:c>
      <x:c r="G34" s="1262" t="str">
        <x:f t="shared" si="2"/>
        <x:v/>
      </x:c>
      <x:c r="H34" s="1266" t="str">
        <x:f t="shared" si="3"/>
        <x:v/>
      </x:c>
      <x:c r="I34" s="1261">
        <x:v>0</x:v>
      </x:c>
      <x:c r="J34" s="1262">
        <x:v>1.375</x:v>
      </x:c>
      <x:c r="K34" s="1370" t="s">
        <x:v>114</x:v>
      </x:c>
      <x:c r="L34" s="1327">
        <x:v>3</x:v>
      </x:c>
      <x:c r="M34" s="1329">
        <x:v>3</x:v>
      </x:c>
      <x:c r="N34" s="1263" t="str">
        <x:f t="shared" si="4"/>
        <x:v/>
      </x:c>
      <x:c r="O34" s="1262" t="str">
        <x:f t="shared" si="5"/>
        <x:v/>
      </x:c>
      <x:c r="P34" s="1260" t="str">
        <x:f t="shared" si="6"/>
        <x:v/>
      </x:c>
      <x:c r="Q34" s="1261" t="str">
        <x:f t="shared" si="99"/>
        <x:v/>
      </x:c>
      <x:c r="R34" s="1262" t="str">
        <x:f t="shared" si="100"/>
        <x:v/>
      </x:c>
      <x:c r="S34" s="1375" t="str">
        <x:f t="shared" si="101"/>
        <x:v/>
      </x:c>
      <x:c r="T34" s="1328" t="str">
        <x:f t="shared" si="105"/>
        <x:v/>
      </x:c>
      <x:c r="U34" s="1262" t="str">
        <x:f t="shared" si="106"/>
        <x:v/>
      </x:c>
      <x:c r="V34" s="1261" t="str">
        <x:f t="shared" si="107"/>
        <x:v/>
      </x:c>
      <x:c r="W34" s="1262" t="str">
        <x:f t="shared" si="108"/>
        <x:v/>
      </x:c>
      <x:c r="X34" s="1329">
        <x:f t="shared" si="109"/>
        <x:v>0</x:v>
      </x:c>
      <x:c r="Y34" s="1377" t="str">
        <x:f t="shared" si="7"/>
        <x:v/>
      </x:c>
      <x:c r="Z34" s="1378" t="str">
        <x:f t="shared" si="8"/>
        <x:v/>
      </x:c>
      <x:c r="AA34" s="2159" t="s">
        <x:v>2198</x:v>
      </x:c>
      <x:c r="AC34" s="1226" t="b">
        <x:v>0</x:v>
      </x:c>
      <x:c r="AD34" s="525">
        <x:f t="shared" si="9"/>
        <x:v>0</x:v>
      </x:c>
      <x:c r="AE34" s="526">
        <x:f t="shared" si="10"/>
        <x:v>1</x:v>
      </x:c>
      <x:c r="AF34" s="526">
        <x:f t="shared" si="11"/>
        <x:v>0</x:v>
      </x:c>
      <x:c r="AG34" s="526">
        <x:f t="shared" si="12"/>
        <x:v>0</x:v>
      </x:c>
      <x:c r="AH34" s="527">
        <x:f t="shared" si="13"/>
        <x:v>0</x:v>
      </x:c>
      <x:c r="AI34" s="528" t="b">
        <x:v>0</x:v>
      </x:c>
      <x:c r="AJ34" s="284">
        <x:f t="shared" si="14"/>
        <x:v>36</x:v>
      </x:c>
      <x:c r="AK34" s="1063" t="str">
        <x:f t="shared" si="15"/>
        <x:v>LH</x:v>
      </x:c>
      <x:c r="AL34" s="1202" t="str">
        <x:f t="shared" si="16"/>
        <x:v/>
      </x:c>
      <x:c r="AM34" s="1063">
        <x:f t="shared" si="17"/>
        <x:v>270</x:v>
      </x:c>
      <x:c r="AN34" s="1063">
        <x:f t="shared" si="18"/>
        <x:v>120</x:v>
      </x:c>
      <x:c r="AO34" s="1063" t="str">
        <x:f t="shared" si="19"/>
        <x:v/>
      </x:c>
      <x:c r="AP34" s="1063" t="b">
        <x:f>IF(ISERROR(AJ34),FALSE,IF(OR(AJ34=0,ISERROR(AL34),ISERROR(AM34),ISERROR(AN34),ISERROR(AO34)),FALSE,IF(AL34&lt;&gt;"",IF(ISERROR(VLOOKUP(SUBSTITUTE(SUBSTITUTE(C34,"R",""),"A",""),TblJoistSize!$A:$A,1,FALSE)),FALSE,TRUE),TRUE)))</x:f>
        <x:v>1</x:v>
      </x:c>
      <x:c r="AQ34" s="1305">
        <x:f t="shared" si="20"/>
        <x:v>6</x:v>
      </x:c>
      <x:c r="AR34" s="1305" t="b">
        <x:f t="shared" si="21"/>
        <x:v>0</x:v>
      </x:c>
      <x:c r="AS34" s="1305">
        <x:f t="shared" si="22"/>
        <x:v>7.375</x:v>
      </x:c>
      <x:c r="AT34" s="1305" t="b">
        <x:f t="shared" si="23"/>
        <x:v>0</x:v>
      </x:c>
      <x:c r="AU34" s="1203" t="str">
        <x:f t="shared" si="24"/>
        <x:v>LH</x:v>
      </x:c>
      <x:c r="AV34" s="1063" t="str">
        <x:f t="shared" si="25"/>
        <x:v/>
      </x:c>
      <x:c r="AW34" s="1063" t="str">
        <x:f t="shared" si="26"/>
        <x:v>LH</x:v>
      </x:c>
      <x:c r="AX34" s="1063" t="str">
        <x:f t="shared" si="102"/>
        <x:v>J185</x:v>
      </x:c>
      <x:c r="AY34" s="1306" t="b">
        <x:f t="shared" si="27"/>
        <x:v>0</x:v>
      </x:c>
      <x:c r="AZ34" s="1090" t="b">
        <x:f t="shared" si="28"/>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29"/>
        <x:v/>
      </x:c>
      <x:c r="CE34" s="935" t="str">
        <x:f t="shared" si="30"/>
        <x:v/>
      </x:c>
      <x:c r="CF34" s="1149"/>
      <x:c r="CG34" s="1150"/>
      <x:c r="CH34" s="738" t="str">
        <x:f t="shared" si="31"/>
        <x:v/>
      </x:c>
      <x:c r="CI34" s="739" t="str">
        <x:f t="shared" si="32"/>
        <x:v/>
      </x:c>
      <x:c r="CJ34" s="740" t="str">
        <x:f t="shared" si="33"/>
        <x:v/>
      </x:c>
      <x:c r="CK34" s="741" t="str">
        <x:f t="shared" si="34"/>
        <x:v/>
      </x:c>
      <x:c r="CL34" s="742" t="str">
        <x:f t="shared" si="35"/>
        <x:v/>
      </x:c>
      <x:c r="CM34" s="743" t="str">
        <x:f t="shared" si="36"/>
        <x:v/>
      </x:c>
      <x:c r="CN34" s="744" t="str">
        <x:f t="shared" si="37"/>
        <x:v/>
      </x:c>
      <x:c r="CO34" s="745" t="str">
        <x:f t="shared" si="38"/>
        <x:v/>
      </x:c>
      <x:c r="CP34" s="762" t="str">
        <x:f t="shared" si="39"/>
        <x:v/>
      </x:c>
      <x:c r="CQ34" s="763" t="str">
        <x:f t="shared" si="40"/>
        <x:v/>
      </x:c>
      <x:c r="CR34" s="953">
        <x:f t="shared" si="41"/>
        <x:v>5</x:v>
      </x:c>
      <x:c r="CS34" s="954">
        <x:f t="shared" si="42"/>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3"/>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4"/>
        <x:v>0</x:v>
      </x:c>
      <x:c r="DO34" s="1049">
        <x:f t="shared" si="45"/>
        <x:v>0</x:v>
      </x:c>
      <x:c r="DP34" s="1053" t="str">
        <x:f t="shared" si="46"/>
        <x:v/>
      </x:c>
      <x:c r="DQ34" s="1053" t="str">
        <x:f t="shared" si="47"/>
        <x:v/>
      </x:c>
      <x:c r="DR34" s="1053" t="str">
        <x:f t="shared" si="48"/>
        <x:v/>
      </x:c>
      <x:c r="DS34" s="1052">
        <x:f t="shared" si="49"/>
        <x:v>0</x:v>
      </x:c>
      <x:c r="DT34" s="1052">
        <x:f t="shared" si="50"/>
        <x:v>0</x:v>
      </x:c>
      <x:c r="DU34" s="1052" t="str">
        <x:f t="shared" si="51"/>
        <x:v/>
      </x:c>
      <x:c r="DV34" s="1053" t="str">
        <x:f t="shared" si="52"/>
        <x:v/>
      </x:c>
      <x:c r="DW34" s="1053" t="str">
        <x:f t="shared" si="53"/>
        <x:v/>
      </x:c>
      <x:c r="DX34" s="1269">
        <x:f t="shared" si="54"/>
        <x:v>0</x:v>
      </x:c>
      <x:c r="DY34" s="1053">
        <x:f t="shared" si="55"/>
        <x:v>0</x:v>
      </x:c>
      <x:c r="DZ34" s="1052">
        <x:f t="shared" si="56"/>
        <x:v>0</x:v>
      </x:c>
      <x:c r="EA34" s="1052" t="str">
        <x:f t="shared" si="57"/>
        <x:v/>
      </x:c>
      <x:c r="EB34" s="1053" t="str">
        <x:f t="shared" si="58"/>
        <x:v/>
      </x:c>
      <x:c r="EC34" s="1053" t="str">
        <x:f t="shared" si="59"/>
        <x:v/>
      </x:c>
      <x:c r="ED34" s="1269">
        <x:f t="shared" si="60"/>
        <x:v>0</x:v>
      </x:c>
      <x:c r="EE34" s="1090" t="str">
        <x:f t="shared" si="61"/>
        <x:v/>
      </x:c>
      <x:c r="EF34" s="1053" t="str">
        <x:f t="shared" si="62"/>
        <x:v/>
      </x:c>
      <x:c r="EG34" s="1053" t="str">
        <x:f t="shared" si="63"/>
        <x:v/>
      </x:c>
      <x:c r="EH34" s="1053" t="str">
        <x:f t="shared" si="64"/>
        <x:v>ERR</x:v>
      </x:c>
      <x:c r="EI34" s="1053" t="str">
        <x:f t="shared" si="65"/>
        <x:v>ERR</x:v>
      </x:c>
      <x:c r="EJ34" s="1053" t="str">
        <x:f t="shared" si="66"/>
        <x:v/>
      </x:c>
      <x:c r="EK34" s="1053" t="str">
        <x:f t="shared" si="66"/>
        <x:v/>
      </x:c>
      <x:c r="EL34" s="1090" t="str">
        <x:f t="shared" si="67"/>
        <x:v/>
      </x:c>
      <x:c r="EM34" s="1053" t="str">
        <x:f t="shared" si="68"/>
        <x:v/>
      </x:c>
      <x:c r="EN34" s="1053" t="str">
        <x:f t="shared" si="69"/>
        <x:v/>
      </x:c>
      <x:c r="EO34" s="1053" t="str">
        <x:f t="shared" si="70"/>
        <x:v>ERR</x:v>
      </x:c>
      <x:c r="EP34" s="1053" t="str">
        <x:f t="shared" si="71"/>
        <x:v>ERR</x:v>
      </x:c>
      <x:c r="EQ34" s="1053" t="str">
        <x:f t="shared" si="72"/>
        <x:v/>
      </x:c>
      <x:c r="ER34" s="1053" t="str">
        <x:f t="shared" si="72"/>
        <x:v/>
      </x:c>
      <x:c r="ES34" s="1053" t="str">
        <x:f t="shared" si="73"/>
        <x:v/>
      </x:c>
      <x:c r="ET34" s="1053" t="str">
        <x:f t="shared" si="74"/>
        <x:v/>
      </x:c>
      <x:c r="EU34" s="1061">
        <x:f t="shared" si="75"/>
        <x:v>4</x:v>
      </x:c>
      <x:c r="EV34" s="1055" t="str">
        <x:f t="shared" si="76"/>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7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78"/>
        <x:v/>
      </x:c>
      <x:c r="FD34" s="1052">
        <x:f t="shared" si="103"/>
        <x:v>0</x:v>
      </x:c>
      <x:c r="FE34" s="1052">
        <x:f t="shared" si="79"/>
        <x:v>0</x:v>
      </x:c>
      <x:c r="FF34" s="1052">
        <x:f t="shared" si="80"/>
        <x:v>0</x:v>
      </x:c>
      <x:c r="FG34" s="1052" t="str">
        <x:f t="shared" si="81"/>
        <x:v/>
      </x:c>
      <x:c r="FH34" s="1053" t="str">
        <x:f t="shared" si="82"/>
        <x:v/>
      </x:c>
      <x:c r="FI34" s="1052">
        <x:f t="shared" si="104"/>
        <x:v>0</x:v>
      </x:c>
      <x:c r="FJ34" s="1052">
        <x:f t="shared" si="83"/>
        <x:v>0</x:v>
      </x:c>
      <x:c r="FK34" s="1052">
        <x:f t="shared" si="84"/>
        <x:v>0</x:v>
      </x:c>
      <x:c r="FL34" s="1052" t="str">
        <x:f t="shared" si="85"/>
        <x:v/>
      </x:c>
      <x:c r="FM34" s="1053" t="str">
        <x:f t="shared" si="86"/>
        <x:v/>
      </x:c>
      <x:c r="FN34" s="1053" t="e">
        <x:f t="shared" si="87"/>
        <x:v>#VALUE!</x:v>
      </x:c>
      <x:c r="FO34" s="1062" t="e">
        <x:f t="shared" si="88"/>
        <x:v>#VALUE!</x:v>
      </x:c>
      <x:c r="FP34" s="1062" t="e">
        <x:f t="shared" si="89"/>
        <x:v>#VALUE!</x:v>
      </x:c>
      <x:c r="FQ34" s="1063" t="e">
        <x:f t="shared" si="90"/>
        <x:v>#VALUE!</x:v>
      </x:c>
      <x:c r="FR34" s="1064" t="e">
        <x:f t="shared" si="91"/>
        <x:v>#VALUE!</x:v>
      </x:c>
      <x:c r="FS34" s="1065" t="str">
        <x:f t="shared" si="92"/>
        <x:v/>
      </x:c>
      <x:c r="FT34" s="1066" t="str">
        <x:f t="shared" si="93"/>
        <x:v/>
      </x:c>
      <x:c r="FU34" s="1105">
        <x:f t="shared" si="94"/>
        <x:v>0</x:v>
      </x:c>
      <x:c r="FV34" s="1106">
        <x:f t="shared" si="95"/>
        <x:v>0</x:v>
      </x:c>
      <x:c r="GA34" s="1975">
        <x:v>59</x:v>
      </x:c>
      <x:c r="GB34" s="1976">
        <x:v>2.75</x:v>
      </x:c>
      <x:c r="GC34" s="1977">
        <x:v>-1.875</x:v>
      </x:c>
      <x:c r="GD34" s="1978">
        <x:v>-0.25</x:v>
      </x:c>
      <x:c r="GE34" s="1979">
        <x:v>0.227928244811819</x:v>
      </x:c>
      <x:c r="GF34" s="1980" t="str">
        <x:f t="shared" si="96"/>
        <x:v>J185</x:v>
      </x:c>
      <x:c r="GG34" s="1453"/>
      <x:c r="GH34" s="1454"/>
      <x:c r="GI34" s="1453"/>
      <x:c r="GJ34" s="1454"/>
      <x:c r="GK34" s="533">
        <x:f t="shared" si="97"/>
        <x:v>708.625</x:v>
      </x:c>
      <x:c r="GL34" s="534">
        <x:f t="shared" si="98"/>
        <x:v>708.75281478960926</x:v>
      </x:c>
      <x:c r="GM34" s="535">
        <x:f>IF(ABS(GK34-GL34)&gt;='Job Info.'!$L$22,ABS(GK34-GL34),0)</x:f>
        <x:v>0</x:v>
      </x:c>
      <x:c r="HA34" s="1658" t="s">
        <x:v>1509</x:v>
      </x:c>
      <x:c r="HB34" s="1659">
        <x:v>1</x:v>
      </x:c>
      <x:c r="HC34" s="1659" t="s">
        <x:v>1978</x:v>
      </x:c>
      <x:c r="HD34" s="1660">
        <x:v>59</x:v>
      </x:c>
      <x:c r="HE34" s="1661">
        <x:v>0.625</x:v>
      </x:c>
      <x:c r="HF34" s="1659" t="s">
        <x:v>117</x:v>
      </x:c>
      <x:c r="HG34" s="1659" t="s">
        <x:v>117</x:v>
      </x:c>
      <x:c r="HH34" s="1659" t="s">
        <x:v>117</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2198</x:v>
      </x:c>
      <x:c r="IB34" s="1661"/>
      <x:c r="IC34" s="1661"/>
      <x:c r="ID34" s="1661"/>
      <x:c r="IE34" s="1661"/>
      <x:c r="IF34" s="1663"/>
    </x:row>
    <x:row r="35" spans="1:240" ht="12.6" customHeight="1" x14ac:dyDescent="0.25">
      <x:c r="A35" s="1264" t="s">
        <x:v>1510</x:v>
      </x:c>
      <x:c r="B35" s="1265">
        <x:v>4</x:v>
      </x:c>
      <x:c r="C35" s="1265" t="s">
        <x:v>1978</x:v>
      </x:c>
      <x:c r="D35" s="1261">
        <x:v>59</x:v>
      </x:c>
      <x:c r="E35" s="1366">
        <x:v>0.625</x:v>
      </x:c>
      <x:c r="F35" s="1328" t="str">
        <x:f t="shared" si="1"/>
        <x:v/>
      </x:c>
      <x:c r="G35" s="1262" t="str">
        <x:f t="shared" si="2"/>
        <x:v/>
      </x:c>
      <x:c r="H35" s="1266" t="str">
        <x:f t="shared" si="3"/>
        <x:v/>
      </x:c>
      <x:c r="I35" s="1261">
        <x:v>0</x:v>
      </x:c>
      <x:c r="J35" s="1262">
        <x:v>1.375</x:v>
      </x:c>
      <x:c r="K35" s="1370" t="s">
        <x:v>114</x:v>
      </x:c>
      <x:c r="L35" s="1327">
        <x:v>3</x:v>
      </x:c>
      <x:c r="M35" s="1329">
        <x:v>3</x:v>
      </x:c>
      <x:c r="N35" s="1263" t="str">
        <x:f t="shared" si="4"/>
        <x:v/>
      </x:c>
      <x:c r="O35" s="1262" t="str">
        <x:f t="shared" si="5"/>
        <x:v/>
      </x:c>
      <x:c r="P35" s="1260" t="str">
        <x:f t="shared" si="6"/>
        <x:v/>
      </x:c>
      <x:c r="Q35" s="1261" t="str">
        <x:f t="shared" si="99"/>
        <x:v/>
      </x:c>
      <x:c r="R35" s="1262" t="str">
        <x:f t="shared" si="100"/>
        <x:v/>
      </x:c>
      <x:c r="S35" s="1375" t="str">
        <x:f t="shared" si="101"/>
        <x:v/>
      </x:c>
      <x:c r="T35" s="1328" t="str">
        <x:f t="shared" si="105"/>
        <x:v/>
      </x:c>
      <x:c r="U35" s="1262" t="str">
        <x:f t="shared" si="106"/>
        <x:v/>
      </x:c>
      <x:c r="V35" s="1261" t="str">
        <x:f t="shared" si="107"/>
        <x:v/>
      </x:c>
      <x:c r="W35" s="1262" t="str">
        <x:f t="shared" si="108"/>
        <x:v/>
      </x:c>
      <x:c r="X35" s="1329">
        <x:f t="shared" si="109"/>
        <x:v>0</x:v>
      </x:c>
      <x:c r="Y35" s="1377" t="str">
        <x:f t="shared" si="7"/>
        <x:v/>
      </x:c>
      <x:c r="Z35" s="1378" t="str">
        <x:f t="shared" si="8"/>
        <x:v/>
      </x:c>
      <x:c r="AA35" s="2159" t="s">
        <x:v>2199</x:v>
      </x:c>
      <x:c r="AC35" s="1226" t="b">
        <x:v>0</x:v>
      </x:c>
      <x:c r="AD35" s="525">
        <x:f t="shared" si="9"/>
        <x:v>0</x:v>
      </x:c>
      <x:c r="AE35" s="526">
        <x:f t="shared" si="10"/>
        <x:v>4</x:v>
      </x:c>
      <x:c r="AF35" s="526">
        <x:f t="shared" si="11"/>
        <x:v>0</x:v>
      </x:c>
      <x:c r="AG35" s="526">
        <x:f t="shared" si="12"/>
        <x:v>0</x:v>
      </x:c>
      <x:c r="AH35" s="527">
        <x:f t="shared" si="13"/>
        <x:v>0</x:v>
      </x:c>
      <x:c r="AI35" s="528" t="b">
        <x:v>0</x:v>
      </x:c>
      <x:c r="AJ35" s="284">
        <x:f t="shared" si="14"/>
        <x:v>36</x:v>
      </x:c>
      <x:c r="AK35" s="1063" t="str">
        <x:f t="shared" si="15"/>
        <x:v>LH</x:v>
      </x:c>
      <x:c r="AL35" s="1202" t="str">
        <x:f t="shared" si="16"/>
        <x:v/>
      </x:c>
      <x:c r="AM35" s="1063">
        <x:f t="shared" si="17"/>
        <x:v>270</x:v>
      </x:c>
      <x:c r="AN35" s="1063">
        <x:f t="shared" si="18"/>
        <x:v>120</x:v>
      </x:c>
      <x:c r="AO35" s="1063" t="str">
        <x:f t="shared" si="19"/>
        <x:v/>
      </x:c>
      <x:c r="AP35" s="1063" t="b">
        <x:f>IF(ISERROR(AJ35),FALSE,IF(OR(AJ35=0,ISERROR(AL35),ISERROR(AM35),ISERROR(AN35),ISERROR(AO35)),FALSE,IF(AL35&lt;&gt;"",IF(ISERROR(VLOOKUP(SUBSTITUTE(SUBSTITUTE(C35,"R",""),"A",""),TblJoistSize!$A:$A,1,FALSE)),FALSE,TRUE),TRUE)))</x:f>
        <x:v>1</x:v>
      </x:c>
      <x:c r="AQ35" s="1305">
        <x:f t="shared" si="20"/>
        <x:v>6</x:v>
      </x:c>
      <x:c r="AR35" s="1305" t="b">
        <x:f t="shared" si="21"/>
        <x:v>0</x:v>
      </x:c>
      <x:c r="AS35" s="1305">
        <x:f t="shared" si="22"/>
        <x:v>7.375</x:v>
      </x:c>
      <x:c r="AT35" s="1305" t="b">
        <x:f t="shared" si="23"/>
        <x:v>0</x:v>
      </x:c>
      <x:c r="AU35" s="1203" t="str">
        <x:f t="shared" si="24"/>
        <x:v>LH</x:v>
      </x:c>
      <x:c r="AV35" s="1063" t="str">
        <x:f t="shared" si="25"/>
        <x:v/>
      </x:c>
      <x:c r="AW35" s="1063" t="str">
        <x:f t="shared" si="26"/>
        <x:v>LH</x:v>
      </x:c>
      <x:c r="AX35" s="1063" t="str">
        <x:f t="shared" si="102"/>
        <x:v>J186</x:v>
      </x:c>
      <x:c r="AY35" s="1306" t="b">
        <x:f t="shared" si="27"/>
        <x:v>0</x:v>
      </x:c>
      <x:c r="AZ35" s="1090" t="b">
        <x:f t="shared" si="28"/>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29"/>
        <x:v/>
      </x:c>
      <x:c r="CE35" s="935" t="str">
        <x:f t="shared" si="30"/>
        <x:v/>
      </x:c>
      <x:c r="CF35" s="1149"/>
      <x:c r="CG35" s="1150"/>
      <x:c r="CH35" s="738" t="str">
        <x:f t="shared" si="31"/>
        <x:v/>
      </x:c>
      <x:c r="CI35" s="739" t="str">
        <x:f t="shared" si="32"/>
        <x:v/>
      </x:c>
      <x:c r="CJ35" s="740" t="str">
        <x:f t="shared" si="33"/>
        <x:v/>
      </x:c>
      <x:c r="CK35" s="741" t="str">
        <x:f t="shared" si="34"/>
        <x:v/>
      </x:c>
      <x:c r="CL35" s="742" t="str">
        <x:f t="shared" si="35"/>
        <x:v/>
      </x:c>
      <x:c r="CM35" s="743" t="str">
        <x:f t="shared" si="36"/>
        <x:v/>
      </x:c>
      <x:c r="CN35" s="744" t="str">
        <x:f t="shared" si="37"/>
        <x:v/>
      </x:c>
      <x:c r="CO35" s="745" t="str">
        <x:f t="shared" si="38"/>
        <x:v/>
      </x:c>
      <x:c r="CP35" s="762" t="str">
        <x:f t="shared" si="39"/>
        <x:v/>
      </x:c>
      <x:c r="CQ35" s="763" t="str">
        <x:f t="shared" si="40"/>
        <x:v/>
      </x:c>
      <x:c r="CR35" s="953">
        <x:f t="shared" si="41"/>
        <x:v>5</x:v>
      </x:c>
      <x:c r="CS35" s="954">
        <x:f t="shared" si="42"/>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3"/>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4"/>
        <x:v>0</x:v>
      </x:c>
      <x:c r="DO35" s="1049">
        <x:f t="shared" si="45"/>
        <x:v>0</x:v>
      </x:c>
      <x:c r="DP35" s="1053" t="str">
        <x:f t="shared" si="46"/>
        <x:v/>
      </x:c>
      <x:c r="DQ35" s="1053" t="str">
        <x:f t="shared" si="47"/>
        <x:v/>
      </x:c>
      <x:c r="DR35" s="1053" t="str">
        <x:f t="shared" si="48"/>
        <x:v/>
      </x:c>
      <x:c r="DS35" s="1052">
        <x:f t="shared" si="49"/>
        <x:v>0</x:v>
      </x:c>
      <x:c r="DT35" s="1052">
        <x:f t="shared" si="50"/>
        <x:v>0</x:v>
      </x:c>
      <x:c r="DU35" s="1052" t="str">
        <x:f t="shared" si="51"/>
        <x:v/>
      </x:c>
      <x:c r="DV35" s="1053" t="str">
        <x:f t="shared" si="52"/>
        <x:v/>
      </x:c>
      <x:c r="DW35" s="1053" t="str">
        <x:f t="shared" si="53"/>
        <x:v/>
      </x:c>
      <x:c r="DX35" s="1269">
        <x:f t="shared" si="54"/>
        <x:v>0</x:v>
      </x:c>
      <x:c r="DY35" s="1053">
        <x:f t="shared" si="55"/>
        <x:v>0</x:v>
      </x:c>
      <x:c r="DZ35" s="1052">
        <x:f t="shared" si="56"/>
        <x:v>0</x:v>
      </x:c>
      <x:c r="EA35" s="1052" t="str">
        <x:f t="shared" si="57"/>
        <x:v/>
      </x:c>
      <x:c r="EB35" s="1053" t="str">
        <x:f t="shared" si="58"/>
        <x:v/>
      </x:c>
      <x:c r="EC35" s="1053" t="str">
        <x:f t="shared" si="59"/>
        <x:v/>
      </x:c>
      <x:c r="ED35" s="1269">
        <x:f t="shared" si="60"/>
        <x:v>0</x:v>
      </x:c>
      <x:c r="EE35" s="1090" t="str">
        <x:f t="shared" si="61"/>
        <x:v/>
      </x:c>
      <x:c r="EF35" s="1053" t="str">
        <x:f t="shared" si="62"/>
        <x:v/>
      </x:c>
      <x:c r="EG35" s="1053" t="str">
        <x:f t="shared" si="63"/>
        <x:v/>
      </x:c>
      <x:c r="EH35" s="1053" t="str">
        <x:f t="shared" si="64"/>
        <x:v>ERR</x:v>
      </x:c>
      <x:c r="EI35" s="1053" t="str">
        <x:f t="shared" si="65"/>
        <x:v>ERR</x:v>
      </x:c>
      <x:c r="EJ35" s="1053" t="str">
        <x:f t="shared" si="66"/>
        <x:v/>
      </x:c>
      <x:c r="EK35" s="1053" t="str">
        <x:f t="shared" si="66"/>
        <x:v/>
      </x:c>
      <x:c r="EL35" s="1090" t="str">
        <x:f t="shared" si="67"/>
        <x:v/>
      </x:c>
      <x:c r="EM35" s="1053" t="str">
        <x:f t="shared" si="68"/>
        <x:v/>
      </x:c>
      <x:c r="EN35" s="1053" t="str">
        <x:f t="shared" si="69"/>
        <x:v/>
      </x:c>
      <x:c r="EO35" s="1053" t="str">
        <x:f t="shared" si="70"/>
        <x:v>ERR</x:v>
      </x:c>
      <x:c r="EP35" s="1053" t="str">
        <x:f t="shared" si="71"/>
        <x:v>ERR</x:v>
      </x:c>
      <x:c r="EQ35" s="1053" t="str">
        <x:f t="shared" si="72"/>
        <x:v/>
      </x:c>
      <x:c r="ER35" s="1053" t="str">
        <x:f t="shared" si="72"/>
        <x:v/>
      </x:c>
      <x:c r="ES35" s="1053" t="str">
        <x:f t="shared" si="73"/>
        <x:v/>
      </x:c>
      <x:c r="ET35" s="1053" t="str">
        <x:f t="shared" si="74"/>
        <x:v/>
      </x:c>
      <x:c r="EU35" s="1061">
        <x:f t="shared" si="75"/>
        <x:v>4</x:v>
      </x:c>
      <x:c r="EV35" s="1055" t="str">
        <x:f t="shared" si="76"/>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7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78"/>
        <x:v/>
      </x:c>
      <x:c r="FD35" s="1052">
        <x:f t="shared" si="103"/>
        <x:v>0</x:v>
      </x:c>
      <x:c r="FE35" s="1052">
        <x:f t="shared" si="79"/>
        <x:v>0</x:v>
      </x:c>
      <x:c r="FF35" s="1052">
        <x:f t="shared" si="80"/>
        <x:v>0</x:v>
      </x:c>
      <x:c r="FG35" s="1052" t="str">
        <x:f t="shared" si="81"/>
        <x:v/>
      </x:c>
      <x:c r="FH35" s="1053" t="str">
        <x:f t="shared" si="82"/>
        <x:v/>
      </x:c>
      <x:c r="FI35" s="1052">
        <x:f t="shared" si="104"/>
        <x:v>0</x:v>
      </x:c>
      <x:c r="FJ35" s="1052">
        <x:f t="shared" si="83"/>
        <x:v>0</x:v>
      </x:c>
      <x:c r="FK35" s="1052">
        <x:f t="shared" si="84"/>
        <x:v>0</x:v>
      </x:c>
      <x:c r="FL35" s="1052" t="str">
        <x:f t="shared" si="85"/>
        <x:v/>
      </x:c>
      <x:c r="FM35" s="1053" t="str">
        <x:f t="shared" si="86"/>
        <x:v/>
      </x:c>
      <x:c r="FN35" s="1053" t="e">
        <x:f t="shared" si="87"/>
        <x:v>#VALUE!</x:v>
      </x:c>
      <x:c r="FO35" s="1062" t="e">
        <x:f t="shared" si="88"/>
        <x:v>#VALUE!</x:v>
      </x:c>
      <x:c r="FP35" s="1062" t="e">
        <x:f t="shared" si="89"/>
        <x:v>#VALUE!</x:v>
      </x:c>
      <x:c r="FQ35" s="1063" t="e">
        <x:f t="shared" si="90"/>
        <x:v>#VALUE!</x:v>
      </x:c>
      <x:c r="FR35" s="1064" t="e">
        <x:f t="shared" si="91"/>
        <x:v>#VALUE!</x:v>
      </x:c>
      <x:c r="FS35" s="1065" t="str">
        <x:f t="shared" si="92"/>
        <x:v/>
      </x:c>
      <x:c r="FT35" s="1066" t="str">
        <x:f t="shared" si="93"/>
        <x:v/>
      </x:c>
      <x:c r="FU35" s="1105">
        <x:f t="shared" si="94"/>
        <x:v>0</x:v>
      </x:c>
      <x:c r="FV35" s="1106">
        <x:f t="shared" si="95"/>
        <x:v>0</x:v>
      </x:c>
      <x:c r="GA35" s="1975">
        <x:v>59</x:v>
      </x:c>
      <x:c r="GB35" s="1976">
        <x:v>2.75</x:v>
      </x:c>
      <x:c r="GC35" s="1977">
        <x:v>-1.875</x:v>
      </x:c>
      <x:c r="GD35" s="1978">
        <x:v>-0.25</x:v>
      </x:c>
      <x:c r="GE35" s="1979">
        <x:v>0.227928244811819</x:v>
      </x:c>
      <x:c r="GF35" s="1980" t="str">
        <x:f t="shared" si="96"/>
        <x:v>J186</x:v>
      </x:c>
      <x:c r="GG35" s="1453"/>
      <x:c r="GH35" s="1454"/>
      <x:c r="GI35" s="1453"/>
      <x:c r="GJ35" s="1454"/>
      <x:c r="GK35" s="533">
        <x:f t="shared" si="97"/>
        <x:v>708.625</x:v>
      </x:c>
      <x:c r="GL35" s="534">
        <x:f t="shared" si="98"/>
        <x:v>708.75281478960926</x:v>
      </x:c>
      <x:c r="GM35" s="535">
        <x:f>IF(ABS(GK35-GL35)&gt;='Job Info.'!$L$22,ABS(GK35-GL35),0)</x:f>
        <x:v>0</x:v>
      </x:c>
      <x:c r="HA35" s="1658" t="s">
        <x:v>1510</x:v>
      </x:c>
      <x:c r="HB35" s="1659">
        <x:v>4</x:v>
      </x:c>
      <x:c r="HC35" s="1659" t="s">
        <x:v>1978</x:v>
      </x:c>
      <x:c r="HD35" s="1660">
        <x:v>59</x:v>
      </x:c>
      <x:c r="HE35" s="1661">
        <x:v>0.625</x:v>
      </x:c>
      <x:c r="HF35" s="1659" t="s">
        <x:v>117</x:v>
      </x:c>
      <x:c r="HG35" s="1659" t="s">
        <x:v>117</x:v>
      </x:c>
      <x:c r="HH35" s="1659" t="s">
        <x:v>117</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2199</x:v>
      </x:c>
      <x:c r="IB35" s="1661"/>
      <x:c r="IC35" s="1661"/>
      <x:c r="ID35" s="1661"/>
      <x:c r="IE35" s="1661"/>
      <x:c r="IF35" s="1663"/>
    </x:row>
    <x:row r="36" spans="1:240" ht="12.6" customHeight="1" x14ac:dyDescent="0.25">
      <x:c r="A36" s="1264" t="s">
        <x:v>1511</x:v>
      </x:c>
      <x:c r="B36" s="1265">
        <x:v>1</x:v>
      </x:c>
      <x:c r="C36" s="1265" t="s">
        <x:v>1978</x:v>
      </x:c>
      <x:c r="D36" s="1261">
        <x:v>58</x:v>
      </x:c>
      <x:c r="E36" s="1366">
        <x:v>11.875</x:v>
      </x:c>
      <x:c r="F36" s="1328" t="str">
        <x:f t="shared" si="1"/>
        <x:v/>
      </x:c>
      <x:c r="G36" s="1262" t="str">
        <x:f t="shared" si="2"/>
        <x:v/>
      </x:c>
      <x:c r="H36" s="1266" t="str">
        <x:f t="shared" si="3"/>
        <x:v/>
      </x:c>
      <x:c r="I36" s="1261">
        <x:v>0</x:v>
      </x:c>
      <x:c r="J36" s="1262">
        <x:v>0.625</x:v>
      </x:c>
      <x:c r="K36" s="1370" t="s">
        <x:v>114</x:v>
      </x:c>
      <x:c r="L36" s="1327">
        <x:v>3</x:v>
      </x:c>
      <x:c r="M36" s="1329">
        <x:v>3</x:v>
      </x:c>
      <x:c r="N36" s="1263" t="str">
        <x:f t="shared" si="4"/>
        <x:v/>
      </x:c>
      <x:c r="O36" s="1262" t="str">
        <x:f t="shared" si="5"/>
        <x:v/>
      </x:c>
      <x:c r="P36" s="1260" t="str">
        <x:f t="shared" si="6"/>
        <x:v/>
      </x:c>
      <x:c r="Q36" s="1261">
        <x:v>0</x:v>
      </x:c>
      <x:c r="R36" s="1262">
        <x:v>6.625</x:v>
      </x:c>
      <x:c r="S36" s="1375">
        <x:v>2</x:v>
      </x:c>
      <x:c r="T36" s="1328">
        <x:v>0</x:v>
      </x:c>
      <x:c r="U36" s="1262">
        <x:v>1.125</x:v>
      </x:c>
      <x:c r="V36" s="1261">
        <x:v>0</x:v>
      </x:c>
      <x:c r="W36" s="1262">
        <x:v>1.5</x:v>
      </x:c>
      <x:c r="X36" s="1329">
        <x:v>4</x:v>
      </x:c>
      <x:c r="Y36" s="1377" t="str">
        <x:f t="shared" si="7"/>
        <x:v/>
      </x:c>
      <x:c r="Z36" s="1378" t="str">
        <x:f t="shared" si="8"/>
        <x:v/>
      </x:c>
      <x:c r="AA36" s="2159" t="s">
        <x:v>2200</x:v>
      </x:c>
      <x:c r="AC36" s="1226" t="b">
        <x:v>0</x:v>
      </x:c>
      <x:c r="AD36" s="525">
        <x:f t="shared" si="9"/>
        <x:v>0</x:v>
      </x:c>
      <x:c r="AE36" s="526">
        <x:f t="shared" si="10"/>
        <x:v>1</x:v>
      </x:c>
      <x:c r="AF36" s="526">
        <x:f t="shared" si="11"/>
        <x:v>0</x:v>
      </x:c>
      <x:c r="AG36" s="526">
        <x:f t="shared" si="12"/>
        <x:v>0</x:v>
      </x:c>
      <x:c r="AH36" s="527">
        <x:f t="shared" si="13"/>
        <x:v>0</x:v>
      </x:c>
      <x:c r="AI36" s="528" t="b">
        <x:v>0</x:v>
      </x:c>
      <x:c r="AJ36" s="284">
        <x:f t="shared" si="14"/>
        <x:v>36</x:v>
      </x:c>
      <x:c r="AK36" s="1063" t="str">
        <x:f t="shared" si="15"/>
        <x:v>LH</x:v>
      </x:c>
      <x:c r="AL36" s="1202" t="str">
        <x:f t="shared" si="16"/>
        <x:v/>
      </x:c>
      <x:c r="AM36" s="1063">
        <x:f t="shared" si="17"/>
        <x:v>270</x:v>
      </x:c>
      <x:c r="AN36" s="1063">
        <x:f t="shared" si="18"/>
        <x:v>120</x:v>
      </x:c>
      <x:c r="AO36" s="1063" t="str">
        <x:f t="shared" si="19"/>
        <x:v/>
      </x:c>
      <x:c r="AP36" s="1063" t="b">
        <x:f>IF(ISERROR(AJ36),FALSE,IF(OR(AJ36=0,ISERROR(AL36),ISERROR(AM36),ISERROR(AN36),ISERROR(AO36)),FALSE,IF(AL36&lt;&gt;"",IF(ISERROR(VLOOKUP(SUBSTITUTE(SUBSTITUTE(C36,"R",""),"A",""),TblJoistSize!$A:$A,1,FALSE)),FALSE,TRUE),TRUE)))</x:f>
        <x:v>1</x:v>
      </x:c>
      <x:c r="AQ36" s="1305">
        <x:f t="shared" si="20"/>
        <x:v>6</x:v>
      </x:c>
      <x:c r="AR36" s="1305" t="b">
        <x:f t="shared" si="21"/>
        <x:v>1</x:v>
      </x:c>
      <x:c r="AS36" s="1305">
        <x:f t="shared" si="22"/>
        <x:v>6.625</x:v>
      </x:c>
      <x:c r="AT36" s="1305" t="b">
        <x:f t="shared" si="23"/>
        <x:v>1</x:v>
      </x:c>
      <x:c r="AU36" s="1203" t="str">
        <x:f t="shared" si="24"/>
        <x:v>LH</x:v>
      </x:c>
      <x:c r="AV36" s="1063" t="str">
        <x:f t="shared" si="25"/>
        <x:v/>
      </x:c>
      <x:c r="AW36" s="1063" t="str">
        <x:f t="shared" si="26"/>
        <x:v>LH</x:v>
      </x:c>
      <x:c r="AX36" s="1063" t="str">
        <x:f t="shared" si="102"/>
        <x:v>TJ187</x:v>
      </x:c>
      <x:c r="AY36" s="1306" t="b">
        <x:f t="shared" si="27"/>
        <x:v>0</x:v>
      </x:c>
      <x:c r="AZ36" s="1090" t="b">
        <x:f t="shared" si="28"/>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29"/>
        <x:v/>
      </x:c>
      <x:c r="CE36" s="935" t="str">
        <x:f t="shared" si="30"/>
        <x:v/>
      </x:c>
      <x:c r="CF36" s="1149"/>
      <x:c r="CG36" s="1150"/>
      <x:c r="CH36" s="738" t="str">
        <x:f t="shared" si="31"/>
        <x:v/>
      </x:c>
      <x:c r="CI36" s="739" t="str">
        <x:f t="shared" si="32"/>
        <x:v/>
      </x:c>
      <x:c r="CJ36" s="740" t="str">
        <x:f t="shared" si="33"/>
        <x:v/>
      </x:c>
      <x:c r="CK36" s="741" t="str">
        <x:f t="shared" si="34"/>
        <x:v/>
      </x:c>
      <x:c r="CL36" s="742" t="str">
        <x:f t="shared" si="35"/>
        <x:v/>
      </x:c>
      <x:c r="CM36" s="743" t="str">
        <x:f t="shared" si="36"/>
        <x:v/>
      </x:c>
      <x:c r="CN36" s="744" t="str">
        <x:f t="shared" si="37"/>
        <x:v/>
      </x:c>
      <x:c r="CO36" s="745" t="str">
        <x:f t="shared" si="38"/>
        <x:v/>
      </x:c>
      <x:c r="CP36" s="762" t="str">
        <x:f t="shared" si="39"/>
        <x:v/>
      </x:c>
      <x:c r="CQ36" s="763" t="str">
        <x:f t="shared" si="40"/>
        <x:v/>
      </x:c>
      <x:c r="CR36" s="953">
        <x:f t="shared" si="41"/>
        <x:v>5</x:v>
      </x:c>
      <x:c r="CS36" s="954">
        <x:f t="shared" si="42"/>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3"/>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4"/>
        <x:v>0</x:v>
      </x:c>
      <x:c r="DO36" s="1049">
        <x:f t="shared" si="45"/>
        <x:v>0</x:v>
      </x:c>
      <x:c r="DP36" s="1053" t="str">
        <x:f t="shared" si="46"/>
        <x:v/>
      </x:c>
      <x:c r="DQ36" s="1053" t="str">
        <x:f t="shared" si="47"/>
        <x:v/>
      </x:c>
      <x:c r="DR36" s="1053" t="str">
        <x:f t="shared" si="48"/>
        <x:v/>
      </x:c>
      <x:c r="DS36" s="1052">
        <x:f t="shared" si="49"/>
        <x:v>0</x:v>
      </x:c>
      <x:c r="DT36" s="1052">
        <x:f t="shared" si="50"/>
        <x:v>0</x:v>
      </x:c>
      <x:c r="DU36" s="1052" t="str">
        <x:f t="shared" si="51"/>
        <x:v/>
      </x:c>
      <x:c r="DV36" s="1053" t="str">
        <x:f t="shared" si="52"/>
        <x:v/>
      </x:c>
      <x:c r="DW36" s="1053" t="str">
        <x:f t="shared" si="53"/>
        <x:v/>
      </x:c>
      <x:c r="DX36" s="1269">
        <x:f t="shared" si="54"/>
        <x:v>0</x:v>
      </x:c>
      <x:c r="DY36" s="1053">
        <x:f t="shared" si="55"/>
        <x:v>0</x:v>
      </x:c>
      <x:c r="DZ36" s="1052">
        <x:f t="shared" si="56"/>
        <x:v>0</x:v>
      </x:c>
      <x:c r="EA36" s="1052" t="str">
        <x:f t="shared" si="57"/>
        <x:v/>
      </x:c>
      <x:c r="EB36" s="1053" t="str">
        <x:f t="shared" si="58"/>
        <x:v/>
      </x:c>
      <x:c r="EC36" s="1053" t="str">
        <x:f t="shared" si="59"/>
        <x:v/>
      </x:c>
      <x:c r="ED36" s="1269">
        <x:f t="shared" si="60"/>
        <x:v>0</x:v>
      </x:c>
      <x:c r="EE36" s="1090" t="str">
        <x:f t="shared" si="61"/>
        <x:v/>
      </x:c>
      <x:c r="EF36" s="1053" t="str">
        <x:f t="shared" si="62"/>
        <x:v/>
      </x:c>
      <x:c r="EG36" s="1053" t="str">
        <x:f t="shared" si="63"/>
        <x:v/>
      </x:c>
      <x:c r="EH36" s="1053" t="str">
        <x:f t="shared" si="64"/>
        <x:v>ERR</x:v>
      </x:c>
      <x:c r="EI36" s="1053" t="str">
        <x:f t="shared" si="65"/>
        <x:v>ERR</x:v>
      </x:c>
      <x:c r="EJ36" s="1053" t="str">
        <x:f t="shared" si="66"/>
        <x:v/>
      </x:c>
      <x:c r="EK36" s="1053" t="str">
        <x:f t="shared" si="66"/>
        <x:v/>
      </x:c>
      <x:c r="EL36" s="1090" t="str">
        <x:f t="shared" si="67"/>
        <x:v/>
      </x:c>
      <x:c r="EM36" s="1053" t="str">
        <x:f t="shared" si="68"/>
        <x:v/>
      </x:c>
      <x:c r="EN36" s="1053" t="str">
        <x:f t="shared" si="69"/>
        <x:v/>
      </x:c>
      <x:c r="EO36" s="1053" t="str">
        <x:f t="shared" si="70"/>
        <x:v>ERR</x:v>
      </x:c>
      <x:c r="EP36" s="1053" t="str">
        <x:f t="shared" si="71"/>
        <x:v>ERR</x:v>
      </x:c>
      <x:c r="EQ36" s="1053" t="str">
        <x:f t="shared" si="72"/>
        <x:v/>
      </x:c>
      <x:c r="ER36" s="1053" t="str">
        <x:f t="shared" si="72"/>
        <x:v/>
      </x:c>
      <x:c r="ES36" s="1053" t="str">
        <x:f t="shared" si="73"/>
        <x:v/>
      </x:c>
      <x:c r="ET36" s="1053" t="str">
        <x:f t="shared" si="74"/>
        <x:v/>
      </x:c>
      <x:c r="EU36" s="1061">
        <x:f t="shared" si="75"/>
        <x:v>4</x:v>
      </x:c>
      <x:c r="EV36" s="1055" t="str">
        <x:f t="shared" si="76"/>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7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78"/>
        <x:v/>
      </x:c>
      <x:c r="FD36" s="1052">
        <x:f t="shared" si="103"/>
        <x:v>0</x:v>
      </x:c>
      <x:c r="FE36" s="1052">
        <x:f t="shared" si="79"/>
        <x:v>0</x:v>
      </x:c>
      <x:c r="FF36" s="1052">
        <x:f t="shared" si="80"/>
        <x:v>0</x:v>
      </x:c>
      <x:c r="FG36" s="1052" t="str">
        <x:f t="shared" si="81"/>
        <x:v/>
      </x:c>
      <x:c r="FH36" s="1053" t="str">
        <x:f t="shared" si="82"/>
        <x:v/>
      </x:c>
      <x:c r="FI36" s="1052">
        <x:f t="shared" si="104"/>
        <x:v>0</x:v>
      </x:c>
      <x:c r="FJ36" s="1052">
        <x:f t="shared" si="83"/>
        <x:v>0</x:v>
      </x:c>
      <x:c r="FK36" s="1052">
        <x:f t="shared" si="84"/>
        <x:v>0</x:v>
      </x:c>
      <x:c r="FL36" s="1052" t="str">
        <x:f t="shared" si="85"/>
        <x:v/>
      </x:c>
      <x:c r="FM36" s="1053" t="str">
        <x:f t="shared" si="86"/>
        <x:v/>
      </x:c>
      <x:c r="FN36" s="1053" t="e">
        <x:f t="shared" si="87"/>
        <x:v>#VALUE!</x:v>
      </x:c>
      <x:c r="FO36" s="1062" t="e">
        <x:f t="shared" si="88"/>
        <x:v>#VALUE!</x:v>
      </x:c>
      <x:c r="FP36" s="1062" t="e">
        <x:f t="shared" si="89"/>
        <x:v>#VALUE!</x:v>
      </x:c>
      <x:c r="FQ36" s="1063" t="e">
        <x:f t="shared" si="90"/>
        <x:v>#VALUE!</x:v>
      </x:c>
      <x:c r="FR36" s="1064" t="e">
        <x:f t="shared" si="91"/>
        <x:v>#VALUE!</x:v>
      </x:c>
      <x:c r="FS36" s="1065" t="str">
        <x:f t="shared" si="92"/>
        <x:v/>
      </x:c>
      <x:c r="FT36" s="1066" t="str">
        <x:f t="shared" si="93"/>
        <x:v/>
      </x:c>
      <x:c r="FU36" s="1105">
        <x:f t="shared" si="94"/>
        <x:v>0</x:v>
      </x:c>
      <x:c r="FV36" s="1106">
        <x:f t="shared" si="95"/>
        <x:v>0</x:v>
      </x:c>
      <x:c r="GA36" s="1975">
        <x:v>59</x:v>
      </x:c>
      <x:c r="GB36" s="1976">
        <x:v>2.75</x:v>
      </x:c>
      <x:c r="GC36" s="1977">
        <x:v>-1.875</x:v>
      </x:c>
      <x:c r="GD36" s="1978">
        <x:v>-1</x:v>
      </x:c>
      <x:c r="GE36" s="1979">
        <x:v>0.227928244811819</x:v>
      </x:c>
      <x:c r="GF36" s="1980" t="str">
        <x:f t="shared" si="96"/>
        <x:v>TJ187</x:v>
      </x:c>
      <x:c r="GG36" s="1453"/>
      <x:c r="GH36" s="1454"/>
      <x:c r="GI36" s="1453"/>
      <x:c r="GJ36" s="1454"/>
      <x:c r="GK36" s="533">
        <x:f t="shared" si="97"/>
        <x:v>707.875</x:v>
      </x:c>
      <x:c r="GL36" s="534">
        <x:f t="shared" si="98"/>
        <x:v>708.0026795120051</x:v>
      </x:c>
      <x:c r="GM36" s="535">
        <x:f>IF(ABS(GK36-GL36)&gt;='Job Info.'!$L$22,ABS(GK36-GL36),0)</x:f>
        <x:v>0</x:v>
      </x:c>
      <x:c r="HA36" s="1658" t="s">
        <x:v>1511</x:v>
      </x:c>
      <x:c r="HB36" s="1659">
        <x:v>1</x:v>
      </x:c>
      <x:c r="HC36" s="1659" t="s">
        <x:v>1978</x:v>
      </x:c>
      <x:c r="HD36" s="1660">
        <x:v>58</x:v>
      </x:c>
      <x:c r="HE36" s="1661">
        <x:v>11.875</x:v>
      </x:c>
      <x:c r="HF36" s="1659" t="s">
        <x:v>117</x:v>
      </x:c>
      <x:c r="HG36" s="1659" t="s">
        <x:v>117</x:v>
      </x:c>
      <x:c r="HH36" s="1659" t="s">
        <x:v>117</x:v>
      </x:c>
      <x:c r="HI36" s="1662">
        <x:v>0</x:v>
      </x:c>
      <x:c r="HJ36" s="1659">
        <x:v>0.625</x:v>
      </x:c>
      <x:c r="HK36" s="1659" t="s">
        <x:v>114</x:v>
      </x:c>
      <x:c r="HL36" s="1659">
        <x:v>3</x:v>
      </x:c>
      <x:c r="HM36" s="1659">
        <x:v>3</x:v>
      </x:c>
      <x:c r="HN36" s="1659" t="s">
        <x:v>117</x:v>
      </x:c>
      <x:c r="HO36" s="1659" t="s">
        <x:v>117</x:v>
      </x:c>
      <x:c r="HP36" s="1659" t="s">
        <x:v>117</x:v>
      </x:c>
      <x:c r="HQ36" s="1662">
        <x:v>0</x:v>
      </x:c>
      <x:c r="HR36" s="1659">
        <x:v>6.625</x:v>
      </x:c>
      <x:c r="HS36" s="1659">
        <x:v>2</x:v>
      </x:c>
      <x:c r="HT36" s="1659">
        <x:v>0</x:v>
      </x:c>
      <x:c r="HU36" s="1659">
        <x:v>1.125</x:v>
      </x:c>
      <x:c r="HV36" s="1659">
        <x:v>0</x:v>
      </x:c>
      <x:c r="HW36" s="1661">
        <x:v>1.5</x:v>
      </x:c>
      <x:c r="HX36" s="1661">
        <x:v>4</x:v>
      </x:c>
      <x:c r="HY36" s="1661" t="s">
        <x:v>117</x:v>
      </x:c>
      <x:c r="HZ36" s="1661" t="s">
        <x:v>117</x:v>
      </x:c>
      <x:c r="IA36" s="1661" t="s">
        <x:v>2200</x:v>
      </x:c>
      <x:c r="IB36" s="1661"/>
      <x:c r="IC36" s="1661"/>
      <x:c r="ID36" s="1661"/>
      <x:c r="IE36" s="1661"/>
      <x:c r="IF36" s="1663"/>
    </x:row>
    <x:row r="37" spans="1:240" ht="12.6" customHeight="1" x14ac:dyDescent="0.25">
      <x:c r="A37" s="1264" t="s">
        <x:v>1512</x:v>
      </x:c>
      <x:c r="B37" s="1265">
        <x:v>1</x:v>
      </x:c>
      <x:c r="C37" s="1265" t="s">
        <x:v>1978</x:v>
      </x:c>
      <x:c r="D37" s="1261">
        <x:v>59</x:v>
      </x:c>
      <x:c r="E37" s="1366">
        <x:v>0.625</x:v>
      </x:c>
      <x:c r="F37" s="1328" t="str">
        <x:f t="shared" si="1"/>
        <x:v/>
      </x:c>
      <x:c r="G37" s="1262" t="str">
        <x:f t="shared" si="2"/>
        <x:v/>
      </x:c>
      <x:c r="H37" s="1266" t="str">
        <x:f t="shared" si="3"/>
        <x:v/>
      </x:c>
      <x:c r="I37" s="1261">
        <x:v>0</x:v>
      </x:c>
      <x:c r="J37" s="1262">
        <x:v>1.375</x:v>
      </x:c>
      <x:c r="K37" s="1370" t="s">
        <x:v>114</x:v>
      </x:c>
      <x:c r="L37" s="1327">
        <x:v>3</x:v>
      </x:c>
      <x:c r="M37" s="1329">
        <x:v>3</x:v>
      </x:c>
      <x:c r="N37" s="1263" t="str">
        <x:f t="shared" si="4"/>
        <x:v/>
      </x:c>
      <x:c r="O37" s="1262" t="str">
        <x:f t="shared" si="5"/>
        <x:v/>
      </x:c>
      <x:c r="P37" s="1260" t="str">
        <x:f t="shared" si="6"/>
        <x:v/>
      </x:c>
      <x:c r="Q37" s="1261" t="str">
        <x:f t="shared" si="99"/>
        <x:v/>
      </x:c>
      <x:c r="R37" s="1262" t="str">
        <x:f t="shared" si="100"/>
        <x:v/>
      </x:c>
      <x:c r="S37" s="1375" t="str">
        <x:f t="shared" si="101"/>
        <x:v/>
      </x:c>
      <x:c r="T37" s="1328" t="str">
        <x:f t="shared" si="105"/>
        <x:v/>
      </x:c>
      <x:c r="U37" s="1262" t="str">
        <x:f t="shared" si="106"/>
        <x:v/>
      </x:c>
      <x:c r="V37" s="1261" t="str">
        <x:f t="shared" si="107"/>
        <x:v/>
      </x:c>
      <x:c r="W37" s="1262" t="str">
        <x:f t="shared" si="108"/>
        <x:v/>
      </x:c>
      <x:c r="X37" s="1329">
        <x:f t="shared" si="109"/>
        <x:v>0</x:v>
      </x:c>
      <x:c r="Y37" s="1377" t="str">
        <x:f t="shared" si="7"/>
        <x:v/>
      </x:c>
      <x:c r="Z37" s="1378" t="str">
        <x:f t="shared" si="8"/>
        <x:v/>
      </x:c>
      <x:c r="AA37" s="2159" t="s">
        <x:v>2201</x:v>
      </x:c>
      <x:c r="AC37" s="1226" t="b">
        <x:v>0</x:v>
      </x:c>
      <x:c r="AD37" s="525">
        <x:f t="shared" si="9"/>
        <x:v>0</x:v>
      </x:c>
      <x:c r="AE37" s="526">
        <x:f t="shared" si="10"/>
        <x:v>1</x:v>
      </x:c>
      <x:c r="AF37" s="526">
        <x:f t="shared" si="11"/>
        <x:v>0</x:v>
      </x:c>
      <x:c r="AG37" s="526">
        <x:f t="shared" si="12"/>
        <x:v>0</x:v>
      </x:c>
      <x:c r="AH37" s="527">
        <x:f t="shared" si="13"/>
        <x:v>0</x:v>
      </x:c>
      <x:c r="AI37" s="528" t="b">
        <x:v>0</x:v>
      </x:c>
      <x:c r="AJ37" s="284">
        <x:f t="shared" si="14"/>
        <x:v>36</x:v>
      </x:c>
      <x:c r="AK37" s="1063" t="str">
        <x:f t="shared" si="15"/>
        <x:v>LH</x:v>
      </x:c>
      <x:c r="AL37" s="1202" t="str">
        <x:f t="shared" si="16"/>
        <x:v/>
      </x:c>
      <x:c r="AM37" s="1063">
        <x:f t="shared" si="17"/>
        <x:v>270</x:v>
      </x:c>
      <x:c r="AN37" s="1063">
        <x:f t="shared" si="18"/>
        <x:v>120</x:v>
      </x:c>
      <x:c r="AO37" s="1063" t="str">
        <x:f t="shared" si="19"/>
        <x:v/>
      </x:c>
      <x:c r="AP37" s="1063" t="b">
        <x:f>IF(ISERROR(AJ37),FALSE,IF(OR(AJ37=0,ISERROR(AL37),ISERROR(AM37),ISERROR(AN37),ISERROR(AO37)),FALSE,IF(AL37&lt;&gt;"",IF(ISERROR(VLOOKUP(SUBSTITUTE(SUBSTITUTE(C37,"R",""),"A",""),TblJoistSize!$A:$A,1,FALSE)),FALSE,TRUE),TRUE)))</x:f>
        <x:v>1</x:v>
      </x:c>
      <x:c r="AQ37" s="1305">
        <x:f t="shared" si="20"/>
        <x:v>6</x:v>
      </x:c>
      <x:c r="AR37" s="1305" t="b">
        <x:f t="shared" si="21"/>
        <x:v>0</x:v>
      </x:c>
      <x:c r="AS37" s="1305">
        <x:f t="shared" si="22"/>
        <x:v>7.375</x:v>
      </x:c>
      <x:c r="AT37" s="1305" t="b">
        <x:f t="shared" si="23"/>
        <x:v>0</x:v>
      </x:c>
      <x:c r="AU37" s="1203" t="str">
        <x:f t="shared" si="24"/>
        <x:v>LH</x:v>
      </x:c>
      <x:c r="AV37" s="1063" t="str">
        <x:f t="shared" si="25"/>
        <x:v/>
      </x:c>
      <x:c r="AW37" s="1063" t="str">
        <x:f t="shared" si="26"/>
        <x:v>LH</x:v>
      </x:c>
      <x:c r="AX37" s="1063" t="str">
        <x:f t="shared" si="102"/>
        <x:v>J188</x:v>
      </x:c>
      <x:c r="AY37" s="1306" t="b">
        <x:f t="shared" si="27"/>
        <x:v>0</x:v>
      </x:c>
      <x:c r="AZ37" s="1090" t="b">
        <x:f t="shared" si="28"/>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29"/>
        <x:v/>
      </x:c>
      <x:c r="CE37" s="935" t="str">
        <x:f t="shared" si="30"/>
        <x:v/>
      </x:c>
      <x:c r="CF37" s="1149"/>
      <x:c r="CG37" s="1150"/>
      <x:c r="CH37" s="738" t="str">
        <x:f t="shared" si="31"/>
        <x:v/>
      </x:c>
      <x:c r="CI37" s="739" t="str">
        <x:f t="shared" si="32"/>
        <x:v/>
      </x:c>
      <x:c r="CJ37" s="740" t="str">
        <x:f t="shared" si="33"/>
        <x:v/>
      </x:c>
      <x:c r="CK37" s="741" t="str">
        <x:f t="shared" si="34"/>
        <x:v/>
      </x:c>
      <x:c r="CL37" s="742" t="str">
        <x:f t="shared" si="35"/>
        <x:v/>
      </x:c>
      <x:c r="CM37" s="743" t="str">
        <x:f t="shared" si="36"/>
        <x:v/>
      </x:c>
      <x:c r="CN37" s="744" t="str">
        <x:f t="shared" si="37"/>
        <x:v/>
      </x:c>
      <x:c r="CO37" s="745" t="str">
        <x:f t="shared" si="38"/>
        <x:v/>
      </x:c>
      <x:c r="CP37" s="762" t="str">
        <x:f t="shared" si="39"/>
        <x:v/>
      </x:c>
      <x:c r="CQ37" s="763" t="str">
        <x:f t="shared" si="40"/>
        <x:v/>
      </x:c>
      <x:c r="CR37" s="953">
        <x:f t="shared" si="41"/>
        <x:v>5</x:v>
      </x:c>
      <x:c r="CS37" s="954">
        <x:f t="shared" si="42"/>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3"/>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4"/>
        <x:v>0</x:v>
      </x:c>
      <x:c r="DO37" s="1049">
        <x:f t="shared" si="45"/>
        <x:v>0</x:v>
      </x:c>
      <x:c r="DP37" s="1053" t="str">
        <x:f t="shared" si="46"/>
        <x:v/>
      </x:c>
      <x:c r="DQ37" s="1053" t="str">
        <x:f t="shared" si="47"/>
        <x:v/>
      </x:c>
      <x:c r="DR37" s="1053" t="str">
        <x:f t="shared" si="48"/>
        <x:v/>
      </x:c>
      <x:c r="DS37" s="1052">
        <x:f t="shared" si="49"/>
        <x:v>0</x:v>
      </x:c>
      <x:c r="DT37" s="1052">
        <x:f t="shared" si="50"/>
        <x:v>0</x:v>
      </x:c>
      <x:c r="DU37" s="1052" t="str">
        <x:f t="shared" si="51"/>
        <x:v/>
      </x:c>
      <x:c r="DV37" s="1053" t="str">
        <x:f t="shared" si="52"/>
        <x:v/>
      </x:c>
      <x:c r="DW37" s="1053" t="str">
        <x:f t="shared" si="53"/>
        <x:v/>
      </x:c>
      <x:c r="DX37" s="1269">
        <x:f t="shared" si="54"/>
        <x:v>0</x:v>
      </x:c>
      <x:c r="DY37" s="1053">
        <x:f t="shared" si="55"/>
        <x:v>0</x:v>
      </x:c>
      <x:c r="DZ37" s="1052">
        <x:f t="shared" si="56"/>
        <x:v>0</x:v>
      </x:c>
      <x:c r="EA37" s="1052" t="str">
        <x:f t="shared" si="57"/>
        <x:v/>
      </x:c>
      <x:c r="EB37" s="1053" t="str">
        <x:f t="shared" si="58"/>
        <x:v/>
      </x:c>
      <x:c r="EC37" s="1053" t="str">
        <x:f t="shared" si="59"/>
        <x:v/>
      </x:c>
      <x:c r="ED37" s="1269">
        <x:f t="shared" si="60"/>
        <x:v>0</x:v>
      </x:c>
      <x:c r="EE37" s="1090" t="str">
        <x:f t="shared" si="61"/>
        <x:v/>
      </x:c>
      <x:c r="EF37" s="1053" t="str">
        <x:f t="shared" si="62"/>
        <x:v/>
      </x:c>
      <x:c r="EG37" s="1053" t="str">
        <x:f t="shared" si="63"/>
        <x:v/>
      </x:c>
      <x:c r="EH37" s="1053" t="str">
        <x:f t="shared" si="64"/>
        <x:v>ERR</x:v>
      </x:c>
      <x:c r="EI37" s="1053" t="str">
        <x:f t="shared" si="65"/>
        <x:v>ERR</x:v>
      </x:c>
      <x:c r="EJ37" s="1053" t="str">
        <x:f t="shared" si="66"/>
        <x:v/>
      </x:c>
      <x:c r="EK37" s="1053" t="str">
        <x:f t="shared" si="66"/>
        <x:v/>
      </x:c>
      <x:c r="EL37" s="1090" t="str">
        <x:f t="shared" si="67"/>
        <x:v/>
      </x:c>
      <x:c r="EM37" s="1053" t="str">
        <x:f t="shared" si="68"/>
        <x:v/>
      </x:c>
      <x:c r="EN37" s="1053" t="str">
        <x:f t="shared" si="69"/>
        <x:v/>
      </x:c>
      <x:c r="EO37" s="1053" t="str">
        <x:f t="shared" si="70"/>
        <x:v>ERR</x:v>
      </x:c>
      <x:c r="EP37" s="1053" t="str">
        <x:f t="shared" si="71"/>
        <x:v>ERR</x:v>
      </x:c>
      <x:c r="EQ37" s="1053" t="str">
        <x:f t="shared" si="72"/>
        <x:v/>
      </x:c>
      <x:c r="ER37" s="1053" t="str">
        <x:f t="shared" si="72"/>
        <x:v/>
      </x:c>
      <x:c r="ES37" s="1053" t="str">
        <x:f t="shared" si="73"/>
        <x:v/>
      </x:c>
      <x:c r="ET37" s="1053" t="str">
        <x:f t="shared" si="74"/>
        <x:v/>
      </x:c>
      <x:c r="EU37" s="1061">
        <x:f t="shared" si="75"/>
        <x:v>4</x:v>
      </x:c>
      <x:c r="EV37" s="1055" t="str">
        <x:f t="shared" si="76"/>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7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78"/>
        <x:v/>
      </x:c>
      <x:c r="FD37" s="1052">
        <x:f t="shared" si="103"/>
        <x:v>0</x:v>
      </x:c>
      <x:c r="FE37" s="1052">
        <x:f t="shared" si="79"/>
        <x:v>0</x:v>
      </x:c>
      <x:c r="FF37" s="1052">
        <x:f t="shared" si="80"/>
        <x:v>0</x:v>
      </x:c>
      <x:c r="FG37" s="1052" t="str">
        <x:f t="shared" si="81"/>
        <x:v/>
      </x:c>
      <x:c r="FH37" s="1053" t="str">
        <x:f t="shared" si="82"/>
        <x:v/>
      </x:c>
      <x:c r="FI37" s="1052">
        <x:f t="shared" si="104"/>
        <x:v>0</x:v>
      </x:c>
      <x:c r="FJ37" s="1052">
        <x:f t="shared" si="83"/>
        <x:v>0</x:v>
      </x:c>
      <x:c r="FK37" s="1052">
        <x:f t="shared" si="84"/>
        <x:v>0</x:v>
      </x:c>
      <x:c r="FL37" s="1052" t="str">
        <x:f t="shared" si="85"/>
        <x:v/>
      </x:c>
      <x:c r="FM37" s="1053" t="str">
        <x:f t="shared" si="86"/>
        <x:v/>
      </x:c>
      <x:c r="FN37" s="1053" t="e">
        <x:f t="shared" si="87"/>
        <x:v>#VALUE!</x:v>
      </x:c>
      <x:c r="FO37" s="1062" t="e">
        <x:f t="shared" si="88"/>
        <x:v>#VALUE!</x:v>
      </x:c>
      <x:c r="FP37" s="1062" t="e">
        <x:f t="shared" si="89"/>
        <x:v>#VALUE!</x:v>
      </x:c>
      <x:c r="FQ37" s="1063" t="e">
        <x:f t="shared" si="90"/>
        <x:v>#VALUE!</x:v>
      </x:c>
      <x:c r="FR37" s="1064" t="e">
        <x:f t="shared" si="91"/>
        <x:v>#VALUE!</x:v>
      </x:c>
      <x:c r="FS37" s="1065" t="str">
        <x:f t="shared" si="92"/>
        <x:v/>
      </x:c>
      <x:c r="FT37" s="1066" t="str">
        <x:f t="shared" si="93"/>
        <x:v/>
      </x:c>
      <x:c r="FU37" s="1105">
        <x:f t="shared" si="94"/>
        <x:v>0</x:v>
      </x:c>
      <x:c r="FV37" s="1106">
        <x:f t="shared" si="95"/>
        <x:v>0</x:v>
      </x:c>
      <x:c r="GA37" s="1975">
        <x:v>59</x:v>
      </x:c>
      <x:c r="GB37" s="1976">
        <x:v>2.75</x:v>
      </x:c>
      <x:c r="GC37" s="1977">
        <x:v>-1.875</x:v>
      </x:c>
      <x:c r="GD37" s="1978">
        <x:v>-0.25</x:v>
      </x:c>
      <x:c r="GE37" s="1979">
        <x:v>0.227928244811819</x:v>
      </x:c>
      <x:c r="GF37" s="1980" t="str">
        <x:f t="shared" si="96"/>
        <x:v>J188</x:v>
      </x:c>
      <x:c r="GG37" s="1453"/>
      <x:c r="GH37" s="1454"/>
      <x:c r="GI37" s="1453"/>
      <x:c r="GJ37" s="1454"/>
      <x:c r="GK37" s="533">
        <x:f t="shared" si="97"/>
        <x:v>708.625</x:v>
      </x:c>
      <x:c r="GL37" s="534">
        <x:f t="shared" si="98"/>
        <x:v>708.75281478960926</x:v>
      </x:c>
      <x:c r="GM37" s="535">
        <x:f>IF(ABS(GK37-GL37)&gt;='Job Info.'!$L$22,ABS(GK37-GL37),0)</x:f>
        <x:v>0</x:v>
      </x:c>
      <x:c r="HA37" s="1658" t="s">
        <x:v>1512</x:v>
      </x:c>
      <x:c r="HB37" s="1659">
        <x:v>1</x:v>
      </x:c>
      <x:c r="HC37" s="1659" t="s">
        <x:v>1978</x:v>
      </x:c>
      <x:c r="HD37" s="1660">
        <x:v>59</x:v>
      </x:c>
      <x:c r="HE37" s="1661">
        <x:v>0.625</x:v>
      </x:c>
      <x:c r="HF37" s="1659" t="s">
        <x:v>117</x:v>
      </x:c>
      <x:c r="HG37" s="1659" t="s">
        <x:v>117</x:v>
      </x:c>
      <x:c r="HH37" s="1659" t="s">
        <x:v>117</x:v>
      </x:c>
      <x:c r="HI37" s="1662">
        <x:v>0</x:v>
      </x:c>
      <x:c r="HJ37" s="1659">
        <x:v>1.375</x:v>
      </x:c>
      <x:c r="HK37" s="1659" t="s">
        <x:v>114</x:v>
      </x:c>
      <x:c r="HL37" s="1659">
        <x:v>3</x:v>
      </x:c>
      <x:c r="HM37" s="1659">
        <x:v>3</x:v>
      </x:c>
      <x:c r="HN37" s="1659" t="s">
        <x:v>117</x:v>
      </x:c>
      <x:c r="HO37" s="1659" t="s">
        <x:v>117</x:v>
      </x:c>
      <x:c r="HP37" s="1659" t="s">
        <x:v>117</x:v>
      </x:c>
      <x:c r="HQ37" s="1662" t="s">
        <x:v>117</x:v>
      </x:c>
      <x:c r="HR37" s="1659" t="s">
        <x:v>117</x:v>
      </x:c>
      <x:c r="HS37" s="1659" t="s">
        <x:v>117</x:v>
      </x:c>
      <x:c r="HT37" s="1659" t="s">
        <x:v>117</x:v>
      </x:c>
      <x:c r="HU37" s="1659" t="s">
        <x:v>117</x:v>
      </x:c>
      <x:c r="HV37" s="1659" t="s">
        <x:v>117</x:v>
      </x:c>
      <x:c r="HW37" s="1661" t="s">
        <x:v>117</x:v>
      </x:c>
      <x:c r="HX37" s="1661">
        <x:v>0</x:v>
      </x:c>
      <x:c r="HY37" s="1661" t="s">
        <x:v>117</x:v>
      </x:c>
      <x:c r="HZ37" s="1661" t="s">
        <x:v>117</x:v>
      </x:c>
      <x:c r="IA37" s="1661" t="s">
        <x:v>2201</x:v>
      </x:c>
      <x:c r="IB37" s="1661"/>
      <x:c r="IC37" s="1661"/>
      <x:c r="ID37" s="1661"/>
      <x:c r="IE37" s="1661"/>
      <x:c r="IF37" s="1663"/>
    </x:row>
    <x:row r="38" spans="1:240" ht="12.6" customHeight="1" x14ac:dyDescent="0.25">
      <x:c r="A38" s="1264" t="s">
        <x:v>1513</x:v>
      </x:c>
      <x:c r="B38" s="1265">
        <x:v>1</x:v>
      </x:c>
      <x:c r="C38" s="1265" t="s">
        <x:v>1978</x:v>
      </x:c>
      <x:c r="D38" s="1261">
        <x:v>58</x:v>
      </x:c>
      <x:c r="E38" s="1366">
        <x:v>11.875</x:v>
      </x:c>
      <x:c r="F38" s="1328" t="str">
        <x:f t="shared" si="1"/>
        <x:v/>
      </x:c>
      <x:c r="G38" s="1262" t="str">
        <x:f t="shared" si="2"/>
        <x:v/>
      </x:c>
      <x:c r="H38" s="1266" t="str">
        <x:f t="shared" si="3"/>
        <x:v/>
      </x:c>
      <x:c r="I38" s="1261">
        <x:v>0</x:v>
      </x:c>
      <x:c r="J38" s="1262">
        <x:v>0.625</x:v>
      </x:c>
      <x:c r="K38" s="1370" t="s">
        <x:v>114</x:v>
      </x:c>
      <x:c r="L38" s="1327">
        <x:v>3</x:v>
      </x:c>
      <x:c r="M38" s="1329">
        <x:v>3</x:v>
      </x:c>
      <x:c r="N38" s="1263" t="str">
        <x:f t="shared" si="4"/>
        <x:v/>
      </x:c>
      <x:c r="O38" s="1262" t="str">
        <x:f t="shared" si="5"/>
        <x:v/>
      </x:c>
      <x:c r="P38" s="1260" t="str">
        <x:f t="shared" si="6"/>
        <x:v/>
      </x:c>
      <x:c r="Q38" s="1261">
        <x:v>0</x:v>
      </x:c>
      <x:c r="R38" s="1262">
        <x:v>6.625</x:v>
      </x:c>
      <x:c r="S38" s="1375">
        <x:v>2</x:v>
      </x:c>
      <x:c r="T38" s="1328">
        <x:v>0</x:v>
      </x:c>
      <x:c r="U38" s="1262">
        <x:v>1.125</x:v>
      </x:c>
      <x:c r="V38" s="1261">
        <x:v>0</x:v>
      </x:c>
      <x:c r="W38" s="1262">
        <x:v>1.5</x:v>
      </x:c>
      <x:c r="X38" s="1329">
        <x:v>4</x:v>
      </x:c>
      <x:c r="Y38" s="1377" t="str">
        <x:f t="shared" si="7"/>
        <x:v/>
      </x:c>
      <x:c r="Z38" s="1378" t="str">
        <x:f t="shared" si="8"/>
        <x:v/>
      </x:c>
      <x:c r="AA38" s="2159" t="s">
        <x:v>2164</x:v>
      </x:c>
      <x:c r="AC38" s="1226" t="b">
        <x:v>0</x:v>
      </x:c>
      <x:c r="AD38" s="525">
        <x:f t="shared" si="9"/>
        <x:v>0</x:v>
      </x:c>
      <x:c r="AE38" s="526">
        <x:f t="shared" si="10"/>
        <x:v>1</x:v>
      </x:c>
      <x:c r="AF38" s="526">
        <x:f t="shared" si="11"/>
        <x:v>0</x:v>
      </x:c>
      <x:c r="AG38" s="526">
        <x:f t="shared" si="12"/>
        <x:v>0</x:v>
      </x:c>
      <x:c r="AH38" s="527">
        <x:f t="shared" si="13"/>
        <x:v>0</x:v>
      </x:c>
      <x:c r="AI38" s="528" t="b">
        <x:v>0</x:v>
      </x:c>
      <x:c r="AJ38" s="284">
        <x:f t="shared" si="14"/>
        <x:v>36</x:v>
      </x:c>
      <x:c r="AK38" s="1063" t="str">
        <x:f t="shared" si="15"/>
        <x:v>LH</x:v>
      </x:c>
      <x:c r="AL38" s="1202" t="str">
        <x:f t="shared" si="16"/>
        <x:v/>
      </x:c>
      <x:c r="AM38" s="1063">
        <x:f t="shared" si="17"/>
        <x:v>270</x:v>
      </x:c>
      <x:c r="AN38" s="1063">
        <x:f t="shared" si="18"/>
        <x:v>120</x:v>
      </x:c>
      <x:c r="AO38" s="1063" t="str">
        <x:f t="shared" si="19"/>
        <x:v/>
      </x:c>
      <x:c r="AP38" s="1063" t="b">
        <x:f>IF(ISERROR(AJ38),FALSE,IF(OR(AJ38=0,ISERROR(AL38),ISERROR(AM38),ISERROR(AN38),ISERROR(AO38)),FALSE,IF(AL38&lt;&gt;"",IF(ISERROR(VLOOKUP(SUBSTITUTE(SUBSTITUTE(C38,"R",""),"A",""),TblJoistSize!$A:$A,1,FALSE)),FALSE,TRUE),TRUE)))</x:f>
        <x:v>1</x:v>
      </x:c>
      <x:c r="AQ38" s="1305">
        <x:f t="shared" si="20"/>
        <x:v>6</x:v>
      </x:c>
      <x:c r="AR38" s="1305" t="b">
        <x:f t="shared" si="21"/>
        <x:v>1</x:v>
      </x:c>
      <x:c r="AS38" s="1305">
        <x:f t="shared" si="22"/>
        <x:v>6.625</x:v>
      </x:c>
      <x:c r="AT38" s="1305" t="b">
        <x:f t="shared" si="23"/>
        <x:v>1</x:v>
      </x:c>
      <x:c r="AU38" s="1203" t="str">
        <x:f t="shared" si="24"/>
        <x:v>LH</x:v>
      </x:c>
      <x:c r="AV38" s="1063" t="str">
        <x:f t="shared" si="25"/>
        <x:v/>
      </x:c>
      <x:c r="AW38" s="1063" t="str">
        <x:f t="shared" si="26"/>
        <x:v>LH</x:v>
      </x:c>
      <x:c r="AX38" s="1063" t="str">
        <x:f t="shared" si="102"/>
        <x:v>TJ189</x:v>
      </x:c>
      <x:c r="AY38" s="1306" t="b">
        <x:f t="shared" si="27"/>
        <x:v>0</x:v>
      </x:c>
      <x:c r="AZ38" s="1090" t="b">
        <x:f t="shared" si="28"/>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29"/>
        <x:v/>
      </x:c>
      <x:c r="CE38" s="935" t="str">
        <x:f t="shared" si="30"/>
        <x:v/>
      </x:c>
      <x:c r="CF38" s="1149"/>
      <x:c r="CG38" s="1150"/>
      <x:c r="CH38" s="738" t="str">
        <x:f t="shared" si="31"/>
        <x:v/>
      </x:c>
      <x:c r="CI38" s="739" t="str">
        <x:f t="shared" si="32"/>
        <x:v/>
      </x:c>
      <x:c r="CJ38" s="740" t="str">
        <x:f t="shared" si="33"/>
        <x:v/>
      </x:c>
      <x:c r="CK38" s="741" t="str">
        <x:f t="shared" si="34"/>
        <x:v/>
      </x:c>
      <x:c r="CL38" s="742" t="str">
        <x:f t="shared" si="35"/>
        <x:v/>
      </x:c>
      <x:c r="CM38" s="743" t="str">
        <x:f t="shared" si="36"/>
        <x:v/>
      </x:c>
      <x:c r="CN38" s="744" t="str">
        <x:f t="shared" si="37"/>
        <x:v/>
      </x:c>
      <x:c r="CO38" s="745" t="str">
        <x:f t="shared" si="38"/>
        <x:v/>
      </x:c>
      <x:c r="CP38" s="762" t="str">
        <x:f t="shared" si="39"/>
        <x:v/>
      </x:c>
      <x:c r="CQ38" s="763" t="str">
        <x:f t="shared" si="40"/>
        <x:v/>
      </x:c>
      <x:c r="CR38" s="953">
        <x:f t="shared" si="41"/>
        <x:v>5</x:v>
      </x:c>
      <x:c r="CS38" s="954">
        <x:f t="shared" si="42"/>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3"/>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4"/>
        <x:v>0</x:v>
      </x:c>
      <x:c r="DO38" s="1049">
        <x:f t="shared" si="45"/>
        <x:v>0</x:v>
      </x:c>
      <x:c r="DP38" s="1053" t="str">
        <x:f t="shared" si="46"/>
        <x:v/>
      </x:c>
      <x:c r="DQ38" s="1053" t="str">
        <x:f t="shared" si="47"/>
        <x:v/>
      </x:c>
      <x:c r="DR38" s="1053" t="str">
        <x:f t="shared" si="48"/>
        <x:v/>
      </x:c>
      <x:c r="DS38" s="1052">
        <x:f t="shared" si="49"/>
        <x:v>0</x:v>
      </x:c>
      <x:c r="DT38" s="1052">
        <x:f t="shared" si="50"/>
        <x:v>0</x:v>
      </x:c>
      <x:c r="DU38" s="1052" t="str">
        <x:f t="shared" si="51"/>
        <x:v/>
      </x:c>
      <x:c r="DV38" s="1053" t="str">
        <x:f t="shared" si="52"/>
        <x:v/>
      </x:c>
      <x:c r="DW38" s="1053" t="str">
        <x:f t="shared" si="53"/>
        <x:v/>
      </x:c>
      <x:c r="DX38" s="1269">
        <x:f t="shared" si="54"/>
        <x:v>0</x:v>
      </x:c>
      <x:c r="DY38" s="1053">
        <x:f t="shared" si="55"/>
        <x:v>0</x:v>
      </x:c>
      <x:c r="DZ38" s="1052">
        <x:f t="shared" si="56"/>
        <x:v>0</x:v>
      </x:c>
      <x:c r="EA38" s="1052" t="str">
        <x:f t="shared" si="57"/>
        <x:v/>
      </x:c>
      <x:c r="EB38" s="1053" t="str">
        <x:f t="shared" si="58"/>
        <x:v/>
      </x:c>
      <x:c r="EC38" s="1053" t="str">
        <x:f t="shared" si="59"/>
        <x:v/>
      </x:c>
      <x:c r="ED38" s="1269">
        <x:f t="shared" si="60"/>
        <x:v>0</x:v>
      </x:c>
      <x:c r="EE38" s="1090" t="str">
        <x:f t="shared" si="61"/>
        <x:v/>
      </x:c>
      <x:c r="EF38" s="1053" t="str">
        <x:f t="shared" si="62"/>
        <x:v/>
      </x:c>
      <x:c r="EG38" s="1053" t="str">
        <x:f t="shared" si="63"/>
        <x:v/>
      </x:c>
      <x:c r="EH38" s="1053" t="str">
        <x:f t="shared" si="64"/>
        <x:v>ERR</x:v>
      </x:c>
      <x:c r="EI38" s="1053" t="str">
        <x:f t="shared" si="65"/>
        <x:v>ERR</x:v>
      </x:c>
      <x:c r="EJ38" s="1053" t="str">
        <x:f t="shared" si="66"/>
        <x:v/>
      </x:c>
      <x:c r="EK38" s="1053" t="str">
        <x:f t="shared" si="66"/>
        <x:v/>
      </x:c>
      <x:c r="EL38" s="1090" t="str">
        <x:f t="shared" si="67"/>
        <x:v/>
      </x:c>
      <x:c r="EM38" s="1053" t="str">
        <x:f t="shared" si="68"/>
        <x:v/>
      </x:c>
      <x:c r="EN38" s="1053" t="str">
        <x:f t="shared" si="69"/>
        <x:v/>
      </x:c>
      <x:c r="EO38" s="1053" t="str">
        <x:f t="shared" si="70"/>
        <x:v>ERR</x:v>
      </x:c>
      <x:c r="EP38" s="1053" t="str">
        <x:f t="shared" si="71"/>
        <x:v>ERR</x:v>
      </x:c>
      <x:c r="EQ38" s="1053" t="str">
        <x:f t="shared" si="72"/>
        <x:v/>
      </x:c>
      <x:c r="ER38" s="1053" t="str">
        <x:f t="shared" si="72"/>
        <x:v/>
      </x:c>
      <x:c r="ES38" s="1053" t="str">
        <x:f t="shared" si="73"/>
        <x:v/>
      </x:c>
      <x:c r="ET38" s="1053" t="str">
        <x:f t="shared" si="74"/>
        <x:v/>
      </x:c>
      <x:c r="EU38" s="1061">
        <x:f t="shared" si="75"/>
        <x:v>4</x:v>
      </x:c>
      <x:c r="EV38" s="1055" t="str">
        <x:f t="shared" si="76"/>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7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78"/>
        <x:v/>
      </x:c>
      <x:c r="FD38" s="1052">
        <x:f t="shared" si="103"/>
        <x:v>0</x:v>
      </x:c>
      <x:c r="FE38" s="1052">
        <x:f t="shared" si="79"/>
        <x:v>0</x:v>
      </x:c>
      <x:c r="FF38" s="1052">
        <x:f t="shared" si="80"/>
        <x:v>0</x:v>
      </x:c>
      <x:c r="FG38" s="1052" t="str">
        <x:f t="shared" si="81"/>
        <x:v/>
      </x:c>
      <x:c r="FH38" s="1053" t="str">
        <x:f t="shared" si="82"/>
        <x:v/>
      </x:c>
      <x:c r="FI38" s="1052">
        <x:f t="shared" si="104"/>
        <x:v>0</x:v>
      </x:c>
      <x:c r="FJ38" s="1052">
        <x:f t="shared" si="83"/>
        <x:v>0</x:v>
      </x:c>
      <x:c r="FK38" s="1052">
        <x:f t="shared" si="84"/>
        <x:v>0</x:v>
      </x:c>
      <x:c r="FL38" s="1052" t="str">
        <x:f t="shared" si="85"/>
        <x:v/>
      </x:c>
      <x:c r="FM38" s="1053" t="str">
        <x:f t="shared" si="86"/>
        <x:v/>
      </x:c>
      <x:c r="FN38" s="1053" t="e">
        <x:f t="shared" si="87"/>
        <x:v>#VALUE!</x:v>
      </x:c>
      <x:c r="FO38" s="1062" t="e">
        <x:f t="shared" si="88"/>
        <x:v>#VALUE!</x:v>
      </x:c>
      <x:c r="FP38" s="1062" t="e">
        <x:f t="shared" si="89"/>
        <x:v>#VALUE!</x:v>
      </x:c>
      <x:c r="FQ38" s="1063" t="e">
        <x:f t="shared" si="90"/>
        <x:v>#VALUE!</x:v>
      </x:c>
      <x:c r="FR38" s="1064" t="e">
        <x:f t="shared" si="91"/>
        <x:v>#VALUE!</x:v>
      </x:c>
      <x:c r="FS38" s="1065" t="str">
        <x:f t="shared" si="92"/>
        <x:v/>
      </x:c>
      <x:c r="FT38" s="1066" t="str">
        <x:f t="shared" si="93"/>
        <x:v/>
      </x:c>
      <x:c r="FU38" s="1105">
        <x:f t="shared" si="94"/>
        <x:v>0</x:v>
      </x:c>
      <x:c r="FV38" s="1106">
        <x:f t="shared" si="95"/>
        <x:v>0</x:v>
      </x:c>
      <x:c r="GA38" s="1975">
        <x:v>59</x:v>
      </x:c>
      <x:c r="GB38" s="1976">
        <x:v>2.75</x:v>
      </x:c>
      <x:c r="GC38" s="1977">
        <x:v>-1.875</x:v>
      </x:c>
      <x:c r="GD38" s="1978">
        <x:v>-1</x:v>
      </x:c>
      <x:c r="GE38" s="1979">
        <x:v>0.227928244811819</x:v>
      </x:c>
      <x:c r="GF38" s="1980" t="str">
        <x:f t="shared" si="96"/>
        <x:v>TJ189</x:v>
      </x:c>
      <x:c r="GG38" s="1453"/>
      <x:c r="GH38" s="1454"/>
      <x:c r="GI38" s="1453"/>
      <x:c r="GJ38" s="1454"/>
      <x:c r="GK38" s="533">
        <x:f t="shared" si="97"/>
        <x:v>707.875</x:v>
      </x:c>
      <x:c r="GL38" s="534">
        <x:f t="shared" si="98"/>
        <x:v>708.0026795120051</x:v>
      </x:c>
      <x:c r="GM38" s="535">
        <x:f>IF(ABS(GK38-GL38)&gt;='Job Info.'!$L$22,ABS(GK38-GL38),0)</x:f>
        <x:v>0</x:v>
      </x:c>
      <x:c r="HA38" s="1658" t="s">
        <x:v>1513</x:v>
      </x:c>
      <x:c r="HB38" s="1659">
        <x:v>1</x:v>
      </x:c>
      <x:c r="HC38" s="1659" t="s">
        <x:v>1978</x:v>
      </x:c>
      <x:c r="HD38" s="1660">
        <x:v>58</x:v>
      </x:c>
      <x:c r="HE38" s="1661">
        <x:v>11.875</x:v>
      </x:c>
      <x:c r="HF38" s="1659" t="s">
        <x:v>117</x:v>
      </x:c>
      <x:c r="HG38" s="1659" t="s">
        <x:v>117</x:v>
      </x:c>
      <x:c r="HH38" s="1659" t="s">
        <x:v>117</x:v>
      </x:c>
      <x:c r="HI38" s="1662">
        <x:v>0</x:v>
      </x:c>
      <x:c r="HJ38" s="1659">
        <x:v>0.625</x:v>
      </x:c>
      <x:c r="HK38" s="1659" t="s">
        <x:v>114</x:v>
      </x:c>
      <x:c r="HL38" s="1659">
        <x:v>3</x:v>
      </x:c>
      <x:c r="HM38" s="1659">
        <x:v>3</x:v>
      </x:c>
      <x:c r="HN38" s="1659" t="s">
        <x:v>117</x:v>
      </x:c>
      <x:c r="HO38" s="1659" t="s">
        <x:v>117</x:v>
      </x:c>
      <x:c r="HP38" s="1659" t="s">
        <x:v>117</x:v>
      </x:c>
      <x:c r="HQ38" s="1662">
        <x:v>0</x:v>
      </x:c>
      <x:c r="HR38" s="1659">
        <x:v>6.625</x:v>
      </x:c>
      <x:c r="HS38" s="1659">
        <x:v>2</x:v>
      </x:c>
      <x:c r="HT38" s="1659">
        <x:v>0</x:v>
      </x:c>
      <x:c r="HU38" s="1659">
        <x:v>1.125</x:v>
      </x:c>
      <x:c r="HV38" s="1659">
        <x:v>0</x:v>
      </x:c>
      <x:c r="HW38" s="1661">
        <x:v>1.5</x:v>
      </x:c>
      <x:c r="HX38" s="1661">
        <x:v>4</x:v>
      </x:c>
      <x:c r="HY38" s="1661" t="s">
        <x:v>117</x:v>
      </x:c>
      <x:c r="HZ38" s="1661" t="s">
        <x:v>117</x:v>
      </x:c>
      <x:c r="IA38" s="1661" t="s">
        <x:v>2164</x:v>
      </x:c>
      <x:c r="IB38" s="1661"/>
      <x:c r="IC38" s="1661"/>
      <x:c r="ID38" s="1661"/>
      <x:c r="IE38" s="1661"/>
      <x:c r="IF38" s="1663"/>
    </x:row>
    <x:row r="39" spans="1:240" ht="12.6" customHeight="1" x14ac:dyDescent="0.25">
      <x:c r="A39" s="1264" t="s">
        <x:v>1514</x:v>
      </x:c>
      <x:c r="B39" s="1265">
        <x:v>1</x:v>
      </x:c>
      <x:c r="C39" s="1265" t="s">
        <x:v>1980</x:v>
      </x:c>
      <x:c r="D39" s="1261">
        <x:v>11</x:v>
      </x:c>
      <x:c r="E39" s="1366">
        <x:v>3.625</x:v>
      </x:c>
      <x:c r="F39" s="1328">
        <x:v>0</x:v>
      </x:c>
      <x:c r="G39" s="1262">
        <x:v>1.375</x:v>
      </x:c>
      <x:c r="H39" s="1266" t="s">
        <x:v>114</x:v>
      </x:c>
      <x:c r="I39" s="1261">
        <x:v>0</x:v>
      </x:c>
      <x:c r="J39" s="2122">
        <x:v>2</x:v>
      </x:c>
      <x:c r="K39" s="1370" t="s">
        <x:v>114</x:v>
      </x:c>
      <x:c r="L39" s="1327">
        <x:v>3</x:v>
      </x:c>
      <x:c r="M39" s="1329">
        <x:v>3</x:v>
      </x:c>
      <x:c r="N39" s="1263" t="str">
        <x:f t="shared" si="4"/>
        <x:v/>
      </x:c>
      <x:c r="O39" s="1262" t="str">
        <x:f t="shared" si="5"/>
        <x:v/>
      </x:c>
      <x:c r="P39" s="1260" t="str">
        <x:f t="shared" si="6"/>
        <x:v/>
      </x:c>
      <x:c r="Q39" s="1261" t="str">
        <x:f t="shared" si="99"/>
        <x:v/>
      </x:c>
      <x:c r="R39" s="1262" t="str">
        <x:f t="shared" si="100"/>
        <x:v/>
      </x:c>
      <x:c r="S39" s="1375" t="str">
        <x:f t="shared" si="101"/>
        <x:v/>
      </x:c>
      <x:c r="T39" s="1328" t="str">
        <x:f t="shared" si="105"/>
        <x:v/>
      </x:c>
      <x:c r="U39" s="1262" t="str">
        <x:f t="shared" si="106"/>
        <x:v/>
      </x:c>
      <x:c r="V39" s="1261" t="str">
        <x:f t="shared" si="107"/>
        <x:v/>
      </x:c>
      <x:c r="W39" s="1262" t="str">
        <x:f t="shared" si="108"/>
        <x:v/>
      </x:c>
      <x:c r="X39" s="1329">
        <x:f t="shared" si="109"/>
        <x:v>0</x:v>
      </x:c>
      <x:c r="Y39" s="1377">
        <x:v>0.37999999030653597</x:v>
      </x:c>
      <x:c r="Z39" s="1378">
        <x:v>-0.37999999030653597</x:v>
      </x:c>
      <x:c r="AA39" s="2159" t="s">
        <x:v>2202</x:v>
      </x:c>
      <x:c r="AC39" s="1226" t="b">
        <x:v>0</x:v>
      </x:c>
      <x:c r="AD39" s="525">
        <x:f t="shared" si="9"/>
        <x:v>1</x:v>
      </x:c>
      <x:c r="AE39" s="526">
        <x:f t="shared" si="10"/>
        <x:v>0</x:v>
      </x:c>
      <x:c r="AF39" s="526">
        <x:f t="shared" si="11"/>
        <x:v>0</x:v>
      </x:c>
      <x:c r="AG39" s="526">
        <x:f t="shared" si="12"/>
        <x:v>0</x:v>
      </x:c>
      <x:c r="AH39" s="527">
        <x:f t="shared" si="13"/>
        <x:v>0</x:v>
      </x:c>
      <x:c r="AI39" s="528" t="b">
        <x:v>0</x:v>
      </x:c>
      <x:c r="AJ39" s="284">
        <x:f t="shared" si="14"/>
        <x:v>30</x:v>
      </x:c>
      <x:c r="AK39" s="1063" t="str">
        <x:f t="shared" si="15"/>
        <x:v>K</x:v>
      </x:c>
      <x:c r="AL39" s="1202" t="str">
        <x:f t="shared" si="16"/>
        <x:v/>
      </x:c>
      <x:c r="AM39" s="1063">
        <x:f t="shared" si="17"/>
        <x:v>310</x:v>
      </x:c>
      <x:c r="AN39" s="1063">
        <x:f t="shared" si="18"/>
        <x:v>160</x:v>
      </x:c>
      <x:c r="AO39" s="1063" t="str">
        <x:f t="shared" si="19"/>
        <x:v/>
      </x:c>
      <x:c r="AP39" s="1063" t="b">
        <x:f>IF(ISERROR(AJ39),FALSE,IF(OR(AJ39=0,ISERROR(AL39),ISERROR(AM39),ISERROR(AN39),ISERROR(AO39)),FALSE,IF(AL39&lt;&gt;"",IF(ISERROR(VLOOKUP(SUBSTITUTE(SUBSTITUTE(C39,"R",""),"A",""),TblJoistSize!$A:$A,1,FALSE)),FALSE,TRUE),TRUE)))</x:f>
        <x:v>1</x:v>
      </x:c>
      <x:c r="AQ39" s="1305">
        <x:f t="shared" si="20"/>
        <x:v>5.375</x:v>
      </x:c>
      <x:c r="AR39" s="1305" t="b">
        <x:f t="shared" si="21"/>
        <x:v>0</x:v>
      </x:c>
      <x:c r="AS39" s="1305">
        <x:f t="shared" si="22"/>
        <x:v>6</x:v>
      </x:c>
      <x:c r="AT39" s="1305" t="b">
        <x:f t="shared" si="23"/>
        <x:v>0</x:v>
      </x:c>
      <x:c r="AU39" s="1203" t="str">
        <x:f t="shared" si="24"/>
        <x:v>K</x:v>
      </x:c>
      <x:c r="AV39" s="1063" t="str">
        <x:f t="shared" si="25"/>
        <x:v>K</x:v>
      </x:c>
      <x:c r="AW39" s="1063" t="str">
        <x:f t="shared" si="26"/>
        <x:v/>
      </x:c>
      <x:c r="AX39" s="1063" t="str">
        <x:f t="shared" si="102"/>
        <x:v>J190</x:v>
      </x:c>
      <x:c r="AY39" s="1306" t="b">
        <x:f t="shared" si="27"/>
        <x:v>0</x:v>
      </x:c>
      <x:c r="AZ39" s="1090" t="b">
        <x:f t="shared" si="28"/>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29"/>
        <x:v/>
      </x:c>
      <x:c r="CE39" s="935" t="str">
        <x:f t="shared" si="30"/>
        <x:v/>
      </x:c>
      <x:c r="CF39" s="1149"/>
      <x:c r="CG39" s="1150"/>
      <x:c r="CH39" s="738" t="str">
        <x:f t="shared" si="31"/>
        <x:v/>
      </x:c>
      <x:c r="CI39" s="739" t="str">
        <x:f t="shared" si="32"/>
        <x:v/>
      </x:c>
      <x:c r="CJ39" s="740" t="str">
        <x:f t="shared" si="33"/>
        <x:v/>
      </x:c>
      <x:c r="CK39" s="741" t="str">
        <x:f t="shared" si="34"/>
        <x:v/>
      </x:c>
      <x:c r="CL39" s="742" t="str">
        <x:f t="shared" si="35"/>
        <x:v/>
      </x:c>
      <x:c r="CM39" s="743" t="str">
        <x:f t="shared" si="36"/>
        <x:v/>
      </x:c>
      <x:c r="CN39" s="744" t="str">
        <x:f t="shared" si="37"/>
        <x:v/>
      </x:c>
      <x:c r="CO39" s="745" t="str">
        <x:f t="shared" si="38"/>
        <x:v/>
      </x:c>
      <x:c r="CP39" s="762" t="str">
        <x:f t="shared" si="39"/>
        <x:v/>
      </x:c>
      <x:c r="CQ39" s="763" t="str">
        <x:f t="shared" si="40"/>
        <x:v/>
      </x:c>
      <x:c r="CR39" s="953">
        <x:f t="shared" si="41"/>
        <x:v>2.5</x:v>
      </x:c>
      <x:c r="CS39" s="954">
        <x:f t="shared" si="42"/>
        <x:v>2.5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3"/>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4"/>
        <x:v>0</x:v>
      </x:c>
      <x:c r="DO39" s="1049">
        <x:f t="shared" si="45"/>
        <x:v>0</x:v>
      </x:c>
      <x:c r="DP39" s="1053" t="str">
        <x:f t="shared" si="46"/>
        <x:v/>
      </x:c>
      <x:c r="DQ39" s="1053" t="str">
        <x:f t="shared" si="47"/>
        <x:v/>
      </x:c>
      <x:c r="DR39" s="1053" t="str">
        <x:f t="shared" si="48"/>
        <x:v/>
      </x:c>
      <x:c r="DS39" s="1052">
        <x:f t="shared" si="49"/>
        <x:v>0</x:v>
      </x:c>
      <x:c r="DT39" s="1052">
        <x:f t="shared" si="50"/>
        <x:v>0</x:v>
      </x:c>
      <x:c r="DU39" s="1052" t="str">
        <x:f t="shared" si="51"/>
        <x:v/>
      </x:c>
      <x:c r="DV39" s="1053" t="str">
        <x:f t="shared" si="52"/>
        <x:v/>
      </x:c>
      <x:c r="DW39" s="1053" t="str">
        <x:f t="shared" si="53"/>
        <x:v/>
      </x:c>
      <x:c r="DX39" s="1269">
        <x:f t="shared" si="54"/>
        <x:v>0</x:v>
      </x:c>
      <x:c r="DY39" s="1053">
        <x:f t="shared" si="55"/>
        <x:v>0</x:v>
      </x:c>
      <x:c r="DZ39" s="1052">
        <x:f t="shared" si="56"/>
        <x:v>0</x:v>
      </x:c>
      <x:c r="EA39" s="1052" t="str">
        <x:f t="shared" si="57"/>
        <x:v/>
      </x:c>
      <x:c r="EB39" s="1053" t="str">
        <x:f t="shared" si="58"/>
        <x:v/>
      </x:c>
      <x:c r="EC39" s="1053" t="str">
        <x:f t="shared" si="59"/>
        <x:v/>
      </x:c>
      <x:c r="ED39" s="1269">
        <x:f t="shared" si="60"/>
        <x:v>0</x:v>
      </x:c>
      <x:c r="EE39" s="1090" t="str">
        <x:f t="shared" si="61"/>
        <x:v/>
      </x:c>
      <x:c r="EF39" s="1053" t="str">
        <x:f t="shared" si="62"/>
        <x:v/>
      </x:c>
      <x:c r="EG39" s="1053" t="str">
        <x:f t="shared" si="63"/>
        <x:v/>
      </x:c>
      <x:c r="EH39" s="1053" t="str">
        <x:f t="shared" si="64"/>
        <x:v>ERR</x:v>
      </x:c>
      <x:c r="EI39" s="1053" t="str">
        <x:f t="shared" si="65"/>
        <x:v>ERR</x:v>
      </x:c>
      <x:c r="EJ39" s="1053" t="str">
        <x:f t="shared" si="66"/>
        <x:v/>
      </x:c>
      <x:c r="EK39" s="1053" t="str">
        <x:f t="shared" si="66"/>
        <x:v/>
      </x:c>
      <x:c r="EL39" s="1090" t="str">
        <x:f t="shared" si="67"/>
        <x:v/>
      </x:c>
      <x:c r="EM39" s="1053" t="str">
        <x:f t="shared" si="68"/>
        <x:v/>
      </x:c>
      <x:c r="EN39" s="1053" t="str">
        <x:f t="shared" si="69"/>
        <x:v/>
      </x:c>
      <x:c r="EO39" s="1053" t="str">
        <x:f t="shared" si="70"/>
        <x:v>ERR</x:v>
      </x:c>
      <x:c r="EP39" s="1053" t="str">
        <x:f t="shared" si="71"/>
        <x:v>ERR</x:v>
      </x:c>
      <x:c r="EQ39" s="1053" t="str">
        <x:f t="shared" si="72"/>
        <x:v/>
      </x:c>
      <x:c r="ER39" s="1053" t="str">
        <x:f t="shared" si="72"/>
        <x:v/>
      </x:c>
      <x:c r="ES39" s="1053" t="str">
        <x:f t="shared" si="73"/>
        <x:v/>
      </x:c>
      <x:c r="ET39" s="1053" t="str">
        <x:f t="shared" si="74"/>
        <x:v/>
      </x:c>
      <x:c r="EU39" s="1061">
        <x:f t="shared" si="75"/>
        <x:v>3.5</x:v>
      </x:c>
      <x:c r="EV39" s="1055" t="str">
        <x:f t="shared" si="76"/>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7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78"/>
        <x:v/>
      </x:c>
      <x:c r="FD39" s="1052">
        <x:f t="shared" si="103"/>
        <x:v>0</x:v>
      </x:c>
      <x:c r="FE39" s="1052">
        <x:f t="shared" si="79"/>
        <x:v>0</x:v>
      </x:c>
      <x:c r="FF39" s="1052">
        <x:f t="shared" si="80"/>
        <x:v>0</x:v>
      </x:c>
      <x:c r="FG39" s="1052" t="str">
        <x:f t="shared" si="81"/>
        <x:v/>
      </x:c>
      <x:c r="FH39" s="1053" t="str">
        <x:f t="shared" si="82"/>
        <x:v/>
      </x:c>
      <x:c r="FI39" s="1052">
        <x:f t="shared" si="104"/>
        <x:v>0</x:v>
      </x:c>
      <x:c r="FJ39" s="1052">
        <x:f t="shared" si="83"/>
        <x:v>0</x:v>
      </x:c>
      <x:c r="FK39" s="1052">
        <x:f t="shared" si="84"/>
        <x:v>0</x:v>
      </x:c>
      <x:c r="FL39" s="1052" t="str">
        <x:f t="shared" si="85"/>
        <x:v/>
      </x:c>
      <x:c r="FM39" s="1053" t="str">
        <x:f t="shared" si="86"/>
        <x:v/>
      </x:c>
      <x:c r="FN39" s="1053" t="e">
        <x:f t="shared" si="87"/>
        <x:v>#VALUE!</x:v>
      </x:c>
      <x:c r="FO39" s="1062" t="e">
        <x:f t="shared" si="88"/>
        <x:v>#VALUE!</x:v>
      </x:c>
      <x:c r="FP39" s="1062" t="e">
        <x:f t="shared" si="89"/>
        <x:v>#VALUE!</x:v>
      </x:c>
      <x:c r="FQ39" s="1063" t="e">
        <x:f t="shared" si="90"/>
        <x:v>#VALUE!</x:v>
      </x:c>
      <x:c r="FR39" s="1064" t="e">
        <x:f t="shared" si="91"/>
        <x:v>#VALUE!</x:v>
      </x:c>
      <x:c r="FS39" s="1065" t="str">
        <x:f t="shared" si="92"/>
        <x:v/>
      </x:c>
      <x:c r="FT39" s="1066" t="str">
        <x:f t="shared" si="93"/>
        <x:v/>
      </x:c>
      <x:c r="FU39" s="1105">
        <x:f t="shared" si="94"/>
        <x:v>0</x:v>
      </x:c>
      <x:c r="FV39" s="1106">
        <x:f t="shared" si="95"/>
        <x:v>0</x:v>
      </x:c>
      <x:c r="GA39" s="1975">
        <x:v>11</x:v>
      </x:c>
      <x:c r="GB39" s="1976">
        <x:v>4.375</x:v>
      </x:c>
      <x:c r="GC39" s="1977">
        <x:v>-0.25</x:v>
      </x:c>
      <x:c r="GD39" s="1978">
        <x:v>-0.5</x:v>
      </x:c>
      <x:c r="GE39" s="1979">
        <x:v>0.37999999030653597</x:v>
      </x:c>
      <x:c r="GF39" s="1980" t="str">
        <x:f t="shared" si="96"/>
        <x:v>J190</x:v>
      </x:c>
      <x:c r="GG39" s="1453"/>
      <x:c r="GH39" s="1454"/>
      <x:c r="GI39" s="1453"/>
      <x:c r="GJ39" s="1454"/>
      <x:c r="GK39" s="533">
        <x:f t="shared" si="97"/>
        <x:v>135.625</x:v>
      </x:c>
      <x:c r="GL39" s="534">
        <x:f t="shared" si="98"/>
        <x:v>135.69298382569022</x:v>
      </x:c>
      <x:c r="GM39" s="535">
        <x:f>IF(ABS(GK39-GL39)&gt;='Job Info.'!$L$22,ABS(GK39-GL39),0)</x:f>
        <x:v>0</x:v>
      </x:c>
      <x:c r="HA39" s="1658" t="s">
        <x:v>1514</x:v>
      </x:c>
      <x:c r="HB39" s="1659">
        <x:v>1</x:v>
      </x:c>
      <x:c r="HC39" s="1659" t="s">
        <x:v>1980</x:v>
      </x:c>
      <x:c r="HD39" s="1660">
        <x:v>11</x:v>
      </x:c>
      <x:c r="HE39" s="1661">
        <x:v>3.625</x:v>
      </x:c>
      <x:c r="HF39" s="1659">
        <x:v>0</x:v>
      </x:c>
      <x:c r="HG39" s="1659">
        <x:v>1.375</x:v>
      </x:c>
      <x:c r="HH39" s="1659" t="s">
        <x:v>114</x:v>
      </x:c>
      <x:c r="HI39" s="1662">
        <x:v>0</x:v>
      </x:c>
      <x:c r="HJ39" s="1659">
        <x:v>0.25</x:v>
      </x:c>
      <x:c r="HK39" s="1659" t="s">
        <x:v>114</x:v>
      </x:c>
      <x:c r="HL39" s="1659">
        <x:v>3</x:v>
      </x:c>
      <x:c r="HM39" s="1659">
        <x:v>3</x:v>
      </x:c>
      <x:c r="HN39" s="1659" t="s">
        <x:v>117</x:v>
      </x:c>
      <x:c r="HO39" s="1659" t="s">
        <x:v>117</x:v>
      </x:c>
      <x:c r="HP39" s="1659" t="s">
        <x:v>117</x:v>
      </x:c>
      <x:c r="HQ39" s="1662" t="s">
        <x:v>117</x:v>
      </x:c>
      <x:c r="HR39" s="1659" t="s">
        <x:v>117</x:v>
      </x:c>
      <x:c r="HS39" s="1659" t="s">
        <x:v>117</x:v>
      </x:c>
      <x:c r="HT39" s="1659" t="s">
        <x:v>117</x:v>
      </x:c>
      <x:c r="HU39" s="1659" t="s">
        <x:v>117</x:v>
      </x:c>
      <x:c r="HV39" s="1659" t="s">
        <x:v>117</x:v>
      </x:c>
      <x:c r="HW39" s="1661" t="s">
        <x:v>117</x:v>
      </x:c>
      <x:c r="HX39" s="1661">
        <x:v>0</x:v>
      </x:c>
      <x:c r="HY39" s="1661">
        <x:v>0.37999999030653597</x:v>
      </x:c>
      <x:c r="HZ39" s="1661">
        <x:v>-0.37999999030653597</x:v>
      </x:c>
      <x:c r="IA39" s="1661" t="s">
        <x:v>2202</x:v>
      </x:c>
      <x:c r="IB39" s="1661"/>
      <x:c r="IC39" s="1661"/>
      <x:c r="ID39" s="1661"/>
      <x:c r="IE39" s="1661"/>
      <x:c r="IF39" s="1663"/>
    </x:row>
    <x:row r="40" spans="1:240" ht="12.6" customHeight="1" x14ac:dyDescent="0.25">
      <x:c r="A40" s="1264" t="s">
        <x:v>1515</x:v>
      </x:c>
      <x:c r="B40" s="1265">
        <x:v>1</x:v>
      </x:c>
      <x:c r="C40" s="1265" t="s">
        <x:v>1980</x:v>
      </x:c>
      <x:c r="D40" s="1261">
        <x:v>22</x:v>
      </x:c>
      <x:c r="E40" s="1366">
        <x:v>5</x:v>
      </x:c>
      <x:c r="F40" s="1328">
        <x:v>0</x:v>
      </x:c>
      <x:c r="G40" s="1262">
        <x:v>0.625</x:v>
      </x:c>
      <x:c r="H40" s="1266" t="s">
        <x:v>114</x:v>
      </x:c>
      <x:c r="I40" s="1261">
        <x:v>0</x:v>
      </x:c>
      <x:c r="J40" s="2122">
        <x:v>2</x:v>
      </x:c>
      <x:c r="K40" s="1370" t="s">
        <x:v>114</x:v>
      </x:c>
      <x:c r="L40" s="1327">
        <x:v>3</x:v>
      </x:c>
      <x:c r="M40" s="1329">
        <x:v>3</x:v>
      </x:c>
      <x:c r="N40" s="1263">
        <x:v>0</x:v>
      </x:c>
      <x:c r="O40" s="1262">
        <x:v>5.125</x:v>
      </x:c>
      <x:c r="P40" s="1260">
        <x:v>2</x:v>
      </x:c>
      <x:c r="Q40" s="1261" t="str">
        <x:f t="shared" si="99"/>
        <x:v/>
      </x:c>
      <x:c r="R40" s="1262" t="str">
        <x:f t="shared" si="100"/>
        <x:v/>
      </x:c>
      <x:c r="S40" s="1375" t="str">
        <x:f t="shared" si="101"/>
        <x:v/>
      </x:c>
      <x:c r="T40" s="1328">
        <x:v>0</x:v>
      </x:c>
      <x:c r="U40" s="1262">
        <x:v>1.5</x:v>
      </x:c>
      <x:c r="V40" s="1261">
        <x:v>0</x:v>
      </x:c>
      <x:c r="W40" s="1262">
        <x:v>3.875</x:v>
      </x:c>
      <x:c r="X40" s="1329">
        <x:v>4</x:v>
      </x:c>
      <x:c r="Y40" s="1377">
        <x:v>0.38000000564150699</x:v>
      </x:c>
      <x:c r="Z40" s="1378">
        <x:v>-0.38000000564150699</x:v>
      </x:c>
      <x:c r="AA40" s="2159" t="s">
        <x:v>2203</x:v>
      </x:c>
      <x:c r="AC40" s="1226" t="b">
        <x:v>0</x:v>
      </x:c>
      <x:c r="AD40" s="525">
        <x:f t="shared" si="9"/>
        <x:v>1</x:v>
      </x:c>
      <x:c r="AE40" s="526">
        <x:f t="shared" si="10"/>
        <x:v>0</x:v>
      </x:c>
      <x:c r="AF40" s="526">
        <x:f t="shared" si="11"/>
        <x:v>0</x:v>
      </x:c>
      <x:c r="AG40" s="526">
        <x:f t="shared" si="12"/>
        <x:v>0</x:v>
      </x:c>
      <x:c r="AH40" s="527">
        <x:f t="shared" si="13"/>
        <x:v>0</x:v>
      </x:c>
      <x:c r="AI40" s="528" t="b">
        <x:v>0</x:v>
      </x:c>
      <x:c r="AJ40" s="284">
        <x:f t="shared" si="14"/>
        <x:v>30</x:v>
      </x:c>
      <x:c r="AK40" s="1063" t="str">
        <x:f t="shared" si="15"/>
        <x:v>K</x:v>
      </x:c>
      <x:c r="AL40" s="1202" t="str">
        <x:f t="shared" si="16"/>
        <x:v/>
      </x:c>
      <x:c r="AM40" s="1063">
        <x:f t="shared" si="17"/>
        <x:v>310</x:v>
      </x:c>
      <x:c r="AN40" s="1063">
        <x:f t="shared" si="18"/>
        <x:v>160</x:v>
      </x:c>
      <x:c r="AO40" s="1063" t="str">
        <x:f t="shared" si="19"/>
        <x:v/>
      </x:c>
      <x:c r="AP40" s="1063" t="b">
        <x:f>IF(ISERROR(AJ40),FALSE,IF(OR(AJ40=0,ISERROR(AL40),ISERROR(AM40),ISERROR(AN40),ISERROR(AO40)),FALSE,IF(AL40&lt;&gt;"",IF(ISERROR(VLOOKUP(SUBSTITUTE(SUBSTITUTE(C40,"R",""),"A",""),TblJoistSize!$A:$A,1,FALSE)),FALSE,TRUE),TRUE)))</x:f>
        <x:v>1</x:v>
      </x:c>
      <x:c r="AQ40" s="1305">
        <x:f t="shared" si="20"/>
        <x:v>4.625</x:v>
      </x:c>
      <x:c r="AR40" s="1305" t="b">
        <x:f t="shared" si="21"/>
        <x:v>1</x:v>
      </x:c>
      <x:c r="AS40" s="1305">
        <x:f t="shared" si="22"/>
        <x:v>6</x:v>
      </x:c>
      <x:c r="AT40" s="1305" t="b">
        <x:f t="shared" si="23"/>
        <x:v>1</x:v>
      </x:c>
      <x:c r="AU40" s="1203" t="str">
        <x:f t="shared" si="24"/>
        <x:v>K</x:v>
      </x:c>
      <x:c r="AV40" s="1063" t="str">
        <x:f t="shared" si="25"/>
        <x:v>K</x:v>
      </x:c>
      <x:c r="AW40" s="1063" t="str">
        <x:f t="shared" si="26"/>
        <x:v/>
      </x:c>
      <x:c r="AX40" s="1063" t="str">
        <x:f t="shared" si="102"/>
        <x:v>TJ191</x:v>
      </x:c>
      <x:c r="AY40" s="1306" t="b">
        <x:f t="shared" si="27"/>
        <x:v>0</x:v>
      </x:c>
      <x:c r="AZ40" s="1090" t="b">
        <x:f t="shared" si="28"/>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29"/>
        <x:v/>
      </x:c>
      <x:c r="CE40" s="935" t="str">
        <x:f t="shared" si="30"/>
        <x:v/>
      </x:c>
      <x:c r="CF40" s="1149"/>
      <x:c r="CG40" s="1150"/>
      <x:c r="CH40" s="738" t="str">
        <x:f t="shared" si="31"/>
        <x:v/>
      </x:c>
      <x:c r="CI40" s="739" t="str">
        <x:f t="shared" si="32"/>
        <x:v/>
      </x:c>
      <x:c r="CJ40" s="740" t="str">
        <x:f t="shared" si="33"/>
        <x:v/>
      </x:c>
      <x:c r="CK40" s="741" t="str">
        <x:f t="shared" si="34"/>
        <x:v/>
      </x:c>
      <x:c r="CL40" s="742" t="str">
        <x:f t="shared" si="35"/>
        <x:v/>
      </x:c>
      <x:c r="CM40" s="743" t="str">
        <x:f t="shared" si="36"/>
        <x:v/>
      </x:c>
      <x:c r="CN40" s="744" t="str">
        <x:f t="shared" si="37"/>
        <x:v/>
      </x:c>
      <x:c r="CO40" s="745" t="str">
        <x:f t="shared" si="38"/>
        <x:v/>
      </x:c>
      <x:c r="CP40" s="762" t="str">
        <x:f t="shared" si="39"/>
        <x:v/>
      </x:c>
      <x:c r="CQ40" s="763" t="str">
        <x:f t="shared" si="40"/>
        <x:v/>
      </x:c>
      <x:c r="CR40" s="953">
        <x:f t="shared" si="41"/>
        <x:v>2.5</x:v>
      </x:c>
      <x:c r="CS40" s="954">
        <x:f t="shared" si="42"/>
        <x:v>2.5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3"/>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4"/>
        <x:v>0</x:v>
      </x:c>
      <x:c r="DO40" s="1049">
        <x:f t="shared" si="45"/>
        <x:v>0</x:v>
      </x:c>
      <x:c r="DP40" s="1053" t="str">
        <x:f t="shared" si="46"/>
        <x:v/>
      </x:c>
      <x:c r="DQ40" s="1053" t="str">
        <x:f t="shared" si="47"/>
        <x:v/>
      </x:c>
      <x:c r="DR40" s="1053" t="str">
        <x:f t="shared" si="48"/>
        <x:v/>
      </x:c>
      <x:c r="DS40" s="1052">
        <x:f t="shared" si="49"/>
        <x:v>0</x:v>
      </x:c>
      <x:c r="DT40" s="1052">
        <x:f t="shared" si="50"/>
        <x:v>0</x:v>
      </x:c>
      <x:c r="DU40" s="1052" t="str">
        <x:f t="shared" si="51"/>
        <x:v/>
      </x:c>
      <x:c r="DV40" s="1053" t="str">
        <x:f t="shared" si="52"/>
        <x:v/>
      </x:c>
      <x:c r="DW40" s="1053" t="str">
        <x:f t="shared" si="53"/>
        <x:v/>
      </x:c>
      <x:c r="DX40" s="1269">
        <x:f t="shared" si="54"/>
        <x:v>0</x:v>
      </x:c>
      <x:c r="DY40" s="1053">
        <x:f t="shared" si="55"/>
        <x:v>0</x:v>
      </x:c>
      <x:c r="DZ40" s="1052">
        <x:f t="shared" si="56"/>
        <x:v>0</x:v>
      </x:c>
      <x:c r="EA40" s="1052" t="str">
        <x:f t="shared" si="57"/>
        <x:v/>
      </x:c>
      <x:c r="EB40" s="1053" t="str">
        <x:f t="shared" si="58"/>
        <x:v/>
      </x:c>
      <x:c r="EC40" s="1053" t="str">
        <x:f t="shared" si="59"/>
        <x:v/>
      </x:c>
      <x:c r="ED40" s="1269">
        <x:f t="shared" si="60"/>
        <x:v>0</x:v>
      </x:c>
      <x:c r="EE40" s="1090" t="str">
        <x:f t="shared" si="61"/>
        <x:v/>
      </x:c>
      <x:c r="EF40" s="1053" t="str">
        <x:f t="shared" si="62"/>
        <x:v/>
      </x:c>
      <x:c r="EG40" s="1053" t="str">
        <x:f t="shared" si="63"/>
        <x:v/>
      </x:c>
      <x:c r="EH40" s="1053" t="str">
        <x:f t="shared" si="64"/>
        <x:v>ERR</x:v>
      </x:c>
      <x:c r="EI40" s="1053" t="str">
        <x:f t="shared" si="65"/>
        <x:v>ERR</x:v>
      </x:c>
      <x:c r="EJ40" s="1053" t="str">
        <x:f t="shared" si="66"/>
        <x:v/>
      </x:c>
      <x:c r="EK40" s="1053" t="str">
        <x:f t="shared" si="66"/>
        <x:v/>
      </x:c>
      <x:c r="EL40" s="1090" t="str">
        <x:f t="shared" si="67"/>
        <x:v/>
      </x:c>
      <x:c r="EM40" s="1053" t="str">
        <x:f t="shared" si="68"/>
        <x:v/>
      </x:c>
      <x:c r="EN40" s="1053" t="str">
        <x:f t="shared" si="69"/>
        <x:v/>
      </x:c>
      <x:c r="EO40" s="1053" t="str">
        <x:f t="shared" si="70"/>
        <x:v>ERR</x:v>
      </x:c>
      <x:c r="EP40" s="1053" t="str">
        <x:f t="shared" si="71"/>
        <x:v>ERR</x:v>
      </x:c>
      <x:c r="EQ40" s="1053" t="str">
        <x:f t="shared" si="72"/>
        <x:v/>
      </x:c>
      <x:c r="ER40" s="1053" t="str">
        <x:f t="shared" si="72"/>
        <x:v/>
      </x:c>
      <x:c r="ES40" s="1053" t="str">
        <x:f t="shared" si="73"/>
        <x:v/>
      </x:c>
      <x:c r="ET40" s="1053" t="str">
        <x:f t="shared" si="74"/>
        <x:v/>
      </x:c>
      <x:c r="EU40" s="1061">
        <x:f t="shared" si="75"/>
        <x:v>3.5</x:v>
      </x:c>
      <x:c r="EV40" s="1055" t="str">
        <x:f t="shared" si="76"/>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77"/>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78"/>
        <x:v/>
      </x:c>
      <x:c r="FD40" s="1052">
        <x:f t="shared" si="103"/>
        <x:v>0</x:v>
      </x:c>
      <x:c r="FE40" s="1052">
        <x:f t="shared" si="79"/>
        <x:v>0</x:v>
      </x:c>
      <x:c r="FF40" s="1052">
        <x:f t="shared" si="80"/>
        <x:v>0</x:v>
      </x:c>
      <x:c r="FG40" s="1052" t="str">
        <x:f t="shared" si="81"/>
        <x:v/>
      </x:c>
      <x:c r="FH40" s="1053" t="str">
        <x:f t="shared" si="82"/>
        <x:v/>
      </x:c>
      <x:c r="FI40" s="1052">
        <x:f t="shared" si="104"/>
        <x:v>0</x:v>
      </x:c>
      <x:c r="FJ40" s="1052">
        <x:f t="shared" si="83"/>
        <x:v>0</x:v>
      </x:c>
      <x:c r="FK40" s="1052">
        <x:f t="shared" si="84"/>
        <x:v>0</x:v>
      </x:c>
      <x:c r="FL40" s="1052" t="str">
        <x:f t="shared" si="85"/>
        <x:v/>
      </x:c>
      <x:c r="FM40" s="1053" t="str">
        <x:f t="shared" si="86"/>
        <x:v/>
      </x:c>
      <x:c r="FN40" s="1053" t="e">
        <x:f t="shared" si="87"/>
        <x:v>#VALUE!</x:v>
      </x:c>
      <x:c r="FO40" s="1062" t="e">
        <x:f t="shared" si="88"/>
        <x:v>#VALUE!</x:v>
      </x:c>
      <x:c r="FP40" s="1062" t="e">
        <x:f t="shared" si="89"/>
        <x:v>#VALUE!</x:v>
      </x:c>
      <x:c r="FQ40" s="1063" t="e">
        <x:f t="shared" si="90"/>
        <x:v>#VALUE!</x:v>
      </x:c>
      <x:c r="FR40" s="1064" t="e">
        <x:f t="shared" si="91"/>
        <x:v>#VALUE!</x:v>
      </x:c>
      <x:c r="FS40" s="1065" t="str">
        <x:f t="shared" si="92"/>
        <x:v/>
      </x:c>
      <x:c r="FT40" s="1066" t="str">
        <x:f t="shared" si="93"/>
        <x:v/>
      </x:c>
      <x:c r="FU40" s="1105">
        <x:f t="shared" si="94"/>
        <x:v>0</x:v>
      </x:c>
      <x:c r="FV40" s="1106">
        <x:f t="shared" si="95"/>
        <x:v>0</x:v>
      </x:c>
      <x:c r="GA40" s="1975">
        <x:v>22</x:v>
      </x:c>
      <x:c r="GB40" s="1976">
        <x:v>6.5</x:v>
      </x:c>
      <x:c r="GC40" s="1977">
        <x:v>-1</x:v>
      </x:c>
      <x:c r="GD40" s="1978">
        <x:v>-0.5</x:v>
      </x:c>
      <x:c r="GE40" s="1979">
        <x:v>0.38000000564150699</x:v>
      </x:c>
      <x:c r="GF40" s="1980" t="str">
        <x:f t="shared" si="96"/>
        <x:v>TJ191</x:v>
      </x:c>
      <x:c r="GG40" s="1453"/>
      <x:c r="GH40" s="1454"/>
      <x:c r="GI40" s="1453"/>
      <x:c r="GJ40" s="1454"/>
      <x:c r="GK40" s="533">
        <x:f t="shared" si="97"/>
        <x:v>269</x:v>
      </x:c>
      <x:c r="GL40" s="534">
        <x:f t="shared" si="98"/>
        <x:v>269.13483981999116</x:v>
      </x:c>
      <x:c r="GM40" s="535">
        <x:f>IF(ABS(GK40-GL40)&gt;='Job Info.'!$L$22,ABS(GK40-GL40),0)</x:f>
        <x:v>0</x:v>
      </x:c>
      <x:c r="HA40" s="1658" t="s">
        <x:v>1515</x:v>
      </x:c>
      <x:c r="HB40" s="1659">
        <x:v>1</x:v>
      </x:c>
      <x:c r="HC40" s="1659" t="s">
        <x:v>1980</x:v>
      </x:c>
      <x:c r="HD40" s="1660">
        <x:v>22</x:v>
      </x:c>
      <x:c r="HE40" s="1661">
        <x:v>5</x:v>
      </x:c>
      <x:c r="HF40" s="1659">
        <x:v>0</x:v>
      </x:c>
      <x:c r="HG40" s="1659">
        <x:v>0.625</x:v>
      </x:c>
      <x:c r="HH40" s="1659" t="s">
        <x:v>114</x:v>
      </x:c>
      <x:c r="HI40" s="1662">
        <x:v>0</x:v>
      </x:c>
      <x:c r="HJ40" s="1659">
        <x:v>0.25</x:v>
      </x:c>
      <x:c r="HK40" s="1659" t="s">
        <x:v>114</x:v>
      </x:c>
      <x:c r="HL40" s="1659">
        <x:v>3</x:v>
      </x:c>
      <x:c r="HM40" s="1659">
        <x:v>3</x:v>
      </x:c>
      <x:c r="HN40" s="1659">
        <x:v>0</x:v>
      </x:c>
      <x:c r="HO40" s="1659">
        <x:v>5.125</x:v>
      </x:c>
      <x:c r="HP40" s="1659">
        <x:v>2</x:v>
      </x:c>
      <x:c r="HQ40" s="1662" t="s">
        <x:v>117</x:v>
      </x:c>
      <x:c r="HR40" s="1659" t="s">
        <x:v>117</x:v>
      </x:c>
      <x:c r="HS40" s="1659" t="s">
        <x:v>117</x:v>
      </x:c>
      <x:c r="HT40" s="1659">
        <x:v>0</x:v>
      </x:c>
      <x:c r="HU40" s="1659">
        <x:v>1.5</x:v>
      </x:c>
      <x:c r="HV40" s="1659">
        <x:v>0</x:v>
      </x:c>
      <x:c r="HW40" s="1661">
        <x:v>3.875</x:v>
      </x:c>
      <x:c r="HX40" s="1661">
        <x:v>4</x:v>
      </x:c>
      <x:c r="HY40" s="1661">
        <x:v>0.38000000564150699</x:v>
      </x:c>
      <x:c r="HZ40" s="1661">
        <x:v>-0.38000000564150699</x:v>
      </x:c>
      <x:c r="IA40" s="1661" t="s">
        <x:v>2203</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
        <x:v/>
      </x:c>
      <x:c r="G41" s="1262" t="str">
        <x:f t="shared" si="2"/>
        <x:v/>
      </x:c>
      <x:c r="H41" s="1266" t="str">
        <x:f t="shared" si="3"/>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4"/>
        <x:v/>
      </x:c>
      <x:c r="O41" s="1262" t="str">
        <x:f t="shared" si="5"/>
        <x:v/>
      </x:c>
      <x:c r="P41" s="1260" t="str">
        <x:f t="shared" si="6"/>
        <x:v/>
      </x:c>
      <x:c r="Q41" s="1261" t="str">
        <x:f t="shared" si="99"/>
        <x:v/>
      </x:c>
      <x:c r="R41" s="1262" t="str">
        <x:f t="shared" si="100"/>
        <x:v/>
      </x:c>
      <x:c r="S41" s="1375" t="str">
        <x:f t="shared" si="101"/>
        <x:v/>
      </x:c>
      <x:c r="T41" s="1328" t="str">
        <x:f t="shared" si="105"/>
        <x:v/>
      </x:c>
      <x:c r="U41" s="1262" t="str">
        <x:f t="shared" si="106"/>
        <x:v/>
      </x:c>
      <x:c r="V41" s="1261" t="str">
        <x:f t="shared" si="107"/>
        <x:v/>
      </x:c>
      <x:c r="W41" s="1262" t="str">
        <x:f t="shared" si="108"/>
        <x:v/>
      </x:c>
      <x:c r="X41" s="1329">
        <x:f t="shared" si="109"/>
        <x:v>0</x:v>
      </x:c>
      <x:c r="Y41" s="1377" t="str">
        <x:f t="shared" si="7"/>
        <x:v/>
      </x:c>
      <x:c r="Z41" s="1378" t="str">
        <x:f t="shared" si="8"/>
        <x:v/>
      </x:c>
      <x:c r="AA41" s="2159"/>
      <x:c r="AC41" s="1226" t="b">
        <x:v>0</x:v>
      </x:c>
      <x:c r="AD41" s="525">
        <x:f t="shared" si="9"/>
        <x:v>0</x:v>
      </x:c>
      <x:c r="AE41" s="526">
        <x:f t="shared" si="10"/>
        <x:v>0</x:v>
      </x:c>
      <x:c r="AF41" s="526">
        <x:f t="shared" si="11"/>
        <x:v>0</x:v>
      </x:c>
      <x:c r="AG41" s="526">
        <x:f t="shared" si="12"/>
        <x:v>0</x:v>
      </x:c>
      <x:c r="AH41" s="527">
        <x:f t="shared" si="13"/>
        <x:v>0</x:v>
      </x:c>
      <x:c r="AI41" s="528" t="b">
        <x:v>0</x:v>
      </x:c>
      <x:c r="AJ41" s="284">
        <x:f t="shared" si="14"/>
        <x:v>0</x:v>
      </x:c>
      <x:c r="AK41" s="1063" t="str">
        <x:f t="shared" si="15"/>
        <x:v/>
      </x:c>
      <x:c r="AL41" s="1202" t="str">
        <x:f t="shared" si="16"/>
        <x:v/>
      </x:c>
      <x:c r="AM41" s="1063" t="str">
        <x:f t="shared" si="17"/>
        <x:v/>
      </x:c>
      <x:c r="AN41" s="1063" t="str">
        <x:f t="shared" si="18"/>
        <x:v/>
      </x:c>
      <x:c r="AO41" s="1063" t="str">
        <x:f t="shared" si="19"/>
        <x:v/>
      </x:c>
      <x:c r="AP41" s="1063" t="b">
        <x:f>IF(ISERROR(AJ41),FALSE,IF(OR(AJ41=0,ISERROR(AL41),ISERROR(AM41),ISERROR(AN41),ISERROR(AO41)),FALSE,IF(AL41&lt;&gt;"",IF(ISERROR(VLOOKUP(SUBSTITUTE(SUBSTITUTE(C41,"R",""),"A",""),TblJoistSize!$A:$A,1,FALSE)),FALSE,TRUE),TRUE)))</x:f>
        <x:v>0</x:v>
      </x:c>
      <x:c r="AQ41" s="1305" t="e">
        <x:f t="shared" si="20"/>
        <x:v>#N/A</x:v>
      </x:c>
      <x:c r="AR41" s="1305" t="b">
        <x:f t="shared" si="21"/>
        <x:v>0</x:v>
      </x:c>
      <x:c r="AS41" s="1305" t="e">
        <x:f t="shared" si="22"/>
        <x:v>#N/A</x:v>
      </x:c>
      <x:c r="AT41" s="1305" t="b">
        <x:f t="shared" si="23"/>
        <x:v>0</x:v>
      </x:c>
      <x:c r="AU41" s="1203" t="str">
        <x:f t="shared" si="24"/>
        <x:v/>
      </x:c>
      <x:c r="AV41" s="1063" t="str">
        <x:f t="shared" si="25"/>
        <x:v/>
      </x:c>
      <x:c r="AW41" s="1063" t="str">
        <x:f t="shared" si="26"/>
        <x:v/>
      </x:c>
      <x:c r="AX41" s="1063" t="str">
        <x:f t="shared" si="102"/>
        <x:v/>
      </x:c>
      <x:c r="AY41" s="1306" t="b">
        <x:f t="shared" si="27"/>
        <x:v>0</x:v>
      </x:c>
      <x:c r="AZ41" s="1090" t="str">
        <x:f t="shared" si="28"/>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29"/>
        <x:v/>
      </x:c>
      <x:c r="CE41" s="935" t="str">
        <x:f t="shared" si="30"/>
        <x:v/>
      </x:c>
      <x:c r="CF41" s="1149"/>
      <x:c r="CG41" s="1150"/>
      <x:c r="CH41" s="738" t="str">
        <x:f t="shared" si="31"/>
        <x:v/>
      </x:c>
      <x:c r="CI41" s="739" t="str">
        <x:f t="shared" si="32"/>
        <x:v/>
      </x:c>
      <x:c r="CJ41" s="740" t="str">
        <x:f t="shared" si="33"/>
        <x:v/>
      </x:c>
      <x:c r="CK41" s="741" t="str">
        <x:f t="shared" si="34"/>
        <x:v/>
      </x:c>
      <x:c r="CL41" s="742" t="str">
        <x:f t="shared" si="35"/>
        <x:v/>
      </x:c>
      <x:c r="CM41" s="743" t="str">
        <x:f t="shared" si="36"/>
        <x:v/>
      </x:c>
      <x:c r="CN41" s="744" t="str">
        <x:f t="shared" si="37"/>
        <x:v/>
      </x:c>
      <x:c r="CO41" s="745" t="str">
        <x:f t="shared" si="38"/>
        <x:v/>
      </x:c>
      <x:c r="CP41" s="762" t="str">
        <x:f t="shared" si="39"/>
        <x:v/>
      </x:c>
      <x:c r="CQ41" s="763" t="str">
        <x:f t="shared" si="40"/>
        <x:v/>
      </x:c>
      <x:c r="CR41" s="953" t="str">
        <x:f t="shared" si="41"/>
        <x:v/>
      </x:c>
      <x:c r="CS41" s="954" t="str">
        <x:f t="shared" si="42"/>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3"/>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4"/>
        <x:v>0</x:v>
      </x:c>
      <x:c r="DO41" s="1049">
        <x:f t="shared" si="45"/>
        <x:v>0</x:v>
      </x:c>
      <x:c r="DP41" s="1053" t="str">
        <x:f t="shared" si="46"/>
        <x:v/>
      </x:c>
      <x:c r="DQ41" s="1053" t="str">
        <x:f t="shared" si="47"/>
        <x:v/>
      </x:c>
      <x:c r="DR41" s="1053" t="str">
        <x:f t="shared" si="48"/>
        <x:v/>
      </x:c>
      <x:c r="DS41" s="1052">
        <x:f t="shared" si="49"/>
        <x:v>0</x:v>
      </x:c>
      <x:c r="DT41" s="1052">
        <x:f t="shared" si="50"/>
        <x:v>0</x:v>
      </x:c>
      <x:c r="DU41" s="1052" t="str">
        <x:f t="shared" si="51"/>
        <x:v/>
      </x:c>
      <x:c r="DV41" s="1053" t="str">
        <x:f t="shared" si="52"/>
        <x:v/>
      </x:c>
      <x:c r="DW41" s="1053" t="str">
        <x:f t="shared" si="53"/>
        <x:v/>
      </x:c>
      <x:c r="DX41" s="1269">
        <x:f t="shared" si="54"/>
        <x:v>0</x:v>
      </x:c>
      <x:c r="DY41" s="1053">
        <x:f t="shared" si="55"/>
        <x:v>0</x:v>
      </x:c>
      <x:c r="DZ41" s="1052">
        <x:f t="shared" si="56"/>
        <x:v>0</x:v>
      </x:c>
      <x:c r="EA41" s="1052" t="str">
        <x:f t="shared" si="57"/>
        <x:v/>
      </x:c>
      <x:c r="EB41" s="1053" t="str">
        <x:f t="shared" si="58"/>
        <x:v/>
      </x:c>
      <x:c r="EC41" s="1053" t="str">
        <x:f t="shared" si="59"/>
        <x:v/>
      </x:c>
      <x:c r="ED41" s="1269">
        <x:f t="shared" si="60"/>
        <x:v>0</x:v>
      </x:c>
      <x:c r="EE41" s="1090" t="str">
        <x:f t="shared" si="61"/>
        <x:v/>
      </x:c>
      <x:c r="EF41" s="1053" t="str">
        <x:f t="shared" si="62"/>
        <x:v/>
      </x:c>
      <x:c r="EG41" s="1053" t="str">
        <x:f t="shared" si="63"/>
        <x:v/>
      </x:c>
      <x:c r="EH41" s="1053" t="e">
        <x:f t="shared" si="64"/>
        <x:v>#N/A</x:v>
      </x:c>
      <x:c r="EI41" s="1053" t="e">
        <x:f t="shared" si="65"/>
        <x:v>#N/A</x:v>
      </x:c>
      <x:c r="EJ41" s="1053" t="str">
        <x:f t="shared" si="66"/>
        <x:v/>
      </x:c>
      <x:c r="EK41" s="1053" t="str">
        <x:f t="shared" si="66"/>
        <x:v/>
      </x:c>
      <x:c r="EL41" s="1090" t="str">
        <x:f t="shared" si="67"/>
        <x:v/>
      </x:c>
      <x:c r="EM41" s="1053" t="str">
        <x:f t="shared" si="68"/>
        <x:v/>
      </x:c>
      <x:c r="EN41" s="1053" t="str">
        <x:f t="shared" si="69"/>
        <x:v/>
      </x:c>
      <x:c r="EO41" s="1053" t="e">
        <x:f t="shared" si="70"/>
        <x:v>#N/A</x:v>
      </x:c>
      <x:c r="EP41" s="1053" t="e">
        <x:f t="shared" si="71"/>
        <x:v>#N/A</x:v>
      </x:c>
      <x:c r="EQ41" s="1053" t="str">
        <x:f t="shared" si="72"/>
        <x:v/>
      </x:c>
      <x:c r="ER41" s="1053" t="str">
        <x:f t="shared" si="72"/>
        <x:v/>
      </x:c>
      <x:c r="ES41" s="1053" t="str">
        <x:f t="shared" si="73"/>
        <x:v/>
      </x:c>
      <x:c r="ET41" s="1053" t="str">
        <x:f t="shared" si="74"/>
        <x:v/>
      </x:c>
      <x:c r="EU41" s="1061" t="str">
        <x:f t="shared" si="75"/>
        <x:v/>
      </x:c>
      <x:c r="EV41" s="1055" t="str">
        <x:f t="shared" si="76"/>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77"/>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78"/>
        <x:v/>
      </x:c>
      <x:c r="FD41" s="1052">
        <x:f t="shared" si="103"/>
        <x:v>0</x:v>
      </x:c>
      <x:c r="FE41" s="1052">
        <x:f t="shared" si="79"/>
        <x:v>0</x:v>
      </x:c>
      <x:c r="FF41" s="1052">
        <x:f t="shared" si="80"/>
        <x:v>0</x:v>
      </x:c>
      <x:c r="FG41" s="1052" t="str">
        <x:f t="shared" si="81"/>
        <x:v/>
      </x:c>
      <x:c r="FH41" s="1053" t="str">
        <x:f t="shared" si="82"/>
        <x:v/>
      </x:c>
      <x:c r="FI41" s="1052">
        <x:f t="shared" si="104"/>
        <x:v>0</x:v>
      </x:c>
      <x:c r="FJ41" s="1052">
        <x:f t="shared" si="83"/>
        <x:v>0</x:v>
      </x:c>
      <x:c r="FK41" s="1052">
        <x:f t="shared" si="84"/>
        <x:v>0</x:v>
      </x:c>
      <x:c r="FL41" s="1052" t="str">
        <x:f t="shared" si="85"/>
        <x:v/>
      </x:c>
      <x:c r="FM41" s="1053" t="str">
        <x:f t="shared" si="86"/>
        <x:v/>
      </x:c>
      <x:c r="FN41" s="1053" t="e">
        <x:f t="shared" si="87"/>
        <x:v>#VALUE!</x:v>
      </x:c>
      <x:c r="FO41" s="1062" t="e">
        <x:f t="shared" si="88"/>
        <x:v>#VALUE!</x:v>
      </x:c>
      <x:c r="FP41" s="1062" t="e">
        <x:f t="shared" si="89"/>
        <x:v>#VALUE!</x:v>
      </x:c>
      <x:c r="FQ41" s="1063" t="e">
        <x:f t="shared" si="90"/>
        <x:v>#VALUE!</x:v>
      </x:c>
      <x:c r="FR41" s="1064" t="e">
        <x:f t="shared" si="91"/>
        <x:v>#VALUE!</x:v>
      </x:c>
      <x:c r="FS41" s="1065" t="str">
        <x:f t="shared" si="92"/>
        <x:v/>
      </x:c>
      <x:c r="FT41" s="1066" t="str">
        <x:f t="shared" si="93"/>
        <x:v/>
      </x:c>
      <x:c r="FU41" s="1105">
        <x:f t="shared" si="94"/>
        <x:v>0</x:v>
      </x:c>
      <x:c r="FV41" s="1106">
        <x:f t="shared" si="95"/>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96"/>
        <x:v/>
      </x:c>
      <x:c r="GG41" s="1453"/>
      <x:c r="GH41" s="1454"/>
      <x:c r="GI41" s="1453"/>
      <x:c r="GJ41" s="1454"/>
      <x:c r="GK41" s="533">
        <x:f t="shared" si="97"/>
        <x:v>0</x:v>
      </x:c>
      <x:c r="GL41" s="534" t="e">
        <x:f t="shared" si="98"/>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
        <x:v/>
      </x:c>
      <x:c r="G42" s="1262" t="str">
        <x:f t="shared" si="2"/>
        <x:v/>
      </x:c>
      <x:c r="H42" s="1266" t="str">
        <x:f t="shared" si="3"/>
        <x:v/>
      </x:c>
      <x:c r="I42" s="1261" t="str">
        <x:f t="shared" si="114"/>
        <x:v/>
      </x:c>
      <x:c r="J42" s="1262" t="str">
        <x:f t="shared" si="115"/>
        <x:v/>
      </x:c>
      <x:c r="K42" s="1370" t="str">
        <x:f t="shared" si="116"/>
        <x:v/>
      </x:c>
      <x:c r="L42" s="1327" t="str">
        <x:f t="shared" si="117"/>
        <x:v/>
      </x:c>
      <x:c r="M42" s="1329" t="str">
        <x:f t="shared" si="117"/>
        <x:v/>
      </x:c>
      <x:c r="N42" s="1263" t="str">
        <x:f t="shared" si="4"/>
        <x:v/>
      </x:c>
      <x:c r="O42" s="1262" t="str">
        <x:f t="shared" si="5"/>
        <x:v/>
      </x:c>
      <x:c r="P42" s="1260" t="str">
        <x:f t="shared" si="6"/>
        <x:v/>
      </x:c>
      <x:c r="Q42" s="1261" t="str">
        <x:f t="shared" si="99"/>
        <x:v/>
      </x:c>
      <x:c r="R42" s="1262" t="str">
        <x:f t="shared" si="100"/>
        <x:v/>
      </x:c>
      <x:c r="S42" s="1375" t="str">
        <x:f t="shared" si="101"/>
        <x:v/>
      </x:c>
      <x:c r="T42" s="1328" t="str">
        <x:f t="shared" si="105"/>
        <x:v/>
      </x:c>
      <x:c r="U42" s="1262" t="str">
        <x:f t="shared" si="106"/>
        <x:v/>
      </x:c>
      <x:c r="V42" s="1261" t="str">
        <x:f t="shared" si="107"/>
        <x:v/>
      </x:c>
      <x:c r="W42" s="1262" t="str">
        <x:f t="shared" si="108"/>
        <x:v/>
      </x:c>
      <x:c r="X42" s="1329">
        <x:f t="shared" si="109"/>
        <x:v>0</x:v>
      </x:c>
      <x:c r="Y42" s="1377" t="str">
        <x:f t="shared" si="7"/>
        <x:v/>
      </x:c>
      <x:c r="Z42" s="1378" t="str">
        <x:f t="shared" si="8"/>
        <x:v/>
      </x:c>
      <x:c r="AA42" s="2159"/>
      <x:c r="AC42" s="1226" t="b">
        <x:v>0</x:v>
      </x:c>
      <x:c r="AD42" s="525">
        <x:f t="shared" si="9"/>
        <x:v>0</x:v>
      </x:c>
      <x:c r="AE42" s="526">
        <x:f t="shared" si="10"/>
        <x:v>0</x:v>
      </x:c>
      <x:c r="AF42" s="526">
        <x:f t="shared" si="11"/>
        <x:v>0</x:v>
      </x:c>
      <x:c r="AG42" s="526">
        <x:f t="shared" si="12"/>
        <x:v>0</x:v>
      </x:c>
      <x:c r="AH42" s="527">
        <x:f t="shared" si="13"/>
        <x:v>0</x:v>
      </x:c>
      <x:c r="AI42" s="528" t="b">
        <x:v>0</x:v>
      </x:c>
      <x:c r="AJ42" s="284">
        <x:f t="shared" si="14"/>
        <x:v>0</x:v>
      </x:c>
      <x:c r="AK42" s="1063" t="str">
        <x:f t="shared" si="15"/>
        <x:v/>
      </x:c>
      <x:c r="AL42" s="1202" t="str">
        <x:f t="shared" si="16"/>
        <x:v/>
      </x:c>
      <x:c r="AM42" s="1063" t="str">
        <x:f t="shared" si="17"/>
        <x:v/>
      </x:c>
      <x:c r="AN42" s="1063" t="str">
        <x:f t="shared" si="18"/>
        <x:v/>
      </x:c>
      <x:c r="AO42" s="1063" t="str">
        <x:f t="shared" si="19"/>
        <x:v/>
      </x:c>
      <x:c r="AP42" s="1063" t="b">
        <x:f>IF(ISERROR(AJ42),FALSE,IF(OR(AJ42=0,ISERROR(AL42),ISERROR(AM42),ISERROR(AN42),ISERROR(AO42)),FALSE,IF(AL42&lt;&gt;"",IF(ISERROR(VLOOKUP(SUBSTITUTE(SUBSTITUTE(C42,"R",""),"A",""),TblJoistSize!$A:$A,1,FALSE)),FALSE,TRUE),TRUE)))</x:f>
        <x:v>0</x:v>
      </x:c>
      <x:c r="AQ42" s="1305" t="e">
        <x:f t="shared" si="20"/>
        <x:v>#N/A</x:v>
      </x:c>
      <x:c r="AR42" s="1305" t="b">
        <x:f t="shared" si="21"/>
        <x:v>0</x:v>
      </x:c>
      <x:c r="AS42" s="1305" t="e">
        <x:f t="shared" si="22"/>
        <x:v>#N/A</x:v>
      </x:c>
      <x:c r="AT42" s="1305" t="b">
        <x:f t="shared" si="23"/>
        <x:v>0</x:v>
      </x:c>
      <x:c r="AU42" s="1203" t="str">
        <x:f t="shared" si="24"/>
        <x:v/>
      </x:c>
      <x:c r="AV42" s="1063" t="str">
        <x:f t="shared" si="25"/>
        <x:v/>
      </x:c>
      <x:c r="AW42" s="1063" t="str">
        <x:f t="shared" si="26"/>
        <x:v/>
      </x:c>
      <x:c r="AX42" s="1063" t="str">
        <x:f t="shared" si="102"/>
        <x:v/>
      </x:c>
      <x:c r="AY42" s="1306" t="b">
        <x:f t="shared" si="27"/>
        <x:v>0</x:v>
      </x:c>
      <x:c r="AZ42" s="1090" t="str">
        <x:f t="shared" si="28"/>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29"/>
        <x:v/>
      </x:c>
      <x:c r="CE42" s="935" t="str">
        <x:f t="shared" si="30"/>
        <x:v/>
      </x:c>
      <x:c r="CF42" s="1149"/>
      <x:c r="CG42" s="1150"/>
      <x:c r="CH42" s="738" t="str">
        <x:f t="shared" si="31"/>
        <x:v/>
      </x:c>
      <x:c r="CI42" s="739" t="str">
        <x:f t="shared" si="32"/>
        <x:v/>
      </x:c>
      <x:c r="CJ42" s="740" t="str">
        <x:f t="shared" si="33"/>
        <x:v/>
      </x:c>
      <x:c r="CK42" s="741" t="str">
        <x:f t="shared" si="34"/>
        <x:v/>
      </x:c>
      <x:c r="CL42" s="742" t="str">
        <x:f t="shared" si="35"/>
        <x:v/>
      </x:c>
      <x:c r="CM42" s="743" t="str">
        <x:f t="shared" si="36"/>
        <x:v/>
      </x:c>
      <x:c r="CN42" s="744" t="str">
        <x:f t="shared" si="37"/>
        <x:v/>
      </x:c>
      <x:c r="CO42" s="745" t="str">
        <x:f t="shared" si="38"/>
        <x:v/>
      </x:c>
      <x:c r="CP42" s="762" t="str">
        <x:f t="shared" si="39"/>
        <x:v/>
      </x:c>
      <x:c r="CQ42" s="763" t="str">
        <x:f t="shared" si="40"/>
        <x:v/>
      </x:c>
      <x:c r="CR42" s="953" t="str">
        <x:f t="shared" si="41"/>
        <x:v/>
      </x:c>
      <x:c r="CS42" s="954" t="str">
        <x:f t="shared" si="42"/>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3"/>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4"/>
        <x:v>0</x:v>
      </x:c>
      <x:c r="DO42" s="1049">
        <x:f t="shared" si="45"/>
        <x:v>0</x:v>
      </x:c>
      <x:c r="DP42" s="1053" t="str">
        <x:f t="shared" si="46"/>
        <x:v/>
      </x:c>
      <x:c r="DQ42" s="1053" t="str">
        <x:f t="shared" si="47"/>
        <x:v/>
      </x:c>
      <x:c r="DR42" s="1053" t="str">
        <x:f t="shared" si="48"/>
        <x:v/>
      </x:c>
      <x:c r="DS42" s="1052">
        <x:f t="shared" si="49"/>
        <x:v>0</x:v>
      </x:c>
      <x:c r="DT42" s="1052">
        <x:f t="shared" si="50"/>
        <x:v>0</x:v>
      </x:c>
      <x:c r="DU42" s="1052" t="str">
        <x:f t="shared" si="51"/>
        <x:v/>
      </x:c>
      <x:c r="DV42" s="1053" t="str">
        <x:f t="shared" si="52"/>
        <x:v/>
      </x:c>
      <x:c r="DW42" s="1053" t="str">
        <x:f t="shared" si="53"/>
        <x:v/>
      </x:c>
      <x:c r="DX42" s="1269">
        <x:f t="shared" si="54"/>
        <x:v>0</x:v>
      </x:c>
      <x:c r="DY42" s="1053">
        <x:f t="shared" si="55"/>
        <x:v>0</x:v>
      </x:c>
      <x:c r="DZ42" s="1052">
        <x:f t="shared" si="56"/>
        <x:v>0</x:v>
      </x:c>
      <x:c r="EA42" s="1052" t="str">
        <x:f t="shared" si="57"/>
        <x:v/>
      </x:c>
      <x:c r="EB42" s="1053" t="str">
        <x:f t="shared" si="58"/>
        <x:v/>
      </x:c>
      <x:c r="EC42" s="1053" t="str">
        <x:f t="shared" si="59"/>
        <x:v/>
      </x:c>
      <x:c r="ED42" s="1269">
        <x:f t="shared" si="60"/>
        <x:v>0</x:v>
      </x:c>
      <x:c r="EE42" s="1090" t="str">
        <x:f t="shared" si="61"/>
        <x:v/>
      </x:c>
      <x:c r="EF42" s="1053" t="str">
        <x:f t="shared" si="62"/>
        <x:v/>
      </x:c>
      <x:c r="EG42" s="1053" t="str">
        <x:f t="shared" si="63"/>
        <x:v/>
      </x:c>
      <x:c r="EH42" s="1053" t="e">
        <x:f t="shared" si="64"/>
        <x:v>#N/A</x:v>
      </x:c>
      <x:c r="EI42" s="1053" t="e">
        <x:f t="shared" si="65"/>
        <x:v>#N/A</x:v>
      </x:c>
      <x:c r="EJ42" s="1053" t="str">
        <x:f t="shared" si="66"/>
        <x:v/>
      </x:c>
      <x:c r="EK42" s="1053" t="str">
        <x:f t="shared" si="66"/>
        <x:v/>
      </x:c>
      <x:c r="EL42" s="1090" t="str">
        <x:f t="shared" si="67"/>
        <x:v/>
      </x:c>
      <x:c r="EM42" s="1053" t="str">
        <x:f t="shared" si="68"/>
        <x:v/>
      </x:c>
      <x:c r="EN42" s="1053" t="str">
        <x:f t="shared" si="69"/>
        <x:v/>
      </x:c>
      <x:c r="EO42" s="1053" t="e">
        <x:f t="shared" si="70"/>
        <x:v>#N/A</x:v>
      </x:c>
      <x:c r="EP42" s="1053" t="e">
        <x:f t="shared" si="71"/>
        <x:v>#N/A</x:v>
      </x:c>
      <x:c r="EQ42" s="1053" t="str">
        <x:f t="shared" si="72"/>
        <x:v/>
      </x:c>
      <x:c r="ER42" s="1053" t="str">
        <x:f t="shared" si="72"/>
        <x:v/>
      </x:c>
      <x:c r="ES42" s="1053" t="str">
        <x:f t="shared" si="73"/>
        <x:v/>
      </x:c>
      <x:c r="ET42" s="1053" t="str">
        <x:f t="shared" si="74"/>
        <x:v/>
      </x:c>
      <x:c r="EU42" s="1061" t="str">
        <x:f t="shared" si="75"/>
        <x:v/>
      </x:c>
      <x:c r="EV42" s="1055" t="str">
        <x:f t="shared" si="76"/>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77"/>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78"/>
        <x:v/>
      </x:c>
      <x:c r="FD42" s="1052">
        <x:f t="shared" si="103"/>
        <x:v>0</x:v>
      </x:c>
      <x:c r="FE42" s="1052">
        <x:f t="shared" si="79"/>
        <x:v>0</x:v>
      </x:c>
      <x:c r="FF42" s="1052">
        <x:f t="shared" si="80"/>
        <x:v>0</x:v>
      </x:c>
      <x:c r="FG42" s="1052" t="str">
        <x:f t="shared" si="81"/>
        <x:v/>
      </x:c>
      <x:c r="FH42" s="1053" t="str">
        <x:f t="shared" si="82"/>
        <x:v/>
      </x:c>
      <x:c r="FI42" s="1052">
        <x:f t="shared" si="104"/>
        <x:v>0</x:v>
      </x:c>
      <x:c r="FJ42" s="1052">
        <x:f t="shared" si="83"/>
        <x:v>0</x:v>
      </x:c>
      <x:c r="FK42" s="1052">
        <x:f t="shared" si="84"/>
        <x:v>0</x:v>
      </x:c>
      <x:c r="FL42" s="1052" t="str">
        <x:f t="shared" si="85"/>
        <x:v/>
      </x:c>
      <x:c r="FM42" s="1053" t="str">
        <x:f t="shared" si="86"/>
        <x:v/>
      </x:c>
      <x:c r="FN42" s="1053" t="e">
        <x:f t="shared" si="87"/>
        <x:v>#VALUE!</x:v>
      </x:c>
      <x:c r="FO42" s="1062" t="e">
        <x:f t="shared" si="88"/>
        <x:v>#VALUE!</x:v>
      </x:c>
      <x:c r="FP42" s="1062" t="e">
        <x:f t="shared" si="89"/>
        <x:v>#VALUE!</x:v>
      </x:c>
      <x:c r="FQ42" s="1063" t="e">
        <x:f t="shared" si="90"/>
        <x:v>#VALUE!</x:v>
      </x:c>
      <x:c r="FR42" s="1064" t="e">
        <x:f t="shared" si="91"/>
        <x:v>#VALUE!</x:v>
      </x:c>
      <x:c r="FS42" s="1065" t="str">
        <x:f t="shared" si="92"/>
        <x:v/>
      </x:c>
      <x:c r="FT42" s="1066" t="str">
        <x:f t="shared" si="93"/>
        <x:v/>
      </x:c>
      <x:c r="FU42" s="1105">
        <x:f t="shared" si="94"/>
        <x:v>0</x:v>
      </x:c>
      <x:c r="FV42" s="1106">
        <x:f t="shared" si="95"/>
        <x:v>0</x:v>
      </x:c>
      <x:c r="GA42" s="1975" t="str">
        <x:f t="shared" si="118"/>
        <x:v/>
      </x:c>
      <x:c r="GB42" s="1976" t="str">
        <x:f t="shared" si="119"/>
        <x:v/>
      </x:c>
      <x:c r="GC42" s="1977" t="str">
        <x:f t="shared" si="120"/>
        <x:v/>
      </x:c>
      <x:c r="GD42" s="1978" t="str">
        <x:f t="shared" si="121"/>
        <x:v/>
      </x:c>
      <x:c r="GE42" s="1979" t="str">
        <x:f t="shared" si="122"/>
        <x:v/>
      </x:c>
      <x:c r="GF42" s="1980" t="str">
        <x:f t="shared" si="96"/>
        <x:v/>
      </x:c>
      <x:c r="GG42" s="1453"/>
      <x:c r="GH42" s="1454"/>
      <x:c r="GI42" s="1453"/>
      <x:c r="GJ42" s="1454"/>
      <x:c r="GK42" s="533">
        <x:f t="shared" si="97"/>
        <x:v>0</x:v>
      </x:c>
      <x:c r="GL42" s="534" t="e">
        <x:f t="shared" si="98"/>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
        <x:v/>
      </x:c>
      <x:c r="G43" s="1262" t="str">
        <x:f t="shared" si="2"/>
        <x:v/>
      </x:c>
      <x:c r="H43" s="1266" t="str">
        <x:f t="shared" si="3"/>
        <x:v/>
      </x:c>
      <x:c r="I43" s="1261" t="str">
        <x:f t="shared" si="114"/>
        <x:v/>
      </x:c>
      <x:c r="J43" s="1262" t="str">
        <x:f t="shared" si="115"/>
        <x:v/>
      </x:c>
      <x:c r="K43" s="1370" t="str">
        <x:f t="shared" si="116"/>
        <x:v/>
      </x:c>
      <x:c r="L43" s="1327" t="str">
        <x:f t="shared" si="117"/>
        <x:v/>
      </x:c>
      <x:c r="M43" s="1329" t="str">
        <x:f t="shared" si="117"/>
        <x:v/>
      </x:c>
      <x:c r="N43" s="1263" t="str">
        <x:f t="shared" si="4"/>
        <x:v/>
      </x:c>
      <x:c r="O43" s="1262" t="str">
        <x:f t="shared" si="5"/>
        <x:v/>
      </x:c>
      <x:c r="P43" s="1260" t="str">
        <x:f t="shared" si="6"/>
        <x:v/>
      </x:c>
      <x:c r="Q43" s="1261" t="str">
        <x:f t="shared" si="99"/>
        <x:v/>
      </x:c>
      <x:c r="R43" s="1262" t="str">
        <x:f t="shared" si="100"/>
        <x:v/>
      </x:c>
      <x:c r="S43" s="1375" t="str">
        <x:f t="shared" si="101"/>
        <x:v/>
      </x:c>
      <x:c r="T43" s="1328" t="str">
        <x:f t="shared" si="105"/>
        <x:v/>
      </x:c>
      <x:c r="U43" s="1262" t="str">
        <x:f t="shared" si="106"/>
        <x:v/>
      </x:c>
      <x:c r="V43" s="1261" t="str">
        <x:f t="shared" si="107"/>
        <x:v/>
      </x:c>
      <x:c r="W43" s="1262" t="str">
        <x:f t="shared" si="108"/>
        <x:v/>
      </x:c>
      <x:c r="X43" s="1329">
        <x:f t="shared" si="109"/>
        <x:v>0</x:v>
      </x:c>
      <x:c r="Y43" s="1377" t="str">
        <x:f t="shared" si="7"/>
        <x:v/>
      </x:c>
      <x:c r="Z43" s="1378" t="str">
        <x:f t="shared" si="8"/>
        <x:v/>
      </x:c>
      <x:c r="AA43" s="2159"/>
      <x:c r="AC43" s="1226" t="b">
        <x:v>0</x:v>
      </x:c>
      <x:c r="AD43" s="525">
        <x:f t="shared" si="9"/>
        <x:v>0</x:v>
      </x:c>
      <x:c r="AE43" s="526">
        <x:f t="shared" si="10"/>
        <x:v>0</x:v>
      </x:c>
      <x:c r="AF43" s="526">
        <x:f t="shared" si="11"/>
        <x:v>0</x:v>
      </x:c>
      <x:c r="AG43" s="526">
        <x:f t="shared" si="12"/>
        <x:v>0</x:v>
      </x:c>
      <x:c r="AH43" s="527">
        <x:f t="shared" si="13"/>
        <x:v>0</x:v>
      </x:c>
      <x:c r="AI43" s="528" t="b">
        <x:v>0</x:v>
      </x:c>
      <x:c r="AJ43" s="284">
        <x:f t="shared" si="14"/>
        <x:v>0</x:v>
      </x:c>
      <x:c r="AK43" s="1063" t="str">
        <x:f t="shared" si="15"/>
        <x:v/>
      </x:c>
      <x:c r="AL43" s="1202" t="str">
        <x:f t="shared" si="16"/>
        <x:v/>
      </x:c>
      <x:c r="AM43" s="1063" t="str">
        <x:f t="shared" si="17"/>
        <x:v/>
      </x:c>
      <x:c r="AN43" s="1063" t="str">
        <x:f t="shared" si="18"/>
        <x:v/>
      </x:c>
      <x:c r="AO43" s="1063" t="str">
        <x:f t="shared" si="19"/>
        <x:v/>
      </x:c>
      <x:c r="AP43" s="1063" t="b">
        <x:f>IF(ISERROR(AJ43),FALSE,IF(OR(AJ43=0,ISERROR(AL43),ISERROR(AM43),ISERROR(AN43),ISERROR(AO43)),FALSE,IF(AL43&lt;&gt;"",IF(ISERROR(VLOOKUP(SUBSTITUTE(SUBSTITUTE(C43,"R",""),"A",""),TblJoistSize!$A:$A,1,FALSE)),FALSE,TRUE),TRUE)))</x:f>
        <x:v>0</x:v>
      </x:c>
      <x:c r="AQ43" s="1305" t="e">
        <x:f t="shared" si="20"/>
        <x:v>#N/A</x:v>
      </x:c>
      <x:c r="AR43" s="1305" t="b">
        <x:f t="shared" si="21"/>
        <x:v>0</x:v>
      </x:c>
      <x:c r="AS43" s="1305" t="e">
        <x:f t="shared" si="22"/>
        <x:v>#N/A</x:v>
      </x:c>
      <x:c r="AT43" s="1305" t="b">
        <x:f t="shared" si="23"/>
        <x:v>0</x:v>
      </x:c>
      <x:c r="AU43" s="1203" t="str">
        <x:f t="shared" si="24"/>
        <x:v/>
      </x:c>
      <x:c r="AV43" s="1063" t="str">
        <x:f t="shared" si="25"/>
        <x:v/>
      </x:c>
      <x:c r="AW43" s="1063" t="str">
        <x:f t="shared" si="26"/>
        <x:v/>
      </x:c>
      <x:c r="AX43" s="1063" t="str">
        <x:f t="shared" si="102"/>
        <x:v/>
      </x:c>
      <x:c r="AY43" s="1306" t="b">
        <x:f t="shared" si="27"/>
        <x:v>0</x:v>
      </x:c>
      <x:c r="AZ43" s="1090" t="str">
        <x:f t="shared" si="28"/>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29"/>
        <x:v/>
      </x:c>
      <x:c r="CE43" s="935" t="str">
        <x:f t="shared" si="30"/>
        <x:v/>
      </x:c>
      <x:c r="CF43" s="1149"/>
      <x:c r="CG43" s="1150"/>
      <x:c r="CH43" s="738" t="str">
        <x:f t="shared" si="31"/>
        <x:v/>
      </x:c>
      <x:c r="CI43" s="739" t="str">
        <x:f t="shared" si="32"/>
        <x:v/>
      </x:c>
      <x:c r="CJ43" s="740" t="str">
        <x:f t="shared" si="33"/>
        <x:v/>
      </x:c>
      <x:c r="CK43" s="741" t="str">
        <x:f t="shared" si="34"/>
        <x:v/>
      </x:c>
      <x:c r="CL43" s="742" t="str">
        <x:f t="shared" si="35"/>
        <x:v/>
      </x:c>
      <x:c r="CM43" s="743" t="str">
        <x:f t="shared" si="36"/>
        <x:v/>
      </x:c>
      <x:c r="CN43" s="744" t="str">
        <x:f t="shared" si="37"/>
        <x:v/>
      </x:c>
      <x:c r="CO43" s="745" t="str">
        <x:f t="shared" si="38"/>
        <x:v/>
      </x:c>
      <x:c r="CP43" s="762" t="str">
        <x:f t="shared" si="39"/>
        <x:v/>
      </x:c>
      <x:c r="CQ43" s="763" t="str">
        <x:f t="shared" si="40"/>
        <x:v/>
      </x:c>
      <x:c r="CR43" s="953" t="str">
        <x:f t="shared" si="41"/>
        <x:v/>
      </x:c>
      <x:c r="CS43" s="954" t="str">
        <x:f t="shared" si="42"/>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3"/>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4"/>
        <x:v>0</x:v>
      </x:c>
      <x:c r="DO43" s="1049">
        <x:f t="shared" si="45"/>
        <x:v>0</x:v>
      </x:c>
      <x:c r="DP43" s="1053" t="str">
        <x:f t="shared" si="46"/>
        <x:v/>
      </x:c>
      <x:c r="DQ43" s="1053" t="str">
        <x:f t="shared" si="47"/>
        <x:v/>
      </x:c>
      <x:c r="DR43" s="1053" t="str">
        <x:f t="shared" si="48"/>
        <x:v/>
      </x:c>
      <x:c r="DS43" s="1052">
        <x:f t="shared" si="49"/>
        <x:v>0</x:v>
      </x:c>
      <x:c r="DT43" s="1052">
        <x:f t="shared" si="50"/>
        <x:v>0</x:v>
      </x:c>
      <x:c r="DU43" s="1052" t="str">
        <x:f t="shared" si="51"/>
        <x:v/>
      </x:c>
      <x:c r="DV43" s="1053" t="str">
        <x:f t="shared" si="52"/>
        <x:v/>
      </x:c>
      <x:c r="DW43" s="1053" t="str">
        <x:f t="shared" si="53"/>
        <x:v/>
      </x:c>
      <x:c r="DX43" s="1269">
        <x:f t="shared" si="54"/>
        <x:v>0</x:v>
      </x:c>
      <x:c r="DY43" s="1053">
        <x:f t="shared" si="55"/>
        <x:v>0</x:v>
      </x:c>
      <x:c r="DZ43" s="1052">
        <x:f t="shared" si="56"/>
        <x:v>0</x:v>
      </x:c>
      <x:c r="EA43" s="1052" t="str">
        <x:f t="shared" si="57"/>
        <x:v/>
      </x:c>
      <x:c r="EB43" s="1053" t="str">
        <x:f t="shared" si="58"/>
        <x:v/>
      </x:c>
      <x:c r="EC43" s="1053" t="str">
        <x:f t="shared" si="59"/>
        <x:v/>
      </x:c>
      <x:c r="ED43" s="1269">
        <x:f t="shared" si="60"/>
        <x:v>0</x:v>
      </x:c>
      <x:c r="EE43" s="1090" t="str">
        <x:f t="shared" si="61"/>
        <x:v/>
      </x:c>
      <x:c r="EF43" s="1053" t="str">
        <x:f t="shared" si="62"/>
        <x:v/>
      </x:c>
      <x:c r="EG43" s="1053" t="str">
        <x:f t="shared" si="63"/>
        <x:v/>
      </x:c>
      <x:c r="EH43" s="1053" t="e">
        <x:f t="shared" si="64"/>
        <x:v>#N/A</x:v>
      </x:c>
      <x:c r="EI43" s="1053" t="e">
        <x:f t="shared" si="65"/>
        <x:v>#N/A</x:v>
      </x:c>
      <x:c r="EJ43" s="1053" t="str">
        <x:f t="shared" si="66"/>
        <x:v/>
      </x:c>
      <x:c r="EK43" s="1053" t="str">
        <x:f t="shared" si="66"/>
        <x:v/>
      </x:c>
      <x:c r="EL43" s="1090" t="str">
        <x:f t="shared" si="67"/>
        <x:v/>
      </x:c>
      <x:c r="EM43" s="1053" t="str">
        <x:f t="shared" si="68"/>
        <x:v/>
      </x:c>
      <x:c r="EN43" s="1053" t="str">
        <x:f t="shared" si="69"/>
        <x:v/>
      </x:c>
      <x:c r="EO43" s="1053" t="e">
        <x:f t="shared" si="70"/>
        <x:v>#N/A</x:v>
      </x:c>
      <x:c r="EP43" s="1053" t="e">
        <x:f t="shared" si="71"/>
        <x:v>#N/A</x:v>
      </x:c>
      <x:c r="EQ43" s="1053" t="str">
        <x:f t="shared" si="72"/>
        <x:v/>
      </x:c>
      <x:c r="ER43" s="1053" t="str">
        <x:f t="shared" si="72"/>
        <x:v/>
      </x:c>
      <x:c r="ES43" s="1053" t="str">
        <x:f t="shared" si="73"/>
        <x:v/>
      </x:c>
      <x:c r="ET43" s="1053" t="str">
        <x:f t="shared" si="74"/>
        <x:v/>
      </x:c>
      <x:c r="EU43" s="1061" t="str">
        <x:f t="shared" si="75"/>
        <x:v/>
      </x:c>
      <x:c r="EV43" s="1055" t="str">
        <x:f t="shared" si="76"/>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77"/>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78"/>
        <x:v/>
      </x:c>
      <x:c r="FD43" s="1052">
        <x:f t="shared" si="103"/>
        <x:v>0</x:v>
      </x:c>
      <x:c r="FE43" s="1052">
        <x:f t="shared" si="79"/>
        <x:v>0</x:v>
      </x:c>
      <x:c r="FF43" s="1052">
        <x:f t="shared" si="80"/>
        <x:v>0</x:v>
      </x:c>
      <x:c r="FG43" s="1052" t="str">
        <x:f t="shared" si="81"/>
        <x:v/>
      </x:c>
      <x:c r="FH43" s="1053" t="str">
        <x:f t="shared" si="82"/>
        <x:v/>
      </x:c>
      <x:c r="FI43" s="1052">
        <x:f t="shared" si="104"/>
        <x:v>0</x:v>
      </x:c>
      <x:c r="FJ43" s="1052">
        <x:f t="shared" si="83"/>
        <x:v>0</x:v>
      </x:c>
      <x:c r="FK43" s="1052">
        <x:f t="shared" si="84"/>
        <x:v>0</x:v>
      </x:c>
      <x:c r="FL43" s="1052" t="str">
        <x:f t="shared" si="85"/>
        <x:v/>
      </x:c>
      <x:c r="FM43" s="1053" t="str">
        <x:f t="shared" si="86"/>
        <x:v/>
      </x:c>
      <x:c r="FN43" s="1053" t="e">
        <x:f t="shared" si="87"/>
        <x:v>#VALUE!</x:v>
      </x:c>
      <x:c r="FO43" s="1062" t="e">
        <x:f t="shared" si="88"/>
        <x:v>#VALUE!</x:v>
      </x:c>
      <x:c r="FP43" s="1062" t="e">
        <x:f t="shared" si="89"/>
        <x:v>#VALUE!</x:v>
      </x:c>
      <x:c r="FQ43" s="1063" t="e">
        <x:f t="shared" si="90"/>
        <x:v>#VALUE!</x:v>
      </x:c>
      <x:c r="FR43" s="1064" t="e">
        <x:f t="shared" si="91"/>
        <x:v>#VALUE!</x:v>
      </x:c>
      <x:c r="FS43" s="1065" t="str">
        <x:f t="shared" si="92"/>
        <x:v/>
      </x:c>
      <x:c r="FT43" s="1066" t="str">
        <x:f t="shared" si="93"/>
        <x:v/>
      </x:c>
      <x:c r="FU43" s="1105">
        <x:f t="shared" si="94"/>
        <x:v>0</x:v>
      </x:c>
      <x:c r="FV43" s="1106">
        <x:f t="shared" si="95"/>
        <x:v>0</x:v>
      </x:c>
      <x:c r="GA43" s="1975" t="str">
        <x:f t="shared" si="118"/>
        <x:v/>
      </x:c>
      <x:c r="GB43" s="1976" t="str">
        <x:f t="shared" si="119"/>
        <x:v/>
      </x:c>
      <x:c r="GC43" s="1977" t="str">
        <x:f t="shared" si="120"/>
        <x:v/>
      </x:c>
      <x:c r="GD43" s="1978" t="str">
        <x:f t="shared" si="121"/>
        <x:v/>
      </x:c>
      <x:c r="GE43" s="1979" t="str">
        <x:f t="shared" si="122"/>
        <x:v/>
      </x:c>
      <x:c r="GF43" s="1980" t="str">
        <x:f t="shared" si="96"/>
        <x:v/>
      </x:c>
      <x:c r="GG43" s="1453"/>
      <x:c r="GH43" s="1454"/>
      <x:c r="GI43" s="1453"/>
      <x:c r="GJ43" s="1454"/>
      <x:c r="GK43" s="533">
        <x:f t="shared" si="97"/>
        <x:v>0</x:v>
      </x:c>
      <x:c r="GL43" s="534" t="e">
        <x:f t="shared" si="98"/>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
        <x:v/>
      </x:c>
      <x:c r="G44" s="1262" t="str">
        <x:f t="shared" si="2"/>
        <x:v/>
      </x:c>
      <x:c r="H44" s="1266" t="str">
        <x:f t="shared" si="3"/>
        <x:v/>
      </x:c>
      <x:c r="I44" s="1261" t="str">
        <x:f t="shared" si="114"/>
        <x:v/>
      </x:c>
      <x:c r="J44" s="1262" t="str">
        <x:f t="shared" si="115"/>
        <x:v/>
      </x:c>
      <x:c r="K44" s="1370" t="str">
        <x:f t="shared" si="116"/>
        <x:v/>
      </x:c>
      <x:c r="L44" s="1327" t="str">
        <x:f t="shared" si="117"/>
        <x:v/>
      </x:c>
      <x:c r="M44" s="1329" t="str">
        <x:f t="shared" si="117"/>
        <x:v/>
      </x:c>
      <x:c r="N44" s="1263" t="str">
        <x:f t="shared" si="4"/>
        <x:v/>
      </x:c>
      <x:c r="O44" s="1262" t="str">
        <x:f t="shared" si="5"/>
        <x:v/>
      </x:c>
      <x:c r="P44" s="1260" t="str">
        <x:f t="shared" si="6"/>
        <x:v/>
      </x:c>
      <x:c r="Q44" s="1261" t="str">
        <x:f t="shared" si="99"/>
        <x:v/>
      </x:c>
      <x:c r="R44" s="1262" t="str">
        <x:f t="shared" si="100"/>
        <x:v/>
      </x:c>
      <x:c r="S44" s="1375" t="str">
        <x:f t="shared" si="101"/>
        <x:v/>
      </x:c>
      <x:c r="T44" s="1328" t="str">
        <x:f t="shared" si="105"/>
        <x:v/>
      </x:c>
      <x:c r="U44" s="1262" t="str">
        <x:f t="shared" si="106"/>
        <x:v/>
      </x:c>
      <x:c r="V44" s="1261" t="str">
        <x:f t="shared" si="107"/>
        <x:v/>
      </x:c>
      <x:c r="W44" s="1262" t="str">
        <x:f t="shared" si="108"/>
        <x:v/>
      </x:c>
      <x:c r="X44" s="1329">
        <x:f t="shared" si="109"/>
        <x:v>0</x:v>
      </x:c>
      <x:c r="Y44" s="1377" t="str">
        <x:f t="shared" si="7"/>
        <x:v/>
      </x:c>
      <x:c r="Z44" s="1378" t="str">
        <x:f t="shared" si="8"/>
        <x:v/>
      </x:c>
      <x:c r="AA44" s="2159"/>
      <x:c r="AC44" s="1226" t="b">
        <x:v>0</x:v>
      </x:c>
      <x:c r="AD44" s="525">
        <x:f t="shared" si="9"/>
        <x:v>0</x:v>
      </x:c>
      <x:c r="AE44" s="526">
        <x:f t="shared" si="10"/>
        <x:v>0</x:v>
      </x:c>
      <x:c r="AF44" s="526">
        <x:f t="shared" si="11"/>
        <x:v>0</x:v>
      </x:c>
      <x:c r="AG44" s="526">
        <x:f t="shared" si="12"/>
        <x:v>0</x:v>
      </x:c>
      <x:c r="AH44" s="527">
        <x:f t="shared" si="13"/>
        <x:v>0</x:v>
      </x:c>
      <x:c r="AI44" s="528" t="b">
        <x:v>0</x:v>
      </x:c>
      <x:c r="AJ44" s="284">
        <x:f t="shared" si="14"/>
        <x:v>0</x:v>
      </x:c>
      <x:c r="AK44" s="1063" t="str">
        <x:f t="shared" si="15"/>
        <x:v/>
      </x:c>
      <x:c r="AL44" s="1202" t="str">
        <x:f t="shared" si="16"/>
        <x:v/>
      </x:c>
      <x:c r="AM44" s="1063" t="str">
        <x:f t="shared" si="17"/>
        <x:v/>
      </x:c>
      <x:c r="AN44" s="1063" t="str">
        <x:f t="shared" si="18"/>
        <x:v/>
      </x:c>
      <x:c r="AO44" s="1063" t="str">
        <x:f t="shared" si="19"/>
        <x:v/>
      </x:c>
      <x:c r="AP44" s="1063" t="b">
        <x:f>IF(ISERROR(AJ44),FALSE,IF(OR(AJ44=0,ISERROR(AL44),ISERROR(AM44),ISERROR(AN44),ISERROR(AO44)),FALSE,IF(AL44&lt;&gt;"",IF(ISERROR(VLOOKUP(SUBSTITUTE(SUBSTITUTE(C44,"R",""),"A",""),TblJoistSize!$A:$A,1,FALSE)),FALSE,TRUE),TRUE)))</x:f>
        <x:v>0</x:v>
      </x:c>
      <x:c r="AQ44" s="1305" t="e">
        <x:f t="shared" si="20"/>
        <x:v>#N/A</x:v>
      </x:c>
      <x:c r="AR44" s="1305" t="b">
        <x:f t="shared" si="21"/>
        <x:v>0</x:v>
      </x:c>
      <x:c r="AS44" s="1305" t="e">
        <x:f t="shared" si="22"/>
        <x:v>#N/A</x:v>
      </x:c>
      <x:c r="AT44" s="1305" t="b">
        <x:f t="shared" si="23"/>
        <x:v>0</x:v>
      </x:c>
      <x:c r="AU44" s="1203" t="str">
        <x:f t="shared" si="24"/>
        <x:v/>
      </x:c>
      <x:c r="AV44" s="1063" t="str">
        <x:f t="shared" si="25"/>
        <x:v/>
      </x:c>
      <x:c r="AW44" s="1063" t="str">
        <x:f t="shared" si="26"/>
        <x:v/>
      </x:c>
      <x:c r="AX44" s="1063" t="str">
        <x:f t="shared" si="102"/>
        <x:v/>
      </x:c>
      <x:c r="AY44" s="1306" t="b">
        <x:f t="shared" si="27"/>
        <x:v>0</x:v>
      </x:c>
      <x:c r="AZ44" s="1090" t="str">
        <x:f t="shared" si="28"/>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29"/>
        <x:v/>
      </x:c>
      <x:c r="CE44" s="935" t="str">
        <x:f t="shared" si="30"/>
        <x:v/>
      </x:c>
      <x:c r="CF44" s="1149"/>
      <x:c r="CG44" s="1150"/>
      <x:c r="CH44" s="738" t="str">
        <x:f t="shared" si="31"/>
        <x:v/>
      </x:c>
      <x:c r="CI44" s="739" t="str">
        <x:f t="shared" si="32"/>
        <x:v/>
      </x:c>
      <x:c r="CJ44" s="740" t="str">
        <x:f t="shared" si="33"/>
        <x:v/>
      </x:c>
      <x:c r="CK44" s="741" t="str">
        <x:f t="shared" si="34"/>
        <x:v/>
      </x:c>
      <x:c r="CL44" s="742" t="str">
        <x:f t="shared" si="35"/>
        <x:v/>
      </x:c>
      <x:c r="CM44" s="743" t="str">
        <x:f t="shared" si="36"/>
        <x:v/>
      </x:c>
      <x:c r="CN44" s="744" t="str">
        <x:f t="shared" si="37"/>
        <x:v/>
      </x:c>
      <x:c r="CO44" s="745" t="str">
        <x:f t="shared" si="38"/>
        <x:v/>
      </x:c>
      <x:c r="CP44" s="762" t="str">
        <x:f t="shared" si="39"/>
        <x:v/>
      </x:c>
      <x:c r="CQ44" s="763" t="str">
        <x:f t="shared" si="40"/>
        <x:v/>
      </x:c>
      <x:c r="CR44" s="953" t="str">
        <x:f t="shared" si="41"/>
        <x:v/>
      </x:c>
      <x:c r="CS44" s="954" t="str">
        <x:f t="shared" si="42"/>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3"/>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4"/>
        <x:v>0</x:v>
      </x:c>
      <x:c r="DO44" s="1049">
        <x:f t="shared" si="45"/>
        <x:v>0</x:v>
      </x:c>
      <x:c r="DP44" s="1053" t="str">
        <x:f t="shared" si="46"/>
        <x:v/>
      </x:c>
      <x:c r="DQ44" s="1053" t="str">
        <x:f t="shared" si="47"/>
        <x:v/>
      </x:c>
      <x:c r="DR44" s="1053" t="str">
        <x:f t="shared" si="48"/>
        <x:v/>
      </x:c>
      <x:c r="DS44" s="1052">
        <x:f t="shared" si="49"/>
        <x:v>0</x:v>
      </x:c>
      <x:c r="DT44" s="1052">
        <x:f t="shared" si="50"/>
        <x:v>0</x:v>
      </x:c>
      <x:c r="DU44" s="1052" t="str">
        <x:f t="shared" si="51"/>
        <x:v/>
      </x:c>
      <x:c r="DV44" s="1053" t="str">
        <x:f t="shared" si="52"/>
        <x:v/>
      </x:c>
      <x:c r="DW44" s="1053" t="str">
        <x:f t="shared" si="53"/>
        <x:v/>
      </x:c>
      <x:c r="DX44" s="1269">
        <x:f t="shared" si="54"/>
        <x:v>0</x:v>
      </x:c>
      <x:c r="DY44" s="1053">
        <x:f t="shared" si="55"/>
        <x:v>0</x:v>
      </x:c>
      <x:c r="DZ44" s="1052">
        <x:f t="shared" si="56"/>
        <x:v>0</x:v>
      </x:c>
      <x:c r="EA44" s="1052" t="str">
        <x:f t="shared" si="57"/>
        <x:v/>
      </x:c>
      <x:c r="EB44" s="1053" t="str">
        <x:f t="shared" si="58"/>
        <x:v/>
      </x:c>
      <x:c r="EC44" s="1053" t="str">
        <x:f t="shared" si="59"/>
        <x:v/>
      </x:c>
      <x:c r="ED44" s="1269">
        <x:f t="shared" si="60"/>
        <x:v>0</x:v>
      </x:c>
      <x:c r="EE44" s="1090" t="str">
        <x:f t="shared" si="61"/>
        <x:v/>
      </x:c>
      <x:c r="EF44" s="1053" t="str">
        <x:f t="shared" si="62"/>
        <x:v/>
      </x:c>
      <x:c r="EG44" s="1053" t="str">
        <x:f t="shared" si="63"/>
        <x:v/>
      </x:c>
      <x:c r="EH44" s="1053" t="e">
        <x:f t="shared" si="64"/>
        <x:v>#N/A</x:v>
      </x:c>
      <x:c r="EI44" s="1053" t="e">
        <x:f t="shared" si="65"/>
        <x:v>#N/A</x:v>
      </x:c>
      <x:c r="EJ44" s="1053" t="str">
        <x:f t="shared" si="66"/>
        <x:v/>
      </x:c>
      <x:c r="EK44" s="1053" t="str">
        <x:f t="shared" si="66"/>
        <x:v/>
      </x:c>
      <x:c r="EL44" s="1090" t="str">
        <x:f t="shared" si="67"/>
        <x:v/>
      </x:c>
      <x:c r="EM44" s="1053" t="str">
        <x:f t="shared" si="68"/>
        <x:v/>
      </x:c>
      <x:c r="EN44" s="1053" t="str">
        <x:f t="shared" si="69"/>
        <x:v/>
      </x:c>
      <x:c r="EO44" s="1053" t="e">
        <x:f t="shared" si="70"/>
        <x:v>#N/A</x:v>
      </x:c>
      <x:c r="EP44" s="1053" t="e">
        <x:f t="shared" si="71"/>
        <x:v>#N/A</x:v>
      </x:c>
      <x:c r="EQ44" s="1053" t="str">
        <x:f t="shared" si="72"/>
        <x:v/>
      </x:c>
      <x:c r="ER44" s="1053" t="str">
        <x:f t="shared" si="72"/>
        <x:v/>
      </x:c>
      <x:c r="ES44" s="1053" t="str">
        <x:f t="shared" si="73"/>
        <x:v/>
      </x:c>
      <x:c r="ET44" s="1053" t="str">
        <x:f t="shared" si="74"/>
        <x:v/>
      </x:c>
      <x:c r="EU44" s="1061" t="str">
        <x:f t="shared" si="75"/>
        <x:v/>
      </x:c>
      <x:c r="EV44" s="1055" t="str">
        <x:f t="shared" si="76"/>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77"/>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78"/>
        <x:v/>
      </x:c>
      <x:c r="FD44" s="1052">
        <x:f t="shared" si="103"/>
        <x:v>0</x:v>
      </x:c>
      <x:c r="FE44" s="1052">
        <x:f t="shared" si="79"/>
        <x:v>0</x:v>
      </x:c>
      <x:c r="FF44" s="1052">
        <x:f t="shared" si="80"/>
        <x:v>0</x:v>
      </x:c>
      <x:c r="FG44" s="1052" t="str">
        <x:f t="shared" si="81"/>
        <x:v/>
      </x:c>
      <x:c r="FH44" s="1053" t="str">
        <x:f t="shared" si="82"/>
        <x:v/>
      </x:c>
      <x:c r="FI44" s="1052">
        <x:f t="shared" si="104"/>
        <x:v>0</x:v>
      </x:c>
      <x:c r="FJ44" s="1052">
        <x:f t="shared" si="83"/>
        <x:v>0</x:v>
      </x:c>
      <x:c r="FK44" s="1052">
        <x:f t="shared" si="84"/>
        <x:v>0</x:v>
      </x:c>
      <x:c r="FL44" s="1052" t="str">
        <x:f t="shared" si="85"/>
        <x:v/>
      </x:c>
      <x:c r="FM44" s="1053" t="str">
        <x:f t="shared" si="86"/>
        <x:v/>
      </x:c>
      <x:c r="FN44" s="1053" t="e">
        <x:f t="shared" si="87"/>
        <x:v>#VALUE!</x:v>
      </x:c>
      <x:c r="FO44" s="1062" t="e">
        <x:f t="shared" si="88"/>
        <x:v>#VALUE!</x:v>
      </x:c>
      <x:c r="FP44" s="1062" t="e">
        <x:f t="shared" si="89"/>
        <x:v>#VALUE!</x:v>
      </x:c>
      <x:c r="FQ44" s="1063" t="e">
        <x:f t="shared" si="90"/>
        <x:v>#VALUE!</x:v>
      </x:c>
      <x:c r="FR44" s="1064" t="e">
        <x:f t="shared" si="91"/>
        <x:v>#VALUE!</x:v>
      </x:c>
      <x:c r="FS44" s="1065" t="str">
        <x:f t="shared" si="92"/>
        <x:v/>
      </x:c>
      <x:c r="FT44" s="1066" t="str">
        <x:f t="shared" si="93"/>
        <x:v/>
      </x:c>
      <x:c r="FU44" s="1105">
        <x:f t="shared" si="94"/>
        <x:v>0</x:v>
      </x:c>
      <x:c r="FV44" s="1106">
        <x:f t="shared" si="95"/>
        <x:v>0</x:v>
      </x:c>
      <x:c r="GA44" s="1975" t="str">
        <x:f t="shared" si="118"/>
        <x:v/>
      </x:c>
      <x:c r="GB44" s="1976" t="str">
        <x:f t="shared" si="119"/>
        <x:v/>
      </x:c>
      <x:c r="GC44" s="1977" t="str">
        <x:f t="shared" si="120"/>
        <x:v/>
      </x:c>
      <x:c r="GD44" s="1978" t="str">
        <x:f t="shared" si="121"/>
        <x:v/>
      </x:c>
      <x:c r="GE44" s="1979" t="str">
        <x:f t="shared" si="122"/>
        <x:v/>
      </x:c>
      <x:c r="GF44" s="1980" t="str">
        <x:f t="shared" si="96"/>
        <x:v/>
      </x:c>
      <x:c r="GG44" s="1453"/>
      <x:c r="GH44" s="1454"/>
      <x:c r="GI44" s="1453"/>
      <x:c r="GJ44" s="1454"/>
      <x:c r="GK44" s="533">
        <x:f t="shared" si="97"/>
        <x:v>0</x:v>
      </x:c>
      <x:c r="GL44" s="534" t="e">
        <x:f t="shared" si="98"/>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9"/>
        <x:v>0</x:v>
      </x:c>
      <x:c r="AE45" s="526">
        <x:f t="shared" si="10"/>
        <x:v>0</x:v>
      </x:c>
      <x:c r="AF45" s="526">
        <x:f t="shared" si="11"/>
        <x:v>0</x:v>
      </x:c>
      <x:c r="AG45" s="526">
        <x:f t="shared" si="12"/>
        <x:v>0</x:v>
      </x:c>
      <x:c r="AH45" s="527">
        <x:f t="shared" si="13"/>
        <x:v>0</x:v>
      </x:c>
      <x:c r="AI45" s="528" t="b">
        <x:v>0</x:v>
      </x:c>
      <x:c r="AJ45" s="284">
        <x:f t="shared" si="14"/>
        <x:v>0</x:v>
      </x:c>
      <x:c r="AK45" s="1063" t="str">
        <x:f t="shared" si="15"/>
        <x:v/>
      </x:c>
      <x:c r="AL45" s="1202" t="str">
        <x:f t="shared" si="16"/>
        <x:v/>
      </x:c>
      <x:c r="AM45" s="1063" t="str">
        <x:f t="shared" si="17"/>
        <x:v/>
      </x:c>
      <x:c r="AN45" s="1063" t="str">
        <x:f t="shared" si="18"/>
        <x:v/>
      </x:c>
      <x:c r="AO45" s="1063" t="str">
        <x:f t="shared" si="19"/>
        <x:v/>
      </x:c>
      <x:c r="AP45" s="1063" t="b">
        <x:f>IF(ISERROR(AJ45),FALSE,IF(OR(AJ45=0,ISERROR(AL45),ISERROR(AM45),ISERROR(AN45),ISERROR(AO45)),FALSE,IF(AL45&lt;&gt;"",IF(ISERROR(VLOOKUP(SUBSTITUTE(SUBSTITUTE(C45,"R",""),"A",""),TblJoistSize!$A:$A,1,FALSE)),FALSE,TRUE),TRUE)))</x:f>
        <x:v>0</x:v>
      </x:c>
      <x:c r="AQ45" s="1305" t="e">
        <x:f t="shared" si="20"/>
        <x:v>#N/A</x:v>
      </x:c>
      <x:c r="AR45" s="1305" t="b">
        <x:f t="shared" si="21"/>
        <x:v>0</x:v>
      </x:c>
      <x:c r="AS45" s="1305" t="e">
        <x:f t="shared" si="22"/>
        <x:v>#N/A</x:v>
      </x:c>
      <x:c r="AT45" s="1305" t="b">
        <x:f t="shared" si="23"/>
        <x:v>0</x:v>
      </x:c>
      <x:c r="AU45" s="1203" t="str">
        <x:f t="shared" si="24"/>
        <x:v/>
      </x:c>
      <x:c r="AV45" s="1063" t="str">
        <x:f t="shared" si="25"/>
        <x:v/>
      </x:c>
      <x:c r="AW45" s="1063" t="str">
        <x:f t="shared" si="26"/>
        <x:v/>
      </x:c>
      <x:c r="AX45" s="1063" t="str">
        <x:f t="shared" si="102"/>
        <x:v/>
      </x:c>
      <x:c r="AY45" s="1306" t="b">
        <x:f t="shared" si="27"/>
        <x:v>0</x:v>
      </x:c>
      <x:c r="AZ45" s="1090" t="str">
        <x:f t="shared" si="28"/>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29"/>
        <x:v/>
      </x:c>
      <x:c r="CE45" s="942" t="str">
        <x:f t="shared" si="30"/>
        <x:v/>
      </x:c>
      <x:c r="CF45" s="1151"/>
      <x:c r="CG45" s="1152"/>
      <x:c r="CH45" s="748" t="str">
        <x:f t="shared" si="31"/>
        <x:v/>
      </x:c>
      <x:c r="CI45" s="749" t="str">
        <x:f t="shared" si="32"/>
        <x:v/>
      </x:c>
      <x:c r="CJ45" s="750" t="str">
        <x:f t="shared" si="33"/>
        <x:v/>
      </x:c>
      <x:c r="CK45" s="751" t="str">
        <x:f t="shared" si="34"/>
        <x:v/>
      </x:c>
      <x:c r="CL45" s="752" t="str">
        <x:f t="shared" si="35"/>
        <x:v/>
      </x:c>
      <x:c r="CM45" s="753" t="str">
        <x:f t="shared" si="36"/>
        <x:v/>
      </x:c>
      <x:c r="CN45" s="754" t="str">
        <x:f t="shared" si="37"/>
        <x:v/>
      </x:c>
      <x:c r="CO45" s="755" t="str">
        <x:f t="shared" si="38"/>
        <x:v/>
      </x:c>
      <x:c r="CP45" s="764" t="str">
        <x:f t="shared" si="39"/>
        <x:v/>
      </x:c>
      <x:c r="CQ45" s="765" t="str">
        <x:f t="shared" si="40"/>
        <x:v/>
      </x:c>
      <x:c r="CR45" s="955" t="str">
        <x:f t="shared" si="41"/>
        <x:v/>
      </x:c>
      <x:c r="CS45" s="956" t="str">
        <x:f t="shared" si="42"/>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3"/>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4"/>
        <x:v>0</x:v>
      </x:c>
      <x:c r="DO45" s="1049">
        <x:f t="shared" si="45"/>
        <x:v>0</x:v>
      </x:c>
      <x:c r="DP45" s="1053" t="str">
        <x:f t="shared" si="46"/>
        <x:v/>
      </x:c>
      <x:c r="DQ45" s="1053" t="str">
        <x:f t="shared" si="47"/>
        <x:v/>
      </x:c>
      <x:c r="DR45" s="1053" t="str">
        <x:f t="shared" si="48"/>
        <x:v/>
      </x:c>
      <x:c r="DS45" s="1052">
        <x:f t="shared" si="49"/>
        <x:v>0</x:v>
      </x:c>
      <x:c r="DT45" s="1052">
        <x:f t="shared" si="50"/>
        <x:v>0</x:v>
      </x:c>
      <x:c r="DU45" s="1052" t="str">
        <x:f t="shared" si="51"/>
        <x:v/>
      </x:c>
      <x:c r="DV45" s="1053" t="str">
        <x:f t="shared" si="52"/>
        <x:v/>
      </x:c>
      <x:c r="DW45" s="1053" t="str">
        <x:f t="shared" si="53"/>
        <x:v/>
      </x:c>
      <x:c r="DX45" s="1269">
        <x:f t="shared" si="54"/>
        <x:v>0</x:v>
      </x:c>
      <x:c r="DY45" s="1053">
        <x:f t="shared" si="55"/>
        <x:v>0</x:v>
      </x:c>
      <x:c r="DZ45" s="1052">
        <x:f t="shared" si="56"/>
        <x:v>0</x:v>
      </x:c>
      <x:c r="EA45" s="1052" t="str">
        <x:f t="shared" si="57"/>
        <x:v/>
      </x:c>
      <x:c r="EB45" s="1053" t="str">
        <x:f t="shared" si="58"/>
        <x:v/>
      </x:c>
      <x:c r="EC45" s="1053" t="str">
        <x:f t="shared" si="59"/>
        <x:v/>
      </x:c>
      <x:c r="ED45" s="1269">
        <x:f t="shared" si="60"/>
        <x:v>0</x:v>
      </x:c>
      <x:c r="EE45" s="1090" t="str">
        <x:f t="shared" si="61"/>
        <x:v/>
      </x:c>
      <x:c r="EF45" s="1053" t="str">
        <x:f t="shared" si="62"/>
        <x:v/>
      </x:c>
      <x:c r="EG45" s="1053" t="str">
        <x:f t="shared" si="63"/>
        <x:v/>
      </x:c>
      <x:c r="EH45" s="1053" t="e">
        <x:f t="shared" si="64"/>
        <x:v>#N/A</x:v>
      </x:c>
      <x:c r="EI45" s="1053" t="e">
        <x:f t="shared" si="65"/>
        <x:v>#N/A</x:v>
      </x:c>
      <x:c r="EJ45" s="1053" t="str">
        <x:f t="shared" si="66"/>
        <x:v/>
      </x:c>
      <x:c r="EK45" s="1053" t="str">
        <x:f t="shared" si="66"/>
        <x:v/>
      </x:c>
      <x:c r="EL45" s="1090" t="str">
        <x:f t="shared" si="67"/>
        <x:v/>
      </x:c>
      <x:c r="EM45" s="1053" t="str">
        <x:f t="shared" si="68"/>
        <x:v/>
      </x:c>
      <x:c r="EN45" s="1053" t="str">
        <x:f t="shared" si="69"/>
        <x:v/>
      </x:c>
      <x:c r="EO45" s="1053" t="e">
        <x:f t="shared" si="70"/>
        <x:v>#N/A</x:v>
      </x:c>
      <x:c r="EP45" s="1053" t="e">
        <x:f t="shared" si="71"/>
        <x:v>#N/A</x:v>
      </x:c>
      <x:c r="EQ45" s="1053" t="str">
        <x:f t="shared" si="72"/>
        <x:v/>
      </x:c>
      <x:c r="ER45" s="1053" t="str">
        <x:f t="shared" si="72"/>
        <x:v/>
      </x:c>
      <x:c r="ES45" s="1053" t="str">
        <x:f t="shared" si="73"/>
        <x:v/>
      </x:c>
      <x:c r="ET45" s="1053" t="str">
        <x:f t="shared" si="74"/>
        <x:v/>
      </x:c>
      <x:c r="EU45" s="1061" t="str">
        <x:f t="shared" si="75"/>
        <x:v/>
      </x:c>
      <x:c r="EV45" s="1055" t="str">
        <x:f t="shared" si="76"/>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77"/>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78"/>
        <x:v/>
      </x:c>
      <x:c r="FD45" s="1052">
        <x:f t="shared" si="103"/>
        <x:v>0</x:v>
      </x:c>
      <x:c r="FE45" s="1052">
        <x:f t="shared" si="79"/>
        <x:v>0</x:v>
      </x:c>
      <x:c r="FF45" s="1052">
        <x:f t="shared" si="80"/>
        <x:v>0</x:v>
      </x:c>
      <x:c r="FG45" s="1052" t="str">
        <x:f t="shared" si="81"/>
        <x:v/>
      </x:c>
      <x:c r="FH45" s="1053" t="str">
        <x:f t="shared" si="82"/>
        <x:v/>
      </x:c>
      <x:c r="FI45" s="1052">
        <x:f t="shared" si="104"/>
        <x:v>0</x:v>
      </x:c>
      <x:c r="FJ45" s="1052">
        <x:f t="shared" si="83"/>
        <x:v>0</x:v>
      </x:c>
      <x:c r="FK45" s="1052">
        <x:f t="shared" si="84"/>
        <x:v>0</x:v>
      </x:c>
      <x:c r="FL45" s="1052" t="str">
        <x:f t="shared" si="85"/>
        <x:v/>
      </x:c>
      <x:c r="FM45" s="1053" t="str">
        <x:f t="shared" si="86"/>
        <x:v/>
      </x:c>
      <x:c r="FN45" s="1053" t="e">
        <x:f t="shared" si="87"/>
        <x:v>#VALUE!</x:v>
      </x:c>
      <x:c r="FO45" s="1062" t="e">
        <x:f t="shared" si="88"/>
        <x:v>#VALUE!</x:v>
      </x:c>
      <x:c r="FP45" s="1062" t="e">
        <x:f t="shared" si="89"/>
        <x:v>#VALUE!</x:v>
      </x:c>
      <x:c r="FQ45" s="1063" t="e">
        <x:f t="shared" si="90"/>
        <x:v>#VALUE!</x:v>
      </x:c>
      <x:c r="FR45" s="1064" t="e">
        <x:f t="shared" si="91"/>
        <x:v>#VALUE!</x:v>
      </x:c>
      <x:c r="FS45" s="1065" t="str">
        <x:f t="shared" si="92"/>
        <x:v/>
      </x:c>
      <x:c r="FT45" s="1066" t="str">
        <x:f t="shared" si="93"/>
        <x:v/>
      </x:c>
      <x:c r="FU45" s="1105">
        <x:f t="shared" si="94"/>
        <x:v>0</x:v>
      </x:c>
      <x:c r="FV45" s="1106">
        <x:f t="shared" si="95"/>
        <x:v>0</x:v>
      </x:c>
      <x:c r="GA45" s="1975" t="str">
        <x:f t="shared" si="118"/>
        <x:v/>
      </x:c>
      <x:c r="GB45" s="1976" t="str">
        <x:f t="shared" si="119"/>
        <x:v/>
      </x:c>
      <x:c r="GC45" s="1977" t="str">
        <x:f t="shared" si="120"/>
        <x:v/>
      </x:c>
      <x:c r="GD45" s="1978" t="str">
        <x:f t="shared" si="121"/>
        <x:v/>
      </x:c>
      <x:c r="GE45" s="1979" t="str">
        <x:f t="shared" si="122"/>
        <x:v/>
      </x:c>
      <x:c r="GF45" s="1980" t="str">
        <x:f t="shared" si="96"/>
        <x:v/>
      </x:c>
      <x:c r="GG45" s="1455"/>
      <x:c r="GH45" s="1456"/>
      <x:c r="GI45" s="1455"/>
      <x:c r="GJ45" s="1456"/>
      <x:c r="GK45" s="533">
        <x:f t="shared" si="97"/>
        <x:v>0</x:v>
      </x:c>
      <x:c r="GL45" s="534" t="e">
        <x:f t="shared" si="98"/>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6</x:v>
      </x:c>
      <x:c r="AE46" s="540">
        <x:f>SUM(AE16:AE45)</x:f>
        <x:v>32</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38</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2183</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fokh12XeOKzTOYgzQDLtxsftLjlT/ZKAFdcvxm89FTeYMNLWs1AoWILT0Wu7n1pxWAyeN4mRUAJ74IccSiAJJg==" saltValue="SJtwgrfq6sfPjBWYQ1nmXA=="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482" priority="69" stopIfTrue="1">
      <x:formula>GM57&gt;=0.125</x:formula>
    </x:cfRule>
  </x:conditionalFormatting>
  <x:conditionalFormatting sqref="EF57">
    <x:cfRule type="cellIs" dxfId="481" priority="70" stopIfTrue="1" operator="notEqual">
      <x:formula>$EG57</x:formula>
    </x:cfRule>
  </x:conditionalFormatting>
  <x:conditionalFormatting sqref="EM57">
    <x:cfRule type="cellIs" dxfId="480" priority="71" stopIfTrue="1" operator="notEqual">
      <x:formula>$EN57</x:formula>
    </x:cfRule>
  </x:conditionalFormatting>
  <x:conditionalFormatting sqref="CD16:CD45">
    <x:cfRule type="expression" dxfId="479" priority="62">
      <x:formula>AND(CD16="X",CY16="")</x:formula>
    </x:cfRule>
    <x:cfRule type="expression" dxfId="478" priority="72">
      <x:formula>AND(CD16="",CY16&lt;&gt;"")</x:formula>
    </x:cfRule>
  </x:conditionalFormatting>
  <x:conditionalFormatting sqref="CE16:CE45">
    <x:cfRule type="expression" dxfId="477" priority="73">
      <x:formula>AND(CE16="X",DI16="")</x:formula>
    </x:cfRule>
    <x:cfRule type="expression" dxfId="476" priority="74">
      <x:formula>AND(CE16="",DI16&lt;&gt;"")</x:formula>
    </x:cfRule>
  </x:conditionalFormatting>
  <x:conditionalFormatting sqref="P2:S4">
    <x:cfRule type="cellIs" dxfId="475" priority="76" stopIfTrue="1" operator="equal">
      <x:formula>""</x:formula>
    </x:cfRule>
  </x:conditionalFormatting>
  <x:conditionalFormatting sqref="EF16:EF45">
    <x:cfRule type="cellIs" dxfId="474" priority="68" stopIfTrue="1" operator="notEqual">
      <x:formula>$EG16</x:formula>
    </x:cfRule>
  </x:conditionalFormatting>
  <x:conditionalFormatting sqref="EM16:EM45">
    <x:cfRule type="cellIs" dxfId="473" priority="67" stopIfTrue="1" operator="notEqual">
      <x:formula>$EN16</x:formula>
    </x:cfRule>
  </x:conditionalFormatting>
  <x:conditionalFormatting sqref="CC12">
    <x:cfRule type="expression" dxfId="472" priority="66" stopIfTrue="1">
      <x:formula>ISBLANK($CC$12)</x:formula>
    </x:cfRule>
  </x:conditionalFormatting>
  <x:conditionalFormatting sqref="CC11">
    <x:cfRule type="expression" dxfId="471" priority="65" stopIfTrue="1">
      <x:formula>ISBLANK($CC$11)</x:formula>
    </x:cfRule>
  </x:conditionalFormatting>
  <x:conditionalFormatting sqref="M7">
    <x:cfRule type="expression" dxfId="470" priority="63" stopIfTrue="1">
      <x:formula>OR(ISBLANK($M$7),$M$7="")</x:formula>
    </x:cfRule>
    <x:cfRule type="expression" dxfId="469" priority="64" stopIfTrue="1">
      <x:formula>AND(LOWER($M$7)&lt;&gt;"std gray primer: one shop coat",LOWER($M$7)&lt;&gt;"gray",$M$7&lt;&gt;"")</x:formula>
    </x:cfRule>
  </x:conditionalFormatting>
  <x:conditionalFormatting sqref="BV16:BV45">
    <x:cfRule type="expression" dxfId="468" priority="60">
      <x:formula>AND(NOT($AY16),AND(ISBLANK(BV16),AND(NOT(ISBLANK(BU16)),$BW16&lt;&gt;0)))</x:formula>
    </x:cfRule>
  </x:conditionalFormatting>
  <x:conditionalFormatting sqref="BD16:BD45">
    <x:cfRule type="expression" dxfId="467" priority="61">
      <x:formula>AND(NOT($AY16),NOT($AP16))</x:formula>
    </x:cfRule>
  </x:conditionalFormatting>
  <x:conditionalFormatting sqref="U16:U45">
    <x:cfRule type="expression" dxfId="466" priority="57">
      <x:formula>AND(NOT($AY16),NOT(AR16))</x:formula>
    </x:cfRule>
  </x:conditionalFormatting>
  <x:conditionalFormatting sqref="W16:W45">
    <x:cfRule type="expression" dxfId="465" priority="59">
      <x:formula>AND(NOT($AY16),NOT(AT16))</x:formula>
    </x:cfRule>
  </x:conditionalFormatting>
  <x:conditionalFormatting sqref="T16:T45">
    <x:cfRule type="expression" dxfId="464" priority="56">
      <x:formula>AND(NOT($AY16),NOT(AR16))</x:formula>
    </x:cfRule>
  </x:conditionalFormatting>
  <x:conditionalFormatting sqref="V16:V45">
    <x:cfRule type="expression" dxfId="463" priority="58">
      <x:formula>AND(NOT($AY16),NOT(AT16))</x:formula>
    </x:cfRule>
  </x:conditionalFormatting>
  <x:conditionalFormatting sqref="C16:C45">
    <x:cfRule type="expression" dxfId="462" priority="54">
      <x:formula>AND(NOT($AY16),NOT($AP16))</x:formula>
    </x:cfRule>
  </x:conditionalFormatting>
  <x:conditionalFormatting sqref="X16:X45">
    <x:cfRule type="expression" dxfId="461" priority="14">
      <x:formula>$X16=0</x:formula>
    </x:cfRule>
  </x:conditionalFormatting>
  <x:conditionalFormatting sqref="CB16:CB45">
    <x:cfRule type="expression" dxfId="460" priority="53">
      <x:formula>OR(CB16&gt;CV16,CB16&lt;0)</x:formula>
    </x:cfRule>
  </x:conditionalFormatting>
  <x:conditionalFormatting sqref="CC16:CC45">
    <x:cfRule type="expression" dxfId="459" priority="51">
      <x:formula>OR(CC16&gt;DF16,CC16&lt;0)</x:formula>
    </x:cfRule>
  </x:conditionalFormatting>
  <x:conditionalFormatting sqref="BY16:BY45">
    <x:cfRule type="expression" dxfId="458" priority="75">
      <x:formula>OR(CH16&lt;&gt;"",CI16&lt;&gt;"",CJ16&lt;&gt;"",CK16&lt;&gt;"",CL16&lt;&gt;"",CM16&lt;&gt;"")</x:formula>
    </x:cfRule>
  </x:conditionalFormatting>
  <x:conditionalFormatting sqref="BE16:BF45">
    <x:cfRule type="expression" dxfId="457" priority="77">
      <x:formula>AND(NOT($AY16),AND($AZ16,AND($AK16&lt;&gt;"HDR",$AK16&lt;&gt;"JS",$AJ16&gt;=8)))</x:formula>
    </x:cfRule>
  </x:conditionalFormatting>
  <x:conditionalFormatting sqref="D16:E45">
    <x:cfRule type="expression" dxfId="456" priority="55">
      <x:formula>AND(NOT($AY16),AND($AZ16,AND($AK16&lt;&gt;"HDR",$AK16&lt;&gt;"JS",$AJ16&gt;=8)))</x:formula>
    </x:cfRule>
  </x:conditionalFormatting>
  <x:conditionalFormatting sqref="AA12">
    <x:cfRule type="expression" dxfId="455" priority="52">
      <x:formula>OR(ISBLANK(AA12),AA12="")</x:formula>
    </x:cfRule>
  </x:conditionalFormatting>
  <x:conditionalFormatting sqref="A16:Z45 BB16:CG45">
    <x:cfRule type="expression" dxfId="454" priority="78">
      <x:formula>$AC16</x:formula>
    </x:cfRule>
  </x:conditionalFormatting>
  <x:conditionalFormatting sqref="BN16:BN45">
    <x:cfRule type="expression" dxfId="453" priority="17">
      <x:formula>AND(NOT($AY16),AND(ISBLANK(BN16),AND(NOT(ISBLANK(BM16)),$BW16&lt;&gt;0)))</x:formula>
    </x:cfRule>
  </x:conditionalFormatting>
  <x:conditionalFormatting sqref="BO16:BO45">
    <x:cfRule type="expression" dxfId="452" priority="16">
      <x:formula>AND(NOT($AY16),ISERROR(DE16))</x:formula>
    </x:cfRule>
    <x:cfRule type="expression" dxfId="451" priority="43">
      <x:formula>AND(NOT($AY16),OR(DE16="", CQ16&lt;&gt;""))</x:formula>
    </x:cfRule>
  </x:conditionalFormatting>
  <x:conditionalFormatting sqref="BG16:BG45">
    <x:cfRule type="expression" dxfId="450" priority="15">
      <x:formula>AND(NOT($AY16),ISERROR(CU16))</x:formula>
    </x:cfRule>
    <x:cfRule type="expression" dxfId="449" priority="42">
      <x:formula>AND(NOT($AY16),OR(CP16&lt;&gt;"", CU16=""))</x:formula>
    </x:cfRule>
  </x:conditionalFormatting>
  <x:conditionalFormatting sqref="BH16:BH45">
    <x:cfRule type="expression" dxfId="448" priority="30">
      <x:formula>AND(NOT($AY16),OR($CU16="M",$CU16="C",AND($CU16="B",$DC16&gt;0)))</x:formula>
    </x:cfRule>
    <x:cfRule type="expression" dxfId="447" priority="31">
      <x:formula>AND(NOT($AY16),AND(BH16="",BI16="",OR($CU16="B",$CU16="G")))</x:formula>
    </x:cfRule>
    <x:cfRule type="expression" dxfId="446" priority="32">
      <x:formula>AND(NOT($AY16),(BH16/2)/COS(RADIANS(BM16))+CV16-DW16&lt;VLOOKUP(AU16,$DF$2:$DJ$9,5,FALSE))</x:formula>
    </x:cfRule>
  </x:conditionalFormatting>
  <x:conditionalFormatting sqref="BI16:BI45">
    <x:cfRule type="expression" dxfId="445" priority="39">
      <x:formula>AND(NOT($AY16),OR($CU16="M",$CU16="C",AND($CU16="B",$DC16&gt;0)))</x:formula>
    </x:cfRule>
    <x:cfRule type="expression" dxfId="444" priority="40">
      <x:formula>AND(NOT($AY16),AND(BH16="",BI16="",OR($CU16="B",$CU16="G")))</x:formula>
    </x:cfRule>
    <x:cfRule type="expression" dxfId="443" priority="41">
      <x:formula>AND(NOT($AY16),(BI16/2)/COS(RADIANS(BM16))+CV16-DW16&lt;VLOOKUP(AU16,$DF$2:$DJ$9,5,FALSE))</x:formula>
    </x:cfRule>
  </x:conditionalFormatting>
  <x:conditionalFormatting sqref="BK16:BK45">
    <x:cfRule type="expression" dxfId="442" priority="18">
      <x:formula>AND(NOT($AY16),OR($CU16="M",$CU16="C",AND($CU16="B",$DA16&lt;&gt;"")))</x:formula>
    </x:cfRule>
    <x:cfRule type="expression" dxfId="441" priority="19">
      <x:formula>AND(NOT($AY16),AND(BJ16="X",BK16="",BL16=""))</x:formula>
    </x:cfRule>
    <x:cfRule type="expression" dxfId="440" priority="20">
      <x:formula>AND(NOT($AY16),EZ16="ERR")</x:formula>
    </x:cfRule>
  </x:conditionalFormatting>
  <x:conditionalFormatting sqref="BL16:BL45">
    <x:cfRule type="expression" dxfId="439" priority="21">
      <x:formula>AND(NOT($AY16),OR($CU16="M",$CU16="C",AND($CU16="B",$DA16&lt;&gt;"")))</x:formula>
    </x:cfRule>
    <x:cfRule type="expression" dxfId="438" priority="22">
      <x:formula>AND(NOT($AY16),AND(BJ16="X",BK16="",BL16=""))</x:formula>
    </x:cfRule>
    <x:cfRule type="expression" dxfId="437" priority="23">
      <x:formula>AND(NOT($AY16),EZ16="ERR")</x:formula>
    </x:cfRule>
  </x:conditionalFormatting>
  <x:conditionalFormatting sqref="BS16:BS45">
    <x:cfRule type="expression" dxfId="436" priority="24">
      <x:formula>AND(NOT($AY16),OR($DE16="M",$DE16="C",AND($DE16="B",$DK16&lt;&gt;"")))</x:formula>
    </x:cfRule>
    <x:cfRule type="expression" dxfId="435" priority="25">
      <x:formula>AND(NOT($AY16),AND(BR16="X",BS16="",BT16=""))</x:formula>
    </x:cfRule>
    <x:cfRule type="expression" dxfId="434" priority="26">
      <x:formula>AND(NOT($AY16),FC16="ERR")</x:formula>
    </x:cfRule>
  </x:conditionalFormatting>
  <x:conditionalFormatting sqref="BT16:BT45">
    <x:cfRule type="expression" dxfId="433" priority="27">
      <x:formula>AND(NOT($AY16),OR($DE16="M",$DE16="C",AND($DE16="B",$DK16&lt;&gt;"")))</x:formula>
    </x:cfRule>
    <x:cfRule type="expression" dxfId="432" priority="28">
      <x:formula>AND(NOT($AY16),AND(BR16="X",BS16="",BT16=""))</x:formula>
    </x:cfRule>
    <x:cfRule type="expression" dxfId="431" priority="29">
      <x:formula>AND(NOT($AY16),FC16="ERR")</x:formula>
    </x:cfRule>
  </x:conditionalFormatting>
  <x:conditionalFormatting sqref="BP16:BP45">
    <x:cfRule type="expression" dxfId="430" priority="33">
      <x:formula>AND(NOT($AY16),OR($DE16="M",$DE16="C",AND($DE16="B",$DM16&gt;0)))</x:formula>
    </x:cfRule>
    <x:cfRule type="expression" dxfId="429" priority="34">
      <x:formula>AND(NOT($AY16),AND(BP16="",BQ16="",OR($DE16="B",$DE16="G")))</x:formula>
    </x:cfRule>
    <x:cfRule type="expression" dxfId="428" priority="35">
      <x:formula>AND(NOT($AY16),(BP16/2)/COS(RADIANS(BU16))+DF16-EC16&lt;VLOOKUP(AU16,$DF$2:$DJ$9,5,FALSE))</x:formula>
    </x:cfRule>
  </x:conditionalFormatting>
  <x:conditionalFormatting sqref="BQ16:BQ45">
    <x:cfRule type="expression" dxfId="427" priority="36">
      <x:formula>AND(NOT($AY16),OR($DE16="M",$DE16="C",AND($DE16="B",$DM16&gt;0)))</x:formula>
    </x:cfRule>
    <x:cfRule type="expression" dxfId="426" priority="37">
      <x:formula>AND(NOT($AY16),AND(BP16="",BQ16="",OR($DE16="B",$DE16="G")))</x:formula>
    </x:cfRule>
    <x:cfRule type="expression" dxfId="425" priority="38">
      <x:formula>AND(NOT($AY16),(BQ16/2)/COS(RADIANS(BU16))+DF16-EC16&lt;VLOOKUP(AU16,$DF$2:$DJ$9,5,FALSE))</x:formula>
    </x:cfRule>
  </x:conditionalFormatting>
  <x:conditionalFormatting sqref="BJ16:BJ45">
    <x:cfRule type="expression" dxfId="424" priority="44">
      <x:formula>AND(NOT($AY16),OR($CU16="C",AND($CU16="M",$DA16&gt;0)))</x:formula>
    </x:cfRule>
    <x:cfRule type="expression" dxfId="423" priority="45">
      <x:formula>AND(NOT($AY16),OR(NOT(IF(AND(OR(MID($BB16,1,1)="T",($BE16+$BF16/12)/IF(ABS($BW16)&gt;$DQ$1,COS($DO16),1)&gt;=40),OR($CU16="B",$CU16="G")),"X","")="X"),$EZ16="ERR"))</x:formula>
    </x:cfRule>
    <x:cfRule type="expression" dxfId="422" priority="46">
      <x:formula>AND(NOT($AY16),$BJ16&lt;&gt;"X",$BJ16&lt;&gt;IF(AND(OR(MID(BB16,1,1)="T",($BE16+$BF16/12)/IF(ABS($BW16)&gt;$DQ$1,COS($DO16),1)&gt;=40),OR($CU16="B",$CU16="G")),"X",""))</x:formula>
    </x:cfRule>
  </x:conditionalFormatting>
  <x:conditionalFormatting sqref="BR16:BR45">
    <x:cfRule type="expression" dxfId="421" priority="47">
      <x:formula>AND(NOT($AY16),OR($DE16="C",AND($DE16="M",$DK16&gt;0)))</x:formula>
    </x:cfRule>
    <x:cfRule type="expression" dxfId="420" priority="48">
      <x:formula>AND(NOT($AY16),OR(NOT(IF(AND(OR(MID($BB16,1,1)="T",($BE16+$BF16/12)/IF(ABS($BW16)&gt;$DQ$1,COS($DO16),1)&gt;=40),OR($DE16="B",$DE16="G")),"X","")="X"),$FC16="ERR"))</x:formula>
    </x:cfRule>
    <x:cfRule type="expression" dxfId="419" priority="49">
      <x:formula>AND(NOT($AY16),$BR16&lt;&gt;"X",$BR16&lt;&gt;IF(AND(OR(MID(BB16,1,1)="T",($BE16+$BF16/12)/IF(ABS($BW16)&gt;$DQ$1,COS($DO16),1)&gt;=40),OR($DE16="B",$DE16="G")),"X",""))</x:formula>
    </x:cfRule>
  </x:conditionalFormatting>
  <x:conditionalFormatting sqref="A16:B45 BB16:BC45">
    <x:cfRule type="expression" dxfId="418" priority="50">
      <x:formula>AND(NOT($AE$1),$B16=0,$AD$1="M")</x:formula>
    </x:cfRule>
  </x:conditionalFormatting>
  <x:conditionalFormatting sqref="U57">
    <x:cfRule type="expression" dxfId="417" priority="11" stopIfTrue="1">
      <x:formula>AND(NOT($AY57),NOT(AR57))</x:formula>
    </x:cfRule>
  </x:conditionalFormatting>
  <x:conditionalFormatting sqref="W57">
    <x:cfRule type="expression" dxfId="416" priority="13" stopIfTrue="1">
      <x:formula>AND(NOT($AY57),NOT(AT57))</x:formula>
    </x:cfRule>
  </x:conditionalFormatting>
  <x:conditionalFormatting sqref="T57">
    <x:cfRule type="expression" dxfId="415" priority="10" stopIfTrue="1">
      <x:formula>AND(NOT($AY57),NOT(AR57))</x:formula>
    </x:cfRule>
  </x:conditionalFormatting>
  <x:conditionalFormatting sqref="V57">
    <x:cfRule type="expression" dxfId="414" priority="12" stopIfTrue="1">
      <x:formula>AND(NOT($AY57),NOT(AT57))</x:formula>
    </x:cfRule>
  </x:conditionalFormatting>
  <x:conditionalFormatting sqref="C57">
    <x:cfRule type="expression" dxfId="413" priority="8" stopIfTrue="1">
      <x:formula>AND(NOT($AY57),NOT($AP57))</x:formula>
    </x:cfRule>
  </x:conditionalFormatting>
  <x:conditionalFormatting sqref="X57">
    <x:cfRule type="expression" dxfId="412" priority="4">
      <x:formula>$X57=0</x:formula>
    </x:cfRule>
  </x:conditionalFormatting>
  <x:conditionalFormatting sqref="D57:E57">
    <x:cfRule type="expression" dxfId="411" priority="9" stopIfTrue="1">
      <x:formula>AND(NOT($AY57),AND($AZ57,AND($AK57&lt;&gt;"HDR",$AK57&lt;&gt;"JS",$AJ57&gt;=8)))</x:formula>
    </x:cfRule>
  </x:conditionalFormatting>
  <x:conditionalFormatting sqref="A57:AA57">
    <x:cfRule type="expression" dxfId="410" priority="5">
      <x:formula>$AC57</x:formula>
    </x:cfRule>
  </x:conditionalFormatting>
  <x:conditionalFormatting sqref="AA57">
    <x:cfRule type="expression" dxfId="409" priority="6" stopIfTrue="1">
      <x:formula>AND(NOT($AY57),LEN(AA57)&gt;31)</x:formula>
    </x:cfRule>
  </x:conditionalFormatting>
  <x:conditionalFormatting sqref="A57:B57">
    <x:cfRule type="expression" dxfId="408" priority="7">
      <x:formula>AND(NOT($AE$1),$B57=0,$AD$1="M")</x:formula>
    </x:cfRule>
  </x:conditionalFormatting>
  <x:conditionalFormatting sqref="AA16:AA45">
    <x:cfRule type="expression" dxfId="407" priority="2">
      <x:formula>$AC16</x:formula>
    </x:cfRule>
  </x:conditionalFormatting>
  <x:conditionalFormatting sqref="AA16:AA45">
    <x:cfRule type="expression" dxfId="406" priority="3" stopIfTrue="1">
      <x:formula>AND(NOT($AY16),LEN(AA16)&gt;31)</x:formula>
    </x:cfRule>
  </x:conditionalFormatting>
  <x:conditionalFormatting sqref="GA16:GB45">
    <x:cfRule type="expression" dxfId="405"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59.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4">
    <x:tabColor indexed="43"/>
  </x:sheetPr>
  <x:dimension ref="A1:IG104"/>
  <x:sheetViews>
    <x:sheetView showGridLines="0" zoomScaleNormal="100" zoomScaleSheetLayoutView="75" workbookViewId="0">
      <x:selection activeCell="GA41" sqref="GA41"/>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38 of 42</x:v>
      </x:c>
      <x:c r="Z7" s="822"/>
      <x:c r="AA7" s="444"/>
      <x:c r="AB7" s="449"/>
      <x:c r="AC7" s="1393">
        <x:v>38</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1516</x:v>
      </x:c>
      <x:c r="B16" s="1265">
        <x:v>1</x:v>
      </x:c>
      <x:c r="C16" s="1265" t="s">
        <x:v>1980</x:v>
      </x:c>
      <x:c r="D16" s="1261">
        <x:v>33</x:v>
      </x:c>
      <x:c r="E16" s="1366">
        <x:v>8</x:v>
      </x:c>
      <x:c r="F16" s="1328">
        <x:v>0</x:v>
      </x:c>
      <x:c r="G16" s="1262">
        <x:v>1.375</x:v>
      </x:c>
      <x:c r="H16" s="1266" t="s">
        <x:v>114</x:v>
      </x:c>
      <x:c r="I16" s="1261">
        <x:v>0</x:v>
      </x:c>
      <x:c r="J16" s="2122">
        <x:v>2</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t="str">
        <x:f t="shared" ref="T16:T44" si="7">IF(CH16="ERR","",IF(EK16="","",IF(EK16="ERR",TRUNC(EJ16/12),TRUNC(EK16/12))))</x:f>
        <x:v/>
      </x:c>
      <x:c r="U16" s="1262" t="str">
        <x:f t="shared" ref="U16:U44" si="8">IF(CH16="ERR","",IF(EK16="","",IF(EK16="ERR",EJ16-(T16*12),EK16-(T16*12))))</x:f>
        <x:v/>
      </x:c>
      <x:c r="V16" s="1261" t="str">
        <x:f t="shared" ref="V16:V44" si="9">IF(CI16="ERR","",IF(ER16="","",IF(ER16="ERR",TRUNC(EQ16/12),TRUNC(ER16/12))))</x:f>
        <x:v/>
      </x:c>
      <x:c r="W16" s="1262" t="str">
        <x:f t="shared" ref="W16:W44" si="10">IF(CI16="ERR","",IF(ER16="","",IF(ER16="ERR",EQ16-(V16*12),ER16-(V16*12))))</x:f>
        <x:v/>
      </x:c>
      <x:c r="X16" s="1329">
        <x:f t="shared" ref="X16:X44" si="11">IF(EV16="",0,EV16)</x:f>
        <x:v>0</x:v>
      </x:c>
      <x:c r="Y16" s="1377">
        <x:v>0.38000000905513598</x:v>
      </x:c>
      <x:c r="Z16" s="1378">
        <x:v>-0.38000000905513598</x:v>
      </x:c>
      <x:c r="AA16" s="2159" t="s">
        <x:v>2205</x:v>
      </x:c>
      <x:c r="AC16" s="1226" t="b">
        <x:v>0</x:v>
      </x:c>
      <x:c r="AD16" s="525">
        <x:f t="shared" ref="AD16:AD45" si="12">IF($C16="",0,IF(SUM(AE16:AG16)&gt;0,0,IF(ISERROR(SEARCH("K",$C16,1))=TRUE,0,$B16)))</x:f>
        <x:v>1</x:v>
      </x:c>
      <x:c r="AE16" s="526">
        <x:f t="shared" ref="AE16:AE45" si="13">IF(ISERROR(SEARCH("LH",$C16,1))=TRUE,0,$B16)</x:f>
        <x:v>0</x:v>
      </x:c>
      <x:c r="AF16" s="526">
        <x:f t="shared" ref="AF16:AF45" si="14">IF(ISERROR(SEARCH("JS",$C16))=TRUE,IF(ISERROR(SEARCH("2.5K",$C16))=TRUE,0,$B16),$B16)</x:f>
        <x:v>0</x:v>
      </x:c>
      <x:c r="AG16" s="526">
        <x:f t="shared" ref="AG16:AG45" si="15">IF(ISERROR(SEARCH("HDR",$C16,1))=TRUE,0,$B16)</x:f>
        <x:v>0</x:v>
      </x:c>
      <x:c r="AH16" s="527">
        <x:f t="shared" ref="AH16:AH45" si="16">IF(ISERROR(SEARCH("CJ",$C16,1))=TRUE,0,$B16)</x:f>
        <x:v>0</x:v>
      </x:c>
      <x:c r="AI16" s="528" t="b">
        <x:v>0</x:v>
      </x:c>
      <x:c r="AJ16" s="284">
        <x:f t="shared" ref="AJ16:AJ45" si="17">IF(OR(ISERROR(VALUE(LEFT(C16,SEARCH(AK16,C16)-1))),AK16=""),0,VALUE(LEFT(C16,SEARCH(AK16,C16)-1)))</x:f>
        <x:v>30</x:v>
      </x:c>
      <x:c r="AK16" s="1063" t="str">
        <x:f t="shared" ref="AK16:AK45" si="18">IF(AV16="",AW16,AV16)</x:f>
        <x:v>K</x:v>
      </x:c>
      <x:c r="AL16" s="1202" t="str">
        <x:f t="shared" ref="AL16:AL45" si="19">IF(AK16="","",IF(ISERROR(SEARCH("/",C16)),IF(VALUE(MID(C16,SEARCH(AK16,C16)+LEN(AK16),LEN(C16)))&gt;25,"",VALUE(MID(C16,SEARCH(AK16,C16)+LEN(AK16),LEN(C16)))),""))</x:f>
        <x:v/>
      </x:c>
      <x:c r="AM16" s="1063">
        <x:f t="shared" ref="AM16:AM45" si="20">IF(AK16="","",IF(ISERROR(SEARCH("/",C16)),IF(VALUE(MID(C16,SEARCH(AK16,C16)+LEN(AK16),LEN(C16)))&lt;26,"",VALUE(MID(C16,SEARCH(AK16,C16)+LEN(AK16),LEN(C16)))),VALUE(MID(C16,SEARCH(AK16,C16)+LEN(AK16),SEARCH("/",C16)-SEARCH(AK16,C16)-LEN(AK16)))))</x:f>
        <x:v>310</x:v>
      </x:c>
      <x:c r="AN16" s="1063">
        <x:f t="shared" ref="AN16:AN45" si="21">IF(AK16="","",IF(AK16="CJ",MID(MID(C16,SEARCH("/",C16)+1,LEN(C16)),1,SEARCH("/",MID(C16,SEARCH("/",C16)+1,LEN(C16)))-1),IF(ISERROR(SEARCH("/",C16)),"",VALUE(MID(C16,SEARCH("/",C16)+1,LEN(C16))))))</x:f>
        <x:v>160</x:v>
      </x:c>
      <x:c r="AO16" s="1063" t="str">
        <x:f t="shared" ref="AO16:AO45" si="22">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3">VLOOKUP(AK16,$DF$2:$DN$9,4,FALSE)+IF(LEFT(H16,1)="R",IF(ISNUMBER(F16),F16*12,0)+IF(ISNUMBER(G16),G16,0),0)</x:f>
        <x:v>5.375</x:v>
      </x:c>
      <x:c r="AR16" s="1305" t="b">
        <x:f t="shared" ref="AR16:AR45" si="24">IF(IF(ISNUMBER(T16),T16*12,0)+IF(ISNUMBER(U16),U16,0)&gt;0,IF(AND((IF(ISNUMBER(T16),T16*12,0)+IF(ISNUMBER(U16),U16,0))&gt;=1,(IF(ISNUMBER(T16),T16*12,0)+IF(ISNUMBER(U16),U16,0))&lt;=(AQ16-1)+IF(H16="X",2,0)),TRUE,FALSE),FALSE)</x:f>
        <x:v>0</x:v>
      </x:c>
      <x:c r="AS16" s="1305">
        <x:f t="shared" ref="AS16:AS45" si="25">VLOOKUP(AK16,$DF$2:$DN$9,4,FALSE)+IF(LEFT(K16,1)="R",(IF(ISNUMBER(I16),I16*12,0)+IF(ISNUMBER(J16),J16,0)),0)</x:f>
        <x:v>6</x:v>
      </x:c>
      <x:c r="AT16" s="1305" t="b">
        <x:f t="shared" ref="AT16:AT45" si="26">IF(IF(ISNUMBER(V16),V16*12,0)+IF(ISNUMBER(W16),W16,0)&gt;0,IF(AND((IF(ISNUMBER(V16),V16*12,0)+IF(ISNUMBER(W16),W16,0))&gt;=1,(IF(ISNUMBER(V16),V16*12,0)+IF(ISNUMBER(W16),W16,0))&lt;=(AS16-1)+IF(K16="X",2,0)),TRUE,FALSE),FALSE)</x:f>
        <x:v>0</x:v>
      </x:c>
      <x:c r="AU16" s="1203" t="str">
        <x:f t="shared" ref="AU16:AU45" si="27">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K</x:v>
      </x:c>
      <x:c r="AV16" s="1063" t="str">
        <x:f t="shared" ref="AV16:AV45" si="28">IF(NOT(ISERROR(SEARCH("KCSR",C16))),"KCSR",IF(NOT(ISERROR(SEARCH("KCSA",C16))),"KCSA",IF(NOT(ISERROR(SEARCH("KCS",C16))),"KCS",IF(NOT(ISERROR(SEARCH("KR",C16))),"KR",IF(NOT(ISERROR(SEARCH("KA",C16))),"KA",IF(NOT(ISERROR(SEARCH("K",C16))),"K",IF(NOT(ISERROR(SEARCH("CJ",C16))),"CJ","")))))))</x:f>
        <x:v>K</x:v>
      </x:c>
      <x:c r="AW16" s="1063" t="str">
        <x:f t="shared" ref="AW16:AW45" si="29">IF(NOT(ISERROR(SEARCH("HDR",C16))),"HDR",IF(NOT(ISERROR(SEARCH("JS",C16))),"JS",IF(NOT(ISERROR(SEARCH("SLH",C16))),"SLH",IF(NOT(ISERROR(SEARCH("DLH",C16))),"DLH",IF(NOT(ISERROR(SEARCH("LH",C16))),"LH","")))))</x:f>
        <x:v/>
      </x:c>
      <x:c r="AX16" s="1063" t="str">
        <x:f>IF(OR(ISBLANK(A16),A16=""),"",A16)</x:f>
        <x:v>J192</x:v>
      </x:c>
      <x:c r="AY16" s="1306" t="b">
        <x:f t="shared" ref="AY16:AY45" si="30">IF($AE$1,IF(AX16=AX15,AY15,IF(AND(AX16&lt;&gt;"",OR(B16=0,B16="")),TRUE,FALSE)),FALSE)</x:f>
        <x:v>0</x:v>
      </x:c>
      <x:c r="AZ16" s="1090" t="b">
        <x:f t="shared" ref="AZ16:AZ45" si="31">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2">IF(CY16="","","X")</x:f>
        <x:v/>
      </x:c>
      <x:c r="CE16" s="925" t="str">
        <x:f t="shared" ref="CE16:CE45" si="33">IF(DI16="","","X")</x:f>
        <x:v/>
      </x:c>
      <x:c r="CF16" s="1147"/>
      <x:c r="CG16" s="1148"/>
      <x:c r="CH16" s="730" t="str">
        <x:f t="shared" ref="CH16:CH45" si="34">IF(EJ16=EK16,IF(EK16="ERR","ERR",""),CONCATENATE(IF(BM16&lt;0,"NS ","FS "),IF(EK16="ERR","Slot Only",CONCATENATE("Slot @ ",EJ16))))</x:f>
        <x:v/>
      </x:c>
      <x:c r="CI16" s="731" t="str">
        <x:f t="shared" ref="CI16:CI45" si="35">IF(EQ16=ER16,IF(ER16="ERR","ERR",""),CONCATENATE(IF(BU16&lt;0,"FS ","NS "),IF(ER16="ERR","Slot Only",CONCATENATE("Slot @ ",EQ16))))</x:f>
        <x:v/>
      </x:c>
      <x:c r="CJ16" s="732" t="str">
        <x:f t="shared" ref="CJ16:CJ45" si="36">IF(EV16="","",IF(AND(DB16&lt;&gt;EV16,OR(NOT(ISBLANK(BJ16)),CU16="C")),CONCATENATE("LE slots @ ",DB16," Ga."),IF(AND(DL16&lt;&gt;EV16,OR(NOT(ISBLANK(BR16)),DE16="C")),CONCATENATE("RE slots @ ",DL16," Ga."),"")))</x:f>
        <x:v/>
      </x:c>
      <x:c r="CK16" s="733" t="str">
        <x:f t="shared" ref="CK16:CK45" si="37">IF(AND(CP16&lt;&gt;"",BM16&lt;&gt;"",CQ16&lt;&gt;"",BU16&lt;&gt;""),"BE",IF(AND(CP16&lt;&gt;"",BM16&lt;&gt;""),"LE",IF(AND(CQ16&lt;&gt;"",BU16&lt;&gt;""),"RE","")))</x:f>
        <x:v/>
      </x:c>
      <x:c r="CL16" s="734" t="str">
        <x:f t="shared" ref="CL16:CL45" si="38">IF(ISBLANK(CB16),"",CEILING(DV16,0.125))</x:f>
        <x:v/>
      </x:c>
      <x:c r="CM16" s="735" t="str">
        <x:f t="shared" ref="CM16:CM45" si="39">IF(ISBLANK(CC16),"",CEILING(EB16,0.125))</x:f>
        <x:v/>
      </x:c>
      <x:c r="CN16" s="736" t="str">
        <x:f t="shared" ref="CN16:CN45" si="40">IF(AND(BW16&lt;&gt;0,BM16&lt;&gt;0),BW16*COS(RADIANS(90-BM16))/(1/COS(RADIANS(90-BM16)))*-1,"")</x:f>
        <x:v/>
      </x:c>
      <x:c r="CO16" s="737" t="str">
        <x:f t="shared" ref="CO16:CO45" si="41">IF(AND(BW16&lt;&gt;0,BU16&lt;&gt;0),BW16*COS(RADIANS(90-BU16))/(1/COS(RADIANS(90-BU16))),"")</x:f>
        <x:v/>
      </x:c>
      <x:c r="CP16" s="760" t="str">
        <x:f t="shared" ref="CP16:CP45" si="42">IF(BG16="","",IF(AU16="JS","",IF(VLOOKUP(AU16,$DF$2:$DN$9,5,FALSE)&gt;FO16,IF(FO16&gt;=0.0625,CEILING(FO16-0.0625,0.125),FO16),"")))</x:f>
        <x:v/>
      </x:c>
      <x:c r="CQ16" s="761" t="str">
        <x:f t="shared" ref="CQ16:CQ45" si="43">IF(BO16="","",IF(AU16="JS","",IF(VLOOKUP(AU16,$DF$2:$DN$9,5,FALSE)&gt;FP16,IF(FP16&gt;=0.0625,CEILING(FP16-0.0625,0.125),FP16),"")))</x:f>
        <x:v/>
      </x:c>
      <x:c r="CR16" s="951">
        <x:f t="shared" ref="CR16:CR45" si="44">IF(AU16="","",IF(ABS(FF16)&lt;ABS($CX$2),VLOOKUP(AU16,$DF$2:$DN$9,3,FALSE),CEILING(VLOOKUP(AU16,$DF$2:$DN$9,3,FALSE)/COS(FE16)+0.375+IF(CU16="M",IF(FE16&gt;0,(DV16-DW16)/12,0),IF(FE16&gt;0,0,(DV16-CV16)/12))*ABS(FF16),0.125)))</x:f>
        <x:v>2.5</x:v>
      </x:c>
      <x:c r="CS16" s="952">
        <x:f t="shared" ref="CS16:CS45" si="45">IF(AU16="","",IF(ABS(FK16)&lt;ABS($CX$2),VLOOKUP(AU16,$DF$2:$DN$9,3,FALSE),CEILING(VLOOKUP(AU16,$DF$2:$DN$9,3,FALSE)/COS(FJ16)+0.375+IF(DE16="M",IF(FJ16&lt;0,(EB16-EC16)/12,0),IF(FJ16&lt;0,0,(EB16-DF16)/12))*ABS(FK16),0.125)))</x:f>
        <x:v>2.5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6">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7">BV16*-1</x:f>
        <x:v>0</x:v>
      </x:c>
      <x:c r="DO16" s="1094">
        <x:f t="shared" ref="DO16:DO45" si="48">IF(BW16="",0,ATAN(BW16/12))</x:f>
        <x:v>0</x:v>
      </x:c>
      <x:c r="DP16" s="1095" t="str">
        <x:f t="shared" ref="DP16:DP45" si="49">IF(OR(CV16="",BE16="",DF16=""),"",CEILING(IF(AND(BE16="",BF16=""),"",((BE16*12+BF16)+CV16+DF16)/COS(FN16))-0.0625,0.125))</x:f>
        <x:v/>
      </x:c>
      <x:c r="DQ16" s="1095" t="str">
        <x:f t="shared" ref="DQ16:DQ45" si="50">IF(AU16="","",IF(ABS(FF16)&lt;ABS($CX$2),CX16,IF(FF16=0,CX16,CEILING((CX16+((DW16-CV16)/12)*FF16)-0.0625,0.125))))</x:f>
        <x:v/>
      </x:c>
      <x:c r="DR16" s="1095" t="str">
        <x:f t="shared" ref="DR16:DR45" si="51">IF(AU16="","",IF(ABS(FK16)&lt;ABS($CX$2),DH16,IF(FK16=0,DH16,CEILING((DH16+((EC16-DF16)/12)*FK16)-0.0625,0.125))))</x:f>
        <x:v/>
      </x:c>
      <x:c r="DS16" s="1096">
        <x:f t="shared" ref="DS16:DS45" si="52">IF(BM16="",0,RADIANS(ABS(BM16)))</x:f>
        <x:v>0</x:v>
      </x:c>
      <x:c r="DT16" s="1052">
        <x:f t="shared" ref="DT16:DT45" si="53">MIN(IF(BH16&gt;0,BH16/2,MAX(BI16/2,DC16)),IF(BI16&gt;0,BI16/2,MAX(BH16/2,DC16)),IF(DC16&gt;0,DC16,MAX(BI16/2,BH16/2)))/IF(OR(CU16="C",AND(CU16="M",$DD$1="N")),1,COS(DS16))</x:f>
        <x:v>0</x:v>
      </x:c>
      <x:c r="DU16" s="1052" t="str">
        <x:f t="shared" ref="DU16:DU45" si="54">IF(CV16="","",IF(DC16&gt;=0,MAX(BH16/2,BI16/2,DC16),DC16)/IF(OR(CU16="C",AND(CU16="M",$DD$1="N")),1,COS(DS16)))</x:f>
        <x:v/>
      </x:c>
      <x:c r="DV16" s="1095" t="str">
        <x:f t="shared" ref="DV16:DV45" si="55">IF(CV16="","",(CV16+DU16+(VLOOKUP(IF(AU16="HDR","K",AU16),$DF$2:$DN$9,2,FALSE))*TAN(DS16))/COS(FD16)-FH16)</x:f>
        <x:v/>
      </x:c>
      <x:c r="DW16" s="1095" t="str">
        <x:f t="shared" ref="DW16:DW45" si="56">IF(CV16="","",MAX(0,IF(NOT(ISBLANK(CB16)),CV16-CB16,DV16-VLOOKUP(IF(AU16="HDR","K",AU16),$DF$2:$DN$9,4,FALSE))))</x:f>
        <x:v/>
      </x:c>
      <x:c r="DX16" s="1451">
        <x:f t="shared" ref="DX16:DX45" si="57">IF(CV16="",0,IF(DW16/COS(FN16-FD16)&lt;0.0625,0,CEILING(DW16/COS(FN16-FD16)-0.03125,0.125)))</x:f>
        <x:v>0</x:v>
      </x:c>
      <x:c r="DY16" s="1095">
        <x:f t="shared" ref="DY16:DY45" si="58">RADIANS(ABS(BU16))</x:f>
        <x:v>0</x:v>
      </x:c>
      <x:c r="DZ16" s="1052">
        <x:f t="shared" ref="DZ16:DZ45" si="59">MIN(IF(BP16&gt;0,BP16/2,MAX(BQ16/2,DM16)),IF(BQ16&gt;0,BQ16/2,MAX(BP16/2,DM16)),IF(DM16&gt;0,DM16,MAX(BQ16/2,BP16/2)))/IF(OR(DE16="C",AND(DE16="M",$DD$1="N")),1,COS(DY16))</x:f>
        <x:v>0</x:v>
      </x:c>
      <x:c r="EA16" s="1052" t="str">
        <x:f t="shared" ref="EA16:EA45" si="60">IF(DF16="","",IF(DM16&gt;=0,MAX(BP16/2,BQ16/2,DM16),DM16)/IF(OR(DE16="C",AND(DE16="M",$DD$1="N")),1,COS(DY16)))</x:f>
        <x:v/>
      </x:c>
      <x:c r="EB16" s="1095" t="str">
        <x:f t="shared" ref="EB16:EB45" si="61">IF(DF16="","",(DF16+EA16+(VLOOKUP(IF(AU16="HDR","K",AU16),$DF$2:$DN$9,2,FALSE))*TAN(DY16))/COS(FI16)-FM16)</x:f>
        <x:v/>
      </x:c>
      <x:c r="EC16" s="1095" t="str">
        <x:f t="shared" ref="EC16:EC45" si="62">IF(DF16="","",MAX(0,IF(NOT(ISBLANK(CC16)),DF16-CC16,EB16-VLOOKUP(IF(AU16="HDR","K",AU16),$DF$2:$DN$9,4,FALSE))))</x:f>
        <x:v/>
      </x:c>
      <x:c r="ED16" s="1451">
        <x:f t="shared" ref="ED16:ED45" si="63">IF(DF16="",0,IF(EC16/COS(FN16+FI16)&lt;0.0625,0,CEILING(EC16/COS(FN16+FI16)-0.03125,0.125)))</x:f>
        <x:v>0</x:v>
      </x:c>
      <x:c r="EE16" s="1107" t="str">
        <x:f t="shared" ref="EE16:EE45" si="64">IF(AND(EZ16="",DA16=""),"",IF(EZ16="ERR","ERR",IF(CU16="C",DA16,IF(BJ16="","",IF(DA16="",(EZ16/2)*-1,DA16)))))</x:f>
        <x:v/>
      </x:c>
      <x:c r="EF16" s="1095" t="str">
        <x:f t="shared" ref="EF16:EF45" si="65">IF(EE16="ERR","ERR",IF(EE16="","",IF(DB16*TAN(DS16)&lt;=(VLOOKUP(AU16,$DF$2:$DN$9,8,FALSE)-(VLOOKUP(AU16,$DF$2:$DN$9,7,FALSE)-0.0625)),CV16-(EE16-FH16)/IF(OR(CU16="C",AND(CU16="M",$DD$1="N")),1,COS(DS16))-IF(MID(CW16,1,1)="R",0,DW16),(ABS(EE16-FH16)/IF(OR(CU16="C",AND(CU16="M",$DD$1="N")),1,COS(DS16))+CV16)-((DB16/2)*TAN(DS16))-IF(MID(CW16,1,1)="R",0,DW16))))</x:f>
        <x:v/>
      </x:c>
      <x:c r="EG16" s="1095" t="str">
        <x:f t="shared" ref="EG16:EG45" si="66">IF(EE16="ERR","ERR",IF(EE16="","",IF(DB16*TAN(DS16)&lt;=(VLOOKUP(AU16,$DF$2:$DN$9,8,FALSE)-(VLOOKUP(AU16,$DF$2:$DN$9,7,FALSE)-0.0625)),CV16-(EE16-FH16)/IF(OR(CU16="C",AND(CU16="M",$DD$1="N")),1,COS(DS16))-IF(MID(CW16,1,1)="R",0,DW16),(ABS(EE16-FH16)/IF(OR(CU16="C",AND(CU16="M",$DD$1="N")),1,COS(DS16))+CV16)+((DB16/2)*TAN(DS16))-IF(MID(CW16,1,1)="R",0,DW16))))</x:f>
        <x:v/>
      </x:c>
      <x:c r="EH16" s="1095" t="str">
        <x:f t="shared" ref="EH16:EH45" si="67">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8">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9">IF(ISERROR(EF16),"ERR",IF(EF16="","",IF(EH16="ERR","ERR",CEILING(EH16-0.0625,0.125))))</x:f>
        <x:v/>
      </x:c>
      <x:c r="EK16" s="1095" t="str">
        <x:f t="shared" si="69"/>
        <x:v/>
      </x:c>
      <x:c r="EL16" s="1107" t="str">
        <x:f t="shared" ref="EL16:EL45" si="70">IF(AND(FC16="",DK16=""),"",IF(FC16="ERR","ERR",IF(DE16="C",DK16,IF(BR16="","",IF(DK16="",(FC16/2)*-1,DK16)))))</x:f>
        <x:v/>
      </x:c>
      <x:c r="EM16" s="1095" t="str">
        <x:f t="shared" ref="EM16:EM45" si="71">IF(EL16="ERR","ERR",IF(EL16="","",IF(DL16*TAN(DY16)&lt;=(VLOOKUP(AU16,$DF$2:$DN$9,8,FALSE)-(VLOOKUP(AU16,$DF$2:$DN$9,7,FALSE)-0.0625)),DF16-(EL16-FM16)/IF(OR(DE16="C",AND(DE16="M",$DD$1="N")),1,COS(DY16))-IF(MID(DG16,1,1)="R",0,EC16),(ABS(EL16-FM16)/IF(OR(DE16="C",AND(DE16="M",$DD$1="N")),1,COS(DY16))+DF16)-((DL16/2)*TAN(DY16))-IF(MID(DG16,1,1)="R",0,EC16))))</x:f>
        <x:v/>
      </x:c>
      <x:c r="EN16" s="1095" t="str">
        <x:f t="shared" ref="EN16:EN45" si="72">IF(EL16="ERR","ERR",IF(EL16="","",IF(DL16*TAN(DY16)&lt;=(VLOOKUP(AU16,$DF$2:$DN$9,8,FALSE)-(VLOOKUP(AU16,$DF$2:$DN$9,7,FALSE)-0.0625)),DF16-(EL16-FM16)/IF(OR(DE16="C",AND(DE16="M",$DD$1="N")),1,COS(DY16))-IF(MID(DG16,1,1)="R",0,EC16),(ABS(EL16-FM16)/IF(OR(DE16="C",AND(DE16="M",$DD$1="N")),1,COS(DY16))+DF16)+((DL16/2)*TAN(DY16))-IF(MID(DG16,1,1)="R",0,EC16))))</x:f>
        <x:v/>
      </x:c>
      <x:c r="EO16" s="1095" t="str">
        <x:f t="shared" ref="EO16:EO45" si="73">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4">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5">IF(ISERROR(EM16),"ERR",IF(EM16="","",IF(EO16="ERR","ERR",CEILING(EO16-0.0625,0.125))))</x:f>
        <x:v/>
      </x:c>
      <x:c r="ER16" s="1095" t="str">
        <x:f t="shared" si="75"/>
        <x:v/>
      </x:c>
      <x:c r="ES16" s="1053" t="str">
        <x:f t="shared" ref="ES16:ES45" si="76">IF(OR(CY16="",AU16="JS",AU16="HDR",CD16=""),"",IF((CV16-CY16)/COS(DO16)-FS16&lt;=-0.0625,CEILING((CV16-CY16)/COS(DO16)-FS16+0.0625,-0.125),IF((CV16-CY16)/COS(DO16)-FS16&gt;=0.0625,CEILING((CV16-CY16)/COS(DO16)-FS16-0.0625,0.125),0)))</x:f>
        <x:v/>
      </x:c>
      <x:c r="ET16" s="1053" t="str">
        <x:f t="shared" ref="ET16:ET45" si="77">IF(OR(DI16="",AU16="JS",AU16="HDR",CE16=""),"",IF((DF16-DI16)/COS(DO16)-FT16&lt;=-0.0625,CEILING((DF16-DI16)/COS(DO16)-FT16+0.0625,-0.125),IF((DF16-DI16)/COS(DO16)-FT16&gt;=0.0625,CEILING((DF16-DI16)/COS(DO16)-FT16-0.0625,0.125),0)))</x:f>
        <x:v/>
      </x:c>
      <x:c r="EU16" s="1097">
        <x:f t="shared" ref="EU16:EU45" si="78">IF(AU16="","",VLOOKUP(AU16,$DF$2:$DN$9,6,FALSE))</x:f>
        <x:v>3.5</x:v>
      </x:c>
      <x:c r="EV16" s="1055" t="str">
        <x:f t="shared" ref="EV16:EV45" si="79">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0">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1">IF(BR16="X",IF(OR(DE16="M",DE16="C"),"",IF((FB16-FA16)/2&lt;=(VLOOKUP(AU16,$DF$2:$DN$9,8,FALSE)-(VLOOKUP(AU16,$DF$2:$DN$9,7,FALSE)-0.0625)),(FA16+FB16)/2,"ERR")),"")</x:f>
        <x:v/>
      </x:c>
      <x:c r="FD16" s="1096">
        <x:f>IF(DD16="",0,ATAN(DD16/12))</x:f>
        <x:v>0</x:v>
      </x:c>
      <x:c r="FE16" s="1096">
        <x:f t="shared" ref="FE16:FE45" si="82">DO16-FD16</x:f>
        <x:v>0</x:v>
      </x:c>
      <x:c r="FF16" s="1096">
        <x:f t="shared" ref="FF16:FF45" si="83">TAN(FE16)*12</x:f>
        <x:v>0</x:v>
      </x:c>
      <x:c r="FG16" s="1096" t="str">
        <x:f t="shared" ref="FG16:FG45" si="84">IF(FF16=0,"",IF(ABS(FF16)&lt;$CX$2,IF(AND(ABS(MIN(DV16,FQ16)/12*FF16)&gt;$DD$2,FF16&gt;0),IF(FF16&gt;0,CEILING(FF16-0.0625,0.125),CEILING(FF16+0.0625,-0.125)),""),IF(FF16&gt;0,CEILING(FF16-0.0625,0.125),CEILING(FF16+0.0625,-0.125))))</x:f>
        <x:v/>
      </x:c>
      <x:c r="FH16" s="1095" t="str">
        <x:f t="shared" ref="FH16:FH45" si="85">IF(CX16="","",CX16*TAN(FD16))</x:f>
        <x:v/>
      </x:c>
      <x:c r="FI16" s="1096">
        <x:f>IF(DN16="",0,ATAN(DN16/12))</x:f>
        <x:v>0</x:v>
      </x:c>
      <x:c r="FJ16" s="1096">
        <x:f t="shared" ref="FJ16:FJ45" si="86">DO16+FI16</x:f>
        <x:v>0</x:v>
      </x:c>
      <x:c r="FK16" s="1096">
        <x:f t="shared" ref="FK16:FK45" si="87">TAN(FJ16)*-12</x:f>
        <x:v>0</x:v>
      </x:c>
      <x:c r="FL16" s="1096" t="str">
        <x:f t="shared" ref="FL16:FL45" si="88">IF(FK16=0,"",IF(ABS(FK16)&lt;$CX$2,IF(AND(ABS(MIN(EB16,FR16)/12*FK16)&gt;$DD$2,FK16&gt;0),IF(FK16&gt;0,CEILING(FK16-0.0625,0.125),CEILING(FK16+0.0625,-0.125)),""),IF(FK16&gt;0,CEILING(FK16-0.0625,0.125),CEILING(FK16+0.0625,-0.125))))</x:f>
        <x:v/>
      </x:c>
      <x:c r="FM16" s="1095" t="str">
        <x:f t="shared" ref="FM16:FM45" si="89">IF(DH16="","",DH16*TAN(FI16))</x:f>
        <x:v/>
      </x:c>
      <x:c r="FN16" s="1095" t="e">
        <x:f t="shared" ref="FN16:FN45" si="90">IF(((BE16*12+BF16)+CV16+DF16)/COS(DO16)-((BE16*12+BF16)+CV16+DF16)&lt;$DB$2,0,DO16)</x:f>
        <x:v>#VALUE!</x:v>
      </x:c>
      <x:c r="FO16" s="1098" t="e">
        <x:f t="shared" ref="FO16:FO45" si="91">MIN(IF(BH16&gt;0,BH16/2,MAX(BI16/2,DC16)),IF(BI16&gt;0,BI16/2,MAX(BH16/2,DC16)),IF(DC16&gt;0,DC16,MAX(BI16/2,BH16/2)))/COS(DS16)+CV16-DW16</x:f>
        <x:v>#VALUE!</x:v>
      </x:c>
      <x:c r="FP16" s="1098" t="e">
        <x:f t="shared" ref="FP16:FP45" si="92">MIN(IF(BP16&gt;0,BP16/2,MAX(BQ16/2,DM16)),IF(BQ16&gt;0,BQ16/2,MAX(BP16/2,DM16)),IF(DM16&gt;0,DM16,MAX(BQ16/2,BP16/2)))/COS(DY16)+DF16-EC16</x:f>
        <x:v>#VALUE!</x:v>
      </x:c>
      <x:c r="FQ16" s="1099" t="e">
        <x:f t="shared" ref="FQ16:FQ45" si="93">IF(OR(CU16="M", CU16="B",CU16="G"),MAX(BH16,BI16),DC16+CV16)</x:f>
        <x:v>#VALUE!</x:v>
      </x:c>
      <x:c r="FR16" s="1100" t="e">
        <x:f t="shared" ref="FR16:FR45" si="94">IF(OR(DE16="M", DE16="B",DE16="G"),MAX(BP16,BQ16),DM16+DF16)</x:f>
        <x:v>#VALUE!</x:v>
      </x:c>
      <x:c r="FS16" s="1101" t="str">
        <x:f t="shared" ref="FS16:FS45" si="95">IF(CY16="","",IF(ABS(BW16*((AJ16-IF(BW16&gt;0,VLOOKUP(AU16,$DF$2:$DN$9,9,FALSE),0))/12))&gt;$CZ$2,BW16*((AJ16-IF(BW16&gt;0,VLOOKUP(AU16,$DF$2:$DN$9,9,FALSE),0))/12),0))</x:f>
        <x:v/>
      </x:c>
      <x:c r="FT16" s="1102" t="str">
        <x:f t="shared" ref="FT16:FT45" si="96">IF(DI16="","",IF(ABS(BW16*((AJ16-IF(BW16&lt;0,VLOOKUP(AU16,$DF$2:$DN$9,9,FALSE),0))/12))&gt;$CZ$2,BW16*((AJ16-IF(BW16&lt;0,VLOOKUP(AU16,$DF$2:$DN$9,9,FALSE),0))/12)*-1,0))</x:f>
        <x:v/>
      </x:c>
      <x:c r="FU16" s="1103">
        <x:f t="shared" ref="FU16:FU45" si="97">IF(CX16="",0,MAX(0,MIN(DV16-VLOOKUP(AU16,DF$2:DN$9,4,FALSE),(MAX(0,CX16-VLOOKUP(AU16,DF$2:DN$9,3,FALSE))+VLOOKUP(AU16,DF$2:DN$9,4,FALSE))*COS(DO16)+((MAX(0,CX16-VLOOKUP(AU16,DF$2:DN$9,3,FALSE))+VLOOKUP(AU16,DF$2:DN$9,4,FALSE))*COS(PI()/2-DO16))/TAN(PI()/2-(DO16+PI()/4))-VLOOKUP(AU16,DF$2:DN$9,4,FALSE))))</x:f>
        <x:v>0</x:v>
      </x:c>
      <x:c r="FV16" s="1104">
        <x:f t="shared" ref="FV16:FV45" si="98">IF(DH16="",0,MAX(0,MIN(EB16-VLOOKUP(AU16,DF$2:DN$9,4,FALSE),(MAX(0,DH16-VLOOKUP(AU16,DF$2:DN$9,3,FALSE))+VLOOKUP(AU16,DF$2:DN$9,4,FALSE))*COS(DO16)+((MAX(0,DH16-VLOOKUP(AU16,DF$2:DN$9,3,FALSE))+VLOOKUP(AU16,DF$2:DN$9,4,FALSE))*COS(PI()/2-DO16))/TAN(PI()/2-(DO16+PI()/4))-VLOOKUP(AU16,DF$2:DN$9,4,FALSE))))</x:f>
        <x:v>0</x:v>
      </x:c>
      <x:c r="GA16" s="1975">
        <x:v>33</x:v>
      </x:c>
      <x:c r="GB16" s="1976">
        <x:v>8.75</x:v>
      </x:c>
      <x:c r="GC16" s="1977">
        <x:v>-0.25</x:v>
      </x:c>
      <x:c r="GD16" s="1978">
        <x:v>-0.5</x:v>
      </x:c>
      <x:c r="GE16" s="1979">
        <x:v>0.38000000905513598</x:v>
      </x:c>
      <x:c r="GF16" s="1980" t="str">
        <x:f t="shared" ref="GF16:GF45" si="99">IF(A16=0,"",A16)</x:f>
        <x:v>J192</x:v>
      </x:c>
      <x:c r="GG16" s="1453"/>
      <x:c r="GH16" s="1454"/>
      <x:c r="GI16" s="1453"/>
      <x:c r="GJ16" s="1454"/>
      <x:c r="GK16" s="533">
        <x:f t="shared" ref="GK16:GK45" si="100">IF(D16="",0,D16*12+E16)</x:f>
        <x:v>404</x:v>
      </x:c>
      <x:c r="GL16" s="534">
        <x:f t="shared" ref="GL16:GL45" si="101">(GA16*12+GB16+GC16+GD16)/COS(ATAN(ABS(GE16/12)))</x:f>
        <x:v>404.20251036525991</x:v>
      </x:c>
      <x:c r="GM16" s="535">
        <x:f>IF(ABS(GK16-GL16)&gt;='Job Info.'!$L$22,ABS(GK16-GL16),0)</x:f>
        <x:v>0</x:v>
      </x:c>
      <x:c r="HA16" s="1652" t="s">
        <x:v>1516</x:v>
      </x:c>
      <x:c r="HB16" s="1653">
        <x:v>1</x:v>
      </x:c>
      <x:c r="HC16" s="1653" t="s">
        <x:v>1980</x:v>
      </x:c>
      <x:c r="HD16" s="1654">
        <x:v>33</x:v>
      </x:c>
      <x:c r="HE16" s="1655">
        <x:v>8</x:v>
      </x:c>
      <x:c r="HF16" s="1653">
        <x:v>0</x:v>
      </x:c>
      <x:c r="HG16" s="1653">
        <x:v>1.375</x:v>
      </x:c>
      <x:c r="HH16" s="1653" t="s">
        <x:v>114</x:v>
      </x:c>
      <x:c r="HI16" s="1656">
        <x:v>0</x:v>
      </x:c>
      <x:c r="HJ16" s="1653">
        <x:v>0.25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x:v>0.38000000905513598</x:v>
      </x:c>
      <x:c r="HZ16" s="1655">
        <x:v>-0.38000000905513598</x:v>
      </x:c>
      <x:c r="IA16" s="1655" t="s">
        <x:v>2205</x:v>
      </x:c>
      <x:c r="IB16" s="1655"/>
      <x:c r="IC16" s="1655"/>
      <x:c r="ID16" s="1655"/>
      <x:c r="IE16" s="1655"/>
      <x:c r="IF16" s="1657"/>
    </x:row>
    <x:row r="17" spans="1:240" ht="12.6" customHeight="1" x14ac:dyDescent="0.25">
      <x:c r="A17" s="1264" t="s">
        <x:v>1517</x:v>
      </x:c>
      <x:c r="B17" s="1265">
        <x:v>1</x:v>
      </x:c>
      <x:c r="C17" s="1265" t="s">
        <x:v>1979</x:v>
      </x:c>
      <x:c r="D17" s="1261">
        <x:v>44</x:v>
      </x:c>
      <x:c r="E17" s="1366">
        <x:v>10.5</x:v>
      </x:c>
      <x:c r="F17" s="1328">
        <x:v>0</x:v>
      </x:c>
      <x:c r="G17" s="1262">
        <x:v>1.375</x:v>
      </x:c>
      <x:c r="H17" s="1266" t="s">
        <x:v>114</x:v>
      </x:c>
      <x:c r="I17" s="1261">
        <x:v>0</x:v>
      </x:c>
      <x:c r="J17" s="2122">
        <x:v>2</x:v>
      </x:c>
      <x:c r="K17" s="1370" t="s">
        <x:v>114</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x:v>0</x:v>
      </x:c>
      <x:c r="U17" s="1262">
        <x:v>2.25</x:v>
      </x:c>
      <x:c r="V17" s="1261">
        <x:v>0</x:v>
      </x:c>
      <x:c r="W17" s="1262">
        <x:v>3.875</x:v>
      </x:c>
      <x:c r="X17" s="1329">
        <x:v>4</x:v>
      </x:c>
      <x:c r="Y17" s="1377">
        <x:v>0.38000000503426401</x:v>
      </x:c>
      <x:c r="Z17" s="1378">
        <x:v>-0.38000000503426401</x:v>
      </x:c>
      <x:c r="AA17" s="2159" t="s">
        <x:v>2206</x:v>
      </x:c>
      <x:c r="AC17" s="1226" t="b">
        <x:v>0</x:v>
      </x:c>
      <x:c r="AD17" s="525">
        <x:f t="shared" si="12"/>
        <x:v>1</x:v>
      </x:c>
      <x:c r="AE17" s="526">
        <x:f t="shared" si="13"/>
        <x:v>0</x:v>
      </x:c>
      <x:c r="AF17" s="526">
        <x:f t="shared" si="14"/>
        <x:v>0</x:v>
      </x:c>
      <x:c r="AG17" s="526">
        <x:f t="shared" si="15"/>
        <x:v>0</x:v>
      </x:c>
      <x:c r="AH17" s="527">
        <x:f t="shared" si="16"/>
        <x:v>0</x:v>
      </x:c>
      <x:c r="AI17" s="528" t="b">
        <x:v>0</x:v>
      </x:c>
      <x:c r="AJ17" s="284">
        <x:f t="shared" si="17"/>
        <x:v>30</x:v>
      </x:c>
      <x:c r="AK17" s="1063" t="str">
        <x:f t="shared" si="18"/>
        <x:v>K</x:v>
      </x:c>
      <x:c r="AL17" s="1202" t="str">
        <x:f t="shared" si="19"/>
        <x:v/>
      </x:c>
      <x:c r="AM17" s="1063">
        <x:f t="shared" si="20"/>
        <x:v>240</x:v>
      </x:c>
      <x:c r="AN17" s="1063">
        <x:f t="shared" si="21"/>
        <x:v>140</x:v>
      </x:c>
      <x:c r="AO17" s="1063" t="str">
        <x:f t="shared" si="22"/>
        <x:v/>
      </x:c>
      <x:c r="AP17" s="1063" t="b">
        <x:f>IF(ISERROR(AJ17),FALSE,IF(OR(AJ17=0,ISERROR(AL17),ISERROR(AM17),ISERROR(AN17),ISERROR(AO17)),FALSE,IF(AL17&lt;&gt;"",IF(ISERROR(VLOOKUP(SUBSTITUTE(SUBSTITUTE(C17,"R",""),"A",""),TblJoistSize!$A:$A,1,FALSE)),FALSE,TRUE),TRUE)))</x:f>
        <x:v>1</x:v>
      </x:c>
      <x:c r="AQ17" s="1305">
        <x:f t="shared" si="23"/>
        <x:v>5.375</x:v>
      </x:c>
      <x:c r="AR17" s="1305" t="b">
        <x:f t="shared" si="24"/>
        <x:v>1</x:v>
      </x:c>
      <x:c r="AS17" s="1305">
        <x:f t="shared" si="25"/>
        <x:v>6</x:v>
      </x:c>
      <x:c r="AT17" s="1305" t="b">
        <x:f t="shared" si="26"/>
        <x:v>1</x:v>
      </x:c>
      <x:c r="AU17" s="1203" t="str">
        <x:f t="shared" si="27"/>
        <x:v>K</x:v>
      </x:c>
      <x:c r="AV17" s="1063" t="str">
        <x:f t="shared" si="28"/>
        <x:v>K</x:v>
      </x:c>
      <x:c r="AW17" s="1063" t="str">
        <x:f t="shared" si="29"/>
        <x:v/>
      </x:c>
      <x:c r="AX17" s="1063" t="str">
        <x:f t="shared" ref="AX17:AX45" si="102">IF(AND(OR(ISBLANK(A17),A17=""),AA17&lt;&gt;""),AX16,IF(OR(ISBLANK(A17),A17=""),"",A17))</x:f>
        <x:v>J193</x:v>
      </x:c>
      <x:c r="AY17" s="1306" t="b">
        <x:f t="shared" si="30"/>
        <x:v>0</x:v>
      </x:c>
      <x:c r="AZ17" s="1090" t="b">
        <x:f t="shared" si="31"/>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2"/>
        <x:v/>
      </x:c>
      <x:c r="CE17" s="935" t="str">
        <x:f t="shared" si="33"/>
        <x:v/>
      </x:c>
      <x:c r="CF17" s="1149"/>
      <x:c r="CG17" s="1150"/>
      <x:c r="CH17" s="738" t="str">
        <x:f t="shared" si="34"/>
        <x:v/>
      </x:c>
      <x:c r="CI17" s="739" t="str">
        <x:f t="shared" si="35"/>
        <x:v/>
      </x:c>
      <x:c r="CJ17" s="740" t="str">
        <x:f t="shared" si="36"/>
        <x:v/>
      </x:c>
      <x:c r="CK17" s="741" t="str">
        <x:f t="shared" si="37"/>
        <x:v/>
      </x:c>
      <x:c r="CL17" s="742" t="str">
        <x:f t="shared" si="38"/>
        <x:v/>
      </x:c>
      <x:c r="CM17" s="743" t="str">
        <x:f t="shared" si="39"/>
        <x:v/>
      </x:c>
      <x:c r="CN17" s="744" t="str">
        <x:f t="shared" si="40"/>
        <x:v/>
      </x:c>
      <x:c r="CO17" s="745" t="str">
        <x:f t="shared" si="41"/>
        <x:v/>
      </x:c>
      <x:c r="CP17" s="762" t="str">
        <x:f t="shared" si="42"/>
        <x:v/>
      </x:c>
      <x:c r="CQ17" s="763" t="str">
        <x:f t="shared" si="43"/>
        <x:v/>
      </x:c>
      <x:c r="CR17" s="953">
        <x:f t="shared" si="44"/>
        <x:v>2.5</x:v>
      </x:c>
      <x:c r="CS17" s="954">
        <x:f t="shared" si="45"/>
        <x:v>2.5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6"/>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7"/>
        <x:v>0</x:v>
      </x:c>
      <x:c r="DO17" s="1049">
        <x:f t="shared" si="48"/>
        <x:v>0</x:v>
      </x:c>
      <x:c r="DP17" s="1053" t="str">
        <x:f t="shared" si="49"/>
        <x:v/>
      </x:c>
      <x:c r="DQ17" s="1053" t="str">
        <x:f t="shared" si="50"/>
        <x:v/>
      </x:c>
      <x:c r="DR17" s="1053" t="str">
        <x:f t="shared" si="51"/>
        <x:v/>
      </x:c>
      <x:c r="DS17" s="1052">
        <x:f t="shared" si="52"/>
        <x:v>0</x:v>
      </x:c>
      <x:c r="DT17" s="1052">
        <x:f t="shared" si="53"/>
        <x:v>0</x:v>
      </x:c>
      <x:c r="DU17" s="1052" t="str">
        <x:f t="shared" si="54"/>
        <x:v/>
      </x:c>
      <x:c r="DV17" s="1053" t="str">
        <x:f t="shared" si="55"/>
        <x:v/>
      </x:c>
      <x:c r="DW17" s="1053" t="str">
        <x:f t="shared" si="56"/>
        <x:v/>
      </x:c>
      <x:c r="DX17" s="1269">
        <x:f t="shared" si="57"/>
        <x:v>0</x:v>
      </x:c>
      <x:c r="DY17" s="1053">
        <x:f t="shared" si="58"/>
        <x:v>0</x:v>
      </x:c>
      <x:c r="DZ17" s="1052">
        <x:f t="shared" si="59"/>
        <x:v>0</x:v>
      </x:c>
      <x:c r="EA17" s="1052" t="str">
        <x:f t="shared" si="60"/>
        <x:v/>
      </x:c>
      <x:c r="EB17" s="1053" t="str">
        <x:f t="shared" si="61"/>
        <x:v/>
      </x:c>
      <x:c r="EC17" s="1053" t="str">
        <x:f t="shared" si="62"/>
        <x:v/>
      </x:c>
      <x:c r="ED17" s="1269">
        <x:f t="shared" si="63"/>
        <x:v>0</x:v>
      </x:c>
      <x:c r="EE17" s="1090" t="str">
        <x:f t="shared" si="64"/>
        <x:v/>
      </x:c>
      <x:c r="EF17" s="1053" t="str">
        <x:f t="shared" si="65"/>
        <x:v/>
      </x:c>
      <x:c r="EG17" s="1053" t="str">
        <x:f t="shared" si="66"/>
        <x:v/>
      </x:c>
      <x:c r="EH17" s="1053" t="str">
        <x:f t="shared" si="67"/>
        <x:v>ERR</x:v>
      </x:c>
      <x:c r="EI17" s="1053" t="str">
        <x:f t="shared" si="68"/>
        <x:v>ERR</x:v>
      </x:c>
      <x:c r="EJ17" s="1053" t="str">
        <x:f t="shared" si="69"/>
        <x:v/>
      </x:c>
      <x:c r="EK17" s="1053" t="str">
        <x:f t="shared" si="69"/>
        <x:v/>
      </x:c>
      <x:c r="EL17" s="1090" t="str">
        <x:f t="shared" si="70"/>
        <x:v/>
      </x:c>
      <x:c r="EM17" s="1053" t="str">
        <x:f t="shared" si="71"/>
        <x:v/>
      </x:c>
      <x:c r="EN17" s="1053" t="str">
        <x:f t="shared" si="72"/>
        <x:v/>
      </x:c>
      <x:c r="EO17" s="1053" t="str">
        <x:f t="shared" si="73"/>
        <x:v>ERR</x:v>
      </x:c>
      <x:c r="EP17" s="1053" t="str">
        <x:f t="shared" si="74"/>
        <x:v>ERR</x:v>
      </x:c>
      <x:c r="EQ17" s="1053" t="str">
        <x:f t="shared" si="75"/>
        <x:v/>
      </x:c>
      <x:c r="ER17" s="1053" t="str">
        <x:f t="shared" si="75"/>
        <x:v/>
      </x:c>
      <x:c r="ES17" s="1053" t="str">
        <x:f t="shared" si="76"/>
        <x:v/>
      </x:c>
      <x:c r="ET17" s="1053" t="str">
        <x:f t="shared" si="77"/>
        <x:v/>
      </x:c>
      <x:c r="EU17" s="1061">
        <x:f t="shared" si="78"/>
        <x:v>3.5</x:v>
      </x:c>
      <x:c r="EV17" s="1055" t="str">
        <x:f t="shared" si="79"/>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0"/>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1"/>
        <x:v/>
      </x:c>
      <x:c r="FD17" s="1052">
        <x:f t="shared" ref="FD17:FD45" si="103">IF(DD17="",0,ATAN(DD17/12))</x:f>
        <x:v>0</x:v>
      </x:c>
      <x:c r="FE17" s="1052">
        <x:f t="shared" si="82"/>
        <x:v>0</x:v>
      </x:c>
      <x:c r="FF17" s="1052">
        <x:f t="shared" si="83"/>
        <x:v>0</x:v>
      </x:c>
      <x:c r="FG17" s="1052" t="str">
        <x:f t="shared" si="84"/>
        <x:v/>
      </x:c>
      <x:c r="FH17" s="1053" t="str">
        <x:f t="shared" si="85"/>
        <x:v/>
      </x:c>
      <x:c r="FI17" s="1052">
        <x:f t="shared" ref="FI17:FI45" si="104">IF(DN17="",0,ATAN(DN17/12))</x:f>
        <x:v>0</x:v>
      </x:c>
      <x:c r="FJ17" s="1052">
        <x:f t="shared" si="86"/>
        <x:v>0</x:v>
      </x:c>
      <x:c r="FK17" s="1052">
        <x:f t="shared" si="87"/>
        <x:v>0</x:v>
      </x:c>
      <x:c r="FL17" s="1052" t="str">
        <x:f t="shared" si="88"/>
        <x:v/>
      </x:c>
      <x:c r="FM17" s="1053" t="str">
        <x:f t="shared" si="89"/>
        <x:v/>
      </x:c>
      <x:c r="FN17" s="1053" t="e">
        <x:f t="shared" si="90"/>
        <x:v>#VALUE!</x:v>
      </x:c>
      <x:c r="FO17" s="1062" t="e">
        <x:f t="shared" si="91"/>
        <x:v>#VALUE!</x:v>
      </x:c>
      <x:c r="FP17" s="1062" t="e">
        <x:f t="shared" si="92"/>
        <x:v>#VALUE!</x:v>
      </x:c>
      <x:c r="FQ17" s="1063" t="e">
        <x:f t="shared" si="93"/>
        <x:v>#VALUE!</x:v>
      </x:c>
      <x:c r="FR17" s="1064" t="e">
        <x:f t="shared" si="94"/>
        <x:v>#VALUE!</x:v>
      </x:c>
      <x:c r="FS17" s="1065" t="str">
        <x:f t="shared" si="95"/>
        <x:v/>
      </x:c>
      <x:c r="FT17" s="1066" t="str">
        <x:f t="shared" si="96"/>
        <x:v/>
      </x:c>
      <x:c r="FU17" s="1105">
        <x:f t="shared" si="97"/>
        <x:v>0</x:v>
      </x:c>
      <x:c r="FV17" s="1106">
        <x:f t="shared" si="98"/>
        <x:v>0</x:v>
      </x:c>
      <x:c r="GA17" s="1975">
        <x:v>44</x:v>
      </x:c>
      <x:c r="GB17" s="1976">
        <x:v>11</x:v>
      </x:c>
      <x:c r="GC17" s="1977">
        <x:v>-0.25</x:v>
      </x:c>
      <x:c r="GD17" s="1978">
        <x:v>-0.5</x:v>
      </x:c>
      <x:c r="GE17" s="1979">
        <x:v>0.38000000503426401</x:v>
      </x:c>
      <x:c r="GF17" s="1980" t="str">
        <x:f t="shared" si="99"/>
        <x:v>J193</x:v>
      </x:c>
      <x:c r="GG17" s="1453"/>
      <x:c r="GH17" s="1454"/>
      <x:c r="GI17" s="1453"/>
      <x:c r="GJ17" s="1454"/>
      <x:c r="GK17" s="533">
        <x:f t="shared" si="100"/>
        <x:v>538.5</x:v>
      </x:c>
      <x:c r="GL17" s="534">
        <x:f t="shared" si="101"/>
        <x:v>538.51980495493808</x:v>
      </x:c>
      <x:c r="GM17" s="535">
        <x:f>IF(ABS(GK17-GL17)&gt;='Job Info.'!$L$22,ABS(GK17-GL17),0)</x:f>
        <x:v>0</x:v>
      </x:c>
      <x:c r="HA17" s="1658" t="s">
        <x:v>1517</x:v>
      </x:c>
      <x:c r="HB17" s="1659">
        <x:v>1</x:v>
      </x:c>
      <x:c r="HC17" s="1659" t="s">
        <x:v>1979</x:v>
      </x:c>
      <x:c r="HD17" s="1660">
        <x:v>44</x:v>
      </x:c>
      <x:c r="HE17" s="1661">
        <x:v>10.5</x:v>
      </x:c>
      <x:c r="HF17" s="1659">
        <x:v>0</x:v>
      </x:c>
      <x:c r="HG17" s="1659">
        <x:v>1.375</x:v>
      </x:c>
      <x:c r="HH17" s="1659" t="s">
        <x:v>114</x:v>
      </x:c>
      <x:c r="HI17" s="1662">
        <x:v>0</x:v>
      </x:c>
      <x:c r="HJ17" s="1659">
        <x:v>0.25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2.25</x:v>
      </x:c>
      <x:c r="HV17" s="1659">
        <x:v>0</x:v>
      </x:c>
      <x:c r="HW17" s="1661">
        <x:v>3.875</x:v>
      </x:c>
      <x:c r="HX17" s="1661">
        <x:v>4</x:v>
      </x:c>
      <x:c r="HY17" s="1661">
        <x:v>0.38000000503426401</x:v>
      </x:c>
      <x:c r="HZ17" s="1661">
        <x:v>-0.38000000503426401</x:v>
      </x:c>
      <x:c r="IA17" s="1661" t="s">
        <x:v>2206</x:v>
      </x:c>
      <x:c r="IB17" s="1661"/>
      <x:c r="IC17" s="1661"/>
      <x:c r="ID17" s="1661"/>
      <x:c r="IE17" s="1661"/>
      <x:c r="IF17" s="1663"/>
    </x:row>
    <x:row r="18" spans="1:240" ht="12.6" customHeight="1" x14ac:dyDescent="0.25">
      <x:c r="A18" s="1264" t="s">
        <x:v>1518</x:v>
      </x:c>
      <x:c r="B18" s="1265">
        <x:v>1</x:v>
      </x:c>
      <x:c r="C18" s="1265" t="s">
        <x:v>1979</x:v>
      </x:c>
      <x:c r="D18" s="1261">
        <x:v>56</x:v>
      </x:c>
      <x:c r="E18" s="1366">
        <x:v>0.625</x:v>
      </x:c>
      <x:c r="F18" s="1328">
        <x:v>0</x:v>
      </x:c>
      <x:c r="G18" s="1262">
        <x:v>1.375</x:v>
      </x:c>
      <x:c r="H18" s="1266" t="s">
        <x:v>114</x:v>
      </x:c>
      <x:c r="I18" s="1261">
        <x:v>6</x:v>
      </x:c>
      <x:c r="J18" s="1262">
        <x:v>2.25</x:v>
      </x:c>
      <x:c r="K18" s="1370" t="s">
        <x:v>114</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t="str">
        <x:f t="shared" si="7"/>
        <x:v/>
      </x:c>
      <x:c r="U18" s="1262" t="str">
        <x:f t="shared" si="8"/>
        <x:v/>
      </x:c>
      <x:c r="V18" s="1261" t="str">
        <x:f t="shared" si="9"/>
        <x:v/>
      </x:c>
      <x:c r="W18" s="1262" t="str">
        <x:f t="shared" si="10"/>
        <x:v/>
      </x:c>
      <x:c r="X18" s="1329">
        <x:f t="shared" si="11"/>
        <x:v>0</x:v>
      </x:c>
      <x:c r="Y18" s="1377" t="str">
        <x:f t="shared" ref="Y18:Y44" si="105">FG18</x:f>
        <x:v/>
      </x:c>
      <x:c r="Z18" s="1378" t="str">
        <x:f t="shared" ref="Z18:Z44" si="106">FL18</x:f>
        <x:v/>
      </x:c>
      <x:c r="AA18" s="2159" t="s">
        <x:v>2207</x:v>
      </x:c>
      <x:c r="AC18" s="1226" t="b">
        <x:v>0</x:v>
      </x:c>
      <x:c r="AD18" s="525">
        <x:f t="shared" si="12"/>
        <x:v>1</x:v>
      </x:c>
      <x:c r="AE18" s="526">
        <x:f t="shared" si="13"/>
        <x:v>0</x:v>
      </x:c>
      <x:c r="AF18" s="526">
        <x:f t="shared" si="14"/>
        <x:v>0</x:v>
      </x:c>
      <x:c r="AG18" s="526">
        <x:f t="shared" si="15"/>
        <x:v>0</x:v>
      </x:c>
      <x:c r="AH18" s="527">
        <x:f t="shared" si="16"/>
        <x:v>0</x:v>
      </x:c>
      <x:c r="AI18" s="528" t="b">
        <x:v>0</x:v>
      </x:c>
      <x:c r="AJ18" s="284">
        <x:f t="shared" si="17"/>
        <x:v>30</x:v>
      </x:c>
      <x:c r="AK18" s="1063" t="str">
        <x:f t="shared" si="18"/>
        <x:v>K</x:v>
      </x:c>
      <x:c r="AL18" s="1202" t="str">
        <x:f t="shared" si="19"/>
        <x:v/>
      </x:c>
      <x:c r="AM18" s="1063">
        <x:f t="shared" si="20"/>
        <x:v>240</x:v>
      </x:c>
      <x:c r="AN18" s="1063">
        <x:f t="shared" si="21"/>
        <x:v>140</x:v>
      </x:c>
      <x:c r="AO18" s="1063" t="str">
        <x:f t="shared" si="22"/>
        <x:v/>
      </x:c>
      <x:c r="AP18" s="1063" t="b">
        <x:f>IF(ISERROR(AJ18),FALSE,IF(OR(AJ18=0,ISERROR(AL18),ISERROR(AM18),ISERROR(AN18),ISERROR(AO18)),FALSE,IF(AL18&lt;&gt;"",IF(ISERROR(VLOOKUP(SUBSTITUTE(SUBSTITUTE(C18,"R",""),"A",""),TblJoistSize!$A:$A,1,FALSE)),FALSE,TRUE),TRUE)))</x:f>
        <x:v>1</x:v>
      </x:c>
      <x:c r="AQ18" s="1305">
        <x:f t="shared" si="23"/>
        <x:v>5.375</x:v>
      </x:c>
      <x:c r="AR18" s="1305" t="b">
        <x:f t="shared" si="24"/>
        <x:v>0</x:v>
      </x:c>
      <x:c r="AS18" s="1305">
        <x:f t="shared" si="25"/>
        <x:v>78.25</x:v>
      </x:c>
      <x:c r="AT18" s="1305" t="b">
        <x:f t="shared" si="26"/>
        <x:v>0</x:v>
      </x:c>
      <x:c r="AU18" s="1203" t="str">
        <x:f t="shared" si="27"/>
        <x:v>K</x:v>
      </x:c>
      <x:c r="AV18" s="1063" t="str">
        <x:f t="shared" si="28"/>
        <x:v>K</x:v>
      </x:c>
      <x:c r="AW18" s="1063" t="str">
        <x:f t="shared" si="29"/>
        <x:v/>
      </x:c>
      <x:c r="AX18" s="1063" t="str">
        <x:f t="shared" si="102"/>
        <x:v>J194</x:v>
      </x:c>
      <x:c r="AY18" s="1306" t="b">
        <x:f t="shared" si="30"/>
        <x:v>0</x:v>
      </x:c>
      <x:c r="AZ18" s="1090" t="b">
        <x:f t="shared" si="31"/>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2"/>
        <x:v/>
      </x:c>
      <x:c r="CE18" s="935" t="str">
        <x:f t="shared" si="33"/>
        <x:v/>
      </x:c>
      <x:c r="CF18" s="1149"/>
      <x:c r="CG18" s="1150"/>
      <x:c r="CH18" s="738" t="str">
        <x:f t="shared" si="34"/>
        <x:v/>
      </x:c>
      <x:c r="CI18" s="739" t="str">
        <x:f t="shared" si="35"/>
        <x:v/>
      </x:c>
      <x:c r="CJ18" s="740" t="str">
        <x:f t="shared" si="36"/>
        <x:v/>
      </x:c>
      <x:c r="CK18" s="741" t="str">
        <x:f t="shared" si="37"/>
        <x:v/>
      </x:c>
      <x:c r="CL18" s="742" t="str">
        <x:f t="shared" si="38"/>
        <x:v/>
      </x:c>
      <x:c r="CM18" s="743" t="str">
        <x:f t="shared" si="39"/>
        <x:v/>
      </x:c>
      <x:c r="CN18" s="744" t="str">
        <x:f t="shared" si="40"/>
        <x:v/>
      </x:c>
      <x:c r="CO18" s="745" t="str">
        <x:f t="shared" si="41"/>
        <x:v/>
      </x:c>
      <x:c r="CP18" s="762" t="str">
        <x:f t="shared" si="42"/>
        <x:v/>
      </x:c>
      <x:c r="CQ18" s="763" t="str">
        <x:f t="shared" si="43"/>
        <x:v/>
      </x:c>
      <x:c r="CR18" s="953">
        <x:f t="shared" si="44"/>
        <x:v>2.5</x:v>
      </x:c>
      <x:c r="CS18" s="954">
        <x:f t="shared" si="45"/>
        <x:v>2.5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6"/>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7"/>
        <x:v>0</x:v>
      </x:c>
      <x:c r="DO18" s="1049">
        <x:f t="shared" si="48"/>
        <x:v>0</x:v>
      </x:c>
      <x:c r="DP18" s="1053" t="str">
        <x:f t="shared" si="49"/>
        <x:v/>
      </x:c>
      <x:c r="DQ18" s="1053" t="str">
        <x:f t="shared" si="50"/>
        <x:v/>
      </x:c>
      <x:c r="DR18" s="1053" t="str">
        <x:f t="shared" si="51"/>
        <x:v/>
      </x:c>
      <x:c r="DS18" s="1052">
        <x:f t="shared" si="52"/>
        <x:v>0</x:v>
      </x:c>
      <x:c r="DT18" s="1052">
        <x:f t="shared" si="53"/>
        <x:v>0</x:v>
      </x:c>
      <x:c r="DU18" s="1052" t="str">
        <x:f t="shared" si="54"/>
        <x:v/>
      </x:c>
      <x:c r="DV18" s="1053" t="str">
        <x:f t="shared" si="55"/>
        <x:v/>
      </x:c>
      <x:c r="DW18" s="1053" t="str">
        <x:f t="shared" si="56"/>
        <x:v/>
      </x:c>
      <x:c r="DX18" s="1269">
        <x:f t="shared" si="57"/>
        <x:v>0</x:v>
      </x:c>
      <x:c r="DY18" s="1053">
        <x:f t="shared" si="58"/>
        <x:v>0</x:v>
      </x:c>
      <x:c r="DZ18" s="1052">
        <x:f t="shared" si="59"/>
        <x:v>0</x:v>
      </x:c>
      <x:c r="EA18" s="1052" t="str">
        <x:f t="shared" si="60"/>
        <x:v/>
      </x:c>
      <x:c r="EB18" s="1053" t="str">
        <x:f t="shared" si="61"/>
        <x:v/>
      </x:c>
      <x:c r="EC18" s="1053" t="str">
        <x:f t="shared" si="62"/>
        <x:v/>
      </x:c>
      <x:c r="ED18" s="1269">
        <x:f t="shared" si="63"/>
        <x:v>0</x:v>
      </x:c>
      <x:c r="EE18" s="1090" t="str">
        <x:f t="shared" si="64"/>
        <x:v/>
      </x:c>
      <x:c r="EF18" s="1053" t="str">
        <x:f t="shared" si="65"/>
        <x:v/>
      </x:c>
      <x:c r="EG18" s="1053" t="str">
        <x:f t="shared" si="66"/>
        <x:v/>
      </x:c>
      <x:c r="EH18" s="1053" t="str">
        <x:f t="shared" si="67"/>
        <x:v>ERR</x:v>
      </x:c>
      <x:c r="EI18" s="1053" t="str">
        <x:f t="shared" si="68"/>
        <x:v>ERR</x:v>
      </x:c>
      <x:c r="EJ18" s="1053" t="str">
        <x:f t="shared" si="69"/>
        <x:v/>
      </x:c>
      <x:c r="EK18" s="1053" t="str">
        <x:f t="shared" si="69"/>
        <x:v/>
      </x:c>
      <x:c r="EL18" s="1090" t="str">
        <x:f t="shared" si="70"/>
        <x:v/>
      </x:c>
      <x:c r="EM18" s="1053" t="str">
        <x:f t="shared" si="71"/>
        <x:v/>
      </x:c>
      <x:c r="EN18" s="1053" t="str">
        <x:f t="shared" si="72"/>
        <x:v/>
      </x:c>
      <x:c r="EO18" s="1053" t="str">
        <x:f t="shared" si="73"/>
        <x:v>ERR</x:v>
      </x:c>
      <x:c r="EP18" s="1053" t="str">
        <x:f t="shared" si="74"/>
        <x:v>ERR</x:v>
      </x:c>
      <x:c r="EQ18" s="1053" t="str">
        <x:f t="shared" si="75"/>
        <x:v/>
      </x:c>
      <x:c r="ER18" s="1053" t="str">
        <x:f t="shared" si="75"/>
        <x:v/>
      </x:c>
      <x:c r="ES18" s="1053" t="str">
        <x:f t="shared" si="76"/>
        <x:v/>
      </x:c>
      <x:c r="ET18" s="1053" t="str">
        <x:f t="shared" si="77"/>
        <x:v/>
      </x:c>
      <x:c r="EU18" s="1061">
        <x:f t="shared" si="78"/>
        <x:v>3.5</x:v>
      </x:c>
      <x:c r="EV18" s="1055" t="str">
        <x:f t="shared" si="79"/>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0"/>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1"/>
        <x:v/>
      </x:c>
      <x:c r="FD18" s="1052">
        <x:f t="shared" si="103"/>
        <x:v>0</x:v>
      </x:c>
      <x:c r="FE18" s="1052">
        <x:f t="shared" si="82"/>
        <x:v>0</x:v>
      </x:c>
      <x:c r="FF18" s="1052">
        <x:f t="shared" si="83"/>
        <x:v>0</x:v>
      </x:c>
      <x:c r="FG18" s="1052" t="str">
        <x:f t="shared" si="84"/>
        <x:v/>
      </x:c>
      <x:c r="FH18" s="1053" t="str">
        <x:f t="shared" si="85"/>
        <x:v/>
      </x:c>
      <x:c r="FI18" s="1052">
        <x:f t="shared" si="104"/>
        <x:v>0</x:v>
      </x:c>
      <x:c r="FJ18" s="1052">
        <x:f t="shared" si="86"/>
        <x:v>0</x:v>
      </x:c>
      <x:c r="FK18" s="1052">
        <x:f t="shared" si="87"/>
        <x:v>0</x:v>
      </x:c>
      <x:c r="FL18" s="1052" t="str">
        <x:f t="shared" si="88"/>
        <x:v/>
      </x:c>
      <x:c r="FM18" s="1053" t="str">
        <x:f t="shared" si="89"/>
        <x:v/>
      </x:c>
      <x:c r="FN18" s="1053" t="e">
        <x:f t="shared" si="90"/>
        <x:v>#VALUE!</x:v>
      </x:c>
      <x:c r="FO18" s="1062" t="e">
        <x:f t="shared" si="91"/>
        <x:v>#VALUE!</x:v>
      </x:c>
      <x:c r="FP18" s="1062" t="e">
        <x:f t="shared" si="92"/>
        <x:v>#VALUE!</x:v>
      </x:c>
      <x:c r="FQ18" s="1063" t="e">
        <x:f t="shared" si="93"/>
        <x:v>#VALUE!</x:v>
      </x:c>
      <x:c r="FR18" s="1064" t="e">
        <x:f t="shared" si="94"/>
        <x:v>#VALUE!</x:v>
      </x:c>
      <x:c r="FS18" s="1065" t="str">
        <x:f t="shared" si="95"/>
        <x:v/>
      </x:c>
      <x:c r="FT18" s="1066" t="str">
        <x:f t="shared" si="96"/>
        <x:v/>
      </x:c>
      <x:c r="FU18" s="1105">
        <x:f t="shared" si="97"/>
        <x:v>0</x:v>
      </x:c>
      <x:c r="FV18" s="1106">
        <x:f t="shared" si="98"/>
        <x:v>0</x:v>
      </x:c>
      <x:c r="GA18" s="1975">
        <x:v>50</x:v>
      </x:c>
      <x:c r="GB18" s="1976">
        <x:v>0</x:v>
      </x:c>
      <x:c r="GC18" s="1977">
        <x:v>-0.25</x:v>
      </x:c>
      <x:c r="GD18" s="1978">
        <x:v>72.625</x:v>
      </x:c>
      <x:c r="GE18" s="1979">
        <x:v>0.36383214791631102</x:v>
      </x:c>
      <x:c r="GF18" s="1980" t="str">
        <x:f t="shared" si="99"/>
        <x:v>J194</x:v>
      </x:c>
      <x:c r="GG18" s="1453"/>
      <x:c r="GH18" s="1454"/>
      <x:c r="GI18" s="1453"/>
      <x:c r="GJ18" s="1454"/>
      <x:c r="GK18" s="533">
        <x:f t="shared" si="100"/>
        <x:v>672.625</x:v>
      </x:c>
      <x:c r="GL18" s="534">
        <x:f t="shared" si="101"/>
        <x:v>672.6839736454167</x:v>
      </x:c>
      <x:c r="GM18" s="535">
        <x:f>IF(ABS(GK18-GL18)&gt;='Job Info.'!$L$22,ABS(GK18-GL18),0)</x:f>
        <x:v>0</x:v>
      </x:c>
      <x:c r="HA18" s="1658" t="s">
        <x:v>1518</x:v>
      </x:c>
      <x:c r="HB18" s="1659">
        <x:v>1</x:v>
      </x:c>
      <x:c r="HC18" s="1659" t="s">
        <x:v>1979</x:v>
      </x:c>
      <x:c r="HD18" s="1660">
        <x:v>56</x:v>
      </x:c>
      <x:c r="HE18" s="1661">
        <x:v>0.625</x:v>
      </x:c>
      <x:c r="HF18" s="1659">
        <x:v>0</x:v>
      </x:c>
      <x:c r="HG18" s="1659">
        <x:v>1.375</x:v>
      </x:c>
      <x:c r="HH18" s="1659" t="s">
        <x:v>114</x:v>
      </x:c>
      <x:c r="HI18" s="1662">
        <x:v>6</x:v>
      </x:c>
      <x:c r="HJ18" s="1659">
        <x:v>2.25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2207</x:v>
      </x:c>
      <x:c r="IB18" s="1661"/>
      <x:c r="IC18" s="1661"/>
      <x:c r="ID18" s="1661"/>
      <x:c r="IE18" s="1661"/>
      <x:c r="IF18" s="1663"/>
    </x:row>
    <x:row r="19" spans="1:240" ht="12.6" customHeight="1" x14ac:dyDescent="0.25">
      <x:c r="A19" s="1264" t="s">
        <x:v>1519</x:v>
      </x:c>
      <x:c r="B19" s="1265">
        <x:v>1</x:v>
      </x:c>
      <x:c r="C19" s="1265" t="s">
        <x:v>1979</x:v>
      </x:c>
      <x:c r="D19" s="1261">
        <x:v>49</x:v>
      </x:c>
      <x:c r="E19" s="1366">
        <x:v>11.5</x:v>
      </x:c>
      <x:c r="F19" s="1328">
        <x:v>0</x:v>
      </x:c>
      <x:c r="G19" s="1262">
        <x:v>1.375</x:v>
      </x:c>
      <x:c r="H19" s="1266" t="s">
        <x:v>114</x:v>
      </x:c>
      <x:c r="I19" s="1261">
        <x:v>0</x:v>
      </x:c>
      <x:c r="J19" s="1262">
        <x:v>1.375</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x:v>0</x:v>
      </x:c>
      <x:c r="U19" s="1262">
        <x:v>2.25</x:v>
      </x:c>
      <x:c r="V19" s="1261">
        <x:v>0</x:v>
      </x:c>
      <x:c r="W19" s="1262">
        <x:v>2.25</x:v>
      </x:c>
      <x:c r="X19" s="1329">
        <x:v>4</x:v>
      </x:c>
      <x:c r="Y19" s="1377" t="str">
        <x:f t="shared" si="105"/>
        <x:v/>
      </x:c>
      <x:c r="Z19" s="1378" t="str">
        <x:f t="shared" si="106"/>
        <x:v/>
      </x:c>
      <x:c r="AA19" s="2159" t="s">
        <x:v>2208</x:v>
      </x:c>
      <x:c r="AC19" s="1226" t="b">
        <x:v>0</x:v>
      </x:c>
      <x:c r="AD19" s="525">
        <x:f t="shared" si="12"/>
        <x:v>1</x:v>
      </x:c>
      <x:c r="AE19" s="526">
        <x:f t="shared" si="13"/>
        <x:v>0</x:v>
      </x:c>
      <x:c r="AF19" s="526">
        <x:f t="shared" si="14"/>
        <x:v>0</x:v>
      </x:c>
      <x:c r="AG19" s="526">
        <x:f t="shared" si="15"/>
        <x:v>0</x:v>
      </x:c>
      <x:c r="AH19" s="527">
        <x:f t="shared" si="16"/>
        <x:v>0</x:v>
      </x:c>
      <x:c r="AI19" s="528" t="b">
        <x:v>0</x:v>
      </x:c>
      <x:c r="AJ19" s="284">
        <x:f t="shared" si="17"/>
        <x:v>30</x:v>
      </x:c>
      <x:c r="AK19" s="1063" t="str">
        <x:f t="shared" si="18"/>
        <x:v>K</x:v>
      </x:c>
      <x:c r="AL19" s="1202" t="str">
        <x:f t="shared" si="19"/>
        <x:v/>
      </x:c>
      <x:c r="AM19" s="1063">
        <x:f t="shared" si="20"/>
        <x:v>240</x:v>
      </x:c>
      <x:c r="AN19" s="1063">
        <x:f t="shared" si="21"/>
        <x:v>140</x:v>
      </x:c>
      <x:c r="AO19" s="1063" t="str">
        <x:f t="shared" si="22"/>
        <x:v/>
      </x:c>
      <x:c r="AP19" s="1063" t="b">
        <x:f>IF(ISERROR(AJ19),FALSE,IF(OR(AJ19=0,ISERROR(AL19),ISERROR(AM19),ISERROR(AN19),ISERROR(AO19)),FALSE,IF(AL19&lt;&gt;"",IF(ISERROR(VLOOKUP(SUBSTITUTE(SUBSTITUTE(C19,"R",""),"A",""),TblJoistSize!$A:$A,1,FALSE)),FALSE,TRUE),TRUE)))</x:f>
        <x:v>1</x:v>
      </x:c>
      <x:c r="AQ19" s="1305">
        <x:f t="shared" si="23"/>
        <x:v>5.375</x:v>
      </x:c>
      <x:c r="AR19" s="1305" t="b">
        <x:f t="shared" si="24"/>
        <x:v>1</x:v>
      </x:c>
      <x:c r="AS19" s="1305">
        <x:f t="shared" si="25"/>
        <x:v>5.375</x:v>
      </x:c>
      <x:c r="AT19" s="1305" t="b">
        <x:f t="shared" si="26"/>
        <x:v>1</x:v>
      </x:c>
      <x:c r="AU19" s="1203" t="str">
        <x:f t="shared" si="27"/>
        <x:v>K</x:v>
      </x:c>
      <x:c r="AV19" s="1063" t="str">
        <x:f t="shared" si="28"/>
        <x:v>K</x:v>
      </x:c>
      <x:c r="AW19" s="1063" t="str">
        <x:f t="shared" si="29"/>
        <x:v/>
      </x:c>
      <x:c r="AX19" s="1063" t="str">
        <x:f t="shared" si="102"/>
        <x:v>TJ195</x:v>
      </x:c>
      <x:c r="AY19" s="1306" t="b">
        <x:f t="shared" si="30"/>
        <x:v>0</x:v>
      </x:c>
      <x:c r="AZ19" s="1090" t="b">
        <x:f t="shared" si="31"/>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2"/>
        <x:v/>
      </x:c>
      <x:c r="CE19" s="935" t="str">
        <x:f t="shared" si="33"/>
        <x:v/>
      </x:c>
      <x:c r="CF19" s="1149"/>
      <x:c r="CG19" s="1150"/>
      <x:c r="CH19" s="738" t="str">
        <x:f t="shared" si="34"/>
        <x:v/>
      </x:c>
      <x:c r="CI19" s="739" t="str">
        <x:f t="shared" si="35"/>
        <x:v/>
      </x:c>
      <x:c r="CJ19" s="740" t="str">
        <x:f t="shared" si="36"/>
        <x:v/>
      </x:c>
      <x:c r="CK19" s="741" t="str">
        <x:f t="shared" si="37"/>
        <x:v/>
      </x:c>
      <x:c r="CL19" s="742" t="str">
        <x:f t="shared" si="38"/>
        <x:v/>
      </x:c>
      <x:c r="CM19" s="743" t="str">
        <x:f t="shared" si="39"/>
        <x:v/>
      </x:c>
      <x:c r="CN19" s="744" t="str">
        <x:f t="shared" si="40"/>
        <x:v/>
      </x:c>
      <x:c r="CO19" s="745" t="str">
        <x:f t="shared" si="41"/>
        <x:v/>
      </x:c>
      <x:c r="CP19" s="762" t="str">
        <x:f t="shared" si="42"/>
        <x:v/>
      </x:c>
      <x:c r="CQ19" s="763" t="str">
        <x:f t="shared" si="43"/>
        <x:v/>
      </x:c>
      <x:c r="CR19" s="953">
        <x:f t="shared" si="44"/>
        <x:v>2.5</x:v>
      </x:c>
      <x:c r="CS19" s="954">
        <x:f t="shared" si="45"/>
        <x:v>2.5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6"/>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7"/>
        <x:v>0</x:v>
      </x:c>
      <x:c r="DO19" s="1049">
        <x:f t="shared" si="48"/>
        <x:v>0</x:v>
      </x:c>
      <x:c r="DP19" s="1053" t="str">
        <x:f t="shared" si="49"/>
        <x:v/>
      </x:c>
      <x:c r="DQ19" s="1053" t="str">
        <x:f t="shared" si="50"/>
        <x:v/>
      </x:c>
      <x:c r="DR19" s="1053" t="str">
        <x:f t="shared" si="51"/>
        <x:v/>
      </x:c>
      <x:c r="DS19" s="1052">
        <x:f t="shared" si="52"/>
        <x:v>0</x:v>
      </x:c>
      <x:c r="DT19" s="1052">
        <x:f t="shared" si="53"/>
        <x:v>0</x:v>
      </x:c>
      <x:c r="DU19" s="1052" t="str">
        <x:f t="shared" si="54"/>
        <x:v/>
      </x:c>
      <x:c r="DV19" s="1053" t="str">
        <x:f t="shared" si="55"/>
        <x:v/>
      </x:c>
      <x:c r="DW19" s="1053" t="str">
        <x:f t="shared" si="56"/>
        <x:v/>
      </x:c>
      <x:c r="DX19" s="1269">
        <x:f t="shared" si="57"/>
        <x:v>0</x:v>
      </x:c>
      <x:c r="DY19" s="1053">
        <x:f t="shared" si="58"/>
        <x:v>0</x:v>
      </x:c>
      <x:c r="DZ19" s="1052">
        <x:f t="shared" si="59"/>
        <x:v>0</x:v>
      </x:c>
      <x:c r="EA19" s="1052" t="str">
        <x:f t="shared" si="60"/>
        <x:v/>
      </x:c>
      <x:c r="EB19" s="1053" t="str">
        <x:f t="shared" si="61"/>
        <x:v/>
      </x:c>
      <x:c r="EC19" s="1053" t="str">
        <x:f t="shared" si="62"/>
        <x:v/>
      </x:c>
      <x:c r="ED19" s="1269">
        <x:f t="shared" si="63"/>
        <x:v>0</x:v>
      </x:c>
      <x:c r="EE19" s="1090" t="str">
        <x:f t="shared" si="64"/>
        <x:v/>
      </x:c>
      <x:c r="EF19" s="1053" t="str">
        <x:f t="shared" si="65"/>
        <x:v/>
      </x:c>
      <x:c r="EG19" s="1053" t="str">
        <x:f t="shared" si="66"/>
        <x:v/>
      </x:c>
      <x:c r="EH19" s="1053" t="str">
        <x:f t="shared" si="67"/>
        <x:v>ERR</x:v>
      </x:c>
      <x:c r="EI19" s="1053" t="str">
        <x:f t="shared" si="68"/>
        <x:v>ERR</x:v>
      </x:c>
      <x:c r="EJ19" s="1053" t="str">
        <x:f t="shared" si="69"/>
        <x:v/>
      </x:c>
      <x:c r="EK19" s="1053" t="str">
        <x:f t="shared" si="69"/>
        <x:v/>
      </x:c>
      <x:c r="EL19" s="1090" t="str">
        <x:f t="shared" si="70"/>
        <x:v/>
      </x:c>
      <x:c r="EM19" s="1053" t="str">
        <x:f t="shared" si="71"/>
        <x:v/>
      </x:c>
      <x:c r="EN19" s="1053" t="str">
        <x:f t="shared" si="72"/>
        <x:v/>
      </x:c>
      <x:c r="EO19" s="1053" t="str">
        <x:f t="shared" si="73"/>
        <x:v>ERR</x:v>
      </x:c>
      <x:c r="EP19" s="1053" t="str">
        <x:f t="shared" si="74"/>
        <x:v>ERR</x:v>
      </x:c>
      <x:c r="EQ19" s="1053" t="str">
        <x:f t="shared" si="75"/>
        <x:v/>
      </x:c>
      <x:c r="ER19" s="1053" t="str">
        <x:f t="shared" si="75"/>
        <x:v/>
      </x:c>
      <x:c r="ES19" s="1053" t="str">
        <x:f t="shared" si="76"/>
        <x:v/>
      </x:c>
      <x:c r="ET19" s="1053" t="str">
        <x:f t="shared" si="77"/>
        <x:v/>
      </x:c>
      <x:c r="EU19" s="1061">
        <x:f t="shared" si="78"/>
        <x:v>3.5</x:v>
      </x:c>
      <x:c r="EV19" s="1055" t="str">
        <x:f t="shared" si="79"/>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0"/>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1"/>
        <x:v/>
      </x:c>
      <x:c r="FD19" s="1052">
        <x:f t="shared" si="103"/>
        <x:v>0</x:v>
      </x:c>
      <x:c r="FE19" s="1052">
        <x:f t="shared" si="82"/>
        <x:v>0</x:v>
      </x:c>
      <x:c r="FF19" s="1052">
        <x:f t="shared" si="83"/>
        <x:v>0</x:v>
      </x:c>
      <x:c r="FG19" s="1052" t="str">
        <x:f t="shared" si="84"/>
        <x:v/>
      </x:c>
      <x:c r="FH19" s="1053" t="str">
        <x:f t="shared" si="85"/>
        <x:v/>
      </x:c>
      <x:c r="FI19" s="1052">
        <x:f t="shared" si="104"/>
        <x:v>0</x:v>
      </x:c>
      <x:c r="FJ19" s="1052">
        <x:f t="shared" si="86"/>
        <x:v>0</x:v>
      </x:c>
      <x:c r="FK19" s="1052">
        <x:f t="shared" si="87"/>
        <x:v>0</x:v>
      </x:c>
      <x:c r="FL19" s="1052" t="str">
        <x:f t="shared" si="88"/>
        <x:v/>
      </x:c>
      <x:c r="FM19" s="1053" t="str">
        <x:f t="shared" si="89"/>
        <x:v/>
      </x:c>
      <x:c r="FN19" s="1053" t="e">
        <x:f t="shared" si="90"/>
        <x:v>#VALUE!</x:v>
      </x:c>
      <x:c r="FO19" s="1062" t="e">
        <x:f t="shared" si="91"/>
        <x:v>#VALUE!</x:v>
      </x:c>
      <x:c r="FP19" s="1062" t="e">
        <x:f t="shared" si="92"/>
        <x:v>#VALUE!</x:v>
      </x:c>
      <x:c r="FQ19" s="1063" t="e">
        <x:f t="shared" si="93"/>
        <x:v>#VALUE!</x:v>
      </x:c>
      <x:c r="FR19" s="1064" t="e">
        <x:f t="shared" si="94"/>
        <x:v>#VALUE!</x:v>
      </x:c>
      <x:c r="FS19" s="1065" t="str">
        <x:f t="shared" si="95"/>
        <x:v/>
      </x:c>
      <x:c r="FT19" s="1066" t="str">
        <x:f t="shared" si="96"/>
        <x:v/>
      </x:c>
      <x:c r="FU19" s="1105">
        <x:f t="shared" si="97"/>
        <x:v>0</x:v>
      </x:c>
      <x:c r="FV19" s="1106">
        <x:f t="shared" si="98"/>
        <x:v>0</x:v>
      </x:c>
      <x:c r="GA19" s="1975">
        <x:v>50</x:v>
      </x:c>
      <x:c r="GB19" s="1976">
        <x:v>0</x:v>
      </x:c>
      <x:c r="GC19" s="1977">
        <x:v>-0.25</x:v>
      </x:c>
      <x:c r="GD19" s="1978">
        <x:v>-0.25</x:v>
      </x:c>
      <x:c r="GE19" s="1979">
        <x:v>0.26</x:v>
      </x:c>
      <x:c r="GF19" s="1980" t="str">
        <x:f t="shared" si="99"/>
        <x:v>TJ195</x:v>
      </x:c>
      <x:c r="GG19" s="1453"/>
      <x:c r="GH19" s="1454"/>
      <x:c r="GI19" s="1453"/>
      <x:c r="GJ19" s="1454"/>
      <x:c r="GK19" s="533">
        <x:f t="shared" si="100"/>
        <x:v>599.5</x:v>
      </x:c>
      <x:c r="GL19" s="534">
        <x:f t="shared" si="101"/>
        <x:v>599.6406994615146</x:v>
      </x:c>
      <x:c r="GM19" s="535">
        <x:f>IF(ABS(GK19-GL19)&gt;='Job Info.'!$L$22,ABS(GK19-GL19),0)</x:f>
        <x:v>0</x:v>
      </x:c>
      <x:c r="HA19" s="1658" t="s">
        <x:v>1519</x:v>
      </x:c>
      <x:c r="HB19" s="1659">
        <x:v>1</x:v>
      </x:c>
      <x:c r="HC19" s="1659" t="s">
        <x:v>1979</x:v>
      </x:c>
      <x:c r="HD19" s="1660">
        <x:v>49</x:v>
      </x:c>
      <x:c r="HE19" s="1661">
        <x:v>11.5</x:v>
      </x:c>
      <x:c r="HF19" s="1659">
        <x:v>0</x:v>
      </x:c>
      <x:c r="HG19" s="1659">
        <x:v>1.375</x:v>
      </x:c>
      <x:c r="HH19" s="1659" t="s">
        <x:v>114</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x:v>0</x:v>
      </x:c>
      <x:c r="HU19" s="1659">
        <x:v>2.25</x:v>
      </x:c>
      <x:c r="HV19" s="1659">
        <x:v>0</x:v>
      </x:c>
      <x:c r="HW19" s="1661">
        <x:v>2.25</x:v>
      </x:c>
      <x:c r="HX19" s="1661">
        <x:v>4</x:v>
      </x:c>
      <x:c r="HY19" s="1661" t="s">
        <x:v>117</x:v>
      </x:c>
      <x:c r="HZ19" s="1661" t="s">
        <x:v>117</x:v>
      </x:c>
      <x:c r="IA19" s="1661" t="s">
        <x:v>2208</x:v>
      </x:c>
      <x:c r="IB19" s="1661"/>
      <x:c r="IC19" s="1661"/>
      <x:c r="ID19" s="1661"/>
      <x:c r="IE19" s="1661"/>
      <x:c r="IF19" s="1663"/>
    </x:row>
    <x:row r="20" spans="1:240" ht="12.6" customHeight="1" x14ac:dyDescent="0.25">
      <x:c r="A20" s="1264" t="s">
        <x:v>1520</x:v>
      </x:c>
      <x:c r="B20" s="1265">
        <x:v>1</x:v>
      </x:c>
      <x:c r="C20" s="1265" t="s">
        <x:v>1979</x:v>
      </x:c>
      <x:c r="D20" s="1261">
        <x:v>49</x:v>
      </x:c>
      <x:c r="E20" s="1366">
        <x:v>10</x:v>
      </x:c>
      <x:c r="F20" s="1328">
        <x:v>0</x:v>
      </x:c>
      <x:c r="G20" s="1262">
        <x:v>0.625</x:v>
      </x:c>
      <x:c r="H20" s="1266" t="s">
        <x:v>114</x:v>
      </x:c>
      <x:c r="I20" s="1261">
        <x:v>0</x:v>
      </x:c>
      <x:c r="J20" s="1262">
        <x:v>0.625</x:v>
      </x:c>
      <x:c r="K20" s="1370" t="s">
        <x:v>114</x:v>
      </x:c>
      <x:c r="L20" s="1327">
        <x:v>3</x:v>
      </x:c>
      <x:c r="M20" s="1329">
        <x:v>3</x:v>
      </x:c>
      <x:c r="N20" s="1263">
        <x:v>0</x:v>
      </x:c>
      <x:c r="O20" s="1262">
        <x:v>5.375</x:v>
      </x:c>
      <x:c r="P20" s="1260">
        <x:v>2</x:v>
      </x:c>
      <x:c r="Q20" s="1261">
        <x:v>0</x:v>
      </x:c>
      <x:c r="R20" s="1262">
        <x:v>6.625</x:v>
      </x:c>
      <x:c r="S20" s="1375">
        <x:v>2</x:v>
      </x:c>
      <x:c r="T20" s="1328">
        <x:v>0</x:v>
      </x:c>
      <x:c r="U20" s="1262">
        <x:v>1.5</x:v>
      </x:c>
      <x:c r="V20" s="1261">
        <x:v>0</x:v>
      </x:c>
      <x:c r="W20" s="1262">
        <x:v>1.5</x:v>
      </x:c>
      <x:c r="X20" s="1329">
        <x:v>4</x:v>
      </x:c>
      <x:c r="Y20" s="1377" t="str">
        <x:f t="shared" si="105"/>
        <x:v/>
      </x:c>
      <x:c r="Z20" s="1378" t="str">
        <x:f t="shared" si="106"/>
        <x:v/>
      </x:c>
      <x:c r="AA20" s="2159" t="s">
        <x:v>2102</x:v>
      </x:c>
      <x:c r="AC20" s="1226" t="b">
        <x:v>0</x:v>
      </x:c>
      <x:c r="AD20" s="525">
        <x:f t="shared" si="12"/>
        <x:v>1</x:v>
      </x:c>
      <x:c r="AE20" s="526">
        <x:f t="shared" si="13"/>
        <x:v>0</x:v>
      </x:c>
      <x:c r="AF20" s="526">
        <x:f t="shared" si="14"/>
        <x:v>0</x:v>
      </x:c>
      <x:c r="AG20" s="526">
        <x:f t="shared" si="15"/>
        <x:v>0</x:v>
      </x:c>
      <x:c r="AH20" s="527">
        <x:f t="shared" si="16"/>
        <x:v>0</x:v>
      </x:c>
      <x:c r="AI20" s="528" t="b">
        <x:v>0</x:v>
      </x:c>
      <x:c r="AJ20" s="284">
        <x:f t="shared" si="17"/>
        <x:v>30</x:v>
      </x:c>
      <x:c r="AK20" s="1063" t="str">
        <x:f t="shared" si="18"/>
        <x:v>K</x:v>
      </x:c>
      <x:c r="AL20" s="1202" t="str">
        <x:f t="shared" si="19"/>
        <x:v/>
      </x:c>
      <x:c r="AM20" s="1063">
        <x:f t="shared" si="20"/>
        <x:v>240</x:v>
      </x:c>
      <x:c r="AN20" s="1063">
        <x:f t="shared" si="21"/>
        <x:v>140</x:v>
      </x:c>
      <x:c r="AO20" s="1063" t="str">
        <x:f t="shared" si="22"/>
        <x:v/>
      </x:c>
      <x:c r="AP20" s="1063" t="b">
        <x:f>IF(ISERROR(AJ20),FALSE,IF(OR(AJ20=0,ISERROR(AL20),ISERROR(AM20),ISERROR(AN20),ISERROR(AO20)),FALSE,IF(AL20&lt;&gt;"",IF(ISERROR(VLOOKUP(SUBSTITUTE(SUBSTITUTE(C20,"R",""),"A",""),TblJoistSize!$A:$A,1,FALSE)),FALSE,TRUE),TRUE)))</x:f>
        <x:v>1</x:v>
      </x:c>
      <x:c r="AQ20" s="1305">
        <x:f t="shared" si="23"/>
        <x:v>4.625</x:v>
      </x:c>
      <x:c r="AR20" s="1305" t="b">
        <x:f t="shared" si="24"/>
        <x:v>1</x:v>
      </x:c>
      <x:c r="AS20" s="1305">
        <x:f t="shared" si="25"/>
        <x:v>4.625</x:v>
      </x:c>
      <x:c r="AT20" s="1305" t="b">
        <x:f t="shared" si="26"/>
        <x:v>1</x:v>
      </x:c>
      <x:c r="AU20" s="1203" t="str">
        <x:f t="shared" si="27"/>
        <x:v>K</x:v>
      </x:c>
      <x:c r="AV20" s="1063" t="str">
        <x:f t="shared" si="28"/>
        <x:v>K</x:v>
      </x:c>
      <x:c r="AW20" s="1063" t="str">
        <x:f t="shared" si="29"/>
        <x:v/>
      </x:c>
      <x:c r="AX20" s="1063" t="str">
        <x:f t="shared" si="102"/>
        <x:v>TJ196</x:v>
      </x:c>
      <x:c r="AY20" s="1306" t="b">
        <x:f t="shared" si="30"/>
        <x:v>0</x:v>
      </x:c>
      <x:c r="AZ20" s="1090" t="b">
        <x:f t="shared" si="31"/>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2"/>
        <x:v/>
      </x:c>
      <x:c r="CE20" s="935" t="str">
        <x:f t="shared" si="33"/>
        <x:v/>
      </x:c>
      <x:c r="CF20" s="1149"/>
      <x:c r="CG20" s="1150"/>
      <x:c r="CH20" s="738" t="str">
        <x:f t="shared" si="34"/>
        <x:v/>
      </x:c>
      <x:c r="CI20" s="739" t="str">
        <x:f t="shared" si="35"/>
        <x:v/>
      </x:c>
      <x:c r="CJ20" s="740" t="str">
        <x:f t="shared" si="36"/>
        <x:v/>
      </x:c>
      <x:c r="CK20" s="741" t="str">
        <x:f t="shared" si="37"/>
        <x:v/>
      </x:c>
      <x:c r="CL20" s="742" t="str">
        <x:f t="shared" si="38"/>
        <x:v/>
      </x:c>
      <x:c r="CM20" s="743" t="str">
        <x:f t="shared" si="39"/>
        <x:v/>
      </x:c>
      <x:c r="CN20" s="744" t="str">
        <x:f t="shared" si="40"/>
        <x:v/>
      </x:c>
      <x:c r="CO20" s="745" t="str">
        <x:f t="shared" si="41"/>
        <x:v/>
      </x:c>
      <x:c r="CP20" s="762" t="str">
        <x:f t="shared" si="42"/>
        <x:v/>
      </x:c>
      <x:c r="CQ20" s="763" t="str">
        <x:f t="shared" si="43"/>
        <x:v/>
      </x:c>
      <x:c r="CR20" s="953">
        <x:f t="shared" si="44"/>
        <x:v>2.5</x:v>
      </x:c>
      <x:c r="CS20" s="954">
        <x:f t="shared" si="45"/>
        <x:v>2.5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6"/>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7"/>
        <x:v>0</x:v>
      </x:c>
      <x:c r="DO20" s="1049">
        <x:f t="shared" si="48"/>
        <x:v>0</x:v>
      </x:c>
      <x:c r="DP20" s="1053" t="str">
        <x:f t="shared" si="49"/>
        <x:v/>
      </x:c>
      <x:c r="DQ20" s="1053" t="str">
        <x:f t="shared" si="50"/>
        <x:v/>
      </x:c>
      <x:c r="DR20" s="1053" t="str">
        <x:f t="shared" si="51"/>
        <x:v/>
      </x:c>
      <x:c r="DS20" s="1052">
        <x:f t="shared" si="52"/>
        <x:v>0</x:v>
      </x:c>
      <x:c r="DT20" s="1052">
        <x:f t="shared" si="53"/>
        <x:v>0</x:v>
      </x:c>
      <x:c r="DU20" s="1052" t="str">
        <x:f t="shared" si="54"/>
        <x:v/>
      </x:c>
      <x:c r="DV20" s="1053" t="str">
        <x:f t="shared" si="55"/>
        <x:v/>
      </x:c>
      <x:c r="DW20" s="1053" t="str">
        <x:f t="shared" si="56"/>
        <x:v/>
      </x:c>
      <x:c r="DX20" s="1269">
        <x:f t="shared" si="57"/>
        <x:v>0</x:v>
      </x:c>
      <x:c r="DY20" s="1053">
        <x:f t="shared" si="58"/>
        <x:v>0</x:v>
      </x:c>
      <x:c r="DZ20" s="1052">
        <x:f t="shared" si="59"/>
        <x:v>0</x:v>
      </x:c>
      <x:c r="EA20" s="1052" t="str">
        <x:f t="shared" si="60"/>
        <x:v/>
      </x:c>
      <x:c r="EB20" s="1053" t="str">
        <x:f t="shared" si="61"/>
        <x:v/>
      </x:c>
      <x:c r="EC20" s="1053" t="str">
        <x:f t="shared" si="62"/>
        <x:v/>
      </x:c>
      <x:c r="ED20" s="1269">
        <x:f t="shared" si="63"/>
        <x:v>0</x:v>
      </x:c>
      <x:c r="EE20" s="1090" t="str">
        <x:f t="shared" si="64"/>
        <x:v/>
      </x:c>
      <x:c r="EF20" s="1053" t="str">
        <x:f t="shared" si="65"/>
        <x:v/>
      </x:c>
      <x:c r="EG20" s="1053" t="str">
        <x:f t="shared" si="66"/>
        <x:v/>
      </x:c>
      <x:c r="EH20" s="1053" t="str">
        <x:f t="shared" si="67"/>
        <x:v>ERR</x:v>
      </x:c>
      <x:c r="EI20" s="1053" t="str">
        <x:f t="shared" si="68"/>
        <x:v>ERR</x:v>
      </x:c>
      <x:c r="EJ20" s="1053" t="str">
        <x:f t="shared" si="69"/>
        <x:v/>
      </x:c>
      <x:c r="EK20" s="1053" t="str">
        <x:f t="shared" si="69"/>
        <x:v/>
      </x:c>
      <x:c r="EL20" s="1090" t="str">
        <x:f t="shared" si="70"/>
        <x:v/>
      </x:c>
      <x:c r="EM20" s="1053" t="str">
        <x:f t="shared" si="71"/>
        <x:v/>
      </x:c>
      <x:c r="EN20" s="1053" t="str">
        <x:f t="shared" si="72"/>
        <x:v/>
      </x:c>
      <x:c r="EO20" s="1053" t="str">
        <x:f t="shared" si="73"/>
        <x:v>ERR</x:v>
      </x:c>
      <x:c r="EP20" s="1053" t="str">
        <x:f t="shared" si="74"/>
        <x:v>ERR</x:v>
      </x:c>
      <x:c r="EQ20" s="1053" t="str">
        <x:f t="shared" si="75"/>
        <x:v/>
      </x:c>
      <x:c r="ER20" s="1053" t="str">
        <x:f t="shared" si="75"/>
        <x:v/>
      </x:c>
      <x:c r="ES20" s="1053" t="str">
        <x:f t="shared" si="76"/>
        <x:v/>
      </x:c>
      <x:c r="ET20" s="1053" t="str">
        <x:f t="shared" si="77"/>
        <x:v/>
      </x:c>
      <x:c r="EU20" s="1061">
        <x:f t="shared" si="78"/>
        <x:v>3.5</x:v>
      </x:c>
      <x:c r="EV20" s="1055" t="str">
        <x:f t="shared" si="79"/>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0"/>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1"/>
        <x:v/>
      </x:c>
      <x:c r="FD20" s="1052">
        <x:f t="shared" si="103"/>
        <x:v>0</x:v>
      </x:c>
      <x:c r="FE20" s="1052">
        <x:f t="shared" si="82"/>
        <x:v>0</x:v>
      </x:c>
      <x:c r="FF20" s="1052">
        <x:f t="shared" si="83"/>
        <x:v>0</x:v>
      </x:c>
      <x:c r="FG20" s="1052" t="str">
        <x:f t="shared" si="84"/>
        <x:v/>
      </x:c>
      <x:c r="FH20" s="1053" t="str">
        <x:f t="shared" si="85"/>
        <x:v/>
      </x:c>
      <x:c r="FI20" s="1052">
        <x:f t="shared" si="104"/>
        <x:v>0</x:v>
      </x:c>
      <x:c r="FJ20" s="1052">
        <x:f t="shared" si="86"/>
        <x:v>0</x:v>
      </x:c>
      <x:c r="FK20" s="1052">
        <x:f t="shared" si="87"/>
        <x:v>0</x:v>
      </x:c>
      <x:c r="FL20" s="1052" t="str">
        <x:f t="shared" si="88"/>
        <x:v/>
      </x:c>
      <x:c r="FM20" s="1053" t="str">
        <x:f t="shared" si="89"/>
        <x:v/>
      </x:c>
      <x:c r="FN20" s="1053" t="e">
        <x:f t="shared" si="90"/>
        <x:v>#VALUE!</x:v>
      </x:c>
      <x:c r="FO20" s="1062" t="e">
        <x:f t="shared" si="91"/>
        <x:v>#VALUE!</x:v>
      </x:c>
      <x:c r="FP20" s="1062" t="e">
        <x:f t="shared" si="92"/>
        <x:v>#VALUE!</x:v>
      </x:c>
      <x:c r="FQ20" s="1063" t="e">
        <x:f t="shared" si="93"/>
        <x:v>#VALUE!</x:v>
      </x:c>
      <x:c r="FR20" s="1064" t="e">
        <x:f t="shared" si="94"/>
        <x:v>#VALUE!</x:v>
      </x:c>
      <x:c r="FS20" s="1065" t="str">
        <x:f t="shared" si="95"/>
        <x:v/>
      </x:c>
      <x:c r="FT20" s="1066" t="str">
        <x:f t="shared" si="96"/>
        <x:v/>
      </x:c>
      <x:c r="FU20" s="1105">
        <x:f t="shared" si="97"/>
        <x:v>0</x:v>
      </x:c>
      <x:c r="FV20" s="1106">
        <x:f t="shared" si="98"/>
        <x:v>0</x:v>
      </x:c>
      <x:c r="GA20" s="1975">
        <x:v>50</x:v>
      </x:c>
      <x:c r="GB20" s="1976">
        <x:v>0</x:v>
      </x:c>
      <x:c r="GC20" s="1977">
        <x:v>-1</x:v>
      </x:c>
      <x:c r="GD20" s="1978">
        <x:v>-1</x:v>
      </x:c>
      <x:c r="GE20" s="1979">
        <x:v>0.26</x:v>
      </x:c>
      <x:c r="GF20" s="1980" t="str">
        <x:f t="shared" si="99"/>
        <x:v>TJ196</x:v>
      </x:c>
      <x:c r="GG20" s="1453"/>
      <x:c r="GH20" s="1454"/>
      <x:c r="GI20" s="1453"/>
      <x:c r="GJ20" s="1454"/>
      <x:c r="GK20" s="533">
        <x:f t="shared" si="100"/>
        <x:v>598</x:v>
      </x:c>
      <x:c r="GL20" s="534">
        <x:f t="shared" si="101"/>
        <x:v>598.1403474194924</x:v>
      </x:c>
      <x:c r="GM20" s="535">
        <x:f>IF(ABS(GK20-GL20)&gt;='Job Info.'!$L$22,ABS(GK20-GL20),0)</x:f>
        <x:v>0</x:v>
      </x:c>
      <x:c r="HA20" s="1658" t="s">
        <x:v>1520</x:v>
      </x:c>
      <x:c r="HB20" s="1659">
        <x:v>1</x:v>
      </x:c>
      <x:c r="HC20" s="1659" t="s">
        <x:v>1979</x:v>
      </x:c>
      <x:c r="HD20" s="1660">
        <x:v>49</x:v>
      </x:c>
      <x:c r="HE20" s="1661">
        <x:v>10</x:v>
      </x:c>
      <x:c r="HF20" s="1659">
        <x:v>0</x:v>
      </x:c>
      <x:c r="HG20" s="1659">
        <x:v>0.625</x:v>
      </x:c>
      <x:c r="HH20" s="1659" t="s">
        <x:v>114</x:v>
      </x:c>
      <x:c r="HI20" s="1662">
        <x:v>0</x:v>
      </x:c>
      <x:c r="HJ20" s="1659">
        <x:v>0.625</x:v>
      </x:c>
      <x:c r="HK20" s="1659" t="s">
        <x:v>114</x:v>
      </x:c>
      <x:c r="HL20" s="1659">
        <x:v>3</x:v>
      </x:c>
      <x:c r="HM20" s="1659">
        <x:v>3</x:v>
      </x:c>
      <x:c r="HN20" s="1659">
        <x:v>0</x:v>
      </x:c>
      <x:c r="HO20" s="1659">
        <x:v>5.375</x:v>
      </x:c>
      <x:c r="HP20" s="1659">
        <x:v>2</x:v>
      </x:c>
      <x:c r="HQ20" s="1662">
        <x:v>0</x:v>
      </x:c>
      <x:c r="HR20" s="1659">
        <x:v>6.625</x:v>
      </x:c>
      <x:c r="HS20" s="1659">
        <x:v>2</x:v>
      </x:c>
      <x:c r="HT20" s="1659">
        <x:v>0</x:v>
      </x:c>
      <x:c r="HU20" s="1659">
        <x:v>1.5</x:v>
      </x:c>
      <x:c r="HV20" s="1659">
        <x:v>0</x:v>
      </x:c>
      <x:c r="HW20" s="1661">
        <x:v>1.5</x:v>
      </x:c>
      <x:c r="HX20" s="1661">
        <x:v>4</x:v>
      </x:c>
      <x:c r="HY20" s="1661" t="s">
        <x:v>117</x:v>
      </x:c>
      <x:c r="HZ20" s="1661" t="s">
        <x:v>117</x:v>
      </x:c>
      <x:c r="IA20" s="1661" t="s">
        <x:v>2102</x:v>
      </x:c>
      <x:c r="IB20" s="1661"/>
      <x:c r="IC20" s="1661"/>
      <x:c r="ID20" s="1661"/>
      <x:c r="IE20" s="1661"/>
      <x:c r="IF20" s="1663"/>
    </x:row>
    <x:row r="21" spans="1:240" ht="12.6" customHeight="1" x14ac:dyDescent="0.25">
      <x:c r="A21" s="1264" t="s">
        <x:v>1521</x:v>
      </x:c>
      <x:c r="B21" s="1265">
        <x:v>1</x:v>
      </x:c>
      <x:c r="C21" s="1265" t="s">
        <x:v>1980</x:v>
      </x:c>
      <x:c r="D21" s="1261">
        <x:v>17</x:v>
      </x:c>
      <x:c r="E21" s="1366">
        <x:v>2.625</x:v>
      </x:c>
      <x:c r="F21" s="1328">
        <x:v>0</x:v>
      </x:c>
      <x:c r="G21" s="1262">
        <x:v>1.375</x:v>
      </x:c>
      <x:c r="H21" s="1266" t="s">
        <x:v>114</x:v>
      </x:c>
      <x:c r="I21" s="1261">
        <x:v>0</x:v>
      </x:c>
      <x:c r="J21" s="2122">
        <x:v>2</x:v>
      </x:c>
      <x:c r="K21" s="1370" t="s">
        <x:v>114</x:v>
      </x:c>
      <x:c r="L21" s="1327">
        <x:v>3</x:v>
      </x:c>
      <x:c r="M21" s="1329">
        <x:v>3</x:v>
      </x:c>
      <x:c r="N21" s="1263" t="str">
        <x:f t="shared" si="1"/>
        <x:v/>
      </x:c>
      <x:c r="O21" s="1262" t="str">
        <x:f t="shared" si="2"/>
        <x:v/>
      </x:c>
      <x:c r="P21" s="1260" t="str">
        <x:f t="shared" si="3"/>
        <x:v/>
      </x:c>
      <x:c r="Q21" s="1261" t="str">
        <x:f t="shared" si="4"/>
        <x:v/>
      </x:c>
      <x:c r="R21" s="1262" t="str">
        <x:f t="shared" si="5"/>
        <x:v/>
      </x:c>
      <x:c r="S21" s="1375" t="str">
        <x:f t="shared" si="6"/>
        <x:v/>
      </x:c>
      <x:c r="T21" s="1328" t="str">
        <x:f t="shared" si="7"/>
        <x:v/>
      </x:c>
      <x:c r="U21" s="1262" t="str">
        <x:f t="shared" si="8"/>
        <x:v/>
      </x:c>
      <x:c r="V21" s="1261" t="str">
        <x:f t="shared" si="9"/>
        <x:v/>
      </x:c>
      <x:c r="W21" s="1262" t="str">
        <x:f t="shared" si="10"/>
        <x:v/>
      </x:c>
      <x:c r="X21" s="1329">
        <x:f t="shared" si="11"/>
        <x:v>0</x:v>
      </x:c>
      <x:c r="Y21" s="1377" t="str">
        <x:f t="shared" si="105"/>
        <x:v/>
      </x:c>
      <x:c r="Z21" s="1378" t="str">
        <x:f t="shared" si="106"/>
        <x:v/>
      </x:c>
      <x:c r="AA21" s="2159" t="s">
        <x:v>2209</x:v>
      </x:c>
      <x:c r="AC21" s="1226" t="b">
        <x:v>0</x:v>
      </x:c>
      <x:c r="AD21" s="525">
        <x:f t="shared" si="12"/>
        <x:v>1</x:v>
      </x:c>
      <x:c r="AE21" s="526">
        <x:f t="shared" si="13"/>
        <x:v>0</x:v>
      </x:c>
      <x:c r="AF21" s="526">
        <x:f t="shared" si="14"/>
        <x:v>0</x:v>
      </x:c>
      <x:c r="AG21" s="526">
        <x:f t="shared" si="15"/>
        <x:v>0</x:v>
      </x:c>
      <x:c r="AH21" s="527">
        <x:f t="shared" si="16"/>
        <x:v>0</x:v>
      </x:c>
      <x:c r="AI21" s="528" t="b">
        <x:v>0</x:v>
      </x:c>
      <x:c r="AJ21" s="284">
        <x:f t="shared" si="17"/>
        <x:v>30</x:v>
      </x:c>
      <x:c r="AK21" s="1063" t="str">
        <x:f t="shared" si="18"/>
        <x:v>K</x:v>
      </x:c>
      <x:c r="AL21" s="1202" t="str">
        <x:f t="shared" si="19"/>
        <x:v/>
      </x:c>
      <x:c r="AM21" s="1063">
        <x:f t="shared" si="20"/>
        <x:v>310</x:v>
      </x:c>
      <x:c r="AN21" s="1063">
        <x:f t="shared" si="21"/>
        <x:v>160</x:v>
      </x:c>
      <x:c r="AO21" s="1063" t="str">
        <x:f t="shared" si="22"/>
        <x:v/>
      </x:c>
      <x:c r="AP21" s="1063" t="b">
        <x:f>IF(ISERROR(AJ21),FALSE,IF(OR(AJ21=0,ISERROR(AL21),ISERROR(AM21),ISERROR(AN21),ISERROR(AO21)),FALSE,IF(AL21&lt;&gt;"",IF(ISERROR(VLOOKUP(SUBSTITUTE(SUBSTITUTE(C21,"R",""),"A",""),TblJoistSize!$A:$A,1,FALSE)),FALSE,TRUE),TRUE)))</x:f>
        <x:v>1</x:v>
      </x:c>
      <x:c r="AQ21" s="1305">
        <x:f t="shared" si="23"/>
        <x:v>5.375</x:v>
      </x:c>
      <x:c r="AR21" s="1305" t="b">
        <x:f t="shared" si="24"/>
        <x:v>0</x:v>
      </x:c>
      <x:c r="AS21" s="1305">
        <x:f t="shared" si="25"/>
        <x:v>6</x:v>
      </x:c>
      <x:c r="AT21" s="1305" t="b">
        <x:f t="shared" si="26"/>
        <x:v>0</x:v>
      </x:c>
      <x:c r="AU21" s="1203" t="str">
        <x:f t="shared" si="27"/>
        <x:v>K</x:v>
      </x:c>
      <x:c r="AV21" s="1063" t="str">
        <x:f t="shared" si="28"/>
        <x:v>K</x:v>
      </x:c>
      <x:c r="AW21" s="1063" t="str">
        <x:f t="shared" si="29"/>
        <x:v/>
      </x:c>
      <x:c r="AX21" s="1063" t="str">
        <x:f t="shared" si="102"/>
        <x:v>J197</x:v>
      </x:c>
      <x:c r="AY21" s="1306" t="b">
        <x:f t="shared" si="30"/>
        <x:v>0</x:v>
      </x:c>
      <x:c r="AZ21" s="1090" t="b">
        <x:f t="shared" si="31"/>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2"/>
        <x:v/>
      </x:c>
      <x:c r="CE21" s="1812" t="str">
        <x:f t="shared" si="33"/>
        <x:v/>
      </x:c>
      <x:c r="CF21" s="1813"/>
      <x:c r="CG21" s="1814"/>
      <x:c r="CH21" s="738" t="str">
        <x:f t="shared" si="34"/>
        <x:v/>
      </x:c>
      <x:c r="CI21" s="739" t="str">
        <x:f t="shared" si="35"/>
        <x:v/>
      </x:c>
      <x:c r="CJ21" s="740" t="str">
        <x:f t="shared" si="36"/>
        <x:v/>
      </x:c>
      <x:c r="CK21" s="741" t="str">
        <x:f t="shared" si="37"/>
        <x:v/>
      </x:c>
      <x:c r="CL21" s="742" t="str">
        <x:f t="shared" si="38"/>
        <x:v/>
      </x:c>
      <x:c r="CM21" s="743" t="str">
        <x:f t="shared" si="39"/>
        <x:v/>
      </x:c>
      <x:c r="CN21" s="744" t="str">
        <x:f t="shared" si="40"/>
        <x:v/>
      </x:c>
      <x:c r="CO21" s="745" t="str">
        <x:f t="shared" si="41"/>
        <x:v/>
      </x:c>
      <x:c r="CP21" s="762" t="str">
        <x:f t="shared" si="42"/>
        <x:v/>
      </x:c>
      <x:c r="CQ21" s="763" t="str">
        <x:f t="shared" si="43"/>
        <x:v/>
      </x:c>
      <x:c r="CR21" s="953">
        <x:f t="shared" si="44"/>
        <x:v>2.5</x:v>
      </x:c>
      <x:c r="CS21" s="954">
        <x:f t="shared" si="45"/>
        <x:v>2.5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6"/>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7"/>
        <x:v>0</x:v>
      </x:c>
      <x:c r="DO21" s="1049">
        <x:f t="shared" si="48"/>
        <x:v>0</x:v>
      </x:c>
      <x:c r="DP21" s="1053" t="str">
        <x:f t="shared" si="49"/>
        <x:v/>
      </x:c>
      <x:c r="DQ21" s="1053" t="str">
        <x:f t="shared" si="50"/>
        <x:v/>
      </x:c>
      <x:c r="DR21" s="1053" t="str">
        <x:f t="shared" si="51"/>
        <x:v/>
      </x:c>
      <x:c r="DS21" s="1052">
        <x:f t="shared" si="52"/>
        <x:v>0</x:v>
      </x:c>
      <x:c r="DT21" s="1052">
        <x:f t="shared" si="53"/>
        <x:v>0</x:v>
      </x:c>
      <x:c r="DU21" s="1052" t="str">
        <x:f t="shared" si="54"/>
        <x:v/>
      </x:c>
      <x:c r="DV21" s="1053" t="str">
        <x:f t="shared" si="55"/>
        <x:v/>
      </x:c>
      <x:c r="DW21" s="1053" t="str">
        <x:f t="shared" si="56"/>
        <x:v/>
      </x:c>
      <x:c r="DX21" s="1269">
        <x:f t="shared" si="57"/>
        <x:v>0</x:v>
      </x:c>
      <x:c r="DY21" s="1053">
        <x:f t="shared" si="58"/>
        <x:v>0</x:v>
      </x:c>
      <x:c r="DZ21" s="1052">
        <x:f t="shared" si="59"/>
        <x:v>0</x:v>
      </x:c>
      <x:c r="EA21" s="1052" t="str">
        <x:f t="shared" si="60"/>
        <x:v/>
      </x:c>
      <x:c r="EB21" s="1053" t="str">
        <x:f t="shared" si="61"/>
        <x:v/>
      </x:c>
      <x:c r="EC21" s="1053" t="str">
        <x:f t="shared" si="62"/>
        <x:v/>
      </x:c>
      <x:c r="ED21" s="1269">
        <x:f t="shared" si="63"/>
        <x:v>0</x:v>
      </x:c>
      <x:c r="EE21" s="1090" t="str">
        <x:f t="shared" si="64"/>
        <x:v/>
      </x:c>
      <x:c r="EF21" s="1053" t="str">
        <x:f t="shared" si="65"/>
        <x:v/>
      </x:c>
      <x:c r="EG21" s="1053" t="str">
        <x:f t="shared" si="66"/>
        <x:v/>
      </x:c>
      <x:c r="EH21" s="1053" t="str">
        <x:f t="shared" si="67"/>
        <x:v>ERR</x:v>
      </x:c>
      <x:c r="EI21" s="1053" t="str">
        <x:f t="shared" si="68"/>
        <x:v>ERR</x:v>
      </x:c>
      <x:c r="EJ21" s="1053" t="str">
        <x:f t="shared" si="69"/>
        <x:v/>
      </x:c>
      <x:c r="EK21" s="1053" t="str">
        <x:f t="shared" si="69"/>
        <x:v/>
      </x:c>
      <x:c r="EL21" s="1090" t="str">
        <x:f t="shared" si="70"/>
        <x:v/>
      </x:c>
      <x:c r="EM21" s="1053" t="str">
        <x:f t="shared" si="71"/>
        <x:v/>
      </x:c>
      <x:c r="EN21" s="1053" t="str">
        <x:f t="shared" si="72"/>
        <x:v/>
      </x:c>
      <x:c r="EO21" s="1053" t="str">
        <x:f t="shared" si="73"/>
        <x:v>ERR</x:v>
      </x:c>
      <x:c r="EP21" s="1053" t="str">
        <x:f t="shared" si="74"/>
        <x:v>ERR</x:v>
      </x:c>
      <x:c r="EQ21" s="1053" t="str">
        <x:f t="shared" si="75"/>
        <x:v/>
      </x:c>
      <x:c r="ER21" s="1053" t="str">
        <x:f t="shared" si="75"/>
        <x:v/>
      </x:c>
      <x:c r="ES21" s="1053" t="str">
        <x:f t="shared" si="76"/>
        <x:v/>
      </x:c>
      <x:c r="ET21" s="1053" t="str">
        <x:f t="shared" si="77"/>
        <x:v/>
      </x:c>
      <x:c r="EU21" s="1061">
        <x:f t="shared" si="78"/>
        <x:v>3.5</x:v>
      </x:c>
      <x:c r="EV21" s="1055" t="str">
        <x:f t="shared" si="79"/>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0"/>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1"/>
        <x:v/>
      </x:c>
      <x:c r="FD21" s="1052">
        <x:f t="shared" si="103"/>
        <x:v>0</x:v>
      </x:c>
      <x:c r="FE21" s="1052">
        <x:f t="shared" si="82"/>
        <x:v>0</x:v>
      </x:c>
      <x:c r="FF21" s="1052">
        <x:f t="shared" si="83"/>
        <x:v>0</x:v>
      </x:c>
      <x:c r="FG21" s="1052" t="str">
        <x:f t="shared" si="84"/>
        <x:v/>
      </x:c>
      <x:c r="FH21" s="1053" t="str">
        <x:f t="shared" si="85"/>
        <x:v/>
      </x:c>
      <x:c r="FI21" s="1052">
        <x:f t="shared" si="104"/>
        <x:v>0</x:v>
      </x:c>
      <x:c r="FJ21" s="1052">
        <x:f t="shared" si="86"/>
        <x:v>0</x:v>
      </x:c>
      <x:c r="FK21" s="1052">
        <x:f t="shared" si="87"/>
        <x:v>0</x:v>
      </x:c>
      <x:c r="FL21" s="1052" t="str">
        <x:f t="shared" si="88"/>
        <x:v/>
      </x:c>
      <x:c r="FM21" s="1053" t="str">
        <x:f t="shared" si="89"/>
        <x:v/>
      </x:c>
      <x:c r="FN21" s="1053" t="e">
        <x:f t="shared" si="90"/>
        <x:v>#VALUE!</x:v>
      </x:c>
      <x:c r="FO21" s="1062" t="e">
        <x:f t="shared" si="91"/>
        <x:v>#VALUE!</x:v>
      </x:c>
      <x:c r="FP21" s="1062" t="e">
        <x:f t="shared" si="92"/>
        <x:v>#VALUE!</x:v>
      </x:c>
      <x:c r="FQ21" s="1063" t="e">
        <x:f t="shared" si="93"/>
        <x:v>#VALUE!</x:v>
      </x:c>
      <x:c r="FR21" s="1064" t="e">
        <x:f t="shared" si="94"/>
        <x:v>#VALUE!</x:v>
      </x:c>
      <x:c r="FS21" s="1065" t="str">
        <x:f t="shared" si="95"/>
        <x:v/>
      </x:c>
      <x:c r="FT21" s="1066" t="str">
        <x:f t="shared" si="96"/>
        <x:v/>
      </x:c>
      <x:c r="FU21" s="1105">
        <x:f t="shared" si="97"/>
        <x:v>0</x:v>
      </x:c>
      <x:c r="FV21" s="1106">
        <x:f t="shared" si="98"/>
        <x:v>0</x:v>
      </x:c>
      <x:c r="GA21" s="1975">
        <x:v>17</x:v>
      </x:c>
      <x:c r="GB21" s="1976">
        <x:v>3.375</x:v>
      </x:c>
      <x:c r="GC21" s="1977">
        <x:v>-0.25</x:v>
      </x:c>
      <x:c r="GD21" s="1978">
        <x:v>-0.5</x:v>
      </x:c>
      <x:c r="GE21" s="1979">
        <x:v>-0.187357286649739</x:v>
      </x:c>
      <x:c r="GF21" s="1980" t="str">
        <x:f t="shared" si="99"/>
        <x:v>J197</x:v>
      </x:c>
      <x:c r="GG21" s="1453"/>
      <x:c r="GH21" s="1454"/>
      <x:c r="GI21" s="1453"/>
      <x:c r="GJ21" s="1454"/>
      <x:c r="GK21" s="533">
        <x:f t="shared" si="100"/>
        <x:v>206.625</x:v>
      </x:c>
      <x:c r="GL21" s="534">
        <x:f t="shared" si="101"/>
        <x:v>206.6501828623017</x:v>
      </x:c>
      <x:c r="GM21" s="535">
        <x:f>IF(ABS(GK21-GL21)&gt;='Job Info.'!$L$22,ABS(GK21-GL21),0)</x:f>
        <x:v>0</x:v>
      </x:c>
      <x:c r="HA21" s="1658" t="s">
        <x:v>1521</x:v>
      </x:c>
      <x:c r="HB21" s="1659">
        <x:v>1</x:v>
      </x:c>
      <x:c r="HC21" s="1659" t="s">
        <x:v>1980</x:v>
      </x:c>
      <x:c r="HD21" s="1660">
        <x:v>17</x:v>
      </x:c>
      <x:c r="HE21" s="1661">
        <x:v>2.625</x:v>
      </x:c>
      <x:c r="HF21" s="1659">
        <x:v>0</x:v>
      </x:c>
      <x:c r="HG21" s="1659">
        <x:v>1.375</x:v>
      </x:c>
      <x:c r="HH21" s="1659" t="s">
        <x:v>114</x:v>
      </x:c>
      <x:c r="HI21" s="1662">
        <x:v>0</x:v>
      </x:c>
      <x:c r="HJ21" s="1659">
        <x:v>0.25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2209</x:v>
      </x:c>
      <x:c r="IB21" s="1661"/>
      <x:c r="IC21" s="1661"/>
      <x:c r="ID21" s="1661"/>
      <x:c r="IE21" s="1661"/>
      <x:c r="IF21" s="1663"/>
    </x:row>
    <x:row r="22" spans="1:240" ht="12.6" customHeight="1" x14ac:dyDescent="0.25">
      <x:c r="A22" s="1264" t="s">
        <x:v>1522</x:v>
      </x:c>
      <x:c r="B22" s="1265">
        <x:v>1</x:v>
      </x:c>
      <x:c r="C22" s="1265" t="s">
        <x:v>1980</x:v>
      </x:c>
      <x:c r="D22" s="1261">
        <x:v>28</x:v>
      </x:c>
      <x:c r="E22" s="1366">
        <x:v>4.75</x:v>
      </x:c>
      <x:c r="F22" s="1328">
        <x:v>0</x:v>
      </x:c>
      <x:c r="G22" s="1262">
        <x:v>1.375</x:v>
      </x:c>
      <x:c r="H22" s="1266" t="s">
        <x:v>114</x:v>
      </x:c>
      <x:c r="I22" s="1261">
        <x:v>0</x:v>
      </x:c>
      <x:c r="J22" s="2122">
        <x:v>2</x:v>
      </x:c>
      <x:c r="K22" s="1370" t="s">
        <x:v>114</x:v>
      </x:c>
      <x:c r="L22" s="1327">
        <x:v>3</x:v>
      </x:c>
      <x:c r="M22" s="1329">
        <x:v>3</x:v>
      </x:c>
      <x:c r="N22" s="1263" t="str">
        <x:f t="shared" si="1"/>
        <x:v/>
      </x:c>
      <x:c r="O22" s="1262" t="str">
        <x:f t="shared" si="2"/>
        <x:v/>
      </x:c>
      <x:c r="P22" s="1260" t="str">
        <x:f t="shared" si="3"/>
        <x:v/>
      </x:c>
      <x:c r="Q22" s="1261" t="str">
        <x:f t="shared" si="4"/>
        <x:v/>
      </x:c>
      <x:c r="R22" s="1262" t="str">
        <x:f t="shared" si="5"/>
        <x:v/>
      </x:c>
      <x:c r="S22" s="1375" t="str">
        <x:f t="shared" si="6"/>
        <x:v/>
      </x:c>
      <x:c r="T22" s="1328" t="str">
        <x:f t="shared" si="7"/>
        <x:v/>
      </x:c>
      <x:c r="U22" s="1262" t="str">
        <x:f t="shared" si="8"/>
        <x:v/>
      </x:c>
      <x:c r="V22" s="1261" t="str">
        <x:f t="shared" si="9"/>
        <x:v/>
      </x:c>
      <x:c r="W22" s="1262" t="str">
        <x:f t="shared" si="10"/>
        <x:v/>
      </x:c>
      <x:c r="X22" s="1329">
        <x:f t="shared" si="11"/>
        <x:v>0</x:v>
      </x:c>
      <x:c r="Y22" s="1377" t="str">
        <x:f t="shared" si="105"/>
        <x:v/>
      </x:c>
      <x:c r="Z22" s="1378" t="str">
        <x:f t="shared" si="106"/>
        <x:v/>
      </x:c>
      <x:c r="AA22" s="2159" t="s">
        <x:v>2210</x:v>
      </x:c>
      <x:c r="AC22" s="1226" t="b">
        <x:v>0</x:v>
      </x:c>
      <x:c r="AD22" s="525">
        <x:f t="shared" si="12"/>
        <x:v>1</x:v>
      </x:c>
      <x:c r="AE22" s="526">
        <x:f t="shared" si="13"/>
        <x:v>0</x:v>
      </x:c>
      <x:c r="AF22" s="526">
        <x:f t="shared" si="14"/>
        <x:v>0</x:v>
      </x:c>
      <x:c r="AG22" s="526">
        <x:f t="shared" si="15"/>
        <x:v>0</x:v>
      </x:c>
      <x:c r="AH22" s="527">
        <x:f t="shared" si="16"/>
        <x:v>0</x:v>
      </x:c>
      <x:c r="AI22" s="528" t="b">
        <x:v>0</x:v>
      </x:c>
      <x:c r="AJ22" s="284">
        <x:f t="shared" si="17"/>
        <x:v>30</x:v>
      </x:c>
      <x:c r="AK22" s="1063" t="str">
        <x:f t="shared" si="18"/>
        <x:v>K</x:v>
      </x:c>
      <x:c r="AL22" s="1202" t="str">
        <x:f t="shared" si="19"/>
        <x:v/>
      </x:c>
      <x:c r="AM22" s="1063">
        <x:f t="shared" si="20"/>
        <x:v>310</x:v>
      </x:c>
      <x:c r="AN22" s="1063">
        <x:f t="shared" si="21"/>
        <x:v>160</x:v>
      </x:c>
      <x:c r="AO22" s="1063" t="str">
        <x:f t="shared" si="22"/>
        <x:v/>
      </x:c>
      <x:c r="AP22" s="1063" t="b">
        <x:f>IF(ISERROR(AJ22),FALSE,IF(OR(AJ22=0,ISERROR(AL22),ISERROR(AM22),ISERROR(AN22),ISERROR(AO22)),FALSE,IF(AL22&lt;&gt;"",IF(ISERROR(VLOOKUP(SUBSTITUTE(SUBSTITUTE(C22,"R",""),"A",""),TblJoistSize!$A:$A,1,FALSE)),FALSE,TRUE),TRUE)))</x:f>
        <x:v>1</x:v>
      </x:c>
      <x:c r="AQ22" s="1305">
        <x:f t="shared" si="23"/>
        <x:v>5.375</x:v>
      </x:c>
      <x:c r="AR22" s="1305" t="b">
        <x:f t="shared" si="24"/>
        <x:v>0</x:v>
      </x:c>
      <x:c r="AS22" s="1305">
        <x:f t="shared" si="25"/>
        <x:v>6</x:v>
      </x:c>
      <x:c r="AT22" s="1305" t="b">
        <x:f t="shared" si="26"/>
        <x:v>0</x:v>
      </x:c>
      <x:c r="AU22" s="1203" t="str">
        <x:f t="shared" si="27"/>
        <x:v>K</x:v>
      </x:c>
      <x:c r="AV22" s="1063" t="str">
        <x:f t="shared" si="28"/>
        <x:v>K</x:v>
      </x:c>
      <x:c r="AW22" s="1063" t="str">
        <x:f t="shared" si="29"/>
        <x:v/>
      </x:c>
      <x:c r="AX22" s="1063" t="str">
        <x:f t="shared" si="102"/>
        <x:v>J198</x:v>
      </x:c>
      <x:c r="AY22" s="1306" t="b">
        <x:f t="shared" si="30"/>
        <x:v>0</x:v>
      </x:c>
      <x:c r="AZ22" s="1090" t="b">
        <x:f t="shared" si="31"/>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2"/>
        <x:v/>
      </x:c>
      <x:c r="CE22" s="935" t="str">
        <x:f t="shared" si="33"/>
        <x:v/>
      </x:c>
      <x:c r="CF22" s="1149"/>
      <x:c r="CG22" s="1150"/>
      <x:c r="CH22" s="738" t="str">
        <x:f t="shared" si="34"/>
        <x:v/>
      </x:c>
      <x:c r="CI22" s="739" t="str">
        <x:f t="shared" si="35"/>
        <x:v/>
      </x:c>
      <x:c r="CJ22" s="740" t="str">
        <x:f t="shared" si="36"/>
        <x:v/>
      </x:c>
      <x:c r="CK22" s="741" t="str">
        <x:f t="shared" si="37"/>
        <x:v/>
      </x:c>
      <x:c r="CL22" s="742" t="str">
        <x:f t="shared" si="38"/>
        <x:v/>
      </x:c>
      <x:c r="CM22" s="743" t="str">
        <x:f t="shared" si="39"/>
        <x:v/>
      </x:c>
      <x:c r="CN22" s="744" t="str">
        <x:f t="shared" si="40"/>
        <x:v/>
      </x:c>
      <x:c r="CO22" s="745" t="str">
        <x:f t="shared" si="41"/>
        <x:v/>
      </x:c>
      <x:c r="CP22" s="762" t="str">
        <x:f t="shared" si="42"/>
        <x:v/>
      </x:c>
      <x:c r="CQ22" s="763" t="str">
        <x:f t="shared" si="43"/>
        <x:v/>
      </x:c>
      <x:c r="CR22" s="953">
        <x:f t="shared" si="44"/>
        <x:v>2.5</x:v>
      </x:c>
      <x:c r="CS22" s="954">
        <x:f t="shared" si="45"/>
        <x:v>2.5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6"/>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7"/>
        <x:v>0</x:v>
      </x:c>
      <x:c r="DO22" s="1049">
        <x:f t="shared" si="48"/>
        <x:v>0</x:v>
      </x:c>
      <x:c r="DP22" s="1053" t="str">
        <x:f t="shared" si="49"/>
        <x:v/>
      </x:c>
      <x:c r="DQ22" s="1053" t="str">
        <x:f t="shared" si="50"/>
        <x:v/>
      </x:c>
      <x:c r="DR22" s="1053" t="str">
        <x:f t="shared" si="51"/>
        <x:v/>
      </x:c>
      <x:c r="DS22" s="1052">
        <x:f t="shared" si="52"/>
        <x:v>0</x:v>
      </x:c>
      <x:c r="DT22" s="1052">
        <x:f t="shared" si="53"/>
        <x:v>0</x:v>
      </x:c>
      <x:c r="DU22" s="1052" t="str">
        <x:f t="shared" si="54"/>
        <x:v/>
      </x:c>
      <x:c r="DV22" s="1053" t="str">
        <x:f t="shared" si="55"/>
        <x:v/>
      </x:c>
      <x:c r="DW22" s="1053" t="str">
        <x:f t="shared" si="56"/>
        <x:v/>
      </x:c>
      <x:c r="DX22" s="1269">
        <x:f t="shared" si="57"/>
        <x:v>0</x:v>
      </x:c>
      <x:c r="DY22" s="1053">
        <x:f t="shared" si="58"/>
        <x:v>0</x:v>
      </x:c>
      <x:c r="DZ22" s="1052">
        <x:f t="shared" si="59"/>
        <x:v>0</x:v>
      </x:c>
      <x:c r="EA22" s="1052" t="str">
        <x:f t="shared" si="60"/>
        <x:v/>
      </x:c>
      <x:c r="EB22" s="1053" t="str">
        <x:f t="shared" si="61"/>
        <x:v/>
      </x:c>
      <x:c r="EC22" s="1053" t="str">
        <x:f t="shared" si="62"/>
        <x:v/>
      </x:c>
      <x:c r="ED22" s="1269">
        <x:f t="shared" si="63"/>
        <x:v>0</x:v>
      </x:c>
      <x:c r="EE22" s="1090" t="str">
        <x:f t="shared" si="64"/>
        <x:v/>
      </x:c>
      <x:c r="EF22" s="1053" t="str">
        <x:f t="shared" si="65"/>
        <x:v/>
      </x:c>
      <x:c r="EG22" s="1053" t="str">
        <x:f t="shared" si="66"/>
        <x:v/>
      </x:c>
      <x:c r="EH22" s="1053" t="str">
        <x:f t="shared" si="67"/>
        <x:v>ERR</x:v>
      </x:c>
      <x:c r="EI22" s="1053" t="str">
        <x:f t="shared" si="68"/>
        <x:v>ERR</x:v>
      </x:c>
      <x:c r="EJ22" s="1053" t="str">
        <x:f t="shared" si="69"/>
        <x:v/>
      </x:c>
      <x:c r="EK22" s="1053" t="str">
        <x:f t="shared" si="69"/>
        <x:v/>
      </x:c>
      <x:c r="EL22" s="1090" t="str">
        <x:f t="shared" si="70"/>
        <x:v/>
      </x:c>
      <x:c r="EM22" s="1053" t="str">
        <x:f t="shared" si="71"/>
        <x:v/>
      </x:c>
      <x:c r="EN22" s="1053" t="str">
        <x:f t="shared" si="72"/>
        <x:v/>
      </x:c>
      <x:c r="EO22" s="1053" t="str">
        <x:f t="shared" si="73"/>
        <x:v>ERR</x:v>
      </x:c>
      <x:c r="EP22" s="1053" t="str">
        <x:f t="shared" si="74"/>
        <x:v>ERR</x:v>
      </x:c>
      <x:c r="EQ22" s="1053" t="str">
        <x:f t="shared" si="75"/>
        <x:v/>
      </x:c>
      <x:c r="ER22" s="1053" t="str">
        <x:f t="shared" si="75"/>
        <x:v/>
      </x:c>
      <x:c r="ES22" s="1053" t="str">
        <x:f t="shared" si="76"/>
        <x:v/>
      </x:c>
      <x:c r="ET22" s="1053" t="str">
        <x:f t="shared" si="77"/>
        <x:v/>
      </x:c>
      <x:c r="EU22" s="1061">
        <x:f t="shared" si="78"/>
        <x:v>3.5</x:v>
      </x:c>
      <x:c r="EV22" s="1055" t="str">
        <x:f t="shared" si="79"/>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0"/>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1"/>
        <x:v/>
      </x:c>
      <x:c r="FD22" s="1052">
        <x:f t="shared" si="103"/>
        <x:v>0</x:v>
      </x:c>
      <x:c r="FE22" s="1052">
        <x:f t="shared" si="82"/>
        <x:v>0</x:v>
      </x:c>
      <x:c r="FF22" s="1052">
        <x:f t="shared" si="83"/>
        <x:v>0</x:v>
      </x:c>
      <x:c r="FG22" s="1052" t="str">
        <x:f t="shared" si="84"/>
        <x:v/>
      </x:c>
      <x:c r="FH22" s="1053" t="str">
        <x:f t="shared" si="85"/>
        <x:v/>
      </x:c>
      <x:c r="FI22" s="1052">
        <x:f t="shared" si="104"/>
        <x:v>0</x:v>
      </x:c>
      <x:c r="FJ22" s="1052">
        <x:f t="shared" si="86"/>
        <x:v>0</x:v>
      </x:c>
      <x:c r="FK22" s="1052">
        <x:f t="shared" si="87"/>
        <x:v>0</x:v>
      </x:c>
      <x:c r="FL22" s="1052" t="str">
        <x:f t="shared" si="88"/>
        <x:v/>
      </x:c>
      <x:c r="FM22" s="1053" t="str">
        <x:f t="shared" si="89"/>
        <x:v/>
      </x:c>
      <x:c r="FN22" s="1053" t="e">
        <x:f t="shared" si="90"/>
        <x:v>#VALUE!</x:v>
      </x:c>
      <x:c r="FO22" s="1062" t="e">
        <x:f t="shared" si="91"/>
        <x:v>#VALUE!</x:v>
      </x:c>
      <x:c r="FP22" s="1062" t="e">
        <x:f t="shared" si="92"/>
        <x:v>#VALUE!</x:v>
      </x:c>
      <x:c r="FQ22" s="1063" t="e">
        <x:f t="shared" si="93"/>
        <x:v>#VALUE!</x:v>
      </x:c>
      <x:c r="FR22" s="1064" t="e">
        <x:f t="shared" si="94"/>
        <x:v>#VALUE!</x:v>
      </x:c>
      <x:c r="FS22" s="1065" t="str">
        <x:f t="shared" si="95"/>
        <x:v/>
      </x:c>
      <x:c r="FT22" s="1066" t="str">
        <x:f t="shared" si="96"/>
        <x:v/>
      </x:c>
      <x:c r="FU22" s="1105">
        <x:f t="shared" si="97"/>
        <x:v>0</x:v>
      </x:c>
      <x:c r="FV22" s="1106">
        <x:f t="shared" si="98"/>
        <x:v>0</x:v>
      </x:c>
      <x:c r="GA22" s="1975">
        <x:v>28</x:v>
      </x:c>
      <x:c r="GB22" s="1976">
        <x:v>5.5</x:v>
      </x:c>
      <x:c r="GC22" s="1977">
        <x:v>-0.25</x:v>
      </x:c>
      <x:c r="GD22" s="1978">
        <x:v>-0.5</x:v>
      </x:c>
      <x:c r="GE22" s="1979">
        <x:v>-0.18735728371837099</x:v>
      </x:c>
      <x:c r="GF22" s="1980" t="str">
        <x:f t="shared" si="99"/>
        <x:v>J198</x:v>
      </x:c>
      <x:c r="GG22" s="1453"/>
      <x:c r="GH22" s="1454"/>
      <x:c r="GI22" s="1453"/>
      <x:c r="GJ22" s="1454"/>
      <x:c r="GK22" s="533">
        <x:f t="shared" si="100"/>
        <x:v>340.75</x:v>
      </x:c>
      <x:c r="GL22" s="534">
        <x:f t="shared" si="101"/>
        <x:v>340.79152963126825</x:v>
      </x:c>
      <x:c r="GM22" s="535">
        <x:f>IF(ABS(GK22-GL22)&gt;='Job Info.'!$L$22,ABS(GK22-GL22),0)</x:f>
        <x:v>0</x:v>
      </x:c>
      <x:c r="HA22" s="1658" t="s">
        <x:v>1522</x:v>
      </x:c>
      <x:c r="HB22" s="1659">
        <x:v>1</x:v>
      </x:c>
      <x:c r="HC22" s="1659" t="s">
        <x:v>1980</x:v>
      </x:c>
      <x:c r="HD22" s="1660">
        <x:v>28</x:v>
      </x:c>
      <x:c r="HE22" s="1661">
        <x:v>4.75</x:v>
      </x:c>
      <x:c r="HF22" s="1659">
        <x:v>0</x:v>
      </x:c>
      <x:c r="HG22" s="1659">
        <x:v>1.375</x:v>
      </x:c>
      <x:c r="HH22" s="1659" t="s">
        <x:v>114</x:v>
      </x:c>
      <x:c r="HI22" s="1662">
        <x:v>0</x:v>
      </x:c>
      <x:c r="HJ22" s="1659">
        <x:v>0.25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t="s">
        <x:v>117</x:v>
      </x:c>
      <x:c r="HZ22" s="1661" t="s">
        <x:v>117</x:v>
      </x:c>
      <x:c r="IA22" s="1661" t="s">
        <x:v>2210</x:v>
      </x:c>
      <x:c r="IB22" s="1661"/>
      <x:c r="IC22" s="1661"/>
      <x:c r="ID22" s="1661"/>
      <x:c r="IE22" s="1661"/>
      <x:c r="IF22" s="1663"/>
    </x:row>
    <x:row r="23" spans="1:240" ht="12.6" customHeight="1" x14ac:dyDescent="0.25">
      <x:c r="A23" s="1264" t="s">
        <x:v>1523</x:v>
      </x:c>
      <x:c r="B23" s="1265">
        <x:v>1</x:v>
      </x:c>
      <x:c r="C23" s="1265" t="s">
        <x:v>1980</x:v>
      </x:c>
      <x:c r="D23" s="1261">
        <x:v>39</x:v>
      </x:c>
      <x:c r="E23" s="1366">
        <x:v>7</x:v>
      </x:c>
      <x:c r="F23" s="1328">
        <x:v>0</x:v>
      </x:c>
      <x:c r="G23" s="1262">
        <x:v>1.375</x:v>
      </x:c>
      <x:c r="H23" s="1266" t="s">
        <x:v>114</x:v>
      </x:c>
      <x:c r="I23" s="1261">
        <x:v>0</x:v>
      </x:c>
      <x:c r="J23" s="2122">
        <x:v>2</x:v>
      </x:c>
      <x:c r="K23" s="1370" t="s">
        <x:v>114</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x:v>0</x:v>
      </x:c>
      <x:c r="U23" s="1262">
        <x:v>2.25</x:v>
      </x:c>
      <x:c r="V23" s="1261">
        <x:v>0</x:v>
      </x:c>
      <x:c r="W23" s="1262">
        <x:v>3.875</x:v>
      </x:c>
      <x:c r="X23" s="1329">
        <x:v>4</x:v>
      </x:c>
      <x:c r="Y23" s="1377" t="str">
        <x:f t="shared" si="105"/>
        <x:v/>
      </x:c>
      <x:c r="Z23" s="1378" t="str">
        <x:f t="shared" si="106"/>
        <x:v/>
      </x:c>
      <x:c r="AA23" s="2159" t="s">
        <x:v>2211</x:v>
      </x:c>
      <x:c r="AC23" s="1226" t="b">
        <x:v>0</x:v>
      </x:c>
      <x:c r="AD23" s="525">
        <x:f t="shared" si="12"/>
        <x:v>1</x:v>
      </x:c>
      <x:c r="AE23" s="526">
        <x:f t="shared" si="13"/>
        <x:v>0</x:v>
      </x:c>
      <x:c r="AF23" s="526">
        <x:f t="shared" si="14"/>
        <x:v>0</x:v>
      </x:c>
      <x:c r="AG23" s="526">
        <x:f t="shared" si="15"/>
        <x:v>0</x:v>
      </x:c>
      <x:c r="AH23" s="527">
        <x:f t="shared" si="16"/>
        <x:v>0</x:v>
      </x:c>
      <x:c r="AI23" s="528" t="b">
        <x:v>0</x:v>
      </x:c>
      <x:c r="AJ23" s="284">
        <x:f t="shared" si="17"/>
        <x:v>30</x:v>
      </x:c>
      <x:c r="AK23" s="1063" t="str">
        <x:f t="shared" si="18"/>
        <x:v>K</x:v>
      </x:c>
      <x:c r="AL23" s="1202" t="str">
        <x:f t="shared" si="19"/>
        <x:v/>
      </x:c>
      <x:c r="AM23" s="1063">
        <x:f t="shared" si="20"/>
        <x:v>310</x:v>
      </x:c>
      <x:c r="AN23" s="1063">
        <x:f t="shared" si="21"/>
        <x:v>160</x:v>
      </x:c>
      <x:c r="AO23" s="1063" t="str">
        <x:f t="shared" si="22"/>
        <x:v/>
      </x:c>
      <x:c r="AP23" s="1063" t="b">
        <x:f>IF(ISERROR(AJ23),FALSE,IF(OR(AJ23=0,ISERROR(AL23),ISERROR(AM23),ISERROR(AN23),ISERROR(AO23)),FALSE,IF(AL23&lt;&gt;"",IF(ISERROR(VLOOKUP(SUBSTITUTE(SUBSTITUTE(C23,"R",""),"A",""),TblJoistSize!$A:$A,1,FALSE)),FALSE,TRUE),TRUE)))</x:f>
        <x:v>1</x:v>
      </x:c>
      <x:c r="AQ23" s="1305">
        <x:f t="shared" si="23"/>
        <x:v>5.375</x:v>
      </x:c>
      <x:c r="AR23" s="1305" t="b">
        <x:f t="shared" si="24"/>
        <x:v>1</x:v>
      </x:c>
      <x:c r="AS23" s="1305">
        <x:f t="shared" si="25"/>
        <x:v>6</x:v>
      </x:c>
      <x:c r="AT23" s="1305" t="b">
        <x:f t="shared" si="26"/>
        <x:v>1</x:v>
      </x:c>
      <x:c r="AU23" s="1203" t="str">
        <x:f t="shared" si="27"/>
        <x:v>K</x:v>
      </x:c>
      <x:c r="AV23" s="1063" t="str">
        <x:f t="shared" si="28"/>
        <x:v>K</x:v>
      </x:c>
      <x:c r="AW23" s="1063" t="str">
        <x:f t="shared" si="29"/>
        <x:v/>
      </x:c>
      <x:c r="AX23" s="1063" t="str">
        <x:f t="shared" si="102"/>
        <x:v>TJ199</x:v>
      </x:c>
      <x:c r="AY23" s="1306" t="b">
        <x:f t="shared" si="30"/>
        <x:v>0</x:v>
      </x:c>
      <x:c r="AZ23" s="1090" t="b">
        <x:f t="shared" si="31"/>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2"/>
        <x:v/>
      </x:c>
      <x:c r="CE23" s="935" t="str">
        <x:f t="shared" si="33"/>
        <x:v/>
      </x:c>
      <x:c r="CF23" s="1149"/>
      <x:c r="CG23" s="1150"/>
      <x:c r="CH23" s="738" t="str">
        <x:f t="shared" si="34"/>
        <x:v/>
      </x:c>
      <x:c r="CI23" s="739" t="str">
        <x:f t="shared" si="35"/>
        <x:v/>
      </x:c>
      <x:c r="CJ23" s="740" t="str">
        <x:f t="shared" si="36"/>
        <x:v/>
      </x:c>
      <x:c r="CK23" s="741" t="str">
        <x:f t="shared" si="37"/>
        <x:v/>
      </x:c>
      <x:c r="CL23" s="742" t="str">
        <x:f t="shared" si="38"/>
        <x:v/>
      </x:c>
      <x:c r="CM23" s="743" t="str">
        <x:f t="shared" si="39"/>
        <x:v/>
      </x:c>
      <x:c r="CN23" s="744" t="str">
        <x:f t="shared" si="40"/>
        <x:v/>
      </x:c>
      <x:c r="CO23" s="745" t="str">
        <x:f t="shared" si="41"/>
        <x:v/>
      </x:c>
      <x:c r="CP23" s="762" t="str">
        <x:f t="shared" si="42"/>
        <x:v/>
      </x:c>
      <x:c r="CQ23" s="763" t="str">
        <x:f t="shared" si="43"/>
        <x:v/>
      </x:c>
      <x:c r="CR23" s="953">
        <x:f t="shared" si="44"/>
        <x:v>2.5</x:v>
      </x:c>
      <x:c r="CS23" s="954">
        <x:f t="shared" si="45"/>
        <x:v>2.5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6"/>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7"/>
        <x:v>0</x:v>
      </x:c>
      <x:c r="DO23" s="1049">
        <x:f t="shared" si="48"/>
        <x:v>0</x:v>
      </x:c>
      <x:c r="DP23" s="1053" t="str">
        <x:f t="shared" si="49"/>
        <x:v/>
      </x:c>
      <x:c r="DQ23" s="1053" t="str">
        <x:f t="shared" si="50"/>
        <x:v/>
      </x:c>
      <x:c r="DR23" s="1053" t="str">
        <x:f t="shared" si="51"/>
        <x:v/>
      </x:c>
      <x:c r="DS23" s="1052">
        <x:f t="shared" si="52"/>
        <x:v>0</x:v>
      </x:c>
      <x:c r="DT23" s="1052">
        <x:f t="shared" si="53"/>
        <x:v>0</x:v>
      </x:c>
      <x:c r="DU23" s="1052" t="str">
        <x:f t="shared" si="54"/>
        <x:v/>
      </x:c>
      <x:c r="DV23" s="1053" t="str">
        <x:f t="shared" si="55"/>
        <x:v/>
      </x:c>
      <x:c r="DW23" s="1053" t="str">
        <x:f t="shared" si="56"/>
        <x:v/>
      </x:c>
      <x:c r="DX23" s="1269">
        <x:f t="shared" si="57"/>
        <x:v>0</x:v>
      </x:c>
      <x:c r="DY23" s="1053">
        <x:f t="shared" si="58"/>
        <x:v>0</x:v>
      </x:c>
      <x:c r="DZ23" s="1052">
        <x:f t="shared" si="59"/>
        <x:v>0</x:v>
      </x:c>
      <x:c r="EA23" s="1052" t="str">
        <x:f t="shared" si="60"/>
        <x:v/>
      </x:c>
      <x:c r="EB23" s="1053" t="str">
        <x:f t="shared" si="61"/>
        <x:v/>
      </x:c>
      <x:c r="EC23" s="1053" t="str">
        <x:f t="shared" si="62"/>
        <x:v/>
      </x:c>
      <x:c r="ED23" s="1269">
        <x:f t="shared" si="63"/>
        <x:v>0</x:v>
      </x:c>
      <x:c r="EE23" s="1090" t="str">
        <x:f t="shared" si="64"/>
        <x:v/>
      </x:c>
      <x:c r="EF23" s="1053" t="str">
        <x:f t="shared" si="65"/>
        <x:v/>
      </x:c>
      <x:c r="EG23" s="1053" t="str">
        <x:f t="shared" si="66"/>
        <x:v/>
      </x:c>
      <x:c r="EH23" s="1053" t="str">
        <x:f t="shared" si="67"/>
        <x:v>ERR</x:v>
      </x:c>
      <x:c r="EI23" s="1053" t="str">
        <x:f t="shared" si="68"/>
        <x:v>ERR</x:v>
      </x:c>
      <x:c r="EJ23" s="1053" t="str">
        <x:f t="shared" si="69"/>
        <x:v/>
      </x:c>
      <x:c r="EK23" s="1053" t="str">
        <x:f t="shared" si="69"/>
        <x:v/>
      </x:c>
      <x:c r="EL23" s="1090" t="str">
        <x:f t="shared" si="70"/>
        <x:v/>
      </x:c>
      <x:c r="EM23" s="1053" t="str">
        <x:f t="shared" si="71"/>
        <x:v/>
      </x:c>
      <x:c r="EN23" s="1053" t="str">
        <x:f t="shared" si="72"/>
        <x:v/>
      </x:c>
      <x:c r="EO23" s="1053" t="str">
        <x:f t="shared" si="73"/>
        <x:v>ERR</x:v>
      </x:c>
      <x:c r="EP23" s="1053" t="str">
        <x:f t="shared" si="74"/>
        <x:v>ERR</x:v>
      </x:c>
      <x:c r="EQ23" s="1053" t="str">
        <x:f t="shared" si="75"/>
        <x:v/>
      </x:c>
      <x:c r="ER23" s="1053" t="str">
        <x:f t="shared" si="75"/>
        <x:v/>
      </x:c>
      <x:c r="ES23" s="1053" t="str">
        <x:f t="shared" si="76"/>
        <x:v/>
      </x:c>
      <x:c r="ET23" s="1053" t="str">
        <x:f t="shared" si="77"/>
        <x:v/>
      </x:c>
      <x:c r="EU23" s="1061">
        <x:f t="shared" si="78"/>
        <x:v>3.5</x:v>
      </x:c>
      <x:c r="EV23" s="1055" t="str">
        <x:f t="shared" si="79"/>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0"/>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1"/>
        <x:v/>
      </x:c>
      <x:c r="FD23" s="1052">
        <x:f t="shared" si="103"/>
        <x:v>0</x:v>
      </x:c>
      <x:c r="FE23" s="1052">
        <x:f t="shared" si="82"/>
        <x:v>0</x:v>
      </x:c>
      <x:c r="FF23" s="1052">
        <x:f t="shared" si="83"/>
        <x:v>0</x:v>
      </x:c>
      <x:c r="FG23" s="1052" t="str">
        <x:f t="shared" si="84"/>
        <x:v/>
      </x:c>
      <x:c r="FH23" s="1053" t="str">
        <x:f t="shared" si="85"/>
        <x:v/>
      </x:c>
      <x:c r="FI23" s="1052">
        <x:f t="shared" si="104"/>
        <x:v>0</x:v>
      </x:c>
      <x:c r="FJ23" s="1052">
        <x:f t="shared" si="86"/>
        <x:v>0</x:v>
      </x:c>
      <x:c r="FK23" s="1052">
        <x:f t="shared" si="87"/>
        <x:v>0</x:v>
      </x:c>
      <x:c r="FL23" s="1052" t="str">
        <x:f t="shared" si="88"/>
        <x:v/>
      </x:c>
      <x:c r="FM23" s="1053" t="str">
        <x:f t="shared" si="89"/>
        <x:v/>
      </x:c>
      <x:c r="FN23" s="1053" t="e">
        <x:f t="shared" si="90"/>
        <x:v>#VALUE!</x:v>
      </x:c>
      <x:c r="FO23" s="1062" t="e">
        <x:f t="shared" si="91"/>
        <x:v>#VALUE!</x:v>
      </x:c>
      <x:c r="FP23" s="1062" t="e">
        <x:f t="shared" si="92"/>
        <x:v>#VALUE!</x:v>
      </x:c>
      <x:c r="FQ23" s="1063" t="e">
        <x:f t="shared" si="93"/>
        <x:v>#VALUE!</x:v>
      </x:c>
      <x:c r="FR23" s="1064" t="e">
        <x:f t="shared" si="94"/>
        <x:v>#VALUE!</x:v>
      </x:c>
      <x:c r="FS23" s="1065" t="str">
        <x:f t="shared" si="95"/>
        <x:v/>
      </x:c>
      <x:c r="FT23" s="1066" t="str">
        <x:f t="shared" si="96"/>
        <x:v/>
      </x:c>
      <x:c r="FU23" s="1105">
        <x:f t="shared" si="97"/>
        <x:v>0</x:v>
      </x:c>
      <x:c r="FV23" s="1106">
        <x:f t="shared" si="98"/>
        <x:v>0</x:v>
      </x:c>
      <x:c r="GA23" s="1975">
        <x:v>39</x:v>
      </x:c>
      <x:c r="GB23" s="1976">
        <x:v>7.75</x:v>
      </x:c>
      <x:c r="GC23" s="1977">
        <x:v>-0.25</x:v>
      </x:c>
      <x:c r="GD23" s="1978">
        <x:v>-0.5</x:v>
      </x:c>
      <x:c r="GE23" s="1979">
        <x:v>-0.18735728637924901</x:v>
      </x:c>
      <x:c r="GF23" s="1980" t="str">
        <x:f t="shared" si="99"/>
        <x:v>TJ199</x:v>
      </x:c>
      <x:c r="GG23" s="1453"/>
      <x:c r="GH23" s="1454"/>
      <x:c r="GI23" s="1453"/>
      <x:c r="GJ23" s="1454"/>
      <x:c r="GK23" s="533">
        <x:f t="shared" si="100"/>
        <x:v>475</x:v>
      </x:c>
      <x:c r="GL23" s="534">
        <x:f t="shared" si="101"/>
        <x:v>475.05789163730805</x:v>
      </x:c>
      <x:c r="GM23" s="535">
        <x:f>IF(ABS(GK23-GL23)&gt;='Job Info.'!$L$22,ABS(GK23-GL23),0)</x:f>
        <x:v>0</x:v>
      </x:c>
      <x:c r="HA23" s="1658" t="s">
        <x:v>1523</x:v>
      </x:c>
      <x:c r="HB23" s="1659">
        <x:v>1</x:v>
      </x:c>
      <x:c r="HC23" s="1659" t="s">
        <x:v>1980</x:v>
      </x:c>
      <x:c r="HD23" s="1660">
        <x:v>39</x:v>
      </x:c>
      <x:c r="HE23" s="1661">
        <x:v>7</x:v>
      </x:c>
      <x:c r="HF23" s="1659">
        <x:v>0</x:v>
      </x:c>
      <x:c r="HG23" s="1659">
        <x:v>1.375</x:v>
      </x:c>
      <x:c r="HH23" s="1659" t="s">
        <x:v>114</x:v>
      </x:c>
      <x:c r="HI23" s="1662">
        <x:v>0</x:v>
      </x:c>
      <x:c r="HJ23" s="1659">
        <x:v>0.25</x:v>
      </x:c>
      <x:c r="HK23" s="1659" t="s">
        <x:v>114</x:v>
      </x:c>
      <x:c r="HL23" s="1659">
        <x:v>3</x:v>
      </x:c>
      <x:c r="HM23" s="1659">
        <x:v>3</x:v>
      </x:c>
      <x:c r="HN23" s="1659" t="s">
        <x:v>117</x:v>
      </x:c>
      <x:c r="HO23" s="1659" t="s">
        <x:v>117</x:v>
      </x:c>
      <x:c r="HP23" s="1659" t="s">
        <x:v>117</x:v>
      </x:c>
      <x:c r="HQ23" s="1662" t="s">
        <x:v>117</x:v>
      </x:c>
      <x:c r="HR23" s="1659" t="s">
        <x:v>117</x:v>
      </x:c>
      <x:c r="HS23" s="1659" t="s">
        <x:v>117</x:v>
      </x:c>
      <x:c r="HT23" s="1659">
        <x:v>0</x:v>
      </x:c>
      <x:c r="HU23" s="1659">
        <x:v>2.25</x:v>
      </x:c>
      <x:c r="HV23" s="1659">
        <x:v>0</x:v>
      </x:c>
      <x:c r="HW23" s="1661">
        <x:v>3.875</x:v>
      </x:c>
      <x:c r="HX23" s="1661">
        <x:v>4</x:v>
      </x:c>
      <x:c r="HY23" s="1661" t="s">
        <x:v>117</x:v>
      </x:c>
      <x:c r="HZ23" s="1661" t="s">
        <x:v>117</x:v>
      </x:c>
      <x:c r="IA23" s="1661" t="s">
        <x:v>2211</x:v>
      </x:c>
      <x:c r="IB23" s="1661"/>
      <x:c r="IC23" s="1661"/>
      <x:c r="ID23" s="1661"/>
      <x:c r="IE23" s="1661"/>
      <x:c r="IF23" s="1663"/>
    </x:row>
    <x:row r="24" spans="1:240" ht="12.6" customHeight="1" x14ac:dyDescent="0.25">
      <x:c r="A24" s="1264" t="s">
        <x:v>1524</x:v>
      </x:c>
      <x:c r="B24" s="1265">
        <x:v>1</x:v>
      </x:c>
      <x:c r="C24" s="1265" t="s">
        <x:v>1979</x:v>
      </x:c>
      <x:c r="D24" s="1261">
        <x:v>49</x:v>
      </x:c>
      <x:c r="E24" s="1366">
        <x:v>11.5</x:v>
      </x:c>
      <x:c r="F24" s="1328">
        <x:v>0</x:v>
      </x:c>
      <x:c r="G24" s="1262">
        <x:v>1.375</x:v>
      </x:c>
      <x:c r="H24" s="1266" t="s">
        <x:v>114</x:v>
      </x:c>
      <x:c r="I24" s="1261">
        <x:v>0</x:v>
      </x:c>
      <x:c r="J24" s="1262">
        <x:v>1.375</x:v>
      </x:c>
      <x:c r="K24" s="1370" t="s">
        <x:v>114</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x:v>0</x:v>
      </x:c>
      <x:c r="U24" s="1262">
        <x:v>2.25</x:v>
      </x:c>
      <x:c r="V24" s="1261">
        <x:v>0</x:v>
      </x:c>
      <x:c r="W24" s="1262">
        <x:v>2.25</x:v>
      </x:c>
      <x:c r="X24" s="1329">
        <x:v>4</x:v>
      </x:c>
      <x:c r="Y24" s="1377" t="str">
        <x:f t="shared" si="105"/>
        <x:v/>
      </x:c>
      <x:c r="Z24" s="1378" t="str">
        <x:f t="shared" si="106"/>
        <x:v/>
      </x:c>
      <x:c r="AA24" s="2159" t="s">
        <x:v>2212</x:v>
      </x:c>
      <x:c r="AC24" s="1226" t="b">
        <x:v>0</x:v>
      </x:c>
      <x:c r="AD24" s="525">
        <x:f t="shared" si="12"/>
        <x:v>1</x:v>
      </x:c>
      <x:c r="AE24" s="526">
        <x:f t="shared" si="13"/>
        <x:v>0</x:v>
      </x:c>
      <x:c r="AF24" s="526">
        <x:f t="shared" si="14"/>
        <x:v>0</x:v>
      </x:c>
      <x:c r="AG24" s="526">
        <x:f t="shared" si="15"/>
        <x:v>0</x:v>
      </x:c>
      <x:c r="AH24" s="527">
        <x:f t="shared" si="16"/>
        <x:v>0</x:v>
      </x:c>
      <x:c r="AI24" s="528" t="b">
        <x:v>0</x:v>
      </x:c>
      <x:c r="AJ24" s="284">
        <x:f t="shared" si="17"/>
        <x:v>30</x:v>
      </x:c>
      <x:c r="AK24" s="1063" t="str">
        <x:f t="shared" si="18"/>
        <x:v>K</x:v>
      </x:c>
      <x:c r="AL24" s="1202" t="str">
        <x:f t="shared" si="19"/>
        <x:v/>
      </x:c>
      <x:c r="AM24" s="1063">
        <x:f t="shared" si="20"/>
        <x:v>240</x:v>
      </x:c>
      <x:c r="AN24" s="1063">
        <x:f t="shared" si="21"/>
        <x:v>140</x:v>
      </x:c>
      <x:c r="AO24" s="1063" t="str">
        <x:f t="shared" si="22"/>
        <x:v/>
      </x:c>
      <x:c r="AP24" s="1063" t="b">
        <x:f>IF(ISERROR(AJ24),FALSE,IF(OR(AJ24=0,ISERROR(AL24),ISERROR(AM24),ISERROR(AN24),ISERROR(AO24)),FALSE,IF(AL24&lt;&gt;"",IF(ISERROR(VLOOKUP(SUBSTITUTE(SUBSTITUTE(C24,"R",""),"A",""),TblJoistSize!$A:$A,1,FALSE)),FALSE,TRUE),TRUE)))</x:f>
        <x:v>1</x:v>
      </x:c>
      <x:c r="AQ24" s="1305">
        <x:f t="shared" si="23"/>
        <x:v>5.375</x:v>
      </x:c>
      <x:c r="AR24" s="1305" t="b">
        <x:f t="shared" si="24"/>
        <x:v>1</x:v>
      </x:c>
      <x:c r="AS24" s="1305">
        <x:f t="shared" si="25"/>
        <x:v>5.375</x:v>
      </x:c>
      <x:c r="AT24" s="1305" t="b">
        <x:f t="shared" si="26"/>
        <x:v>1</x:v>
      </x:c>
      <x:c r="AU24" s="1203" t="str">
        <x:f t="shared" si="27"/>
        <x:v>K</x:v>
      </x:c>
      <x:c r="AV24" s="1063" t="str">
        <x:f t="shared" si="28"/>
        <x:v>K</x:v>
      </x:c>
      <x:c r="AW24" s="1063" t="str">
        <x:f t="shared" si="29"/>
        <x:v/>
      </x:c>
      <x:c r="AX24" s="1063" t="str">
        <x:f t="shared" si="102"/>
        <x:v>TJ200</x:v>
      </x:c>
      <x:c r="AY24" s="1306" t="b">
        <x:f t="shared" si="30"/>
        <x:v>0</x:v>
      </x:c>
      <x:c r="AZ24" s="1090" t="b">
        <x:f t="shared" si="31"/>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2"/>
        <x:v/>
      </x:c>
      <x:c r="CE24" s="935" t="str">
        <x:f t="shared" si="33"/>
        <x:v/>
      </x:c>
      <x:c r="CF24" s="1149"/>
      <x:c r="CG24" s="1150"/>
      <x:c r="CH24" s="738" t="str">
        <x:f t="shared" si="34"/>
        <x:v/>
      </x:c>
      <x:c r="CI24" s="739" t="str">
        <x:f t="shared" si="35"/>
        <x:v/>
      </x:c>
      <x:c r="CJ24" s="740" t="str">
        <x:f t="shared" si="36"/>
        <x:v/>
      </x:c>
      <x:c r="CK24" s="741" t="str">
        <x:f t="shared" si="37"/>
        <x:v/>
      </x:c>
      <x:c r="CL24" s="742" t="str">
        <x:f t="shared" si="38"/>
        <x:v/>
      </x:c>
      <x:c r="CM24" s="743" t="str">
        <x:f t="shared" si="39"/>
        <x:v/>
      </x:c>
      <x:c r="CN24" s="744" t="str">
        <x:f t="shared" si="40"/>
        <x:v/>
      </x:c>
      <x:c r="CO24" s="745" t="str">
        <x:f t="shared" si="41"/>
        <x:v/>
      </x:c>
      <x:c r="CP24" s="762" t="str">
        <x:f t="shared" si="42"/>
        <x:v/>
      </x:c>
      <x:c r="CQ24" s="763" t="str">
        <x:f t="shared" si="43"/>
        <x:v/>
      </x:c>
      <x:c r="CR24" s="953">
        <x:f t="shared" si="44"/>
        <x:v>2.5</x:v>
      </x:c>
      <x:c r="CS24" s="954">
        <x:f t="shared" si="45"/>
        <x:v>2.5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6"/>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7"/>
        <x:v>0</x:v>
      </x:c>
      <x:c r="DO24" s="1049">
        <x:f t="shared" si="48"/>
        <x:v>0</x:v>
      </x:c>
      <x:c r="DP24" s="1053" t="str">
        <x:f t="shared" si="49"/>
        <x:v/>
      </x:c>
      <x:c r="DQ24" s="1053" t="str">
        <x:f t="shared" si="50"/>
        <x:v/>
      </x:c>
      <x:c r="DR24" s="1053" t="str">
        <x:f t="shared" si="51"/>
        <x:v/>
      </x:c>
      <x:c r="DS24" s="1052">
        <x:f t="shared" si="52"/>
        <x:v>0</x:v>
      </x:c>
      <x:c r="DT24" s="1052">
        <x:f t="shared" si="53"/>
        <x:v>0</x:v>
      </x:c>
      <x:c r="DU24" s="1052" t="str">
        <x:f t="shared" si="54"/>
        <x:v/>
      </x:c>
      <x:c r="DV24" s="1053" t="str">
        <x:f t="shared" si="55"/>
        <x:v/>
      </x:c>
      <x:c r="DW24" s="1053" t="str">
        <x:f t="shared" si="56"/>
        <x:v/>
      </x:c>
      <x:c r="DX24" s="1269">
        <x:f t="shared" si="57"/>
        <x:v>0</x:v>
      </x:c>
      <x:c r="DY24" s="1053">
        <x:f t="shared" si="58"/>
        <x:v>0</x:v>
      </x:c>
      <x:c r="DZ24" s="1052">
        <x:f t="shared" si="59"/>
        <x:v>0</x:v>
      </x:c>
      <x:c r="EA24" s="1052" t="str">
        <x:f t="shared" si="60"/>
        <x:v/>
      </x:c>
      <x:c r="EB24" s="1053" t="str">
        <x:f t="shared" si="61"/>
        <x:v/>
      </x:c>
      <x:c r="EC24" s="1053" t="str">
        <x:f t="shared" si="62"/>
        <x:v/>
      </x:c>
      <x:c r="ED24" s="1269">
        <x:f t="shared" si="63"/>
        <x:v>0</x:v>
      </x:c>
      <x:c r="EE24" s="1090" t="str">
        <x:f t="shared" si="64"/>
        <x:v/>
      </x:c>
      <x:c r="EF24" s="1053" t="str">
        <x:f t="shared" si="65"/>
        <x:v/>
      </x:c>
      <x:c r="EG24" s="1053" t="str">
        <x:f t="shared" si="66"/>
        <x:v/>
      </x:c>
      <x:c r="EH24" s="1053" t="str">
        <x:f t="shared" si="67"/>
        <x:v>ERR</x:v>
      </x:c>
      <x:c r="EI24" s="1053" t="str">
        <x:f t="shared" si="68"/>
        <x:v>ERR</x:v>
      </x:c>
      <x:c r="EJ24" s="1053" t="str">
        <x:f t="shared" si="69"/>
        <x:v/>
      </x:c>
      <x:c r="EK24" s="1053" t="str">
        <x:f t="shared" si="69"/>
        <x:v/>
      </x:c>
      <x:c r="EL24" s="1090" t="str">
        <x:f t="shared" si="70"/>
        <x:v/>
      </x:c>
      <x:c r="EM24" s="1053" t="str">
        <x:f t="shared" si="71"/>
        <x:v/>
      </x:c>
      <x:c r="EN24" s="1053" t="str">
        <x:f t="shared" si="72"/>
        <x:v/>
      </x:c>
      <x:c r="EO24" s="1053" t="str">
        <x:f t="shared" si="73"/>
        <x:v>ERR</x:v>
      </x:c>
      <x:c r="EP24" s="1053" t="str">
        <x:f t="shared" si="74"/>
        <x:v>ERR</x:v>
      </x:c>
      <x:c r="EQ24" s="1053" t="str">
        <x:f t="shared" si="75"/>
        <x:v/>
      </x:c>
      <x:c r="ER24" s="1053" t="str">
        <x:f t="shared" si="75"/>
        <x:v/>
      </x:c>
      <x:c r="ES24" s="1053" t="str">
        <x:f t="shared" si="76"/>
        <x:v/>
      </x:c>
      <x:c r="ET24" s="1053" t="str">
        <x:f t="shared" si="77"/>
        <x:v/>
      </x:c>
      <x:c r="EU24" s="1061">
        <x:f t="shared" si="78"/>
        <x:v>3.5</x:v>
      </x:c>
      <x:c r="EV24" s="1055" t="str">
        <x:f t="shared" si="79"/>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0"/>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1"/>
        <x:v/>
      </x:c>
      <x:c r="FD24" s="1052">
        <x:f t="shared" si="103"/>
        <x:v>0</x:v>
      </x:c>
      <x:c r="FE24" s="1052">
        <x:f t="shared" si="82"/>
        <x:v>0</x:v>
      </x:c>
      <x:c r="FF24" s="1052">
        <x:f t="shared" si="83"/>
        <x:v>0</x:v>
      </x:c>
      <x:c r="FG24" s="1052" t="str">
        <x:f t="shared" si="84"/>
        <x:v/>
      </x:c>
      <x:c r="FH24" s="1053" t="str">
        <x:f t="shared" si="85"/>
        <x:v/>
      </x:c>
      <x:c r="FI24" s="1052">
        <x:f t="shared" si="104"/>
        <x:v>0</x:v>
      </x:c>
      <x:c r="FJ24" s="1052">
        <x:f t="shared" si="86"/>
        <x:v>0</x:v>
      </x:c>
      <x:c r="FK24" s="1052">
        <x:f t="shared" si="87"/>
        <x:v>0</x:v>
      </x:c>
      <x:c r="FL24" s="1052" t="str">
        <x:f t="shared" si="88"/>
        <x:v/>
      </x:c>
      <x:c r="FM24" s="1053" t="str">
        <x:f t="shared" si="89"/>
        <x:v/>
      </x:c>
      <x:c r="FN24" s="1053" t="e">
        <x:f t="shared" si="90"/>
        <x:v>#VALUE!</x:v>
      </x:c>
      <x:c r="FO24" s="1062" t="e">
        <x:f t="shared" si="91"/>
        <x:v>#VALUE!</x:v>
      </x:c>
      <x:c r="FP24" s="1062" t="e">
        <x:f t="shared" si="92"/>
        <x:v>#VALUE!</x:v>
      </x:c>
      <x:c r="FQ24" s="1063" t="e">
        <x:f t="shared" si="93"/>
        <x:v>#VALUE!</x:v>
      </x:c>
      <x:c r="FR24" s="1064" t="e">
        <x:f t="shared" si="94"/>
        <x:v>#VALUE!</x:v>
      </x:c>
      <x:c r="FS24" s="1065" t="str">
        <x:f t="shared" si="95"/>
        <x:v/>
      </x:c>
      <x:c r="FT24" s="1066" t="str">
        <x:f t="shared" si="96"/>
        <x:v/>
      </x:c>
      <x:c r="FU24" s="1105">
        <x:f t="shared" si="97"/>
        <x:v>0</x:v>
      </x:c>
      <x:c r="FV24" s="1106">
        <x:f t="shared" si="98"/>
        <x:v>0</x:v>
      </x:c>
      <x:c r="GA24" s="1975">
        <x:v>50</x:v>
      </x:c>
      <x:c r="GB24" s="1976">
        <x:v>0</x:v>
      </x:c>
      <x:c r="GC24" s="1977">
        <x:v>-0.25</x:v>
      </x:c>
      <x:c r="GD24" s="1978">
        <x:v>-0.25</x:v>
      </x:c>
      <x:c r="GE24" s="1979">
        <x:v>-0.200729385621152</x:v>
      </x:c>
      <x:c r="GF24" s="1980" t="str">
        <x:f t="shared" si="99"/>
        <x:v>TJ200</x:v>
      </x:c>
      <x:c r="GG24" s="1453"/>
      <x:c r="GH24" s="1454"/>
      <x:c r="GI24" s="1453"/>
      <x:c r="GJ24" s="1454"/>
      <x:c r="GK24" s="533">
        <x:f t="shared" si="100"/>
        <x:v>599.5</x:v>
      </x:c>
      <x:c r="GL24" s="534">
        <x:f t="shared" si="101"/>
        <x:v>599.58386644493316</x:v>
      </x:c>
      <x:c r="GM24" s="535">
        <x:f>IF(ABS(GK24-GL24)&gt;='Job Info.'!$L$22,ABS(GK24-GL24),0)</x:f>
        <x:v>0</x:v>
      </x:c>
      <x:c r="HA24" s="1658" t="s">
        <x:v>1524</x:v>
      </x:c>
      <x:c r="HB24" s="1659">
        <x:v>1</x:v>
      </x:c>
      <x:c r="HC24" s="1659" t="s">
        <x:v>1979</x:v>
      </x:c>
      <x:c r="HD24" s="1660">
        <x:v>49</x:v>
      </x:c>
      <x:c r="HE24" s="1661">
        <x:v>11.5</x:v>
      </x:c>
      <x:c r="HF24" s="1659">
        <x:v>0</x:v>
      </x:c>
      <x:c r="HG24" s="1659">
        <x:v>1.375</x:v>
      </x:c>
      <x:c r="HH24" s="1659" t="s">
        <x:v>114</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x:v>0</x:v>
      </x:c>
      <x:c r="HU24" s="1659">
        <x:v>2.25</x:v>
      </x:c>
      <x:c r="HV24" s="1659">
        <x:v>0</x:v>
      </x:c>
      <x:c r="HW24" s="1661">
        <x:v>2.25</x:v>
      </x:c>
      <x:c r="HX24" s="1661">
        <x:v>4</x:v>
      </x:c>
      <x:c r="HY24" s="1661" t="s">
        <x:v>117</x:v>
      </x:c>
      <x:c r="HZ24" s="1661" t="s">
        <x:v>117</x:v>
      </x:c>
      <x:c r="IA24" s="1661" t="s">
        <x:v>2212</x:v>
      </x:c>
      <x:c r="IB24" s="1661"/>
      <x:c r="IC24" s="1661"/>
      <x:c r="ID24" s="1661"/>
      <x:c r="IE24" s="1661"/>
      <x:c r="IF24" s="1663"/>
    </x:row>
    <x:row r="25" spans="1:240" ht="12.6" customHeight="1" x14ac:dyDescent="0.25">
      <x:c r="A25" s="1264" t="s">
        <x:v>1525</x:v>
      </x:c>
      <x:c r="B25" s="1265">
        <x:v>1</x:v>
      </x:c>
      <x:c r="C25" s="1265" t="s">
        <x:v>1979</x:v>
      </x:c>
      <x:c r="D25" s="1261">
        <x:v>49</x:v>
      </x:c>
      <x:c r="E25" s="1366">
        <x:v>11.5</x:v>
      </x:c>
      <x:c r="F25" s="1328">
        <x:v>0</x:v>
      </x:c>
      <x:c r="G25" s="1262">
        <x:v>1.375</x:v>
      </x:c>
      <x:c r="H25" s="1266" t="s">
        <x:v>114</x:v>
      </x:c>
      <x:c r="I25" s="1261">
        <x:v>0</x:v>
      </x:c>
      <x:c r="J25" s="1262">
        <x:v>1.375</x:v>
      </x:c>
      <x:c r="K25" s="1370"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t="str">
        <x:f t="shared" si="7"/>
        <x:v/>
      </x:c>
      <x:c r="U25" s="1262" t="str">
        <x:f t="shared" si="8"/>
        <x:v/>
      </x:c>
      <x:c r="V25" s="1261" t="str">
        <x:f t="shared" si="9"/>
        <x:v/>
      </x:c>
      <x:c r="W25" s="1262" t="str">
        <x:f t="shared" si="10"/>
        <x:v/>
      </x:c>
      <x:c r="X25" s="1329">
        <x:f t="shared" si="11"/>
        <x:v>0</x:v>
      </x:c>
      <x:c r="Y25" s="1377" t="str">
        <x:f t="shared" si="105"/>
        <x:v/>
      </x:c>
      <x:c r="Z25" s="1378" t="str">
        <x:f t="shared" si="106"/>
        <x:v/>
      </x:c>
      <x:c r="AA25" s="2159" t="s">
        <x:v>2208</x:v>
      </x:c>
      <x:c r="AC25" s="1226" t="b">
        <x:v>0</x:v>
      </x:c>
      <x:c r="AD25" s="525">
        <x:f t="shared" si="12"/>
        <x:v>1</x:v>
      </x:c>
      <x:c r="AE25" s="526">
        <x:f t="shared" si="13"/>
        <x:v>0</x:v>
      </x:c>
      <x:c r="AF25" s="526">
        <x:f t="shared" si="14"/>
        <x:v>0</x:v>
      </x:c>
      <x:c r="AG25" s="526">
        <x:f t="shared" si="15"/>
        <x:v>0</x:v>
      </x:c>
      <x:c r="AH25" s="527">
        <x:f t="shared" si="16"/>
        <x:v>0</x:v>
      </x:c>
      <x:c r="AI25" s="528" t="b">
        <x:v>0</x:v>
      </x:c>
      <x:c r="AJ25" s="284">
        <x:f t="shared" si="17"/>
        <x:v>30</x:v>
      </x:c>
      <x:c r="AK25" s="1063" t="str">
        <x:f t="shared" si="18"/>
        <x:v>K</x:v>
      </x:c>
      <x:c r="AL25" s="1202" t="str">
        <x:f t="shared" si="19"/>
        <x:v/>
      </x:c>
      <x:c r="AM25" s="1063">
        <x:f t="shared" si="20"/>
        <x:v>240</x:v>
      </x:c>
      <x:c r="AN25" s="1063">
        <x:f t="shared" si="21"/>
        <x:v>140</x:v>
      </x:c>
      <x:c r="AO25" s="1063" t="str">
        <x:f t="shared" si="22"/>
        <x:v/>
      </x:c>
      <x:c r="AP25" s="1063" t="b">
        <x:f>IF(ISERROR(AJ25),FALSE,IF(OR(AJ25=0,ISERROR(AL25),ISERROR(AM25),ISERROR(AN25),ISERROR(AO25)),FALSE,IF(AL25&lt;&gt;"",IF(ISERROR(VLOOKUP(SUBSTITUTE(SUBSTITUTE(C25,"R",""),"A",""),TblJoistSize!$A:$A,1,FALSE)),FALSE,TRUE),TRUE)))</x:f>
        <x:v>1</x:v>
      </x:c>
      <x:c r="AQ25" s="1305">
        <x:f t="shared" si="23"/>
        <x:v>5.375</x:v>
      </x:c>
      <x:c r="AR25" s="1305" t="b">
        <x:f t="shared" si="24"/>
        <x:v>0</x:v>
      </x:c>
      <x:c r="AS25" s="1305">
        <x:f t="shared" si="25"/>
        <x:v>5.375</x:v>
      </x:c>
      <x:c r="AT25" s="1305" t="b">
        <x:f t="shared" si="26"/>
        <x:v>0</x:v>
      </x:c>
      <x:c r="AU25" s="1203" t="str">
        <x:f t="shared" si="27"/>
        <x:v>K</x:v>
      </x:c>
      <x:c r="AV25" s="1063" t="str">
        <x:f t="shared" si="28"/>
        <x:v>K</x:v>
      </x:c>
      <x:c r="AW25" s="1063" t="str">
        <x:f t="shared" si="29"/>
        <x:v/>
      </x:c>
      <x:c r="AX25" s="1063" t="str">
        <x:f t="shared" si="102"/>
        <x:v>J201</x:v>
      </x:c>
      <x:c r="AY25" s="1306" t="b">
        <x:f t="shared" si="30"/>
        <x:v>0</x:v>
      </x:c>
      <x:c r="AZ25" s="1090" t="b">
        <x:f t="shared" si="31"/>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2"/>
        <x:v/>
      </x:c>
      <x:c r="CE25" s="935" t="str">
        <x:f t="shared" si="33"/>
        <x:v/>
      </x:c>
      <x:c r="CF25" s="1149"/>
      <x:c r="CG25" s="1150"/>
      <x:c r="CH25" s="738" t="str">
        <x:f t="shared" si="34"/>
        <x:v/>
      </x:c>
      <x:c r="CI25" s="739" t="str">
        <x:f t="shared" si="35"/>
        <x:v/>
      </x:c>
      <x:c r="CJ25" s="740" t="str">
        <x:f t="shared" si="36"/>
        <x:v/>
      </x:c>
      <x:c r="CK25" s="741" t="str">
        <x:f t="shared" si="37"/>
        <x:v/>
      </x:c>
      <x:c r="CL25" s="742" t="str">
        <x:f t="shared" si="38"/>
        <x:v/>
      </x:c>
      <x:c r="CM25" s="743" t="str">
        <x:f t="shared" si="39"/>
        <x:v/>
      </x:c>
      <x:c r="CN25" s="744" t="str">
        <x:f t="shared" si="40"/>
        <x:v/>
      </x:c>
      <x:c r="CO25" s="745" t="str">
        <x:f t="shared" si="41"/>
        <x:v/>
      </x:c>
      <x:c r="CP25" s="762" t="str">
        <x:f t="shared" si="42"/>
        <x:v/>
      </x:c>
      <x:c r="CQ25" s="763" t="str">
        <x:f t="shared" si="43"/>
        <x:v/>
      </x:c>
      <x:c r="CR25" s="953">
        <x:f t="shared" si="44"/>
        <x:v>2.5</x:v>
      </x:c>
      <x:c r="CS25" s="954">
        <x:f t="shared" si="45"/>
        <x:v>2.5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6"/>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7"/>
        <x:v>0</x:v>
      </x:c>
      <x:c r="DO25" s="1049">
        <x:f t="shared" si="48"/>
        <x:v>0</x:v>
      </x:c>
      <x:c r="DP25" s="1053" t="str">
        <x:f t="shared" si="49"/>
        <x:v/>
      </x:c>
      <x:c r="DQ25" s="1053" t="str">
        <x:f t="shared" si="50"/>
        <x:v/>
      </x:c>
      <x:c r="DR25" s="1053" t="str">
        <x:f t="shared" si="51"/>
        <x:v/>
      </x:c>
      <x:c r="DS25" s="1052">
        <x:f t="shared" si="52"/>
        <x:v>0</x:v>
      </x:c>
      <x:c r="DT25" s="1052">
        <x:f t="shared" si="53"/>
        <x:v>0</x:v>
      </x:c>
      <x:c r="DU25" s="1052" t="str">
        <x:f t="shared" si="54"/>
        <x:v/>
      </x:c>
      <x:c r="DV25" s="1053" t="str">
        <x:f t="shared" si="55"/>
        <x:v/>
      </x:c>
      <x:c r="DW25" s="1053" t="str">
        <x:f t="shared" si="56"/>
        <x:v/>
      </x:c>
      <x:c r="DX25" s="1269">
        <x:f t="shared" si="57"/>
        <x:v>0</x:v>
      </x:c>
      <x:c r="DY25" s="1053">
        <x:f t="shared" si="58"/>
        <x:v>0</x:v>
      </x:c>
      <x:c r="DZ25" s="1052">
        <x:f t="shared" si="59"/>
        <x:v>0</x:v>
      </x:c>
      <x:c r="EA25" s="1052" t="str">
        <x:f t="shared" si="60"/>
        <x:v/>
      </x:c>
      <x:c r="EB25" s="1053" t="str">
        <x:f t="shared" si="61"/>
        <x:v/>
      </x:c>
      <x:c r="EC25" s="1053" t="str">
        <x:f t="shared" si="62"/>
        <x:v/>
      </x:c>
      <x:c r="ED25" s="1269">
        <x:f t="shared" si="63"/>
        <x:v>0</x:v>
      </x:c>
      <x:c r="EE25" s="1090" t="str">
        <x:f t="shared" si="64"/>
        <x:v/>
      </x:c>
      <x:c r="EF25" s="1053" t="str">
        <x:f t="shared" si="65"/>
        <x:v/>
      </x:c>
      <x:c r="EG25" s="1053" t="str">
        <x:f t="shared" si="66"/>
        <x:v/>
      </x:c>
      <x:c r="EH25" s="1053" t="str">
        <x:f t="shared" si="67"/>
        <x:v>ERR</x:v>
      </x:c>
      <x:c r="EI25" s="1053" t="str">
        <x:f t="shared" si="68"/>
        <x:v>ERR</x:v>
      </x:c>
      <x:c r="EJ25" s="1053" t="str">
        <x:f t="shared" si="69"/>
        <x:v/>
      </x:c>
      <x:c r="EK25" s="1053" t="str">
        <x:f t="shared" si="69"/>
        <x:v/>
      </x:c>
      <x:c r="EL25" s="1090" t="str">
        <x:f t="shared" si="70"/>
        <x:v/>
      </x:c>
      <x:c r="EM25" s="1053" t="str">
        <x:f t="shared" si="71"/>
        <x:v/>
      </x:c>
      <x:c r="EN25" s="1053" t="str">
        <x:f t="shared" si="72"/>
        <x:v/>
      </x:c>
      <x:c r="EO25" s="1053" t="str">
        <x:f t="shared" si="73"/>
        <x:v>ERR</x:v>
      </x:c>
      <x:c r="EP25" s="1053" t="str">
        <x:f t="shared" si="74"/>
        <x:v>ERR</x:v>
      </x:c>
      <x:c r="EQ25" s="1053" t="str">
        <x:f t="shared" si="75"/>
        <x:v/>
      </x:c>
      <x:c r="ER25" s="1053" t="str">
        <x:f t="shared" si="75"/>
        <x:v/>
      </x:c>
      <x:c r="ES25" s="1053" t="str">
        <x:f t="shared" si="76"/>
        <x:v/>
      </x:c>
      <x:c r="ET25" s="1053" t="str">
        <x:f t="shared" si="77"/>
        <x:v/>
      </x:c>
      <x:c r="EU25" s="1061">
        <x:f t="shared" si="78"/>
        <x:v>3.5</x:v>
      </x:c>
      <x:c r="EV25" s="1055" t="str">
        <x:f t="shared" si="79"/>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0"/>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1"/>
        <x:v/>
      </x:c>
      <x:c r="FD25" s="1052">
        <x:f t="shared" si="103"/>
        <x:v>0</x:v>
      </x:c>
      <x:c r="FE25" s="1052">
        <x:f t="shared" si="82"/>
        <x:v>0</x:v>
      </x:c>
      <x:c r="FF25" s="1052">
        <x:f t="shared" si="83"/>
        <x:v>0</x:v>
      </x:c>
      <x:c r="FG25" s="1052" t="str">
        <x:f t="shared" si="84"/>
        <x:v/>
      </x:c>
      <x:c r="FH25" s="1053" t="str">
        <x:f t="shared" si="85"/>
        <x:v/>
      </x:c>
      <x:c r="FI25" s="1052">
        <x:f t="shared" si="104"/>
        <x:v>0</x:v>
      </x:c>
      <x:c r="FJ25" s="1052">
        <x:f t="shared" si="86"/>
        <x:v>0</x:v>
      </x:c>
      <x:c r="FK25" s="1052">
        <x:f t="shared" si="87"/>
        <x:v>0</x:v>
      </x:c>
      <x:c r="FL25" s="1052" t="str">
        <x:f t="shared" si="88"/>
        <x:v/>
      </x:c>
      <x:c r="FM25" s="1053" t="str">
        <x:f t="shared" si="89"/>
        <x:v/>
      </x:c>
      <x:c r="FN25" s="1053" t="e">
        <x:f t="shared" si="90"/>
        <x:v>#VALUE!</x:v>
      </x:c>
      <x:c r="FO25" s="1062" t="e">
        <x:f t="shared" si="91"/>
        <x:v>#VALUE!</x:v>
      </x:c>
      <x:c r="FP25" s="1062" t="e">
        <x:f t="shared" si="92"/>
        <x:v>#VALUE!</x:v>
      </x:c>
      <x:c r="FQ25" s="1063" t="e">
        <x:f t="shared" si="93"/>
        <x:v>#VALUE!</x:v>
      </x:c>
      <x:c r="FR25" s="1064" t="e">
        <x:f t="shared" si="94"/>
        <x:v>#VALUE!</x:v>
      </x:c>
      <x:c r="FS25" s="1065" t="str">
        <x:f t="shared" si="95"/>
        <x:v/>
      </x:c>
      <x:c r="FT25" s="1066" t="str">
        <x:f t="shared" si="96"/>
        <x:v/>
      </x:c>
      <x:c r="FU25" s="1105">
        <x:f t="shared" si="97"/>
        <x:v>0</x:v>
      </x:c>
      <x:c r="FV25" s="1106">
        <x:f t="shared" si="98"/>
        <x:v>0</x:v>
      </x:c>
      <x:c r="GA25" s="1975">
        <x:v>50</x:v>
      </x:c>
      <x:c r="GB25" s="1976">
        <x:v>0</x:v>
      </x:c>
      <x:c r="GC25" s="1977">
        <x:v>-0.25</x:v>
      </x:c>
      <x:c r="GD25" s="1978">
        <x:v>-0.25</x:v>
      </x:c>
      <x:c r="GE25" s="1979">
        <x:v>-0.24024312854038399</x:v>
      </x:c>
      <x:c r="GF25" s="1980" t="str">
        <x:f t="shared" si="99"/>
        <x:v>J201</x:v>
      </x:c>
      <x:c r="GG25" s="1453"/>
      <x:c r="GH25" s="1454"/>
      <x:c r="GI25" s="1453"/>
      <x:c r="GJ25" s="1454"/>
      <x:c r="GK25" s="533">
        <x:f t="shared" si="100"/>
        <x:v>599.5</x:v>
      </x:c>
      <x:c r="GL25" s="534">
        <x:f t="shared" si="101"/>
        <x:v>599.62013101273249</x:v>
      </x:c>
      <x:c r="GM25" s="535">
        <x:f>IF(ABS(GK25-GL25)&gt;='Job Info.'!$L$22,ABS(GK25-GL25),0)</x:f>
        <x:v>0</x:v>
      </x:c>
      <x:c r="HA25" s="1658" t="s">
        <x:v>1525</x:v>
      </x:c>
      <x:c r="HB25" s="1659">
        <x:v>1</x:v>
      </x:c>
      <x:c r="HC25" s="1659" t="s">
        <x:v>1979</x:v>
      </x:c>
      <x:c r="HD25" s="1660">
        <x:v>49</x:v>
      </x:c>
      <x:c r="HE25" s="1661">
        <x:v>11.5</x:v>
      </x:c>
      <x:c r="HF25" s="1659">
        <x:v>0</x:v>
      </x:c>
      <x:c r="HG25" s="1659">
        <x:v>1.375</x:v>
      </x:c>
      <x:c r="HH25" s="1659" t="s">
        <x:v>114</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2208</x:v>
      </x:c>
      <x:c r="IB25" s="1661"/>
      <x:c r="IC25" s="1661"/>
      <x:c r="ID25" s="1661"/>
      <x:c r="IE25" s="1661"/>
      <x:c r="IF25" s="1663"/>
    </x:row>
    <x:row r="26" spans="1:240" ht="12.6" customHeight="1" x14ac:dyDescent="0.25">
      <x:c r="A26" s="1264" t="s">
        <x:v>1526</x:v>
      </x:c>
      <x:c r="B26" s="1265">
        <x:v>2</x:v>
      </x:c>
      <x:c r="C26" s="1265" t="s">
        <x:v>1979</x:v>
      </x:c>
      <x:c r="D26" s="1261">
        <x:v>49</x:v>
      </x:c>
      <x:c r="E26" s="1366">
        <x:v>10</x:v>
      </x:c>
      <x:c r="F26" s="1328">
        <x:v>0</x:v>
      </x:c>
      <x:c r="G26" s="1262">
        <x:v>0.625</x:v>
      </x:c>
      <x:c r="H26" s="1266" t="s">
        <x:v>114</x:v>
      </x:c>
      <x:c r="I26" s="1261">
        <x:v>0</x:v>
      </x:c>
      <x:c r="J26" s="1262">
        <x:v>0.625</x:v>
      </x:c>
      <x:c r="K26" s="1370" t="s">
        <x:v>114</x:v>
      </x:c>
      <x:c r="L26" s="1327">
        <x:v>3</x:v>
      </x:c>
      <x:c r="M26" s="1329">
        <x:v>3</x:v>
      </x:c>
      <x:c r="N26" s="1263">
        <x:v>0</x:v>
      </x:c>
      <x:c r="O26" s="1262">
        <x:v>6.625</x:v>
      </x:c>
      <x:c r="P26" s="1260">
        <x:v>2</x:v>
      </x:c>
      <x:c r="Q26" s="1261">
        <x:v>0</x:v>
      </x:c>
      <x:c r="R26" s="1262">
        <x:v>5.375</x:v>
      </x:c>
      <x:c r="S26" s="1375">
        <x:v>2</x:v>
      </x:c>
      <x:c r="T26" s="1328">
        <x:v>0</x:v>
      </x:c>
      <x:c r="U26" s="1262">
        <x:v>1.5</x:v>
      </x:c>
      <x:c r="V26" s="1261">
        <x:v>0</x:v>
      </x:c>
      <x:c r="W26" s="1262">
        <x:v>1.5</x:v>
      </x:c>
      <x:c r="X26" s="1329">
        <x:v>4</x:v>
      </x:c>
      <x:c r="Y26" s="1377" t="str">
        <x:f t="shared" si="105"/>
        <x:v/>
      </x:c>
      <x:c r="Z26" s="1378" t="str">
        <x:f t="shared" si="106"/>
        <x:v/>
      </x:c>
      <x:c r="AA26" s="2159" t="s">
        <x:v>2102</x:v>
      </x:c>
      <x:c r="AC26" s="1226" t="b">
        <x:v>0</x:v>
      </x:c>
      <x:c r="AD26" s="525">
        <x:f t="shared" si="12"/>
        <x:v>2</x:v>
      </x:c>
      <x:c r="AE26" s="526">
        <x:f t="shared" si="13"/>
        <x:v>0</x:v>
      </x:c>
      <x:c r="AF26" s="526">
        <x:f t="shared" si="14"/>
        <x:v>0</x:v>
      </x:c>
      <x:c r="AG26" s="526">
        <x:f t="shared" si="15"/>
        <x:v>0</x:v>
      </x:c>
      <x:c r="AH26" s="527">
        <x:f t="shared" si="16"/>
        <x:v>0</x:v>
      </x:c>
      <x:c r="AI26" s="528" t="b">
        <x:v>0</x:v>
      </x:c>
      <x:c r="AJ26" s="284">
        <x:f t="shared" si="17"/>
        <x:v>30</x:v>
      </x:c>
      <x:c r="AK26" s="1063" t="str">
        <x:f t="shared" si="18"/>
        <x:v>K</x:v>
      </x:c>
      <x:c r="AL26" s="1202" t="str">
        <x:f t="shared" si="19"/>
        <x:v/>
      </x:c>
      <x:c r="AM26" s="1063">
        <x:f t="shared" si="20"/>
        <x:v>240</x:v>
      </x:c>
      <x:c r="AN26" s="1063">
        <x:f t="shared" si="21"/>
        <x:v>140</x:v>
      </x:c>
      <x:c r="AO26" s="1063" t="str">
        <x:f t="shared" si="22"/>
        <x:v/>
      </x:c>
      <x:c r="AP26" s="1063" t="b">
        <x:f>IF(ISERROR(AJ26),FALSE,IF(OR(AJ26=0,ISERROR(AL26),ISERROR(AM26),ISERROR(AN26),ISERROR(AO26)),FALSE,IF(AL26&lt;&gt;"",IF(ISERROR(VLOOKUP(SUBSTITUTE(SUBSTITUTE(C26,"R",""),"A",""),TblJoistSize!$A:$A,1,FALSE)),FALSE,TRUE),TRUE)))</x:f>
        <x:v>1</x:v>
      </x:c>
      <x:c r="AQ26" s="1305">
        <x:f t="shared" si="23"/>
        <x:v>4.625</x:v>
      </x:c>
      <x:c r="AR26" s="1305" t="b">
        <x:f t="shared" si="24"/>
        <x:v>1</x:v>
      </x:c>
      <x:c r="AS26" s="1305">
        <x:f t="shared" si="25"/>
        <x:v>4.625</x:v>
      </x:c>
      <x:c r="AT26" s="1305" t="b">
        <x:f t="shared" si="26"/>
        <x:v>1</x:v>
      </x:c>
      <x:c r="AU26" s="1203" t="str">
        <x:f t="shared" si="27"/>
        <x:v>K</x:v>
      </x:c>
      <x:c r="AV26" s="1063" t="str">
        <x:f t="shared" si="28"/>
        <x:v>K</x:v>
      </x:c>
      <x:c r="AW26" s="1063" t="str">
        <x:f t="shared" si="29"/>
        <x:v/>
      </x:c>
      <x:c r="AX26" s="1063" t="str">
        <x:f t="shared" si="102"/>
        <x:v>TJ202</x:v>
      </x:c>
      <x:c r="AY26" s="1306" t="b">
        <x:f t="shared" si="30"/>
        <x:v>0</x:v>
      </x:c>
      <x:c r="AZ26" s="1090" t="b">
        <x:f t="shared" si="31"/>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2"/>
        <x:v/>
      </x:c>
      <x:c r="CE26" s="935" t="str">
        <x:f t="shared" si="33"/>
        <x:v/>
      </x:c>
      <x:c r="CF26" s="1149"/>
      <x:c r="CG26" s="1150"/>
      <x:c r="CH26" s="738" t="str">
        <x:f t="shared" si="34"/>
        <x:v/>
      </x:c>
      <x:c r="CI26" s="739" t="str">
        <x:f t="shared" si="35"/>
        <x:v/>
      </x:c>
      <x:c r="CJ26" s="740" t="str">
        <x:f t="shared" si="36"/>
        <x:v/>
      </x:c>
      <x:c r="CK26" s="741" t="str">
        <x:f t="shared" si="37"/>
        <x:v/>
      </x:c>
      <x:c r="CL26" s="742" t="str">
        <x:f t="shared" si="38"/>
        <x:v/>
      </x:c>
      <x:c r="CM26" s="743" t="str">
        <x:f t="shared" si="39"/>
        <x:v/>
      </x:c>
      <x:c r="CN26" s="744" t="str">
        <x:f t="shared" si="40"/>
        <x:v/>
      </x:c>
      <x:c r="CO26" s="745" t="str">
        <x:f t="shared" si="41"/>
        <x:v/>
      </x:c>
      <x:c r="CP26" s="762" t="str">
        <x:f t="shared" si="42"/>
        <x:v/>
      </x:c>
      <x:c r="CQ26" s="763" t="str">
        <x:f t="shared" si="43"/>
        <x:v/>
      </x:c>
      <x:c r="CR26" s="953">
        <x:f t="shared" si="44"/>
        <x:v>2.5</x:v>
      </x:c>
      <x:c r="CS26" s="954">
        <x:f t="shared" si="45"/>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6"/>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7"/>
        <x:v>0</x:v>
      </x:c>
      <x:c r="DO26" s="1049">
        <x:f t="shared" si="48"/>
        <x:v>0</x:v>
      </x:c>
      <x:c r="DP26" s="1053" t="str">
        <x:f t="shared" si="49"/>
        <x:v/>
      </x:c>
      <x:c r="DQ26" s="1053" t="str">
        <x:f t="shared" si="50"/>
        <x:v/>
      </x:c>
      <x:c r="DR26" s="1053" t="str">
        <x:f t="shared" si="51"/>
        <x:v/>
      </x:c>
      <x:c r="DS26" s="1052">
        <x:f t="shared" si="52"/>
        <x:v>0</x:v>
      </x:c>
      <x:c r="DT26" s="1052">
        <x:f t="shared" si="53"/>
        <x:v>0</x:v>
      </x:c>
      <x:c r="DU26" s="1052" t="str">
        <x:f t="shared" si="54"/>
        <x:v/>
      </x:c>
      <x:c r="DV26" s="1053" t="str">
        <x:f t="shared" si="55"/>
        <x:v/>
      </x:c>
      <x:c r="DW26" s="1053" t="str">
        <x:f t="shared" si="56"/>
        <x:v/>
      </x:c>
      <x:c r="DX26" s="1269">
        <x:f t="shared" si="57"/>
        <x:v>0</x:v>
      </x:c>
      <x:c r="DY26" s="1053">
        <x:f t="shared" si="58"/>
        <x:v>0</x:v>
      </x:c>
      <x:c r="DZ26" s="1052">
        <x:f t="shared" si="59"/>
        <x:v>0</x:v>
      </x:c>
      <x:c r="EA26" s="1052" t="str">
        <x:f t="shared" si="60"/>
        <x:v/>
      </x:c>
      <x:c r="EB26" s="1053" t="str">
        <x:f t="shared" si="61"/>
        <x:v/>
      </x:c>
      <x:c r="EC26" s="1053" t="str">
        <x:f t="shared" si="62"/>
        <x:v/>
      </x:c>
      <x:c r="ED26" s="1269">
        <x:f t="shared" si="63"/>
        <x:v>0</x:v>
      </x:c>
      <x:c r="EE26" s="1090" t="str">
        <x:f t="shared" si="64"/>
        <x:v/>
      </x:c>
      <x:c r="EF26" s="1053" t="str">
        <x:f t="shared" si="65"/>
        <x:v/>
      </x:c>
      <x:c r="EG26" s="1053" t="str">
        <x:f t="shared" si="66"/>
        <x:v/>
      </x:c>
      <x:c r="EH26" s="1053" t="str">
        <x:f t="shared" si="67"/>
        <x:v>ERR</x:v>
      </x:c>
      <x:c r="EI26" s="1053" t="str">
        <x:f t="shared" si="68"/>
        <x:v>ERR</x:v>
      </x:c>
      <x:c r="EJ26" s="1053" t="str">
        <x:f t="shared" si="69"/>
        <x:v/>
      </x:c>
      <x:c r="EK26" s="1053" t="str">
        <x:f t="shared" si="69"/>
        <x:v/>
      </x:c>
      <x:c r="EL26" s="1090" t="str">
        <x:f t="shared" si="70"/>
        <x:v/>
      </x:c>
      <x:c r="EM26" s="1053" t="str">
        <x:f t="shared" si="71"/>
        <x:v/>
      </x:c>
      <x:c r="EN26" s="1053" t="str">
        <x:f t="shared" si="72"/>
        <x:v/>
      </x:c>
      <x:c r="EO26" s="1053" t="str">
        <x:f t="shared" si="73"/>
        <x:v>ERR</x:v>
      </x:c>
      <x:c r="EP26" s="1053" t="str">
        <x:f t="shared" si="74"/>
        <x:v>ERR</x:v>
      </x:c>
      <x:c r="EQ26" s="1053" t="str">
        <x:f t="shared" si="75"/>
        <x:v/>
      </x:c>
      <x:c r="ER26" s="1053" t="str">
        <x:f t="shared" si="75"/>
        <x:v/>
      </x:c>
      <x:c r="ES26" s="1053" t="str">
        <x:f t="shared" si="76"/>
        <x:v/>
      </x:c>
      <x:c r="ET26" s="1053" t="str">
        <x:f t="shared" si="77"/>
        <x:v/>
      </x:c>
      <x:c r="EU26" s="1061">
        <x:f t="shared" si="78"/>
        <x:v>3.5</x:v>
      </x:c>
      <x:c r="EV26" s="1055" t="str">
        <x:f t="shared" si="79"/>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0"/>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1"/>
        <x:v/>
      </x:c>
      <x:c r="FD26" s="1052">
        <x:f t="shared" si="103"/>
        <x:v>0</x:v>
      </x:c>
      <x:c r="FE26" s="1052">
        <x:f t="shared" si="82"/>
        <x:v>0</x:v>
      </x:c>
      <x:c r="FF26" s="1052">
        <x:f t="shared" si="83"/>
        <x:v>0</x:v>
      </x:c>
      <x:c r="FG26" s="1052" t="str">
        <x:f t="shared" si="84"/>
        <x:v/>
      </x:c>
      <x:c r="FH26" s="1053" t="str">
        <x:f t="shared" si="85"/>
        <x:v/>
      </x:c>
      <x:c r="FI26" s="1052">
        <x:f t="shared" si="104"/>
        <x:v>0</x:v>
      </x:c>
      <x:c r="FJ26" s="1052">
        <x:f t="shared" si="86"/>
        <x:v>0</x:v>
      </x:c>
      <x:c r="FK26" s="1052">
        <x:f t="shared" si="87"/>
        <x:v>0</x:v>
      </x:c>
      <x:c r="FL26" s="1052" t="str">
        <x:f t="shared" si="88"/>
        <x:v/>
      </x:c>
      <x:c r="FM26" s="1053" t="str">
        <x:f t="shared" si="89"/>
        <x:v/>
      </x:c>
      <x:c r="FN26" s="1053" t="e">
        <x:f t="shared" si="90"/>
        <x:v>#VALUE!</x:v>
      </x:c>
      <x:c r="FO26" s="1062" t="e">
        <x:f t="shared" si="91"/>
        <x:v>#VALUE!</x:v>
      </x:c>
      <x:c r="FP26" s="1062" t="e">
        <x:f t="shared" si="92"/>
        <x:v>#VALUE!</x:v>
      </x:c>
      <x:c r="FQ26" s="1063" t="e">
        <x:f t="shared" si="93"/>
        <x:v>#VALUE!</x:v>
      </x:c>
      <x:c r="FR26" s="1064" t="e">
        <x:f t="shared" si="94"/>
        <x:v>#VALUE!</x:v>
      </x:c>
      <x:c r="FS26" s="1065" t="str">
        <x:f t="shared" si="95"/>
        <x:v/>
      </x:c>
      <x:c r="FT26" s="1066" t="str">
        <x:f t="shared" si="96"/>
        <x:v/>
      </x:c>
      <x:c r="FU26" s="1105">
        <x:f t="shared" si="97"/>
        <x:v>0</x:v>
      </x:c>
      <x:c r="FV26" s="1106">
        <x:f t="shared" si="98"/>
        <x:v>0</x:v>
      </x:c>
      <x:c r="GA26" s="1975">
        <x:v>50</x:v>
      </x:c>
      <x:c r="GB26" s="1976">
        <x:v>0</x:v>
      </x:c>
      <x:c r="GC26" s="1977">
        <x:v>-1</x:v>
      </x:c>
      <x:c r="GD26" s="1978">
        <x:v>-1</x:v>
      </x:c>
      <x:c r="GE26" s="1979">
        <x:v>-0.26</x:v>
      </x:c>
      <x:c r="GF26" s="1980" t="str">
        <x:f t="shared" si="99"/>
        <x:v>TJ202</x:v>
      </x:c>
      <x:c r="GG26" s="1453"/>
      <x:c r="GH26" s="1454"/>
      <x:c r="GI26" s="1453"/>
      <x:c r="GJ26" s="1454"/>
      <x:c r="GK26" s="533">
        <x:f t="shared" si="100"/>
        <x:v>598</x:v>
      </x:c>
      <x:c r="GL26" s="534">
        <x:f t="shared" si="101"/>
        <x:v>598.1403474194924</x:v>
      </x:c>
      <x:c r="GM26" s="535">
        <x:f>IF(ABS(GK26-GL26)&gt;='Job Info.'!$L$22,ABS(GK26-GL26),0)</x:f>
        <x:v>0</x:v>
      </x:c>
      <x:c r="HA26" s="1658" t="s">
        <x:v>1526</x:v>
      </x:c>
      <x:c r="HB26" s="1659">
        <x:v>2</x:v>
      </x:c>
      <x:c r="HC26" s="1659" t="s">
        <x:v>1979</x:v>
      </x:c>
      <x:c r="HD26" s="1660">
        <x:v>49</x:v>
      </x:c>
      <x:c r="HE26" s="1661">
        <x:v>10</x:v>
      </x:c>
      <x:c r="HF26" s="1659">
        <x:v>0</x:v>
      </x:c>
      <x:c r="HG26" s="1659">
        <x:v>0.625</x:v>
      </x:c>
      <x:c r="HH26" s="1659" t="s">
        <x:v>114</x:v>
      </x:c>
      <x:c r="HI26" s="1662">
        <x:v>0</x:v>
      </x:c>
      <x:c r="HJ26" s="1659">
        <x:v>0.625</x:v>
      </x:c>
      <x:c r="HK26" s="1659" t="s">
        <x:v>114</x:v>
      </x:c>
      <x:c r="HL26" s="1659">
        <x:v>3</x:v>
      </x:c>
      <x:c r="HM26" s="1659">
        <x:v>3</x:v>
      </x:c>
      <x:c r="HN26" s="1659">
        <x:v>0</x:v>
      </x:c>
      <x:c r="HO26" s="1659">
        <x:v>6.625</x:v>
      </x:c>
      <x:c r="HP26" s="1659">
        <x:v>2</x:v>
      </x:c>
      <x:c r="HQ26" s="1662">
        <x:v>0</x:v>
      </x:c>
      <x:c r="HR26" s="1659">
        <x:v>5.375</x:v>
      </x:c>
      <x:c r="HS26" s="1659">
        <x:v>2</x:v>
      </x:c>
      <x:c r="HT26" s="1659">
        <x:v>0</x:v>
      </x:c>
      <x:c r="HU26" s="1659">
        <x:v>1.5</x:v>
      </x:c>
      <x:c r="HV26" s="1659">
        <x:v>0</x:v>
      </x:c>
      <x:c r="HW26" s="1661">
        <x:v>1.5</x:v>
      </x:c>
      <x:c r="HX26" s="1661">
        <x:v>4</x:v>
      </x:c>
      <x:c r="HY26" s="1661" t="s">
        <x:v>117</x:v>
      </x:c>
      <x:c r="HZ26" s="1661" t="s">
        <x:v>117</x:v>
      </x:c>
      <x:c r="IA26" s="1661" t="s">
        <x:v>2102</x:v>
      </x:c>
      <x:c r="IB26" s="1661"/>
      <x:c r="IC26" s="1661"/>
      <x:c r="ID26" s="1661"/>
      <x:c r="IE26" s="1661"/>
      <x:c r="IF26" s="1663"/>
    </x:row>
    <x:row r="27" spans="1:240" ht="12.6" customHeight="1" x14ac:dyDescent="0.25">
      <x:c r="A27" s="1264" t="s">
        <x:v>1527</x:v>
      </x:c>
      <x:c r="B27" s="1265">
        <x:v>1</x:v>
      </x:c>
      <x:c r="C27" s="1265" t="s">
        <x:v>1980</x:v>
      </x:c>
      <x:c r="D27" s="1261">
        <x:v>11</x:v>
      </x:c>
      <x:c r="E27" s="1366">
        <x:v>11.375</x:v>
      </x:c>
      <x:c r="F27" s="1328">
        <x:v>0</x:v>
      </x:c>
      <x:c r="G27" s="1262">
        <x:v>1.375</x:v>
      </x:c>
      <x:c r="H27" s="1266" t="s">
        <x:v>114</x:v>
      </x:c>
      <x:c r="I27" s="1261">
        <x:v>0</x:v>
      </x:c>
      <x:c r="J27" s="2122">
        <x:v>2</x:v>
      </x:c>
      <x:c r="K27" s="1370" t="s">
        <x:v>114</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7"/>
        <x:v/>
      </x:c>
      <x:c r="U27" s="1262" t="str">
        <x:f t="shared" si="8"/>
        <x:v/>
      </x:c>
      <x:c r="V27" s="1261" t="str">
        <x:f t="shared" si="9"/>
        <x:v/>
      </x:c>
      <x:c r="W27" s="1262" t="str">
        <x:f t="shared" si="10"/>
        <x:v/>
      </x:c>
      <x:c r="X27" s="1329">
        <x:f t="shared" si="11"/>
        <x:v>0</x:v>
      </x:c>
      <x:c r="Y27" s="1377" t="str">
        <x:f t="shared" si="105"/>
        <x:v/>
      </x:c>
      <x:c r="Z27" s="1378" t="str">
        <x:f t="shared" si="106"/>
        <x:v/>
      </x:c>
      <x:c r="AA27" s="2159" t="s">
        <x:v>2213</x:v>
      </x:c>
      <x:c r="AC27" s="1226" t="b">
        <x:v>0</x:v>
      </x:c>
      <x:c r="AD27" s="525">
        <x:f t="shared" si="12"/>
        <x:v>1</x:v>
      </x:c>
      <x:c r="AE27" s="526">
        <x:f t="shared" si="13"/>
        <x:v>0</x:v>
      </x:c>
      <x:c r="AF27" s="526">
        <x:f t="shared" si="14"/>
        <x:v>0</x:v>
      </x:c>
      <x:c r="AG27" s="526">
        <x:f t="shared" si="15"/>
        <x:v>0</x:v>
      </x:c>
      <x:c r="AH27" s="527">
        <x:f t="shared" si="16"/>
        <x:v>0</x:v>
      </x:c>
      <x:c r="AI27" s="528" t="b">
        <x:v>0</x:v>
      </x:c>
      <x:c r="AJ27" s="284">
        <x:f t="shared" si="17"/>
        <x:v>30</x:v>
      </x:c>
      <x:c r="AK27" s="1063" t="str">
        <x:f t="shared" si="18"/>
        <x:v>K</x:v>
      </x:c>
      <x:c r="AL27" s="1202" t="str">
        <x:f t="shared" si="19"/>
        <x:v/>
      </x:c>
      <x:c r="AM27" s="1063">
        <x:f t="shared" si="20"/>
        <x:v>310</x:v>
      </x:c>
      <x:c r="AN27" s="1063">
        <x:f t="shared" si="21"/>
        <x:v>160</x:v>
      </x:c>
      <x:c r="AO27" s="1063" t="str">
        <x:f t="shared" si="22"/>
        <x:v/>
      </x:c>
      <x:c r="AP27" s="1063" t="b">
        <x:f>IF(ISERROR(AJ27),FALSE,IF(OR(AJ27=0,ISERROR(AL27),ISERROR(AM27),ISERROR(AN27),ISERROR(AO27)),FALSE,IF(AL27&lt;&gt;"",IF(ISERROR(VLOOKUP(SUBSTITUTE(SUBSTITUTE(C27,"R",""),"A",""),TblJoistSize!$A:$A,1,FALSE)),FALSE,TRUE),TRUE)))</x:f>
        <x:v>1</x:v>
      </x:c>
      <x:c r="AQ27" s="1305">
        <x:f t="shared" si="23"/>
        <x:v>5.375</x:v>
      </x:c>
      <x:c r="AR27" s="1305" t="b">
        <x:f t="shared" si="24"/>
        <x:v>0</x:v>
      </x:c>
      <x:c r="AS27" s="1305">
        <x:f t="shared" si="25"/>
        <x:v>6</x:v>
      </x:c>
      <x:c r="AT27" s="1305" t="b">
        <x:f t="shared" si="26"/>
        <x:v>0</x:v>
      </x:c>
      <x:c r="AU27" s="1203" t="str">
        <x:f t="shared" si="27"/>
        <x:v>K</x:v>
      </x:c>
      <x:c r="AV27" s="1063" t="str">
        <x:f t="shared" si="28"/>
        <x:v>K</x:v>
      </x:c>
      <x:c r="AW27" s="1063" t="str">
        <x:f t="shared" si="29"/>
        <x:v/>
      </x:c>
      <x:c r="AX27" s="1063" t="str">
        <x:f t="shared" si="102"/>
        <x:v>J203</x:v>
      </x:c>
      <x:c r="AY27" s="1306" t="b">
        <x:f t="shared" si="30"/>
        <x:v>0</x:v>
      </x:c>
      <x:c r="AZ27" s="1090" t="b">
        <x:f t="shared" si="31"/>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2"/>
        <x:v/>
      </x:c>
      <x:c r="CE27" s="935" t="str">
        <x:f t="shared" si="33"/>
        <x:v/>
      </x:c>
      <x:c r="CF27" s="1149"/>
      <x:c r="CG27" s="1150"/>
      <x:c r="CH27" s="738" t="str">
        <x:f t="shared" si="34"/>
        <x:v/>
      </x:c>
      <x:c r="CI27" s="739" t="str">
        <x:f t="shared" si="35"/>
        <x:v/>
      </x:c>
      <x:c r="CJ27" s="740" t="str">
        <x:f t="shared" si="36"/>
        <x:v/>
      </x:c>
      <x:c r="CK27" s="741" t="str">
        <x:f t="shared" si="37"/>
        <x:v/>
      </x:c>
      <x:c r="CL27" s="742" t="str">
        <x:f t="shared" si="38"/>
        <x:v/>
      </x:c>
      <x:c r="CM27" s="743" t="str">
        <x:f t="shared" si="39"/>
        <x:v/>
      </x:c>
      <x:c r="CN27" s="744" t="str">
        <x:f t="shared" si="40"/>
        <x:v/>
      </x:c>
      <x:c r="CO27" s="745" t="str">
        <x:f t="shared" si="41"/>
        <x:v/>
      </x:c>
      <x:c r="CP27" s="762" t="str">
        <x:f t="shared" si="42"/>
        <x:v/>
      </x:c>
      <x:c r="CQ27" s="763" t="str">
        <x:f t="shared" si="43"/>
        <x:v/>
      </x:c>
      <x:c r="CR27" s="953">
        <x:f t="shared" si="44"/>
        <x:v>2.5</x:v>
      </x:c>
      <x:c r="CS27" s="954">
        <x:f t="shared" si="45"/>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6"/>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7"/>
        <x:v>0</x:v>
      </x:c>
      <x:c r="DO27" s="1049">
        <x:f t="shared" si="48"/>
        <x:v>0</x:v>
      </x:c>
      <x:c r="DP27" s="1053" t="str">
        <x:f t="shared" si="49"/>
        <x:v/>
      </x:c>
      <x:c r="DQ27" s="1053" t="str">
        <x:f t="shared" si="50"/>
        <x:v/>
      </x:c>
      <x:c r="DR27" s="1053" t="str">
        <x:f t="shared" si="51"/>
        <x:v/>
      </x:c>
      <x:c r="DS27" s="1052">
        <x:f t="shared" si="52"/>
        <x:v>0</x:v>
      </x:c>
      <x:c r="DT27" s="1052">
        <x:f t="shared" si="53"/>
        <x:v>0</x:v>
      </x:c>
      <x:c r="DU27" s="1052" t="str">
        <x:f t="shared" si="54"/>
        <x:v/>
      </x:c>
      <x:c r="DV27" s="1053" t="str">
        <x:f t="shared" si="55"/>
        <x:v/>
      </x:c>
      <x:c r="DW27" s="1053" t="str">
        <x:f t="shared" si="56"/>
        <x:v/>
      </x:c>
      <x:c r="DX27" s="1269">
        <x:f t="shared" si="57"/>
        <x:v>0</x:v>
      </x:c>
      <x:c r="DY27" s="1053">
        <x:f t="shared" si="58"/>
        <x:v>0</x:v>
      </x:c>
      <x:c r="DZ27" s="1052">
        <x:f t="shared" si="59"/>
        <x:v>0</x:v>
      </x:c>
      <x:c r="EA27" s="1052" t="str">
        <x:f t="shared" si="60"/>
        <x:v/>
      </x:c>
      <x:c r="EB27" s="1053" t="str">
        <x:f t="shared" si="61"/>
        <x:v/>
      </x:c>
      <x:c r="EC27" s="1053" t="str">
        <x:f t="shared" si="62"/>
        <x:v/>
      </x:c>
      <x:c r="ED27" s="1269">
        <x:f t="shared" si="63"/>
        <x:v>0</x:v>
      </x:c>
      <x:c r="EE27" s="1090" t="str">
        <x:f t="shared" si="64"/>
        <x:v/>
      </x:c>
      <x:c r="EF27" s="1053" t="str">
        <x:f t="shared" si="65"/>
        <x:v/>
      </x:c>
      <x:c r="EG27" s="1053" t="str">
        <x:f t="shared" si="66"/>
        <x:v/>
      </x:c>
      <x:c r="EH27" s="1053" t="str">
        <x:f t="shared" si="67"/>
        <x:v>ERR</x:v>
      </x:c>
      <x:c r="EI27" s="1053" t="str">
        <x:f t="shared" si="68"/>
        <x:v>ERR</x:v>
      </x:c>
      <x:c r="EJ27" s="1053" t="str">
        <x:f t="shared" si="69"/>
        <x:v/>
      </x:c>
      <x:c r="EK27" s="1053" t="str">
        <x:f t="shared" si="69"/>
        <x:v/>
      </x:c>
      <x:c r="EL27" s="1090" t="str">
        <x:f t="shared" si="70"/>
        <x:v/>
      </x:c>
      <x:c r="EM27" s="1053" t="str">
        <x:f t="shared" si="71"/>
        <x:v/>
      </x:c>
      <x:c r="EN27" s="1053" t="str">
        <x:f t="shared" si="72"/>
        <x:v/>
      </x:c>
      <x:c r="EO27" s="1053" t="str">
        <x:f t="shared" si="73"/>
        <x:v>ERR</x:v>
      </x:c>
      <x:c r="EP27" s="1053" t="str">
        <x:f t="shared" si="74"/>
        <x:v>ERR</x:v>
      </x:c>
      <x:c r="EQ27" s="1053" t="str">
        <x:f t="shared" si="75"/>
        <x:v/>
      </x:c>
      <x:c r="ER27" s="1053" t="str">
        <x:f t="shared" si="75"/>
        <x:v/>
      </x:c>
      <x:c r="ES27" s="1053" t="str">
        <x:f t="shared" si="76"/>
        <x:v/>
      </x:c>
      <x:c r="ET27" s="1053" t="str">
        <x:f t="shared" si="77"/>
        <x:v/>
      </x:c>
      <x:c r="EU27" s="1061">
        <x:f t="shared" si="78"/>
        <x:v>3.5</x:v>
      </x:c>
      <x:c r="EV27" s="1055" t="str">
        <x:f t="shared" si="79"/>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0"/>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1"/>
        <x:v/>
      </x:c>
      <x:c r="FD27" s="1052">
        <x:f t="shared" si="103"/>
        <x:v>0</x:v>
      </x:c>
      <x:c r="FE27" s="1052">
        <x:f t="shared" si="82"/>
        <x:v>0</x:v>
      </x:c>
      <x:c r="FF27" s="1052">
        <x:f t="shared" si="83"/>
        <x:v>0</x:v>
      </x:c>
      <x:c r="FG27" s="1052" t="str">
        <x:f t="shared" si="84"/>
        <x:v/>
      </x:c>
      <x:c r="FH27" s="1053" t="str">
        <x:f t="shared" si="85"/>
        <x:v/>
      </x:c>
      <x:c r="FI27" s="1052">
        <x:f t="shared" si="104"/>
        <x:v>0</x:v>
      </x:c>
      <x:c r="FJ27" s="1052">
        <x:f t="shared" si="86"/>
        <x:v>0</x:v>
      </x:c>
      <x:c r="FK27" s="1052">
        <x:f t="shared" si="87"/>
        <x:v>0</x:v>
      </x:c>
      <x:c r="FL27" s="1052" t="str">
        <x:f t="shared" si="88"/>
        <x:v/>
      </x:c>
      <x:c r="FM27" s="1053" t="str">
        <x:f t="shared" si="89"/>
        <x:v/>
      </x:c>
      <x:c r="FN27" s="1053" t="e">
        <x:f t="shared" si="90"/>
        <x:v>#VALUE!</x:v>
      </x:c>
      <x:c r="FO27" s="1062" t="e">
        <x:f t="shared" si="91"/>
        <x:v>#VALUE!</x:v>
      </x:c>
      <x:c r="FP27" s="1062" t="e">
        <x:f t="shared" si="92"/>
        <x:v>#VALUE!</x:v>
      </x:c>
      <x:c r="FQ27" s="1063" t="e">
        <x:f t="shared" si="93"/>
        <x:v>#VALUE!</x:v>
      </x:c>
      <x:c r="FR27" s="1064" t="e">
        <x:f t="shared" si="94"/>
        <x:v>#VALUE!</x:v>
      </x:c>
      <x:c r="FS27" s="1065" t="str">
        <x:f t="shared" si="95"/>
        <x:v/>
      </x:c>
      <x:c r="FT27" s="1066" t="str">
        <x:f t="shared" si="96"/>
        <x:v/>
      </x:c>
      <x:c r="FU27" s="1105">
        <x:f t="shared" si="97"/>
        <x:v>0</x:v>
      </x:c>
      <x:c r="FV27" s="1106">
        <x:f t="shared" si="98"/>
        <x:v>0</x:v>
      </x:c>
      <x:c r="GA27" s="1975">
        <x:v>12</x:v>
      </x:c>
      <x:c r="GB27" s="1976">
        <x:v>0.125</x:v>
      </x:c>
      <x:c r="GC27" s="1977">
        <x:v>-0.25</x:v>
      </x:c>
      <x:c r="GD27" s="1978">
        <x:v>-0.5</x:v>
      </x:c>
      <x:c r="GE27" s="1979">
        <x:v>-0.27583199792223601</x:v>
      </x:c>
      <x:c r="GF27" s="1980" t="str">
        <x:f t="shared" si="99"/>
        <x:v>J203</x:v>
      </x:c>
      <x:c r="GG27" s="1453"/>
      <x:c r="GH27" s="1454"/>
      <x:c r="GI27" s="1453"/>
      <x:c r="GJ27" s="1454"/>
      <x:c r="GK27" s="533">
        <x:f t="shared" si="100"/>
        <x:v>143.375</x:v>
      </x:c>
      <x:c r="GL27" s="534">
        <x:f t="shared" si="101"/>
        <x:v>143.41287153247609</x:v>
      </x:c>
      <x:c r="GM27" s="535">
        <x:f>IF(ABS(GK27-GL27)&gt;='Job Info.'!$L$22,ABS(GK27-GL27),0)</x:f>
        <x:v>0</x:v>
      </x:c>
      <x:c r="HA27" s="1658" t="s">
        <x:v>1527</x:v>
      </x:c>
      <x:c r="HB27" s="1659">
        <x:v>1</x:v>
      </x:c>
      <x:c r="HC27" s="1659" t="s">
        <x:v>1980</x:v>
      </x:c>
      <x:c r="HD27" s="1660">
        <x:v>11</x:v>
      </x:c>
      <x:c r="HE27" s="1661">
        <x:v>11.375</x:v>
      </x:c>
      <x:c r="HF27" s="1659">
        <x:v>0</x:v>
      </x:c>
      <x:c r="HG27" s="1659">
        <x:v>1.375</x:v>
      </x:c>
      <x:c r="HH27" s="1659" t="s">
        <x:v>114</x:v>
      </x:c>
      <x:c r="HI27" s="1662">
        <x:v>0</x:v>
      </x:c>
      <x:c r="HJ27" s="1659">
        <x:v>0.25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2213</x:v>
      </x:c>
      <x:c r="IB27" s="1661"/>
      <x:c r="IC27" s="1661"/>
      <x:c r="ID27" s="1661"/>
      <x:c r="IE27" s="1661"/>
      <x:c r="IF27" s="1663"/>
    </x:row>
    <x:row r="28" spans="1:240" ht="12.6" customHeight="1" x14ac:dyDescent="0.25">
      <x:c r="A28" s="1264" t="s">
        <x:v>1528</x:v>
      </x:c>
      <x:c r="B28" s="1265">
        <x:v>1</x:v>
      </x:c>
      <x:c r="C28" s="1265" t="s">
        <x:v>1980</x:v>
      </x:c>
      <x:c r="D28" s="1261">
        <x:v>23</x:v>
      </x:c>
      <x:c r="E28" s="1366">
        <x:v>1.5</x:v>
      </x:c>
      <x:c r="F28" s="1328">
        <x:v>0</x:v>
      </x:c>
      <x:c r="G28" s="1262">
        <x:v>1.375</x:v>
      </x:c>
      <x:c r="H28" s="1266" t="s">
        <x:v>114</x:v>
      </x:c>
      <x:c r="I28" s="1261">
        <x:v>0</x:v>
      </x:c>
      <x:c r="J28" s="2122">
        <x:v>2</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7"/>
        <x:v/>
      </x:c>
      <x:c r="U28" s="1262" t="str">
        <x:f t="shared" si="8"/>
        <x:v/>
      </x:c>
      <x:c r="V28" s="1261" t="str">
        <x:f t="shared" si="9"/>
        <x:v/>
      </x:c>
      <x:c r="W28" s="1262" t="str">
        <x:f t="shared" si="10"/>
        <x:v/>
      </x:c>
      <x:c r="X28" s="1329">
        <x:f t="shared" si="11"/>
        <x:v>0</x:v>
      </x:c>
      <x:c r="Y28" s="1377" t="str">
        <x:f t="shared" si="105"/>
        <x:v/>
      </x:c>
      <x:c r="Z28" s="1378" t="str">
        <x:f t="shared" si="106"/>
        <x:v/>
      </x:c>
      <x:c r="AA28" s="2159" t="s">
        <x:v>2214</x:v>
      </x:c>
      <x:c r="AC28" s="1226" t="b">
        <x:v>0</x:v>
      </x:c>
      <x:c r="AD28" s="525">
        <x:f t="shared" si="12"/>
        <x:v>1</x:v>
      </x:c>
      <x:c r="AE28" s="526">
        <x:f t="shared" si="13"/>
        <x:v>0</x:v>
      </x:c>
      <x:c r="AF28" s="526">
        <x:f t="shared" si="14"/>
        <x:v>0</x:v>
      </x:c>
      <x:c r="AG28" s="526">
        <x:f t="shared" si="15"/>
        <x:v>0</x:v>
      </x:c>
      <x:c r="AH28" s="527">
        <x:f t="shared" si="16"/>
        <x:v>0</x:v>
      </x:c>
      <x:c r="AI28" s="528" t="b">
        <x:v>0</x:v>
      </x:c>
      <x:c r="AJ28" s="284">
        <x:f t="shared" si="17"/>
        <x:v>30</x:v>
      </x:c>
      <x:c r="AK28" s="1063" t="str">
        <x:f t="shared" si="18"/>
        <x:v>K</x:v>
      </x:c>
      <x:c r="AL28" s="1202" t="str">
        <x:f t="shared" si="19"/>
        <x:v/>
      </x:c>
      <x:c r="AM28" s="1063">
        <x:f t="shared" si="20"/>
        <x:v>310</x:v>
      </x:c>
      <x:c r="AN28" s="1063">
        <x:f t="shared" si="21"/>
        <x:v>160</x:v>
      </x:c>
      <x:c r="AO28" s="1063" t="str">
        <x:f t="shared" si="22"/>
        <x:v/>
      </x:c>
      <x:c r="AP28" s="1063" t="b">
        <x:f>IF(ISERROR(AJ28),FALSE,IF(OR(AJ28=0,ISERROR(AL28),ISERROR(AM28),ISERROR(AN28),ISERROR(AO28)),FALSE,IF(AL28&lt;&gt;"",IF(ISERROR(VLOOKUP(SUBSTITUTE(SUBSTITUTE(C28,"R",""),"A",""),TblJoistSize!$A:$A,1,FALSE)),FALSE,TRUE),TRUE)))</x:f>
        <x:v>1</x:v>
      </x:c>
      <x:c r="AQ28" s="1305">
        <x:f t="shared" si="23"/>
        <x:v>5.375</x:v>
      </x:c>
      <x:c r="AR28" s="1305" t="b">
        <x:f t="shared" si="24"/>
        <x:v>0</x:v>
      </x:c>
      <x:c r="AS28" s="1305">
        <x:f t="shared" si="25"/>
        <x:v>6</x:v>
      </x:c>
      <x:c r="AT28" s="1305" t="b">
        <x:f t="shared" si="26"/>
        <x:v>0</x:v>
      </x:c>
      <x:c r="AU28" s="1203" t="str">
        <x:f t="shared" si="27"/>
        <x:v>K</x:v>
      </x:c>
      <x:c r="AV28" s="1063" t="str">
        <x:f t="shared" si="28"/>
        <x:v>K</x:v>
      </x:c>
      <x:c r="AW28" s="1063" t="str">
        <x:f t="shared" si="29"/>
        <x:v/>
      </x:c>
      <x:c r="AX28" s="1063" t="str">
        <x:f t="shared" si="102"/>
        <x:v>J204</x:v>
      </x:c>
      <x:c r="AY28" s="1306" t="b">
        <x:f t="shared" si="30"/>
        <x:v>0</x:v>
      </x:c>
      <x:c r="AZ28" s="1090" t="b">
        <x:f t="shared" si="31"/>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2"/>
        <x:v/>
      </x:c>
      <x:c r="CE28" s="935" t="str">
        <x:f t="shared" si="33"/>
        <x:v/>
      </x:c>
      <x:c r="CF28" s="1149"/>
      <x:c r="CG28" s="1150"/>
      <x:c r="CH28" s="738" t="str">
        <x:f t="shared" si="34"/>
        <x:v/>
      </x:c>
      <x:c r="CI28" s="739" t="str">
        <x:f t="shared" si="35"/>
        <x:v/>
      </x:c>
      <x:c r="CJ28" s="740" t="str">
        <x:f t="shared" si="36"/>
        <x:v/>
      </x:c>
      <x:c r="CK28" s="741" t="str">
        <x:f t="shared" si="37"/>
        <x:v/>
      </x:c>
      <x:c r="CL28" s="742" t="str">
        <x:f t="shared" si="38"/>
        <x:v/>
      </x:c>
      <x:c r="CM28" s="743" t="str">
        <x:f t="shared" si="39"/>
        <x:v/>
      </x:c>
      <x:c r="CN28" s="744" t="str">
        <x:f t="shared" si="40"/>
        <x:v/>
      </x:c>
      <x:c r="CO28" s="745" t="str">
        <x:f t="shared" si="41"/>
        <x:v/>
      </x:c>
      <x:c r="CP28" s="762" t="str">
        <x:f t="shared" si="42"/>
        <x:v/>
      </x:c>
      <x:c r="CQ28" s="763" t="str">
        <x:f t="shared" si="43"/>
        <x:v/>
      </x:c>
      <x:c r="CR28" s="953">
        <x:f t="shared" si="44"/>
        <x:v>2.5</x:v>
      </x:c>
      <x:c r="CS28" s="954">
        <x:f t="shared" si="45"/>
        <x:v>2.5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6"/>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7"/>
        <x:v>0</x:v>
      </x:c>
      <x:c r="DO28" s="1049">
        <x:f t="shared" si="48"/>
        <x:v>0</x:v>
      </x:c>
      <x:c r="DP28" s="1053" t="str">
        <x:f t="shared" si="49"/>
        <x:v/>
      </x:c>
      <x:c r="DQ28" s="1053" t="str">
        <x:f t="shared" si="50"/>
        <x:v/>
      </x:c>
      <x:c r="DR28" s="1053" t="str">
        <x:f t="shared" si="51"/>
        <x:v/>
      </x:c>
      <x:c r="DS28" s="1052">
        <x:f t="shared" si="52"/>
        <x:v>0</x:v>
      </x:c>
      <x:c r="DT28" s="1052">
        <x:f t="shared" si="53"/>
        <x:v>0</x:v>
      </x:c>
      <x:c r="DU28" s="1052" t="str">
        <x:f t="shared" si="54"/>
        <x:v/>
      </x:c>
      <x:c r="DV28" s="1053" t="str">
        <x:f t="shared" si="55"/>
        <x:v/>
      </x:c>
      <x:c r="DW28" s="1053" t="str">
        <x:f t="shared" si="56"/>
        <x:v/>
      </x:c>
      <x:c r="DX28" s="1269">
        <x:f t="shared" si="57"/>
        <x:v>0</x:v>
      </x:c>
      <x:c r="DY28" s="1053">
        <x:f t="shared" si="58"/>
        <x:v>0</x:v>
      </x:c>
      <x:c r="DZ28" s="1052">
        <x:f t="shared" si="59"/>
        <x:v>0</x:v>
      </x:c>
      <x:c r="EA28" s="1052" t="str">
        <x:f t="shared" si="60"/>
        <x:v/>
      </x:c>
      <x:c r="EB28" s="1053" t="str">
        <x:f t="shared" si="61"/>
        <x:v/>
      </x:c>
      <x:c r="EC28" s="1053" t="str">
        <x:f t="shared" si="62"/>
        <x:v/>
      </x:c>
      <x:c r="ED28" s="1269">
        <x:f t="shared" si="63"/>
        <x:v>0</x:v>
      </x:c>
      <x:c r="EE28" s="1090" t="str">
        <x:f t="shared" si="64"/>
        <x:v/>
      </x:c>
      <x:c r="EF28" s="1053" t="str">
        <x:f t="shared" si="65"/>
        <x:v/>
      </x:c>
      <x:c r="EG28" s="1053" t="str">
        <x:f t="shared" si="66"/>
        <x:v/>
      </x:c>
      <x:c r="EH28" s="1053" t="str">
        <x:f t="shared" si="67"/>
        <x:v>ERR</x:v>
      </x:c>
      <x:c r="EI28" s="1053" t="str">
        <x:f t="shared" si="68"/>
        <x:v>ERR</x:v>
      </x:c>
      <x:c r="EJ28" s="1053" t="str">
        <x:f t="shared" si="69"/>
        <x:v/>
      </x:c>
      <x:c r="EK28" s="1053" t="str">
        <x:f t="shared" si="69"/>
        <x:v/>
      </x:c>
      <x:c r="EL28" s="1090" t="str">
        <x:f t="shared" si="70"/>
        <x:v/>
      </x:c>
      <x:c r="EM28" s="1053" t="str">
        <x:f t="shared" si="71"/>
        <x:v/>
      </x:c>
      <x:c r="EN28" s="1053" t="str">
        <x:f t="shared" si="72"/>
        <x:v/>
      </x:c>
      <x:c r="EO28" s="1053" t="str">
        <x:f t="shared" si="73"/>
        <x:v>ERR</x:v>
      </x:c>
      <x:c r="EP28" s="1053" t="str">
        <x:f t="shared" si="74"/>
        <x:v>ERR</x:v>
      </x:c>
      <x:c r="EQ28" s="1053" t="str">
        <x:f t="shared" si="75"/>
        <x:v/>
      </x:c>
      <x:c r="ER28" s="1053" t="str">
        <x:f t="shared" si="75"/>
        <x:v/>
      </x:c>
      <x:c r="ES28" s="1053" t="str">
        <x:f t="shared" si="76"/>
        <x:v/>
      </x:c>
      <x:c r="ET28" s="1053" t="str">
        <x:f t="shared" si="77"/>
        <x:v/>
      </x:c>
      <x:c r="EU28" s="1061">
        <x:f t="shared" si="78"/>
        <x:v>3.5</x:v>
      </x:c>
      <x:c r="EV28" s="1055" t="str">
        <x:f t="shared" si="79"/>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0"/>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1"/>
        <x:v/>
      </x:c>
      <x:c r="FD28" s="1052">
        <x:f t="shared" si="103"/>
        <x:v>0</x:v>
      </x:c>
      <x:c r="FE28" s="1052">
        <x:f t="shared" si="82"/>
        <x:v>0</x:v>
      </x:c>
      <x:c r="FF28" s="1052">
        <x:f t="shared" si="83"/>
        <x:v>0</x:v>
      </x:c>
      <x:c r="FG28" s="1052" t="str">
        <x:f t="shared" si="84"/>
        <x:v/>
      </x:c>
      <x:c r="FH28" s="1053" t="str">
        <x:f t="shared" si="85"/>
        <x:v/>
      </x:c>
      <x:c r="FI28" s="1052">
        <x:f t="shared" si="104"/>
        <x:v>0</x:v>
      </x:c>
      <x:c r="FJ28" s="1052">
        <x:f t="shared" si="86"/>
        <x:v>0</x:v>
      </x:c>
      <x:c r="FK28" s="1052">
        <x:f t="shared" si="87"/>
        <x:v>0</x:v>
      </x:c>
      <x:c r="FL28" s="1052" t="str">
        <x:f t="shared" si="88"/>
        <x:v/>
      </x:c>
      <x:c r="FM28" s="1053" t="str">
        <x:f t="shared" si="89"/>
        <x:v/>
      </x:c>
      <x:c r="FN28" s="1053" t="e">
        <x:f t="shared" si="90"/>
        <x:v>#VALUE!</x:v>
      </x:c>
      <x:c r="FO28" s="1062" t="e">
        <x:f t="shared" si="91"/>
        <x:v>#VALUE!</x:v>
      </x:c>
      <x:c r="FP28" s="1062" t="e">
        <x:f t="shared" si="92"/>
        <x:v>#VALUE!</x:v>
      </x:c>
      <x:c r="FQ28" s="1063" t="e">
        <x:f t="shared" si="93"/>
        <x:v>#VALUE!</x:v>
      </x:c>
      <x:c r="FR28" s="1064" t="e">
        <x:f t="shared" si="94"/>
        <x:v>#VALUE!</x:v>
      </x:c>
      <x:c r="FS28" s="1065" t="str">
        <x:f t="shared" si="95"/>
        <x:v/>
      </x:c>
      <x:c r="FT28" s="1066" t="str">
        <x:f t="shared" si="96"/>
        <x:v/>
      </x:c>
      <x:c r="FU28" s="1105">
        <x:f t="shared" si="97"/>
        <x:v>0</x:v>
      </x:c>
      <x:c r="FV28" s="1106">
        <x:f t="shared" si="98"/>
        <x:v>0</x:v>
      </x:c>
      <x:c r="GA28" s="1975">
        <x:v>23</x:v>
      </x:c>
      <x:c r="GB28" s="1976">
        <x:v>2.25</x:v>
      </x:c>
      <x:c r="GC28" s="1977">
        <x:v>-0.25</x:v>
      </x:c>
      <x:c r="GD28" s="1978">
        <x:v>-0.5</x:v>
      </x:c>
      <x:c r="GE28" s="1979">
        <x:v>-0.27583199345131199</x:v>
      </x:c>
      <x:c r="GF28" s="1980" t="str">
        <x:f t="shared" si="99"/>
        <x:v>J204</x:v>
      </x:c>
      <x:c r="GG28" s="1453"/>
      <x:c r="GH28" s="1454"/>
      <x:c r="GI28" s="1453"/>
      <x:c r="GJ28" s="1454"/>
      <x:c r="GK28" s="533">
        <x:f t="shared" si="100"/>
        <x:v>277.5</x:v>
      </x:c>
      <x:c r="GL28" s="534">
        <x:f t="shared" si="101"/>
        <x:v>277.57329973790041</x:v>
      </x:c>
      <x:c r="GM28" s="535">
        <x:f>IF(ABS(GK28-GL28)&gt;='Job Info.'!$L$22,ABS(GK28-GL28),0)</x:f>
        <x:v>0</x:v>
      </x:c>
      <x:c r="HA28" s="1658" t="s">
        <x:v>1528</x:v>
      </x:c>
      <x:c r="HB28" s="1659">
        <x:v>1</x:v>
      </x:c>
      <x:c r="HC28" s="1659" t="s">
        <x:v>1980</x:v>
      </x:c>
      <x:c r="HD28" s="1660">
        <x:v>23</x:v>
      </x:c>
      <x:c r="HE28" s="1661">
        <x:v>1.5</x:v>
      </x:c>
      <x:c r="HF28" s="1659">
        <x:v>0</x:v>
      </x:c>
      <x:c r="HG28" s="1659">
        <x:v>1.375</x:v>
      </x:c>
      <x:c r="HH28" s="1659" t="s">
        <x:v>114</x:v>
      </x:c>
      <x:c r="HI28" s="1662">
        <x:v>0</x:v>
      </x:c>
      <x:c r="HJ28" s="1659">
        <x:v>0.25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2214</x:v>
      </x:c>
      <x:c r="IB28" s="1661"/>
      <x:c r="IC28" s="1661"/>
      <x:c r="ID28" s="1661"/>
      <x:c r="IE28" s="1661"/>
      <x:c r="IF28" s="1663"/>
    </x:row>
    <x:row r="29" spans="1:240" ht="12.6" customHeight="1" x14ac:dyDescent="0.25">
      <x:c r="A29" s="1264" t="s">
        <x:v>1529</x:v>
      </x:c>
      <x:c r="B29" s="1265">
        <x:v>1</x:v>
      </x:c>
      <x:c r="C29" s="1265" t="s">
        <x:v>1980</x:v>
      </x:c>
      <x:c r="D29" s="1261">
        <x:v>34</x:v>
      </x:c>
      <x:c r="E29" s="1366">
        <x:v>3.75</x:v>
      </x:c>
      <x:c r="F29" s="1328">
        <x:v>0</x:v>
      </x:c>
      <x:c r="G29" s="1262">
        <x:v>1.375</x:v>
      </x:c>
      <x:c r="H29" s="1266" t="s">
        <x:v>114</x:v>
      </x:c>
      <x:c r="I29" s="1261">
        <x:v>0</x:v>
      </x:c>
      <x:c r="J29" s="2122">
        <x:v>2</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7"/>
        <x:v/>
      </x:c>
      <x:c r="U29" s="1262" t="str">
        <x:f t="shared" si="8"/>
        <x:v/>
      </x:c>
      <x:c r="V29" s="1261" t="str">
        <x:f t="shared" si="9"/>
        <x:v/>
      </x:c>
      <x:c r="W29" s="1262" t="str">
        <x:f t="shared" si="10"/>
        <x:v/>
      </x:c>
      <x:c r="X29" s="1329">
        <x:f t="shared" si="11"/>
        <x:v>0</x:v>
      </x:c>
      <x:c r="Y29" s="1377" t="str">
        <x:f t="shared" si="105"/>
        <x:v/>
      </x:c>
      <x:c r="Z29" s="1378" t="str">
        <x:f t="shared" si="106"/>
        <x:v/>
      </x:c>
      <x:c r="AA29" s="2159" t="s">
        <x:v>2215</x:v>
      </x:c>
      <x:c r="AC29" s="1226" t="b">
        <x:v>0</x:v>
      </x:c>
      <x:c r="AD29" s="525">
        <x:f t="shared" si="12"/>
        <x:v>1</x:v>
      </x:c>
      <x:c r="AE29" s="526">
        <x:f t="shared" si="13"/>
        <x:v>0</x:v>
      </x:c>
      <x:c r="AF29" s="526">
        <x:f t="shared" si="14"/>
        <x:v>0</x:v>
      </x:c>
      <x:c r="AG29" s="526">
        <x:f t="shared" si="15"/>
        <x:v>0</x:v>
      </x:c>
      <x:c r="AH29" s="527">
        <x:f t="shared" si="16"/>
        <x:v>0</x:v>
      </x:c>
      <x:c r="AI29" s="528" t="b">
        <x:v>0</x:v>
      </x:c>
      <x:c r="AJ29" s="284">
        <x:f t="shared" si="17"/>
        <x:v>30</x:v>
      </x:c>
      <x:c r="AK29" s="1063" t="str">
        <x:f t="shared" si="18"/>
        <x:v>K</x:v>
      </x:c>
      <x:c r="AL29" s="1202" t="str">
        <x:f t="shared" si="19"/>
        <x:v/>
      </x:c>
      <x:c r="AM29" s="1063">
        <x:f t="shared" si="20"/>
        <x:v>310</x:v>
      </x:c>
      <x:c r="AN29" s="1063">
        <x:f t="shared" si="21"/>
        <x:v>160</x:v>
      </x:c>
      <x:c r="AO29" s="1063" t="str">
        <x:f t="shared" si="22"/>
        <x:v/>
      </x:c>
      <x:c r="AP29" s="1063" t="b">
        <x:f>IF(ISERROR(AJ29),FALSE,IF(OR(AJ29=0,ISERROR(AL29),ISERROR(AM29),ISERROR(AN29),ISERROR(AO29)),FALSE,IF(AL29&lt;&gt;"",IF(ISERROR(VLOOKUP(SUBSTITUTE(SUBSTITUTE(C29,"R",""),"A",""),TblJoistSize!$A:$A,1,FALSE)),FALSE,TRUE),TRUE)))</x:f>
        <x:v>1</x:v>
      </x:c>
      <x:c r="AQ29" s="1305">
        <x:f t="shared" si="23"/>
        <x:v>5.375</x:v>
      </x:c>
      <x:c r="AR29" s="1305" t="b">
        <x:f t="shared" si="24"/>
        <x:v>0</x:v>
      </x:c>
      <x:c r="AS29" s="1305">
        <x:f t="shared" si="25"/>
        <x:v>6</x:v>
      </x:c>
      <x:c r="AT29" s="1305" t="b">
        <x:f t="shared" si="26"/>
        <x:v>0</x:v>
      </x:c>
      <x:c r="AU29" s="1203" t="str">
        <x:f t="shared" si="27"/>
        <x:v>K</x:v>
      </x:c>
      <x:c r="AV29" s="1063" t="str">
        <x:f t="shared" si="28"/>
        <x:v>K</x:v>
      </x:c>
      <x:c r="AW29" s="1063" t="str">
        <x:f t="shared" si="29"/>
        <x:v/>
      </x:c>
      <x:c r="AX29" s="1063" t="str">
        <x:f t="shared" si="102"/>
        <x:v>J205</x:v>
      </x:c>
      <x:c r="AY29" s="1306" t="b">
        <x:f t="shared" si="30"/>
        <x:v>0</x:v>
      </x:c>
      <x:c r="AZ29" s="1090" t="b">
        <x:f t="shared" si="31"/>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2"/>
        <x:v/>
      </x:c>
      <x:c r="CE29" s="935" t="str">
        <x:f t="shared" si="33"/>
        <x:v/>
      </x:c>
      <x:c r="CF29" s="1149"/>
      <x:c r="CG29" s="1150"/>
      <x:c r="CH29" s="738" t="str">
        <x:f t="shared" si="34"/>
        <x:v/>
      </x:c>
      <x:c r="CI29" s="739" t="str">
        <x:f t="shared" si="35"/>
        <x:v/>
      </x:c>
      <x:c r="CJ29" s="740" t="str">
        <x:f t="shared" si="36"/>
        <x:v/>
      </x:c>
      <x:c r="CK29" s="741" t="str">
        <x:f t="shared" si="37"/>
        <x:v/>
      </x:c>
      <x:c r="CL29" s="742" t="str">
        <x:f t="shared" si="38"/>
        <x:v/>
      </x:c>
      <x:c r="CM29" s="743" t="str">
        <x:f t="shared" si="39"/>
        <x:v/>
      </x:c>
      <x:c r="CN29" s="744" t="str">
        <x:f t="shared" si="40"/>
        <x:v/>
      </x:c>
      <x:c r="CO29" s="745" t="str">
        <x:f t="shared" si="41"/>
        <x:v/>
      </x:c>
      <x:c r="CP29" s="762" t="str">
        <x:f t="shared" si="42"/>
        <x:v/>
      </x:c>
      <x:c r="CQ29" s="763" t="str">
        <x:f t="shared" si="43"/>
        <x:v/>
      </x:c>
      <x:c r="CR29" s="953">
        <x:f t="shared" si="44"/>
        <x:v>2.5</x:v>
      </x:c>
      <x:c r="CS29" s="954">
        <x:f t="shared" si="45"/>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6"/>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7"/>
        <x:v>0</x:v>
      </x:c>
      <x:c r="DO29" s="1049">
        <x:f t="shared" si="48"/>
        <x:v>0</x:v>
      </x:c>
      <x:c r="DP29" s="1053" t="str">
        <x:f t="shared" si="49"/>
        <x:v/>
      </x:c>
      <x:c r="DQ29" s="1053" t="str">
        <x:f t="shared" si="50"/>
        <x:v/>
      </x:c>
      <x:c r="DR29" s="1053" t="str">
        <x:f t="shared" si="51"/>
        <x:v/>
      </x:c>
      <x:c r="DS29" s="1052">
        <x:f t="shared" si="52"/>
        <x:v>0</x:v>
      </x:c>
      <x:c r="DT29" s="1052">
        <x:f t="shared" si="53"/>
        <x:v>0</x:v>
      </x:c>
      <x:c r="DU29" s="1052" t="str">
        <x:f t="shared" si="54"/>
        <x:v/>
      </x:c>
      <x:c r="DV29" s="1053" t="str">
        <x:f t="shared" si="55"/>
        <x:v/>
      </x:c>
      <x:c r="DW29" s="1053" t="str">
        <x:f t="shared" si="56"/>
        <x:v/>
      </x:c>
      <x:c r="DX29" s="1269">
        <x:f t="shared" si="57"/>
        <x:v>0</x:v>
      </x:c>
      <x:c r="DY29" s="1053">
        <x:f t="shared" si="58"/>
        <x:v>0</x:v>
      </x:c>
      <x:c r="DZ29" s="1052">
        <x:f t="shared" si="59"/>
        <x:v>0</x:v>
      </x:c>
      <x:c r="EA29" s="1052" t="str">
        <x:f t="shared" si="60"/>
        <x:v/>
      </x:c>
      <x:c r="EB29" s="1053" t="str">
        <x:f t="shared" si="61"/>
        <x:v/>
      </x:c>
      <x:c r="EC29" s="1053" t="str">
        <x:f t="shared" si="62"/>
        <x:v/>
      </x:c>
      <x:c r="ED29" s="1269">
        <x:f t="shared" si="63"/>
        <x:v>0</x:v>
      </x:c>
      <x:c r="EE29" s="1090" t="str">
        <x:f t="shared" si="64"/>
        <x:v/>
      </x:c>
      <x:c r="EF29" s="1053" t="str">
        <x:f t="shared" si="65"/>
        <x:v/>
      </x:c>
      <x:c r="EG29" s="1053" t="str">
        <x:f t="shared" si="66"/>
        <x:v/>
      </x:c>
      <x:c r="EH29" s="1053" t="str">
        <x:f t="shared" si="67"/>
        <x:v>ERR</x:v>
      </x:c>
      <x:c r="EI29" s="1053" t="str">
        <x:f t="shared" si="68"/>
        <x:v>ERR</x:v>
      </x:c>
      <x:c r="EJ29" s="1053" t="str">
        <x:f t="shared" si="69"/>
        <x:v/>
      </x:c>
      <x:c r="EK29" s="1053" t="str">
        <x:f t="shared" si="69"/>
        <x:v/>
      </x:c>
      <x:c r="EL29" s="1090" t="str">
        <x:f t="shared" si="70"/>
        <x:v/>
      </x:c>
      <x:c r="EM29" s="1053" t="str">
        <x:f t="shared" si="71"/>
        <x:v/>
      </x:c>
      <x:c r="EN29" s="1053" t="str">
        <x:f t="shared" si="72"/>
        <x:v/>
      </x:c>
      <x:c r="EO29" s="1053" t="str">
        <x:f t="shared" si="73"/>
        <x:v>ERR</x:v>
      </x:c>
      <x:c r="EP29" s="1053" t="str">
        <x:f t="shared" si="74"/>
        <x:v>ERR</x:v>
      </x:c>
      <x:c r="EQ29" s="1053" t="str">
        <x:f t="shared" si="75"/>
        <x:v/>
      </x:c>
      <x:c r="ER29" s="1053" t="str">
        <x:f t="shared" si="75"/>
        <x:v/>
      </x:c>
      <x:c r="ES29" s="1053" t="str">
        <x:f t="shared" si="76"/>
        <x:v/>
      </x:c>
      <x:c r="ET29" s="1053" t="str">
        <x:f t="shared" si="77"/>
        <x:v/>
      </x:c>
      <x:c r="EU29" s="1061">
        <x:f t="shared" si="78"/>
        <x:v>3.5</x:v>
      </x:c>
      <x:c r="EV29" s="1055" t="str">
        <x:f t="shared" si="79"/>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0"/>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1"/>
        <x:v/>
      </x:c>
      <x:c r="FD29" s="1052">
        <x:f t="shared" si="103"/>
        <x:v>0</x:v>
      </x:c>
      <x:c r="FE29" s="1052">
        <x:f t="shared" si="82"/>
        <x:v>0</x:v>
      </x:c>
      <x:c r="FF29" s="1052">
        <x:f t="shared" si="83"/>
        <x:v>0</x:v>
      </x:c>
      <x:c r="FG29" s="1052" t="str">
        <x:f t="shared" si="84"/>
        <x:v/>
      </x:c>
      <x:c r="FH29" s="1053" t="str">
        <x:f t="shared" si="85"/>
        <x:v/>
      </x:c>
      <x:c r="FI29" s="1052">
        <x:f t="shared" si="104"/>
        <x:v>0</x:v>
      </x:c>
      <x:c r="FJ29" s="1052">
        <x:f t="shared" si="86"/>
        <x:v>0</x:v>
      </x:c>
      <x:c r="FK29" s="1052">
        <x:f t="shared" si="87"/>
        <x:v>0</x:v>
      </x:c>
      <x:c r="FL29" s="1052" t="str">
        <x:f t="shared" si="88"/>
        <x:v/>
      </x:c>
      <x:c r="FM29" s="1053" t="str">
        <x:f t="shared" si="89"/>
        <x:v/>
      </x:c>
      <x:c r="FN29" s="1053" t="e">
        <x:f t="shared" si="90"/>
        <x:v>#VALUE!</x:v>
      </x:c>
      <x:c r="FO29" s="1062" t="e">
        <x:f t="shared" si="91"/>
        <x:v>#VALUE!</x:v>
      </x:c>
      <x:c r="FP29" s="1062" t="e">
        <x:f t="shared" si="92"/>
        <x:v>#VALUE!</x:v>
      </x:c>
      <x:c r="FQ29" s="1063" t="e">
        <x:f t="shared" si="93"/>
        <x:v>#VALUE!</x:v>
      </x:c>
      <x:c r="FR29" s="1064" t="e">
        <x:f t="shared" si="94"/>
        <x:v>#VALUE!</x:v>
      </x:c>
      <x:c r="FS29" s="1065" t="str">
        <x:f t="shared" si="95"/>
        <x:v/>
      </x:c>
      <x:c r="FT29" s="1066" t="str">
        <x:f t="shared" si="96"/>
        <x:v/>
      </x:c>
      <x:c r="FU29" s="1105">
        <x:f t="shared" si="97"/>
        <x:v>0</x:v>
      </x:c>
      <x:c r="FV29" s="1106">
        <x:f t="shared" si="98"/>
        <x:v>0</x:v>
      </x:c>
      <x:c r="GA29" s="1975">
        <x:v>34</x:v>
      </x:c>
      <x:c r="GB29" s="1976">
        <x:v>4.5</x:v>
      </x:c>
      <x:c r="GC29" s="1977">
        <x:v>-0.25</x:v>
      </x:c>
      <x:c r="GD29" s="1978">
        <x:v>-0.5</x:v>
      </x:c>
      <x:c r="GE29" s="1979">
        <x:v>-0.27583199188941099</x:v>
      </x:c>
      <x:c r="GF29" s="1980" t="str">
        <x:f t="shared" si="99"/>
        <x:v>J205</x:v>
      </x:c>
      <x:c r="GG29" s="1453"/>
      <x:c r="GH29" s="1454"/>
      <x:c r="GI29" s="1453"/>
      <x:c r="GJ29" s="1454"/>
      <x:c r="GK29" s="533">
        <x:f t="shared" si="100"/>
        <x:v>411.75</x:v>
      </x:c>
      <x:c r="GL29" s="534">
        <x:f t="shared" si="101"/>
        <x:v>411.85876096122064</x:v>
      </x:c>
      <x:c r="GM29" s="535">
        <x:f>IF(ABS(GK29-GL29)&gt;='Job Info.'!$L$22,ABS(GK29-GL29),0)</x:f>
        <x:v>0</x:v>
      </x:c>
      <x:c r="HA29" s="1658" t="s">
        <x:v>1529</x:v>
      </x:c>
      <x:c r="HB29" s="1659">
        <x:v>1</x:v>
      </x:c>
      <x:c r="HC29" s="1659" t="s">
        <x:v>1980</x:v>
      </x:c>
      <x:c r="HD29" s="1660">
        <x:v>34</x:v>
      </x:c>
      <x:c r="HE29" s="1661">
        <x:v>3.75</x:v>
      </x:c>
      <x:c r="HF29" s="1659">
        <x:v>0</x:v>
      </x:c>
      <x:c r="HG29" s="1659">
        <x:v>1.375</x:v>
      </x:c>
      <x:c r="HH29" s="1659" t="s">
        <x:v>114</x:v>
      </x:c>
      <x:c r="HI29" s="1662">
        <x:v>0</x:v>
      </x:c>
      <x:c r="HJ29" s="1659">
        <x:v>0.25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2215</x:v>
      </x:c>
      <x:c r="IB29" s="1661"/>
      <x:c r="IC29" s="1661"/>
      <x:c r="ID29" s="1661"/>
      <x:c r="IE29" s="1661"/>
      <x:c r="IF29" s="1663"/>
    </x:row>
    <x:row r="30" spans="1:240" ht="12.6" customHeight="1" x14ac:dyDescent="0.25">
      <x:c r="A30" s="1264" t="s">
        <x:v>1530</x:v>
      </x:c>
      <x:c r="B30" s="1265">
        <x:v>1</x:v>
      </x:c>
      <x:c r="C30" s="1265" t="s">
        <x:v>1979</x:v>
      </x:c>
      <x:c r="D30" s="1261">
        <x:v>45</x:v>
      </x:c>
      <x:c r="E30" s="1366">
        <x:v>5.875</x:v>
      </x:c>
      <x:c r="F30" s="1328">
        <x:v>0</x:v>
      </x:c>
      <x:c r="G30" s="1262">
        <x:v>1.375</x:v>
      </x:c>
      <x:c r="H30" s="1266" t="s">
        <x:v>114</x:v>
      </x:c>
      <x:c r="I30" s="1261">
        <x:v>0</x:v>
      </x:c>
      <x:c r="J30" s="2122">
        <x:v>2</x:v>
      </x:c>
      <x:c r="K30" s="1370" t="s">
        <x:v>114</x:v>
      </x:c>
      <x:c r="L30" s="1327">
        <x:v>3</x:v>
      </x:c>
      <x:c r="M30" s="1329">
        <x:v>3</x:v>
      </x:c>
      <x:c r="N30" s="1263" t="str">
        <x:f t="shared" si="1"/>
        <x:v/>
      </x:c>
      <x:c r="O30" s="1262" t="str">
        <x:f t="shared" si="2"/>
        <x:v/>
      </x:c>
      <x:c r="P30" s="1260" t="str">
        <x:f t="shared" si="3"/>
        <x:v/>
      </x:c>
      <x:c r="Q30" s="1261" t="str">
        <x:f t="shared" si="4"/>
        <x:v/>
      </x:c>
      <x:c r="R30" s="1262" t="str">
        <x:f t="shared" si="5"/>
        <x:v/>
      </x:c>
      <x:c r="S30" s="1375" t="str">
        <x:f t="shared" si="6"/>
        <x:v/>
      </x:c>
      <x:c r="T30" s="1328" t="str">
        <x:f t="shared" si="7"/>
        <x:v/>
      </x:c>
      <x:c r="U30" s="1262" t="str">
        <x:f t="shared" si="8"/>
        <x:v/>
      </x:c>
      <x:c r="V30" s="1261" t="str">
        <x:f t="shared" si="9"/>
        <x:v/>
      </x:c>
      <x:c r="W30" s="1262" t="str">
        <x:f t="shared" si="10"/>
        <x:v/>
      </x:c>
      <x:c r="X30" s="1329">
        <x:f t="shared" si="11"/>
        <x:v>0</x:v>
      </x:c>
      <x:c r="Y30" s="1377" t="str">
        <x:f t="shared" si="105"/>
        <x:v/>
      </x:c>
      <x:c r="Z30" s="1378" t="str">
        <x:f t="shared" si="106"/>
        <x:v/>
      </x:c>
      <x:c r="AA30" s="2159" t="s">
        <x:v>2216</x:v>
      </x:c>
      <x:c r="AC30" s="1226" t="b">
        <x:v>0</x:v>
      </x:c>
      <x:c r="AD30" s="525">
        <x:f t="shared" si="12"/>
        <x:v>1</x:v>
      </x:c>
      <x:c r="AE30" s="526">
        <x:f t="shared" si="13"/>
        <x:v>0</x:v>
      </x:c>
      <x:c r="AF30" s="526">
        <x:f t="shared" si="14"/>
        <x:v>0</x:v>
      </x:c>
      <x:c r="AG30" s="526">
        <x:f t="shared" si="15"/>
        <x:v>0</x:v>
      </x:c>
      <x:c r="AH30" s="527">
        <x:f t="shared" si="16"/>
        <x:v>0</x:v>
      </x:c>
      <x:c r="AI30" s="528" t="b">
        <x:v>0</x:v>
      </x:c>
      <x:c r="AJ30" s="284">
        <x:f t="shared" si="17"/>
        <x:v>30</x:v>
      </x:c>
      <x:c r="AK30" s="1063" t="str">
        <x:f t="shared" si="18"/>
        <x:v>K</x:v>
      </x:c>
      <x:c r="AL30" s="1202" t="str">
        <x:f t="shared" si="19"/>
        <x:v/>
      </x:c>
      <x:c r="AM30" s="1063">
        <x:f t="shared" si="20"/>
        <x:v>240</x:v>
      </x:c>
      <x:c r="AN30" s="1063">
        <x:f t="shared" si="21"/>
        <x:v>140</x:v>
      </x:c>
      <x:c r="AO30" s="1063" t="str">
        <x:f t="shared" si="22"/>
        <x:v/>
      </x:c>
      <x:c r="AP30" s="1063" t="b">
        <x:f>IF(ISERROR(AJ30),FALSE,IF(OR(AJ30=0,ISERROR(AL30),ISERROR(AM30),ISERROR(AN30),ISERROR(AO30)),FALSE,IF(AL30&lt;&gt;"",IF(ISERROR(VLOOKUP(SUBSTITUTE(SUBSTITUTE(C30,"R",""),"A",""),TblJoistSize!$A:$A,1,FALSE)),FALSE,TRUE),TRUE)))</x:f>
        <x:v>1</x:v>
      </x:c>
      <x:c r="AQ30" s="1305">
        <x:f t="shared" si="23"/>
        <x:v>5.375</x:v>
      </x:c>
      <x:c r="AR30" s="1305" t="b">
        <x:f t="shared" si="24"/>
        <x:v>0</x:v>
      </x:c>
      <x:c r="AS30" s="1305">
        <x:f t="shared" si="25"/>
        <x:v>6</x:v>
      </x:c>
      <x:c r="AT30" s="1305" t="b">
        <x:f t="shared" si="26"/>
        <x:v>0</x:v>
      </x:c>
      <x:c r="AU30" s="1203" t="str">
        <x:f t="shared" si="27"/>
        <x:v>K</x:v>
      </x:c>
      <x:c r="AV30" s="1063" t="str">
        <x:f t="shared" si="28"/>
        <x:v>K</x:v>
      </x:c>
      <x:c r="AW30" s="1063" t="str">
        <x:f t="shared" si="29"/>
        <x:v/>
      </x:c>
      <x:c r="AX30" s="1063" t="str">
        <x:f t="shared" si="102"/>
        <x:v>J206</x:v>
      </x:c>
      <x:c r="AY30" s="1306" t="b">
        <x:f t="shared" si="30"/>
        <x:v>0</x:v>
      </x:c>
      <x:c r="AZ30" s="1090" t="b">
        <x:f t="shared" si="31"/>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2"/>
        <x:v/>
      </x:c>
      <x:c r="CE30" s="935" t="str">
        <x:f t="shared" si="33"/>
        <x:v/>
      </x:c>
      <x:c r="CF30" s="1149"/>
      <x:c r="CG30" s="1150"/>
      <x:c r="CH30" s="738" t="str">
        <x:f t="shared" si="34"/>
        <x:v/>
      </x:c>
      <x:c r="CI30" s="739" t="str">
        <x:f t="shared" si="35"/>
        <x:v/>
      </x:c>
      <x:c r="CJ30" s="740" t="str">
        <x:f t="shared" si="36"/>
        <x:v/>
      </x:c>
      <x:c r="CK30" s="741" t="str">
        <x:f t="shared" si="37"/>
        <x:v/>
      </x:c>
      <x:c r="CL30" s="742" t="str">
        <x:f t="shared" si="38"/>
        <x:v/>
      </x:c>
      <x:c r="CM30" s="743" t="str">
        <x:f t="shared" si="39"/>
        <x:v/>
      </x:c>
      <x:c r="CN30" s="744" t="str">
        <x:f t="shared" si="40"/>
        <x:v/>
      </x:c>
      <x:c r="CO30" s="745" t="str">
        <x:f t="shared" si="41"/>
        <x:v/>
      </x:c>
      <x:c r="CP30" s="762" t="str">
        <x:f t="shared" si="42"/>
        <x:v/>
      </x:c>
      <x:c r="CQ30" s="763" t="str">
        <x:f t="shared" si="43"/>
        <x:v/>
      </x:c>
      <x:c r="CR30" s="953">
        <x:f t="shared" si="44"/>
        <x:v>2.5</x:v>
      </x:c>
      <x:c r="CS30" s="954">
        <x:f t="shared" si="45"/>
        <x:v>2.5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6"/>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7"/>
        <x:v>0</x:v>
      </x:c>
      <x:c r="DO30" s="1049">
        <x:f t="shared" si="48"/>
        <x:v>0</x:v>
      </x:c>
      <x:c r="DP30" s="1053" t="str">
        <x:f t="shared" si="49"/>
        <x:v/>
      </x:c>
      <x:c r="DQ30" s="1053" t="str">
        <x:f t="shared" si="50"/>
        <x:v/>
      </x:c>
      <x:c r="DR30" s="1053" t="str">
        <x:f t="shared" si="51"/>
        <x:v/>
      </x:c>
      <x:c r="DS30" s="1052">
        <x:f t="shared" si="52"/>
        <x:v>0</x:v>
      </x:c>
      <x:c r="DT30" s="1052">
        <x:f t="shared" si="53"/>
        <x:v>0</x:v>
      </x:c>
      <x:c r="DU30" s="1052" t="str">
        <x:f t="shared" si="54"/>
        <x:v/>
      </x:c>
      <x:c r="DV30" s="1053" t="str">
        <x:f t="shared" si="55"/>
        <x:v/>
      </x:c>
      <x:c r="DW30" s="1053" t="str">
        <x:f t="shared" si="56"/>
        <x:v/>
      </x:c>
      <x:c r="DX30" s="1269">
        <x:f t="shared" si="57"/>
        <x:v>0</x:v>
      </x:c>
      <x:c r="DY30" s="1053">
        <x:f t="shared" si="58"/>
        <x:v>0</x:v>
      </x:c>
      <x:c r="DZ30" s="1052">
        <x:f t="shared" si="59"/>
        <x:v>0</x:v>
      </x:c>
      <x:c r="EA30" s="1052" t="str">
        <x:f t="shared" si="60"/>
        <x:v/>
      </x:c>
      <x:c r="EB30" s="1053" t="str">
        <x:f t="shared" si="61"/>
        <x:v/>
      </x:c>
      <x:c r="EC30" s="1053" t="str">
        <x:f t="shared" si="62"/>
        <x:v/>
      </x:c>
      <x:c r="ED30" s="1269">
        <x:f t="shared" si="63"/>
        <x:v>0</x:v>
      </x:c>
      <x:c r="EE30" s="1090" t="str">
        <x:f t="shared" si="64"/>
        <x:v/>
      </x:c>
      <x:c r="EF30" s="1053" t="str">
        <x:f t="shared" si="65"/>
        <x:v/>
      </x:c>
      <x:c r="EG30" s="1053" t="str">
        <x:f t="shared" si="66"/>
        <x:v/>
      </x:c>
      <x:c r="EH30" s="1053" t="str">
        <x:f t="shared" si="67"/>
        <x:v>ERR</x:v>
      </x:c>
      <x:c r="EI30" s="1053" t="str">
        <x:f t="shared" si="68"/>
        <x:v>ERR</x:v>
      </x:c>
      <x:c r="EJ30" s="1053" t="str">
        <x:f t="shared" si="69"/>
        <x:v/>
      </x:c>
      <x:c r="EK30" s="1053" t="str">
        <x:f t="shared" si="69"/>
        <x:v/>
      </x:c>
      <x:c r="EL30" s="1090" t="str">
        <x:f t="shared" si="70"/>
        <x:v/>
      </x:c>
      <x:c r="EM30" s="1053" t="str">
        <x:f t="shared" si="71"/>
        <x:v/>
      </x:c>
      <x:c r="EN30" s="1053" t="str">
        <x:f t="shared" si="72"/>
        <x:v/>
      </x:c>
      <x:c r="EO30" s="1053" t="str">
        <x:f t="shared" si="73"/>
        <x:v>ERR</x:v>
      </x:c>
      <x:c r="EP30" s="1053" t="str">
        <x:f t="shared" si="74"/>
        <x:v>ERR</x:v>
      </x:c>
      <x:c r="EQ30" s="1053" t="str">
        <x:f t="shared" si="75"/>
        <x:v/>
      </x:c>
      <x:c r="ER30" s="1053" t="str">
        <x:f t="shared" si="75"/>
        <x:v/>
      </x:c>
      <x:c r="ES30" s="1053" t="str">
        <x:f t="shared" si="76"/>
        <x:v/>
      </x:c>
      <x:c r="ET30" s="1053" t="str">
        <x:f t="shared" si="77"/>
        <x:v/>
      </x:c>
      <x:c r="EU30" s="1061">
        <x:f t="shared" si="78"/>
        <x:v>3.5</x:v>
      </x:c>
      <x:c r="EV30" s="1055" t="str">
        <x:f t="shared" si="79"/>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0"/>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1"/>
        <x:v/>
      </x:c>
      <x:c r="FD30" s="1052">
        <x:f t="shared" si="103"/>
        <x:v>0</x:v>
      </x:c>
      <x:c r="FE30" s="1052">
        <x:f t="shared" si="82"/>
        <x:v>0</x:v>
      </x:c>
      <x:c r="FF30" s="1052">
        <x:f t="shared" si="83"/>
        <x:v>0</x:v>
      </x:c>
      <x:c r="FG30" s="1052" t="str">
        <x:f t="shared" si="84"/>
        <x:v/>
      </x:c>
      <x:c r="FH30" s="1053" t="str">
        <x:f t="shared" si="85"/>
        <x:v/>
      </x:c>
      <x:c r="FI30" s="1052">
        <x:f t="shared" si="104"/>
        <x:v>0</x:v>
      </x:c>
      <x:c r="FJ30" s="1052">
        <x:f t="shared" si="86"/>
        <x:v>0</x:v>
      </x:c>
      <x:c r="FK30" s="1052">
        <x:f t="shared" si="87"/>
        <x:v>0</x:v>
      </x:c>
      <x:c r="FL30" s="1052" t="str">
        <x:f t="shared" si="88"/>
        <x:v/>
      </x:c>
      <x:c r="FM30" s="1053" t="str">
        <x:f t="shared" si="89"/>
        <x:v/>
      </x:c>
      <x:c r="FN30" s="1053" t="e">
        <x:f t="shared" si="90"/>
        <x:v>#VALUE!</x:v>
      </x:c>
      <x:c r="FO30" s="1062" t="e">
        <x:f t="shared" si="91"/>
        <x:v>#VALUE!</x:v>
      </x:c>
      <x:c r="FP30" s="1062" t="e">
        <x:f t="shared" si="92"/>
        <x:v>#VALUE!</x:v>
      </x:c>
      <x:c r="FQ30" s="1063" t="e">
        <x:f t="shared" si="93"/>
        <x:v>#VALUE!</x:v>
      </x:c>
      <x:c r="FR30" s="1064" t="e">
        <x:f t="shared" si="94"/>
        <x:v>#VALUE!</x:v>
      </x:c>
      <x:c r="FS30" s="1065" t="str">
        <x:f t="shared" si="95"/>
        <x:v/>
      </x:c>
      <x:c r="FT30" s="1066" t="str">
        <x:f t="shared" si="96"/>
        <x:v/>
      </x:c>
      <x:c r="FU30" s="1105">
        <x:f t="shared" si="97"/>
        <x:v>0</x:v>
      </x:c>
      <x:c r="FV30" s="1106">
        <x:f t="shared" si="98"/>
        <x:v>0</x:v>
      </x:c>
      <x:c r="GA30" s="1975">
        <x:v>45</x:v>
      </x:c>
      <x:c r="GB30" s="1976">
        <x:v>6.625</x:v>
      </x:c>
      <x:c r="GC30" s="1977">
        <x:v>-0.25</x:v>
      </x:c>
      <x:c r="GD30" s="1978">
        <x:v>-0.5</x:v>
      </x:c>
      <x:c r="GE30" s="1979">
        <x:v>-0.27583199585500701</x:v>
      </x:c>
      <x:c r="GF30" s="1980" t="str">
        <x:f t="shared" si="99"/>
        <x:v>J206</x:v>
      </x:c>
      <x:c r="GG30" s="1453"/>
      <x:c r="GH30" s="1454"/>
      <x:c r="GI30" s="1453"/>
      <x:c r="GJ30" s="1454"/>
      <x:c r="GK30" s="533">
        <x:f t="shared" si="100"/>
        <x:v>545.875</x:v>
      </x:c>
      <x:c r="GL30" s="534">
        <x:f t="shared" si="101"/>
        <x:v>546.01918917161674</x:v>
      </x:c>
      <x:c r="GM30" s="535">
        <x:f>IF(ABS(GK30-GL30)&gt;='Job Info.'!$L$22,ABS(GK30-GL30),0)</x:f>
        <x:v>0</x:v>
      </x:c>
      <x:c r="HA30" s="1658" t="s">
        <x:v>1530</x:v>
      </x:c>
      <x:c r="HB30" s="1659">
        <x:v>1</x:v>
      </x:c>
      <x:c r="HC30" s="1659" t="s">
        <x:v>1979</x:v>
      </x:c>
      <x:c r="HD30" s="1660">
        <x:v>45</x:v>
      </x:c>
      <x:c r="HE30" s="1661">
        <x:v>5.875</x:v>
      </x:c>
      <x:c r="HF30" s="1659">
        <x:v>0</x:v>
      </x:c>
      <x:c r="HG30" s="1659">
        <x:v>1.375</x:v>
      </x:c>
      <x:c r="HH30" s="1659" t="s">
        <x:v>114</x:v>
      </x:c>
      <x:c r="HI30" s="1662">
        <x:v>0</x:v>
      </x:c>
      <x:c r="HJ30" s="1659">
        <x:v>0.25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2216</x:v>
      </x:c>
      <x:c r="IB30" s="1661"/>
      <x:c r="IC30" s="1661"/>
      <x:c r="ID30" s="1661"/>
      <x:c r="IE30" s="1661"/>
      <x:c r="IF30" s="1663"/>
    </x:row>
    <x:row r="31" spans="1:240" ht="12.6" customHeight="1" x14ac:dyDescent="0.25">
      <x:c r="A31" s="1264" t="s">
        <x:v>1531</x:v>
      </x:c>
      <x:c r="B31" s="1265">
        <x:v>1</x:v>
      </x:c>
      <x:c r="C31" s="1265" t="s">
        <x:v>1979</x:v>
      </x:c>
      <x:c r="D31" s="1261">
        <x:v>56</x:v>
      </x:c>
      <x:c r="E31" s="1366">
        <x:v>8.125</x:v>
      </x:c>
      <x:c r="F31" s="1328">
        <x:v>0</x:v>
      </x:c>
      <x:c r="G31" s="1262">
        <x:v>1.375</x:v>
      </x:c>
      <x:c r="H31" s="1266" t="s">
        <x:v>114</x:v>
      </x:c>
      <x:c r="I31" s="1261">
        <x:v>6</x:v>
      </x:c>
      <x:c r="J31" s="1262">
        <x:v>10</x:v>
      </x:c>
      <x:c r="K31" s="1370" t="s">
        <x:v>114</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7"/>
        <x:v/>
      </x:c>
      <x:c r="U31" s="1262" t="str">
        <x:f t="shared" si="8"/>
        <x:v/>
      </x:c>
      <x:c r="V31" s="1261" t="str">
        <x:f t="shared" si="9"/>
        <x:v/>
      </x:c>
      <x:c r="W31" s="1262" t="str">
        <x:f t="shared" si="10"/>
        <x:v/>
      </x:c>
      <x:c r="X31" s="1329">
        <x:f t="shared" si="11"/>
        <x:v>0</x:v>
      </x:c>
      <x:c r="Y31" s="1377" t="str">
        <x:f t="shared" si="105"/>
        <x:v/>
      </x:c>
      <x:c r="Z31" s="1378">
        <x:v>0.26987843572980902</x:v>
      </x:c>
      <x:c r="AA31" s="2159" t="s">
        <x:v>2217</x:v>
      </x:c>
      <x:c r="AC31" s="1226" t="b">
        <x:v>0</x:v>
      </x:c>
      <x:c r="AD31" s="525">
        <x:f t="shared" si="12"/>
        <x:v>1</x:v>
      </x:c>
      <x:c r="AE31" s="526">
        <x:f t="shared" si="13"/>
        <x:v>0</x:v>
      </x:c>
      <x:c r="AF31" s="526">
        <x:f t="shared" si="14"/>
        <x:v>0</x:v>
      </x:c>
      <x:c r="AG31" s="526">
        <x:f t="shared" si="15"/>
        <x:v>0</x:v>
      </x:c>
      <x:c r="AH31" s="527">
        <x:f t="shared" si="16"/>
        <x:v>0</x:v>
      </x:c>
      <x:c r="AI31" s="528" t="b">
        <x:v>0</x:v>
      </x:c>
      <x:c r="AJ31" s="284">
        <x:f t="shared" si="17"/>
        <x:v>30</x:v>
      </x:c>
      <x:c r="AK31" s="1063" t="str">
        <x:f t="shared" si="18"/>
        <x:v>K</x:v>
      </x:c>
      <x:c r="AL31" s="1202" t="str">
        <x:f t="shared" si="19"/>
        <x:v/>
      </x:c>
      <x:c r="AM31" s="1063">
        <x:f t="shared" si="20"/>
        <x:v>240</x:v>
      </x:c>
      <x:c r="AN31" s="1063">
        <x:f t="shared" si="21"/>
        <x:v>140</x:v>
      </x:c>
      <x:c r="AO31" s="1063" t="str">
        <x:f t="shared" si="22"/>
        <x:v/>
      </x:c>
      <x:c r="AP31" s="1063" t="b">
        <x:f>IF(ISERROR(AJ31),FALSE,IF(OR(AJ31=0,ISERROR(AL31),ISERROR(AM31),ISERROR(AN31),ISERROR(AO31)),FALSE,IF(AL31&lt;&gt;"",IF(ISERROR(VLOOKUP(SUBSTITUTE(SUBSTITUTE(C31,"R",""),"A",""),TblJoistSize!$A:$A,1,FALSE)),FALSE,TRUE),TRUE)))</x:f>
        <x:v>1</x:v>
      </x:c>
      <x:c r="AQ31" s="1305">
        <x:f t="shared" si="23"/>
        <x:v>5.375</x:v>
      </x:c>
      <x:c r="AR31" s="1305" t="b">
        <x:f t="shared" si="24"/>
        <x:v>0</x:v>
      </x:c>
      <x:c r="AS31" s="1305">
        <x:f t="shared" si="25"/>
        <x:v>86</x:v>
      </x:c>
      <x:c r="AT31" s="1305" t="b">
        <x:f t="shared" si="26"/>
        <x:v>0</x:v>
      </x:c>
      <x:c r="AU31" s="1203" t="str">
        <x:f t="shared" si="27"/>
        <x:v>K</x:v>
      </x:c>
      <x:c r="AV31" s="1063" t="str">
        <x:f t="shared" si="28"/>
        <x:v>K</x:v>
      </x:c>
      <x:c r="AW31" s="1063" t="str">
        <x:f t="shared" si="29"/>
        <x:v/>
      </x:c>
      <x:c r="AX31" s="1063" t="str">
        <x:f t="shared" si="102"/>
        <x:v>J207</x:v>
      </x:c>
      <x:c r="AY31" s="1306" t="b">
        <x:f t="shared" si="30"/>
        <x:v>0</x:v>
      </x:c>
      <x:c r="AZ31" s="1090" t="b">
        <x:f t="shared" si="31"/>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2"/>
        <x:v/>
      </x:c>
      <x:c r="CE31" s="935" t="str">
        <x:f t="shared" si="33"/>
        <x:v/>
      </x:c>
      <x:c r="CF31" s="1149"/>
      <x:c r="CG31" s="1150"/>
      <x:c r="CH31" s="738" t="str">
        <x:f t="shared" si="34"/>
        <x:v/>
      </x:c>
      <x:c r="CI31" s="739" t="str">
        <x:f t="shared" si="35"/>
        <x:v/>
      </x:c>
      <x:c r="CJ31" s="740" t="str">
        <x:f t="shared" si="36"/>
        <x:v/>
      </x:c>
      <x:c r="CK31" s="741" t="str">
        <x:f t="shared" si="37"/>
        <x:v/>
      </x:c>
      <x:c r="CL31" s="742" t="str">
        <x:f t="shared" si="38"/>
        <x:v/>
      </x:c>
      <x:c r="CM31" s="743" t="str">
        <x:f t="shared" si="39"/>
        <x:v/>
      </x:c>
      <x:c r="CN31" s="744" t="str">
        <x:f t="shared" si="40"/>
        <x:v/>
      </x:c>
      <x:c r="CO31" s="745" t="str">
        <x:f t="shared" si="41"/>
        <x:v/>
      </x:c>
      <x:c r="CP31" s="762" t="str">
        <x:f t="shared" si="42"/>
        <x:v/>
      </x:c>
      <x:c r="CQ31" s="763" t="str">
        <x:f t="shared" si="43"/>
        <x:v/>
      </x:c>
      <x:c r="CR31" s="953">
        <x:f t="shared" si="44"/>
        <x:v>2.5</x:v>
      </x:c>
      <x:c r="CS31" s="954">
        <x:f t="shared" si="45"/>
        <x:v>2.5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6"/>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7"/>
        <x:v>0</x:v>
      </x:c>
      <x:c r="DO31" s="1049">
        <x:f t="shared" si="48"/>
        <x:v>0</x:v>
      </x:c>
      <x:c r="DP31" s="1053" t="str">
        <x:f t="shared" si="49"/>
        <x:v/>
      </x:c>
      <x:c r="DQ31" s="1053" t="str">
        <x:f t="shared" si="50"/>
        <x:v/>
      </x:c>
      <x:c r="DR31" s="1053" t="str">
        <x:f t="shared" si="51"/>
        <x:v/>
      </x:c>
      <x:c r="DS31" s="1052">
        <x:f t="shared" si="52"/>
        <x:v>0</x:v>
      </x:c>
      <x:c r="DT31" s="1052">
        <x:f t="shared" si="53"/>
        <x:v>0</x:v>
      </x:c>
      <x:c r="DU31" s="1052" t="str">
        <x:f t="shared" si="54"/>
        <x:v/>
      </x:c>
      <x:c r="DV31" s="1053" t="str">
        <x:f t="shared" si="55"/>
        <x:v/>
      </x:c>
      <x:c r="DW31" s="1053" t="str">
        <x:f t="shared" si="56"/>
        <x:v/>
      </x:c>
      <x:c r="DX31" s="1269">
        <x:f t="shared" si="57"/>
        <x:v>0</x:v>
      </x:c>
      <x:c r="DY31" s="1053">
        <x:f t="shared" si="58"/>
        <x:v>0</x:v>
      </x:c>
      <x:c r="DZ31" s="1052">
        <x:f t="shared" si="59"/>
        <x:v>0</x:v>
      </x:c>
      <x:c r="EA31" s="1052" t="str">
        <x:f t="shared" si="60"/>
        <x:v/>
      </x:c>
      <x:c r="EB31" s="1053" t="str">
        <x:f t="shared" si="61"/>
        <x:v/>
      </x:c>
      <x:c r="EC31" s="1053" t="str">
        <x:f t="shared" si="62"/>
        <x:v/>
      </x:c>
      <x:c r="ED31" s="1269">
        <x:f t="shared" si="63"/>
        <x:v>0</x:v>
      </x:c>
      <x:c r="EE31" s="1090" t="str">
        <x:f t="shared" si="64"/>
        <x:v/>
      </x:c>
      <x:c r="EF31" s="1053" t="str">
        <x:f t="shared" si="65"/>
        <x:v/>
      </x:c>
      <x:c r="EG31" s="1053" t="str">
        <x:f t="shared" si="66"/>
        <x:v/>
      </x:c>
      <x:c r="EH31" s="1053" t="str">
        <x:f t="shared" si="67"/>
        <x:v>ERR</x:v>
      </x:c>
      <x:c r="EI31" s="1053" t="str">
        <x:f t="shared" si="68"/>
        <x:v>ERR</x:v>
      </x:c>
      <x:c r="EJ31" s="1053" t="str">
        <x:f t="shared" si="69"/>
        <x:v/>
      </x:c>
      <x:c r="EK31" s="1053" t="str">
        <x:f t="shared" si="69"/>
        <x:v/>
      </x:c>
      <x:c r="EL31" s="1090" t="str">
        <x:f t="shared" si="70"/>
        <x:v/>
      </x:c>
      <x:c r="EM31" s="1053" t="str">
        <x:f t="shared" si="71"/>
        <x:v/>
      </x:c>
      <x:c r="EN31" s="1053" t="str">
        <x:f t="shared" si="72"/>
        <x:v/>
      </x:c>
      <x:c r="EO31" s="1053" t="str">
        <x:f t="shared" si="73"/>
        <x:v>ERR</x:v>
      </x:c>
      <x:c r="EP31" s="1053" t="str">
        <x:f t="shared" si="74"/>
        <x:v>ERR</x:v>
      </x:c>
      <x:c r="EQ31" s="1053" t="str">
        <x:f t="shared" si="75"/>
        <x:v/>
      </x:c>
      <x:c r="ER31" s="1053" t="str">
        <x:f t="shared" si="75"/>
        <x:v/>
      </x:c>
      <x:c r="ES31" s="1053" t="str">
        <x:f t="shared" si="76"/>
        <x:v/>
      </x:c>
      <x:c r="ET31" s="1053" t="str">
        <x:f t="shared" si="77"/>
        <x:v/>
      </x:c>
      <x:c r="EU31" s="1061">
        <x:f t="shared" si="78"/>
        <x:v>3.5</x:v>
      </x:c>
      <x:c r="EV31" s="1055" t="str">
        <x:f t="shared" si="79"/>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0"/>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1"/>
        <x:v/>
      </x:c>
      <x:c r="FD31" s="1052">
        <x:f t="shared" si="103"/>
        <x:v>0</x:v>
      </x:c>
      <x:c r="FE31" s="1052">
        <x:f t="shared" si="82"/>
        <x:v>0</x:v>
      </x:c>
      <x:c r="FF31" s="1052">
        <x:f t="shared" si="83"/>
        <x:v>0</x:v>
      </x:c>
      <x:c r="FG31" s="1052" t="str">
        <x:f t="shared" si="84"/>
        <x:v/>
      </x:c>
      <x:c r="FH31" s="1053" t="str">
        <x:f t="shared" si="85"/>
        <x:v/>
      </x:c>
      <x:c r="FI31" s="1052">
        <x:f t="shared" si="104"/>
        <x:v>0</x:v>
      </x:c>
      <x:c r="FJ31" s="1052">
        <x:f t="shared" si="86"/>
        <x:v>0</x:v>
      </x:c>
      <x:c r="FK31" s="1052">
        <x:f t="shared" si="87"/>
        <x:v>0</x:v>
      </x:c>
      <x:c r="FL31" s="1052" t="str">
        <x:f t="shared" si="88"/>
        <x:v/>
      </x:c>
      <x:c r="FM31" s="1053" t="str">
        <x:f t="shared" si="89"/>
        <x:v/>
      </x:c>
      <x:c r="FN31" s="1053" t="e">
        <x:f t="shared" si="90"/>
        <x:v>#VALUE!</x:v>
      </x:c>
      <x:c r="FO31" s="1062" t="e">
        <x:f t="shared" si="91"/>
        <x:v>#VALUE!</x:v>
      </x:c>
      <x:c r="FP31" s="1062" t="e">
        <x:f t="shared" si="92"/>
        <x:v>#VALUE!</x:v>
      </x:c>
      <x:c r="FQ31" s="1063" t="e">
        <x:f t="shared" si="93"/>
        <x:v>#VALUE!</x:v>
      </x:c>
      <x:c r="FR31" s="1064" t="e">
        <x:f t="shared" si="94"/>
        <x:v>#VALUE!</x:v>
      </x:c>
      <x:c r="FS31" s="1065" t="str">
        <x:f t="shared" si="95"/>
        <x:v/>
      </x:c>
      <x:c r="FT31" s="1066" t="str">
        <x:f t="shared" si="96"/>
        <x:v/>
      </x:c>
      <x:c r="FU31" s="1105">
        <x:f t="shared" si="97"/>
        <x:v>0</x:v>
      </x:c>
      <x:c r="FV31" s="1106">
        <x:f t="shared" si="98"/>
        <x:v>0</x:v>
      </x:c>
      <x:c r="GA31" s="1975">
        <x:v>50</x:v>
      </x:c>
      <x:c r="GB31" s="1976">
        <x:v>0</x:v>
      </x:c>
      <x:c r="GC31" s="1977">
        <x:v>-0.25</x:v>
      </x:c>
      <x:c r="GD31" s="1978">
        <x:v>80.375</x:v>
      </x:c>
      <x:c r="GE31" s="1979">
        <x:v>-0.26987843572980902</x:v>
      </x:c>
      <x:c r="GF31" s="1980" t="str">
        <x:f t="shared" si="99"/>
        <x:v>J207</x:v>
      </x:c>
      <x:c r="GG31" s="1453"/>
      <x:c r="GH31" s="1454"/>
      <x:c r="GI31" s="1453"/>
      <x:c r="GJ31" s="1454"/>
      <x:c r="GK31" s="533">
        <x:f t="shared" si="100"/>
        <x:v>680.125</x:v>
      </x:c>
      <x:c r="GL31" s="534">
        <x:f t="shared" si="101"/>
        <x:v>680.29697990872489</x:v>
      </x:c>
      <x:c r="GM31" s="535">
        <x:f>IF(ABS(GK31-GL31)&gt;='Job Info.'!$L$22,ABS(GK31-GL31),0)</x:f>
        <x:v>0</x:v>
      </x:c>
      <x:c r="HA31" s="1658" t="s">
        <x:v>1531</x:v>
      </x:c>
      <x:c r="HB31" s="1659">
        <x:v>1</x:v>
      </x:c>
      <x:c r="HC31" s="1659" t="s">
        <x:v>1979</x:v>
      </x:c>
      <x:c r="HD31" s="1660">
        <x:v>56</x:v>
      </x:c>
      <x:c r="HE31" s="1661">
        <x:v>8.125</x:v>
      </x:c>
      <x:c r="HF31" s="1659">
        <x:v>0</x:v>
      </x:c>
      <x:c r="HG31" s="1659">
        <x:v>1.375</x:v>
      </x:c>
      <x:c r="HH31" s="1659" t="s">
        <x:v>114</x:v>
      </x:c>
      <x:c r="HI31" s="1662">
        <x:v>6</x:v>
      </x:c>
      <x:c r="HJ31" s="1659">
        <x:v>10</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x:v>0.26987843572980902</x:v>
      </x:c>
      <x:c r="IA31" s="1661" t="s">
        <x:v>2217</x:v>
      </x:c>
      <x:c r="IB31" s="1661"/>
      <x:c r="IC31" s="1661"/>
      <x:c r="ID31" s="1661"/>
      <x:c r="IE31" s="1661"/>
      <x:c r="IF31" s="1663"/>
    </x:row>
    <x:row r="32" spans="1:240" ht="12.6" customHeight="1" x14ac:dyDescent="0.25">
      <x:c r="A32" s="1264" t="s">
        <x:v>1532</x:v>
      </x:c>
      <x:c r="B32" s="1265">
        <x:v>1</x:v>
      </x:c>
      <x:c r="C32" s="1265" t="s">
        <x:v>1979</x:v>
      </x:c>
      <x:c r="D32" s="1261">
        <x:v>49</x:v>
      </x:c>
      <x:c r="E32" s="1366">
        <x:v>10.75</x:v>
      </x:c>
      <x:c r="F32" s="1328">
        <x:v>0</x:v>
      </x:c>
      <x:c r="G32" s="1262">
        <x:v>0.625</x:v>
      </x:c>
      <x:c r="H32" s="1266" t="s">
        <x:v>114</x:v>
      </x:c>
      <x:c r="I32" s="1261">
        <x:v>0</x:v>
      </x:c>
      <x:c r="J32" s="1262">
        <x:v>1.375</x:v>
      </x:c>
      <x:c r="K32" s="1370" t="s">
        <x:v>114</x:v>
      </x:c>
      <x:c r="L32" s="1327">
        <x:v>3</x:v>
      </x:c>
      <x:c r="M32" s="1329">
        <x:v>3</x:v>
      </x:c>
      <x:c r="N32" s="1263">
        <x:v>0</x:v>
      </x:c>
      <x:c r="O32" s="1262">
        <x:v>6.625</x:v>
      </x:c>
      <x:c r="P32" s="1260">
        <x:v>2</x:v>
      </x:c>
      <x:c r="Q32" s="1261" t="str">
        <x:f t="shared" si="4"/>
        <x:v/>
      </x:c>
      <x:c r="R32" s="1262" t="str">
        <x:f t="shared" si="5"/>
        <x:v/>
      </x:c>
      <x:c r="S32" s="1375" t="str">
        <x:f t="shared" si="6"/>
        <x:v/>
      </x:c>
      <x:c r="T32" s="1328">
        <x:v>0</x:v>
      </x:c>
      <x:c r="U32" s="1262">
        <x:v>1.5</x:v>
      </x:c>
      <x:c r="V32" s="1261">
        <x:v>0</x:v>
      </x:c>
      <x:c r="W32" s="1262">
        <x:v>2.25</x:v>
      </x:c>
      <x:c r="X32" s="1329">
        <x:v>4</x:v>
      </x:c>
      <x:c r="Y32" s="1377" t="str">
        <x:f t="shared" si="105"/>
        <x:v/>
      </x:c>
      <x:c r="Z32" s="1378" t="str">
        <x:f t="shared" si="106"/>
        <x:v/>
      </x:c>
      <x:c r="AA32" s="2159" t="s">
        <x:v>2218</x:v>
      </x:c>
      <x:c r="AC32" s="1226" t="b">
        <x:v>0</x:v>
      </x:c>
      <x:c r="AD32" s="525">
        <x:f t="shared" si="12"/>
        <x:v>1</x:v>
      </x:c>
      <x:c r="AE32" s="526">
        <x:f t="shared" si="13"/>
        <x:v>0</x:v>
      </x:c>
      <x:c r="AF32" s="526">
        <x:f t="shared" si="14"/>
        <x:v>0</x:v>
      </x:c>
      <x:c r="AG32" s="526">
        <x:f t="shared" si="15"/>
        <x:v>0</x:v>
      </x:c>
      <x:c r="AH32" s="527">
        <x:f t="shared" si="16"/>
        <x:v>0</x:v>
      </x:c>
      <x:c r="AI32" s="528" t="b">
        <x:v>0</x:v>
      </x:c>
      <x:c r="AJ32" s="284">
        <x:f t="shared" si="17"/>
        <x:v>30</x:v>
      </x:c>
      <x:c r="AK32" s="1063" t="str">
        <x:f t="shared" si="18"/>
        <x:v>K</x:v>
      </x:c>
      <x:c r="AL32" s="1202" t="str">
        <x:f t="shared" si="19"/>
        <x:v/>
      </x:c>
      <x:c r="AM32" s="1063">
        <x:f t="shared" si="20"/>
        <x:v>240</x:v>
      </x:c>
      <x:c r="AN32" s="1063">
        <x:f t="shared" si="21"/>
        <x:v>140</x:v>
      </x:c>
      <x:c r="AO32" s="1063" t="str">
        <x:f t="shared" si="22"/>
        <x:v/>
      </x:c>
      <x:c r="AP32" s="1063" t="b">
        <x:f>IF(ISERROR(AJ32),FALSE,IF(OR(AJ32=0,ISERROR(AL32),ISERROR(AM32),ISERROR(AN32),ISERROR(AO32)),FALSE,IF(AL32&lt;&gt;"",IF(ISERROR(VLOOKUP(SUBSTITUTE(SUBSTITUTE(C32,"R",""),"A",""),TblJoistSize!$A:$A,1,FALSE)),FALSE,TRUE),TRUE)))</x:f>
        <x:v>1</x:v>
      </x:c>
      <x:c r="AQ32" s="1305">
        <x:f t="shared" si="23"/>
        <x:v>4.625</x:v>
      </x:c>
      <x:c r="AR32" s="1305" t="b">
        <x:f t="shared" si="24"/>
        <x:v>1</x:v>
      </x:c>
      <x:c r="AS32" s="1305">
        <x:f t="shared" si="25"/>
        <x:v>5.375</x:v>
      </x:c>
      <x:c r="AT32" s="1305" t="b">
        <x:f t="shared" si="26"/>
        <x:v>1</x:v>
      </x:c>
      <x:c r="AU32" s="1203" t="str">
        <x:f t="shared" si="27"/>
        <x:v>K</x:v>
      </x:c>
      <x:c r="AV32" s="1063" t="str">
        <x:f t="shared" si="28"/>
        <x:v>K</x:v>
      </x:c>
      <x:c r="AW32" s="1063" t="str">
        <x:f t="shared" si="29"/>
        <x:v/>
      </x:c>
      <x:c r="AX32" s="1063" t="str">
        <x:f t="shared" si="102"/>
        <x:v>TJ208</x:v>
      </x:c>
      <x:c r="AY32" s="1306" t="b">
        <x:f t="shared" si="30"/>
        <x:v>0</x:v>
      </x:c>
      <x:c r="AZ32" s="1090" t="b">
        <x:f t="shared" si="31"/>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2"/>
        <x:v/>
      </x:c>
      <x:c r="CE32" s="935" t="str">
        <x:f t="shared" si="33"/>
        <x:v/>
      </x:c>
      <x:c r="CF32" s="1149"/>
      <x:c r="CG32" s="1150"/>
      <x:c r="CH32" s="738" t="str">
        <x:f t="shared" si="34"/>
        <x:v/>
      </x:c>
      <x:c r="CI32" s="739" t="str">
        <x:f t="shared" si="35"/>
        <x:v/>
      </x:c>
      <x:c r="CJ32" s="740" t="str">
        <x:f t="shared" si="36"/>
        <x:v/>
      </x:c>
      <x:c r="CK32" s="741" t="str">
        <x:f t="shared" si="37"/>
        <x:v/>
      </x:c>
      <x:c r="CL32" s="742" t="str">
        <x:f t="shared" si="38"/>
        <x:v/>
      </x:c>
      <x:c r="CM32" s="743" t="str">
        <x:f t="shared" si="39"/>
        <x:v/>
      </x:c>
      <x:c r="CN32" s="744" t="str">
        <x:f t="shared" si="40"/>
        <x:v/>
      </x:c>
      <x:c r="CO32" s="745" t="str">
        <x:f t="shared" si="41"/>
        <x:v/>
      </x:c>
      <x:c r="CP32" s="762" t="str">
        <x:f t="shared" si="42"/>
        <x:v/>
      </x:c>
      <x:c r="CQ32" s="763" t="str">
        <x:f t="shared" si="43"/>
        <x:v/>
      </x:c>
      <x:c r="CR32" s="953">
        <x:f t="shared" si="44"/>
        <x:v>2.5</x:v>
      </x:c>
      <x:c r="CS32" s="954">
        <x:f t="shared" si="45"/>
        <x:v>2.5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6"/>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7"/>
        <x:v>0</x:v>
      </x:c>
      <x:c r="DO32" s="1049">
        <x:f t="shared" si="48"/>
        <x:v>0</x:v>
      </x:c>
      <x:c r="DP32" s="1053" t="str">
        <x:f t="shared" si="49"/>
        <x:v/>
      </x:c>
      <x:c r="DQ32" s="1053" t="str">
        <x:f t="shared" si="50"/>
        <x:v/>
      </x:c>
      <x:c r="DR32" s="1053" t="str">
        <x:f t="shared" si="51"/>
        <x:v/>
      </x:c>
      <x:c r="DS32" s="1052">
        <x:f t="shared" si="52"/>
        <x:v>0</x:v>
      </x:c>
      <x:c r="DT32" s="1052">
        <x:f t="shared" si="53"/>
        <x:v>0</x:v>
      </x:c>
      <x:c r="DU32" s="1052" t="str">
        <x:f t="shared" si="54"/>
        <x:v/>
      </x:c>
      <x:c r="DV32" s="1053" t="str">
        <x:f t="shared" si="55"/>
        <x:v/>
      </x:c>
      <x:c r="DW32" s="1053" t="str">
        <x:f t="shared" si="56"/>
        <x:v/>
      </x:c>
      <x:c r="DX32" s="1269">
        <x:f t="shared" si="57"/>
        <x:v>0</x:v>
      </x:c>
      <x:c r="DY32" s="1053">
        <x:f t="shared" si="58"/>
        <x:v>0</x:v>
      </x:c>
      <x:c r="DZ32" s="1052">
        <x:f t="shared" si="59"/>
        <x:v>0</x:v>
      </x:c>
      <x:c r="EA32" s="1052" t="str">
        <x:f t="shared" si="60"/>
        <x:v/>
      </x:c>
      <x:c r="EB32" s="1053" t="str">
        <x:f t="shared" si="61"/>
        <x:v/>
      </x:c>
      <x:c r="EC32" s="1053" t="str">
        <x:f t="shared" si="62"/>
        <x:v/>
      </x:c>
      <x:c r="ED32" s="1269">
        <x:f t="shared" si="63"/>
        <x:v>0</x:v>
      </x:c>
      <x:c r="EE32" s="1090" t="str">
        <x:f t="shared" si="64"/>
        <x:v/>
      </x:c>
      <x:c r="EF32" s="1053" t="str">
        <x:f t="shared" si="65"/>
        <x:v/>
      </x:c>
      <x:c r="EG32" s="1053" t="str">
        <x:f t="shared" si="66"/>
        <x:v/>
      </x:c>
      <x:c r="EH32" s="1053" t="str">
        <x:f t="shared" si="67"/>
        <x:v>ERR</x:v>
      </x:c>
      <x:c r="EI32" s="1053" t="str">
        <x:f t="shared" si="68"/>
        <x:v>ERR</x:v>
      </x:c>
      <x:c r="EJ32" s="1053" t="str">
        <x:f t="shared" si="69"/>
        <x:v/>
      </x:c>
      <x:c r="EK32" s="1053" t="str">
        <x:f t="shared" si="69"/>
        <x:v/>
      </x:c>
      <x:c r="EL32" s="1090" t="str">
        <x:f t="shared" si="70"/>
        <x:v/>
      </x:c>
      <x:c r="EM32" s="1053" t="str">
        <x:f t="shared" si="71"/>
        <x:v/>
      </x:c>
      <x:c r="EN32" s="1053" t="str">
        <x:f t="shared" si="72"/>
        <x:v/>
      </x:c>
      <x:c r="EO32" s="1053" t="str">
        <x:f t="shared" si="73"/>
        <x:v>ERR</x:v>
      </x:c>
      <x:c r="EP32" s="1053" t="str">
        <x:f t="shared" si="74"/>
        <x:v>ERR</x:v>
      </x:c>
      <x:c r="EQ32" s="1053" t="str">
        <x:f t="shared" si="75"/>
        <x:v/>
      </x:c>
      <x:c r="ER32" s="1053" t="str">
        <x:f t="shared" si="75"/>
        <x:v/>
      </x:c>
      <x:c r="ES32" s="1053" t="str">
        <x:f t="shared" si="76"/>
        <x:v/>
      </x:c>
      <x:c r="ET32" s="1053" t="str">
        <x:f t="shared" si="77"/>
        <x:v/>
      </x:c>
      <x:c r="EU32" s="1061">
        <x:f t="shared" si="78"/>
        <x:v>3.5</x:v>
      </x:c>
      <x:c r="EV32" s="1055" t="str">
        <x:f t="shared" si="79"/>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0"/>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1"/>
        <x:v/>
      </x:c>
      <x:c r="FD32" s="1052">
        <x:f t="shared" si="103"/>
        <x:v>0</x:v>
      </x:c>
      <x:c r="FE32" s="1052">
        <x:f t="shared" si="82"/>
        <x:v>0</x:v>
      </x:c>
      <x:c r="FF32" s="1052">
        <x:f t="shared" si="83"/>
        <x:v>0</x:v>
      </x:c>
      <x:c r="FG32" s="1052" t="str">
        <x:f t="shared" si="84"/>
        <x:v/>
      </x:c>
      <x:c r="FH32" s="1053" t="str">
        <x:f t="shared" si="85"/>
        <x:v/>
      </x:c>
      <x:c r="FI32" s="1052">
        <x:f t="shared" si="104"/>
        <x:v>0</x:v>
      </x:c>
      <x:c r="FJ32" s="1052">
        <x:f t="shared" si="86"/>
        <x:v>0</x:v>
      </x:c>
      <x:c r="FK32" s="1052">
        <x:f t="shared" si="87"/>
        <x:v>0</x:v>
      </x:c>
      <x:c r="FL32" s="1052" t="str">
        <x:f t="shared" si="88"/>
        <x:v/>
      </x:c>
      <x:c r="FM32" s="1053" t="str">
        <x:f t="shared" si="89"/>
        <x:v/>
      </x:c>
      <x:c r="FN32" s="1053" t="e">
        <x:f t="shared" si="90"/>
        <x:v>#VALUE!</x:v>
      </x:c>
      <x:c r="FO32" s="1062" t="e">
        <x:f t="shared" si="91"/>
        <x:v>#VALUE!</x:v>
      </x:c>
      <x:c r="FP32" s="1062" t="e">
        <x:f t="shared" si="92"/>
        <x:v>#VALUE!</x:v>
      </x:c>
      <x:c r="FQ32" s="1063" t="e">
        <x:f t="shared" si="93"/>
        <x:v>#VALUE!</x:v>
      </x:c>
      <x:c r="FR32" s="1064" t="e">
        <x:f t="shared" si="94"/>
        <x:v>#VALUE!</x:v>
      </x:c>
      <x:c r="FS32" s="1065" t="str">
        <x:f t="shared" si="95"/>
        <x:v/>
      </x:c>
      <x:c r="FT32" s="1066" t="str">
        <x:f t="shared" si="96"/>
        <x:v/>
      </x:c>
      <x:c r="FU32" s="1105">
        <x:f t="shared" si="97"/>
        <x:v>0</x:v>
      </x:c>
      <x:c r="FV32" s="1106">
        <x:f t="shared" si="98"/>
        <x:v>0</x:v>
      </x:c>
      <x:c r="GA32" s="1975">
        <x:v>50</x:v>
      </x:c>
      <x:c r="GB32" s="1976">
        <x:v>0</x:v>
      </x:c>
      <x:c r="GC32" s="1977">
        <x:v>-1</x:v>
      </x:c>
      <x:c r="GD32" s="1978">
        <x:v>-0.25</x:v>
      </x:c>
      <x:c r="GE32" s="1979">
        <x:v>-0.26</x:v>
      </x:c>
      <x:c r="GF32" s="1980" t="str">
        <x:f t="shared" si="99"/>
        <x:v>TJ208</x:v>
      </x:c>
      <x:c r="GG32" s="1453"/>
      <x:c r="GH32" s="1454"/>
      <x:c r="GI32" s="1453"/>
      <x:c r="GJ32" s="1454"/>
      <x:c r="GK32" s="533">
        <x:f t="shared" si="100"/>
        <x:v>598.75</x:v>
      </x:c>
      <x:c r="GL32" s="534">
        <x:f t="shared" si="101"/>
        <x:v>598.89052344050344</x:v>
      </x:c>
      <x:c r="GM32" s="535">
        <x:f>IF(ABS(GK32-GL32)&gt;='Job Info.'!$L$22,ABS(GK32-GL32),0)</x:f>
        <x:v>0</x:v>
      </x:c>
      <x:c r="HA32" s="1658" t="s">
        <x:v>1532</x:v>
      </x:c>
      <x:c r="HB32" s="1659">
        <x:v>1</x:v>
      </x:c>
      <x:c r="HC32" s="1659" t="s">
        <x:v>1979</x:v>
      </x:c>
      <x:c r="HD32" s="1660">
        <x:v>49</x:v>
      </x:c>
      <x:c r="HE32" s="1661">
        <x:v>10.75</x:v>
      </x:c>
      <x:c r="HF32" s="1659">
        <x:v>0</x:v>
      </x:c>
      <x:c r="HG32" s="1659">
        <x:v>0.625</x:v>
      </x:c>
      <x:c r="HH32" s="1659" t="s">
        <x:v>114</x:v>
      </x:c>
      <x:c r="HI32" s="1662">
        <x:v>0</x:v>
      </x:c>
      <x:c r="HJ32" s="1659">
        <x:v>1.375</x:v>
      </x:c>
      <x:c r="HK32" s="1659" t="s">
        <x:v>114</x:v>
      </x:c>
      <x:c r="HL32" s="1659">
        <x:v>3</x:v>
      </x:c>
      <x:c r="HM32" s="1659">
        <x:v>3</x:v>
      </x:c>
      <x:c r="HN32" s="1659">
        <x:v>0</x:v>
      </x:c>
      <x:c r="HO32" s="1659">
        <x:v>6.625</x:v>
      </x:c>
      <x:c r="HP32" s="1659">
        <x:v>2</x:v>
      </x:c>
      <x:c r="HQ32" s="1662" t="s">
        <x:v>117</x:v>
      </x:c>
      <x:c r="HR32" s="1659" t="s">
        <x:v>117</x:v>
      </x:c>
      <x:c r="HS32" s="1659" t="s">
        <x:v>117</x:v>
      </x:c>
      <x:c r="HT32" s="1659">
        <x:v>0</x:v>
      </x:c>
      <x:c r="HU32" s="1659">
        <x:v>1.5</x:v>
      </x:c>
      <x:c r="HV32" s="1659">
        <x:v>0</x:v>
      </x:c>
      <x:c r="HW32" s="1661">
        <x:v>2.25</x:v>
      </x:c>
      <x:c r="HX32" s="1661">
        <x:v>4</x:v>
      </x:c>
      <x:c r="HY32" s="1661" t="s">
        <x:v>117</x:v>
      </x:c>
      <x:c r="HZ32" s="1661" t="s">
        <x:v>117</x:v>
      </x:c>
      <x:c r="IA32" s="1661" t="s">
        <x:v>2218</x:v>
      </x:c>
      <x:c r="IB32" s="1661"/>
      <x:c r="IC32" s="1661"/>
      <x:c r="ID32" s="1661"/>
      <x:c r="IE32" s="1661"/>
      <x:c r="IF32" s="1663"/>
    </x:row>
    <x:row r="33" spans="1:240" ht="12.6" customHeight="1" x14ac:dyDescent="0.25">
      <x:c r="A33" s="1264" t="s">
        <x:v>1533</x:v>
      </x:c>
      <x:c r="B33" s="1265">
        <x:v>3</x:v>
      </x:c>
      <x:c r="C33" s="1265" t="s">
        <x:v>1979</x:v>
      </x:c>
      <x:c r="D33" s="1261">
        <x:v>49</x:v>
      </x:c>
      <x:c r="E33" s="1366">
        <x:v>11.5</x:v>
      </x:c>
      <x:c r="F33" s="1328">
        <x:v>0</x:v>
      </x:c>
      <x:c r="G33" s="1262">
        <x:v>1.375</x:v>
      </x:c>
      <x:c r="H33" s="1266" t="s">
        <x:v>114</x:v>
      </x:c>
      <x:c r="I33" s="1261">
        <x:v>0</x:v>
      </x:c>
      <x:c r="J33" s="1262">
        <x:v>1.375</x:v>
      </x:c>
      <x:c r="K33" s="1370" t="s">
        <x:v>114</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t="str">
        <x:f t="shared" si="7"/>
        <x:v/>
      </x:c>
      <x:c r="U33" s="1262" t="str">
        <x:f t="shared" si="8"/>
        <x:v/>
      </x:c>
      <x:c r="V33" s="1261" t="str">
        <x:f t="shared" si="9"/>
        <x:v/>
      </x:c>
      <x:c r="W33" s="1262" t="str">
        <x:f t="shared" si="10"/>
        <x:v/>
      </x:c>
      <x:c r="X33" s="1329">
        <x:f t="shared" si="11"/>
        <x:v>0</x:v>
      </x:c>
      <x:c r="Y33" s="1377" t="str">
        <x:f t="shared" si="105"/>
        <x:v/>
      </x:c>
      <x:c r="Z33" s="1378" t="str">
        <x:f t="shared" si="106"/>
        <x:v/>
      </x:c>
      <x:c r="AA33" s="2159" t="s">
        <x:v>2219</x:v>
      </x:c>
      <x:c r="AC33" s="1226" t="b">
        <x:v>0</x:v>
      </x:c>
      <x:c r="AD33" s="525">
        <x:f t="shared" si="12"/>
        <x:v>3</x:v>
      </x:c>
      <x:c r="AE33" s="526">
        <x:f t="shared" si="13"/>
        <x:v>0</x:v>
      </x:c>
      <x:c r="AF33" s="526">
        <x:f t="shared" si="14"/>
        <x:v>0</x:v>
      </x:c>
      <x:c r="AG33" s="526">
        <x:f t="shared" si="15"/>
        <x:v>0</x:v>
      </x:c>
      <x:c r="AH33" s="527">
        <x:f t="shared" si="16"/>
        <x:v>0</x:v>
      </x:c>
      <x:c r="AI33" s="528" t="b">
        <x:v>0</x:v>
      </x:c>
      <x:c r="AJ33" s="284">
        <x:f t="shared" si="17"/>
        <x:v>30</x:v>
      </x:c>
      <x:c r="AK33" s="1063" t="str">
        <x:f t="shared" si="18"/>
        <x:v>K</x:v>
      </x:c>
      <x:c r="AL33" s="1202" t="str">
        <x:f t="shared" si="19"/>
        <x:v/>
      </x:c>
      <x:c r="AM33" s="1063">
        <x:f t="shared" si="20"/>
        <x:v>240</x:v>
      </x:c>
      <x:c r="AN33" s="1063">
        <x:f t="shared" si="21"/>
        <x:v>140</x:v>
      </x:c>
      <x:c r="AO33" s="1063" t="str">
        <x:f t="shared" si="22"/>
        <x:v/>
      </x:c>
      <x:c r="AP33" s="1063" t="b">
        <x:f>IF(ISERROR(AJ33),FALSE,IF(OR(AJ33=0,ISERROR(AL33),ISERROR(AM33),ISERROR(AN33),ISERROR(AO33)),FALSE,IF(AL33&lt;&gt;"",IF(ISERROR(VLOOKUP(SUBSTITUTE(SUBSTITUTE(C33,"R",""),"A",""),TblJoistSize!$A:$A,1,FALSE)),FALSE,TRUE),TRUE)))</x:f>
        <x:v>1</x:v>
      </x:c>
      <x:c r="AQ33" s="1305">
        <x:f t="shared" si="23"/>
        <x:v>5.375</x:v>
      </x:c>
      <x:c r="AR33" s="1305" t="b">
        <x:f t="shared" si="24"/>
        <x:v>0</x:v>
      </x:c>
      <x:c r="AS33" s="1305">
        <x:f t="shared" si="25"/>
        <x:v>5.375</x:v>
      </x:c>
      <x:c r="AT33" s="1305" t="b">
        <x:f t="shared" si="26"/>
        <x:v>0</x:v>
      </x:c>
      <x:c r="AU33" s="1203" t="str">
        <x:f t="shared" si="27"/>
        <x:v>K</x:v>
      </x:c>
      <x:c r="AV33" s="1063" t="str">
        <x:f t="shared" si="28"/>
        <x:v>K</x:v>
      </x:c>
      <x:c r="AW33" s="1063" t="str">
        <x:f t="shared" si="29"/>
        <x:v/>
      </x:c>
      <x:c r="AX33" s="1063" t="str">
        <x:f t="shared" si="102"/>
        <x:v>J209</x:v>
      </x:c>
      <x:c r="AY33" s="1306" t="b">
        <x:f t="shared" si="30"/>
        <x:v>0</x:v>
      </x:c>
      <x:c r="AZ33" s="1090" t="b">
        <x:f t="shared" si="31"/>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2"/>
        <x:v/>
      </x:c>
      <x:c r="CE33" s="935" t="str">
        <x:f t="shared" si="33"/>
        <x:v/>
      </x:c>
      <x:c r="CF33" s="1149"/>
      <x:c r="CG33" s="1150"/>
      <x:c r="CH33" s="738" t="str">
        <x:f t="shared" si="34"/>
        <x:v/>
      </x:c>
      <x:c r="CI33" s="739" t="str">
        <x:f t="shared" si="35"/>
        <x:v/>
      </x:c>
      <x:c r="CJ33" s="740" t="str">
        <x:f t="shared" si="36"/>
        <x:v/>
      </x:c>
      <x:c r="CK33" s="741" t="str">
        <x:f t="shared" si="37"/>
        <x:v/>
      </x:c>
      <x:c r="CL33" s="742" t="str">
        <x:f t="shared" si="38"/>
        <x:v/>
      </x:c>
      <x:c r="CM33" s="743" t="str">
        <x:f t="shared" si="39"/>
        <x:v/>
      </x:c>
      <x:c r="CN33" s="744" t="str">
        <x:f t="shared" si="40"/>
        <x:v/>
      </x:c>
      <x:c r="CO33" s="745" t="str">
        <x:f t="shared" si="41"/>
        <x:v/>
      </x:c>
      <x:c r="CP33" s="762" t="str">
        <x:f t="shared" si="42"/>
        <x:v/>
      </x:c>
      <x:c r="CQ33" s="763" t="str">
        <x:f t="shared" si="43"/>
        <x:v/>
      </x:c>
      <x:c r="CR33" s="953">
        <x:f t="shared" si="44"/>
        <x:v>2.5</x:v>
      </x:c>
      <x:c r="CS33" s="954">
        <x:f t="shared" si="45"/>
        <x:v>2.5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6"/>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7"/>
        <x:v>0</x:v>
      </x:c>
      <x:c r="DO33" s="1049">
        <x:f t="shared" si="48"/>
        <x:v>0</x:v>
      </x:c>
      <x:c r="DP33" s="1053" t="str">
        <x:f t="shared" si="49"/>
        <x:v/>
      </x:c>
      <x:c r="DQ33" s="1053" t="str">
        <x:f t="shared" si="50"/>
        <x:v/>
      </x:c>
      <x:c r="DR33" s="1053" t="str">
        <x:f t="shared" si="51"/>
        <x:v/>
      </x:c>
      <x:c r="DS33" s="1052">
        <x:f t="shared" si="52"/>
        <x:v>0</x:v>
      </x:c>
      <x:c r="DT33" s="1052">
        <x:f t="shared" si="53"/>
        <x:v>0</x:v>
      </x:c>
      <x:c r="DU33" s="1052" t="str">
        <x:f t="shared" si="54"/>
        <x:v/>
      </x:c>
      <x:c r="DV33" s="1053" t="str">
        <x:f t="shared" si="55"/>
        <x:v/>
      </x:c>
      <x:c r="DW33" s="1053" t="str">
        <x:f t="shared" si="56"/>
        <x:v/>
      </x:c>
      <x:c r="DX33" s="1269">
        <x:f t="shared" si="57"/>
        <x:v>0</x:v>
      </x:c>
      <x:c r="DY33" s="1053">
        <x:f t="shared" si="58"/>
        <x:v>0</x:v>
      </x:c>
      <x:c r="DZ33" s="1052">
        <x:f t="shared" si="59"/>
        <x:v>0</x:v>
      </x:c>
      <x:c r="EA33" s="1052" t="str">
        <x:f t="shared" si="60"/>
        <x:v/>
      </x:c>
      <x:c r="EB33" s="1053" t="str">
        <x:f t="shared" si="61"/>
        <x:v/>
      </x:c>
      <x:c r="EC33" s="1053" t="str">
        <x:f t="shared" si="62"/>
        <x:v/>
      </x:c>
      <x:c r="ED33" s="1269">
        <x:f t="shared" si="63"/>
        <x:v>0</x:v>
      </x:c>
      <x:c r="EE33" s="1090" t="str">
        <x:f t="shared" si="64"/>
        <x:v/>
      </x:c>
      <x:c r="EF33" s="1053" t="str">
        <x:f t="shared" si="65"/>
        <x:v/>
      </x:c>
      <x:c r="EG33" s="1053" t="str">
        <x:f t="shared" si="66"/>
        <x:v/>
      </x:c>
      <x:c r="EH33" s="1053" t="str">
        <x:f t="shared" si="67"/>
        <x:v>ERR</x:v>
      </x:c>
      <x:c r="EI33" s="1053" t="str">
        <x:f t="shared" si="68"/>
        <x:v>ERR</x:v>
      </x:c>
      <x:c r="EJ33" s="1053" t="str">
        <x:f t="shared" si="69"/>
        <x:v/>
      </x:c>
      <x:c r="EK33" s="1053" t="str">
        <x:f t="shared" si="69"/>
        <x:v/>
      </x:c>
      <x:c r="EL33" s="1090" t="str">
        <x:f t="shared" si="70"/>
        <x:v/>
      </x:c>
      <x:c r="EM33" s="1053" t="str">
        <x:f t="shared" si="71"/>
        <x:v/>
      </x:c>
      <x:c r="EN33" s="1053" t="str">
        <x:f t="shared" si="72"/>
        <x:v/>
      </x:c>
      <x:c r="EO33" s="1053" t="str">
        <x:f t="shared" si="73"/>
        <x:v>ERR</x:v>
      </x:c>
      <x:c r="EP33" s="1053" t="str">
        <x:f t="shared" si="74"/>
        <x:v>ERR</x:v>
      </x:c>
      <x:c r="EQ33" s="1053" t="str">
        <x:f t="shared" si="75"/>
        <x:v/>
      </x:c>
      <x:c r="ER33" s="1053" t="str">
        <x:f t="shared" si="75"/>
        <x:v/>
      </x:c>
      <x:c r="ES33" s="1053" t="str">
        <x:f t="shared" si="76"/>
        <x:v/>
      </x:c>
      <x:c r="ET33" s="1053" t="str">
        <x:f t="shared" si="77"/>
        <x:v/>
      </x:c>
      <x:c r="EU33" s="1061">
        <x:f t="shared" si="78"/>
        <x:v>3.5</x:v>
      </x:c>
      <x:c r="EV33" s="1055" t="str">
        <x:f t="shared" si="79"/>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0"/>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1"/>
        <x:v/>
      </x:c>
      <x:c r="FD33" s="1052">
        <x:f t="shared" si="103"/>
        <x:v>0</x:v>
      </x:c>
      <x:c r="FE33" s="1052">
        <x:f t="shared" si="82"/>
        <x:v>0</x:v>
      </x:c>
      <x:c r="FF33" s="1052">
        <x:f t="shared" si="83"/>
        <x:v>0</x:v>
      </x:c>
      <x:c r="FG33" s="1052" t="str">
        <x:f t="shared" si="84"/>
        <x:v/>
      </x:c>
      <x:c r="FH33" s="1053" t="str">
        <x:f t="shared" si="85"/>
        <x:v/>
      </x:c>
      <x:c r="FI33" s="1052">
        <x:f t="shared" si="104"/>
        <x:v>0</x:v>
      </x:c>
      <x:c r="FJ33" s="1052">
        <x:f t="shared" si="86"/>
        <x:v>0</x:v>
      </x:c>
      <x:c r="FK33" s="1052">
        <x:f t="shared" si="87"/>
        <x:v>0</x:v>
      </x:c>
      <x:c r="FL33" s="1052" t="str">
        <x:f t="shared" si="88"/>
        <x:v/>
      </x:c>
      <x:c r="FM33" s="1053" t="str">
        <x:f t="shared" si="89"/>
        <x:v/>
      </x:c>
      <x:c r="FN33" s="1053" t="e">
        <x:f t="shared" si="90"/>
        <x:v>#VALUE!</x:v>
      </x:c>
      <x:c r="FO33" s="1062" t="e">
        <x:f t="shared" si="91"/>
        <x:v>#VALUE!</x:v>
      </x:c>
      <x:c r="FP33" s="1062" t="e">
        <x:f t="shared" si="92"/>
        <x:v>#VALUE!</x:v>
      </x:c>
      <x:c r="FQ33" s="1063" t="e">
        <x:f t="shared" si="93"/>
        <x:v>#VALUE!</x:v>
      </x:c>
      <x:c r="FR33" s="1064" t="e">
        <x:f t="shared" si="94"/>
        <x:v>#VALUE!</x:v>
      </x:c>
      <x:c r="FS33" s="1065" t="str">
        <x:f t="shared" si="95"/>
        <x:v/>
      </x:c>
      <x:c r="FT33" s="1066" t="str">
        <x:f t="shared" si="96"/>
        <x:v/>
      </x:c>
      <x:c r="FU33" s="1105">
        <x:f t="shared" si="97"/>
        <x:v>0</x:v>
      </x:c>
      <x:c r="FV33" s="1106">
        <x:f t="shared" si="98"/>
        <x:v>0</x:v>
      </x:c>
      <x:c r="GA33" s="1975">
        <x:v>50</x:v>
      </x:c>
      <x:c r="GB33" s="1976">
        <x:v>0</x:v>
      </x:c>
      <x:c r="GC33" s="1977">
        <x:v>-0.25</x:v>
      </x:c>
      <x:c r="GD33" s="1978">
        <x:v>-0.25</x:v>
      </x:c>
      <x:c r="GE33" s="1979">
        <x:v>-0.26</x:v>
      </x:c>
      <x:c r="GF33" s="1980" t="str">
        <x:f t="shared" si="99"/>
        <x:v>J209</x:v>
      </x:c>
      <x:c r="GG33" s="1453"/>
      <x:c r="GH33" s="1454"/>
      <x:c r="GI33" s="1453"/>
      <x:c r="GJ33" s="1454"/>
      <x:c r="GK33" s="533">
        <x:f t="shared" si="100"/>
        <x:v>599.5</x:v>
      </x:c>
      <x:c r="GL33" s="534">
        <x:f t="shared" si="101"/>
        <x:v>599.6406994615146</x:v>
      </x:c>
      <x:c r="GM33" s="535">
        <x:f>IF(ABS(GK33-GL33)&gt;='Job Info.'!$L$22,ABS(GK33-GL33),0)</x:f>
        <x:v>0</x:v>
      </x:c>
      <x:c r="HA33" s="1658" t="s">
        <x:v>1533</x:v>
      </x:c>
      <x:c r="HB33" s="1659">
        <x:v>3</x:v>
      </x:c>
      <x:c r="HC33" s="1659" t="s">
        <x:v>1979</x:v>
      </x:c>
      <x:c r="HD33" s="1660">
        <x:v>49</x:v>
      </x:c>
      <x:c r="HE33" s="1661">
        <x:v>11.5</x:v>
      </x:c>
      <x:c r="HF33" s="1659">
        <x:v>0</x:v>
      </x:c>
      <x:c r="HG33" s="1659">
        <x:v>1.375</x:v>
      </x:c>
      <x:c r="HH33" s="1659" t="s">
        <x:v>114</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2219</x:v>
      </x:c>
      <x:c r="IB33" s="1661"/>
      <x:c r="IC33" s="1661"/>
      <x:c r="ID33" s="1661"/>
      <x:c r="IE33" s="1661"/>
      <x:c r="IF33" s="1663"/>
    </x:row>
    <x:row r="34" spans="1:240" ht="12.6" customHeight="1" x14ac:dyDescent="0.25">
      <x:c r="A34" s="1264" t="s">
        <x:v>1534</x:v>
      </x:c>
      <x:c r="B34" s="1265">
        <x:v>1</x:v>
      </x:c>
      <x:c r="C34" s="1265" t="s">
        <x:v>1980</x:v>
      </x:c>
      <x:c r="D34" s="1261">
        <x:v>29</x:v>
      </x:c>
      <x:c r="E34" s="1366">
        <x:v>0.5</x:v>
      </x:c>
      <x:c r="F34" s="1328">
        <x:v>0</x:v>
      </x:c>
      <x:c r="G34" s="1262">
        <x:v>1.375</x:v>
      </x:c>
      <x:c r="H34" s="1266" t="s">
        <x:v>114</x:v>
      </x:c>
      <x:c r="I34" s="1261">
        <x:v>0</x:v>
      </x:c>
      <x:c r="J34" s="2122">
        <x:v>2</x:v>
      </x:c>
      <x:c r="K34" s="1370" t="s">
        <x:v>114</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t="str">
        <x:f t="shared" si="7"/>
        <x:v/>
      </x:c>
      <x:c r="U34" s="1262" t="str">
        <x:f t="shared" si="8"/>
        <x:v/>
      </x:c>
      <x:c r="V34" s="1261" t="str">
        <x:f t="shared" si="9"/>
        <x:v/>
      </x:c>
      <x:c r="W34" s="1262" t="str">
        <x:f t="shared" si="10"/>
        <x:v/>
      </x:c>
      <x:c r="X34" s="1329">
        <x:f t="shared" si="11"/>
        <x:v>0</x:v>
      </x:c>
      <x:c r="Y34" s="1377">
        <x:v>-0.38595006418577599</x:v>
      </x:c>
      <x:c r="Z34" s="1378">
        <x:v>0.38595006418577599</x:v>
      </x:c>
      <x:c r="AA34" s="2159" t="s">
        <x:v>2220</x:v>
      </x:c>
      <x:c r="AC34" s="1226" t="b">
        <x:v>0</x:v>
      </x:c>
      <x:c r="AD34" s="525">
        <x:f t="shared" si="12"/>
        <x:v>1</x:v>
      </x:c>
      <x:c r="AE34" s="526">
        <x:f t="shared" si="13"/>
        <x:v>0</x:v>
      </x:c>
      <x:c r="AF34" s="526">
        <x:f t="shared" si="14"/>
        <x:v>0</x:v>
      </x:c>
      <x:c r="AG34" s="526">
        <x:f t="shared" si="15"/>
        <x:v>0</x:v>
      </x:c>
      <x:c r="AH34" s="527">
        <x:f t="shared" si="16"/>
        <x:v>0</x:v>
      </x:c>
      <x:c r="AI34" s="528" t="b">
        <x:v>0</x:v>
      </x:c>
      <x:c r="AJ34" s="284">
        <x:f t="shared" si="17"/>
        <x:v>30</x:v>
      </x:c>
      <x:c r="AK34" s="1063" t="str">
        <x:f t="shared" si="18"/>
        <x:v>K</x:v>
      </x:c>
      <x:c r="AL34" s="1202" t="str">
        <x:f t="shared" si="19"/>
        <x:v/>
      </x:c>
      <x:c r="AM34" s="1063">
        <x:f t="shared" si="20"/>
        <x:v>310</x:v>
      </x:c>
      <x:c r="AN34" s="1063">
        <x:f t="shared" si="21"/>
        <x:v>160</x:v>
      </x:c>
      <x:c r="AO34" s="1063" t="str">
        <x:f t="shared" si="22"/>
        <x:v/>
      </x:c>
      <x:c r="AP34" s="1063" t="b">
        <x:f>IF(ISERROR(AJ34),FALSE,IF(OR(AJ34=0,ISERROR(AL34),ISERROR(AM34),ISERROR(AN34),ISERROR(AO34)),FALSE,IF(AL34&lt;&gt;"",IF(ISERROR(VLOOKUP(SUBSTITUTE(SUBSTITUTE(C34,"R",""),"A",""),TblJoistSize!$A:$A,1,FALSE)),FALSE,TRUE),TRUE)))</x:f>
        <x:v>1</x:v>
      </x:c>
      <x:c r="AQ34" s="1305">
        <x:f t="shared" si="23"/>
        <x:v>5.375</x:v>
      </x:c>
      <x:c r="AR34" s="1305" t="b">
        <x:f t="shared" si="24"/>
        <x:v>0</x:v>
      </x:c>
      <x:c r="AS34" s="1305">
        <x:f t="shared" si="25"/>
        <x:v>6</x:v>
      </x:c>
      <x:c r="AT34" s="1305" t="b">
        <x:f t="shared" si="26"/>
        <x:v>0</x:v>
      </x:c>
      <x:c r="AU34" s="1203" t="str">
        <x:f t="shared" si="27"/>
        <x:v>K</x:v>
      </x:c>
      <x:c r="AV34" s="1063" t="str">
        <x:f t="shared" si="28"/>
        <x:v>K</x:v>
      </x:c>
      <x:c r="AW34" s="1063" t="str">
        <x:f t="shared" si="29"/>
        <x:v/>
      </x:c>
      <x:c r="AX34" s="1063" t="str">
        <x:f t="shared" si="102"/>
        <x:v>J210</x:v>
      </x:c>
      <x:c r="AY34" s="1306" t="b">
        <x:f t="shared" si="30"/>
        <x:v>0</x:v>
      </x:c>
      <x:c r="AZ34" s="1090" t="b">
        <x:f t="shared" si="31"/>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2"/>
        <x:v/>
      </x:c>
      <x:c r="CE34" s="935" t="str">
        <x:f t="shared" si="33"/>
        <x:v/>
      </x:c>
      <x:c r="CF34" s="1149"/>
      <x:c r="CG34" s="1150"/>
      <x:c r="CH34" s="738" t="str">
        <x:f t="shared" si="34"/>
        <x:v/>
      </x:c>
      <x:c r="CI34" s="739" t="str">
        <x:f t="shared" si="35"/>
        <x:v/>
      </x:c>
      <x:c r="CJ34" s="740" t="str">
        <x:f t="shared" si="36"/>
        <x:v/>
      </x:c>
      <x:c r="CK34" s="741" t="str">
        <x:f t="shared" si="37"/>
        <x:v/>
      </x:c>
      <x:c r="CL34" s="742" t="str">
        <x:f t="shared" si="38"/>
        <x:v/>
      </x:c>
      <x:c r="CM34" s="743" t="str">
        <x:f t="shared" si="39"/>
        <x:v/>
      </x:c>
      <x:c r="CN34" s="744" t="str">
        <x:f t="shared" si="40"/>
        <x:v/>
      </x:c>
      <x:c r="CO34" s="745" t="str">
        <x:f t="shared" si="41"/>
        <x:v/>
      </x:c>
      <x:c r="CP34" s="762" t="str">
        <x:f t="shared" si="42"/>
        <x:v/>
      </x:c>
      <x:c r="CQ34" s="763" t="str">
        <x:f t="shared" si="43"/>
        <x:v/>
      </x:c>
      <x:c r="CR34" s="953">
        <x:f t="shared" si="44"/>
        <x:v>2.5</x:v>
      </x:c>
      <x:c r="CS34" s="954">
        <x:f t="shared" si="45"/>
        <x:v>2.5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6"/>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7"/>
        <x:v>0</x:v>
      </x:c>
      <x:c r="DO34" s="1049">
        <x:f t="shared" si="48"/>
        <x:v>0</x:v>
      </x:c>
      <x:c r="DP34" s="1053" t="str">
        <x:f t="shared" si="49"/>
        <x:v/>
      </x:c>
      <x:c r="DQ34" s="1053" t="str">
        <x:f t="shared" si="50"/>
        <x:v/>
      </x:c>
      <x:c r="DR34" s="1053" t="str">
        <x:f t="shared" si="51"/>
        <x:v/>
      </x:c>
      <x:c r="DS34" s="1052">
        <x:f t="shared" si="52"/>
        <x:v>0</x:v>
      </x:c>
      <x:c r="DT34" s="1052">
        <x:f t="shared" si="53"/>
        <x:v>0</x:v>
      </x:c>
      <x:c r="DU34" s="1052" t="str">
        <x:f t="shared" si="54"/>
        <x:v/>
      </x:c>
      <x:c r="DV34" s="1053" t="str">
        <x:f t="shared" si="55"/>
        <x:v/>
      </x:c>
      <x:c r="DW34" s="1053" t="str">
        <x:f t="shared" si="56"/>
        <x:v/>
      </x:c>
      <x:c r="DX34" s="1269">
        <x:f t="shared" si="57"/>
        <x:v>0</x:v>
      </x:c>
      <x:c r="DY34" s="1053">
        <x:f t="shared" si="58"/>
        <x:v>0</x:v>
      </x:c>
      <x:c r="DZ34" s="1052">
        <x:f t="shared" si="59"/>
        <x:v>0</x:v>
      </x:c>
      <x:c r="EA34" s="1052" t="str">
        <x:f t="shared" si="60"/>
        <x:v/>
      </x:c>
      <x:c r="EB34" s="1053" t="str">
        <x:f t="shared" si="61"/>
        <x:v/>
      </x:c>
      <x:c r="EC34" s="1053" t="str">
        <x:f t="shared" si="62"/>
        <x:v/>
      </x:c>
      <x:c r="ED34" s="1269">
        <x:f t="shared" si="63"/>
        <x:v>0</x:v>
      </x:c>
      <x:c r="EE34" s="1090" t="str">
        <x:f t="shared" si="64"/>
        <x:v/>
      </x:c>
      <x:c r="EF34" s="1053" t="str">
        <x:f t="shared" si="65"/>
        <x:v/>
      </x:c>
      <x:c r="EG34" s="1053" t="str">
        <x:f t="shared" si="66"/>
        <x:v/>
      </x:c>
      <x:c r="EH34" s="1053" t="str">
        <x:f t="shared" si="67"/>
        <x:v>ERR</x:v>
      </x:c>
      <x:c r="EI34" s="1053" t="str">
        <x:f t="shared" si="68"/>
        <x:v>ERR</x:v>
      </x:c>
      <x:c r="EJ34" s="1053" t="str">
        <x:f t="shared" si="69"/>
        <x:v/>
      </x:c>
      <x:c r="EK34" s="1053" t="str">
        <x:f t="shared" si="69"/>
        <x:v/>
      </x:c>
      <x:c r="EL34" s="1090" t="str">
        <x:f t="shared" si="70"/>
        <x:v/>
      </x:c>
      <x:c r="EM34" s="1053" t="str">
        <x:f t="shared" si="71"/>
        <x:v/>
      </x:c>
      <x:c r="EN34" s="1053" t="str">
        <x:f t="shared" si="72"/>
        <x:v/>
      </x:c>
      <x:c r="EO34" s="1053" t="str">
        <x:f t="shared" si="73"/>
        <x:v>ERR</x:v>
      </x:c>
      <x:c r="EP34" s="1053" t="str">
        <x:f t="shared" si="74"/>
        <x:v>ERR</x:v>
      </x:c>
      <x:c r="EQ34" s="1053" t="str">
        <x:f t="shared" si="75"/>
        <x:v/>
      </x:c>
      <x:c r="ER34" s="1053" t="str">
        <x:f t="shared" si="75"/>
        <x:v/>
      </x:c>
      <x:c r="ES34" s="1053" t="str">
        <x:f t="shared" si="76"/>
        <x:v/>
      </x:c>
      <x:c r="ET34" s="1053" t="str">
        <x:f t="shared" si="77"/>
        <x:v/>
      </x:c>
      <x:c r="EU34" s="1061">
        <x:f t="shared" si="78"/>
        <x:v>3.5</x:v>
      </x:c>
      <x:c r="EV34" s="1055" t="str">
        <x:f t="shared" si="79"/>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0"/>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1"/>
        <x:v/>
      </x:c>
      <x:c r="FD34" s="1052">
        <x:f t="shared" si="103"/>
        <x:v>0</x:v>
      </x:c>
      <x:c r="FE34" s="1052">
        <x:f t="shared" si="82"/>
        <x:v>0</x:v>
      </x:c>
      <x:c r="FF34" s="1052">
        <x:f t="shared" si="83"/>
        <x:v>0</x:v>
      </x:c>
      <x:c r="FG34" s="1052" t="str">
        <x:f t="shared" si="84"/>
        <x:v/>
      </x:c>
      <x:c r="FH34" s="1053" t="str">
        <x:f t="shared" si="85"/>
        <x:v/>
      </x:c>
      <x:c r="FI34" s="1052">
        <x:f t="shared" si="104"/>
        <x:v>0</x:v>
      </x:c>
      <x:c r="FJ34" s="1052">
        <x:f t="shared" si="86"/>
        <x:v>0</x:v>
      </x:c>
      <x:c r="FK34" s="1052">
        <x:f t="shared" si="87"/>
        <x:v>0</x:v>
      </x:c>
      <x:c r="FL34" s="1052" t="str">
        <x:f t="shared" si="88"/>
        <x:v/>
      </x:c>
      <x:c r="FM34" s="1053" t="str">
        <x:f t="shared" si="89"/>
        <x:v/>
      </x:c>
      <x:c r="FN34" s="1053" t="e">
        <x:f t="shared" si="90"/>
        <x:v>#VALUE!</x:v>
      </x:c>
      <x:c r="FO34" s="1062" t="e">
        <x:f t="shared" si="91"/>
        <x:v>#VALUE!</x:v>
      </x:c>
      <x:c r="FP34" s="1062" t="e">
        <x:f t="shared" si="92"/>
        <x:v>#VALUE!</x:v>
      </x:c>
      <x:c r="FQ34" s="1063" t="e">
        <x:f t="shared" si="93"/>
        <x:v>#VALUE!</x:v>
      </x:c>
      <x:c r="FR34" s="1064" t="e">
        <x:f t="shared" si="94"/>
        <x:v>#VALUE!</x:v>
      </x:c>
      <x:c r="FS34" s="1065" t="str">
        <x:f t="shared" si="95"/>
        <x:v/>
      </x:c>
      <x:c r="FT34" s="1066" t="str">
        <x:f t="shared" si="96"/>
        <x:v/>
      </x:c>
      <x:c r="FU34" s="1105">
        <x:f t="shared" si="97"/>
        <x:v>0</x:v>
      </x:c>
      <x:c r="FV34" s="1106">
        <x:f t="shared" si="98"/>
        <x:v>0</x:v>
      </x:c>
      <x:c r="GA34" s="1975">
        <x:v>29</x:v>
      </x:c>
      <x:c r="GB34" s="1976">
        <x:v>1.25</x:v>
      </x:c>
      <x:c r="GC34" s="1977">
        <x:v>-0.25</x:v>
      </x:c>
      <x:c r="GD34" s="1978">
        <x:v>-0.5</x:v>
      </x:c>
      <x:c r="GE34" s="1979">
        <x:v>-0.38595006418577599</x:v>
      </x:c>
      <x:c r="GF34" s="1980" t="str">
        <x:f t="shared" si="99"/>
        <x:v>J210</x:v>
      </x:c>
      <x:c r="GG34" s="1453"/>
      <x:c r="GH34" s="1454"/>
      <x:c r="GI34" s="1453"/>
      <x:c r="GJ34" s="1454"/>
      <x:c r="GK34" s="533">
        <x:f t="shared" si="100"/>
        <x:v>348.5</x:v>
      </x:c>
      <x:c r="GL34" s="534">
        <x:f t="shared" si="101"/>
        <x:v>348.68020227177459</x:v>
      </x:c>
      <x:c r="GM34" s="535">
        <x:f>IF(ABS(GK34-GL34)&gt;='Job Info.'!$L$22,ABS(GK34-GL34),0)</x:f>
        <x:v>0</x:v>
      </x:c>
      <x:c r="HA34" s="1658" t="s">
        <x:v>1534</x:v>
      </x:c>
      <x:c r="HB34" s="1659">
        <x:v>1</x:v>
      </x:c>
      <x:c r="HC34" s="1659" t="s">
        <x:v>1980</x:v>
      </x:c>
      <x:c r="HD34" s="1660">
        <x:v>29</x:v>
      </x:c>
      <x:c r="HE34" s="1661">
        <x:v>0.5</x:v>
      </x:c>
      <x:c r="HF34" s="1659">
        <x:v>0</x:v>
      </x:c>
      <x:c r="HG34" s="1659">
        <x:v>1.375</x:v>
      </x:c>
      <x:c r="HH34" s="1659" t="s">
        <x:v>114</x:v>
      </x:c>
      <x:c r="HI34" s="1662">
        <x:v>0</x:v>
      </x:c>
      <x:c r="HJ34" s="1659">
        <x:v>0.25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x:v>-0.38595006418577599</x:v>
      </x:c>
      <x:c r="HZ34" s="1661">
        <x:v>0.38595006418577599</x:v>
      </x:c>
      <x:c r="IA34" s="1661" t="s">
        <x:v>2220</x:v>
      </x:c>
      <x:c r="IB34" s="1661"/>
      <x:c r="IC34" s="1661"/>
      <x:c r="ID34" s="1661"/>
      <x:c r="IE34" s="1661"/>
      <x:c r="IF34" s="1663"/>
    </x:row>
    <x:row r="35" spans="1:240" ht="12.6" customHeight="1" x14ac:dyDescent="0.25">
      <x:c r="A35" s="1264" t="s">
        <x:v>1535</x:v>
      </x:c>
      <x:c r="B35" s="1265">
        <x:v>1</x:v>
      </x:c>
      <x:c r="C35" s="1265" t="s">
        <x:v>1979</x:v>
      </x:c>
      <x:c r="D35" s="1261">
        <x:v>40</x:v>
      </x:c>
      <x:c r="E35" s="1366">
        <x:v>2.75</x:v>
      </x:c>
      <x:c r="F35" s="1328">
        <x:v>0</x:v>
      </x:c>
      <x:c r="G35" s="1262">
        <x:v>1.375</x:v>
      </x:c>
      <x:c r="H35" s="1266" t="s">
        <x:v>114</x:v>
      </x:c>
      <x:c r="I35" s="1261">
        <x:v>0</x:v>
      </x:c>
      <x:c r="J35" s="2122">
        <x:v>2</x:v>
      </x:c>
      <x:c r="K35" s="1370" t="s">
        <x:v>114</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7"/>
        <x:v/>
      </x:c>
      <x:c r="U35" s="1262" t="str">
        <x:f t="shared" si="8"/>
        <x:v/>
      </x:c>
      <x:c r="V35" s="1261" t="str">
        <x:f t="shared" si="9"/>
        <x:v/>
      </x:c>
      <x:c r="W35" s="1262" t="str">
        <x:f t="shared" si="10"/>
        <x:v/>
      </x:c>
      <x:c r="X35" s="1329">
        <x:f t="shared" si="11"/>
        <x:v>0</x:v>
      </x:c>
      <x:c r="Y35" s="1377">
        <x:v>-0.38595006058679698</x:v>
      </x:c>
      <x:c r="Z35" s="1378">
        <x:v>0.38595006058679698</x:v>
      </x:c>
      <x:c r="AA35" s="2159" t="s">
        <x:v>2221</x:v>
      </x:c>
      <x:c r="AC35" s="1226" t="b">
        <x:v>0</x:v>
      </x:c>
      <x:c r="AD35" s="525">
        <x:f t="shared" si="12"/>
        <x:v>1</x:v>
      </x:c>
      <x:c r="AE35" s="526">
        <x:f t="shared" si="13"/>
        <x:v>0</x:v>
      </x:c>
      <x:c r="AF35" s="526">
        <x:f t="shared" si="14"/>
        <x:v>0</x:v>
      </x:c>
      <x:c r="AG35" s="526">
        <x:f t="shared" si="15"/>
        <x:v>0</x:v>
      </x:c>
      <x:c r="AH35" s="527">
        <x:f t="shared" si="16"/>
        <x:v>0</x:v>
      </x:c>
      <x:c r="AI35" s="528" t="b">
        <x:v>0</x:v>
      </x:c>
      <x:c r="AJ35" s="284">
        <x:f t="shared" si="17"/>
        <x:v>30</x:v>
      </x:c>
      <x:c r="AK35" s="1063" t="str">
        <x:f t="shared" si="18"/>
        <x:v>K</x:v>
      </x:c>
      <x:c r="AL35" s="1202" t="str">
        <x:f t="shared" si="19"/>
        <x:v/>
      </x:c>
      <x:c r="AM35" s="1063">
        <x:f t="shared" si="20"/>
        <x:v>240</x:v>
      </x:c>
      <x:c r="AN35" s="1063">
        <x:f t="shared" si="21"/>
        <x:v>140</x:v>
      </x:c>
      <x:c r="AO35" s="1063" t="str">
        <x:f t="shared" si="22"/>
        <x:v/>
      </x:c>
      <x:c r="AP35" s="1063" t="b">
        <x:f>IF(ISERROR(AJ35),FALSE,IF(OR(AJ35=0,ISERROR(AL35),ISERROR(AM35),ISERROR(AN35),ISERROR(AO35)),FALSE,IF(AL35&lt;&gt;"",IF(ISERROR(VLOOKUP(SUBSTITUTE(SUBSTITUTE(C35,"R",""),"A",""),TblJoistSize!$A:$A,1,FALSE)),FALSE,TRUE),TRUE)))</x:f>
        <x:v>1</x:v>
      </x:c>
      <x:c r="AQ35" s="1305">
        <x:f t="shared" si="23"/>
        <x:v>5.375</x:v>
      </x:c>
      <x:c r="AR35" s="1305" t="b">
        <x:f t="shared" si="24"/>
        <x:v>0</x:v>
      </x:c>
      <x:c r="AS35" s="1305">
        <x:f t="shared" si="25"/>
        <x:v>6</x:v>
      </x:c>
      <x:c r="AT35" s="1305" t="b">
        <x:f t="shared" si="26"/>
        <x:v>0</x:v>
      </x:c>
      <x:c r="AU35" s="1203" t="str">
        <x:f t="shared" si="27"/>
        <x:v>K</x:v>
      </x:c>
      <x:c r="AV35" s="1063" t="str">
        <x:f t="shared" si="28"/>
        <x:v>K</x:v>
      </x:c>
      <x:c r="AW35" s="1063" t="str">
        <x:f t="shared" si="29"/>
        <x:v/>
      </x:c>
      <x:c r="AX35" s="1063" t="str">
        <x:f t="shared" si="102"/>
        <x:v>J211</x:v>
      </x:c>
      <x:c r="AY35" s="1306" t="b">
        <x:f t="shared" si="30"/>
        <x:v>0</x:v>
      </x:c>
      <x:c r="AZ35" s="1090" t="b">
        <x:f t="shared" si="31"/>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2"/>
        <x:v/>
      </x:c>
      <x:c r="CE35" s="935" t="str">
        <x:f t="shared" si="33"/>
        <x:v/>
      </x:c>
      <x:c r="CF35" s="1149"/>
      <x:c r="CG35" s="1150"/>
      <x:c r="CH35" s="738" t="str">
        <x:f t="shared" si="34"/>
        <x:v/>
      </x:c>
      <x:c r="CI35" s="739" t="str">
        <x:f t="shared" si="35"/>
        <x:v/>
      </x:c>
      <x:c r="CJ35" s="740" t="str">
        <x:f t="shared" si="36"/>
        <x:v/>
      </x:c>
      <x:c r="CK35" s="741" t="str">
        <x:f t="shared" si="37"/>
        <x:v/>
      </x:c>
      <x:c r="CL35" s="742" t="str">
        <x:f t="shared" si="38"/>
        <x:v/>
      </x:c>
      <x:c r="CM35" s="743" t="str">
        <x:f t="shared" si="39"/>
        <x:v/>
      </x:c>
      <x:c r="CN35" s="744" t="str">
        <x:f t="shared" si="40"/>
        <x:v/>
      </x:c>
      <x:c r="CO35" s="745" t="str">
        <x:f t="shared" si="41"/>
        <x:v/>
      </x:c>
      <x:c r="CP35" s="762" t="str">
        <x:f t="shared" si="42"/>
        <x:v/>
      </x:c>
      <x:c r="CQ35" s="763" t="str">
        <x:f t="shared" si="43"/>
        <x:v/>
      </x:c>
      <x:c r="CR35" s="953">
        <x:f t="shared" si="44"/>
        <x:v>2.5</x:v>
      </x:c>
      <x:c r="CS35" s="954">
        <x:f t="shared" si="45"/>
        <x:v>2.5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6"/>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7"/>
        <x:v>0</x:v>
      </x:c>
      <x:c r="DO35" s="1049">
        <x:f t="shared" si="48"/>
        <x:v>0</x:v>
      </x:c>
      <x:c r="DP35" s="1053" t="str">
        <x:f t="shared" si="49"/>
        <x:v/>
      </x:c>
      <x:c r="DQ35" s="1053" t="str">
        <x:f t="shared" si="50"/>
        <x:v/>
      </x:c>
      <x:c r="DR35" s="1053" t="str">
        <x:f t="shared" si="51"/>
        <x:v/>
      </x:c>
      <x:c r="DS35" s="1052">
        <x:f t="shared" si="52"/>
        <x:v>0</x:v>
      </x:c>
      <x:c r="DT35" s="1052">
        <x:f t="shared" si="53"/>
        <x:v>0</x:v>
      </x:c>
      <x:c r="DU35" s="1052" t="str">
        <x:f t="shared" si="54"/>
        <x:v/>
      </x:c>
      <x:c r="DV35" s="1053" t="str">
        <x:f t="shared" si="55"/>
        <x:v/>
      </x:c>
      <x:c r="DW35" s="1053" t="str">
        <x:f t="shared" si="56"/>
        <x:v/>
      </x:c>
      <x:c r="DX35" s="1269">
        <x:f t="shared" si="57"/>
        <x:v>0</x:v>
      </x:c>
      <x:c r="DY35" s="1053">
        <x:f t="shared" si="58"/>
        <x:v>0</x:v>
      </x:c>
      <x:c r="DZ35" s="1052">
        <x:f t="shared" si="59"/>
        <x:v>0</x:v>
      </x:c>
      <x:c r="EA35" s="1052" t="str">
        <x:f t="shared" si="60"/>
        <x:v/>
      </x:c>
      <x:c r="EB35" s="1053" t="str">
        <x:f t="shared" si="61"/>
        <x:v/>
      </x:c>
      <x:c r="EC35" s="1053" t="str">
        <x:f t="shared" si="62"/>
        <x:v/>
      </x:c>
      <x:c r="ED35" s="1269">
        <x:f t="shared" si="63"/>
        <x:v>0</x:v>
      </x:c>
      <x:c r="EE35" s="1090" t="str">
        <x:f t="shared" si="64"/>
        <x:v/>
      </x:c>
      <x:c r="EF35" s="1053" t="str">
        <x:f t="shared" si="65"/>
        <x:v/>
      </x:c>
      <x:c r="EG35" s="1053" t="str">
        <x:f t="shared" si="66"/>
        <x:v/>
      </x:c>
      <x:c r="EH35" s="1053" t="str">
        <x:f t="shared" si="67"/>
        <x:v>ERR</x:v>
      </x:c>
      <x:c r="EI35" s="1053" t="str">
        <x:f t="shared" si="68"/>
        <x:v>ERR</x:v>
      </x:c>
      <x:c r="EJ35" s="1053" t="str">
        <x:f t="shared" si="69"/>
        <x:v/>
      </x:c>
      <x:c r="EK35" s="1053" t="str">
        <x:f t="shared" si="69"/>
        <x:v/>
      </x:c>
      <x:c r="EL35" s="1090" t="str">
        <x:f t="shared" si="70"/>
        <x:v/>
      </x:c>
      <x:c r="EM35" s="1053" t="str">
        <x:f t="shared" si="71"/>
        <x:v/>
      </x:c>
      <x:c r="EN35" s="1053" t="str">
        <x:f t="shared" si="72"/>
        <x:v/>
      </x:c>
      <x:c r="EO35" s="1053" t="str">
        <x:f t="shared" si="73"/>
        <x:v>ERR</x:v>
      </x:c>
      <x:c r="EP35" s="1053" t="str">
        <x:f t="shared" si="74"/>
        <x:v>ERR</x:v>
      </x:c>
      <x:c r="EQ35" s="1053" t="str">
        <x:f t="shared" si="75"/>
        <x:v/>
      </x:c>
      <x:c r="ER35" s="1053" t="str">
        <x:f t="shared" si="75"/>
        <x:v/>
      </x:c>
      <x:c r="ES35" s="1053" t="str">
        <x:f t="shared" si="76"/>
        <x:v/>
      </x:c>
      <x:c r="ET35" s="1053" t="str">
        <x:f t="shared" si="77"/>
        <x:v/>
      </x:c>
      <x:c r="EU35" s="1061">
        <x:f t="shared" si="78"/>
        <x:v>3.5</x:v>
      </x:c>
      <x:c r="EV35" s="1055" t="str">
        <x:f t="shared" si="79"/>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0"/>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1"/>
        <x:v/>
      </x:c>
      <x:c r="FD35" s="1052">
        <x:f t="shared" si="103"/>
        <x:v>0</x:v>
      </x:c>
      <x:c r="FE35" s="1052">
        <x:f t="shared" si="82"/>
        <x:v>0</x:v>
      </x:c>
      <x:c r="FF35" s="1052">
        <x:f t="shared" si="83"/>
        <x:v>0</x:v>
      </x:c>
      <x:c r="FG35" s="1052" t="str">
        <x:f t="shared" si="84"/>
        <x:v/>
      </x:c>
      <x:c r="FH35" s="1053" t="str">
        <x:f t="shared" si="85"/>
        <x:v/>
      </x:c>
      <x:c r="FI35" s="1052">
        <x:f t="shared" si="104"/>
        <x:v>0</x:v>
      </x:c>
      <x:c r="FJ35" s="1052">
        <x:f t="shared" si="86"/>
        <x:v>0</x:v>
      </x:c>
      <x:c r="FK35" s="1052">
        <x:f t="shared" si="87"/>
        <x:v>0</x:v>
      </x:c>
      <x:c r="FL35" s="1052" t="str">
        <x:f t="shared" si="88"/>
        <x:v/>
      </x:c>
      <x:c r="FM35" s="1053" t="str">
        <x:f t="shared" si="89"/>
        <x:v/>
      </x:c>
      <x:c r="FN35" s="1053" t="e">
        <x:f t="shared" si="90"/>
        <x:v>#VALUE!</x:v>
      </x:c>
      <x:c r="FO35" s="1062" t="e">
        <x:f t="shared" si="91"/>
        <x:v>#VALUE!</x:v>
      </x:c>
      <x:c r="FP35" s="1062" t="e">
        <x:f t="shared" si="92"/>
        <x:v>#VALUE!</x:v>
      </x:c>
      <x:c r="FQ35" s="1063" t="e">
        <x:f t="shared" si="93"/>
        <x:v>#VALUE!</x:v>
      </x:c>
      <x:c r="FR35" s="1064" t="e">
        <x:f t="shared" si="94"/>
        <x:v>#VALUE!</x:v>
      </x:c>
      <x:c r="FS35" s="1065" t="str">
        <x:f t="shared" si="95"/>
        <x:v/>
      </x:c>
      <x:c r="FT35" s="1066" t="str">
        <x:f t="shared" si="96"/>
        <x:v/>
      </x:c>
      <x:c r="FU35" s="1105">
        <x:f t="shared" si="97"/>
        <x:v>0</x:v>
      </x:c>
      <x:c r="FV35" s="1106">
        <x:f t="shared" si="98"/>
        <x:v>0</x:v>
      </x:c>
      <x:c r="GA35" s="1975">
        <x:v>40</x:v>
      </x:c>
      <x:c r="GB35" s="1976">
        <x:v>3.5</x:v>
      </x:c>
      <x:c r="GC35" s="1977">
        <x:v>-0.25</x:v>
      </x:c>
      <x:c r="GD35" s="1978">
        <x:v>-0.5</x:v>
      </x:c>
      <x:c r="GE35" s="1979">
        <x:v>-0.38595006058679698</x:v>
      </x:c>
      <x:c r="GF35" s="1980" t="str">
        <x:f t="shared" si="99"/>
        <x:v>J211</x:v>
      </x:c>
      <x:c r="GG35" s="1453"/>
      <x:c r="GH35" s="1454"/>
      <x:c r="GI35" s="1453"/>
      <x:c r="GJ35" s="1454"/>
      <x:c r="GK35" s="533">
        <x:f t="shared" si="100"/>
        <x:v>482.75</x:v>
      </x:c>
      <x:c r="GL35" s="534">
        <x:f t="shared" si="101"/>
        <x:v>482.9996202154295</x:v>
      </x:c>
      <x:c r="GM35" s="535">
        <x:f>IF(ABS(GK35-GL35)&gt;='Job Info.'!$L$22,ABS(GK35-GL35),0)</x:f>
        <x:v>0</x:v>
      </x:c>
      <x:c r="HA35" s="1658" t="s">
        <x:v>1535</x:v>
      </x:c>
      <x:c r="HB35" s="1659">
        <x:v>1</x:v>
      </x:c>
      <x:c r="HC35" s="1659" t="s">
        <x:v>1979</x:v>
      </x:c>
      <x:c r="HD35" s="1660">
        <x:v>40</x:v>
      </x:c>
      <x:c r="HE35" s="1661">
        <x:v>2.75</x:v>
      </x:c>
      <x:c r="HF35" s="1659">
        <x:v>0</x:v>
      </x:c>
      <x:c r="HG35" s="1659">
        <x:v>1.375</x:v>
      </x:c>
      <x:c r="HH35" s="1659" t="s">
        <x:v>114</x:v>
      </x:c>
      <x:c r="HI35" s="1662">
        <x:v>0</x:v>
      </x:c>
      <x:c r="HJ35" s="1659">
        <x:v>0.25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x:v>-0.38595006058679698</x:v>
      </x:c>
      <x:c r="HZ35" s="1661">
        <x:v>0.38595006058679698</x:v>
      </x:c>
      <x:c r="IA35" s="1661" t="s">
        <x:v>2221</x:v>
      </x:c>
      <x:c r="IB35" s="1661"/>
      <x:c r="IC35" s="1661"/>
      <x:c r="ID35" s="1661"/>
      <x:c r="IE35" s="1661"/>
      <x:c r="IF35" s="1663"/>
    </x:row>
    <x:row r="36" spans="1:240" ht="12.6" customHeight="1" x14ac:dyDescent="0.25">
      <x:c r="A36" s="1264" t="s">
        <x:v>1536</x:v>
      </x:c>
      <x:c r="B36" s="1265">
        <x:v>1</x:v>
      </x:c>
      <x:c r="C36" s="1265" t="s">
        <x:v>1979</x:v>
      </x:c>
      <x:c r="D36" s="1261">
        <x:v>49</x:v>
      </x:c>
      <x:c r="E36" s="1366">
        <x:v>0.625</x:v>
      </x:c>
      <x:c r="F36" s="1328">
        <x:v>0</x:v>
      </x:c>
      <x:c r="G36" s="1262">
        <x:v>1.375</x:v>
      </x:c>
      <x:c r="H36" s="1266" t="s">
        <x:v>114</x:v>
      </x:c>
      <x:c r="I36" s="1261" t="str">
        <x:f t="shared" ref="I36:I44" si="107">IF(ED36=0,"",TRUNC(ED36/12))</x:f>
        <x:v/>
      </x:c>
      <x:c r="J36" s="1262" t="str">
        <x:f t="shared" ref="J36:J44" si="108">IF(ED36=0,"",ED36-(I36*12))</x:f>
        <x:v/>
      </x:c>
      <x:c r="K36" s="1370" t="str">
        <x:f t="shared" ref="K36:K44" si="109">IF(ED36=0,"",DG36)</x:f>
        <x:v/>
      </x:c>
      <x:c r="L36" s="1327">
        <x:v>3</x:v>
      </x:c>
      <x:c r="M36" s="1329">
        <x:v>3</x:v>
      </x:c>
      <x:c r="N36" s="1263" t="str">
        <x:f t="shared" si="1"/>
        <x:v/>
      </x:c>
      <x:c r="O36" s="1262" t="str">
        <x:f t="shared" si="2"/>
        <x:v/>
      </x:c>
      <x:c r="P36" s="1260" t="str">
        <x:f t="shared" si="3"/>
        <x:v/>
      </x:c>
      <x:c r="Q36" s="1261" t="str">
        <x:f t="shared" si="4"/>
        <x:v/>
      </x:c>
      <x:c r="R36" s="1262" t="str">
        <x:f t="shared" si="5"/>
        <x:v/>
      </x:c>
      <x:c r="S36" s="1375" t="str">
        <x:f t="shared" si="6"/>
        <x:v/>
      </x:c>
      <x:c r="T36" s="1328">
        <x:v>0</x:v>
      </x:c>
      <x:c r="U36" s="1262">
        <x:v>2.25</x:v>
      </x:c>
      <x:c r="V36" s="1261">
        <x:v>0</x:v>
      </x:c>
      <x:c r="W36" s="1262">
        <x:v>1.125</x:v>
      </x:c>
      <x:c r="X36" s="1329">
        <x:v>4</x:v>
      </x:c>
      <x:c r="Y36" s="1377" t="str">
        <x:f t="shared" si="105"/>
        <x:v/>
      </x:c>
      <x:c r="Z36" s="1378" t="str">
        <x:f t="shared" si="106"/>
        <x:v/>
      </x:c>
      <x:c r="AA36" s="2159" t="s">
        <x:v>2222</x:v>
      </x:c>
      <x:c r="AC36" s="1226" t="b">
        <x:v>0</x:v>
      </x:c>
      <x:c r="AD36" s="525">
        <x:f t="shared" si="12"/>
        <x:v>1</x:v>
      </x:c>
      <x:c r="AE36" s="526">
        <x:f t="shared" si="13"/>
        <x:v>0</x:v>
      </x:c>
      <x:c r="AF36" s="526">
        <x:f t="shared" si="14"/>
        <x:v>0</x:v>
      </x:c>
      <x:c r="AG36" s="526">
        <x:f t="shared" si="15"/>
        <x:v>0</x:v>
      </x:c>
      <x:c r="AH36" s="527">
        <x:f t="shared" si="16"/>
        <x:v>0</x:v>
      </x:c>
      <x:c r="AI36" s="528" t="b">
        <x:v>0</x:v>
      </x:c>
      <x:c r="AJ36" s="284">
        <x:f t="shared" si="17"/>
        <x:v>30</x:v>
      </x:c>
      <x:c r="AK36" s="1063" t="str">
        <x:f t="shared" si="18"/>
        <x:v>K</x:v>
      </x:c>
      <x:c r="AL36" s="1202" t="str">
        <x:f t="shared" si="19"/>
        <x:v/>
      </x:c>
      <x:c r="AM36" s="1063">
        <x:f t="shared" si="20"/>
        <x:v>240</x:v>
      </x:c>
      <x:c r="AN36" s="1063">
        <x:f t="shared" si="21"/>
        <x:v>140</x:v>
      </x:c>
      <x:c r="AO36" s="1063" t="str">
        <x:f t="shared" si="22"/>
        <x:v/>
      </x:c>
      <x:c r="AP36" s="1063" t="b">
        <x:f>IF(ISERROR(AJ36),FALSE,IF(OR(AJ36=0,ISERROR(AL36),ISERROR(AM36),ISERROR(AN36),ISERROR(AO36)),FALSE,IF(AL36&lt;&gt;"",IF(ISERROR(VLOOKUP(SUBSTITUTE(SUBSTITUTE(C36,"R",""),"A",""),TblJoistSize!$A:$A,1,FALSE)),FALSE,TRUE),TRUE)))</x:f>
        <x:v>1</x:v>
      </x:c>
      <x:c r="AQ36" s="1305">
        <x:f t="shared" si="23"/>
        <x:v>5.375</x:v>
      </x:c>
      <x:c r="AR36" s="1305" t="b">
        <x:f t="shared" si="24"/>
        <x:v>1</x:v>
      </x:c>
      <x:c r="AS36" s="1305">
        <x:f t="shared" si="25"/>
        <x:v>4</x:v>
      </x:c>
      <x:c r="AT36" s="1305" t="b">
        <x:f t="shared" si="26"/>
        <x:v>1</x:v>
      </x:c>
      <x:c r="AU36" s="1203" t="str">
        <x:f t="shared" si="27"/>
        <x:v>K</x:v>
      </x:c>
      <x:c r="AV36" s="1063" t="str">
        <x:f t="shared" si="28"/>
        <x:v>K</x:v>
      </x:c>
      <x:c r="AW36" s="1063" t="str">
        <x:f t="shared" si="29"/>
        <x:v/>
      </x:c>
      <x:c r="AX36" s="1063" t="str">
        <x:f t="shared" si="102"/>
        <x:v>TJ212</x:v>
      </x:c>
      <x:c r="AY36" s="1306" t="b">
        <x:f t="shared" si="30"/>
        <x:v>0</x:v>
      </x:c>
      <x:c r="AZ36" s="1090" t="b">
        <x:f t="shared" si="31"/>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2"/>
        <x:v/>
      </x:c>
      <x:c r="CE36" s="935" t="str">
        <x:f t="shared" si="33"/>
        <x:v/>
      </x:c>
      <x:c r="CF36" s="1149"/>
      <x:c r="CG36" s="1150"/>
      <x:c r="CH36" s="738" t="str">
        <x:f t="shared" si="34"/>
        <x:v/>
      </x:c>
      <x:c r="CI36" s="739" t="str">
        <x:f t="shared" si="35"/>
        <x:v/>
      </x:c>
      <x:c r="CJ36" s="740" t="str">
        <x:f t="shared" si="36"/>
        <x:v/>
      </x:c>
      <x:c r="CK36" s="741" t="str">
        <x:f t="shared" si="37"/>
        <x:v/>
      </x:c>
      <x:c r="CL36" s="742" t="str">
        <x:f t="shared" si="38"/>
        <x:v/>
      </x:c>
      <x:c r="CM36" s="743" t="str">
        <x:f t="shared" si="39"/>
        <x:v/>
      </x:c>
      <x:c r="CN36" s="744" t="str">
        <x:f t="shared" si="40"/>
        <x:v/>
      </x:c>
      <x:c r="CO36" s="745" t="str">
        <x:f t="shared" si="41"/>
        <x:v/>
      </x:c>
      <x:c r="CP36" s="762" t="str">
        <x:f t="shared" si="42"/>
        <x:v/>
      </x:c>
      <x:c r="CQ36" s="763" t="str">
        <x:f t="shared" si="43"/>
        <x:v/>
      </x:c>
      <x:c r="CR36" s="953">
        <x:f t="shared" si="44"/>
        <x:v>2.5</x:v>
      </x:c>
      <x:c r="CS36" s="954">
        <x:f t="shared" si="45"/>
        <x:v>2.5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6"/>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7"/>
        <x:v>0</x:v>
      </x:c>
      <x:c r="DO36" s="1049">
        <x:f t="shared" si="48"/>
        <x:v>0</x:v>
      </x:c>
      <x:c r="DP36" s="1053" t="str">
        <x:f t="shared" si="49"/>
        <x:v/>
      </x:c>
      <x:c r="DQ36" s="1053" t="str">
        <x:f t="shared" si="50"/>
        <x:v/>
      </x:c>
      <x:c r="DR36" s="1053" t="str">
        <x:f t="shared" si="51"/>
        <x:v/>
      </x:c>
      <x:c r="DS36" s="1052">
        <x:f t="shared" si="52"/>
        <x:v>0</x:v>
      </x:c>
      <x:c r="DT36" s="1052">
        <x:f t="shared" si="53"/>
        <x:v>0</x:v>
      </x:c>
      <x:c r="DU36" s="1052" t="str">
        <x:f t="shared" si="54"/>
        <x:v/>
      </x:c>
      <x:c r="DV36" s="1053" t="str">
        <x:f t="shared" si="55"/>
        <x:v/>
      </x:c>
      <x:c r="DW36" s="1053" t="str">
        <x:f t="shared" si="56"/>
        <x:v/>
      </x:c>
      <x:c r="DX36" s="1269">
        <x:f t="shared" si="57"/>
        <x:v>0</x:v>
      </x:c>
      <x:c r="DY36" s="1053">
        <x:f t="shared" si="58"/>
        <x:v>0</x:v>
      </x:c>
      <x:c r="DZ36" s="1052">
        <x:f t="shared" si="59"/>
        <x:v>0</x:v>
      </x:c>
      <x:c r="EA36" s="1052" t="str">
        <x:f t="shared" si="60"/>
        <x:v/>
      </x:c>
      <x:c r="EB36" s="1053" t="str">
        <x:f t="shared" si="61"/>
        <x:v/>
      </x:c>
      <x:c r="EC36" s="1053" t="str">
        <x:f t="shared" si="62"/>
        <x:v/>
      </x:c>
      <x:c r="ED36" s="1269">
        <x:f t="shared" si="63"/>
        <x:v>0</x:v>
      </x:c>
      <x:c r="EE36" s="1090" t="str">
        <x:f t="shared" si="64"/>
        <x:v/>
      </x:c>
      <x:c r="EF36" s="1053" t="str">
        <x:f t="shared" si="65"/>
        <x:v/>
      </x:c>
      <x:c r="EG36" s="1053" t="str">
        <x:f t="shared" si="66"/>
        <x:v/>
      </x:c>
      <x:c r="EH36" s="1053" t="str">
        <x:f t="shared" si="67"/>
        <x:v>ERR</x:v>
      </x:c>
      <x:c r="EI36" s="1053" t="str">
        <x:f t="shared" si="68"/>
        <x:v>ERR</x:v>
      </x:c>
      <x:c r="EJ36" s="1053" t="str">
        <x:f t="shared" si="69"/>
        <x:v/>
      </x:c>
      <x:c r="EK36" s="1053" t="str">
        <x:f t="shared" si="69"/>
        <x:v/>
      </x:c>
      <x:c r="EL36" s="1090" t="str">
        <x:f t="shared" si="70"/>
        <x:v/>
      </x:c>
      <x:c r="EM36" s="1053" t="str">
        <x:f t="shared" si="71"/>
        <x:v/>
      </x:c>
      <x:c r="EN36" s="1053" t="str">
        <x:f t="shared" si="72"/>
        <x:v/>
      </x:c>
      <x:c r="EO36" s="1053" t="str">
        <x:f t="shared" si="73"/>
        <x:v>ERR</x:v>
      </x:c>
      <x:c r="EP36" s="1053" t="str">
        <x:f t="shared" si="74"/>
        <x:v>ERR</x:v>
      </x:c>
      <x:c r="EQ36" s="1053" t="str">
        <x:f t="shared" si="75"/>
        <x:v/>
      </x:c>
      <x:c r="ER36" s="1053" t="str">
        <x:f t="shared" si="75"/>
        <x:v/>
      </x:c>
      <x:c r="ES36" s="1053" t="str">
        <x:f t="shared" si="76"/>
        <x:v/>
      </x:c>
      <x:c r="ET36" s="1053" t="str">
        <x:f t="shared" si="77"/>
        <x:v/>
      </x:c>
      <x:c r="EU36" s="1061">
        <x:f t="shared" si="78"/>
        <x:v>3.5</x:v>
      </x:c>
      <x:c r="EV36" s="1055" t="str">
        <x:f t="shared" si="79"/>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0"/>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1"/>
        <x:v/>
      </x:c>
      <x:c r="FD36" s="1052">
        <x:f t="shared" si="103"/>
        <x:v>0</x:v>
      </x:c>
      <x:c r="FE36" s="1052">
        <x:f t="shared" si="82"/>
        <x:v>0</x:v>
      </x:c>
      <x:c r="FF36" s="1052">
        <x:f t="shared" si="83"/>
        <x:v>0</x:v>
      </x:c>
      <x:c r="FG36" s="1052" t="str">
        <x:f t="shared" si="84"/>
        <x:v/>
      </x:c>
      <x:c r="FH36" s="1053" t="str">
        <x:f t="shared" si="85"/>
        <x:v/>
      </x:c>
      <x:c r="FI36" s="1052">
        <x:f t="shared" si="104"/>
        <x:v>0</x:v>
      </x:c>
      <x:c r="FJ36" s="1052">
        <x:f t="shared" si="86"/>
        <x:v>0</x:v>
      </x:c>
      <x:c r="FK36" s="1052">
        <x:f t="shared" si="87"/>
        <x:v>0</x:v>
      </x:c>
      <x:c r="FL36" s="1052" t="str">
        <x:f t="shared" si="88"/>
        <x:v/>
      </x:c>
      <x:c r="FM36" s="1053" t="str">
        <x:f t="shared" si="89"/>
        <x:v/>
      </x:c>
      <x:c r="FN36" s="1053" t="e">
        <x:f t="shared" si="90"/>
        <x:v>#VALUE!</x:v>
      </x:c>
      <x:c r="FO36" s="1062" t="e">
        <x:f t="shared" si="91"/>
        <x:v>#VALUE!</x:v>
      </x:c>
      <x:c r="FP36" s="1062" t="e">
        <x:f t="shared" si="92"/>
        <x:v>#VALUE!</x:v>
      </x:c>
      <x:c r="FQ36" s="1063" t="e">
        <x:f t="shared" si="93"/>
        <x:v>#VALUE!</x:v>
      </x:c>
      <x:c r="FR36" s="1064" t="e">
        <x:f t="shared" si="94"/>
        <x:v>#VALUE!</x:v>
      </x:c>
      <x:c r="FS36" s="1065" t="str">
        <x:f t="shared" si="95"/>
        <x:v/>
      </x:c>
      <x:c r="FT36" s="1066" t="str">
        <x:f t="shared" si="96"/>
        <x:v/>
      </x:c>
      <x:c r="FU36" s="1105">
        <x:f t="shared" si="97"/>
        <x:v>0</x:v>
      </x:c>
      <x:c r="FV36" s="1106">
        <x:f t="shared" si="98"/>
        <x:v>0</x:v>
      </x:c>
      <x:c r="GA36" s="1975">
        <x:v>49</x:v>
      </x:c>
      <x:c r="GB36" s="1976">
        <x:v>2.75</x:v>
      </x:c>
      <x:c r="GC36" s="1977">
        <x:v>-0.25</x:v>
      </x:c>
      <x:c r="GD36" s="1978">
        <x:v>-1.875</x:v>
      </x:c>
      <x:c r="GE36" s="1979">
        <x:v>-0.314853999153618</x:v>
      </x:c>
      <x:c r="GF36" s="1980" t="str">
        <x:f t="shared" si="99"/>
        <x:v>TJ212</x:v>
      </x:c>
      <x:c r="GG36" s="1453"/>
      <x:c r="GH36" s="1454"/>
      <x:c r="GI36" s="1453"/>
      <x:c r="GJ36" s="1454"/>
      <x:c r="GK36" s="533">
        <x:f t="shared" si="100"/>
        <x:v>588.625</x:v>
      </x:c>
      <x:c r="GL36" s="534">
        <x:f t="shared" si="101"/>
        <x:v>588.827576898703</x:v>
      </x:c>
      <x:c r="GM36" s="535">
        <x:f>IF(ABS(GK36-GL36)&gt;='Job Info.'!$L$22,ABS(GK36-GL36),0)</x:f>
        <x:v>0</x:v>
      </x:c>
      <x:c r="HA36" s="1658" t="s">
        <x:v>1536</x:v>
      </x:c>
      <x:c r="HB36" s="1659">
        <x:v>1</x:v>
      </x:c>
      <x:c r="HC36" s="1659" t="s">
        <x:v>1979</x:v>
      </x:c>
      <x:c r="HD36" s="1660">
        <x:v>49</x:v>
      </x:c>
      <x:c r="HE36" s="1661">
        <x:v>0.625</x:v>
      </x:c>
      <x:c r="HF36" s="1659">
        <x:v>0</x:v>
      </x:c>
      <x:c r="HG36" s="1659">
        <x:v>1.375</x:v>
      </x:c>
      <x:c r="HH36" s="1659" t="s">
        <x:v>114</x:v>
      </x:c>
      <x:c r="HI36" s="1662" t="s">
        <x:v>117</x:v>
      </x:c>
      <x:c r="HJ36" s="1659" t="s">
        <x:v>117</x:v>
      </x:c>
      <x:c r="HK36" s="1659" t="s">
        <x:v>117</x:v>
      </x:c>
      <x:c r="HL36" s="1659">
        <x:v>3</x:v>
      </x:c>
      <x:c r="HM36" s="1659">
        <x:v>3</x:v>
      </x:c>
      <x:c r="HN36" s="1659" t="s">
        <x:v>117</x:v>
      </x:c>
      <x:c r="HO36" s="1659" t="s">
        <x:v>117</x:v>
      </x:c>
      <x:c r="HP36" s="1659" t="s">
        <x:v>117</x:v>
      </x:c>
      <x:c r="HQ36" s="1662" t="s">
        <x:v>117</x:v>
      </x:c>
      <x:c r="HR36" s="1659" t="s">
        <x:v>117</x:v>
      </x:c>
      <x:c r="HS36" s="1659" t="s">
        <x:v>117</x:v>
      </x:c>
      <x:c r="HT36" s="1659">
        <x:v>0</x:v>
      </x:c>
      <x:c r="HU36" s="1659">
        <x:v>2.25</x:v>
      </x:c>
      <x:c r="HV36" s="1659">
        <x:v>0</x:v>
      </x:c>
      <x:c r="HW36" s="1661">
        <x:v>1.125</x:v>
      </x:c>
      <x:c r="HX36" s="1661">
        <x:v>4</x:v>
      </x:c>
      <x:c r="HY36" s="1661" t="s">
        <x:v>117</x:v>
      </x:c>
      <x:c r="HZ36" s="1661" t="s">
        <x:v>117</x:v>
      </x:c>
      <x:c r="IA36" s="1661" t="s">
        <x:v>2222</x:v>
      </x:c>
      <x:c r="IB36" s="1661"/>
      <x:c r="IC36" s="1661"/>
      <x:c r="ID36" s="1661"/>
      <x:c r="IE36" s="1661"/>
      <x:c r="IF36" s="1663"/>
    </x:row>
    <x:row r="37" spans="1:240" ht="12.6" customHeight="1" x14ac:dyDescent="0.25">
      <x:c r="A37" s="1264" t="s">
        <x:v>1537</x:v>
      </x:c>
      <x:c r="B37" s="1265">
        <x:v>1</x:v>
      </x:c>
      <x:c r="C37" s="1265" t="s">
        <x:v>1979</x:v>
      </x:c>
      <x:c r="D37" s="1261">
        <x:v>48</x:v>
      </x:c>
      <x:c r="E37" s="1366">
        <x:v>11.875</x:v>
      </x:c>
      <x:c r="F37" s="1328">
        <x:v>0</x:v>
      </x:c>
      <x:c r="G37" s="1262">
        <x:v>0.625</x:v>
      </x:c>
      <x:c r="H37" s="1266" t="s">
        <x:v>114</x:v>
      </x:c>
      <x:c r="I37" s="1261" t="str">
        <x:f t="shared" si="107"/>
        <x:v/>
      </x:c>
      <x:c r="J37" s="1262" t="str">
        <x:f t="shared" si="108"/>
        <x:v/>
      </x:c>
      <x:c r="K37" s="1370" t="str">
        <x:f t="shared" si="109"/>
        <x:v/>
      </x:c>
      <x:c r="L37" s="1327">
        <x:v>3</x:v>
      </x:c>
      <x:c r="M37" s="1329">
        <x:v>3</x:v>
      </x:c>
      <x:c r="N37" s="1263">
        <x:v>0</x:v>
      </x:c>
      <x:c r="O37" s="1262">
        <x:v>6.75</x:v>
      </x:c>
      <x:c r="P37" s="1260">
        <x:v>2</x:v>
      </x:c>
      <x:c r="Q37" s="1261" t="str">
        <x:f t="shared" si="4"/>
        <x:v/>
      </x:c>
      <x:c r="R37" s="1262" t="str">
        <x:f t="shared" si="5"/>
        <x:v/>
      </x:c>
      <x:c r="S37" s="1375" t="str">
        <x:f t="shared" si="6"/>
        <x:v/>
      </x:c>
      <x:c r="T37" s="1328">
        <x:v>0</x:v>
      </x:c>
      <x:c r="U37" s="1262">
        <x:v>1.5</x:v>
      </x:c>
      <x:c r="V37" s="1261">
        <x:v>0</x:v>
      </x:c>
      <x:c r="W37" s="1262">
        <x:v>1.125</x:v>
      </x:c>
      <x:c r="X37" s="1329">
        <x:v>4</x:v>
      </x:c>
      <x:c r="Y37" s="1377" t="str">
        <x:f t="shared" si="105"/>
        <x:v/>
      </x:c>
      <x:c r="Z37" s="1378" t="str">
        <x:f t="shared" si="106"/>
        <x:v/>
      </x:c>
      <x:c r="AA37" s="2159" t="s">
        <x:v>2223</x:v>
      </x:c>
      <x:c r="AC37" s="1226" t="b">
        <x:v>0</x:v>
      </x:c>
      <x:c r="AD37" s="525">
        <x:f t="shared" si="12"/>
        <x:v>1</x:v>
      </x:c>
      <x:c r="AE37" s="526">
        <x:f t="shared" si="13"/>
        <x:v>0</x:v>
      </x:c>
      <x:c r="AF37" s="526">
        <x:f t="shared" si="14"/>
        <x:v>0</x:v>
      </x:c>
      <x:c r="AG37" s="526">
        <x:f t="shared" si="15"/>
        <x:v>0</x:v>
      </x:c>
      <x:c r="AH37" s="527">
        <x:f t="shared" si="16"/>
        <x:v>0</x:v>
      </x:c>
      <x:c r="AI37" s="528" t="b">
        <x:v>0</x:v>
      </x:c>
      <x:c r="AJ37" s="284">
        <x:f t="shared" si="17"/>
        <x:v>30</x:v>
      </x:c>
      <x:c r="AK37" s="1063" t="str">
        <x:f t="shared" si="18"/>
        <x:v>K</x:v>
      </x:c>
      <x:c r="AL37" s="1202" t="str">
        <x:f t="shared" si="19"/>
        <x:v/>
      </x:c>
      <x:c r="AM37" s="1063">
        <x:f t="shared" si="20"/>
        <x:v>240</x:v>
      </x:c>
      <x:c r="AN37" s="1063">
        <x:f t="shared" si="21"/>
        <x:v>140</x:v>
      </x:c>
      <x:c r="AO37" s="1063" t="str">
        <x:f t="shared" si="22"/>
        <x:v/>
      </x:c>
      <x:c r="AP37" s="1063" t="b">
        <x:f>IF(ISERROR(AJ37),FALSE,IF(OR(AJ37=0,ISERROR(AL37),ISERROR(AM37),ISERROR(AN37),ISERROR(AO37)),FALSE,IF(AL37&lt;&gt;"",IF(ISERROR(VLOOKUP(SUBSTITUTE(SUBSTITUTE(C37,"R",""),"A",""),TblJoistSize!$A:$A,1,FALSE)),FALSE,TRUE),TRUE)))</x:f>
        <x:v>1</x:v>
      </x:c>
      <x:c r="AQ37" s="1305">
        <x:f t="shared" si="23"/>
        <x:v>4.625</x:v>
      </x:c>
      <x:c r="AR37" s="1305" t="b">
        <x:f t="shared" si="24"/>
        <x:v>1</x:v>
      </x:c>
      <x:c r="AS37" s="1305">
        <x:f t="shared" si="25"/>
        <x:v>4</x:v>
      </x:c>
      <x:c r="AT37" s="1305" t="b">
        <x:f t="shared" si="26"/>
        <x:v>1</x:v>
      </x:c>
      <x:c r="AU37" s="1203" t="str">
        <x:f t="shared" si="27"/>
        <x:v>K</x:v>
      </x:c>
      <x:c r="AV37" s="1063" t="str">
        <x:f t="shared" si="28"/>
        <x:v>K</x:v>
      </x:c>
      <x:c r="AW37" s="1063" t="str">
        <x:f t="shared" si="29"/>
        <x:v/>
      </x:c>
      <x:c r="AX37" s="1063" t="str">
        <x:f t="shared" si="102"/>
        <x:v>TJ213</x:v>
      </x:c>
      <x:c r="AY37" s="1306" t="b">
        <x:f t="shared" si="30"/>
        <x:v>0</x:v>
      </x:c>
      <x:c r="AZ37" s="1090" t="b">
        <x:f t="shared" si="31"/>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2"/>
        <x:v/>
      </x:c>
      <x:c r="CE37" s="935" t="str">
        <x:f t="shared" si="33"/>
        <x:v/>
      </x:c>
      <x:c r="CF37" s="1149"/>
      <x:c r="CG37" s="1150"/>
      <x:c r="CH37" s="738" t="str">
        <x:f t="shared" si="34"/>
        <x:v/>
      </x:c>
      <x:c r="CI37" s="739" t="str">
        <x:f t="shared" si="35"/>
        <x:v/>
      </x:c>
      <x:c r="CJ37" s="740" t="str">
        <x:f t="shared" si="36"/>
        <x:v/>
      </x:c>
      <x:c r="CK37" s="741" t="str">
        <x:f t="shared" si="37"/>
        <x:v/>
      </x:c>
      <x:c r="CL37" s="742" t="str">
        <x:f t="shared" si="38"/>
        <x:v/>
      </x:c>
      <x:c r="CM37" s="743" t="str">
        <x:f t="shared" si="39"/>
        <x:v/>
      </x:c>
      <x:c r="CN37" s="744" t="str">
        <x:f t="shared" si="40"/>
        <x:v/>
      </x:c>
      <x:c r="CO37" s="745" t="str">
        <x:f t="shared" si="41"/>
        <x:v/>
      </x:c>
      <x:c r="CP37" s="762" t="str">
        <x:f t="shared" si="42"/>
        <x:v/>
      </x:c>
      <x:c r="CQ37" s="763" t="str">
        <x:f t="shared" si="43"/>
        <x:v/>
      </x:c>
      <x:c r="CR37" s="953">
        <x:f t="shared" si="44"/>
        <x:v>2.5</x:v>
      </x:c>
      <x:c r="CS37" s="954">
        <x:f t="shared" si="45"/>
        <x:v>2.5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6"/>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7"/>
        <x:v>0</x:v>
      </x:c>
      <x:c r="DO37" s="1049">
        <x:f t="shared" si="48"/>
        <x:v>0</x:v>
      </x:c>
      <x:c r="DP37" s="1053" t="str">
        <x:f t="shared" si="49"/>
        <x:v/>
      </x:c>
      <x:c r="DQ37" s="1053" t="str">
        <x:f t="shared" si="50"/>
        <x:v/>
      </x:c>
      <x:c r="DR37" s="1053" t="str">
        <x:f t="shared" si="51"/>
        <x:v/>
      </x:c>
      <x:c r="DS37" s="1052">
        <x:f t="shared" si="52"/>
        <x:v>0</x:v>
      </x:c>
      <x:c r="DT37" s="1052">
        <x:f t="shared" si="53"/>
        <x:v>0</x:v>
      </x:c>
      <x:c r="DU37" s="1052" t="str">
        <x:f t="shared" si="54"/>
        <x:v/>
      </x:c>
      <x:c r="DV37" s="1053" t="str">
        <x:f t="shared" si="55"/>
        <x:v/>
      </x:c>
      <x:c r="DW37" s="1053" t="str">
        <x:f t="shared" si="56"/>
        <x:v/>
      </x:c>
      <x:c r="DX37" s="1269">
        <x:f t="shared" si="57"/>
        <x:v>0</x:v>
      </x:c>
      <x:c r="DY37" s="1053">
        <x:f t="shared" si="58"/>
        <x:v>0</x:v>
      </x:c>
      <x:c r="DZ37" s="1052">
        <x:f t="shared" si="59"/>
        <x:v>0</x:v>
      </x:c>
      <x:c r="EA37" s="1052" t="str">
        <x:f t="shared" si="60"/>
        <x:v/>
      </x:c>
      <x:c r="EB37" s="1053" t="str">
        <x:f t="shared" si="61"/>
        <x:v/>
      </x:c>
      <x:c r="EC37" s="1053" t="str">
        <x:f t="shared" si="62"/>
        <x:v/>
      </x:c>
      <x:c r="ED37" s="1269">
        <x:f t="shared" si="63"/>
        <x:v>0</x:v>
      </x:c>
      <x:c r="EE37" s="1090" t="str">
        <x:f t="shared" si="64"/>
        <x:v/>
      </x:c>
      <x:c r="EF37" s="1053" t="str">
        <x:f t="shared" si="65"/>
        <x:v/>
      </x:c>
      <x:c r="EG37" s="1053" t="str">
        <x:f t="shared" si="66"/>
        <x:v/>
      </x:c>
      <x:c r="EH37" s="1053" t="str">
        <x:f t="shared" si="67"/>
        <x:v>ERR</x:v>
      </x:c>
      <x:c r="EI37" s="1053" t="str">
        <x:f t="shared" si="68"/>
        <x:v>ERR</x:v>
      </x:c>
      <x:c r="EJ37" s="1053" t="str">
        <x:f t="shared" si="69"/>
        <x:v/>
      </x:c>
      <x:c r="EK37" s="1053" t="str">
        <x:f t="shared" si="69"/>
        <x:v/>
      </x:c>
      <x:c r="EL37" s="1090" t="str">
        <x:f t="shared" si="70"/>
        <x:v/>
      </x:c>
      <x:c r="EM37" s="1053" t="str">
        <x:f t="shared" si="71"/>
        <x:v/>
      </x:c>
      <x:c r="EN37" s="1053" t="str">
        <x:f t="shared" si="72"/>
        <x:v/>
      </x:c>
      <x:c r="EO37" s="1053" t="str">
        <x:f t="shared" si="73"/>
        <x:v>ERR</x:v>
      </x:c>
      <x:c r="EP37" s="1053" t="str">
        <x:f t="shared" si="74"/>
        <x:v>ERR</x:v>
      </x:c>
      <x:c r="EQ37" s="1053" t="str">
        <x:f t="shared" si="75"/>
        <x:v/>
      </x:c>
      <x:c r="ER37" s="1053" t="str">
        <x:f t="shared" si="75"/>
        <x:v/>
      </x:c>
      <x:c r="ES37" s="1053" t="str">
        <x:f t="shared" si="76"/>
        <x:v/>
      </x:c>
      <x:c r="ET37" s="1053" t="str">
        <x:f t="shared" si="77"/>
        <x:v/>
      </x:c>
      <x:c r="EU37" s="1061">
        <x:f t="shared" si="78"/>
        <x:v>3.5</x:v>
      </x:c>
      <x:c r="EV37" s="1055" t="str">
        <x:f t="shared" si="79"/>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0"/>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1"/>
        <x:v/>
      </x:c>
      <x:c r="FD37" s="1052">
        <x:f t="shared" si="103"/>
        <x:v>0</x:v>
      </x:c>
      <x:c r="FE37" s="1052">
        <x:f t="shared" si="82"/>
        <x:v>0</x:v>
      </x:c>
      <x:c r="FF37" s="1052">
        <x:f t="shared" si="83"/>
        <x:v>0</x:v>
      </x:c>
      <x:c r="FG37" s="1052" t="str">
        <x:f t="shared" si="84"/>
        <x:v/>
      </x:c>
      <x:c r="FH37" s="1053" t="str">
        <x:f t="shared" si="85"/>
        <x:v/>
      </x:c>
      <x:c r="FI37" s="1052">
        <x:f t="shared" si="104"/>
        <x:v>0</x:v>
      </x:c>
      <x:c r="FJ37" s="1052">
        <x:f t="shared" si="86"/>
        <x:v>0</x:v>
      </x:c>
      <x:c r="FK37" s="1052">
        <x:f t="shared" si="87"/>
        <x:v>0</x:v>
      </x:c>
      <x:c r="FL37" s="1052" t="str">
        <x:f t="shared" si="88"/>
        <x:v/>
      </x:c>
      <x:c r="FM37" s="1053" t="str">
        <x:f t="shared" si="89"/>
        <x:v/>
      </x:c>
      <x:c r="FN37" s="1053" t="e">
        <x:f t="shared" si="90"/>
        <x:v>#VALUE!</x:v>
      </x:c>
      <x:c r="FO37" s="1062" t="e">
        <x:f t="shared" si="91"/>
        <x:v>#VALUE!</x:v>
      </x:c>
      <x:c r="FP37" s="1062" t="e">
        <x:f t="shared" si="92"/>
        <x:v>#VALUE!</x:v>
      </x:c>
      <x:c r="FQ37" s="1063" t="e">
        <x:f t="shared" si="93"/>
        <x:v>#VALUE!</x:v>
      </x:c>
      <x:c r="FR37" s="1064" t="e">
        <x:f t="shared" si="94"/>
        <x:v>#VALUE!</x:v>
      </x:c>
      <x:c r="FS37" s="1065" t="str">
        <x:f t="shared" si="95"/>
        <x:v/>
      </x:c>
      <x:c r="FT37" s="1066" t="str">
        <x:f t="shared" si="96"/>
        <x:v/>
      </x:c>
      <x:c r="FU37" s="1105">
        <x:f t="shared" si="97"/>
        <x:v>0</x:v>
      </x:c>
      <x:c r="FV37" s="1106">
        <x:f t="shared" si="98"/>
        <x:v>0</x:v>
      </x:c>
      <x:c r="GA37" s="1975">
        <x:v>49</x:v>
      </x:c>
      <x:c r="GB37" s="1976">
        <x:v>2.75</x:v>
      </x:c>
      <x:c r="GC37" s="1977">
        <x:v>-1</x:v>
      </x:c>
      <x:c r="GD37" s="1978">
        <x:v>-1.875</x:v>
      </x:c>
      <x:c r="GE37" s="1979">
        <x:v>-0.314853999153618</x:v>
      </x:c>
      <x:c r="GF37" s="1980" t="str">
        <x:f t="shared" si="99"/>
        <x:v>TJ213</x:v>
      </x:c>
      <x:c r="GG37" s="1453"/>
      <x:c r="GH37" s="1454"/>
      <x:c r="GI37" s="1453"/>
      <x:c r="GJ37" s="1454"/>
      <x:c r="GK37" s="533">
        <x:f t="shared" si="100"/>
        <x:v>587.875</x:v>
      </x:c>
      <x:c r="GL37" s="534">
        <x:f t="shared" si="101"/>
        <x:v>588.07731878415802</x:v>
      </x:c>
      <x:c r="GM37" s="535">
        <x:f>IF(ABS(GK37-GL37)&gt;='Job Info.'!$L$22,ABS(GK37-GL37),0)</x:f>
        <x:v>0</x:v>
      </x:c>
      <x:c r="HA37" s="1658" t="s">
        <x:v>1537</x:v>
      </x:c>
      <x:c r="HB37" s="1659">
        <x:v>1</x:v>
      </x:c>
      <x:c r="HC37" s="1659" t="s">
        <x:v>1979</x:v>
      </x:c>
      <x:c r="HD37" s="1660">
        <x:v>48</x:v>
      </x:c>
      <x:c r="HE37" s="1661">
        <x:v>11.875</x:v>
      </x:c>
      <x:c r="HF37" s="1659">
        <x:v>0</x:v>
      </x:c>
      <x:c r="HG37" s="1659">
        <x:v>0.625</x:v>
      </x:c>
      <x:c r="HH37" s="1659" t="s">
        <x:v>114</x:v>
      </x:c>
      <x:c r="HI37" s="1662" t="s">
        <x:v>117</x:v>
      </x:c>
      <x:c r="HJ37" s="1659" t="s">
        <x:v>117</x:v>
      </x:c>
      <x:c r="HK37" s="1659" t="s">
        <x:v>117</x:v>
      </x:c>
      <x:c r="HL37" s="1659">
        <x:v>3</x:v>
      </x:c>
      <x:c r="HM37" s="1659">
        <x:v>3</x:v>
      </x:c>
      <x:c r="HN37" s="1659">
        <x:v>0</x:v>
      </x:c>
      <x:c r="HO37" s="1659">
        <x:v>6.75</x:v>
      </x:c>
      <x:c r="HP37" s="1659">
        <x:v>2</x:v>
      </x:c>
      <x:c r="HQ37" s="1662" t="s">
        <x:v>117</x:v>
      </x:c>
      <x:c r="HR37" s="1659" t="s">
        <x:v>117</x:v>
      </x:c>
      <x:c r="HS37" s="1659" t="s">
        <x:v>117</x:v>
      </x:c>
      <x:c r="HT37" s="1659">
        <x:v>0</x:v>
      </x:c>
      <x:c r="HU37" s="1659">
        <x:v>1.5</x:v>
      </x:c>
      <x:c r="HV37" s="1659">
        <x:v>0</x:v>
      </x:c>
      <x:c r="HW37" s="1661">
        <x:v>1.125</x:v>
      </x:c>
      <x:c r="HX37" s="1661">
        <x:v>4</x:v>
      </x:c>
      <x:c r="HY37" s="1661" t="s">
        <x:v>117</x:v>
      </x:c>
      <x:c r="HZ37" s="1661" t="s">
        <x:v>117</x:v>
      </x:c>
      <x:c r="IA37" s="1661" t="s">
        <x:v>2223</x:v>
      </x:c>
      <x:c r="IB37" s="1661"/>
      <x:c r="IC37" s="1661"/>
      <x:c r="ID37" s="1661"/>
      <x:c r="IE37" s="1661"/>
      <x:c r="IF37" s="1663"/>
    </x:row>
    <x:row r="38" spans="1:240" ht="12.6" customHeight="1" x14ac:dyDescent="0.25">
      <x:c r="A38" s="1264" t="s">
        <x:v>1538</x:v>
      </x:c>
      <x:c r="B38" s="1265">
        <x:v>1</x:v>
      </x:c>
      <x:c r="C38" s="1265" t="s">
        <x:v>1980</x:v>
      </x:c>
      <x:c r="D38" s="1261">
        <x:v>19</x:v>
      </x:c>
      <x:c r="E38" s="1366">
        <x:v>8.25</x:v>
      </x:c>
      <x:c r="F38" s="1328">
        <x:v>0</x:v>
      </x:c>
      <x:c r="G38" s="1262">
        <x:v>1.375</x:v>
      </x:c>
      <x:c r="H38" s="1266" t="s">
        <x:v>114</x:v>
      </x:c>
      <x:c r="I38" s="1261">
        <x:v>0</x:v>
      </x:c>
      <x:c r="J38" s="2122">
        <x:v>2</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7"/>
        <x:v/>
      </x:c>
      <x:c r="U38" s="1262" t="str">
        <x:f t="shared" si="8"/>
        <x:v/>
      </x:c>
      <x:c r="V38" s="1261" t="str">
        <x:f t="shared" si="9"/>
        <x:v/>
      </x:c>
      <x:c r="W38" s="1262" t="str">
        <x:f t="shared" si="10"/>
        <x:v/>
      </x:c>
      <x:c r="X38" s="1329">
        <x:f t="shared" si="11"/>
        <x:v>0</x:v>
      </x:c>
      <x:c r="Y38" s="1377" t="str">
        <x:f t="shared" si="105"/>
        <x:v/>
      </x:c>
      <x:c r="Z38" s="1378" t="str">
        <x:f t="shared" si="106"/>
        <x:v/>
      </x:c>
      <x:c r="AA38" s="2159" t="s">
        <x:v>2224</x:v>
      </x:c>
      <x:c r="AC38" s="1226" t="b">
        <x:v>0</x:v>
      </x:c>
      <x:c r="AD38" s="525">
        <x:f t="shared" si="12"/>
        <x:v>1</x:v>
      </x:c>
      <x:c r="AE38" s="526">
        <x:f t="shared" si="13"/>
        <x:v>0</x:v>
      </x:c>
      <x:c r="AF38" s="526">
        <x:f t="shared" si="14"/>
        <x:v>0</x:v>
      </x:c>
      <x:c r="AG38" s="526">
        <x:f t="shared" si="15"/>
        <x:v>0</x:v>
      </x:c>
      <x:c r="AH38" s="527">
        <x:f t="shared" si="16"/>
        <x:v>0</x:v>
      </x:c>
      <x:c r="AI38" s="528" t="b">
        <x:v>0</x:v>
      </x:c>
      <x:c r="AJ38" s="284">
        <x:f t="shared" si="17"/>
        <x:v>30</x:v>
      </x:c>
      <x:c r="AK38" s="1063" t="str">
        <x:f t="shared" si="18"/>
        <x:v>K</x:v>
      </x:c>
      <x:c r="AL38" s="1202" t="str">
        <x:f t="shared" si="19"/>
        <x:v/>
      </x:c>
      <x:c r="AM38" s="1063">
        <x:f t="shared" si="20"/>
        <x:v>310</x:v>
      </x:c>
      <x:c r="AN38" s="1063">
        <x:f t="shared" si="21"/>
        <x:v>160</x:v>
      </x:c>
      <x:c r="AO38" s="1063" t="str">
        <x:f t="shared" si="22"/>
        <x:v/>
      </x:c>
      <x:c r="AP38" s="1063" t="b">
        <x:f>IF(ISERROR(AJ38),FALSE,IF(OR(AJ38=0,ISERROR(AL38),ISERROR(AM38),ISERROR(AN38),ISERROR(AO38)),FALSE,IF(AL38&lt;&gt;"",IF(ISERROR(VLOOKUP(SUBSTITUTE(SUBSTITUTE(C38,"R",""),"A",""),TblJoistSize!$A:$A,1,FALSE)),FALSE,TRUE),TRUE)))</x:f>
        <x:v>1</x:v>
      </x:c>
      <x:c r="AQ38" s="1305">
        <x:f t="shared" si="23"/>
        <x:v>5.375</x:v>
      </x:c>
      <x:c r="AR38" s="1305" t="b">
        <x:f t="shared" si="24"/>
        <x:v>0</x:v>
      </x:c>
      <x:c r="AS38" s="1305">
        <x:f t="shared" si="25"/>
        <x:v>6</x:v>
      </x:c>
      <x:c r="AT38" s="1305" t="b">
        <x:f t="shared" si="26"/>
        <x:v>0</x:v>
      </x:c>
      <x:c r="AU38" s="1203" t="str">
        <x:f t="shared" si="27"/>
        <x:v>K</x:v>
      </x:c>
      <x:c r="AV38" s="1063" t="str">
        <x:f t="shared" si="28"/>
        <x:v>K</x:v>
      </x:c>
      <x:c r="AW38" s="1063" t="str">
        <x:f t="shared" si="29"/>
        <x:v/>
      </x:c>
      <x:c r="AX38" s="1063" t="str">
        <x:f t="shared" si="102"/>
        <x:v>J214</x:v>
      </x:c>
      <x:c r="AY38" s="1306" t="b">
        <x:f t="shared" si="30"/>
        <x:v>0</x:v>
      </x:c>
      <x:c r="AZ38" s="1090" t="b">
        <x:f t="shared" si="31"/>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2"/>
        <x:v/>
      </x:c>
      <x:c r="CE38" s="935" t="str">
        <x:f t="shared" si="33"/>
        <x:v/>
      </x:c>
      <x:c r="CF38" s="1149"/>
      <x:c r="CG38" s="1150"/>
      <x:c r="CH38" s="738" t="str">
        <x:f t="shared" si="34"/>
        <x:v/>
      </x:c>
      <x:c r="CI38" s="739" t="str">
        <x:f t="shared" si="35"/>
        <x:v/>
      </x:c>
      <x:c r="CJ38" s="740" t="str">
        <x:f t="shared" si="36"/>
        <x:v/>
      </x:c>
      <x:c r="CK38" s="741" t="str">
        <x:f t="shared" si="37"/>
        <x:v/>
      </x:c>
      <x:c r="CL38" s="742" t="str">
        <x:f t="shared" si="38"/>
        <x:v/>
      </x:c>
      <x:c r="CM38" s="743" t="str">
        <x:f t="shared" si="39"/>
        <x:v/>
      </x:c>
      <x:c r="CN38" s="744" t="str">
        <x:f t="shared" si="40"/>
        <x:v/>
      </x:c>
      <x:c r="CO38" s="745" t="str">
        <x:f t="shared" si="41"/>
        <x:v/>
      </x:c>
      <x:c r="CP38" s="762" t="str">
        <x:f t="shared" si="42"/>
        <x:v/>
      </x:c>
      <x:c r="CQ38" s="763" t="str">
        <x:f t="shared" si="43"/>
        <x:v/>
      </x:c>
      <x:c r="CR38" s="953">
        <x:f t="shared" si="44"/>
        <x:v>2.5</x:v>
      </x:c>
      <x:c r="CS38" s="954">
        <x:f t="shared" si="45"/>
        <x:v>2.5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6"/>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7"/>
        <x:v>0</x:v>
      </x:c>
      <x:c r="DO38" s="1049">
        <x:f t="shared" si="48"/>
        <x:v>0</x:v>
      </x:c>
      <x:c r="DP38" s="1053" t="str">
        <x:f t="shared" si="49"/>
        <x:v/>
      </x:c>
      <x:c r="DQ38" s="1053" t="str">
        <x:f t="shared" si="50"/>
        <x:v/>
      </x:c>
      <x:c r="DR38" s="1053" t="str">
        <x:f t="shared" si="51"/>
        <x:v/>
      </x:c>
      <x:c r="DS38" s="1052">
        <x:f t="shared" si="52"/>
        <x:v>0</x:v>
      </x:c>
      <x:c r="DT38" s="1052">
        <x:f t="shared" si="53"/>
        <x:v>0</x:v>
      </x:c>
      <x:c r="DU38" s="1052" t="str">
        <x:f t="shared" si="54"/>
        <x:v/>
      </x:c>
      <x:c r="DV38" s="1053" t="str">
        <x:f t="shared" si="55"/>
        <x:v/>
      </x:c>
      <x:c r="DW38" s="1053" t="str">
        <x:f t="shared" si="56"/>
        <x:v/>
      </x:c>
      <x:c r="DX38" s="1269">
        <x:f t="shared" si="57"/>
        <x:v>0</x:v>
      </x:c>
      <x:c r="DY38" s="1053">
        <x:f t="shared" si="58"/>
        <x:v>0</x:v>
      </x:c>
      <x:c r="DZ38" s="1052">
        <x:f t="shared" si="59"/>
        <x:v>0</x:v>
      </x:c>
      <x:c r="EA38" s="1052" t="str">
        <x:f t="shared" si="60"/>
        <x:v/>
      </x:c>
      <x:c r="EB38" s="1053" t="str">
        <x:f t="shared" si="61"/>
        <x:v/>
      </x:c>
      <x:c r="EC38" s="1053" t="str">
        <x:f t="shared" si="62"/>
        <x:v/>
      </x:c>
      <x:c r="ED38" s="1269">
        <x:f t="shared" si="63"/>
        <x:v>0</x:v>
      </x:c>
      <x:c r="EE38" s="1090" t="str">
        <x:f t="shared" si="64"/>
        <x:v/>
      </x:c>
      <x:c r="EF38" s="1053" t="str">
        <x:f t="shared" si="65"/>
        <x:v/>
      </x:c>
      <x:c r="EG38" s="1053" t="str">
        <x:f t="shared" si="66"/>
        <x:v/>
      </x:c>
      <x:c r="EH38" s="1053" t="str">
        <x:f t="shared" si="67"/>
        <x:v>ERR</x:v>
      </x:c>
      <x:c r="EI38" s="1053" t="str">
        <x:f t="shared" si="68"/>
        <x:v>ERR</x:v>
      </x:c>
      <x:c r="EJ38" s="1053" t="str">
        <x:f t="shared" si="69"/>
        <x:v/>
      </x:c>
      <x:c r="EK38" s="1053" t="str">
        <x:f t="shared" si="69"/>
        <x:v/>
      </x:c>
      <x:c r="EL38" s="1090" t="str">
        <x:f t="shared" si="70"/>
        <x:v/>
      </x:c>
      <x:c r="EM38" s="1053" t="str">
        <x:f t="shared" si="71"/>
        <x:v/>
      </x:c>
      <x:c r="EN38" s="1053" t="str">
        <x:f t="shared" si="72"/>
        <x:v/>
      </x:c>
      <x:c r="EO38" s="1053" t="str">
        <x:f t="shared" si="73"/>
        <x:v>ERR</x:v>
      </x:c>
      <x:c r="EP38" s="1053" t="str">
        <x:f t="shared" si="74"/>
        <x:v>ERR</x:v>
      </x:c>
      <x:c r="EQ38" s="1053" t="str">
        <x:f t="shared" si="75"/>
        <x:v/>
      </x:c>
      <x:c r="ER38" s="1053" t="str">
        <x:f t="shared" si="75"/>
        <x:v/>
      </x:c>
      <x:c r="ES38" s="1053" t="str">
        <x:f t="shared" si="76"/>
        <x:v/>
      </x:c>
      <x:c r="ET38" s="1053" t="str">
        <x:f t="shared" si="77"/>
        <x:v/>
      </x:c>
      <x:c r="EU38" s="1061">
        <x:f t="shared" si="78"/>
        <x:v>3.5</x:v>
      </x:c>
      <x:c r="EV38" s="1055" t="str">
        <x:f t="shared" si="79"/>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0"/>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1"/>
        <x:v/>
      </x:c>
      <x:c r="FD38" s="1052">
        <x:f t="shared" si="103"/>
        <x:v>0</x:v>
      </x:c>
      <x:c r="FE38" s="1052">
        <x:f t="shared" si="82"/>
        <x:v>0</x:v>
      </x:c>
      <x:c r="FF38" s="1052">
        <x:f t="shared" si="83"/>
        <x:v>0</x:v>
      </x:c>
      <x:c r="FG38" s="1052" t="str">
        <x:f t="shared" si="84"/>
        <x:v/>
      </x:c>
      <x:c r="FH38" s="1053" t="str">
        <x:f t="shared" si="85"/>
        <x:v/>
      </x:c>
      <x:c r="FI38" s="1052">
        <x:f t="shared" si="104"/>
        <x:v>0</x:v>
      </x:c>
      <x:c r="FJ38" s="1052">
        <x:f t="shared" si="86"/>
        <x:v>0</x:v>
      </x:c>
      <x:c r="FK38" s="1052">
        <x:f t="shared" si="87"/>
        <x:v>0</x:v>
      </x:c>
      <x:c r="FL38" s="1052" t="str">
        <x:f t="shared" si="88"/>
        <x:v/>
      </x:c>
      <x:c r="FM38" s="1053" t="str">
        <x:f t="shared" si="89"/>
        <x:v/>
      </x:c>
      <x:c r="FN38" s="1053" t="e">
        <x:f t="shared" si="90"/>
        <x:v>#VALUE!</x:v>
      </x:c>
      <x:c r="FO38" s="1062" t="e">
        <x:f t="shared" si="91"/>
        <x:v>#VALUE!</x:v>
      </x:c>
      <x:c r="FP38" s="1062" t="e">
        <x:f t="shared" si="92"/>
        <x:v>#VALUE!</x:v>
      </x:c>
      <x:c r="FQ38" s="1063" t="e">
        <x:f t="shared" si="93"/>
        <x:v>#VALUE!</x:v>
      </x:c>
      <x:c r="FR38" s="1064" t="e">
        <x:f t="shared" si="94"/>
        <x:v>#VALUE!</x:v>
      </x:c>
      <x:c r="FS38" s="1065" t="str">
        <x:f t="shared" si="95"/>
        <x:v/>
      </x:c>
      <x:c r="FT38" s="1066" t="str">
        <x:f t="shared" si="96"/>
        <x:v/>
      </x:c>
      <x:c r="FU38" s="1105">
        <x:f t="shared" si="97"/>
        <x:v>0</x:v>
      </x:c>
      <x:c r="FV38" s="1106">
        <x:f t="shared" si="98"/>
        <x:v>0</x:v>
      </x:c>
      <x:c r="GA38" s="1975">
        <x:v>19</x:v>
      </x:c>
      <x:c r="GB38" s="1976">
        <x:v>9</x:v>
      </x:c>
      <x:c r="GC38" s="1977">
        <x:v>-0.25</x:v>
      </x:c>
      <x:c r="GD38" s="1978">
        <x:v>-0.5</x:v>
      </x:c>
      <x:c r="GE38" s="1979">
        <x:v>-0.15068791465359699</x:v>
      </x:c>
      <x:c r="GF38" s="1980" t="str">
        <x:f t="shared" si="99"/>
        <x:v>J214</x:v>
      </x:c>
      <x:c r="GG38" s="1453"/>
      <x:c r="GH38" s="1454"/>
      <x:c r="GI38" s="1453"/>
      <x:c r="GJ38" s="1454"/>
      <x:c r="GK38" s="533">
        <x:f t="shared" si="100"/>
        <x:v>236.25</x:v>
      </x:c>
      <x:c r="GL38" s="534">
        <x:f t="shared" si="101"/>
        <x:v>236.26862597670339</x:v>
      </x:c>
      <x:c r="GM38" s="535">
        <x:f>IF(ABS(GK38-GL38)&gt;='Job Info.'!$L$22,ABS(GK38-GL38),0)</x:f>
        <x:v>0</x:v>
      </x:c>
      <x:c r="HA38" s="1658" t="s">
        <x:v>1538</x:v>
      </x:c>
      <x:c r="HB38" s="1659">
        <x:v>1</x:v>
      </x:c>
      <x:c r="HC38" s="1659" t="s">
        <x:v>1980</x:v>
      </x:c>
      <x:c r="HD38" s="1660">
        <x:v>19</x:v>
      </x:c>
      <x:c r="HE38" s="1661">
        <x:v>8.25</x:v>
      </x:c>
      <x:c r="HF38" s="1659">
        <x:v>0</x:v>
      </x:c>
      <x:c r="HG38" s="1659">
        <x:v>1.375</x:v>
      </x:c>
      <x:c r="HH38" s="1659" t="s">
        <x:v>114</x:v>
      </x:c>
      <x:c r="HI38" s="1662">
        <x:v>0</x:v>
      </x:c>
      <x:c r="HJ38" s="1659">
        <x:v>0.25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2224</x:v>
      </x:c>
      <x:c r="IB38" s="1661"/>
      <x:c r="IC38" s="1661"/>
      <x:c r="ID38" s="1661"/>
      <x:c r="IE38" s="1661"/>
      <x:c r="IF38" s="1663"/>
    </x:row>
    <x:row r="39" spans="1:240" ht="12.6" customHeight="1" x14ac:dyDescent="0.25">
      <x:c r="A39" s="1264" t="s">
        <x:v>1539</x:v>
      </x:c>
      <x:c r="B39" s="1265">
        <x:v>1</x:v>
      </x:c>
      <x:c r="C39" s="1265" t="s">
        <x:v>1980</x:v>
      </x:c>
      <x:c r="D39" s="1261">
        <x:v>30</x:v>
      </x:c>
      <x:c r="E39" s="1366">
        <x:v>9.75</x:v>
      </x:c>
      <x:c r="F39" s="1328">
        <x:v>0</x:v>
      </x:c>
      <x:c r="G39" s="1262">
        <x:v>1.375</x:v>
      </x:c>
      <x:c r="H39" s="1266" t="s">
        <x:v>114</x:v>
      </x:c>
      <x:c r="I39" s="1261">
        <x:v>0</x:v>
      </x:c>
      <x:c r="J39" s="2122">
        <x:v>2</x:v>
      </x:c>
      <x:c r="K39" s="1370" t="s">
        <x:v>114</x:v>
      </x:c>
      <x:c r="L39" s="1327">
        <x:v>3</x:v>
      </x:c>
      <x:c r="M39" s="1329">
        <x:v>3</x:v>
      </x:c>
      <x:c r="N39" s="1263" t="str">
        <x:f t="shared" si="1"/>
        <x:v/>
      </x:c>
      <x:c r="O39" s="1262" t="str">
        <x:f t="shared" si="2"/>
        <x:v/>
      </x:c>
      <x:c r="P39" s="1260" t="str">
        <x:f t="shared" si="3"/>
        <x:v/>
      </x:c>
      <x:c r="Q39" s="1261" t="str">
        <x:f t="shared" si="4"/>
        <x:v/>
      </x:c>
      <x:c r="R39" s="1262" t="str">
        <x:f t="shared" si="5"/>
        <x:v/>
      </x:c>
      <x:c r="S39" s="1375" t="str">
        <x:f t="shared" si="6"/>
        <x:v/>
      </x:c>
      <x:c r="T39" s="1328" t="str">
        <x:f t="shared" si="7"/>
        <x:v/>
      </x:c>
      <x:c r="U39" s="1262" t="str">
        <x:f t="shared" si="8"/>
        <x:v/>
      </x:c>
      <x:c r="V39" s="1261" t="str">
        <x:f t="shared" si="9"/>
        <x:v/>
      </x:c>
      <x:c r="W39" s="1262" t="str">
        <x:f t="shared" si="10"/>
        <x:v/>
      </x:c>
      <x:c r="X39" s="1329">
        <x:f t="shared" si="11"/>
        <x:v>0</x:v>
      </x:c>
      <x:c r="Y39" s="1377" t="str">
        <x:f t="shared" si="105"/>
        <x:v/>
      </x:c>
      <x:c r="Z39" s="1378" t="str">
        <x:f t="shared" si="106"/>
        <x:v/>
      </x:c>
      <x:c r="AA39" s="2159" t="s">
        <x:v>2225</x:v>
      </x:c>
      <x:c r="AC39" s="1226" t="b">
        <x:v>0</x:v>
      </x:c>
      <x:c r="AD39" s="525">
        <x:f t="shared" si="12"/>
        <x:v>1</x:v>
      </x:c>
      <x:c r="AE39" s="526">
        <x:f t="shared" si="13"/>
        <x:v>0</x:v>
      </x:c>
      <x:c r="AF39" s="526">
        <x:f t="shared" si="14"/>
        <x:v>0</x:v>
      </x:c>
      <x:c r="AG39" s="526">
        <x:f t="shared" si="15"/>
        <x:v>0</x:v>
      </x:c>
      <x:c r="AH39" s="527">
        <x:f t="shared" si="16"/>
        <x:v>0</x:v>
      </x:c>
      <x:c r="AI39" s="528" t="b">
        <x:v>0</x:v>
      </x:c>
      <x:c r="AJ39" s="284">
        <x:f t="shared" si="17"/>
        <x:v>30</x:v>
      </x:c>
      <x:c r="AK39" s="1063" t="str">
        <x:f t="shared" si="18"/>
        <x:v>K</x:v>
      </x:c>
      <x:c r="AL39" s="1202" t="str">
        <x:f t="shared" si="19"/>
        <x:v/>
      </x:c>
      <x:c r="AM39" s="1063">
        <x:f t="shared" si="20"/>
        <x:v>310</x:v>
      </x:c>
      <x:c r="AN39" s="1063">
        <x:f t="shared" si="21"/>
        <x:v>160</x:v>
      </x:c>
      <x:c r="AO39" s="1063" t="str">
        <x:f t="shared" si="22"/>
        <x:v/>
      </x:c>
      <x:c r="AP39" s="1063" t="b">
        <x:f>IF(ISERROR(AJ39),FALSE,IF(OR(AJ39=0,ISERROR(AL39),ISERROR(AM39),ISERROR(AN39),ISERROR(AO39)),FALSE,IF(AL39&lt;&gt;"",IF(ISERROR(VLOOKUP(SUBSTITUTE(SUBSTITUTE(C39,"R",""),"A",""),TblJoistSize!$A:$A,1,FALSE)),FALSE,TRUE),TRUE)))</x:f>
        <x:v>1</x:v>
      </x:c>
      <x:c r="AQ39" s="1305">
        <x:f t="shared" si="23"/>
        <x:v>5.375</x:v>
      </x:c>
      <x:c r="AR39" s="1305" t="b">
        <x:f t="shared" si="24"/>
        <x:v>0</x:v>
      </x:c>
      <x:c r="AS39" s="1305">
        <x:f t="shared" si="25"/>
        <x:v>6</x:v>
      </x:c>
      <x:c r="AT39" s="1305" t="b">
        <x:f t="shared" si="26"/>
        <x:v>0</x:v>
      </x:c>
      <x:c r="AU39" s="1203" t="str">
        <x:f t="shared" si="27"/>
        <x:v>K</x:v>
      </x:c>
      <x:c r="AV39" s="1063" t="str">
        <x:f t="shared" si="28"/>
        <x:v>K</x:v>
      </x:c>
      <x:c r="AW39" s="1063" t="str">
        <x:f t="shared" si="29"/>
        <x:v/>
      </x:c>
      <x:c r="AX39" s="1063" t="str">
        <x:f t="shared" si="102"/>
        <x:v>J215</x:v>
      </x:c>
      <x:c r="AY39" s="1306" t="b">
        <x:f t="shared" si="30"/>
        <x:v>0</x:v>
      </x:c>
      <x:c r="AZ39" s="1090" t="b">
        <x:f t="shared" si="31"/>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2"/>
        <x:v/>
      </x:c>
      <x:c r="CE39" s="935" t="str">
        <x:f t="shared" si="33"/>
        <x:v/>
      </x:c>
      <x:c r="CF39" s="1149"/>
      <x:c r="CG39" s="1150"/>
      <x:c r="CH39" s="738" t="str">
        <x:f t="shared" si="34"/>
        <x:v/>
      </x:c>
      <x:c r="CI39" s="739" t="str">
        <x:f t="shared" si="35"/>
        <x:v/>
      </x:c>
      <x:c r="CJ39" s="740" t="str">
        <x:f t="shared" si="36"/>
        <x:v/>
      </x:c>
      <x:c r="CK39" s="741" t="str">
        <x:f t="shared" si="37"/>
        <x:v/>
      </x:c>
      <x:c r="CL39" s="742" t="str">
        <x:f t="shared" si="38"/>
        <x:v/>
      </x:c>
      <x:c r="CM39" s="743" t="str">
        <x:f t="shared" si="39"/>
        <x:v/>
      </x:c>
      <x:c r="CN39" s="744" t="str">
        <x:f t="shared" si="40"/>
        <x:v/>
      </x:c>
      <x:c r="CO39" s="745" t="str">
        <x:f t="shared" si="41"/>
        <x:v/>
      </x:c>
      <x:c r="CP39" s="762" t="str">
        <x:f t="shared" si="42"/>
        <x:v/>
      </x:c>
      <x:c r="CQ39" s="763" t="str">
        <x:f t="shared" si="43"/>
        <x:v/>
      </x:c>
      <x:c r="CR39" s="953">
        <x:f t="shared" si="44"/>
        <x:v>2.5</x:v>
      </x:c>
      <x:c r="CS39" s="954">
        <x:f t="shared" si="45"/>
        <x:v>2.5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6"/>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7"/>
        <x:v>0</x:v>
      </x:c>
      <x:c r="DO39" s="1049">
        <x:f t="shared" si="48"/>
        <x:v>0</x:v>
      </x:c>
      <x:c r="DP39" s="1053" t="str">
        <x:f t="shared" si="49"/>
        <x:v/>
      </x:c>
      <x:c r="DQ39" s="1053" t="str">
        <x:f t="shared" si="50"/>
        <x:v/>
      </x:c>
      <x:c r="DR39" s="1053" t="str">
        <x:f t="shared" si="51"/>
        <x:v/>
      </x:c>
      <x:c r="DS39" s="1052">
        <x:f t="shared" si="52"/>
        <x:v>0</x:v>
      </x:c>
      <x:c r="DT39" s="1052">
        <x:f t="shared" si="53"/>
        <x:v>0</x:v>
      </x:c>
      <x:c r="DU39" s="1052" t="str">
        <x:f t="shared" si="54"/>
        <x:v/>
      </x:c>
      <x:c r="DV39" s="1053" t="str">
        <x:f t="shared" si="55"/>
        <x:v/>
      </x:c>
      <x:c r="DW39" s="1053" t="str">
        <x:f t="shared" si="56"/>
        <x:v/>
      </x:c>
      <x:c r="DX39" s="1269">
        <x:f t="shared" si="57"/>
        <x:v>0</x:v>
      </x:c>
      <x:c r="DY39" s="1053">
        <x:f t="shared" si="58"/>
        <x:v>0</x:v>
      </x:c>
      <x:c r="DZ39" s="1052">
        <x:f t="shared" si="59"/>
        <x:v>0</x:v>
      </x:c>
      <x:c r="EA39" s="1052" t="str">
        <x:f t="shared" si="60"/>
        <x:v/>
      </x:c>
      <x:c r="EB39" s="1053" t="str">
        <x:f t="shared" si="61"/>
        <x:v/>
      </x:c>
      <x:c r="EC39" s="1053" t="str">
        <x:f t="shared" si="62"/>
        <x:v/>
      </x:c>
      <x:c r="ED39" s="1269">
        <x:f t="shared" si="63"/>
        <x:v>0</x:v>
      </x:c>
      <x:c r="EE39" s="1090" t="str">
        <x:f t="shared" si="64"/>
        <x:v/>
      </x:c>
      <x:c r="EF39" s="1053" t="str">
        <x:f t="shared" si="65"/>
        <x:v/>
      </x:c>
      <x:c r="EG39" s="1053" t="str">
        <x:f t="shared" si="66"/>
        <x:v/>
      </x:c>
      <x:c r="EH39" s="1053" t="str">
        <x:f t="shared" si="67"/>
        <x:v>ERR</x:v>
      </x:c>
      <x:c r="EI39" s="1053" t="str">
        <x:f t="shared" si="68"/>
        <x:v>ERR</x:v>
      </x:c>
      <x:c r="EJ39" s="1053" t="str">
        <x:f t="shared" si="69"/>
        <x:v/>
      </x:c>
      <x:c r="EK39" s="1053" t="str">
        <x:f t="shared" si="69"/>
        <x:v/>
      </x:c>
      <x:c r="EL39" s="1090" t="str">
        <x:f t="shared" si="70"/>
        <x:v/>
      </x:c>
      <x:c r="EM39" s="1053" t="str">
        <x:f t="shared" si="71"/>
        <x:v/>
      </x:c>
      <x:c r="EN39" s="1053" t="str">
        <x:f t="shared" si="72"/>
        <x:v/>
      </x:c>
      <x:c r="EO39" s="1053" t="str">
        <x:f t="shared" si="73"/>
        <x:v>ERR</x:v>
      </x:c>
      <x:c r="EP39" s="1053" t="str">
        <x:f t="shared" si="74"/>
        <x:v>ERR</x:v>
      </x:c>
      <x:c r="EQ39" s="1053" t="str">
        <x:f t="shared" si="75"/>
        <x:v/>
      </x:c>
      <x:c r="ER39" s="1053" t="str">
        <x:f t="shared" si="75"/>
        <x:v/>
      </x:c>
      <x:c r="ES39" s="1053" t="str">
        <x:f t="shared" si="76"/>
        <x:v/>
      </x:c>
      <x:c r="ET39" s="1053" t="str">
        <x:f t="shared" si="77"/>
        <x:v/>
      </x:c>
      <x:c r="EU39" s="1061">
        <x:f t="shared" si="78"/>
        <x:v>3.5</x:v>
      </x:c>
      <x:c r="EV39" s="1055" t="str">
        <x:f t="shared" si="79"/>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0"/>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1"/>
        <x:v/>
      </x:c>
      <x:c r="FD39" s="1052">
        <x:f t="shared" si="103"/>
        <x:v>0</x:v>
      </x:c>
      <x:c r="FE39" s="1052">
        <x:f t="shared" si="82"/>
        <x:v>0</x:v>
      </x:c>
      <x:c r="FF39" s="1052">
        <x:f t="shared" si="83"/>
        <x:v>0</x:v>
      </x:c>
      <x:c r="FG39" s="1052" t="str">
        <x:f t="shared" si="84"/>
        <x:v/>
      </x:c>
      <x:c r="FH39" s="1053" t="str">
        <x:f t="shared" si="85"/>
        <x:v/>
      </x:c>
      <x:c r="FI39" s="1052">
        <x:f t="shared" si="104"/>
        <x:v>0</x:v>
      </x:c>
      <x:c r="FJ39" s="1052">
        <x:f t="shared" si="86"/>
        <x:v>0</x:v>
      </x:c>
      <x:c r="FK39" s="1052">
        <x:f t="shared" si="87"/>
        <x:v>0</x:v>
      </x:c>
      <x:c r="FL39" s="1052" t="str">
        <x:f t="shared" si="88"/>
        <x:v/>
      </x:c>
      <x:c r="FM39" s="1053" t="str">
        <x:f t="shared" si="89"/>
        <x:v/>
      </x:c>
      <x:c r="FN39" s="1053" t="e">
        <x:f t="shared" si="90"/>
        <x:v>#VALUE!</x:v>
      </x:c>
      <x:c r="FO39" s="1062" t="e">
        <x:f t="shared" si="91"/>
        <x:v>#VALUE!</x:v>
      </x:c>
      <x:c r="FP39" s="1062" t="e">
        <x:f t="shared" si="92"/>
        <x:v>#VALUE!</x:v>
      </x:c>
      <x:c r="FQ39" s="1063" t="e">
        <x:f t="shared" si="93"/>
        <x:v>#VALUE!</x:v>
      </x:c>
      <x:c r="FR39" s="1064" t="e">
        <x:f t="shared" si="94"/>
        <x:v>#VALUE!</x:v>
      </x:c>
      <x:c r="FS39" s="1065" t="str">
        <x:f t="shared" si="95"/>
        <x:v/>
      </x:c>
      <x:c r="FT39" s="1066" t="str">
        <x:f t="shared" si="96"/>
        <x:v/>
      </x:c>
      <x:c r="FU39" s="1105">
        <x:f t="shared" si="97"/>
        <x:v>0</x:v>
      </x:c>
      <x:c r="FV39" s="1106">
        <x:f t="shared" si="98"/>
        <x:v>0</x:v>
      </x:c>
      <x:c r="GA39" s="1975">
        <x:v>30</x:v>
      </x:c>
      <x:c r="GB39" s="1976">
        <x:v>10.5</x:v>
      </x:c>
      <x:c r="GC39" s="1977">
        <x:v>-0.25</x:v>
      </x:c>
      <x:c r="GD39" s="1978">
        <x:v>-0.5</x:v>
      </x:c>
      <x:c r="GE39" s="1979">
        <x:v>-0.15068791650483099</x:v>
      </x:c>
      <x:c r="GF39" s="1980" t="str">
        <x:f t="shared" si="99"/>
        <x:v>J215</x:v>
      </x:c>
      <x:c r="GG39" s="1453"/>
      <x:c r="GH39" s="1454"/>
      <x:c r="GI39" s="1453"/>
      <x:c r="GJ39" s="1454"/>
      <x:c r="GK39" s="533">
        <x:f t="shared" si="100"/>
        <x:v>369.75</x:v>
      </x:c>
      <x:c r="GL39" s="534">
        <x:f t="shared" si="101"/>
        <x:v>369.77915113250918</x:v>
      </x:c>
      <x:c r="GM39" s="535">
        <x:f>IF(ABS(GK39-GL39)&gt;='Job Info.'!$L$22,ABS(GK39-GL39),0)</x:f>
        <x:v>0</x:v>
      </x:c>
      <x:c r="HA39" s="1658" t="s">
        <x:v>1539</x:v>
      </x:c>
      <x:c r="HB39" s="1659">
        <x:v>1</x:v>
      </x:c>
      <x:c r="HC39" s="1659" t="s">
        <x:v>1980</x:v>
      </x:c>
      <x:c r="HD39" s="1660">
        <x:v>30</x:v>
      </x:c>
      <x:c r="HE39" s="1661">
        <x:v>9.75</x:v>
      </x:c>
      <x:c r="HF39" s="1659">
        <x:v>0</x:v>
      </x:c>
      <x:c r="HG39" s="1659">
        <x:v>1.375</x:v>
      </x:c>
      <x:c r="HH39" s="1659" t="s">
        <x:v>114</x:v>
      </x:c>
      <x:c r="HI39" s="1662">
        <x:v>0</x:v>
      </x:c>
      <x:c r="HJ39" s="1659">
        <x:v>0.25</x:v>
      </x:c>
      <x:c r="HK39" s="1659" t="s">
        <x:v>114</x:v>
      </x:c>
      <x:c r="HL39" s="1659">
        <x:v>3</x:v>
      </x:c>
      <x:c r="HM39" s="1659">
        <x:v>3</x:v>
      </x:c>
      <x:c r="HN39" s="1659" t="s">
        <x:v>117</x:v>
      </x:c>
      <x:c r="HO39" s="1659" t="s">
        <x:v>117</x:v>
      </x:c>
      <x:c r="HP39" s="1659" t="s">
        <x:v>117</x:v>
      </x:c>
      <x:c r="HQ39" s="1662" t="s">
        <x:v>117</x:v>
      </x:c>
      <x:c r="HR39" s="1659" t="s">
        <x:v>117</x:v>
      </x:c>
      <x:c r="HS39" s="1659" t="s">
        <x:v>117</x:v>
      </x:c>
      <x:c r="HT39" s="1659" t="s">
        <x:v>117</x:v>
      </x:c>
      <x:c r="HU39" s="1659" t="s">
        <x:v>117</x:v>
      </x:c>
      <x:c r="HV39" s="1659" t="s">
        <x:v>117</x:v>
      </x:c>
      <x:c r="HW39" s="1661" t="s">
        <x:v>117</x:v>
      </x:c>
      <x:c r="HX39" s="1661">
        <x:v>0</x:v>
      </x:c>
      <x:c r="HY39" s="1661" t="s">
        <x:v>117</x:v>
      </x:c>
      <x:c r="HZ39" s="1661" t="s">
        <x:v>117</x:v>
      </x:c>
      <x:c r="IA39" s="1661" t="s">
        <x:v>2225</x:v>
      </x:c>
      <x:c r="IB39" s="1661"/>
      <x:c r="IC39" s="1661"/>
      <x:c r="ID39" s="1661"/>
      <x:c r="IE39" s="1661"/>
      <x:c r="IF39" s="1663"/>
    </x:row>
    <x:row r="40" spans="1:240" ht="12.6" customHeight="1" x14ac:dyDescent="0.25">
      <x:c r="A40" s="1264" t="s">
        <x:v>1540</x:v>
      </x:c>
      <x:c r="B40" s="1265">
        <x:v>1</x:v>
      </x:c>
      <x:c r="C40" s="1265" t="s">
        <x:v>1980</x:v>
      </x:c>
      <x:c r="D40" s="1261">
        <x:v>41</x:v>
      </x:c>
      <x:c r="E40" s="1366">
        <x:v>11.25</x:v>
      </x:c>
      <x:c r="F40" s="1328">
        <x:v>0</x:v>
      </x:c>
      <x:c r="G40" s="1262">
        <x:v>1.375</x:v>
      </x:c>
      <x:c r="H40" s="1266" t="s">
        <x:v>114</x:v>
      </x:c>
      <x:c r="I40" s="1261">
        <x:v>0</x:v>
      </x:c>
      <x:c r="J40" s="2122">
        <x:v>2</x:v>
      </x:c>
      <x:c r="K40" s="1370" t="s">
        <x:v>114</x:v>
      </x:c>
      <x:c r="L40" s="1327">
        <x:v>3</x:v>
      </x:c>
      <x:c r="M40" s="1329">
        <x:v>3</x:v>
      </x:c>
      <x:c r="N40" s="1263" t="str">
        <x:f t="shared" si="1"/>
        <x:v/>
      </x:c>
      <x:c r="O40" s="1262" t="str">
        <x:f t="shared" si="2"/>
        <x:v/>
      </x:c>
      <x:c r="P40" s="1260" t="str">
        <x:f t="shared" si="3"/>
        <x:v/>
      </x:c>
      <x:c r="Q40" s="1261" t="str">
        <x:f t="shared" si="4"/>
        <x:v/>
      </x:c>
      <x:c r="R40" s="1262" t="str">
        <x:f t="shared" si="5"/>
        <x:v/>
      </x:c>
      <x:c r="S40" s="1375" t="str">
        <x:f t="shared" si="6"/>
        <x:v/>
      </x:c>
      <x:c r="T40" s="1328">
        <x:v>0</x:v>
      </x:c>
      <x:c r="U40" s="1262">
        <x:v>2.25</x:v>
      </x:c>
      <x:c r="V40" s="1261">
        <x:v>0</x:v>
      </x:c>
      <x:c r="W40" s="1262">
        <x:v>3.875</x:v>
      </x:c>
      <x:c r="X40" s="1329">
        <x:v>4</x:v>
      </x:c>
      <x:c r="Y40" s="1377" t="str">
        <x:f t="shared" si="105"/>
        <x:v/>
      </x:c>
      <x:c r="Z40" s="1378" t="str">
        <x:f t="shared" si="106"/>
        <x:v/>
      </x:c>
      <x:c r="AA40" s="2159" t="s">
        <x:v>2221</x:v>
      </x:c>
      <x:c r="AC40" s="1226" t="b">
        <x:v>0</x:v>
      </x:c>
      <x:c r="AD40" s="525">
        <x:f t="shared" si="12"/>
        <x:v>1</x:v>
      </x:c>
      <x:c r="AE40" s="526">
        <x:f t="shared" si="13"/>
        <x:v>0</x:v>
      </x:c>
      <x:c r="AF40" s="526">
        <x:f t="shared" si="14"/>
        <x:v>0</x:v>
      </x:c>
      <x:c r="AG40" s="526">
        <x:f t="shared" si="15"/>
        <x:v>0</x:v>
      </x:c>
      <x:c r="AH40" s="527">
        <x:f t="shared" si="16"/>
        <x:v>0</x:v>
      </x:c>
      <x:c r="AI40" s="528" t="b">
        <x:v>0</x:v>
      </x:c>
      <x:c r="AJ40" s="284">
        <x:f t="shared" si="17"/>
        <x:v>30</x:v>
      </x:c>
      <x:c r="AK40" s="1063" t="str">
        <x:f t="shared" si="18"/>
        <x:v>K</x:v>
      </x:c>
      <x:c r="AL40" s="1202" t="str">
        <x:f t="shared" si="19"/>
        <x:v/>
      </x:c>
      <x:c r="AM40" s="1063">
        <x:f t="shared" si="20"/>
        <x:v>310</x:v>
      </x:c>
      <x:c r="AN40" s="1063">
        <x:f t="shared" si="21"/>
        <x:v>160</x:v>
      </x:c>
      <x:c r="AO40" s="1063" t="str">
        <x:f t="shared" si="22"/>
        <x:v/>
      </x:c>
      <x:c r="AP40" s="1063" t="b">
        <x:f>IF(ISERROR(AJ40),FALSE,IF(OR(AJ40=0,ISERROR(AL40),ISERROR(AM40),ISERROR(AN40),ISERROR(AO40)),FALSE,IF(AL40&lt;&gt;"",IF(ISERROR(VLOOKUP(SUBSTITUTE(SUBSTITUTE(C40,"R",""),"A",""),TblJoistSize!$A:$A,1,FALSE)),FALSE,TRUE),TRUE)))</x:f>
        <x:v>1</x:v>
      </x:c>
      <x:c r="AQ40" s="1305">
        <x:f t="shared" si="23"/>
        <x:v>5.375</x:v>
      </x:c>
      <x:c r="AR40" s="1305" t="b">
        <x:f t="shared" si="24"/>
        <x:v>1</x:v>
      </x:c>
      <x:c r="AS40" s="1305">
        <x:f t="shared" si="25"/>
        <x:v>6</x:v>
      </x:c>
      <x:c r="AT40" s="1305" t="b">
        <x:f t="shared" si="26"/>
        <x:v>1</x:v>
      </x:c>
      <x:c r="AU40" s="1203" t="str">
        <x:f t="shared" si="27"/>
        <x:v>K</x:v>
      </x:c>
      <x:c r="AV40" s="1063" t="str">
        <x:f t="shared" si="28"/>
        <x:v>K</x:v>
      </x:c>
      <x:c r="AW40" s="1063" t="str">
        <x:f t="shared" si="29"/>
        <x:v/>
      </x:c>
      <x:c r="AX40" s="1063" t="str">
        <x:f t="shared" si="102"/>
        <x:v>TJ216</x:v>
      </x:c>
      <x:c r="AY40" s="1306" t="b">
        <x:f t="shared" si="30"/>
        <x:v>0</x:v>
      </x:c>
      <x:c r="AZ40" s="1090" t="b">
        <x:f t="shared" si="31"/>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2"/>
        <x:v/>
      </x:c>
      <x:c r="CE40" s="935" t="str">
        <x:f t="shared" si="33"/>
        <x:v/>
      </x:c>
      <x:c r="CF40" s="1149"/>
      <x:c r="CG40" s="1150"/>
      <x:c r="CH40" s="738" t="str">
        <x:f t="shared" si="34"/>
        <x:v/>
      </x:c>
      <x:c r="CI40" s="739" t="str">
        <x:f t="shared" si="35"/>
        <x:v/>
      </x:c>
      <x:c r="CJ40" s="740" t="str">
        <x:f t="shared" si="36"/>
        <x:v/>
      </x:c>
      <x:c r="CK40" s="741" t="str">
        <x:f t="shared" si="37"/>
        <x:v/>
      </x:c>
      <x:c r="CL40" s="742" t="str">
        <x:f t="shared" si="38"/>
        <x:v/>
      </x:c>
      <x:c r="CM40" s="743" t="str">
        <x:f t="shared" si="39"/>
        <x:v/>
      </x:c>
      <x:c r="CN40" s="744" t="str">
        <x:f t="shared" si="40"/>
        <x:v/>
      </x:c>
      <x:c r="CO40" s="745" t="str">
        <x:f t="shared" si="41"/>
        <x:v/>
      </x:c>
      <x:c r="CP40" s="762" t="str">
        <x:f t="shared" si="42"/>
        <x:v/>
      </x:c>
      <x:c r="CQ40" s="763" t="str">
        <x:f t="shared" si="43"/>
        <x:v/>
      </x:c>
      <x:c r="CR40" s="953">
        <x:f t="shared" si="44"/>
        <x:v>2.5</x:v>
      </x:c>
      <x:c r="CS40" s="954">
        <x:f t="shared" si="45"/>
        <x:v>2.5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6"/>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7"/>
        <x:v>0</x:v>
      </x:c>
      <x:c r="DO40" s="1049">
        <x:f t="shared" si="48"/>
        <x:v>0</x:v>
      </x:c>
      <x:c r="DP40" s="1053" t="str">
        <x:f t="shared" si="49"/>
        <x:v/>
      </x:c>
      <x:c r="DQ40" s="1053" t="str">
        <x:f t="shared" si="50"/>
        <x:v/>
      </x:c>
      <x:c r="DR40" s="1053" t="str">
        <x:f t="shared" si="51"/>
        <x:v/>
      </x:c>
      <x:c r="DS40" s="1052">
        <x:f t="shared" si="52"/>
        <x:v>0</x:v>
      </x:c>
      <x:c r="DT40" s="1052">
        <x:f t="shared" si="53"/>
        <x:v>0</x:v>
      </x:c>
      <x:c r="DU40" s="1052" t="str">
        <x:f t="shared" si="54"/>
        <x:v/>
      </x:c>
      <x:c r="DV40" s="1053" t="str">
        <x:f t="shared" si="55"/>
        <x:v/>
      </x:c>
      <x:c r="DW40" s="1053" t="str">
        <x:f t="shared" si="56"/>
        <x:v/>
      </x:c>
      <x:c r="DX40" s="1269">
        <x:f t="shared" si="57"/>
        <x:v>0</x:v>
      </x:c>
      <x:c r="DY40" s="1053">
        <x:f t="shared" si="58"/>
        <x:v>0</x:v>
      </x:c>
      <x:c r="DZ40" s="1052">
        <x:f t="shared" si="59"/>
        <x:v>0</x:v>
      </x:c>
      <x:c r="EA40" s="1052" t="str">
        <x:f t="shared" si="60"/>
        <x:v/>
      </x:c>
      <x:c r="EB40" s="1053" t="str">
        <x:f t="shared" si="61"/>
        <x:v/>
      </x:c>
      <x:c r="EC40" s="1053" t="str">
        <x:f t="shared" si="62"/>
        <x:v/>
      </x:c>
      <x:c r="ED40" s="1269">
        <x:f t="shared" si="63"/>
        <x:v>0</x:v>
      </x:c>
      <x:c r="EE40" s="1090" t="str">
        <x:f t="shared" si="64"/>
        <x:v/>
      </x:c>
      <x:c r="EF40" s="1053" t="str">
        <x:f t="shared" si="65"/>
        <x:v/>
      </x:c>
      <x:c r="EG40" s="1053" t="str">
        <x:f t="shared" si="66"/>
        <x:v/>
      </x:c>
      <x:c r="EH40" s="1053" t="str">
        <x:f t="shared" si="67"/>
        <x:v>ERR</x:v>
      </x:c>
      <x:c r="EI40" s="1053" t="str">
        <x:f t="shared" si="68"/>
        <x:v>ERR</x:v>
      </x:c>
      <x:c r="EJ40" s="1053" t="str">
        <x:f t="shared" si="69"/>
        <x:v/>
      </x:c>
      <x:c r="EK40" s="1053" t="str">
        <x:f t="shared" si="69"/>
        <x:v/>
      </x:c>
      <x:c r="EL40" s="1090" t="str">
        <x:f t="shared" si="70"/>
        <x:v/>
      </x:c>
      <x:c r="EM40" s="1053" t="str">
        <x:f t="shared" si="71"/>
        <x:v/>
      </x:c>
      <x:c r="EN40" s="1053" t="str">
        <x:f t="shared" si="72"/>
        <x:v/>
      </x:c>
      <x:c r="EO40" s="1053" t="str">
        <x:f t="shared" si="73"/>
        <x:v>ERR</x:v>
      </x:c>
      <x:c r="EP40" s="1053" t="str">
        <x:f t="shared" si="74"/>
        <x:v>ERR</x:v>
      </x:c>
      <x:c r="EQ40" s="1053" t="str">
        <x:f t="shared" si="75"/>
        <x:v/>
      </x:c>
      <x:c r="ER40" s="1053" t="str">
        <x:f t="shared" si="75"/>
        <x:v/>
      </x:c>
      <x:c r="ES40" s="1053" t="str">
        <x:f t="shared" si="76"/>
        <x:v/>
      </x:c>
      <x:c r="ET40" s="1053" t="str">
        <x:f t="shared" si="77"/>
        <x:v/>
      </x:c>
      <x:c r="EU40" s="1061">
        <x:f t="shared" si="78"/>
        <x:v>3.5</x:v>
      </x:c>
      <x:c r="EV40" s="1055" t="str">
        <x:f t="shared" si="79"/>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0"/>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1"/>
        <x:v/>
      </x:c>
      <x:c r="FD40" s="1052">
        <x:f t="shared" si="103"/>
        <x:v>0</x:v>
      </x:c>
      <x:c r="FE40" s="1052">
        <x:f t="shared" si="82"/>
        <x:v>0</x:v>
      </x:c>
      <x:c r="FF40" s="1052">
        <x:f t="shared" si="83"/>
        <x:v>0</x:v>
      </x:c>
      <x:c r="FG40" s="1052" t="str">
        <x:f t="shared" si="84"/>
        <x:v/>
      </x:c>
      <x:c r="FH40" s="1053" t="str">
        <x:f t="shared" si="85"/>
        <x:v/>
      </x:c>
      <x:c r="FI40" s="1052">
        <x:f t="shared" si="104"/>
        <x:v>0</x:v>
      </x:c>
      <x:c r="FJ40" s="1052">
        <x:f t="shared" si="86"/>
        <x:v>0</x:v>
      </x:c>
      <x:c r="FK40" s="1052">
        <x:f t="shared" si="87"/>
        <x:v>0</x:v>
      </x:c>
      <x:c r="FL40" s="1052" t="str">
        <x:f t="shared" si="88"/>
        <x:v/>
      </x:c>
      <x:c r="FM40" s="1053" t="str">
        <x:f t="shared" si="89"/>
        <x:v/>
      </x:c>
      <x:c r="FN40" s="1053" t="e">
        <x:f t="shared" si="90"/>
        <x:v>#VALUE!</x:v>
      </x:c>
      <x:c r="FO40" s="1062" t="e">
        <x:f t="shared" si="91"/>
        <x:v>#VALUE!</x:v>
      </x:c>
      <x:c r="FP40" s="1062" t="e">
        <x:f t="shared" si="92"/>
        <x:v>#VALUE!</x:v>
      </x:c>
      <x:c r="FQ40" s="1063" t="e">
        <x:f t="shared" si="93"/>
        <x:v>#VALUE!</x:v>
      </x:c>
      <x:c r="FR40" s="1064" t="e">
        <x:f t="shared" si="94"/>
        <x:v>#VALUE!</x:v>
      </x:c>
      <x:c r="FS40" s="1065" t="str">
        <x:f t="shared" si="95"/>
        <x:v/>
      </x:c>
      <x:c r="FT40" s="1066" t="str">
        <x:f t="shared" si="96"/>
        <x:v/>
      </x:c>
      <x:c r="FU40" s="1105">
        <x:f t="shared" si="97"/>
        <x:v>0</x:v>
      </x:c>
      <x:c r="FV40" s="1106">
        <x:f t="shared" si="98"/>
        <x:v>0</x:v>
      </x:c>
      <x:c r="GA40" s="1975">
        <x:v>42</x:v>
      </x:c>
      <x:c r="GB40" s="1976">
        <x:v>0</x:v>
      </x:c>
      <x:c r="GC40" s="1977">
        <x:v>-0.25</x:v>
      </x:c>
      <x:c r="GD40" s="1978">
        <x:v>-0.5</x:v>
      </x:c>
      <x:c r="GE40" s="1979">
        <x:v>-0.15068792036560499</x:v>
      </x:c>
      <x:c r="GF40" s="1980" t="str">
        <x:f t="shared" si="99"/>
        <x:v>TJ216</x:v>
      </x:c>
      <x:c r="GG40" s="1453"/>
      <x:c r="GH40" s="1454"/>
      <x:c r="GI40" s="1453"/>
      <x:c r="GJ40" s="1454"/>
      <x:c r="GK40" s="533">
        <x:f t="shared" si="100"/>
        <x:v>503.25</x:v>
      </x:c>
      <x:c r="GL40" s="534">
        <x:f t="shared" si="101"/>
        <x:v>503.28967628989034</x:v>
      </x:c>
      <x:c r="GM40" s="535">
        <x:f>IF(ABS(GK40-GL40)&gt;='Job Info.'!$L$22,ABS(GK40-GL40),0)</x:f>
        <x:v>0</x:v>
      </x:c>
      <x:c r="HA40" s="1658" t="s">
        <x:v>1540</x:v>
      </x:c>
      <x:c r="HB40" s="1659">
        <x:v>1</x:v>
      </x:c>
      <x:c r="HC40" s="1659" t="s">
        <x:v>1980</x:v>
      </x:c>
      <x:c r="HD40" s="1660">
        <x:v>41</x:v>
      </x:c>
      <x:c r="HE40" s="1661">
        <x:v>11.25</x:v>
      </x:c>
      <x:c r="HF40" s="1659">
        <x:v>0</x:v>
      </x:c>
      <x:c r="HG40" s="1659">
        <x:v>1.375</x:v>
      </x:c>
      <x:c r="HH40" s="1659" t="s">
        <x:v>114</x:v>
      </x:c>
      <x:c r="HI40" s="1662">
        <x:v>0</x:v>
      </x:c>
      <x:c r="HJ40" s="1659">
        <x:v>0.25</x:v>
      </x:c>
      <x:c r="HK40" s="1659" t="s">
        <x:v>114</x:v>
      </x:c>
      <x:c r="HL40" s="1659">
        <x:v>3</x:v>
      </x:c>
      <x:c r="HM40" s="1659">
        <x:v>3</x:v>
      </x:c>
      <x:c r="HN40" s="1659" t="s">
        <x:v>117</x:v>
      </x:c>
      <x:c r="HO40" s="1659" t="s">
        <x:v>117</x:v>
      </x:c>
      <x:c r="HP40" s="1659" t="s">
        <x:v>117</x:v>
      </x:c>
      <x:c r="HQ40" s="1662" t="s">
        <x:v>117</x:v>
      </x:c>
      <x:c r="HR40" s="1659" t="s">
        <x:v>117</x:v>
      </x:c>
      <x:c r="HS40" s="1659" t="s">
        <x:v>117</x:v>
      </x:c>
      <x:c r="HT40" s="1659">
        <x:v>0</x:v>
      </x:c>
      <x:c r="HU40" s="1659">
        <x:v>2.25</x:v>
      </x:c>
      <x:c r="HV40" s="1659">
        <x:v>0</x:v>
      </x:c>
      <x:c r="HW40" s="1661">
        <x:v>3.875</x:v>
      </x:c>
      <x:c r="HX40" s="1661">
        <x:v>4</x:v>
      </x:c>
      <x:c r="HY40" s="1661" t="s">
        <x:v>117</x:v>
      </x:c>
      <x:c r="HZ40" s="1661" t="s">
        <x:v>117</x:v>
      </x:c>
      <x:c r="IA40" s="1661" t="s">
        <x:v>2221</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ref="F41:F44" si="114">IF(DX41=0,"",TRUNC(DX41/12))</x:f>
        <x:v/>
      </x:c>
      <x:c r="G41" s="1262" t="str">
        <x:f t="shared" ref="G41:G44" si="115">IF(DX41=0,"",DX41-(F41*12))</x:f>
        <x:v/>
      </x:c>
      <x:c r="H41" s="1266" t="str">
        <x:f t="shared" ref="H41:H44" si="116">IF(DX41=0,"",CW41)</x:f>
        <x:v/>
      </x:c>
      <x:c r="I41" s="1261" t="str">
        <x:f t="shared" si="107"/>
        <x:v/>
      </x:c>
      <x:c r="J41" s="1262" t="str">
        <x:f t="shared" si="108"/>
        <x:v/>
      </x:c>
      <x:c r="K41" s="1370" t="str">
        <x:f t="shared" si="109"/>
        <x:v/>
      </x:c>
      <x:c r="L41" s="1327" t="str">
        <x:f t="shared" ref="L41:M44" si="117">DQ41</x:f>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7"/>
        <x:v/>
      </x:c>
      <x:c r="U41" s="1262" t="str">
        <x:f t="shared" si="8"/>
        <x:v/>
      </x:c>
      <x:c r="V41" s="1261" t="str">
        <x:f t="shared" si="9"/>
        <x:v/>
      </x:c>
      <x:c r="W41" s="1262" t="str">
        <x:f t="shared" si="10"/>
        <x:v/>
      </x:c>
      <x:c r="X41" s="1329">
        <x:f t="shared" si="11"/>
        <x:v>0</x:v>
      </x:c>
      <x:c r="Y41" s="1377" t="str">
        <x:f t="shared" si="105"/>
        <x:v/>
      </x:c>
      <x:c r="Z41" s="1378" t="str">
        <x:f t="shared" si="106"/>
        <x:v/>
      </x:c>
      <x:c r="AA41" s="2159"/>
      <x:c r="AC41" s="1226" t="b">
        <x:v>0</x:v>
      </x:c>
      <x:c r="AD41" s="525">
        <x:f t="shared" si="12"/>
        <x:v>0</x:v>
      </x:c>
      <x:c r="AE41" s="526">
        <x:f t="shared" si="13"/>
        <x:v>0</x:v>
      </x:c>
      <x:c r="AF41" s="526">
        <x:f t="shared" si="14"/>
        <x:v>0</x:v>
      </x:c>
      <x:c r="AG41" s="526">
        <x:f t="shared" si="15"/>
        <x:v>0</x:v>
      </x:c>
      <x:c r="AH41" s="527">
        <x:f t="shared" si="16"/>
        <x:v>0</x:v>
      </x:c>
      <x:c r="AI41" s="528" t="b">
        <x:v>0</x:v>
      </x:c>
      <x:c r="AJ41" s="284">
        <x:f t="shared" si="17"/>
        <x:v>0</x:v>
      </x:c>
      <x:c r="AK41" s="1063" t="str">
        <x:f t="shared" si="18"/>
        <x:v/>
      </x:c>
      <x:c r="AL41" s="1202" t="str">
        <x:f t="shared" si="19"/>
        <x:v/>
      </x:c>
      <x:c r="AM41" s="1063" t="str">
        <x:f t="shared" si="20"/>
        <x:v/>
      </x:c>
      <x:c r="AN41" s="1063" t="str">
        <x:f t="shared" si="21"/>
        <x:v/>
      </x:c>
      <x:c r="AO41" s="1063" t="str">
        <x:f t="shared" si="22"/>
        <x:v/>
      </x:c>
      <x:c r="AP41" s="1063" t="b">
        <x:f>IF(ISERROR(AJ41),FALSE,IF(OR(AJ41=0,ISERROR(AL41),ISERROR(AM41),ISERROR(AN41),ISERROR(AO41)),FALSE,IF(AL41&lt;&gt;"",IF(ISERROR(VLOOKUP(SUBSTITUTE(SUBSTITUTE(C41,"R",""),"A",""),TblJoistSize!$A:$A,1,FALSE)),FALSE,TRUE),TRUE)))</x:f>
        <x:v>0</x:v>
      </x:c>
      <x:c r="AQ41" s="1305" t="e">
        <x:f t="shared" si="23"/>
        <x:v>#N/A</x:v>
      </x:c>
      <x:c r="AR41" s="1305" t="b">
        <x:f t="shared" si="24"/>
        <x:v>0</x:v>
      </x:c>
      <x:c r="AS41" s="1305" t="e">
        <x:f t="shared" si="25"/>
        <x:v>#N/A</x:v>
      </x:c>
      <x:c r="AT41" s="1305" t="b">
        <x:f t="shared" si="26"/>
        <x:v>0</x:v>
      </x:c>
      <x:c r="AU41" s="1203" t="str">
        <x:f t="shared" si="27"/>
        <x:v/>
      </x:c>
      <x:c r="AV41" s="1063" t="str">
        <x:f t="shared" si="28"/>
        <x:v/>
      </x:c>
      <x:c r="AW41" s="1063" t="str">
        <x:f t="shared" si="29"/>
        <x:v/>
      </x:c>
      <x:c r="AX41" s="1063" t="str">
        <x:f t="shared" si="102"/>
        <x:v/>
      </x:c>
      <x:c r="AY41" s="1306" t="b">
        <x:f t="shared" si="30"/>
        <x:v>0</x:v>
      </x:c>
      <x:c r="AZ41" s="1090" t="str">
        <x:f t="shared" si="31"/>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2"/>
        <x:v/>
      </x:c>
      <x:c r="CE41" s="935" t="str">
        <x:f t="shared" si="33"/>
        <x:v/>
      </x:c>
      <x:c r="CF41" s="1149"/>
      <x:c r="CG41" s="1150"/>
      <x:c r="CH41" s="738" t="str">
        <x:f t="shared" si="34"/>
        <x:v/>
      </x:c>
      <x:c r="CI41" s="739" t="str">
        <x:f t="shared" si="35"/>
        <x:v/>
      </x:c>
      <x:c r="CJ41" s="740" t="str">
        <x:f t="shared" si="36"/>
        <x:v/>
      </x:c>
      <x:c r="CK41" s="741" t="str">
        <x:f t="shared" si="37"/>
        <x:v/>
      </x:c>
      <x:c r="CL41" s="742" t="str">
        <x:f t="shared" si="38"/>
        <x:v/>
      </x:c>
      <x:c r="CM41" s="743" t="str">
        <x:f t="shared" si="39"/>
        <x:v/>
      </x:c>
      <x:c r="CN41" s="744" t="str">
        <x:f t="shared" si="40"/>
        <x:v/>
      </x:c>
      <x:c r="CO41" s="745" t="str">
        <x:f t="shared" si="41"/>
        <x:v/>
      </x:c>
      <x:c r="CP41" s="762" t="str">
        <x:f t="shared" si="42"/>
        <x:v/>
      </x:c>
      <x:c r="CQ41" s="763" t="str">
        <x:f t="shared" si="43"/>
        <x:v/>
      </x:c>
      <x:c r="CR41" s="953" t="str">
        <x:f t="shared" si="44"/>
        <x:v/>
      </x:c>
      <x:c r="CS41" s="954" t="str">
        <x:f t="shared" si="45"/>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6"/>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7"/>
        <x:v>0</x:v>
      </x:c>
      <x:c r="DO41" s="1049">
        <x:f t="shared" si="48"/>
        <x:v>0</x:v>
      </x:c>
      <x:c r="DP41" s="1053" t="str">
        <x:f t="shared" si="49"/>
        <x:v/>
      </x:c>
      <x:c r="DQ41" s="1053" t="str">
        <x:f t="shared" si="50"/>
        <x:v/>
      </x:c>
      <x:c r="DR41" s="1053" t="str">
        <x:f t="shared" si="51"/>
        <x:v/>
      </x:c>
      <x:c r="DS41" s="1052">
        <x:f t="shared" si="52"/>
        <x:v>0</x:v>
      </x:c>
      <x:c r="DT41" s="1052">
        <x:f t="shared" si="53"/>
        <x:v>0</x:v>
      </x:c>
      <x:c r="DU41" s="1052" t="str">
        <x:f t="shared" si="54"/>
        <x:v/>
      </x:c>
      <x:c r="DV41" s="1053" t="str">
        <x:f t="shared" si="55"/>
        <x:v/>
      </x:c>
      <x:c r="DW41" s="1053" t="str">
        <x:f t="shared" si="56"/>
        <x:v/>
      </x:c>
      <x:c r="DX41" s="1269">
        <x:f t="shared" si="57"/>
        <x:v>0</x:v>
      </x:c>
      <x:c r="DY41" s="1053">
        <x:f t="shared" si="58"/>
        <x:v>0</x:v>
      </x:c>
      <x:c r="DZ41" s="1052">
        <x:f t="shared" si="59"/>
        <x:v>0</x:v>
      </x:c>
      <x:c r="EA41" s="1052" t="str">
        <x:f t="shared" si="60"/>
        <x:v/>
      </x:c>
      <x:c r="EB41" s="1053" t="str">
        <x:f t="shared" si="61"/>
        <x:v/>
      </x:c>
      <x:c r="EC41" s="1053" t="str">
        <x:f t="shared" si="62"/>
        <x:v/>
      </x:c>
      <x:c r="ED41" s="1269">
        <x:f t="shared" si="63"/>
        <x:v>0</x:v>
      </x:c>
      <x:c r="EE41" s="1090" t="str">
        <x:f t="shared" si="64"/>
        <x:v/>
      </x:c>
      <x:c r="EF41" s="1053" t="str">
        <x:f t="shared" si="65"/>
        <x:v/>
      </x:c>
      <x:c r="EG41" s="1053" t="str">
        <x:f t="shared" si="66"/>
        <x:v/>
      </x:c>
      <x:c r="EH41" s="1053" t="e">
        <x:f t="shared" si="67"/>
        <x:v>#N/A</x:v>
      </x:c>
      <x:c r="EI41" s="1053" t="e">
        <x:f t="shared" si="68"/>
        <x:v>#N/A</x:v>
      </x:c>
      <x:c r="EJ41" s="1053" t="str">
        <x:f t="shared" si="69"/>
        <x:v/>
      </x:c>
      <x:c r="EK41" s="1053" t="str">
        <x:f t="shared" si="69"/>
        <x:v/>
      </x:c>
      <x:c r="EL41" s="1090" t="str">
        <x:f t="shared" si="70"/>
        <x:v/>
      </x:c>
      <x:c r="EM41" s="1053" t="str">
        <x:f t="shared" si="71"/>
        <x:v/>
      </x:c>
      <x:c r="EN41" s="1053" t="str">
        <x:f t="shared" si="72"/>
        <x:v/>
      </x:c>
      <x:c r="EO41" s="1053" t="e">
        <x:f t="shared" si="73"/>
        <x:v>#N/A</x:v>
      </x:c>
      <x:c r="EP41" s="1053" t="e">
        <x:f t="shared" si="74"/>
        <x:v>#N/A</x:v>
      </x:c>
      <x:c r="EQ41" s="1053" t="str">
        <x:f t="shared" si="75"/>
        <x:v/>
      </x:c>
      <x:c r="ER41" s="1053" t="str">
        <x:f t="shared" si="75"/>
        <x:v/>
      </x:c>
      <x:c r="ES41" s="1053" t="str">
        <x:f t="shared" si="76"/>
        <x:v/>
      </x:c>
      <x:c r="ET41" s="1053" t="str">
        <x:f t="shared" si="77"/>
        <x:v/>
      </x:c>
      <x:c r="EU41" s="1061" t="str">
        <x:f t="shared" si="78"/>
        <x:v/>
      </x:c>
      <x:c r="EV41" s="1055" t="str">
        <x:f t="shared" si="79"/>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0"/>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1"/>
        <x:v/>
      </x:c>
      <x:c r="FD41" s="1052">
        <x:f t="shared" si="103"/>
        <x:v>0</x:v>
      </x:c>
      <x:c r="FE41" s="1052">
        <x:f t="shared" si="82"/>
        <x:v>0</x:v>
      </x:c>
      <x:c r="FF41" s="1052">
        <x:f t="shared" si="83"/>
        <x:v>0</x:v>
      </x:c>
      <x:c r="FG41" s="1052" t="str">
        <x:f t="shared" si="84"/>
        <x:v/>
      </x:c>
      <x:c r="FH41" s="1053" t="str">
        <x:f t="shared" si="85"/>
        <x:v/>
      </x:c>
      <x:c r="FI41" s="1052">
        <x:f t="shared" si="104"/>
        <x:v>0</x:v>
      </x:c>
      <x:c r="FJ41" s="1052">
        <x:f t="shared" si="86"/>
        <x:v>0</x:v>
      </x:c>
      <x:c r="FK41" s="1052">
        <x:f t="shared" si="87"/>
        <x:v>0</x:v>
      </x:c>
      <x:c r="FL41" s="1052" t="str">
        <x:f t="shared" si="88"/>
        <x:v/>
      </x:c>
      <x:c r="FM41" s="1053" t="str">
        <x:f t="shared" si="89"/>
        <x:v/>
      </x:c>
      <x:c r="FN41" s="1053" t="e">
        <x:f t="shared" si="90"/>
        <x:v>#VALUE!</x:v>
      </x:c>
      <x:c r="FO41" s="1062" t="e">
        <x:f t="shared" si="91"/>
        <x:v>#VALUE!</x:v>
      </x:c>
      <x:c r="FP41" s="1062" t="e">
        <x:f t="shared" si="92"/>
        <x:v>#VALUE!</x:v>
      </x:c>
      <x:c r="FQ41" s="1063" t="e">
        <x:f t="shared" si="93"/>
        <x:v>#VALUE!</x:v>
      </x:c>
      <x:c r="FR41" s="1064" t="e">
        <x:f t="shared" si="94"/>
        <x:v>#VALUE!</x:v>
      </x:c>
      <x:c r="FS41" s="1065" t="str">
        <x:f t="shared" si="95"/>
        <x:v/>
      </x:c>
      <x:c r="FT41" s="1066" t="str">
        <x:f t="shared" si="96"/>
        <x:v/>
      </x:c>
      <x:c r="FU41" s="1105">
        <x:f t="shared" si="97"/>
        <x:v>0</x:v>
      </x:c>
      <x:c r="FV41" s="1106">
        <x:f t="shared" si="98"/>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99"/>
        <x:v/>
      </x:c>
      <x:c r="GG41" s="1453"/>
      <x:c r="GH41" s="1454"/>
      <x:c r="GI41" s="1453"/>
      <x:c r="GJ41" s="1454"/>
      <x:c r="GK41" s="533">
        <x:f t="shared" si="100"/>
        <x:v>0</x:v>
      </x:c>
      <x:c r="GL41" s="534" t="e">
        <x:f t="shared" si="101"/>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14"/>
        <x:v/>
      </x:c>
      <x:c r="G42" s="1262" t="str">
        <x:f t="shared" si="115"/>
        <x:v/>
      </x:c>
      <x:c r="H42" s="1266" t="str">
        <x:f t="shared" si="116"/>
        <x:v/>
      </x:c>
      <x:c r="I42" s="1261" t="str">
        <x:f t="shared" si="107"/>
        <x:v/>
      </x:c>
      <x:c r="J42" s="1262" t="str">
        <x:f t="shared" si="108"/>
        <x:v/>
      </x:c>
      <x:c r="K42" s="1370" t="str">
        <x:f t="shared" si="109"/>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7"/>
        <x:v/>
      </x:c>
      <x:c r="U42" s="1262" t="str">
        <x:f t="shared" si="8"/>
        <x:v/>
      </x:c>
      <x:c r="V42" s="1261" t="str">
        <x:f t="shared" si="9"/>
        <x:v/>
      </x:c>
      <x:c r="W42" s="1262" t="str">
        <x:f t="shared" si="10"/>
        <x:v/>
      </x:c>
      <x:c r="X42" s="1329">
        <x:f t="shared" si="11"/>
        <x:v>0</x:v>
      </x:c>
      <x:c r="Y42" s="1377" t="str">
        <x:f t="shared" si="105"/>
        <x:v/>
      </x:c>
      <x:c r="Z42" s="1378" t="str">
        <x:f t="shared" si="106"/>
        <x:v/>
      </x:c>
      <x:c r="AA42" s="2159"/>
      <x:c r="AC42" s="1226" t="b">
        <x:v>0</x:v>
      </x:c>
      <x:c r="AD42" s="525">
        <x:f t="shared" si="12"/>
        <x:v>0</x:v>
      </x:c>
      <x:c r="AE42" s="526">
        <x:f t="shared" si="13"/>
        <x:v>0</x:v>
      </x:c>
      <x:c r="AF42" s="526">
        <x:f t="shared" si="14"/>
        <x:v>0</x:v>
      </x:c>
      <x:c r="AG42" s="526">
        <x:f t="shared" si="15"/>
        <x:v>0</x:v>
      </x:c>
      <x:c r="AH42" s="527">
        <x:f t="shared" si="16"/>
        <x:v>0</x:v>
      </x:c>
      <x:c r="AI42" s="528" t="b">
        <x:v>0</x:v>
      </x:c>
      <x:c r="AJ42" s="284">
        <x:f t="shared" si="17"/>
        <x:v>0</x:v>
      </x:c>
      <x:c r="AK42" s="1063" t="str">
        <x:f t="shared" si="18"/>
        <x:v/>
      </x:c>
      <x:c r="AL42" s="1202" t="str">
        <x:f t="shared" si="19"/>
        <x:v/>
      </x:c>
      <x:c r="AM42" s="1063" t="str">
        <x:f t="shared" si="20"/>
        <x:v/>
      </x:c>
      <x:c r="AN42" s="1063" t="str">
        <x:f t="shared" si="21"/>
        <x:v/>
      </x:c>
      <x:c r="AO42" s="1063" t="str">
        <x:f t="shared" si="22"/>
        <x:v/>
      </x:c>
      <x:c r="AP42" s="1063" t="b">
        <x:f>IF(ISERROR(AJ42),FALSE,IF(OR(AJ42=0,ISERROR(AL42),ISERROR(AM42),ISERROR(AN42),ISERROR(AO42)),FALSE,IF(AL42&lt;&gt;"",IF(ISERROR(VLOOKUP(SUBSTITUTE(SUBSTITUTE(C42,"R",""),"A",""),TblJoistSize!$A:$A,1,FALSE)),FALSE,TRUE),TRUE)))</x:f>
        <x:v>0</x:v>
      </x:c>
      <x:c r="AQ42" s="1305" t="e">
        <x:f t="shared" si="23"/>
        <x:v>#N/A</x:v>
      </x:c>
      <x:c r="AR42" s="1305" t="b">
        <x:f t="shared" si="24"/>
        <x:v>0</x:v>
      </x:c>
      <x:c r="AS42" s="1305" t="e">
        <x:f t="shared" si="25"/>
        <x:v>#N/A</x:v>
      </x:c>
      <x:c r="AT42" s="1305" t="b">
        <x:f t="shared" si="26"/>
        <x:v>0</x:v>
      </x:c>
      <x:c r="AU42" s="1203" t="str">
        <x:f t="shared" si="27"/>
        <x:v/>
      </x:c>
      <x:c r="AV42" s="1063" t="str">
        <x:f t="shared" si="28"/>
        <x:v/>
      </x:c>
      <x:c r="AW42" s="1063" t="str">
        <x:f t="shared" si="29"/>
        <x:v/>
      </x:c>
      <x:c r="AX42" s="1063" t="str">
        <x:f t="shared" si="102"/>
        <x:v/>
      </x:c>
      <x:c r="AY42" s="1306" t="b">
        <x:f t="shared" si="30"/>
        <x:v>0</x:v>
      </x:c>
      <x:c r="AZ42" s="1090" t="str">
        <x:f t="shared" si="31"/>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2"/>
        <x:v/>
      </x:c>
      <x:c r="CE42" s="935" t="str">
        <x:f t="shared" si="33"/>
        <x:v/>
      </x:c>
      <x:c r="CF42" s="1149"/>
      <x:c r="CG42" s="1150"/>
      <x:c r="CH42" s="738" t="str">
        <x:f t="shared" si="34"/>
        <x:v/>
      </x:c>
      <x:c r="CI42" s="739" t="str">
        <x:f t="shared" si="35"/>
        <x:v/>
      </x:c>
      <x:c r="CJ42" s="740" t="str">
        <x:f t="shared" si="36"/>
        <x:v/>
      </x:c>
      <x:c r="CK42" s="741" t="str">
        <x:f t="shared" si="37"/>
        <x:v/>
      </x:c>
      <x:c r="CL42" s="742" t="str">
        <x:f t="shared" si="38"/>
        <x:v/>
      </x:c>
      <x:c r="CM42" s="743" t="str">
        <x:f t="shared" si="39"/>
        <x:v/>
      </x:c>
      <x:c r="CN42" s="744" t="str">
        <x:f t="shared" si="40"/>
        <x:v/>
      </x:c>
      <x:c r="CO42" s="745" t="str">
        <x:f t="shared" si="41"/>
        <x:v/>
      </x:c>
      <x:c r="CP42" s="762" t="str">
        <x:f t="shared" si="42"/>
        <x:v/>
      </x:c>
      <x:c r="CQ42" s="763" t="str">
        <x:f t="shared" si="43"/>
        <x:v/>
      </x:c>
      <x:c r="CR42" s="953" t="str">
        <x:f t="shared" si="44"/>
        <x:v/>
      </x:c>
      <x:c r="CS42" s="954" t="str">
        <x:f t="shared" si="45"/>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6"/>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7"/>
        <x:v>0</x:v>
      </x:c>
      <x:c r="DO42" s="1049">
        <x:f t="shared" si="48"/>
        <x:v>0</x:v>
      </x:c>
      <x:c r="DP42" s="1053" t="str">
        <x:f t="shared" si="49"/>
        <x:v/>
      </x:c>
      <x:c r="DQ42" s="1053" t="str">
        <x:f t="shared" si="50"/>
        <x:v/>
      </x:c>
      <x:c r="DR42" s="1053" t="str">
        <x:f t="shared" si="51"/>
        <x:v/>
      </x:c>
      <x:c r="DS42" s="1052">
        <x:f t="shared" si="52"/>
        <x:v>0</x:v>
      </x:c>
      <x:c r="DT42" s="1052">
        <x:f t="shared" si="53"/>
        <x:v>0</x:v>
      </x:c>
      <x:c r="DU42" s="1052" t="str">
        <x:f t="shared" si="54"/>
        <x:v/>
      </x:c>
      <x:c r="DV42" s="1053" t="str">
        <x:f t="shared" si="55"/>
        <x:v/>
      </x:c>
      <x:c r="DW42" s="1053" t="str">
        <x:f t="shared" si="56"/>
        <x:v/>
      </x:c>
      <x:c r="DX42" s="1269">
        <x:f t="shared" si="57"/>
        <x:v>0</x:v>
      </x:c>
      <x:c r="DY42" s="1053">
        <x:f t="shared" si="58"/>
        <x:v>0</x:v>
      </x:c>
      <x:c r="DZ42" s="1052">
        <x:f t="shared" si="59"/>
        <x:v>0</x:v>
      </x:c>
      <x:c r="EA42" s="1052" t="str">
        <x:f t="shared" si="60"/>
        <x:v/>
      </x:c>
      <x:c r="EB42" s="1053" t="str">
        <x:f t="shared" si="61"/>
        <x:v/>
      </x:c>
      <x:c r="EC42" s="1053" t="str">
        <x:f t="shared" si="62"/>
        <x:v/>
      </x:c>
      <x:c r="ED42" s="1269">
        <x:f t="shared" si="63"/>
        <x:v>0</x:v>
      </x:c>
      <x:c r="EE42" s="1090" t="str">
        <x:f t="shared" si="64"/>
        <x:v/>
      </x:c>
      <x:c r="EF42" s="1053" t="str">
        <x:f t="shared" si="65"/>
        <x:v/>
      </x:c>
      <x:c r="EG42" s="1053" t="str">
        <x:f t="shared" si="66"/>
        <x:v/>
      </x:c>
      <x:c r="EH42" s="1053" t="e">
        <x:f t="shared" si="67"/>
        <x:v>#N/A</x:v>
      </x:c>
      <x:c r="EI42" s="1053" t="e">
        <x:f t="shared" si="68"/>
        <x:v>#N/A</x:v>
      </x:c>
      <x:c r="EJ42" s="1053" t="str">
        <x:f t="shared" si="69"/>
        <x:v/>
      </x:c>
      <x:c r="EK42" s="1053" t="str">
        <x:f t="shared" si="69"/>
        <x:v/>
      </x:c>
      <x:c r="EL42" s="1090" t="str">
        <x:f t="shared" si="70"/>
        <x:v/>
      </x:c>
      <x:c r="EM42" s="1053" t="str">
        <x:f t="shared" si="71"/>
        <x:v/>
      </x:c>
      <x:c r="EN42" s="1053" t="str">
        <x:f t="shared" si="72"/>
        <x:v/>
      </x:c>
      <x:c r="EO42" s="1053" t="e">
        <x:f t="shared" si="73"/>
        <x:v>#N/A</x:v>
      </x:c>
      <x:c r="EP42" s="1053" t="e">
        <x:f t="shared" si="74"/>
        <x:v>#N/A</x:v>
      </x:c>
      <x:c r="EQ42" s="1053" t="str">
        <x:f t="shared" si="75"/>
        <x:v/>
      </x:c>
      <x:c r="ER42" s="1053" t="str">
        <x:f t="shared" si="75"/>
        <x:v/>
      </x:c>
      <x:c r="ES42" s="1053" t="str">
        <x:f t="shared" si="76"/>
        <x:v/>
      </x:c>
      <x:c r="ET42" s="1053" t="str">
        <x:f t="shared" si="77"/>
        <x:v/>
      </x:c>
      <x:c r="EU42" s="1061" t="str">
        <x:f t="shared" si="78"/>
        <x:v/>
      </x:c>
      <x:c r="EV42" s="1055" t="str">
        <x:f t="shared" si="79"/>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0"/>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1"/>
        <x:v/>
      </x:c>
      <x:c r="FD42" s="1052">
        <x:f t="shared" si="103"/>
        <x:v>0</x:v>
      </x:c>
      <x:c r="FE42" s="1052">
        <x:f t="shared" si="82"/>
        <x:v>0</x:v>
      </x:c>
      <x:c r="FF42" s="1052">
        <x:f t="shared" si="83"/>
        <x:v>0</x:v>
      </x:c>
      <x:c r="FG42" s="1052" t="str">
        <x:f t="shared" si="84"/>
        <x:v/>
      </x:c>
      <x:c r="FH42" s="1053" t="str">
        <x:f t="shared" si="85"/>
        <x:v/>
      </x:c>
      <x:c r="FI42" s="1052">
        <x:f t="shared" si="104"/>
        <x:v>0</x:v>
      </x:c>
      <x:c r="FJ42" s="1052">
        <x:f t="shared" si="86"/>
        <x:v>0</x:v>
      </x:c>
      <x:c r="FK42" s="1052">
        <x:f t="shared" si="87"/>
        <x:v>0</x:v>
      </x:c>
      <x:c r="FL42" s="1052" t="str">
        <x:f t="shared" si="88"/>
        <x:v/>
      </x:c>
      <x:c r="FM42" s="1053" t="str">
        <x:f t="shared" si="89"/>
        <x:v/>
      </x:c>
      <x:c r="FN42" s="1053" t="e">
        <x:f t="shared" si="90"/>
        <x:v>#VALUE!</x:v>
      </x:c>
      <x:c r="FO42" s="1062" t="e">
        <x:f t="shared" si="91"/>
        <x:v>#VALUE!</x:v>
      </x:c>
      <x:c r="FP42" s="1062" t="e">
        <x:f t="shared" si="92"/>
        <x:v>#VALUE!</x:v>
      </x:c>
      <x:c r="FQ42" s="1063" t="e">
        <x:f t="shared" si="93"/>
        <x:v>#VALUE!</x:v>
      </x:c>
      <x:c r="FR42" s="1064" t="e">
        <x:f t="shared" si="94"/>
        <x:v>#VALUE!</x:v>
      </x:c>
      <x:c r="FS42" s="1065" t="str">
        <x:f t="shared" si="95"/>
        <x:v/>
      </x:c>
      <x:c r="FT42" s="1066" t="str">
        <x:f t="shared" si="96"/>
        <x:v/>
      </x:c>
      <x:c r="FU42" s="1105">
        <x:f t="shared" si="97"/>
        <x:v>0</x:v>
      </x:c>
      <x:c r="FV42" s="1106">
        <x:f t="shared" si="98"/>
        <x:v>0</x:v>
      </x:c>
      <x:c r="GA42" s="1975" t="str">
        <x:f t="shared" si="118"/>
        <x:v/>
      </x:c>
      <x:c r="GB42" s="1976" t="str">
        <x:f t="shared" si="119"/>
        <x:v/>
      </x:c>
      <x:c r="GC42" s="1977" t="str">
        <x:f t="shared" si="120"/>
        <x:v/>
      </x:c>
      <x:c r="GD42" s="1978" t="str">
        <x:f t="shared" si="121"/>
        <x:v/>
      </x:c>
      <x:c r="GE42" s="1979" t="str">
        <x:f t="shared" si="122"/>
        <x:v/>
      </x:c>
      <x:c r="GF42" s="1980" t="str">
        <x:f t="shared" si="99"/>
        <x:v/>
      </x:c>
      <x:c r="GG42" s="1453"/>
      <x:c r="GH42" s="1454"/>
      <x:c r="GI42" s="1453"/>
      <x:c r="GJ42" s="1454"/>
      <x:c r="GK42" s="533">
        <x:f t="shared" si="100"/>
        <x:v>0</x:v>
      </x:c>
      <x:c r="GL42" s="534" t="e">
        <x:f t="shared" si="101"/>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14"/>
        <x:v/>
      </x:c>
      <x:c r="G43" s="1262" t="str">
        <x:f t="shared" si="115"/>
        <x:v/>
      </x:c>
      <x:c r="H43" s="1266" t="str">
        <x:f t="shared" si="116"/>
        <x:v/>
      </x:c>
      <x:c r="I43" s="1261" t="str">
        <x:f t="shared" si="107"/>
        <x:v/>
      </x:c>
      <x:c r="J43" s="1262" t="str">
        <x:f t="shared" si="108"/>
        <x:v/>
      </x:c>
      <x:c r="K43" s="1370" t="str">
        <x:f t="shared" si="109"/>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7"/>
        <x:v/>
      </x:c>
      <x:c r="U43" s="1262" t="str">
        <x:f t="shared" si="8"/>
        <x:v/>
      </x:c>
      <x:c r="V43" s="1261" t="str">
        <x:f t="shared" si="9"/>
        <x:v/>
      </x:c>
      <x:c r="W43" s="1262" t="str">
        <x:f t="shared" si="10"/>
        <x:v/>
      </x:c>
      <x:c r="X43" s="1329">
        <x:f t="shared" si="11"/>
        <x:v>0</x:v>
      </x:c>
      <x:c r="Y43" s="1377" t="str">
        <x:f t="shared" si="105"/>
        <x:v/>
      </x:c>
      <x:c r="Z43" s="1378" t="str">
        <x:f t="shared" si="106"/>
        <x:v/>
      </x:c>
      <x:c r="AA43" s="2159"/>
      <x:c r="AC43" s="1226" t="b">
        <x:v>0</x:v>
      </x:c>
      <x:c r="AD43" s="525">
        <x:f t="shared" si="12"/>
        <x:v>0</x:v>
      </x:c>
      <x:c r="AE43" s="526">
        <x:f t="shared" si="13"/>
        <x:v>0</x:v>
      </x:c>
      <x:c r="AF43" s="526">
        <x:f t="shared" si="14"/>
        <x:v>0</x:v>
      </x:c>
      <x:c r="AG43" s="526">
        <x:f t="shared" si="15"/>
        <x:v>0</x:v>
      </x:c>
      <x:c r="AH43" s="527">
        <x:f t="shared" si="16"/>
        <x:v>0</x:v>
      </x:c>
      <x:c r="AI43" s="528" t="b">
        <x:v>0</x:v>
      </x:c>
      <x:c r="AJ43" s="284">
        <x:f t="shared" si="17"/>
        <x:v>0</x:v>
      </x:c>
      <x:c r="AK43" s="1063" t="str">
        <x:f t="shared" si="18"/>
        <x:v/>
      </x:c>
      <x:c r="AL43" s="1202" t="str">
        <x:f t="shared" si="19"/>
        <x:v/>
      </x:c>
      <x:c r="AM43" s="1063" t="str">
        <x:f t="shared" si="20"/>
        <x:v/>
      </x:c>
      <x:c r="AN43" s="1063" t="str">
        <x:f t="shared" si="21"/>
        <x:v/>
      </x:c>
      <x:c r="AO43" s="1063" t="str">
        <x:f t="shared" si="22"/>
        <x:v/>
      </x:c>
      <x:c r="AP43" s="1063" t="b">
        <x:f>IF(ISERROR(AJ43),FALSE,IF(OR(AJ43=0,ISERROR(AL43),ISERROR(AM43),ISERROR(AN43),ISERROR(AO43)),FALSE,IF(AL43&lt;&gt;"",IF(ISERROR(VLOOKUP(SUBSTITUTE(SUBSTITUTE(C43,"R",""),"A",""),TblJoistSize!$A:$A,1,FALSE)),FALSE,TRUE),TRUE)))</x:f>
        <x:v>0</x:v>
      </x:c>
      <x:c r="AQ43" s="1305" t="e">
        <x:f t="shared" si="23"/>
        <x:v>#N/A</x:v>
      </x:c>
      <x:c r="AR43" s="1305" t="b">
        <x:f t="shared" si="24"/>
        <x:v>0</x:v>
      </x:c>
      <x:c r="AS43" s="1305" t="e">
        <x:f t="shared" si="25"/>
        <x:v>#N/A</x:v>
      </x:c>
      <x:c r="AT43" s="1305" t="b">
        <x:f t="shared" si="26"/>
        <x:v>0</x:v>
      </x:c>
      <x:c r="AU43" s="1203" t="str">
        <x:f t="shared" si="27"/>
        <x:v/>
      </x:c>
      <x:c r="AV43" s="1063" t="str">
        <x:f t="shared" si="28"/>
        <x:v/>
      </x:c>
      <x:c r="AW43" s="1063" t="str">
        <x:f t="shared" si="29"/>
        <x:v/>
      </x:c>
      <x:c r="AX43" s="1063" t="str">
        <x:f t="shared" si="102"/>
        <x:v/>
      </x:c>
      <x:c r="AY43" s="1306" t="b">
        <x:f t="shared" si="30"/>
        <x:v>0</x:v>
      </x:c>
      <x:c r="AZ43" s="1090" t="str">
        <x:f t="shared" si="31"/>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2"/>
        <x:v/>
      </x:c>
      <x:c r="CE43" s="935" t="str">
        <x:f t="shared" si="33"/>
        <x:v/>
      </x:c>
      <x:c r="CF43" s="1149"/>
      <x:c r="CG43" s="1150"/>
      <x:c r="CH43" s="738" t="str">
        <x:f t="shared" si="34"/>
        <x:v/>
      </x:c>
      <x:c r="CI43" s="739" t="str">
        <x:f t="shared" si="35"/>
        <x:v/>
      </x:c>
      <x:c r="CJ43" s="740" t="str">
        <x:f t="shared" si="36"/>
        <x:v/>
      </x:c>
      <x:c r="CK43" s="741" t="str">
        <x:f t="shared" si="37"/>
        <x:v/>
      </x:c>
      <x:c r="CL43" s="742" t="str">
        <x:f t="shared" si="38"/>
        <x:v/>
      </x:c>
      <x:c r="CM43" s="743" t="str">
        <x:f t="shared" si="39"/>
        <x:v/>
      </x:c>
      <x:c r="CN43" s="744" t="str">
        <x:f t="shared" si="40"/>
        <x:v/>
      </x:c>
      <x:c r="CO43" s="745" t="str">
        <x:f t="shared" si="41"/>
        <x:v/>
      </x:c>
      <x:c r="CP43" s="762" t="str">
        <x:f t="shared" si="42"/>
        <x:v/>
      </x:c>
      <x:c r="CQ43" s="763" t="str">
        <x:f t="shared" si="43"/>
        <x:v/>
      </x:c>
      <x:c r="CR43" s="953" t="str">
        <x:f t="shared" si="44"/>
        <x:v/>
      </x:c>
      <x:c r="CS43" s="954" t="str">
        <x:f t="shared" si="45"/>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6"/>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7"/>
        <x:v>0</x:v>
      </x:c>
      <x:c r="DO43" s="1049">
        <x:f t="shared" si="48"/>
        <x:v>0</x:v>
      </x:c>
      <x:c r="DP43" s="1053" t="str">
        <x:f t="shared" si="49"/>
        <x:v/>
      </x:c>
      <x:c r="DQ43" s="1053" t="str">
        <x:f t="shared" si="50"/>
        <x:v/>
      </x:c>
      <x:c r="DR43" s="1053" t="str">
        <x:f t="shared" si="51"/>
        <x:v/>
      </x:c>
      <x:c r="DS43" s="1052">
        <x:f t="shared" si="52"/>
        <x:v>0</x:v>
      </x:c>
      <x:c r="DT43" s="1052">
        <x:f t="shared" si="53"/>
        <x:v>0</x:v>
      </x:c>
      <x:c r="DU43" s="1052" t="str">
        <x:f t="shared" si="54"/>
        <x:v/>
      </x:c>
      <x:c r="DV43" s="1053" t="str">
        <x:f t="shared" si="55"/>
        <x:v/>
      </x:c>
      <x:c r="DW43" s="1053" t="str">
        <x:f t="shared" si="56"/>
        <x:v/>
      </x:c>
      <x:c r="DX43" s="1269">
        <x:f t="shared" si="57"/>
        <x:v>0</x:v>
      </x:c>
      <x:c r="DY43" s="1053">
        <x:f t="shared" si="58"/>
        <x:v>0</x:v>
      </x:c>
      <x:c r="DZ43" s="1052">
        <x:f t="shared" si="59"/>
        <x:v>0</x:v>
      </x:c>
      <x:c r="EA43" s="1052" t="str">
        <x:f t="shared" si="60"/>
        <x:v/>
      </x:c>
      <x:c r="EB43" s="1053" t="str">
        <x:f t="shared" si="61"/>
        <x:v/>
      </x:c>
      <x:c r="EC43" s="1053" t="str">
        <x:f t="shared" si="62"/>
        <x:v/>
      </x:c>
      <x:c r="ED43" s="1269">
        <x:f t="shared" si="63"/>
        <x:v>0</x:v>
      </x:c>
      <x:c r="EE43" s="1090" t="str">
        <x:f t="shared" si="64"/>
        <x:v/>
      </x:c>
      <x:c r="EF43" s="1053" t="str">
        <x:f t="shared" si="65"/>
        <x:v/>
      </x:c>
      <x:c r="EG43" s="1053" t="str">
        <x:f t="shared" si="66"/>
        <x:v/>
      </x:c>
      <x:c r="EH43" s="1053" t="e">
        <x:f t="shared" si="67"/>
        <x:v>#N/A</x:v>
      </x:c>
      <x:c r="EI43" s="1053" t="e">
        <x:f t="shared" si="68"/>
        <x:v>#N/A</x:v>
      </x:c>
      <x:c r="EJ43" s="1053" t="str">
        <x:f t="shared" si="69"/>
        <x:v/>
      </x:c>
      <x:c r="EK43" s="1053" t="str">
        <x:f t="shared" si="69"/>
        <x:v/>
      </x:c>
      <x:c r="EL43" s="1090" t="str">
        <x:f t="shared" si="70"/>
        <x:v/>
      </x:c>
      <x:c r="EM43" s="1053" t="str">
        <x:f t="shared" si="71"/>
        <x:v/>
      </x:c>
      <x:c r="EN43" s="1053" t="str">
        <x:f t="shared" si="72"/>
        <x:v/>
      </x:c>
      <x:c r="EO43" s="1053" t="e">
        <x:f t="shared" si="73"/>
        <x:v>#N/A</x:v>
      </x:c>
      <x:c r="EP43" s="1053" t="e">
        <x:f t="shared" si="74"/>
        <x:v>#N/A</x:v>
      </x:c>
      <x:c r="EQ43" s="1053" t="str">
        <x:f t="shared" si="75"/>
        <x:v/>
      </x:c>
      <x:c r="ER43" s="1053" t="str">
        <x:f t="shared" si="75"/>
        <x:v/>
      </x:c>
      <x:c r="ES43" s="1053" t="str">
        <x:f t="shared" si="76"/>
        <x:v/>
      </x:c>
      <x:c r="ET43" s="1053" t="str">
        <x:f t="shared" si="77"/>
        <x:v/>
      </x:c>
      <x:c r="EU43" s="1061" t="str">
        <x:f t="shared" si="78"/>
        <x:v/>
      </x:c>
      <x:c r="EV43" s="1055" t="str">
        <x:f t="shared" si="79"/>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0"/>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1"/>
        <x:v/>
      </x:c>
      <x:c r="FD43" s="1052">
        <x:f t="shared" si="103"/>
        <x:v>0</x:v>
      </x:c>
      <x:c r="FE43" s="1052">
        <x:f t="shared" si="82"/>
        <x:v>0</x:v>
      </x:c>
      <x:c r="FF43" s="1052">
        <x:f t="shared" si="83"/>
        <x:v>0</x:v>
      </x:c>
      <x:c r="FG43" s="1052" t="str">
        <x:f t="shared" si="84"/>
        <x:v/>
      </x:c>
      <x:c r="FH43" s="1053" t="str">
        <x:f t="shared" si="85"/>
        <x:v/>
      </x:c>
      <x:c r="FI43" s="1052">
        <x:f t="shared" si="104"/>
        <x:v>0</x:v>
      </x:c>
      <x:c r="FJ43" s="1052">
        <x:f t="shared" si="86"/>
        <x:v>0</x:v>
      </x:c>
      <x:c r="FK43" s="1052">
        <x:f t="shared" si="87"/>
        <x:v>0</x:v>
      </x:c>
      <x:c r="FL43" s="1052" t="str">
        <x:f t="shared" si="88"/>
        <x:v/>
      </x:c>
      <x:c r="FM43" s="1053" t="str">
        <x:f t="shared" si="89"/>
        <x:v/>
      </x:c>
      <x:c r="FN43" s="1053" t="e">
        <x:f t="shared" si="90"/>
        <x:v>#VALUE!</x:v>
      </x:c>
      <x:c r="FO43" s="1062" t="e">
        <x:f t="shared" si="91"/>
        <x:v>#VALUE!</x:v>
      </x:c>
      <x:c r="FP43" s="1062" t="e">
        <x:f t="shared" si="92"/>
        <x:v>#VALUE!</x:v>
      </x:c>
      <x:c r="FQ43" s="1063" t="e">
        <x:f t="shared" si="93"/>
        <x:v>#VALUE!</x:v>
      </x:c>
      <x:c r="FR43" s="1064" t="e">
        <x:f t="shared" si="94"/>
        <x:v>#VALUE!</x:v>
      </x:c>
      <x:c r="FS43" s="1065" t="str">
        <x:f t="shared" si="95"/>
        <x:v/>
      </x:c>
      <x:c r="FT43" s="1066" t="str">
        <x:f t="shared" si="96"/>
        <x:v/>
      </x:c>
      <x:c r="FU43" s="1105">
        <x:f t="shared" si="97"/>
        <x:v>0</x:v>
      </x:c>
      <x:c r="FV43" s="1106">
        <x:f t="shared" si="98"/>
        <x:v>0</x:v>
      </x:c>
      <x:c r="GA43" s="1975" t="str">
        <x:f t="shared" si="118"/>
        <x:v/>
      </x:c>
      <x:c r="GB43" s="1976" t="str">
        <x:f t="shared" si="119"/>
        <x:v/>
      </x:c>
      <x:c r="GC43" s="1977" t="str">
        <x:f t="shared" si="120"/>
        <x:v/>
      </x:c>
      <x:c r="GD43" s="1978" t="str">
        <x:f t="shared" si="121"/>
        <x:v/>
      </x:c>
      <x:c r="GE43" s="1979" t="str">
        <x:f t="shared" si="122"/>
        <x:v/>
      </x:c>
      <x:c r="GF43" s="1980" t="str">
        <x:f t="shared" si="99"/>
        <x:v/>
      </x:c>
      <x:c r="GG43" s="1453"/>
      <x:c r="GH43" s="1454"/>
      <x:c r="GI43" s="1453"/>
      <x:c r="GJ43" s="1454"/>
      <x:c r="GK43" s="533">
        <x:f t="shared" si="100"/>
        <x:v>0</x:v>
      </x:c>
      <x:c r="GL43" s="534" t="e">
        <x:f t="shared" si="101"/>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14"/>
        <x:v/>
      </x:c>
      <x:c r="G44" s="1262" t="str">
        <x:f t="shared" si="115"/>
        <x:v/>
      </x:c>
      <x:c r="H44" s="1266" t="str">
        <x:f t="shared" si="116"/>
        <x:v/>
      </x:c>
      <x:c r="I44" s="1261" t="str">
        <x:f t="shared" si="107"/>
        <x:v/>
      </x:c>
      <x:c r="J44" s="1262" t="str">
        <x:f t="shared" si="108"/>
        <x:v/>
      </x:c>
      <x:c r="K44" s="1370" t="str">
        <x:f t="shared" si="109"/>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7"/>
        <x:v/>
      </x:c>
      <x:c r="U44" s="1262" t="str">
        <x:f t="shared" si="8"/>
        <x:v/>
      </x:c>
      <x:c r="V44" s="1261" t="str">
        <x:f t="shared" si="9"/>
        <x:v/>
      </x:c>
      <x:c r="W44" s="1262" t="str">
        <x:f t="shared" si="10"/>
        <x:v/>
      </x:c>
      <x:c r="X44" s="1329">
        <x:f t="shared" si="11"/>
        <x:v>0</x:v>
      </x:c>
      <x:c r="Y44" s="1377" t="str">
        <x:f t="shared" si="105"/>
        <x:v/>
      </x:c>
      <x:c r="Z44" s="1378" t="str">
        <x:f t="shared" si="106"/>
        <x:v/>
      </x:c>
      <x:c r="AA44" s="2159"/>
      <x:c r="AC44" s="1226" t="b">
        <x:v>0</x:v>
      </x:c>
      <x:c r="AD44" s="525">
        <x:f t="shared" si="12"/>
        <x:v>0</x:v>
      </x:c>
      <x:c r="AE44" s="526">
        <x:f t="shared" si="13"/>
        <x:v>0</x:v>
      </x:c>
      <x:c r="AF44" s="526">
        <x:f t="shared" si="14"/>
        <x:v>0</x:v>
      </x:c>
      <x:c r="AG44" s="526">
        <x:f t="shared" si="15"/>
        <x:v>0</x:v>
      </x:c>
      <x:c r="AH44" s="527">
        <x:f t="shared" si="16"/>
        <x:v>0</x:v>
      </x:c>
      <x:c r="AI44" s="528" t="b">
        <x:v>0</x:v>
      </x:c>
      <x:c r="AJ44" s="284">
        <x:f t="shared" si="17"/>
        <x:v>0</x:v>
      </x:c>
      <x:c r="AK44" s="1063" t="str">
        <x:f t="shared" si="18"/>
        <x:v/>
      </x:c>
      <x:c r="AL44" s="1202" t="str">
        <x:f t="shared" si="19"/>
        <x:v/>
      </x:c>
      <x:c r="AM44" s="1063" t="str">
        <x:f t="shared" si="20"/>
        <x:v/>
      </x:c>
      <x:c r="AN44" s="1063" t="str">
        <x:f t="shared" si="21"/>
        <x:v/>
      </x:c>
      <x:c r="AO44" s="1063" t="str">
        <x:f t="shared" si="22"/>
        <x:v/>
      </x:c>
      <x:c r="AP44" s="1063" t="b">
        <x:f>IF(ISERROR(AJ44),FALSE,IF(OR(AJ44=0,ISERROR(AL44),ISERROR(AM44),ISERROR(AN44),ISERROR(AO44)),FALSE,IF(AL44&lt;&gt;"",IF(ISERROR(VLOOKUP(SUBSTITUTE(SUBSTITUTE(C44,"R",""),"A",""),TblJoistSize!$A:$A,1,FALSE)),FALSE,TRUE),TRUE)))</x:f>
        <x:v>0</x:v>
      </x:c>
      <x:c r="AQ44" s="1305" t="e">
        <x:f t="shared" si="23"/>
        <x:v>#N/A</x:v>
      </x:c>
      <x:c r="AR44" s="1305" t="b">
        <x:f t="shared" si="24"/>
        <x:v>0</x:v>
      </x:c>
      <x:c r="AS44" s="1305" t="e">
        <x:f t="shared" si="25"/>
        <x:v>#N/A</x:v>
      </x:c>
      <x:c r="AT44" s="1305" t="b">
        <x:f t="shared" si="26"/>
        <x:v>0</x:v>
      </x:c>
      <x:c r="AU44" s="1203" t="str">
        <x:f t="shared" si="27"/>
        <x:v/>
      </x:c>
      <x:c r="AV44" s="1063" t="str">
        <x:f t="shared" si="28"/>
        <x:v/>
      </x:c>
      <x:c r="AW44" s="1063" t="str">
        <x:f t="shared" si="29"/>
        <x:v/>
      </x:c>
      <x:c r="AX44" s="1063" t="str">
        <x:f t="shared" si="102"/>
        <x:v/>
      </x:c>
      <x:c r="AY44" s="1306" t="b">
        <x:f t="shared" si="30"/>
        <x:v>0</x:v>
      </x:c>
      <x:c r="AZ44" s="1090" t="str">
        <x:f t="shared" si="31"/>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2"/>
        <x:v/>
      </x:c>
      <x:c r="CE44" s="935" t="str">
        <x:f t="shared" si="33"/>
        <x:v/>
      </x:c>
      <x:c r="CF44" s="1149"/>
      <x:c r="CG44" s="1150"/>
      <x:c r="CH44" s="738" t="str">
        <x:f t="shared" si="34"/>
        <x:v/>
      </x:c>
      <x:c r="CI44" s="739" t="str">
        <x:f t="shared" si="35"/>
        <x:v/>
      </x:c>
      <x:c r="CJ44" s="740" t="str">
        <x:f t="shared" si="36"/>
        <x:v/>
      </x:c>
      <x:c r="CK44" s="741" t="str">
        <x:f t="shared" si="37"/>
        <x:v/>
      </x:c>
      <x:c r="CL44" s="742" t="str">
        <x:f t="shared" si="38"/>
        <x:v/>
      </x:c>
      <x:c r="CM44" s="743" t="str">
        <x:f t="shared" si="39"/>
        <x:v/>
      </x:c>
      <x:c r="CN44" s="744" t="str">
        <x:f t="shared" si="40"/>
        <x:v/>
      </x:c>
      <x:c r="CO44" s="745" t="str">
        <x:f t="shared" si="41"/>
        <x:v/>
      </x:c>
      <x:c r="CP44" s="762" t="str">
        <x:f t="shared" si="42"/>
        <x:v/>
      </x:c>
      <x:c r="CQ44" s="763" t="str">
        <x:f t="shared" si="43"/>
        <x:v/>
      </x:c>
      <x:c r="CR44" s="953" t="str">
        <x:f t="shared" si="44"/>
        <x:v/>
      </x:c>
      <x:c r="CS44" s="954" t="str">
        <x:f t="shared" si="45"/>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6"/>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7"/>
        <x:v>0</x:v>
      </x:c>
      <x:c r="DO44" s="1049">
        <x:f t="shared" si="48"/>
        <x:v>0</x:v>
      </x:c>
      <x:c r="DP44" s="1053" t="str">
        <x:f t="shared" si="49"/>
        <x:v/>
      </x:c>
      <x:c r="DQ44" s="1053" t="str">
        <x:f t="shared" si="50"/>
        <x:v/>
      </x:c>
      <x:c r="DR44" s="1053" t="str">
        <x:f t="shared" si="51"/>
        <x:v/>
      </x:c>
      <x:c r="DS44" s="1052">
        <x:f t="shared" si="52"/>
        <x:v>0</x:v>
      </x:c>
      <x:c r="DT44" s="1052">
        <x:f t="shared" si="53"/>
        <x:v>0</x:v>
      </x:c>
      <x:c r="DU44" s="1052" t="str">
        <x:f t="shared" si="54"/>
        <x:v/>
      </x:c>
      <x:c r="DV44" s="1053" t="str">
        <x:f t="shared" si="55"/>
        <x:v/>
      </x:c>
      <x:c r="DW44" s="1053" t="str">
        <x:f t="shared" si="56"/>
        <x:v/>
      </x:c>
      <x:c r="DX44" s="1269">
        <x:f t="shared" si="57"/>
        <x:v>0</x:v>
      </x:c>
      <x:c r="DY44" s="1053">
        <x:f t="shared" si="58"/>
        <x:v>0</x:v>
      </x:c>
      <x:c r="DZ44" s="1052">
        <x:f t="shared" si="59"/>
        <x:v>0</x:v>
      </x:c>
      <x:c r="EA44" s="1052" t="str">
        <x:f t="shared" si="60"/>
        <x:v/>
      </x:c>
      <x:c r="EB44" s="1053" t="str">
        <x:f t="shared" si="61"/>
        <x:v/>
      </x:c>
      <x:c r="EC44" s="1053" t="str">
        <x:f t="shared" si="62"/>
        <x:v/>
      </x:c>
      <x:c r="ED44" s="1269">
        <x:f t="shared" si="63"/>
        <x:v>0</x:v>
      </x:c>
      <x:c r="EE44" s="1090" t="str">
        <x:f t="shared" si="64"/>
        <x:v/>
      </x:c>
      <x:c r="EF44" s="1053" t="str">
        <x:f t="shared" si="65"/>
        <x:v/>
      </x:c>
      <x:c r="EG44" s="1053" t="str">
        <x:f t="shared" si="66"/>
        <x:v/>
      </x:c>
      <x:c r="EH44" s="1053" t="e">
        <x:f t="shared" si="67"/>
        <x:v>#N/A</x:v>
      </x:c>
      <x:c r="EI44" s="1053" t="e">
        <x:f t="shared" si="68"/>
        <x:v>#N/A</x:v>
      </x:c>
      <x:c r="EJ44" s="1053" t="str">
        <x:f t="shared" si="69"/>
        <x:v/>
      </x:c>
      <x:c r="EK44" s="1053" t="str">
        <x:f t="shared" si="69"/>
        <x:v/>
      </x:c>
      <x:c r="EL44" s="1090" t="str">
        <x:f t="shared" si="70"/>
        <x:v/>
      </x:c>
      <x:c r="EM44" s="1053" t="str">
        <x:f t="shared" si="71"/>
        <x:v/>
      </x:c>
      <x:c r="EN44" s="1053" t="str">
        <x:f t="shared" si="72"/>
        <x:v/>
      </x:c>
      <x:c r="EO44" s="1053" t="e">
        <x:f t="shared" si="73"/>
        <x:v>#N/A</x:v>
      </x:c>
      <x:c r="EP44" s="1053" t="e">
        <x:f t="shared" si="74"/>
        <x:v>#N/A</x:v>
      </x:c>
      <x:c r="EQ44" s="1053" t="str">
        <x:f t="shared" si="75"/>
        <x:v/>
      </x:c>
      <x:c r="ER44" s="1053" t="str">
        <x:f t="shared" si="75"/>
        <x:v/>
      </x:c>
      <x:c r="ES44" s="1053" t="str">
        <x:f t="shared" si="76"/>
        <x:v/>
      </x:c>
      <x:c r="ET44" s="1053" t="str">
        <x:f t="shared" si="77"/>
        <x:v/>
      </x:c>
      <x:c r="EU44" s="1061" t="str">
        <x:f t="shared" si="78"/>
        <x:v/>
      </x:c>
      <x:c r="EV44" s="1055" t="str">
        <x:f t="shared" si="79"/>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0"/>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1"/>
        <x:v/>
      </x:c>
      <x:c r="FD44" s="1052">
        <x:f t="shared" si="103"/>
        <x:v>0</x:v>
      </x:c>
      <x:c r="FE44" s="1052">
        <x:f t="shared" si="82"/>
        <x:v>0</x:v>
      </x:c>
      <x:c r="FF44" s="1052">
        <x:f t="shared" si="83"/>
        <x:v>0</x:v>
      </x:c>
      <x:c r="FG44" s="1052" t="str">
        <x:f t="shared" si="84"/>
        <x:v/>
      </x:c>
      <x:c r="FH44" s="1053" t="str">
        <x:f t="shared" si="85"/>
        <x:v/>
      </x:c>
      <x:c r="FI44" s="1052">
        <x:f t="shared" si="104"/>
        <x:v>0</x:v>
      </x:c>
      <x:c r="FJ44" s="1052">
        <x:f t="shared" si="86"/>
        <x:v>0</x:v>
      </x:c>
      <x:c r="FK44" s="1052">
        <x:f t="shared" si="87"/>
        <x:v>0</x:v>
      </x:c>
      <x:c r="FL44" s="1052" t="str">
        <x:f t="shared" si="88"/>
        <x:v/>
      </x:c>
      <x:c r="FM44" s="1053" t="str">
        <x:f t="shared" si="89"/>
        <x:v/>
      </x:c>
      <x:c r="FN44" s="1053" t="e">
        <x:f t="shared" si="90"/>
        <x:v>#VALUE!</x:v>
      </x:c>
      <x:c r="FO44" s="1062" t="e">
        <x:f t="shared" si="91"/>
        <x:v>#VALUE!</x:v>
      </x:c>
      <x:c r="FP44" s="1062" t="e">
        <x:f t="shared" si="92"/>
        <x:v>#VALUE!</x:v>
      </x:c>
      <x:c r="FQ44" s="1063" t="e">
        <x:f t="shared" si="93"/>
        <x:v>#VALUE!</x:v>
      </x:c>
      <x:c r="FR44" s="1064" t="e">
        <x:f t="shared" si="94"/>
        <x:v>#VALUE!</x:v>
      </x:c>
      <x:c r="FS44" s="1065" t="str">
        <x:f t="shared" si="95"/>
        <x:v/>
      </x:c>
      <x:c r="FT44" s="1066" t="str">
        <x:f t="shared" si="96"/>
        <x:v/>
      </x:c>
      <x:c r="FU44" s="1105">
        <x:f t="shared" si="97"/>
        <x:v>0</x:v>
      </x:c>
      <x:c r="FV44" s="1106">
        <x:f t="shared" si="98"/>
        <x:v>0</x:v>
      </x:c>
      <x:c r="GA44" s="1975" t="str">
        <x:f t="shared" si="118"/>
        <x:v/>
      </x:c>
      <x:c r="GB44" s="1976" t="str">
        <x:f t="shared" si="119"/>
        <x:v/>
      </x:c>
      <x:c r="GC44" s="1977" t="str">
        <x:f t="shared" si="120"/>
        <x:v/>
      </x:c>
      <x:c r="GD44" s="1978" t="str">
        <x:f t="shared" si="121"/>
        <x:v/>
      </x:c>
      <x:c r="GE44" s="1979" t="str">
        <x:f t="shared" si="122"/>
        <x:v/>
      </x:c>
      <x:c r="GF44" s="1980" t="str">
        <x:f t="shared" si="99"/>
        <x:v/>
      </x:c>
      <x:c r="GG44" s="1453"/>
      <x:c r="GH44" s="1454"/>
      <x:c r="GI44" s="1453"/>
      <x:c r="GJ44" s="1454"/>
      <x:c r="GK44" s="533">
        <x:f t="shared" si="100"/>
        <x:v>0</x:v>
      </x:c>
      <x:c r="GL44" s="534" t="e">
        <x:f t="shared" si="101"/>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2"/>
        <x:v>0</x:v>
      </x:c>
      <x:c r="AE45" s="526">
        <x:f t="shared" si="13"/>
        <x:v>0</x:v>
      </x:c>
      <x:c r="AF45" s="526">
        <x:f t="shared" si="14"/>
        <x:v>0</x:v>
      </x:c>
      <x:c r="AG45" s="526">
        <x:f t="shared" si="15"/>
        <x:v>0</x:v>
      </x:c>
      <x:c r="AH45" s="527">
        <x:f t="shared" si="16"/>
        <x:v>0</x:v>
      </x:c>
      <x:c r="AI45" s="528" t="b">
        <x:v>0</x:v>
      </x:c>
      <x:c r="AJ45" s="284">
        <x:f t="shared" si="17"/>
        <x:v>0</x:v>
      </x:c>
      <x:c r="AK45" s="1063" t="str">
        <x:f t="shared" si="18"/>
        <x:v/>
      </x:c>
      <x:c r="AL45" s="1202" t="str">
        <x:f t="shared" si="19"/>
        <x:v/>
      </x:c>
      <x:c r="AM45" s="1063" t="str">
        <x:f t="shared" si="20"/>
        <x:v/>
      </x:c>
      <x:c r="AN45" s="1063" t="str">
        <x:f t="shared" si="21"/>
        <x:v/>
      </x:c>
      <x:c r="AO45" s="1063" t="str">
        <x:f t="shared" si="22"/>
        <x:v/>
      </x:c>
      <x:c r="AP45" s="1063" t="b">
        <x:f>IF(ISERROR(AJ45),FALSE,IF(OR(AJ45=0,ISERROR(AL45),ISERROR(AM45),ISERROR(AN45),ISERROR(AO45)),FALSE,IF(AL45&lt;&gt;"",IF(ISERROR(VLOOKUP(SUBSTITUTE(SUBSTITUTE(C45,"R",""),"A",""),TblJoistSize!$A:$A,1,FALSE)),FALSE,TRUE),TRUE)))</x:f>
        <x:v>0</x:v>
      </x:c>
      <x:c r="AQ45" s="1305" t="e">
        <x:f t="shared" si="23"/>
        <x:v>#N/A</x:v>
      </x:c>
      <x:c r="AR45" s="1305" t="b">
        <x:f t="shared" si="24"/>
        <x:v>0</x:v>
      </x:c>
      <x:c r="AS45" s="1305" t="e">
        <x:f t="shared" si="25"/>
        <x:v>#N/A</x:v>
      </x:c>
      <x:c r="AT45" s="1305" t="b">
        <x:f t="shared" si="26"/>
        <x:v>0</x:v>
      </x:c>
      <x:c r="AU45" s="1203" t="str">
        <x:f t="shared" si="27"/>
        <x:v/>
      </x:c>
      <x:c r="AV45" s="1063" t="str">
        <x:f t="shared" si="28"/>
        <x:v/>
      </x:c>
      <x:c r="AW45" s="1063" t="str">
        <x:f t="shared" si="29"/>
        <x:v/>
      </x:c>
      <x:c r="AX45" s="1063" t="str">
        <x:f t="shared" si="102"/>
        <x:v/>
      </x:c>
      <x:c r="AY45" s="1306" t="b">
        <x:f t="shared" si="30"/>
        <x:v>0</x:v>
      </x:c>
      <x:c r="AZ45" s="1090" t="str">
        <x:f t="shared" si="31"/>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2"/>
        <x:v/>
      </x:c>
      <x:c r="CE45" s="942" t="str">
        <x:f t="shared" si="33"/>
        <x:v/>
      </x:c>
      <x:c r="CF45" s="1151"/>
      <x:c r="CG45" s="1152"/>
      <x:c r="CH45" s="748" t="str">
        <x:f t="shared" si="34"/>
        <x:v/>
      </x:c>
      <x:c r="CI45" s="749" t="str">
        <x:f t="shared" si="35"/>
        <x:v/>
      </x:c>
      <x:c r="CJ45" s="750" t="str">
        <x:f t="shared" si="36"/>
        <x:v/>
      </x:c>
      <x:c r="CK45" s="751" t="str">
        <x:f t="shared" si="37"/>
        <x:v/>
      </x:c>
      <x:c r="CL45" s="752" t="str">
        <x:f t="shared" si="38"/>
        <x:v/>
      </x:c>
      <x:c r="CM45" s="753" t="str">
        <x:f t="shared" si="39"/>
        <x:v/>
      </x:c>
      <x:c r="CN45" s="754" t="str">
        <x:f t="shared" si="40"/>
        <x:v/>
      </x:c>
      <x:c r="CO45" s="755" t="str">
        <x:f t="shared" si="41"/>
        <x:v/>
      </x:c>
      <x:c r="CP45" s="764" t="str">
        <x:f t="shared" si="42"/>
        <x:v/>
      </x:c>
      <x:c r="CQ45" s="765" t="str">
        <x:f t="shared" si="43"/>
        <x:v/>
      </x:c>
      <x:c r="CR45" s="955" t="str">
        <x:f t="shared" si="44"/>
        <x:v/>
      </x:c>
      <x:c r="CS45" s="956" t="str">
        <x:f t="shared" si="45"/>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6"/>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7"/>
        <x:v>0</x:v>
      </x:c>
      <x:c r="DO45" s="1049">
        <x:f t="shared" si="48"/>
        <x:v>0</x:v>
      </x:c>
      <x:c r="DP45" s="1053" t="str">
        <x:f t="shared" si="49"/>
        <x:v/>
      </x:c>
      <x:c r="DQ45" s="1053" t="str">
        <x:f t="shared" si="50"/>
        <x:v/>
      </x:c>
      <x:c r="DR45" s="1053" t="str">
        <x:f t="shared" si="51"/>
        <x:v/>
      </x:c>
      <x:c r="DS45" s="1052">
        <x:f t="shared" si="52"/>
        <x:v>0</x:v>
      </x:c>
      <x:c r="DT45" s="1052">
        <x:f t="shared" si="53"/>
        <x:v>0</x:v>
      </x:c>
      <x:c r="DU45" s="1052" t="str">
        <x:f t="shared" si="54"/>
        <x:v/>
      </x:c>
      <x:c r="DV45" s="1053" t="str">
        <x:f t="shared" si="55"/>
        <x:v/>
      </x:c>
      <x:c r="DW45" s="1053" t="str">
        <x:f t="shared" si="56"/>
        <x:v/>
      </x:c>
      <x:c r="DX45" s="1269">
        <x:f t="shared" si="57"/>
        <x:v>0</x:v>
      </x:c>
      <x:c r="DY45" s="1053">
        <x:f t="shared" si="58"/>
        <x:v>0</x:v>
      </x:c>
      <x:c r="DZ45" s="1052">
        <x:f t="shared" si="59"/>
        <x:v>0</x:v>
      </x:c>
      <x:c r="EA45" s="1052" t="str">
        <x:f t="shared" si="60"/>
        <x:v/>
      </x:c>
      <x:c r="EB45" s="1053" t="str">
        <x:f t="shared" si="61"/>
        <x:v/>
      </x:c>
      <x:c r="EC45" s="1053" t="str">
        <x:f t="shared" si="62"/>
        <x:v/>
      </x:c>
      <x:c r="ED45" s="1269">
        <x:f t="shared" si="63"/>
        <x:v>0</x:v>
      </x:c>
      <x:c r="EE45" s="1090" t="str">
        <x:f t="shared" si="64"/>
        <x:v/>
      </x:c>
      <x:c r="EF45" s="1053" t="str">
        <x:f t="shared" si="65"/>
        <x:v/>
      </x:c>
      <x:c r="EG45" s="1053" t="str">
        <x:f t="shared" si="66"/>
        <x:v/>
      </x:c>
      <x:c r="EH45" s="1053" t="e">
        <x:f t="shared" si="67"/>
        <x:v>#N/A</x:v>
      </x:c>
      <x:c r="EI45" s="1053" t="e">
        <x:f t="shared" si="68"/>
        <x:v>#N/A</x:v>
      </x:c>
      <x:c r="EJ45" s="1053" t="str">
        <x:f t="shared" si="69"/>
        <x:v/>
      </x:c>
      <x:c r="EK45" s="1053" t="str">
        <x:f t="shared" si="69"/>
        <x:v/>
      </x:c>
      <x:c r="EL45" s="1090" t="str">
        <x:f t="shared" si="70"/>
        <x:v/>
      </x:c>
      <x:c r="EM45" s="1053" t="str">
        <x:f t="shared" si="71"/>
        <x:v/>
      </x:c>
      <x:c r="EN45" s="1053" t="str">
        <x:f t="shared" si="72"/>
        <x:v/>
      </x:c>
      <x:c r="EO45" s="1053" t="e">
        <x:f t="shared" si="73"/>
        <x:v>#N/A</x:v>
      </x:c>
      <x:c r="EP45" s="1053" t="e">
        <x:f t="shared" si="74"/>
        <x:v>#N/A</x:v>
      </x:c>
      <x:c r="EQ45" s="1053" t="str">
        <x:f t="shared" si="75"/>
        <x:v/>
      </x:c>
      <x:c r="ER45" s="1053" t="str">
        <x:f t="shared" si="75"/>
        <x:v/>
      </x:c>
      <x:c r="ES45" s="1053" t="str">
        <x:f t="shared" si="76"/>
        <x:v/>
      </x:c>
      <x:c r="ET45" s="1053" t="str">
        <x:f t="shared" si="77"/>
        <x:v/>
      </x:c>
      <x:c r="EU45" s="1061" t="str">
        <x:f t="shared" si="78"/>
        <x:v/>
      </x:c>
      <x:c r="EV45" s="1055" t="str">
        <x:f t="shared" si="79"/>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0"/>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1"/>
        <x:v/>
      </x:c>
      <x:c r="FD45" s="1052">
        <x:f t="shared" si="103"/>
        <x:v>0</x:v>
      </x:c>
      <x:c r="FE45" s="1052">
        <x:f t="shared" si="82"/>
        <x:v>0</x:v>
      </x:c>
      <x:c r="FF45" s="1052">
        <x:f t="shared" si="83"/>
        <x:v>0</x:v>
      </x:c>
      <x:c r="FG45" s="1052" t="str">
        <x:f t="shared" si="84"/>
        <x:v/>
      </x:c>
      <x:c r="FH45" s="1053" t="str">
        <x:f t="shared" si="85"/>
        <x:v/>
      </x:c>
      <x:c r="FI45" s="1052">
        <x:f t="shared" si="104"/>
        <x:v>0</x:v>
      </x:c>
      <x:c r="FJ45" s="1052">
        <x:f t="shared" si="86"/>
        <x:v>0</x:v>
      </x:c>
      <x:c r="FK45" s="1052">
        <x:f t="shared" si="87"/>
        <x:v>0</x:v>
      </x:c>
      <x:c r="FL45" s="1052" t="str">
        <x:f t="shared" si="88"/>
        <x:v/>
      </x:c>
      <x:c r="FM45" s="1053" t="str">
        <x:f t="shared" si="89"/>
        <x:v/>
      </x:c>
      <x:c r="FN45" s="1053" t="e">
        <x:f t="shared" si="90"/>
        <x:v>#VALUE!</x:v>
      </x:c>
      <x:c r="FO45" s="1062" t="e">
        <x:f t="shared" si="91"/>
        <x:v>#VALUE!</x:v>
      </x:c>
      <x:c r="FP45" s="1062" t="e">
        <x:f t="shared" si="92"/>
        <x:v>#VALUE!</x:v>
      </x:c>
      <x:c r="FQ45" s="1063" t="e">
        <x:f t="shared" si="93"/>
        <x:v>#VALUE!</x:v>
      </x:c>
      <x:c r="FR45" s="1064" t="e">
        <x:f t="shared" si="94"/>
        <x:v>#VALUE!</x:v>
      </x:c>
      <x:c r="FS45" s="1065" t="str">
        <x:f t="shared" si="95"/>
        <x:v/>
      </x:c>
      <x:c r="FT45" s="1066" t="str">
        <x:f t="shared" si="96"/>
        <x:v/>
      </x:c>
      <x:c r="FU45" s="1105">
        <x:f t="shared" si="97"/>
        <x:v>0</x:v>
      </x:c>
      <x:c r="FV45" s="1106">
        <x:f t="shared" si="98"/>
        <x:v>0</x:v>
      </x:c>
      <x:c r="GA45" s="1975" t="str">
        <x:f t="shared" si="118"/>
        <x:v/>
      </x:c>
      <x:c r="GB45" s="1976" t="str">
        <x:f t="shared" si="119"/>
        <x:v/>
      </x:c>
      <x:c r="GC45" s="1977" t="str">
        <x:f t="shared" si="120"/>
        <x:v/>
      </x:c>
      <x:c r="GD45" s="1978" t="str">
        <x:f t="shared" si="121"/>
        <x:v/>
      </x:c>
      <x:c r="GE45" s="1979" t="str">
        <x:f t="shared" si="122"/>
        <x:v/>
      </x:c>
      <x:c r="GF45" s="1980" t="str">
        <x:f t="shared" si="99"/>
        <x:v/>
      </x:c>
      <x:c r="GG45" s="1455"/>
      <x:c r="GH45" s="1456"/>
      <x:c r="GI45" s="1455"/>
      <x:c r="GJ45" s="1456"/>
      <x:c r="GK45" s="533">
        <x:f t="shared" si="100"/>
        <x:v>0</x:v>
      </x:c>
      <x:c r="GL45" s="534" t="e">
        <x:f t="shared" si="101"/>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28</x:v>
      </x:c>
      <x:c r="AE46" s="540">
        <x:f>SUM(AE16:AE45)</x:f>
        <x:v>0</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28</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2204</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za1XsczVimVf8O306FvWFOXp2NOUvSPwAkcYntw4ONg/P3ag18WKK+3zxGgNGia2jfxhEEU3ryv3vdP3m7eLgw==" saltValue="j0vPcuSARjquosiB/rLnxQ=="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404" priority="69" stopIfTrue="1">
      <x:formula>GM57&gt;=0.125</x:formula>
    </x:cfRule>
  </x:conditionalFormatting>
  <x:conditionalFormatting sqref="EF57">
    <x:cfRule type="cellIs" dxfId="403" priority="70" stopIfTrue="1" operator="notEqual">
      <x:formula>$EG57</x:formula>
    </x:cfRule>
  </x:conditionalFormatting>
  <x:conditionalFormatting sqref="EM57">
    <x:cfRule type="cellIs" dxfId="402" priority="71" stopIfTrue="1" operator="notEqual">
      <x:formula>$EN57</x:formula>
    </x:cfRule>
  </x:conditionalFormatting>
  <x:conditionalFormatting sqref="CD16:CD45">
    <x:cfRule type="expression" dxfId="401" priority="62">
      <x:formula>AND(CD16="X",CY16="")</x:formula>
    </x:cfRule>
    <x:cfRule type="expression" dxfId="400" priority="72">
      <x:formula>AND(CD16="",CY16&lt;&gt;"")</x:formula>
    </x:cfRule>
  </x:conditionalFormatting>
  <x:conditionalFormatting sqref="CE16:CE45">
    <x:cfRule type="expression" dxfId="399" priority="73">
      <x:formula>AND(CE16="X",DI16="")</x:formula>
    </x:cfRule>
    <x:cfRule type="expression" dxfId="398" priority="74">
      <x:formula>AND(CE16="",DI16&lt;&gt;"")</x:formula>
    </x:cfRule>
  </x:conditionalFormatting>
  <x:conditionalFormatting sqref="P2:S4">
    <x:cfRule type="cellIs" dxfId="397" priority="76" stopIfTrue="1" operator="equal">
      <x:formula>""</x:formula>
    </x:cfRule>
  </x:conditionalFormatting>
  <x:conditionalFormatting sqref="EF16:EF45">
    <x:cfRule type="cellIs" dxfId="396" priority="68" stopIfTrue="1" operator="notEqual">
      <x:formula>$EG16</x:formula>
    </x:cfRule>
  </x:conditionalFormatting>
  <x:conditionalFormatting sqref="EM16:EM45">
    <x:cfRule type="cellIs" dxfId="395" priority="67" stopIfTrue="1" operator="notEqual">
      <x:formula>$EN16</x:formula>
    </x:cfRule>
  </x:conditionalFormatting>
  <x:conditionalFormatting sqref="CC12">
    <x:cfRule type="expression" dxfId="394" priority="66" stopIfTrue="1">
      <x:formula>ISBLANK($CC$12)</x:formula>
    </x:cfRule>
  </x:conditionalFormatting>
  <x:conditionalFormatting sqref="CC11">
    <x:cfRule type="expression" dxfId="393" priority="65" stopIfTrue="1">
      <x:formula>ISBLANK($CC$11)</x:formula>
    </x:cfRule>
  </x:conditionalFormatting>
  <x:conditionalFormatting sqref="M7">
    <x:cfRule type="expression" dxfId="392" priority="63" stopIfTrue="1">
      <x:formula>OR(ISBLANK($M$7),$M$7="")</x:formula>
    </x:cfRule>
    <x:cfRule type="expression" dxfId="391" priority="64" stopIfTrue="1">
      <x:formula>AND(LOWER($M$7)&lt;&gt;"std gray primer: one shop coat",LOWER($M$7)&lt;&gt;"gray",$M$7&lt;&gt;"")</x:formula>
    </x:cfRule>
  </x:conditionalFormatting>
  <x:conditionalFormatting sqref="BV16:BV45">
    <x:cfRule type="expression" dxfId="390" priority="60">
      <x:formula>AND(NOT($AY16),AND(ISBLANK(BV16),AND(NOT(ISBLANK(BU16)),$BW16&lt;&gt;0)))</x:formula>
    </x:cfRule>
  </x:conditionalFormatting>
  <x:conditionalFormatting sqref="BD16:BD45">
    <x:cfRule type="expression" dxfId="389" priority="61">
      <x:formula>AND(NOT($AY16),NOT($AP16))</x:formula>
    </x:cfRule>
  </x:conditionalFormatting>
  <x:conditionalFormatting sqref="U16:U45">
    <x:cfRule type="expression" dxfId="388" priority="57">
      <x:formula>AND(NOT($AY16),NOT(AR16))</x:formula>
    </x:cfRule>
  </x:conditionalFormatting>
  <x:conditionalFormatting sqref="W16:W45">
    <x:cfRule type="expression" dxfId="387" priority="59">
      <x:formula>AND(NOT($AY16),NOT(AT16))</x:formula>
    </x:cfRule>
  </x:conditionalFormatting>
  <x:conditionalFormatting sqref="T16:T45">
    <x:cfRule type="expression" dxfId="386" priority="56">
      <x:formula>AND(NOT($AY16),NOT(AR16))</x:formula>
    </x:cfRule>
  </x:conditionalFormatting>
  <x:conditionalFormatting sqref="V16:V45">
    <x:cfRule type="expression" dxfId="385" priority="58">
      <x:formula>AND(NOT($AY16),NOT(AT16))</x:formula>
    </x:cfRule>
  </x:conditionalFormatting>
  <x:conditionalFormatting sqref="C16:C45">
    <x:cfRule type="expression" dxfId="384" priority="54">
      <x:formula>AND(NOT($AY16),NOT($AP16))</x:formula>
    </x:cfRule>
  </x:conditionalFormatting>
  <x:conditionalFormatting sqref="X16:X45">
    <x:cfRule type="expression" dxfId="383" priority="14">
      <x:formula>$X16=0</x:formula>
    </x:cfRule>
  </x:conditionalFormatting>
  <x:conditionalFormatting sqref="CB16:CB45">
    <x:cfRule type="expression" dxfId="382" priority="53">
      <x:formula>OR(CB16&gt;CV16,CB16&lt;0)</x:formula>
    </x:cfRule>
  </x:conditionalFormatting>
  <x:conditionalFormatting sqref="CC16:CC45">
    <x:cfRule type="expression" dxfId="381" priority="51">
      <x:formula>OR(CC16&gt;DF16,CC16&lt;0)</x:formula>
    </x:cfRule>
  </x:conditionalFormatting>
  <x:conditionalFormatting sqref="BY16:BY45">
    <x:cfRule type="expression" dxfId="380" priority="75">
      <x:formula>OR(CH16&lt;&gt;"",CI16&lt;&gt;"",CJ16&lt;&gt;"",CK16&lt;&gt;"",CL16&lt;&gt;"",CM16&lt;&gt;"")</x:formula>
    </x:cfRule>
  </x:conditionalFormatting>
  <x:conditionalFormatting sqref="BE16:BF45">
    <x:cfRule type="expression" dxfId="379" priority="77">
      <x:formula>AND(NOT($AY16),AND($AZ16,AND($AK16&lt;&gt;"HDR",$AK16&lt;&gt;"JS",$AJ16&gt;=8)))</x:formula>
    </x:cfRule>
  </x:conditionalFormatting>
  <x:conditionalFormatting sqref="D16:E45">
    <x:cfRule type="expression" dxfId="378" priority="55">
      <x:formula>AND(NOT($AY16),AND($AZ16,AND($AK16&lt;&gt;"HDR",$AK16&lt;&gt;"JS",$AJ16&gt;=8)))</x:formula>
    </x:cfRule>
  </x:conditionalFormatting>
  <x:conditionalFormatting sqref="AA12">
    <x:cfRule type="expression" dxfId="377" priority="52">
      <x:formula>OR(ISBLANK(AA12),AA12="")</x:formula>
    </x:cfRule>
  </x:conditionalFormatting>
  <x:conditionalFormatting sqref="A16:Z45 BB16:CG45">
    <x:cfRule type="expression" dxfId="376" priority="78">
      <x:formula>$AC16</x:formula>
    </x:cfRule>
  </x:conditionalFormatting>
  <x:conditionalFormatting sqref="BN16:BN45">
    <x:cfRule type="expression" dxfId="375" priority="17">
      <x:formula>AND(NOT($AY16),AND(ISBLANK(BN16),AND(NOT(ISBLANK(BM16)),$BW16&lt;&gt;0)))</x:formula>
    </x:cfRule>
  </x:conditionalFormatting>
  <x:conditionalFormatting sqref="BO16:BO45">
    <x:cfRule type="expression" dxfId="374" priority="16">
      <x:formula>AND(NOT($AY16),ISERROR(DE16))</x:formula>
    </x:cfRule>
    <x:cfRule type="expression" dxfId="373" priority="43">
      <x:formula>AND(NOT($AY16),OR(DE16="", CQ16&lt;&gt;""))</x:formula>
    </x:cfRule>
  </x:conditionalFormatting>
  <x:conditionalFormatting sqref="BG16:BG45">
    <x:cfRule type="expression" dxfId="372" priority="15">
      <x:formula>AND(NOT($AY16),ISERROR(CU16))</x:formula>
    </x:cfRule>
    <x:cfRule type="expression" dxfId="371" priority="42">
      <x:formula>AND(NOT($AY16),OR(CP16&lt;&gt;"", CU16=""))</x:formula>
    </x:cfRule>
  </x:conditionalFormatting>
  <x:conditionalFormatting sqref="BH16:BH45">
    <x:cfRule type="expression" dxfId="370" priority="30">
      <x:formula>AND(NOT($AY16),OR($CU16="M",$CU16="C",AND($CU16="B",$DC16&gt;0)))</x:formula>
    </x:cfRule>
    <x:cfRule type="expression" dxfId="369" priority="31">
      <x:formula>AND(NOT($AY16),AND(BH16="",BI16="",OR($CU16="B",$CU16="G")))</x:formula>
    </x:cfRule>
    <x:cfRule type="expression" dxfId="368" priority="32">
      <x:formula>AND(NOT($AY16),(BH16/2)/COS(RADIANS(BM16))+CV16-DW16&lt;VLOOKUP(AU16,$DF$2:$DJ$9,5,FALSE))</x:formula>
    </x:cfRule>
  </x:conditionalFormatting>
  <x:conditionalFormatting sqref="BI16:BI45">
    <x:cfRule type="expression" dxfId="367" priority="39">
      <x:formula>AND(NOT($AY16),OR($CU16="M",$CU16="C",AND($CU16="B",$DC16&gt;0)))</x:formula>
    </x:cfRule>
    <x:cfRule type="expression" dxfId="366" priority="40">
      <x:formula>AND(NOT($AY16),AND(BH16="",BI16="",OR($CU16="B",$CU16="G")))</x:formula>
    </x:cfRule>
    <x:cfRule type="expression" dxfId="365" priority="41">
      <x:formula>AND(NOT($AY16),(BI16/2)/COS(RADIANS(BM16))+CV16-DW16&lt;VLOOKUP(AU16,$DF$2:$DJ$9,5,FALSE))</x:formula>
    </x:cfRule>
  </x:conditionalFormatting>
  <x:conditionalFormatting sqref="BK16:BK45">
    <x:cfRule type="expression" dxfId="364" priority="18">
      <x:formula>AND(NOT($AY16),OR($CU16="M",$CU16="C",AND($CU16="B",$DA16&lt;&gt;"")))</x:formula>
    </x:cfRule>
    <x:cfRule type="expression" dxfId="363" priority="19">
      <x:formula>AND(NOT($AY16),AND(BJ16="X",BK16="",BL16=""))</x:formula>
    </x:cfRule>
    <x:cfRule type="expression" dxfId="362" priority="20">
      <x:formula>AND(NOT($AY16),EZ16="ERR")</x:formula>
    </x:cfRule>
  </x:conditionalFormatting>
  <x:conditionalFormatting sqref="BL16:BL45">
    <x:cfRule type="expression" dxfId="361" priority="21">
      <x:formula>AND(NOT($AY16),OR($CU16="M",$CU16="C",AND($CU16="B",$DA16&lt;&gt;"")))</x:formula>
    </x:cfRule>
    <x:cfRule type="expression" dxfId="360" priority="22">
      <x:formula>AND(NOT($AY16),AND(BJ16="X",BK16="",BL16=""))</x:formula>
    </x:cfRule>
    <x:cfRule type="expression" dxfId="359" priority="23">
      <x:formula>AND(NOT($AY16),EZ16="ERR")</x:formula>
    </x:cfRule>
  </x:conditionalFormatting>
  <x:conditionalFormatting sqref="BS16:BS45">
    <x:cfRule type="expression" dxfId="358" priority="24">
      <x:formula>AND(NOT($AY16),OR($DE16="M",$DE16="C",AND($DE16="B",$DK16&lt;&gt;"")))</x:formula>
    </x:cfRule>
    <x:cfRule type="expression" dxfId="357" priority="25">
      <x:formula>AND(NOT($AY16),AND(BR16="X",BS16="",BT16=""))</x:formula>
    </x:cfRule>
    <x:cfRule type="expression" dxfId="356" priority="26">
      <x:formula>AND(NOT($AY16),FC16="ERR")</x:formula>
    </x:cfRule>
  </x:conditionalFormatting>
  <x:conditionalFormatting sqref="BT16:BT45">
    <x:cfRule type="expression" dxfId="355" priority="27">
      <x:formula>AND(NOT($AY16),OR($DE16="M",$DE16="C",AND($DE16="B",$DK16&lt;&gt;"")))</x:formula>
    </x:cfRule>
    <x:cfRule type="expression" dxfId="354" priority="28">
      <x:formula>AND(NOT($AY16),AND(BR16="X",BS16="",BT16=""))</x:formula>
    </x:cfRule>
    <x:cfRule type="expression" dxfId="353" priority="29">
      <x:formula>AND(NOT($AY16),FC16="ERR")</x:formula>
    </x:cfRule>
  </x:conditionalFormatting>
  <x:conditionalFormatting sqref="BP16:BP45">
    <x:cfRule type="expression" dxfId="352" priority="33">
      <x:formula>AND(NOT($AY16),OR($DE16="M",$DE16="C",AND($DE16="B",$DM16&gt;0)))</x:formula>
    </x:cfRule>
    <x:cfRule type="expression" dxfId="351" priority="34">
      <x:formula>AND(NOT($AY16),AND(BP16="",BQ16="",OR($DE16="B",$DE16="G")))</x:formula>
    </x:cfRule>
    <x:cfRule type="expression" dxfId="350" priority="35">
      <x:formula>AND(NOT($AY16),(BP16/2)/COS(RADIANS(BU16))+DF16-EC16&lt;VLOOKUP(AU16,$DF$2:$DJ$9,5,FALSE))</x:formula>
    </x:cfRule>
  </x:conditionalFormatting>
  <x:conditionalFormatting sqref="BQ16:BQ45">
    <x:cfRule type="expression" dxfId="349" priority="36">
      <x:formula>AND(NOT($AY16),OR($DE16="M",$DE16="C",AND($DE16="B",$DM16&gt;0)))</x:formula>
    </x:cfRule>
    <x:cfRule type="expression" dxfId="348" priority="37">
      <x:formula>AND(NOT($AY16),AND(BP16="",BQ16="",OR($DE16="B",$DE16="G")))</x:formula>
    </x:cfRule>
    <x:cfRule type="expression" dxfId="347" priority="38">
      <x:formula>AND(NOT($AY16),(BQ16/2)/COS(RADIANS(BU16))+DF16-EC16&lt;VLOOKUP(AU16,$DF$2:$DJ$9,5,FALSE))</x:formula>
    </x:cfRule>
  </x:conditionalFormatting>
  <x:conditionalFormatting sqref="BJ16:BJ45">
    <x:cfRule type="expression" dxfId="346" priority="44">
      <x:formula>AND(NOT($AY16),OR($CU16="C",AND($CU16="M",$DA16&gt;0)))</x:formula>
    </x:cfRule>
    <x:cfRule type="expression" dxfId="345" priority="45">
      <x:formula>AND(NOT($AY16),OR(NOT(IF(AND(OR(MID($BB16,1,1)="T",($BE16+$BF16/12)/IF(ABS($BW16)&gt;$DQ$1,COS($DO16),1)&gt;=40),OR($CU16="B",$CU16="G")),"X","")="X"),$EZ16="ERR"))</x:formula>
    </x:cfRule>
    <x:cfRule type="expression" dxfId="344" priority="46">
      <x:formula>AND(NOT($AY16),$BJ16&lt;&gt;"X",$BJ16&lt;&gt;IF(AND(OR(MID(BB16,1,1)="T",($BE16+$BF16/12)/IF(ABS($BW16)&gt;$DQ$1,COS($DO16),1)&gt;=40),OR($CU16="B",$CU16="G")),"X",""))</x:formula>
    </x:cfRule>
  </x:conditionalFormatting>
  <x:conditionalFormatting sqref="BR16:BR45">
    <x:cfRule type="expression" dxfId="343" priority="47">
      <x:formula>AND(NOT($AY16),OR($DE16="C",AND($DE16="M",$DK16&gt;0)))</x:formula>
    </x:cfRule>
    <x:cfRule type="expression" dxfId="342" priority="48">
      <x:formula>AND(NOT($AY16),OR(NOT(IF(AND(OR(MID($BB16,1,1)="T",($BE16+$BF16/12)/IF(ABS($BW16)&gt;$DQ$1,COS($DO16),1)&gt;=40),OR($DE16="B",$DE16="G")),"X","")="X"),$FC16="ERR"))</x:formula>
    </x:cfRule>
    <x:cfRule type="expression" dxfId="341" priority="49">
      <x:formula>AND(NOT($AY16),$BR16&lt;&gt;"X",$BR16&lt;&gt;IF(AND(OR(MID(BB16,1,1)="T",($BE16+$BF16/12)/IF(ABS($BW16)&gt;$DQ$1,COS($DO16),1)&gt;=40),OR($DE16="B",$DE16="G")),"X",""))</x:formula>
    </x:cfRule>
  </x:conditionalFormatting>
  <x:conditionalFormatting sqref="A16:B45 BB16:BC45">
    <x:cfRule type="expression" dxfId="340" priority="50">
      <x:formula>AND(NOT($AE$1),$B16=0,$AD$1="M")</x:formula>
    </x:cfRule>
  </x:conditionalFormatting>
  <x:conditionalFormatting sqref="U57">
    <x:cfRule type="expression" dxfId="339" priority="11" stopIfTrue="1">
      <x:formula>AND(NOT($AY57),NOT(AR57))</x:formula>
    </x:cfRule>
  </x:conditionalFormatting>
  <x:conditionalFormatting sqref="W57">
    <x:cfRule type="expression" dxfId="338" priority="13" stopIfTrue="1">
      <x:formula>AND(NOT($AY57),NOT(AT57))</x:formula>
    </x:cfRule>
  </x:conditionalFormatting>
  <x:conditionalFormatting sqref="T57">
    <x:cfRule type="expression" dxfId="337" priority="10" stopIfTrue="1">
      <x:formula>AND(NOT($AY57),NOT(AR57))</x:formula>
    </x:cfRule>
  </x:conditionalFormatting>
  <x:conditionalFormatting sqref="V57">
    <x:cfRule type="expression" dxfId="336" priority="12" stopIfTrue="1">
      <x:formula>AND(NOT($AY57),NOT(AT57))</x:formula>
    </x:cfRule>
  </x:conditionalFormatting>
  <x:conditionalFormatting sqref="C57">
    <x:cfRule type="expression" dxfId="335" priority="8" stopIfTrue="1">
      <x:formula>AND(NOT($AY57),NOT($AP57))</x:formula>
    </x:cfRule>
  </x:conditionalFormatting>
  <x:conditionalFormatting sqref="X57">
    <x:cfRule type="expression" dxfId="334" priority="4">
      <x:formula>$X57=0</x:formula>
    </x:cfRule>
  </x:conditionalFormatting>
  <x:conditionalFormatting sqref="D57:E57">
    <x:cfRule type="expression" dxfId="333" priority="9" stopIfTrue="1">
      <x:formula>AND(NOT($AY57),AND($AZ57,AND($AK57&lt;&gt;"HDR",$AK57&lt;&gt;"JS",$AJ57&gt;=8)))</x:formula>
    </x:cfRule>
  </x:conditionalFormatting>
  <x:conditionalFormatting sqref="A57:AA57">
    <x:cfRule type="expression" dxfId="332" priority="5">
      <x:formula>$AC57</x:formula>
    </x:cfRule>
  </x:conditionalFormatting>
  <x:conditionalFormatting sqref="AA57">
    <x:cfRule type="expression" dxfId="331" priority="6" stopIfTrue="1">
      <x:formula>AND(NOT($AY57),LEN(AA57)&gt;31)</x:formula>
    </x:cfRule>
  </x:conditionalFormatting>
  <x:conditionalFormatting sqref="A57:B57">
    <x:cfRule type="expression" dxfId="330" priority="7">
      <x:formula>AND(NOT($AE$1),$B57=0,$AD$1="M")</x:formula>
    </x:cfRule>
  </x:conditionalFormatting>
  <x:conditionalFormatting sqref="AA16:AA45">
    <x:cfRule type="expression" dxfId="329" priority="2">
      <x:formula>$AC16</x:formula>
    </x:cfRule>
  </x:conditionalFormatting>
  <x:conditionalFormatting sqref="AA16:AA45">
    <x:cfRule type="expression" dxfId="328" priority="3" stopIfTrue="1">
      <x:formula>AND(NOT($AY16),LEN(AA16)&gt;31)</x:formula>
    </x:cfRule>
  </x:conditionalFormatting>
  <x:conditionalFormatting sqref="GA16:GB45">
    <x:cfRule type="expression" dxfId="327"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60.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5">
    <x:tabColor indexed="43"/>
  </x:sheetPr>
  <x:dimension ref="A1:IG104"/>
  <x:sheetViews>
    <x:sheetView showGridLines="0" zoomScaleNormal="100" zoomScaleSheetLayoutView="75" workbookViewId="0">
      <x:selection activeCell="GA26" sqref="GA2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39 of 42</x:v>
      </x:c>
      <x:c r="Z7" s="822"/>
      <x:c r="AA7" s="444"/>
      <x:c r="AB7" s="449"/>
      <x:c r="AC7" s="1393">
        <x:v>39</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1541</x:v>
      </x:c>
      <x:c r="B16" s="1265">
        <x:v>1</x:v>
      </x:c>
      <x:c r="C16" s="1265" t="s">
        <x:v>1979</x:v>
      </x:c>
      <x:c r="D16" s="1261">
        <x:v>53</x:v>
      </x:c>
      <x:c r="E16" s="1366">
        <x:v>0.625</x:v>
      </x:c>
      <x:c r="F16" s="1328">
        <x:v>0</x:v>
      </x:c>
      <x:c r="G16" s="1262">
        <x:v>1.375</x:v>
      </x:c>
      <x:c r="H16" s="1266" t="s">
        <x:v>114</x:v>
      </x:c>
      <x:c r="I16" s="1261">
        <x:v>0</x:v>
      </x:c>
      <x:c r="J16" s="2122">
        <x:v>2</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x:v>0</x:v>
      </x:c>
      <x:c r="U16" s="1262">
        <x:v>2.25</x:v>
      </x:c>
      <x:c r="V16" s="1261">
        <x:v>0</x:v>
      </x:c>
      <x:c r="W16" s="1262">
        <x:v>3.875</x:v>
      </x:c>
      <x:c r="X16" s="1329">
        <x:v>4</x:v>
      </x:c>
      <x:c r="Y16" s="1377" t="str">
        <x:f t="shared" ref="Y16:Y44" si="7">FG16</x:f>
        <x:v/>
      </x:c>
      <x:c r="Z16" s="1378" t="str">
        <x:f t="shared" ref="Z16:Z44" si="8">FL16</x:f>
        <x:v/>
      </x:c>
      <x:c r="AA16" s="2159" t="s">
        <x:v>2227</x:v>
      </x:c>
      <x:c r="AC16" s="1226" t="b">
        <x:v>0</x:v>
      </x:c>
      <x:c r="AD16" s="525">
        <x:f t="shared" ref="AD16:AD45" si="9">IF($C16="",0,IF(SUM(AE16:AG16)&gt;0,0,IF(ISERROR(SEARCH("K",$C16,1))=TRUE,0,$B16)))</x:f>
        <x:v>1</x:v>
      </x:c>
      <x:c r="AE16" s="526">
        <x:f t="shared" ref="AE16:AE45" si="10">IF(ISERROR(SEARCH("LH",$C16,1))=TRUE,0,$B16)</x:f>
        <x:v>0</x:v>
      </x:c>
      <x:c r="AF16" s="526">
        <x:f t="shared" ref="AF16:AF45" si="11">IF(ISERROR(SEARCH("JS",$C16))=TRUE,IF(ISERROR(SEARCH("2.5K",$C16))=TRUE,0,$B16),$B16)</x:f>
        <x:v>0</x:v>
      </x:c>
      <x:c r="AG16" s="526">
        <x:f t="shared" ref="AG16:AG45" si="12">IF(ISERROR(SEARCH("HDR",$C16,1))=TRUE,0,$B16)</x:f>
        <x:v>0</x:v>
      </x:c>
      <x:c r="AH16" s="527">
        <x:f t="shared" ref="AH16:AH45" si="13">IF(ISERROR(SEARCH("CJ",$C16,1))=TRUE,0,$B16)</x:f>
        <x:v>0</x:v>
      </x:c>
      <x:c r="AI16" s="528" t="b">
        <x:v>0</x:v>
      </x:c>
      <x:c r="AJ16" s="284">
        <x:f t="shared" ref="AJ16:AJ45" si="14">IF(OR(ISERROR(VALUE(LEFT(C16,SEARCH(AK16,C16)-1))),AK16=""),0,VALUE(LEFT(C16,SEARCH(AK16,C16)-1)))</x:f>
        <x:v>30</x:v>
      </x:c>
      <x:c r="AK16" s="1063" t="str">
        <x:f t="shared" ref="AK16:AK45" si="15">IF(AV16="",AW16,AV16)</x:f>
        <x:v>K</x:v>
      </x:c>
      <x:c r="AL16" s="1202" t="str">
        <x:f t="shared" ref="AL16:AL45" si="16">IF(AK16="","",IF(ISERROR(SEARCH("/",C16)),IF(VALUE(MID(C16,SEARCH(AK16,C16)+LEN(AK16),LEN(C16)))&gt;25,"",VALUE(MID(C16,SEARCH(AK16,C16)+LEN(AK16),LEN(C16)))),""))</x:f>
        <x:v/>
      </x:c>
      <x:c r="AM16" s="1063">
        <x:f t="shared" ref="AM16:AM45" si="17">IF(AK16="","",IF(ISERROR(SEARCH("/",C16)),IF(VALUE(MID(C16,SEARCH(AK16,C16)+LEN(AK16),LEN(C16)))&lt;26,"",VALUE(MID(C16,SEARCH(AK16,C16)+LEN(AK16),LEN(C16)))),VALUE(MID(C16,SEARCH(AK16,C16)+LEN(AK16),SEARCH("/",C16)-SEARCH(AK16,C16)-LEN(AK16)))))</x:f>
        <x:v>240</x:v>
      </x:c>
      <x:c r="AN16" s="1063">
        <x:f t="shared" ref="AN16:AN45" si="18">IF(AK16="","",IF(AK16="CJ",MID(MID(C16,SEARCH("/",C16)+1,LEN(C16)),1,SEARCH("/",MID(C16,SEARCH("/",C16)+1,LEN(C16)))-1),IF(ISERROR(SEARCH("/",C16)),"",VALUE(MID(C16,SEARCH("/",C16)+1,LEN(C16))))))</x:f>
        <x:v>140</x:v>
      </x:c>
      <x:c r="AO16" s="1063" t="str">
        <x:f t="shared" ref="AO16:AO45" si="19">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0">VLOOKUP(AK16,$DF$2:$DN$9,4,FALSE)+IF(LEFT(H16,1)="R",IF(ISNUMBER(F16),F16*12,0)+IF(ISNUMBER(G16),G16,0),0)</x:f>
        <x:v>5.375</x:v>
      </x:c>
      <x:c r="AR16" s="1305" t="b">
        <x:f t="shared" ref="AR16:AR45" si="21">IF(IF(ISNUMBER(T16),T16*12,0)+IF(ISNUMBER(U16),U16,0)&gt;0,IF(AND((IF(ISNUMBER(T16),T16*12,0)+IF(ISNUMBER(U16),U16,0))&gt;=1,(IF(ISNUMBER(T16),T16*12,0)+IF(ISNUMBER(U16),U16,0))&lt;=(AQ16-1)+IF(H16="X",2,0)),TRUE,FALSE),FALSE)</x:f>
        <x:v>1</x:v>
      </x:c>
      <x:c r="AS16" s="1305">
        <x:f t="shared" ref="AS16:AS45" si="22">VLOOKUP(AK16,$DF$2:$DN$9,4,FALSE)+IF(LEFT(K16,1)="R",(IF(ISNUMBER(I16),I16*12,0)+IF(ISNUMBER(J16),J16,0)),0)</x:f>
        <x:v>6</x:v>
      </x:c>
      <x:c r="AT16" s="1305" t="b">
        <x:f t="shared" ref="AT16:AT45" si="23">IF(IF(ISNUMBER(V16),V16*12,0)+IF(ISNUMBER(W16),W16,0)&gt;0,IF(AND((IF(ISNUMBER(V16),V16*12,0)+IF(ISNUMBER(W16),W16,0))&gt;=1,(IF(ISNUMBER(V16),V16*12,0)+IF(ISNUMBER(W16),W16,0))&lt;=(AS16-1)+IF(K16="X",2,0)),TRUE,FALSE),FALSE)</x:f>
        <x:v>1</x:v>
      </x:c>
      <x:c r="AU16" s="1203" t="str">
        <x: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K</x:v>
      </x:c>
      <x:c r="AV16" s="1063" t="str">
        <x:f t="shared" ref="AV16:AV45" si="25">IF(NOT(ISERROR(SEARCH("KCSR",C16))),"KCSR",IF(NOT(ISERROR(SEARCH("KCSA",C16))),"KCSA",IF(NOT(ISERROR(SEARCH("KCS",C16))),"KCS",IF(NOT(ISERROR(SEARCH("KR",C16))),"KR",IF(NOT(ISERROR(SEARCH("KA",C16))),"KA",IF(NOT(ISERROR(SEARCH("K",C16))),"K",IF(NOT(ISERROR(SEARCH("CJ",C16))),"CJ","")))))))</x:f>
        <x:v>K</x:v>
      </x:c>
      <x:c r="AW16" s="1063" t="str">
        <x:f t="shared" ref="AW16:AW45" si="26">IF(NOT(ISERROR(SEARCH("HDR",C16))),"HDR",IF(NOT(ISERROR(SEARCH("JS",C16))),"JS",IF(NOT(ISERROR(SEARCH("SLH",C16))),"SLH",IF(NOT(ISERROR(SEARCH("DLH",C16))),"DLH",IF(NOT(ISERROR(SEARCH("LH",C16))),"LH","")))))</x:f>
        <x:v/>
      </x:c>
      <x:c r="AX16" s="1063" t="str">
        <x:f>IF(OR(ISBLANK(A16),A16=""),"",A16)</x:f>
        <x:v>TJ217</x:v>
      </x:c>
      <x:c r="AY16" s="1306" t="b">
        <x:f t="shared" ref="AY16:AY45" si="27">IF($AE$1,IF(AX16=AX15,AY15,IF(AND(AX16&lt;&gt;"",OR(B16=0,B16="")),TRUE,FALSE)),FALSE)</x:f>
        <x:v>0</x:v>
      </x:c>
      <x:c r="AZ16" s="1090" t="b">
        <x:f t="shared" ref="AZ16:AZ45" si="28">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29">IF(CY16="","","X")</x:f>
        <x:v/>
      </x:c>
      <x:c r="CE16" s="925" t="str">
        <x:f t="shared" ref="CE16:CE45" si="30">IF(DI16="","","X")</x:f>
        <x:v/>
      </x:c>
      <x:c r="CF16" s="1147"/>
      <x:c r="CG16" s="1148"/>
      <x:c r="CH16" s="730" t="str">
        <x:f t="shared" ref="CH16:CH45" si="31">IF(EJ16=EK16,IF(EK16="ERR","ERR",""),CONCATENATE(IF(BM16&lt;0,"NS ","FS "),IF(EK16="ERR","Slot Only",CONCATENATE("Slot @ ",EJ16))))</x:f>
        <x:v/>
      </x:c>
      <x:c r="CI16" s="731" t="str">
        <x:f t="shared" ref="CI16:CI45" si="32">IF(EQ16=ER16,IF(ER16="ERR","ERR",""),CONCATENATE(IF(BU16&lt;0,"FS ","NS "),IF(ER16="ERR","Slot Only",CONCATENATE("Slot @ ",EQ16))))</x:f>
        <x:v/>
      </x:c>
      <x:c r="CJ16" s="732" t="str">
        <x:f t="shared" ref="CJ16:CJ45" si="33">IF(EV16="","",IF(AND(DB16&lt;&gt;EV16,OR(NOT(ISBLANK(BJ16)),CU16="C")),CONCATENATE("LE slots @ ",DB16," Ga."),IF(AND(DL16&lt;&gt;EV16,OR(NOT(ISBLANK(BR16)),DE16="C")),CONCATENATE("RE slots @ ",DL16," Ga."),"")))</x:f>
        <x:v/>
      </x:c>
      <x:c r="CK16" s="733" t="str">
        <x:f t="shared" ref="CK16:CK45" si="34">IF(AND(CP16&lt;&gt;"",BM16&lt;&gt;"",CQ16&lt;&gt;"",BU16&lt;&gt;""),"BE",IF(AND(CP16&lt;&gt;"",BM16&lt;&gt;""),"LE",IF(AND(CQ16&lt;&gt;"",BU16&lt;&gt;""),"RE","")))</x:f>
        <x:v/>
      </x:c>
      <x:c r="CL16" s="734" t="str">
        <x:f t="shared" ref="CL16:CL45" si="35">IF(ISBLANK(CB16),"",CEILING(DV16,0.125))</x:f>
        <x:v/>
      </x:c>
      <x:c r="CM16" s="735" t="str">
        <x:f t="shared" ref="CM16:CM45" si="36">IF(ISBLANK(CC16),"",CEILING(EB16,0.125))</x:f>
        <x:v/>
      </x:c>
      <x:c r="CN16" s="736" t="str">
        <x:f t="shared" ref="CN16:CN45" si="37">IF(AND(BW16&lt;&gt;0,BM16&lt;&gt;0),BW16*COS(RADIANS(90-BM16))/(1/COS(RADIANS(90-BM16)))*-1,"")</x:f>
        <x:v/>
      </x:c>
      <x:c r="CO16" s="737" t="str">
        <x:f t="shared" ref="CO16:CO45" si="38">IF(AND(BW16&lt;&gt;0,BU16&lt;&gt;0),BW16*COS(RADIANS(90-BU16))/(1/COS(RADIANS(90-BU16))),"")</x:f>
        <x:v/>
      </x:c>
      <x:c r="CP16" s="760" t="str">
        <x:f t="shared" ref="CP16:CP45" si="39">IF(BG16="","",IF(AU16="JS","",IF(VLOOKUP(AU16,$DF$2:$DN$9,5,FALSE)&gt;FO16,IF(FO16&gt;=0.0625,CEILING(FO16-0.0625,0.125),FO16),"")))</x:f>
        <x:v/>
      </x:c>
      <x:c r="CQ16" s="761" t="str">
        <x:f t="shared" ref="CQ16:CQ45" si="40">IF(BO16="","",IF(AU16="JS","",IF(VLOOKUP(AU16,$DF$2:$DN$9,5,FALSE)&gt;FP16,IF(FP16&gt;=0.0625,CEILING(FP16-0.0625,0.125),FP16),"")))</x:f>
        <x:v/>
      </x:c>
      <x:c r="CR16" s="951">
        <x:f t="shared" ref="CR16:CR45" si="41">IF(AU16="","",IF(ABS(FF16)&lt;ABS($CX$2),VLOOKUP(AU16,$DF$2:$DN$9,3,FALSE),CEILING(VLOOKUP(AU16,$DF$2:$DN$9,3,FALSE)/COS(FE16)+0.375+IF(CU16="M",IF(FE16&gt;0,(DV16-DW16)/12,0),IF(FE16&gt;0,0,(DV16-CV16)/12))*ABS(FF16),0.125)))</x:f>
        <x:v>2.5</x:v>
      </x:c>
      <x:c r="CS16" s="952">
        <x:f t="shared" ref="CS16:CS45" si="42">IF(AU16="","",IF(ABS(FK16)&lt;ABS($CX$2),VLOOKUP(AU16,$DF$2:$DN$9,3,FALSE),CEILING(VLOOKUP(AU16,$DF$2:$DN$9,3,FALSE)/COS(FJ16)+0.375+IF(DE16="M",IF(FJ16&lt;0,(EB16-EC16)/12,0),IF(FJ16&lt;0,0,(EB16-DF16)/12))*ABS(FK16),0.125)))</x:f>
        <x:v>2.5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3">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4">BV16*-1</x:f>
        <x:v>0</x:v>
      </x:c>
      <x:c r="DO16" s="1094">
        <x:f t="shared" ref="DO16:DO45" si="45">IF(BW16="",0,ATAN(BW16/12))</x:f>
        <x:v>0</x:v>
      </x:c>
      <x:c r="DP16" s="1095" t="str">
        <x:f t="shared" ref="DP16:DP45" si="46">IF(OR(CV16="",BE16="",DF16=""),"",CEILING(IF(AND(BE16="",BF16=""),"",((BE16*12+BF16)+CV16+DF16)/COS(FN16))-0.0625,0.125))</x:f>
        <x:v/>
      </x:c>
      <x:c r="DQ16" s="1095" t="str">
        <x:f t="shared" ref="DQ16:DQ45" si="47">IF(AU16="","",IF(ABS(FF16)&lt;ABS($CX$2),CX16,IF(FF16=0,CX16,CEILING((CX16+((DW16-CV16)/12)*FF16)-0.0625,0.125))))</x:f>
        <x:v/>
      </x:c>
      <x:c r="DR16" s="1095" t="str">
        <x:f t="shared" ref="DR16:DR45" si="48">IF(AU16="","",IF(ABS(FK16)&lt;ABS($CX$2),DH16,IF(FK16=0,DH16,CEILING((DH16+((EC16-DF16)/12)*FK16)-0.0625,0.125))))</x:f>
        <x:v/>
      </x:c>
      <x:c r="DS16" s="1096">
        <x:f t="shared" ref="DS16:DS45" si="49">IF(BM16="",0,RADIANS(ABS(BM16)))</x:f>
        <x:v>0</x:v>
      </x:c>
      <x:c r="DT16" s="1052">
        <x:f t="shared" ref="DT16:DT45" si="50">MIN(IF(BH16&gt;0,BH16/2,MAX(BI16/2,DC16)),IF(BI16&gt;0,BI16/2,MAX(BH16/2,DC16)),IF(DC16&gt;0,DC16,MAX(BI16/2,BH16/2)))/IF(OR(CU16="C",AND(CU16="M",$DD$1="N")),1,COS(DS16))</x:f>
        <x:v>0</x:v>
      </x:c>
      <x:c r="DU16" s="1052" t="str">
        <x:f t="shared" ref="DU16:DU45" si="51">IF(CV16="","",IF(DC16&gt;=0,MAX(BH16/2,BI16/2,DC16),DC16)/IF(OR(CU16="C",AND(CU16="M",$DD$1="N")),1,COS(DS16)))</x:f>
        <x:v/>
      </x:c>
      <x:c r="DV16" s="1095" t="str">
        <x:f t="shared" ref="DV16:DV45" si="52">IF(CV16="","",(CV16+DU16+(VLOOKUP(IF(AU16="HDR","K",AU16),$DF$2:$DN$9,2,FALSE))*TAN(DS16))/COS(FD16)-FH16)</x:f>
        <x:v/>
      </x:c>
      <x:c r="DW16" s="1095" t="str">
        <x:f t="shared" ref="DW16:DW45" si="53">IF(CV16="","",MAX(0,IF(NOT(ISBLANK(CB16)),CV16-CB16,DV16-VLOOKUP(IF(AU16="HDR","K",AU16),$DF$2:$DN$9,4,FALSE))))</x:f>
        <x:v/>
      </x:c>
      <x:c r="DX16" s="1451">
        <x:f t="shared" ref="DX16:DX45" si="54">IF(CV16="",0,IF(DW16/COS(FN16-FD16)&lt;0.0625,0,CEILING(DW16/COS(FN16-FD16)-0.03125,0.125)))</x:f>
        <x:v>0</x:v>
      </x:c>
      <x:c r="DY16" s="1095">
        <x:f t="shared" ref="DY16:DY45" si="55">RADIANS(ABS(BU16))</x:f>
        <x:v>0</x:v>
      </x:c>
      <x:c r="DZ16" s="1052">
        <x:f t="shared" ref="DZ16:DZ45" si="56">MIN(IF(BP16&gt;0,BP16/2,MAX(BQ16/2,DM16)),IF(BQ16&gt;0,BQ16/2,MAX(BP16/2,DM16)),IF(DM16&gt;0,DM16,MAX(BQ16/2,BP16/2)))/IF(OR(DE16="C",AND(DE16="M",$DD$1="N")),1,COS(DY16))</x:f>
        <x:v>0</x:v>
      </x:c>
      <x:c r="EA16" s="1052" t="str">
        <x:f t="shared" ref="EA16:EA45" si="57">IF(DF16="","",IF(DM16&gt;=0,MAX(BP16/2,BQ16/2,DM16),DM16)/IF(OR(DE16="C",AND(DE16="M",$DD$1="N")),1,COS(DY16)))</x:f>
        <x:v/>
      </x:c>
      <x:c r="EB16" s="1095" t="str">
        <x:f t="shared" ref="EB16:EB45" si="58">IF(DF16="","",(DF16+EA16+(VLOOKUP(IF(AU16="HDR","K",AU16),$DF$2:$DN$9,2,FALSE))*TAN(DY16))/COS(FI16)-FM16)</x:f>
        <x:v/>
      </x:c>
      <x:c r="EC16" s="1095" t="str">
        <x:f t="shared" ref="EC16:EC45" si="59">IF(DF16="","",MAX(0,IF(NOT(ISBLANK(CC16)),DF16-CC16,EB16-VLOOKUP(IF(AU16="HDR","K",AU16),$DF$2:$DN$9,4,FALSE))))</x:f>
        <x:v/>
      </x:c>
      <x:c r="ED16" s="1451">
        <x:f t="shared" ref="ED16:ED45" si="60">IF(DF16="",0,IF(EC16/COS(FN16+FI16)&lt;0.0625,0,CEILING(EC16/COS(FN16+FI16)-0.03125,0.125)))</x:f>
        <x:v>0</x:v>
      </x:c>
      <x:c r="EE16" s="1107" t="str">
        <x:f t="shared" ref="EE16:EE45" si="61">IF(AND(EZ16="",DA16=""),"",IF(EZ16="ERR","ERR",IF(CU16="C",DA16,IF(BJ16="","",IF(DA16="",(EZ16/2)*-1,DA16)))))</x:f>
        <x:v/>
      </x:c>
      <x:c r="EF16" s="1095" t="str">
        <x:f t="shared" ref="EF16:EF45" si="62">IF(EE16="ERR","ERR",IF(EE16="","",IF(DB16*TAN(DS16)&lt;=(VLOOKUP(AU16,$DF$2:$DN$9,8,FALSE)-(VLOOKUP(AU16,$DF$2:$DN$9,7,FALSE)-0.0625)),CV16-(EE16-FH16)/IF(OR(CU16="C",AND(CU16="M",$DD$1="N")),1,COS(DS16))-IF(MID(CW16,1,1)="R",0,DW16),(ABS(EE16-FH16)/IF(OR(CU16="C",AND(CU16="M",$DD$1="N")),1,COS(DS16))+CV16)-((DB16/2)*TAN(DS16))-IF(MID(CW16,1,1)="R",0,DW16))))</x:f>
        <x:v/>
      </x:c>
      <x:c r="EG16" s="1095" t="str">
        <x:f t="shared" ref="EG16:EG45" si="63">IF(EE16="ERR","ERR",IF(EE16="","",IF(DB16*TAN(DS16)&lt;=(VLOOKUP(AU16,$DF$2:$DN$9,8,FALSE)-(VLOOKUP(AU16,$DF$2:$DN$9,7,FALSE)-0.0625)),CV16-(EE16-FH16)/IF(OR(CU16="C",AND(CU16="M",$DD$1="N")),1,COS(DS16))-IF(MID(CW16,1,1)="R",0,DW16),(ABS(EE16-FH16)/IF(OR(CU16="C",AND(CU16="M",$DD$1="N")),1,COS(DS16))+CV16)+((DB16/2)*TAN(DS16))-IF(MID(CW16,1,1)="R",0,DW16))))</x:f>
        <x:v/>
      </x:c>
      <x:c r="EH16" s="1095" t="str">
        <x:f t="shared" ref="EH16:EH45" si="64">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5">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6">IF(ISERROR(EF16),"ERR",IF(EF16="","",IF(EH16="ERR","ERR",CEILING(EH16-0.0625,0.125))))</x:f>
        <x:v/>
      </x:c>
      <x:c r="EK16" s="1095" t="str">
        <x:f t="shared" si="66"/>
        <x:v/>
      </x:c>
      <x:c r="EL16" s="1107" t="str">
        <x:f t="shared" ref="EL16:EL45" si="67">IF(AND(FC16="",DK16=""),"",IF(FC16="ERR","ERR",IF(DE16="C",DK16,IF(BR16="","",IF(DK16="",(FC16/2)*-1,DK16)))))</x:f>
        <x:v/>
      </x:c>
      <x:c r="EM16" s="1095" t="str">
        <x:f t="shared" ref="EM16:EM45" si="68">IF(EL16="ERR","ERR",IF(EL16="","",IF(DL16*TAN(DY16)&lt;=(VLOOKUP(AU16,$DF$2:$DN$9,8,FALSE)-(VLOOKUP(AU16,$DF$2:$DN$9,7,FALSE)-0.0625)),DF16-(EL16-FM16)/IF(OR(DE16="C",AND(DE16="M",$DD$1="N")),1,COS(DY16))-IF(MID(DG16,1,1)="R",0,EC16),(ABS(EL16-FM16)/IF(OR(DE16="C",AND(DE16="M",$DD$1="N")),1,COS(DY16))+DF16)-((DL16/2)*TAN(DY16))-IF(MID(DG16,1,1)="R",0,EC16))))</x:f>
        <x:v/>
      </x:c>
      <x:c r="EN16" s="1095" t="str">
        <x:f t="shared" ref="EN16:EN45" si="69">IF(EL16="ERR","ERR",IF(EL16="","",IF(DL16*TAN(DY16)&lt;=(VLOOKUP(AU16,$DF$2:$DN$9,8,FALSE)-(VLOOKUP(AU16,$DF$2:$DN$9,7,FALSE)-0.0625)),DF16-(EL16-FM16)/IF(OR(DE16="C",AND(DE16="M",$DD$1="N")),1,COS(DY16))-IF(MID(DG16,1,1)="R",0,EC16),(ABS(EL16-FM16)/IF(OR(DE16="C",AND(DE16="M",$DD$1="N")),1,COS(DY16))+DF16)+((DL16/2)*TAN(DY16))-IF(MID(DG16,1,1)="R",0,EC16))))</x:f>
        <x:v/>
      </x:c>
      <x:c r="EO16" s="1095" t="str">
        <x:f t="shared" ref="EO16:EO45" si="70">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1">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2">IF(ISERROR(EM16),"ERR",IF(EM16="","",IF(EO16="ERR","ERR",CEILING(EO16-0.0625,0.125))))</x:f>
        <x:v/>
      </x:c>
      <x:c r="ER16" s="1095" t="str">
        <x:f t="shared" si="72"/>
        <x:v/>
      </x:c>
      <x:c r="ES16" s="1053" t="str">
        <x:f t="shared" ref="ES16:ES45" si="73">IF(OR(CY16="",AU16="JS",AU16="HDR",CD16=""),"",IF((CV16-CY16)/COS(DO16)-FS16&lt;=-0.0625,CEILING((CV16-CY16)/COS(DO16)-FS16+0.0625,-0.125),IF((CV16-CY16)/COS(DO16)-FS16&gt;=0.0625,CEILING((CV16-CY16)/COS(DO16)-FS16-0.0625,0.125),0)))</x:f>
        <x:v/>
      </x:c>
      <x:c r="ET16" s="1053" t="str">
        <x:f t="shared" ref="ET16:ET45" si="74">IF(OR(DI16="",AU16="JS",AU16="HDR",CE16=""),"",IF((DF16-DI16)/COS(DO16)-FT16&lt;=-0.0625,CEILING((DF16-DI16)/COS(DO16)-FT16+0.0625,-0.125),IF((DF16-DI16)/COS(DO16)-FT16&gt;=0.0625,CEILING((DF16-DI16)/COS(DO16)-FT16-0.0625,0.125),0)))</x:f>
        <x:v/>
      </x:c>
      <x:c r="EU16" s="1097">
        <x:f t="shared" ref="EU16:EU45" si="75">IF(AU16="","",VLOOKUP(AU16,$DF$2:$DN$9,6,FALSE))</x:f>
        <x:v>3.5</x:v>
      </x:c>
      <x:c r="EV16" s="1055" t="str">
        <x:f t="shared" ref="EV16:EV45" si="76">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77">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78">IF(BR16="X",IF(OR(DE16="M",DE16="C"),"",IF((FB16-FA16)/2&lt;=(VLOOKUP(AU16,$DF$2:$DN$9,8,FALSE)-(VLOOKUP(AU16,$DF$2:$DN$9,7,FALSE)-0.0625)),(FA16+FB16)/2,"ERR")),"")</x:f>
        <x:v/>
      </x:c>
      <x:c r="FD16" s="1096">
        <x:f>IF(DD16="",0,ATAN(DD16/12))</x:f>
        <x:v>0</x:v>
      </x:c>
      <x:c r="FE16" s="1096">
        <x:f t="shared" ref="FE16:FE45" si="79">DO16-FD16</x:f>
        <x:v>0</x:v>
      </x:c>
      <x:c r="FF16" s="1096">
        <x:f t="shared" ref="FF16:FF45" si="80">TAN(FE16)*12</x:f>
        <x:v>0</x:v>
      </x:c>
      <x:c r="FG16" s="1096" t="str">
        <x:f t="shared" ref="FG16:FG45" si="81">IF(FF16=0,"",IF(ABS(FF16)&lt;$CX$2,IF(AND(ABS(MIN(DV16,FQ16)/12*FF16)&gt;$DD$2,FF16&gt;0),IF(FF16&gt;0,CEILING(FF16-0.0625,0.125),CEILING(FF16+0.0625,-0.125)),""),IF(FF16&gt;0,CEILING(FF16-0.0625,0.125),CEILING(FF16+0.0625,-0.125))))</x:f>
        <x:v/>
      </x:c>
      <x:c r="FH16" s="1095" t="str">
        <x:f t="shared" ref="FH16:FH45" si="82">IF(CX16="","",CX16*TAN(FD16))</x:f>
        <x:v/>
      </x:c>
      <x:c r="FI16" s="1096">
        <x:f>IF(DN16="",0,ATAN(DN16/12))</x:f>
        <x:v>0</x:v>
      </x:c>
      <x:c r="FJ16" s="1096">
        <x:f t="shared" ref="FJ16:FJ45" si="83">DO16+FI16</x:f>
        <x:v>0</x:v>
      </x:c>
      <x:c r="FK16" s="1096">
        <x:f t="shared" ref="FK16:FK45" si="84">TAN(FJ16)*-12</x:f>
        <x:v>0</x:v>
      </x:c>
      <x:c r="FL16" s="1096" t="str">
        <x:f t="shared" ref="FL16:FL45" si="85">IF(FK16=0,"",IF(ABS(FK16)&lt;$CX$2,IF(AND(ABS(MIN(EB16,FR16)/12*FK16)&gt;$DD$2,FK16&gt;0),IF(FK16&gt;0,CEILING(FK16-0.0625,0.125),CEILING(FK16+0.0625,-0.125)),""),IF(FK16&gt;0,CEILING(FK16-0.0625,0.125),CEILING(FK16+0.0625,-0.125))))</x:f>
        <x:v/>
      </x:c>
      <x:c r="FM16" s="1095" t="str">
        <x:f t="shared" ref="FM16:FM45" si="86">IF(DH16="","",DH16*TAN(FI16))</x:f>
        <x:v/>
      </x:c>
      <x:c r="FN16" s="1095" t="e">
        <x:f t="shared" ref="FN16:FN45" si="87">IF(((BE16*12+BF16)+CV16+DF16)/COS(DO16)-((BE16*12+BF16)+CV16+DF16)&lt;$DB$2,0,DO16)</x:f>
        <x:v>#VALUE!</x:v>
      </x:c>
      <x:c r="FO16" s="1098" t="e">
        <x:f t="shared" ref="FO16:FO45" si="88">MIN(IF(BH16&gt;0,BH16/2,MAX(BI16/2,DC16)),IF(BI16&gt;0,BI16/2,MAX(BH16/2,DC16)),IF(DC16&gt;0,DC16,MAX(BI16/2,BH16/2)))/COS(DS16)+CV16-DW16</x:f>
        <x:v>#VALUE!</x:v>
      </x:c>
      <x:c r="FP16" s="1098" t="e">
        <x:f t="shared" ref="FP16:FP45" si="89">MIN(IF(BP16&gt;0,BP16/2,MAX(BQ16/2,DM16)),IF(BQ16&gt;0,BQ16/2,MAX(BP16/2,DM16)),IF(DM16&gt;0,DM16,MAX(BQ16/2,BP16/2)))/COS(DY16)+DF16-EC16</x:f>
        <x:v>#VALUE!</x:v>
      </x:c>
      <x:c r="FQ16" s="1099" t="e">
        <x:f t="shared" ref="FQ16:FQ45" si="90">IF(OR(CU16="M", CU16="B",CU16="G"),MAX(BH16,BI16),DC16+CV16)</x:f>
        <x:v>#VALUE!</x:v>
      </x:c>
      <x:c r="FR16" s="1100" t="e">
        <x:f t="shared" ref="FR16:FR45" si="91">IF(OR(DE16="M", DE16="B",DE16="G"),MAX(BP16,BQ16),DM16+DF16)</x:f>
        <x:v>#VALUE!</x:v>
      </x:c>
      <x:c r="FS16" s="1101" t="str">
        <x:f t="shared" ref="FS16:FS45" si="92">IF(CY16="","",IF(ABS(BW16*((AJ16-IF(BW16&gt;0,VLOOKUP(AU16,$DF$2:$DN$9,9,FALSE),0))/12))&gt;$CZ$2,BW16*((AJ16-IF(BW16&gt;0,VLOOKUP(AU16,$DF$2:$DN$9,9,FALSE),0))/12),0))</x:f>
        <x:v/>
      </x:c>
      <x:c r="FT16" s="1102" t="str">
        <x:f t="shared" ref="FT16:FT45" si="93">IF(DI16="","",IF(ABS(BW16*((AJ16-IF(BW16&lt;0,VLOOKUP(AU16,$DF$2:$DN$9,9,FALSE),0))/12))&gt;$CZ$2,BW16*((AJ16-IF(BW16&lt;0,VLOOKUP(AU16,$DF$2:$DN$9,9,FALSE),0))/12)*-1,0))</x:f>
        <x:v/>
      </x:c>
      <x:c r="FU16" s="1103">
        <x:f t="shared" ref="FU16:FU45" si="94">IF(CX16="",0,MAX(0,MIN(DV16-VLOOKUP(AU16,DF$2:DN$9,4,FALSE),(MAX(0,CX16-VLOOKUP(AU16,DF$2:DN$9,3,FALSE))+VLOOKUP(AU16,DF$2:DN$9,4,FALSE))*COS(DO16)+((MAX(0,CX16-VLOOKUP(AU16,DF$2:DN$9,3,FALSE))+VLOOKUP(AU16,DF$2:DN$9,4,FALSE))*COS(PI()/2-DO16))/TAN(PI()/2-(DO16+PI()/4))-VLOOKUP(AU16,DF$2:DN$9,4,FALSE))))</x:f>
        <x:v>0</x:v>
      </x:c>
      <x:c r="FV16" s="1104">
        <x:f t="shared" ref="FV16:FV45" si="95">IF(DH16="",0,MAX(0,MIN(EB16-VLOOKUP(AU16,DF$2:DN$9,4,FALSE),(MAX(0,DH16-VLOOKUP(AU16,DF$2:DN$9,3,FALSE))+VLOOKUP(AU16,DF$2:DN$9,4,FALSE))*COS(DO16)+((MAX(0,DH16-VLOOKUP(AU16,DF$2:DN$9,3,FALSE))+VLOOKUP(AU16,DF$2:DN$9,4,FALSE))*COS(PI()/2-DO16))/TAN(PI()/2-(DO16+PI()/4))-VLOOKUP(AU16,DF$2:DN$9,4,FALSE))))</x:f>
        <x:v>0</x:v>
      </x:c>
      <x:c r="GA16" s="1975">
        <x:v>53</x:v>
      </x:c>
      <x:c r="GB16" s="1976">
        <x:v>1.375</x:v>
      </x:c>
      <x:c r="GC16" s="1977">
        <x:v>-0.25</x:v>
      </x:c>
      <x:c r="GD16" s="1978">
        <x:v>-0.5</x:v>
      </x:c>
      <x:c r="GE16" s="1979">
        <x:v>-0.15068791659026001</x:v>
      </x:c>
      <x:c r="GF16" s="1980" t="str">
        <x:f t="shared" ref="GF16:GF45" si="96">IF(A16=0,"",A16)</x:f>
        <x:v>TJ217</x:v>
      </x:c>
      <x:c r="GG16" s="1453"/>
      <x:c r="GH16" s="1454"/>
      <x:c r="GI16" s="1453"/>
      <x:c r="GJ16" s="1454"/>
      <x:c r="GK16" s="533">
        <x:f t="shared" ref="GK16:GK45" si="97">IF(D16="",0,D16*12+E16)</x:f>
        <x:v>636.625</x:v>
      </x:c>
      <x:c r="GL16" s="534">
        <x:f t="shared" ref="GL16:GL45" si="98">(GA16*12+GB16+GC16+GD16)/COS(ATAN(ABS(GE16/12)))</x:f>
        <x:v>636.67519158824803</x:v>
      </x:c>
      <x:c r="GM16" s="535">
        <x:f>IF(ABS(GK16-GL16)&gt;='Job Info.'!$L$22,ABS(GK16-GL16),0)</x:f>
        <x:v>0</x:v>
      </x:c>
      <x:c r="HA16" s="1652" t="s">
        <x:v>1541</x:v>
      </x:c>
      <x:c r="HB16" s="1653">
        <x:v>1</x:v>
      </x:c>
      <x:c r="HC16" s="1653" t="s">
        <x:v>1979</x:v>
      </x:c>
      <x:c r="HD16" s="1654">
        <x:v>53</x:v>
      </x:c>
      <x:c r="HE16" s="1655">
        <x:v>0.625</x:v>
      </x:c>
      <x:c r="HF16" s="1653">
        <x:v>0</x:v>
      </x:c>
      <x:c r="HG16" s="1653">
        <x:v>1.375</x:v>
      </x:c>
      <x:c r="HH16" s="1653" t="s">
        <x:v>114</x:v>
      </x:c>
      <x:c r="HI16" s="1656">
        <x:v>0</x:v>
      </x:c>
      <x:c r="HJ16" s="1653">
        <x:v>0.25</x:v>
      </x:c>
      <x:c r="HK16" s="1653" t="s">
        <x:v>114</x:v>
      </x:c>
      <x:c r="HL16" s="1653">
        <x:v>3</x:v>
      </x:c>
      <x:c r="HM16" s="1653">
        <x:v>3</x:v>
      </x:c>
      <x:c r="HN16" s="1653" t="s">
        <x:v>117</x:v>
      </x:c>
      <x:c r="HO16" s="1653" t="s">
        <x:v>117</x:v>
      </x:c>
      <x:c r="HP16" s="1653" t="s">
        <x:v>117</x:v>
      </x:c>
      <x:c r="HQ16" s="1656" t="s">
        <x:v>117</x:v>
      </x:c>
      <x:c r="HR16" s="1653" t="s">
        <x:v>117</x:v>
      </x:c>
      <x:c r="HS16" s="1653" t="s">
        <x:v>117</x:v>
      </x:c>
      <x:c r="HT16" s="1653">
        <x:v>0</x:v>
      </x:c>
      <x:c r="HU16" s="1653">
        <x:v>2.25</x:v>
      </x:c>
      <x:c r="HV16" s="1653">
        <x:v>0</x:v>
      </x:c>
      <x:c r="HW16" s="1655">
        <x:v>3.875</x:v>
      </x:c>
      <x:c r="HX16" s="1655">
        <x:v>4</x:v>
      </x:c>
      <x:c r="HY16" s="1655" t="s">
        <x:v>117</x:v>
      </x:c>
      <x:c r="HZ16" s="1655" t="s">
        <x:v>117</x:v>
      </x:c>
      <x:c r="IA16" s="1655" t="s">
        <x:v>2227</x:v>
      </x:c>
      <x:c r="IB16" s="1655"/>
      <x:c r="IC16" s="1655"/>
      <x:c r="ID16" s="1655"/>
      <x:c r="IE16" s="1655"/>
      <x:c r="IF16" s="1657"/>
    </x:row>
    <x:row r="17" spans="1:240" ht="12.6" customHeight="1" x14ac:dyDescent="0.25">
      <x:c r="A17" s="1264" t="s">
        <x:v>1542</x:v>
      </x:c>
      <x:c r="B17" s="1265">
        <x:v>15</x:v>
      </x:c>
      <x:c r="C17" s="1265" t="s">
        <x:v>1978</x:v>
      </x:c>
      <x:c r="D17" s="1261">
        <x:v>59</x:v>
      </x:c>
      <x:c r="E17" s="1366">
        <x:v>0.625</x:v>
      </x:c>
      <x:c r="F17" s="1328">
        <x:v>0</x:v>
      </x:c>
      <x:c r="G17" s="1262">
        <x:v>1.375</x:v>
      </x:c>
      <x:c r="H17" s="1266" t="s">
        <x:v>114</x:v>
      </x:c>
      <x:c r="I17" s="1261" t="str">
        <x:f t="shared" ref="I17:I44" si="99">IF(ED17=0,"",TRUNC(ED17/12))</x:f>
        <x:v/>
      </x:c>
      <x:c r="J17" s="1262" t="str">
        <x:f t="shared" ref="J17:J44" si="100">IF(ED17=0,"",ED17-(I17*12))</x:f>
        <x:v/>
      </x:c>
      <x:c r="K17" s="1370" t="str">
        <x:f t="shared" ref="K17:K44" si="101">IF(ED17=0,"",DG17)</x:f>
        <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x:v>0</x:v>
      </x:c>
      <x:c r="U17" s="1262">
        <x:v>2.25</x:v>
      </x:c>
      <x:c r="V17" s="1261">
        <x:v>0</x:v>
      </x:c>
      <x:c r="W17" s="1262">
        <x:v>1.125</x:v>
      </x:c>
      <x:c r="X17" s="1329">
        <x:v>4</x:v>
      </x:c>
      <x:c r="Y17" s="1377" t="str">
        <x:f t="shared" si="7"/>
        <x:v/>
      </x:c>
      <x:c r="Z17" s="1378" t="str">
        <x:f t="shared" si="8"/>
        <x:v/>
      </x:c>
      <x:c r="AA17" s="2159" t="s">
        <x:v>2228</x:v>
      </x:c>
      <x:c r="AC17" s="1226" t="b">
        <x:v>0</x:v>
      </x:c>
      <x:c r="AD17" s="525">
        <x:f t="shared" si="9"/>
        <x:v>0</x:v>
      </x:c>
      <x:c r="AE17" s="526">
        <x:f t="shared" si="10"/>
        <x:v>15</x:v>
      </x:c>
      <x:c r="AF17" s="526">
        <x:f t="shared" si="11"/>
        <x:v>0</x:v>
      </x:c>
      <x:c r="AG17" s="526">
        <x:f t="shared" si="12"/>
        <x:v>0</x:v>
      </x:c>
      <x:c r="AH17" s="527">
        <x:f t="shared" si="13"/>
        <x:v>0</x:v>
      </x:c>
      <x:c r="AI17" s="528" t="b">
        <x:v>0</x:v>
      </x:c>
      <x:c r="AJ17" s="284">
        <x:f t="shared" si="14"/>
        <x:v>36</x:v>
      </x:c>
      <x:c r="AK17" s="1063" t="str">
        <x:f t="shared" si="15"/>
        <x:v>LH</x:v>
      </x:c>
      <x:c r="AL17" s="1202" t="str">
        <x:f t="shared" si="16"/>
        <x:v/>
      </x:c>
      <x:c r="AM17" s="1063">
        <x:f t="shared" si="17"/>
        <x:v>270</x:v>
      </x:c>
      <x:c r="AN17" s="1063">
        <x:f t="shared" si="18"/>
        <x:v>120</x:v>
      </x:c>
      <x:c r="AO17" s="1063" t="str">
        <x:f t="shared" si="19"/>
        <x:v/>
      </x:c>
      <x:c r="AP17" s="1063" t="b">
        <x:f>IF(ISERROR(AJ17),FALSE,IF(OR(AJ17=0,ISERROR(AL17),ISERROR(AM17),ISERROR(AN17),ISERROR(AO17)),FALSE,IF(AL17&lt;&gt;"",IF(ISERROR(VLOOKUP(SUBSTITUTE(SUBSTITUTE(C17,"R",""),"A",""),TblJoistSize!$A:$A,1,FALSE)),FALSE,TRUE),TRUE)))</x:f>
        <x:v>1</x:v>
      </x:c>
      <x:c r="AQ17" s="1305">
        <x:f t="shared" si="20"/>
        <x:v>7.375</x:v>
      </x:c>
      <x:c r="AR17" s="1305" t="b">
        <x:f t="shared" si="21"/>
        <x:v>1</x:v>
      </x:c>
      <x:c r="AS17" s="1305">
        <x:f t="shared" si="22"/>
        <x:v>6</x:v>
      </x:c>
      <x:c r="AT17" s="1305" t="b">
        <x:f t="shared" si="23"/>
        <x:v>1</x:v>
      </x:c>
      <x:c r="AU17" s="1203" t="str">
        <x:f t="shared" si="24"/>
        <x:v>LH</x:v>
      </x:c>
      <x:c r="AV17" s="1063" t="str">
        <x:f t="shared" si="25"/>
        <x:v/>
      </x:c>
      <x:c r="AW17" s="1063" t="str">
        <x:f t="shared" si="26"/>
        <x:v>LH</x:v>
      </x:c>
      <x:c r="AX17" s="1063" t="str">
        <x:f t="shared" ref="AX17:AX45" si="102">IF(AND(OR(ISBLANK(A17),A17=""),AA17&lt;&gt;""),AX16,IF(OR(ISBLANK(A17),A17=""),"",A17))</x:f>
        <x:v>TJ218</x:v>
      </x:c>
      <x:c r="AY17" s="1306" t="b">
        <x:f t="shared" si="27"/>
        <x:v>0</x:v>
      </x:c>
      <x:c r="AZ17" s="1090" t="b">
        <x:f t="shared" si="28"/>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29"/>
        <x:v/>
      </x:c>
      <x:c r="CE17" s="935" t="str">
        <x:f t="shared" si="30"/>
        <x:v/>
      </x:c>
      <x:c r="CF17" s="1149"/>
      <x:c r="CG17" s="1150"/>
      <x:c r="CH17" s="738" t="str">
        <x:f t="shared" si="31"/>
        <x:v/>
      </x:c>
      <x:c r="CI17" s="739" t="str">
        <x:f t="shared" si="32"/>
        <x:v/>
      </x:c>
      <x:c r="CJ17" s="740" t="str">
        <x:f t="shared" si="33"/>
        <x:v/>
      </x:c>
      <x:c r="CK17" s="741" t="str">
        <x:f t="shared" si="34"/>
        <x:v/>
      </x:c>
      <x:c r="CL17" s="742" t="str">
        <x:f t="shared" si="35"/>
        <x:v/>
      </x:c>
      <x:c r="CM17" s="743" t="str">
        <x:f t="shared" si="36"/>
        <x:v/>
      </x:c>
      <x:c r="CN17" s="744" t="str">
        <x:f t="shared" si="37"/>
        <x:v/>
      </x:c>
      <x:c r="CO17" s="745" t="str">
        <x:f t="shared" si="38"/>
        <x:v/>
      </x:c>
      <x:c r="CP17" s="762" t="str">
        <x:f t="shared" si="39"/>
        <x:v/>
      </x:c>
      <x:c r="CQ17" s="763" t="str">
        <x:f t="shared" si="40"/>
        <x:v/>
      </x:c>
      <x:c r="CR17" s="953">
        <x:f t="shared" si="41"/>
        <x:v>5</x:v>
      </x:c>
      <x:c r="CS17" s="954">
        <x:f t="shared" si="42"/>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3"/>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4"/>
        <x:v>0</x:v>
      </x:c>
      <x:c r="DO17" s="1049">
        <x:f t="shared" si="45"/>
        <x:v>0</x:v>
      </x:c>
      <x:c r="DP17" s="1053" t="str">
        <x:f t="shared" si="46"/>
        <x:v/>
      </x:c>
      <x:c r="DQ17" s="1053" t="str">
        <x:f t="shared" si="47"/>
        <x:v/>
      </x:c>
      <x:c r="DR17" s="1053" t="str">
        <x:f t="shared" si="48"/>
        <x:v/>
      </x:c>
      <x:c r="DS17" s="1052">
        <x:f t="shared" si="49"/>
        <x:v>0</x:v>
      </x:c>
      <x:c r="DT17" s="1052">
        <x:f t="shared" si="50"/>
        <x:v>0</x:v>
      </x:c>
      <x:c r="DU17" s="1052" t="str">
        <x:f t="shared" si="51"/>
        <x:v/>
      </x:c>
      <x:c r="DV17" s="1053" t="str">
        <x:f t="shared" si="52"/>
        <x:v/>
      </x:c>
      <x:c r="DW17" s="1053" t="str">
        <x:f t="shared" si="53"/>
        <x:v/>
      </x:c>
      <x:c r="DX17" s="1269">
        <x:f t="shared" si="54"/>
        <x:v>0</x:v>
      </x:c>
      <x:c r="DY17" s="1053">
        <x:f t="shared" si="55"/>
        <x:v>0</x:v>
      </x:c>
      <x:c r="DZ17" s="1052">
        <x:f t="shared" si="56"/>
        <x:v>0</x:v>
      </x:c>
      <x:c r="EA17" s="1052" t="str">
        <x:f t="shared" si="57"/>
        <x:v/>
      </x:c>
      <x:c r="EB17" s="1053" t="str">
        <x:f t="shared" si="58"/>
        <x:v/>
      </x:c>
      <x:c r="EC17" s="1053" t="str">
        <x:f t="shared" si="59"/>
        <x:v/>
      </x:c>
      <x:c r="ED17" s="1269">
        <x:f t="shared" si="60"/>
        <x:v>0</x:v>
      </x:c>
      <x:c r="EE17" s="1090" t="str">
        <x:f t="shared" si="61"/>
        <x:v/>
      </x:c>
      <x:c r="EF17" s="1053" t="str">
        <x:f t="shared" si="62"/>
        <x:v/>
      </x:c>
      <x:c r="EG17" s="1053" t="str">
        <x:f t="shared" si="63"/>
        <x:v/>
      </x:c>
      <x:c r="EH17" s="1053" t="str">
        <x:f t="shared" si="64"/>
        <x:v>ERR</x:v>
      </x:c>
      <x:c r="EI17" s="1053" t="str">
        <x:f t="shared" si="65"/>
        <x:v>ERR</x:v>
      </x:c>
      <x:c r="EJ17" s="1053" t="str">
        <x:f t="shared" si="66"/>
        <x:v/>
      </x:c>
      <x:c r="EK17" s="1053" t="str">
        <x:f t="shared" si="66"/>
        <x:v/>
      </x:c>
      <x:c r="EL17" s="1090" t="str">
        <x:f t="shared" si="67"/>
        <x:v/>
      </x:c>
      <x:c r="EM17" s="1053" t="str">
        <x:f t="shared" si="68"/>
        <x:v/>
      </x:c>
      <x:c r="EN17" s="1053" t="str">
        <x:f t="shared" si="69"/>
        <x:v/>
      </x:c>
      <x:c r="EO17" s="1053" t="str">
        <x:f t="shared" si="70"/>
        <x:v>ERR</x:v>
      </x:c>
      <x:c r="EP17" s="1053" t="str">
        <x:f t="shared" si="71"/>
        <x:v>ERR</x:v>
      </x:c>
      <x:c r="EQ17" s="1053" t="str">
        <x:f t="shared" si="72"/>
        <x:v/>
      </x:c>
      <x:c r="ER17" s="1053" t="str">
        <x:f t="shared" si="72"/>
        <x:v/>
      </x:c>
      <x:c r="ES17" s="1053" t="str">
        <x:f t="shared" si="73"/>
        <x:v/>
      </x:c>
      <x:c r="ET17" s="1053" t="str">
        <x:f t="shared" si="74"/>
        <x:v/>
      </x:c>
      <x:c r="EU17" s="1061">
        <x:f t="shared" si="75"/>
        <x:v>4</x:v>
      </x:c>
      <x:c r="EV17" s="1055" t="str">
        <x:f t="shared" si="76"/>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77"/>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78"/>
        <x:v/>
      </x:c>
      <x:c r="FD17" s="1052">
        <x:f t="shared" ref="FD17:FD45" si="103">IF(DD17="",0,ATAN(DD17/12))</x:f>
        <x:v>0</x:v>
      </x:c>
      <x:c r="FE17" s="1052">
        <x:f t="shared" si="79"/>
        <x:v>0</x:v>
      </x:c>
      <x:c r="FF17" s="1052">
        <x:f t="shared" si="80"/>
        <x:v>0</x:v>
      </x:c>
      <x:c r="FG17" s="1052" t="str">
        <x:f t="shared" si="81"/>
        <x:v/>
      </x:c>
      <x:c r="FH17" s="1053" t="str">
        <x:f t="shared" si="82"/>
        <x:v/>
      </x:c>
      <x:c r="FI17" s="1052">
        <x:f t="shared" ref="FI17:FI45" si="104">IF(DN17="",0,ATAN(DN17/12))</x:f>
        <x:v>0</x:v>
      </x:c>
      <x:c r="FJ17" s="1052">
        <x:f t="shared" si="83"/>
        <x:v>0</x:v>
      </x:c>
      <x:c r="FK17" s="1052">
        <x:f t="shared" si="84"/>
        <x:v>0</x:v>
      </x:c>
      <x:c r="FL17" s="1052" t="str">
        <x:f t="shared" si="85"/>
        <x:v/>
      </x:c>
      <x:c r="FM17" s="1053" t="str">
        <x:f t="shared" si="86"/>
        <x:v/>
      </x:c>
      <x:c r="FN17" s="1053" t="e">
        <x:f t="shared" si="87"/>
        <x:v>#VALUE!</x:v>
      </x:c>
      <x:c r="FO17" s="1062" t="e">
        <x:f t="shared" si="88"/>
        <x:v>#VALUE!</x:v>
      </x:c>
      <x:c r="FP17" s="1062" t="e">
        <x:f t="shared" si="89"/>
        <x:v>#VALUE!</x:v>
      </x:c>
      <x:c r="FQ17" s="1063" t="e">
        <x:f t="shared" si="90"/>
        <x:v>#VALUE!</x:v>
      </x:c>
      <x:c r="FR17" s="1064" t="e">
        <x:f t="shared" si="91"/>
        <x:v>#VALUE!</x:v>
      </x:c>
      <x:c r="FS17" s="1065" t="str">
        <x:f t="shared" si="92"/>
        <x:v/>
      </x:c>
      <x:c r="FT17" s="1066" t="str">
        <x:f t="shared" si="93"/>
        <x:v/>
      </x:c>
      <x:c r="FU17" s="1105">
        <x:f t="shared" si="94"/>
        <x:v>0</x:v>
      </x:c>
      <x:c r="FV17" s="1106">
        <x:f t="shared" si="95"/>
        <x:v>0</x:v>
      </x:c>
      <x:c r="GA17" s="1975">
        <x:v>59</x:v>
      </x:c>
      <x:c r="GB17" s="1976">
        <x:v>2.75</x:v>
      </x:c>
      <x:c r="GC17" s="1977">
        <x:v>-0.25</x:v>
      </x:c>
      <x:c r="GD17" s="1978">
        <x:v>-1.875</x:v>
      </x:c>
      <x:c r="GE17" s="1979">
        <x:v>-0.26169539219134702</x:v>
      </x:c>
      <x:c r="GF17" s="1980" t="str">
        <x:f t="shared" si="96"/>
        <x:v>TJ218</x:v>
      </x:c>
      <x:c r="GG17" s="1453"/>
      <x:c r="GH17" s="1454"/>
      <x:c r="GI17" s="1453"/>
      <x:c r="GJ17" s="1454"/>
      <x:c r="GK17" s="533">
        <x:f t="shared" si="97"/>
        <x:v>708.625</x:v>
      </x:c>
      <x:c r="GL17" s="534">
        <x:f t="shared" si="98"/>
        <x:v>708.79348626656247</x:v>
      </x:c>
      <x:c r="GM17" s="535">
        <x:f>IF(ABS(GK17-GL17)&gt;='Job Info.'!$L$22,ABS(GK17-GL17),0)</x:f>
        <x:v>0</x:v>
      </x:c>
      <x:c r="HA17" s="1658" t="s">
        <x:v>1542</x:v>
      </x:c>
      <x:c r="HB17" s="1659">
        <x:v>15</x:v>
      </x:c>
      <x:c r="HC17" s="1659" t="s">
        <x:v>1978</x:v>
      </x:c>
      <x:c r="HD17" s="1660">
        <x:v>59</x:v>
      </x:c>
      <x:c r="HE17" s="1661">
        <x:v>0.625</x:v>
      </x:c>
      <x:c r="HF17" s="1659">
        <x:v>0</x:v>
      </x:c>
      <x:c r="HG17" s="1659">
        <x:v>1.375</x:v>
      </x:c>
      <x:c r="HH17" s="1659" t="s">
        <x:v>114</x:v>
      </x:c>
      <x:c r="HI17" s="1662" t="s">
        <x:v>117</x:v>
      </x:c>
      <x:c r="HJ17" s="1659" t="s">
        <x:v>117</x:v>
      </x:c>
      <x:c r="HK17" s="1659" t="s">
        <x:v>117</x:v>
      </x:c>
      <x:c r="HL17" s="1659">
        <x:v>3</x:v>
      </x:c>
      <x:c r="HM17" s="1659">
        <x:v>3</x:v>
      </x:c>
      <x:c r="HN17" s="1659" t="s">
        <x:v>117</x:v>
      </x:c>
      <x:c r="HO17" s="1659" t="s">
        <x:v>117</x:v>
      </x:c>
      <x:c r="HP17" s="1659" t="s">
        <x:v>117</x:v>
      </x:c>
      <x:c r="HQ17" s="1662" t="s">
        <x:v>117</x:v>
      </x:c>
      <x:c r="HR17" s="1659" t="s">
        <x:v>117</x:v>
      </x:c>
      <x:c r="HS17" s="1659" t="s">
        <x:v>117</x:v>
      </x:c>
      <x:c r="HT17" s="1659">
        <x:v>0</x:v>
      </x:c>
      <x:c r="HU17" s="1659">
        <x:v>2.25</x:v>
      </x:c>
      <x:c r="HV17" s="1659">
        <x:v>0</x:v>
      </x:c>
      <x:c r="HW17" s="1661">
        <x:v>1.125</x:v>
      </x:c>
      <x:c r="HX17" s="1661">
        <x:v>4</x:v>
      </x:c>
      <x:c r="HY17" s="1661" t="s">
        <x:v>117</x:v>
      </x:c>
      <x:c r="HZ17" s="1661" t="s">
        <x:v>117</x:v>
      </x:c>
      <x:c r="IA17" s="1661" t="s">
        <x:v>2228</x:v>
      </x:c>
      <x:c r="IB17" s="1661"/>
      <x:c r="IC17" s="1661"/>
      <x:c r="ID17" s="1661"/>
      <x:c r="IE17" s="1661"/>
      <x:c r="IF17" s="1663"/>
    </x:row>
    <x:row r="18" spans="1:240" ht="12.6" customHeight="1" x14ac:dyDescent="0.25">
      <x:c r="A18" s="1264" t="s">
        <x:v>1543</x:v>
      </x:c>
      <x:c r="B18" s="1265">
        <x:v>12</x:v>
      </x:c>
      <x:c r="C18" s="1265" t="s">
        <x:v>1978</x:v>
      </x:c>
      <x:c r="D18" s="1261">
        <x:v>59</x:v>
      </x:c>
      <x:c r="E18" s="1366">
        <x:v>0.625</x:v>
      </x:c>
      <x:c r="F18" s="1328">
        <x:v>0</x:v>
      </x:c>
      <x:c r="G18" s="1262">
        <x:v>1.375</x:v>
      </x:c>
      <x:c r="H18" s="1266" t="s">
        <x:v>114</x:v>
      </x:c>
      <x:c r="I18" s="1261" t="str">
        <x:f t="shared" si="99"/>
        <x:v/>
      </x:c>
      <x:c r="J18" s="1262" t="str">
        <x:f t="shared" si="100"/>
        <x:v/>
      </x:c>
      <x:c r="K18" s="1370" t="str">
        <x:f t="shared" si="101"/>
        <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t="str">
        <x:f t="shared" ref="T18:T44" si="105">IF(CH18="ERR","",IF(EK18="","",IF(EK18="ERR",TRUNC(EJ18/12),TRUNC(EK18/12))))</x:f>
        <x:v/>
      </x:c>
      <x:c r="U18" s="1262" t="str">
        <x:f t="shared" ref="U18:U44" si="106">IF(CH18="ERR","",IF(EK18="","",IF(EK18="ERR",EJ18-(T18*12),EK18-(T18*12))))</x:f>
        <x:v/>
      </x:c>
      <x:c r="V18" s="1261" t="str">
        <x:f t="shared" ref="V18:V44" si="107">IF(CI18="ERR","",IF(ER18="","",IF(ER18="ERR",TRUNC(EQ18/12),TRUNC(ER18/12))))</x:f>
        <x:v/>
      </x:c>
      <x:c r="W18" s="1262" t="str">
        <x:f t="shared" ref="W18:W44" si="108">IF(CI18="ERR","",IF(ER18="","",IF(ER18="ERR",EQ18-(V18*12),ER18-(V18*12))))</x:f>
        <x:v/>
      </x:c>
      <x:c r="X18" s="1329">
        <x:f t="shared" ref="X18:X44" si="109">IF(EV18="",0,EV18)</x:f>
        <x:v>0</x:v>
      </x:c>
      <x:c r="Y18" s="1377" t="str">
        <x:f t="shared" si="7"/>
        <x:v/>
      </x:c>
      <x:c r="Z18" s="1378" t="str">
        <x:f t="shared" si="8"/>
        <x:v/>
      </x:c>
      <x:c r="AA18" s="2159" t="s">
        <x:v>2229</x:v>
      </x:c>
      <x:c r="AC18" s="1226" t="b">
        <x:v>0</x:v>
      </x:c>
      <x:c r="AD18" s="525">
        <x:f t="shared" si="9"/>
        <x:v>0</x:v>
      </x:c>
      <x:c r="AE18" s="526">
        <x:f t="shared" si="10"/>
        <x:v>12</x:v>
      </x:c>
      <x:c r="AF18" s="526">
        <x:f t="shared" si="11"/>
        <x:v>0</x:v>
      </x:c>
      <x:c r="AG18" s="526">
        <x:f t="shared" si="12"/>
        <x:v>0</x:v>
      </x:c>
      <x:c r="AH18" s="527">
        <x:f t="shared" si="13"/>
        <x:v>0</x:v>
      </x:c>
      <x:c r="AI18" s="528" t="b">
        <x:v>0</x:v>
      </x:c>
      <x:c r="AJ18" s="284">
        <x:f t="shared" si="14"/>
        <x:v>36</x:v>
      </x:c>
      <x:c r="AK18" s="1063" t="str">
        <x:f t="shared" si="15"/>
        <x:v>LH</x:v>
      </x:c>
      <x:c r="AL18" s="1202" t="str">
        <x:f t="shared" si="16"/>
        <x:v/>
      </x:c>
      <x:c r="AM18" s="1063">
        <x:f t="shared" si="17"/>
        <x:v>270</x:v>
      </x:c>
      <x:c r="AN18" s="1063">
        <x:f t="shared" si="18"/>
        <x:v>120</x:v>
      </x:c>
      <x:c r="AO18" s="1063" t="str">
        <x:f t="shared" si="19"/>
        <x:v/>
      </x:c>
      <x:c r="AP18" s="1063" t="b">
        <x:f>IF(ISERROR(AJ18),FALSE,IF(OR(AJ18=0,ISERROR(AL18),ISERROR(AM18),ISERROR(AN18),ISERROR(AO18)),FALSE,IF(AL18&lt;&gt;"",IF(ISERROR(VLOOKUP(SUBSTITUTE(SUBSTITUTE(C18,"R",""),"A",""),TblJoistSize!$A:$A,1,FALSE)),FALSE,TRUE),TRUE)))</x:f>
        <x:v>1</x:v>
      </x:c>
      <x:c r="AQ18" s="1305">
        <x:f t="shared" si="20"/>
        <x:v>7.375</x:v>
      </x:c>
      <x:c r="AR18" s="1305" t="b">
        <x:f t="shared" si="21"/>
        <x:v>0</x:v>
      </x:c>
      <x:c r="AS18" s="1305">
        <x:f t="shared" si="22"/>
        <x:v>6</x:v>
      </x:c>
      <x:c r="AT18" s="1305" t="b">
        <x:f t="shared" si="23"/>
        <x:v>0</x:v>
      </x:c>
      <x:c r="AU18" s="1203" t="str">
        <x:f t="shared" si="24"/>
        <x:v>LH</x:v>
      </x:c>
      <x:c r="AV18" s="1063" t="str">
        <x:f t="shared" si="25"/>
        <x:v/>
      </x:c>
      <x:c r="AW18" s="1063" t="str">
        <x:f t="shared" si="26"/>
        <x:v>LH</x:v>
      </x:c>
      <x:c r="AX18" s="1063" t="str">
        <x:f t="shared" si="102"/>
        <x:v>J219</x:v>
      </x:c>
      <x:c r="AY18" s="1306" t="b">
        <x:f t="shared" si="27"/>
        <x:v>0</x:v>
      </x:c>
      <x:c r="AZ18" s="1090" t="b">
        <x:f t="shared" si="28"/>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29"/>
        <x:v/>
      </x:c>
      <x:c r="CE18" s="935" t="str">
        <x:f t="shared" si="30"/>
        <x:v/>
      </x:c>
      <x:c r="CF18" s="1149"/>
      <x:c r="CG18" s="1150"/>
      <x:c r="CH18" s="738" t="str">
        <x:f t="shared" si="31"/>
        <x:v/>
      </x:c>
      <x:c r="CI18" s="739" t="str">
        <x:f t="shared" si="32"/>
        <x:v/>
      </x:c>
      <x:c r="CJ18" s="740" t="str">
        <x:f t="shared" si="33"/>
        <x:v/>
      </x:c>
      <x:c r="CK18" s="741" t="str">
        <x:f t="shared" si="34"/>
        <x:v/>
      </x:c>
      <x:c r="CL18" s="742" t="str">
        <x:f t="shared" si="35"/>
        <x:v/>
      </x:c>
      <x:c r="CM18" s="743" t="str">
        <x:f t="shared" si="36"/>
        <x:v/>
      </x:c>
      <x:c r="CN18" s="744" t="str">
        <x:f t="shared" si="37"/>
        <x:v/>
      </x:c>
      <x:c r="CO18" s="745" t="str">
        <x:f t="shared" si="38"/>
        <x:v/>
      </x:c>
      <x:c r="CP18" s="762" t="str">
        <x:f t="shared" si="39"/>
        <x:v/>
      </x:c>
      <x:c r="CQ18" s="763" t="str">
        <x:f t="shared" si="40"/>
        <x:v/>
      </x:c>
      <x:c r="CR18" s="953">
        <x:f t="shared" si="41"/>
        <x:v>5</x:v>
      </x:c>
      <x:c r="CS18" s="954">
        <x:f t="shared" si="42"/>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3"/>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4"/>
        <x:v>0</x:v>
      </x:c>
      <x:c r="DO18" s="1049">
        <x:f t="shared" si="45"/>
        <x:v>0</x:v>
      </x:c>
      <x:c r="DP18" s="1053" t="str">
        <x:f t="shared" si="46"/>
        <x:v/>
      </x:c>
      <x:c r="DQ18" s="1053" t="str">
        <x:f t="shared" si="47"/>
        <x:v/>
      </x:c>
      <x:c r="DR18" s="1053" t="str">
        <x:f t="shared" si="48"/>
        <x:v/>
      </x:c>
      <x:c r="DS18" s="1052">
        <x:f t="shared" si="49"/>
        <x:v>0</x:v>
      </x:c>
      <x:c r="DT18" s="1052">
        <x:f t="shared" si="50"/>
        <x:v>0</x:v>
      </x:c>
      <x:c r="DU18" s="1052" t="str">
        <x:f t="shared" si="51"/>
        <x:v/>
      </x:c>
      <x:c r="DV18" s="1053" t="str">
        <x:f t="shared" si="52"/>
        <x:v/>
      </x:c>
      <x:c r="DW18" s="1053" t="str">
        <x:f t="shared" si="53"/>
        <x:v/>
      </x:c>
      <x:c r="DX18" s="1269">
        <x:f t="shared" si="54"/>
        <x:v>0</x:v>
      </x:c>
      <x:c r="DY18" s="1053">
        <x:f t="shared" si="55"/>
        <x:v>0</x:v>
      </x:c>
      <x:c r="DZ18" s="1052">
        <x:f t="shared" si="56"/>
        <x:v>0</x:v>
      </x:c>
      <x:c r="EA18" s="1052" t="str">
        <x:f t="shared" si="57"/>
        <x:v/>
      </x:c>
      <x:c r="EB18" s="1053" t="str">
        <x:f t="shared" si="58"/>
        <x:v/>
      </x:c>
      <x:c r="EC18" s="1053" t="str">
        <x:f t="shared" si="59"/>
        <x:v/>
      </x:c>
      <x:c r="ED18" s="1269">
        <x:f t="shared" si="60"/>
        <x:v>0</x:v>
      </x:c>
      <x:c r="EE18" s="1090" t="str">
        <x:f t="shared" si="61"/>
        <x:v/>
      </x:c>
      <x:c r="EF18" s="1053" t="str">
        <x:f t="shared" si="62"/>
        <x:v/>
      </x:c>
      <x:c r="EG18" s="1053" t="str">
        <x:f t="shared" si="63"/>
        <x:v/>
      </x:c>
      <x:c r="EH18" s="1053" t="str">
        <x:f t="shared" si="64"/>
        <x:v>ERR</x:v>
      </x:c>
      <x:c r="EI18" s="1053" t="str">
        <x:f t="shared" si="65"/>
        <x:v>ERR</x:v>
      </x:c>
      <x:c r="EJ18" s="1053" t="str">
        <x:f t="shared" si="66"/>
        <x:v/>
      </x:c>
      <x:c r="EK18" s="1053" t="str">
        <x:f t="shared" si="66"/>
        <x:v/>
      </x:c>
      <x:c r="EL18" s="1090" t="str">
        <x:f t="shared" si="67"/>
        <x:v/>
      </x:c>
      <x:c r="EM18" s="1053" t="str">
        <x:f t="shared" si="68"/>
        <x:v/>
      </x:c>
      <x:c r="EN18" s="1053" t="str">
        <x:f t="shared" si="69"/>
        <x:v/>
      </x:c>
      <x:c r="EO18" s="1053" t="str">
        <x:f t="shared" si="70"/>
        <x:v>ERR</x:v>
      </x:c>
      <x:c r="EP18" s="1053" t="str">
        <x:f t="shared" si="71"/>
        <x:v>ERR</x:v>
      </x:c>
      <x:c r="EQ18" s="1053" t="str">
        <x:f t="shared" si="72"/>
        <x:v/>
      </x:c>
      <x:c r="ER18" s="1053" t="str">
        <x:f t="shared" si="72"/>
        <x:v/>
      </x:c>
      <x:c r="ES18" s="1053" t="str">
        <x:f t="shared" si="73"/>
        <x:v/>
      </x:c>
      <x:c r="ET18" s="1053" t="str">
        <x:f t="shared" si="74"/>
        <x:v/>
      </x:c>
      <x:c r="EU18" s="1061">
        <x:f t="shared" si="75"/>
        <x:v>4</x:v>
      </x:c>
      <x:c r="EV18" s="1055" t="str">
        <x:f t="shared" si="76"/>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77"/>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78"/>
        <x:v/>
      </x:c>
      <x:c r="FD18" s="1052">
        <x:f t="shared" si="103"/>
        <x:v>0</x:v>
      </x:c>
      <x:c r="FE18" s="1052">
        <x:f t="shared" si="79"/>
        <x:v>0</x:v>
      </x:c>
      <x:c r="FF18" s="1052">
        <x:f t="shared" si="80"/>
        <x:v>0</x:v>
      </x:c>
      <x:c r="FG18" s="1052" t="str">
        <x:f t="shared" si="81"/>
        <x:v/>
      </x:c>
      <x:c r="FH18" s="1053" t="str">
        <x:f t="shared" si="82"/>
        <x:v/>
      </x:c>
      <x:c r="FI18" s="1052">
        <x:f t="shared" si="104"/>
        <x:v>0</x:v>
      </x:c>
      <x:c r="FJ18" s="1052">
        <x:f t="shared" si="83"/>
        <x:v>0</x:v>
      </x:c>
      <x:c r="FK18" s="1052">
        <x:f t="shared" si="84"/>
        <x:v>0</x:v>
      </x:c>
      <x:c r="FL18" s="1052" t="str">
        <x:f t="shared" si="85"/>
        <x:v/>
      </x:c>
      <x:c r="FM18" s="1053" t="str">
        <x:f t="shared" si="86"/>
        <x:v/>
      </x:c>
      <x:c r="FN18" s="1053" t="e">
        <x:f t="shared" si="87"/>
        <x:v>#VALUE!</x:v>
      </x:c>
      <x:c r="FO18" s="1062" t="e">
        <x:f t="shared" si="88"/>
        <x:v>#VALUE!</x:v>
      </x:c>
      <x:c r="FP18" s="1062" t="e">
        <x:f t="shared" si="89"/>
        <x:v>#VALUE!</x:v>
      </x:c>
      <x:c r="FQ18" s="1063" t="e">
        <x:f t="shared" si="90"/>
        <x:v>#VALUE!</x:v>
      </x:c>
      <x:c r="FR18" s="1064" t="e">
        <x:f t="shared" si="91"/>
        <x:v>#VALUE!</x:v>
      </x:c>
      <x:c r="FS18" s="1065" t="str">
        <x:f t="shared" si="92"/>
        <x:v/>
      </x:c>
      <x:c r="FT18" s="1066" t="str">
        <x:f t="shared" si="93"/>
        <x:v/>
      </x:c>
      <x:c r="FU18" s="1105">
        <x:f t="shared" si="94"/>
        <x:v>0</x:v>
      </x:c>
      <x:c r="FV18" s="1106">
        <x:f t="shared" si="95"/>
        <x:v>0</x:v>
      </x:c>
      <x:c r="GA18" s="1975">
        <x:v>59</x:v>
      </x:c>
      <x:c r="GB18" s="1976">
        <x:v>2.75</x:v>
      </x:c>
      <x:c r="GC18" s="1977">
        <x:v>-0.25</x:v>
      </x:c>
      <x:c r="GD18" s="1978">
        <x:v>-1.875</x:v>
      </x:c>
      <x:c r="GE18" s="1979">
        <x:v>-0.26169539219134702</x:v>
      </x:c>
      <x:c r="GF18" s="1980" t="str">
        <x:f t="shared" si="96"/>
        <x:v>J219</x:v>
      </x:c>
      <x:c r="GG18" s="1453"/>
      <x:c r="GH18" s="1454"/>
      <x:c r="GI18" s="1453"/>
      <x:c r="GJ18" s="1454"/>
      <x:c r="GK18" s="533">
        <x:f t="shared" si="97"/>
        <x:v>708.625</x:v>
      </x:c>
      <x:c r="GL18" s="534">
        <x:f t="shared" si="98"/>
        <x:v>708.79348626656247</x:v>
      </x:c>
      <x:c r="GM18" s="535">
        <x:f>IF(ABS(GK18-GL18)&gt;='Job Info.'!$L$22,ABS(GK18-GL18),0)</x:f>
        <x:v>0</x:v>
      </x:c>
      <x:c r="HA18" s="1658" t="s">
        <x:v>1543</x:v>
      </x:c>
      <x:c r="HB18" s="1659">
        <x:v>12</x:v>
      </x:c>
      <x:c r="HC18" s="1659" t="s">
        <x:v>1978</x:v>
      </x:c>
      <x:c r="HD18" s="1660">
        <x:v>59</x:v>
      </x:c>
      <x:c r="HE18" s="1661">
        <x:v>0.625</x:v>
      </x:c>
      <x:c r="HF18" s="1659">
        <x:v>0</x:v>
      </x:c>
      <x:c r="HG18" s="1659">
        <x:v>1.375</x:v>
      </x:c>
      <x:c r="HH18" s="1659" t="s">
        <x:v>114</x:v>
      </x:c>
      <x:c r="HI18" s="1662" t="s">
        <x:v>117</x:v>
      </x:c>
      <x:c r="HJ18" s="1659" t="s">
        <x:v>117</x:v>
      </x:c>
      <x:c r="HK18" s="1659" t="s">
        <x:v>117</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2229</x:v>
      </x:c>
      <x:c r="IB18" s="1661"/>
      <x:c r="IC18" s="1661"/>
      <x:c r="ID18" s="1661"/>
      <x:c r="IE18" s="1661"/>
      <x:c r="IF18" s="1663"/>
    </x:row>
    <x:row r="19" spans="1:240" ht="12.6" customHeight="1" x14ac:dyDescent="0.25">
      <x:c r="A19" s="1264" t="s">
        <x:v>1544</x:v>
      </x:c>
      <x:c r="B19" s="1265">
        <x:v>63</x:v>
      </x:c>
      <x:c r="C19" s="1265" t="s">
        <x:v>1978</x:v>
      </x:c>
      <x:c r="D19" s="1261">
        <x:v>59</x:v>
      </x:c>
      <x:c r="E19" s="1366">
        <x:v>0.625</x:v>
      </x:c>
      <x:c r="F19" s="1328">
        <x:v>0</x:v>
      </x:c>
      <x:c r="G19" s="1262">
        <x:v>1.375</x:v>
      </x:c>
      <x:c r="H19" s="1266" t="s">
        <x:v>114</x:v>
      </x:c>
      <x:c r="I19" s="1261" t="str">
        <x:f t="shared" si="99"/>
        <x:v/>
      </x:c>
      <x:c r="J19" s="1262" t="str">
        <x:f t="shared" si="100"/>
        <x:v/>
      </x:c>
      <x:c r="K19" s="1370" t="str">
        <x:f t="shared" si="101"/>
        <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si="105"/>
        <x:v/>
      </x:c>
      <x:c r="U19" s="1262" t="str">
        <x:f t="shared" si="106"/>
        <x:v/>
      </x:c>
      <x:c r="V19" s="1261" t="str">
        <x:f t="shared" si="107"/>
        <x:v/>
      </x:c>
      <x:c r="W19" s="1262" t="str">
        <x:f t="shared" si="108"/>
        <x:v/>
      </x:c>
      <x:c r="X19" s="1329">
        <x:f t="shared" si="109"/>
        <x:v>0</x:v>
      </x:c>
      <x:c r="Y19" s="1377" t="str">
        <x:f t="shared" si="7"/>
        <x:v/>
      </x:c>
      <x:c r="Z19" s="1378" t="str">
        <x:f t="shared" si="8"/>
        <x:v/>
      </x:c>
      <x:c r="AA19" s="2159" t="s">
        <x:v>2228</x:v>
      </x:c>
      <x:c r="AC19" s="1226" t="b">
        <x:v>0</x:v>
      </x:c>
      <x:c r="AD19" s="525">
        <x:f t="shared" si="9"/>
        <x:v>0</x:v>
      </x:c>
      <x:c r="AE19" s="526">
        <x:f t="shared" si="10"/>
        <x:v>63</x:v>
      </x:c>
      <x:c r="AF19" s="526">
        <x:f t="shared" si="11"/>
        <x:v>0</x:v>
      </x:c>
      <x:c r="AG19" s="526">
        <x:f t="shared" si="12"/>
        <x:v>0</x:v>
      </x:c>
      <x:c r="AH19" s="527">
        <x:f t="shared" si="13"/>
        <x:v>0</x:v>
      </x:c>
      <x:c r="AI19" s="528" t="b">
        <x:v>0</x:v>
      </x:c>
      <x:c r="AJ19" s="284">
        <x:f t="shared" si="14"/>
        <x:v>36</x:v>
      </x:c>
      <x:c r="AK19" s="1063" t="str">
        <x:f t="shared" si="15"/>
        <x:v>LH</x:v>
      </x:c>
      <x:c r="AL19" s="1202" t="str">
        <x:f t="shared" si="16"/>
        <x:v/>
      </x:c>
      <x:c r="AM19" s="1063">
        <x:f t="shared" si="17"/>
        <x:v>270</x:v>
      </x:c>
      <x:c r="AN19" s="1063">
        <x:f t="shared" si="18"/>
        <x:v>120</x:v>
      </x:c>
      <x:c r="AO19" s="1063" t="str">
        <x:f t="shared" si="19"/>
        <x:v/>
      </x:c>
      <x:c r="AP19" s="1063" t="b">
        <x:f>IF(ISERROR(AJ19),FALSE,IF(OR(AJ19=0,ISERROR(AL19),ISERROR(AM19),ISERROR(AN19),ISERROR(AO19)),FALSE,IF(AL19&lt;&gt;"",IF(ISERROR(VLOOKUP(SUBSTITUTE(SUBSTITUTE(C19,"R",""),"A",""),TblJoistSize!$A:$A,1,FALSE)),FALSE,TRUE),TRUE)))</x:f>
        <x:v>1</x:v>
      </x:c>
      <x:c r="AQ19" s="1305">
        <x:f t="shared" si="20"/>
        <x:v>7.375</x:v>
      </x:c>
      <x:c r="AR19" s="1305" t="b">
        <x:f t="shared" si="21"/>
        <x:v>0</x:v>
      </x:c>
      <x:c r="AS19" s="1305">
        <x:f t="shared" si="22"/>
        <x:v>6</x:v>
      </x:c>
      <x:c r="AT19" s="1305" t="b">
        <x:f t="shared" si="23"/>
        <x:v>0</x:v>
      </x:c>
      <x:c r="AU19" s="1203" t="str">
        <x:f t="shared" si="24"/>
        <x:v>LH</x:v>
      </x:c>
      <x:c r="AV19" s="1063" t="str">
        <x:f t="shared" si="25"/>
        <x:v/>
      </x:c>
      <x:c r="AW19" s="1063" t="str">
        <x:f t="shared" si="26"/>
        <x:v>LH</x:v>
      </x:c>
      <x:c r="AX19" s="1063" t="str">
        <x:f t="shared" si="102"/>
        <x:v>J220</x:v>
      </x:c>
      <x:c r="AY19" s="1306" t="b">
        <x:f t="shared" si="27"/>
        <x:v>0</x:v>
      </x:c>
      <x:c r="AZ19" s="1090" t="b">
        <x:f t="shared" si="28"/>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29"/>
        <x:v/>
      </x:c>
      <x:c r="CE19" s="935" t="str">
        <x:f t="shared" si="30"/>
        <x:v/>
      </x:c>
      <x:c r="CF19" s="1149"/>
      <x:c r="CG19" s="1150"/>
      <x:c r="CH19" s="738" t="str">
        <x:f t="shared" si="31"/>
        <x:v/>
      </x:c>
      <x:c r="CI19" s="739" t="str">
        <x:f t="shared" si="32"/>
        <x:v/>
      </x:c>
      <x:c r="CJ19" s="740" t="str">
        <x:f t="shared" si="33"/>
        <x:v/>
      </x:c>
      <x:c r="CK19" s="741" t="str">
        <x:f t="shared" si="34"/>
        <x:v/>
      </x:c>
      <x:c r="CL19" s="742" t="str">
        <x:f t="shared" si="35"/>
        <x:v/>
      </x:c>
      <x:c r="CM19" s="743" t="str">
        <x:f t="shared" si="36"/>
        <x:v/>
      </x:c>
      <x:c r="CN19" s="744" t="str">
        <x:f t="shared" si="37"/>
        <x:v/>
      </x:c>
      <x:c r="CO19" s="745" t="str">
        <x:f t="shared" si="38"/>
        <x:v/>
      </x:c>
      <x:c r="CP19" s="762" t="str">
        <x:f t="shared" si="39"/>
        <x:v/>
      </x:c>
      <x:c r="CQ19" s="763" t="str">
        <x:f t="shared" si="40"/>
        <x:v/>
      </x:c>
      <x:c r="CR19" s="953">
        <x:f t="shared" si="41"/>
        <x:v>5</x:v>
      </x:c>
      <x:c r="CS19" s="954">
        <x:f t="shared" si="42"/>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3"/>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4"/>
        <x:v>0</x:v>
      </x:c>
      <x:c r="DO19" s="1049">
        <x:f t="shared" si="45"/>
        <x:v>0</x:v>
      </x:c>
      <x:c r="DP19" s="1053" t="str">
        <x:f t="shared" si="46"/>
        <x:v/>
      </x:c>
      <x:c r="DQ19" s="1053" t="str">
        <x:f t="shared" si="47"/>
        <x:v/>
      </x:c>
      <x:c r="DR19" s="1053" t="str">
        <x:f t="shared" si="48"/>
        <x:v/>
      </x:c>
      <x:c r="DS19" s="1052">
        <x:f t="shared" si="49"/>
        <x:v>0</x:v>
      </x:c>
      <x:c r="DT19" s="1052">
        <x:f t="shared" si="50"/>
        <x:v>0</x:v>
      </x:c>
      <x:c r="DU19" s="1052" t="str">
        <x:f t="shared" si="51"/>
        <x:v/>
      </x:c>
      <x:c r="DV19" s="1053" t="str">
        <x:f t="shared" si="52"/>
        <x:v/>
      </x:c>
      <x:c r="DW19" s="1053" t="str">
        <x:f t="shared" si="53"/>
        <x:v/>
      </x:c>
      <x:c r="DX19" s="1269">
        <x:f t="shared" si="54"/>
        <x:v>0</x:v>
      </x:c>
      <x:c r="DY19" s="1053">
        <x:f t="shared" si="55"/>
        <x:v>0</x:v>
      </x:c>
      <x:c r="DZ19" s="1052">
        <x:f t="shared" si="56"/>
        <x:v>0</x:v>
      </x:c>
      <x:c r="EA19" s="1052" t="str">
        <x:f t="shared" si="57"/>
        <x:v/>
      </x:c>
      <x:c r="EB19" s="1053" t="str">
        <x:f t="shared" si="58"/>
        <x:v/>
      </x:c>
      <x:c r="EC19" s="1053" t="str">
        <x:f t="shared" si="59"/>
        <x:v/>
      </x:c>
      <x:c r="ED19" s="1269">
        <x:f t="shared" si="60"/>
        <x:v>0</x:v>
      </x:c>
      <x:c r="EE19" s="1090" t="str">
        <x:f t="shared" si="61"/>
        <x:v/>
      </x:c>
      <x:c r="EF19" s="1053" t="str">
        <x:f t="shared" si="62"/>
        <x:v/>
      </x:c>
      <x:c r="EG19" s="1053" t="str">
        <x:f t="shared" si="63"/>
        <x:v/>
      </x:c>
      <x:c r="EH19" s="1053" t="str">
        <x:f t="shared" si="64"/>
        <x:v>ERR</x:v>
      </x:c>
      <x:c r="EI19" s="1053" t="str">
        <x:f t="shared" si="65"/>
        <x:v>ERR</x:v>
      </x:c>
      <x:c r="EJ19" s="1053" t="str">
        <x:f t="shared" si="66"/>
        <x:v/>
      </x:c>
      <x:c r="EK19" s="1053" t="str">
        <x:f t="shared" si="66"/>
        <x:v/>
      </x:c>
      <x:c r="EL19" s="1090" t="str">
        <x:f t="shared" si="67"/>
        <x:v/>
      </x:c>
      <x:c r="EM19" s="1053" t="str">
        <x:f t="shared" si="68"/>
        <x:v/>
      </x:c>
      <x:c r="EN19" s="1053" t="str">
        <x:f t="shared" si="69"/>
        <x:v/>
      </x:c>
      <x:c r="EO19" s="1053" t="str">
        <x:f t="shared" si="70"/>
        <x:v>ERR</x:v>
      </x:c>
      <x:c r="EP19" s="1053" t="str">
        <x:f t="shared" si="71"/>
        <x:v>ERR</x:v>
      </x:c>
      <x:c r="EQ19" s="1053" t="str">
        <x:f t="shared" si="72"/>
        <x:v/>
      </x:c>
      <x:c r="ER19" s="1053" t="str">
        <x:f t="shared" si="72"/>
        <x:v/>
      </x:c>
      <x:c r="ES19" s="1053" t="str">
        <x:f t="shared" si="73"/>
        <x:v/>
      </x:c>
      <x:c r="ET19" s="1053" t="str">
        <x:f t="shared" si="74"/>
        <x:v/>
      </x:c>
      <x:c r="EU19" s="1061">
        <x:f t="shared" si="75"/>
        <x:v>4</x:v>
      </x:c>
      <x:c r="EV19" s="1055" t="str">
        <x:f t="shared" si="76"/>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77"/>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78"/>
        <x:v/>
      </x:c>
      <x:c r="FD19" s="1052">
        <x:f t="shared" si="103"/>
        <x:v>0</x:v>
      </x:c>
      <x:c r="FE19" s="1052">
        <x:f t="shared" si="79"/>
        <x:v>0</x:v>
      </x:c>
      <x:c r="FF19" s="1052">
        <x:f t="shared" si="80"/>
        <x:v>0</x:v>
      </x:c>
      <x:c r="FG19" s="1052" t="str">
        <x:f t="shared" si="81"/>
        <x:v/>
      </x:c>
      <x:c r="FH19" s="1053" t="str">
        <x:f t="shared" si="82"/>
        <x:v/>
      </x:c>
      <x:c r="FI19" s="1052">
        <x:f t="shared" si="104"/>
        <x:v>0</x:v>
      </x:c>
      <x:c r="FJ19" s="1052">
        <x:f t="shared" si="83"/>
        <x:v>0</x:v>
      </x:c>
      <x:c r="FK19" s="1052">
        <x:f t="shared" si="84"/>
        <x:v>0</x:v>
      </x:c>
      <x:c r="FL19" s="1052" t="str">
        <x:f t="shared" si="85"/>
        <x:v/>
      </x:c>
      <x:c r="FM19" s="1053" t="str">
        <x:f t="shared" si="86"/>
        <x:v/>
      </x:c>
      <x:c r="FN19" s="1053" t="e">
        <x:f t="shared" si="87"/>
        <x:v>#VALUE!</x:v>
      </x:c>
      <x:c r="FO19" s="1062" t="e">
        <x:f t="shared" si="88"/>
        <x:v>#VALUE!</x:v>
      </x:c>
      <x:c r="FP19" s="1062" t="e">
        <x:f t="shared" si="89"/>
        <x:v>#VALUE!</x:v>
      </x:c>
      <x:c r="FQ19" s="1063" t="e">
        <x:f t="shared" si="90"/>
        <x:v>#VALUE!</x:v>
      </x:c>
      <x:c r="FR19" s="1064" t="e">
        <x:f t="shared" si="91"/>
        <x:v>#VALUE!</x:v>
      </x:c>
      <x:c r="FS19" s="1065" t="str">
        <x:f t="shared" si="92"/>
        <x:v/>
      </x:c>
      <x:c r="FT19" s="1066" t="str">
        <x:f t="shared" si="93"/>
        <x:v/>
      </x:c>
      <x:c r="FU19" s="1105">
        <x:f t="shared" si="94"/>
        <x:v>0</x:v>
      </x:c>
      <x:c r="FV19" s="1106">
        <x:f t="shared" si="95"/>
        <x:v>0</x:v>
      </x:c>
      <x:c r="GA19" s="1975">
        <x:v>59</x:v>
      </x:c>
      <x:c r="GB19" s="1976">
        <x:v>2.75</x:v>
      </x:c>
      <x:c r="GC19" s="1977">
        <x:v>-0.25</x:v>
      </x:c>
      <x:c r="GD19" s="1978">
        <x:v>-1.875</x:v>
      </x:c>
      <x:c r="GE19" s="1979">
        <x:v>-0.26169539219134702</x:v>
      </x:c>
      <x:c r="GF19" s="1980" t="str">
        <x:f t="shared" si="96"/>
        <x:v>J220</x:v>
      </x:c>
      <x:c r="GG19" s="1453"/>
      <x:c r="GH19" s="1454"/>
      <x:c r="GI19" s="1453"/>
      <x:c r="GJ19" s="1454"/>
      <x:c r="GK19" s="533">
        <x:f t="shared" si="97"/>
        <x:v>708.625</x:v>
      </x:c>
      <x:c r="GL19" s="534">
        <x:f t="shared" si="98"/>
        <x:v>708.79348626656247</x:v>
      </x:c>
      <x:c r="GM19" s="535">
        <x:f>IF(ABS(GK19-GL19)&gt;='Job Info.'!$L$22,ABS(GK19-GL19),0)</x:f>
        <x:v>0</x:v>
      </x:c>
      <x:c r="HA19" s="1658" t="s">
        <x:v>1544</x:v>
      </x:c>
      <x:c r="HB19" s="1659">
        <x:v>63</x:v>
      </x:c>
      <x:c r="HC19" s="1659" t="s">
        <x:v>1978</x:v>
      </x:c>
      <x:c r="HD19" s="1660">
        <x:v>59</x:v>
      </x:c>
      <x:c r="HE19" s="1661">
        <x:v>0.625</x:v>
      </x:c>
      <x:c r="HF19" s="1659">
        <x:v>0</x:v>
      </x:c>
      <x:c r="HG19" s="1659">
        <x:v>1.375</x:v>
      </x:c>
      <x:c r="HH19" s="1659" t="s">
        <x:v>114</x:v>
      </x:c>
      <x:c r="HI19" s="1662" t="s">
        <x:v>117</x:v>
      </x:c>
      <x:c r="HJ19" s="1659" t="s">
        <x:v>117</x:v>
      </x:c>
      <x:c r="HK19" s="1659" t="s">
        <x:v>117</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2228</x:v>
      </x:c>
      <x:c r="IB19" s="1661"/>
      <x:c r="IC19" s="1661"/>
      <x:c r="ID19" s="1661"/>
      <x:c r="IE19" s="1661"/>
      <x:c r="IF19" s="1663"/>
    </x:row>
    <x:row r="20" spans="1:240" ht="12.6" customHeight="1" x14ac:dyDescent="0.25">
      <x:c r="A20" s="1264" t="s">
        <x:v>1545</x:v>
      </x:c>
      <x:c r="B20" s="1265">
        <x:v>1</x:v>
      </x:c>
      <x:c r="C20" s="1265" t="s">
        <x:v>1978</x:v>
      </x:c>
      <x:c r="D20" s="1261">
        <x:v>59</x:v>
      </x:c>
      <x:c r="E20" s="1366">
        <x:v>0.625</x:v>
      </x:c>
      <x:c r="F20" s="1328">
        <x:v>0</x:v>
      </x:c>
      <x:c r="G20" s="1262">
        <x:v>1.375</x:v>
      </x:c>
      <x:c r="H20" s="1266" t="s">
        <x:v>114</x:v>
      </x:c>
      <x:c r="I20" s="1261" t="str">
        <x:f t="shared" si="99"/>
        <x:v/>
      </x:c>
      <x:c r="J20" s="1262" t="str">
        <x:f t="shared" si="100"/>
        <x:v/>
      </x:c>
      <x:c r="K20" s="1370" t="str">
        <x:f t="shared" si="101"/>
        <x:v/>
      </x:c>
      <x:c r="L20" s="1327">
        <x:v>3</x:v>
      </x:c>
      <x:c r="M20" s="1329">
        <x:v>3</x:v>
      </x:c>
      <x:c r="N20" s="1263" t="str">
        <x:f t="shared" si="1"/>
        <x:v/>
      </x:c>
      <x:c r="O20" s="1262" t="str">
        <x:f t="shared" si="2"/>
        <x:v/>
      </x:c>
      <x:c r="P20" s="1260" t="str">
        <x:f t="shared" si="3"/>
        <x:v/>
      </x:c>
      <x:c r="Q20" s="1261" t="str">
        <x:f t="shared" si="4"/>
        <x:v/>
      </x:c>
      <x:c r="R20" s="1262" t="str">
        <x:f t="shared" si="5"/>
        <x:v/>
      </x:c>
      <x:c r="S20" s="1375" t="str">
        <x:f t="shared" si="6"/>
        <x:v/>
      </x:c>
      <x:c r="T20" s="1328" t="str">
        <x:f t="shared" si="105"/>
        <x:v/>
      </x:c>
      <x:c r="U20" s="1262" t="str">
        <x:f t="shared" si="106"/>
        <x:v/>
      </x:c>
      <x:c r="V20" s="1261" t="str">
        <x:f t="shared" si="107"/>
        <x:v/>
      </x:c>
      <x:c r="W20" s="1262" t="str">
        <x:f t="shared" si="108"/>
        <x:v/>
      </x:c>
      <x:c r="X20" s="1329">
        <x:f t="shared" si="109"/>
        <x:v>0</x:v>
      </x:c>
      <x:c r="Y20" s="1377" t="str">
        <x:f t="shared" si="7"/>
        <x:v/>
      </x:c>
      <x:c r="Z20" s="1378" t="str">
        <x:f t="shared" si="8"/>
        <x:v/>
      </x:c>
      <x:c r="AA20" s="2159" t="s">
        <x:v>2230</x:v>
      </x:c>
      <x:c r="AC20" s="1226" t="b">
        <x:v>0</x:v>
      </x:c>
      <x:c r="AD20" s="525">
        <x:f t="shared" si="9"/>
        <x:v>0</x:v>
      </x:c>
      <x:c r="AE20" s="526">
        <x:f t="shared" si="10"/>
        <x:v>1</x:v>
      </x:c>
      <x:c r="AF20" s="526">
        <x:f t="shared" si="11"/>
        <x:v>0</x:v>
      </x:c>
      <x:c r="AG20" s="526">
        <x:f t="shared" si="12"/>
        <x:v>0</x:v>
      </x:c>
      <x:c r="AH20" s="527">
        <x:f t="shared" si="13"/>
        <x:v>0</x:v>
      </x:c>
      <x:c r="AI20" s="528" t="b">
        <x:v>0</x:v>
      </x:c>
      <x:c r="AJ20" s="284">
        <x:f t="shared" si="14"/>
        <x:v>36</x:v>
      </x:c>
      <x:c r="AK20" s="1063" t="str">
        <x:f t="shared" si="15"/>
        <x:v>LH</x:v>
      </x:c>
      <x:c r="AL20" s="1202" t="str">
        <x:f t="shared" si="16"/>
        <x:v/>
      </x:c>
      <x:c r="AM20" s="1063">
        <x:f t="shared" si="17"/>
        <x:v>270</x:v>
      </x:c>
      <x:c r="AN20" s="1063">
        <x:f t="shared" si="18"/>
        <x:v>120</x:v>
      </x:c>
      <x:c r="AO20" s="1063" t="str">
        <x:f t="shared" si="19"/>
        <x:v/>
      </x:c>
      <x:c r="AP20" s="1063" t="b">
        <x:f>IF(ISERROR(AJ20),FALSE,IF(OR(AJ20=0,ISERROR(AL20),ISERROR(AM20),ISERROR(AN20),ISERROR(AO20)),FALSE,IF(AL20&lt;&gt;"",IF(ISERROR(VLOOKUP(SUBSTITUTE(SUBSTITUTE(C20,"R",""),"A",""),TblJoistSize!$A:$A,1,FALSE)),FALSE,TRUE),TRUE)))</x:f>
        <x:v>1</x:v>
      </x:c>
      <x:c r="AQ20" s="1305">
        <x:f t="shared" si="20"/>
        <x:v>7.375</x:v>
      </x:c>
      <x:c r="AR20" s="1305" t="b">
        <x:f t="shared" si="21"/>
        <x:v>0</x:v>
      </x:c>
      <x:c r="AS20" s="1305">
        <x:f t="shared" si="22"/>
        <x:v>6</x:v>
      </x:c>
      <x:c r="AT20" s="1305" t="b">
        <x:f t="shared" si="23"/>
        <x:v>0</x:v>
      </x:c>
      <x:c r="AU20" s="1203" t="str">
        <x:f t="shared" si="24"/>
        <x:v>LH</x:v>
      </x:c>
      <x:c r="AV20" s="1063" t="str">
        <x:f t="shared" si="25"/>
        <x:v/>
      </x:c>
      <x:c r="AW20" s="1063" t="str">
        <x:f t="shared" si="26"/>
        <x:v>LH</x:v>
      </x:c>
      <x:c r="AX20" s="1063" t="str">
        <x:f t="shared" si="102"/>
        <x:v>J221</x:v>
      </x:c>
      <x:c r="AY20" s="1306" t="b">
        <x:f t="shared" si="27"/>
        <x:v>0</x:v>
      </x:c>
      <x:c r="AZ20" s="1090" t="b">
        <x:f t="shared" si="28"/>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29"/>
        <x:v/>
      </x:c>
      <x:c r="CE20" s="935" t="str">
        <x:f t="shared" si="30"/>
        <x:v/>
      </x:c>
      <x:c r="CF20" s="1149"/>
      <x:c r="CG20" s="1150"/>
      <x:c r="CH20" s="738" t="str">
        <x:f t="shared" si="31"/>
        <x:v/>
      </x:c>
      <x:c r="CI20" s="739" t="str">
        <x:f t="shared" si="32"/>
        <x:v/>
      </x:c>
      <x:c r="CJ20" s="740" t="str">
        <x:f t="shared" si="33"/>
        <x:v/>
      </x:c>
      <x:c r="CK20" s="741" t="str">
        <x:f t="shared" si="34"/>
        <x:v/>
      </x:c>
      <x:c r="CL20" s="742" t="str">
        <x:f t="shared" si="35"/>
        <x:v/>
      </x:c>
      <x:c r="CM20" s="743" t="str">
        <x:f t="shared" si="36"/>
        <x:v/>
      </x:c>
      <x:c r="CN20" s="744" t="str">
        <x:f t="shared" si="37"/>
        <x:v/>
      </x:c>
      <x:c r="CO20" s="745" t="str">
        <x:f t="shared" si="38"/>
        <x:v/>
      </x:c>
      <x:c r="CP20" s="762" t="str">
        <x:f t="shared" si="39"/>
        <x:v/>
      </x:c>
      <x:c r="CQ20" s="763" t="str">
        <x:f t="shared" si="40"/>
        <x:v/>
      </x:c>
      <x:c r="CR20" s="953">
        <x:f t="shared" si="41"/>
        <x:v>5</x:v>
      </x:c>
      <x:c r="CS20" s="954">
        <x:f t="shared" si="42"/>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3"/>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4"/>
        <x:v>0</x:v>
      </x:c>
      <x:c r="DO20" s="1049">
        <x:f t="shared" si="45"/>
        <x:v>0</x:v>
      </x:c>
      <x:c r="DP20" s="1053" t="str">
        <x:f t="shared" si="46"/>
        <x:v/>
      </x:c>
      <x:c r="DQ20" s="1053" t="str">
        <x:f t="shared" si="47"/>
        <x:v/>
      </x:c>
      <x:c r="DR20" s="1053" t="str">
        <x:f t="shared" si="48"/>
        <x:v/>
      </x:c>
      <x:c r="DS20" s="1052">
        <x:f t="shared" si="49"/>
        <x:v>0</x:v>
      </x:c>
      <x:c r="DT20" s="1052">
        <x:f t="shared" si="50"/>
        <x:v>0</x:v>
      </x:c>
      <x:c r="DU20" s="1052" t="str">
        <x:f t="shared" si="51"/>
        <x:v/>
      </x:c>
      <x:c r="DV20" s="1053" t="str">
        <x:f t="shared" si="52"/>
        <x:v/>
      </x:c>
      <x:c r="DW20" s="1053" t="str">
        <x:f t="shared" si="53"/>
        <x:v/>
      </x:c>
      <x:c r="DX20" s="1269">
        <x:f t="shared" si="54"/>
        <x:v>0</x:v>
      </x:c>
      <x:c r="DY20" s="1053">
        <x:f t="shared" si="55"/>
        <x:v>0</x:v>
      </x:c>
      <x:c r="DZ20" s="1052">
        <x:f t="shared" si="56"/>
        <x:v>0</x:v>
      </x:c>
      <x:c r="EA20" s="1052" t="str">
        <x:f t="shared" si="57"/>
        <x:v/>
      </x:c>
      <x:c r="EB20" s="1053" t="str">
        <x:f t="shared" si="58"/>
        <x:v/>
      </x:c>
      <x:c r="EC20" s="1053" t="str">
        <x:f t="shared" si="59"/>
        <x:v/>
      </x:c>
      <x:c r="ED20" s="1269">
        <x:f t="shared" si="60"/>
        <x:v>0</x:v>
      </x:c>
      <x:c r="EE20" s="1090" t="str">
        <x:f t="shared" si="61"/>
        <x:v/>
      </x:c>
      <x:c r="EF20" s="1053" t="str">
        <x:f t="shared" si="62"/>
        <x:v/>
      </x:c>
      <x:c r="EG20" s="1053" t="str">
        <x:f t="shared" si="63"/>
        <x:v/>
      </x:c>
      <x:c r="EH20" s="1053" t="str">
        <x:f t="shared" si="64"/>
        <x:v>ERR</x:v>
      </x:c>
      <x:c r="EI20" s="1053" t="str">
        <x:f t="shared" si="65"/>
        <x:v>ERR</x:v>
      </x:c>
      <x:c r="EJ20" s="1053" t="str">
        <x:f t="shared" si="66"/>
        <x:v/>
      </x:c>
      <x:c r="EK20" s="1053" t="str">
        <x:f t="shared" si="66"/>
        <x:v/>
      </x:c>
      <x:c r="EL20" s="1090" t="str">
        <x:f t="shared" si="67"/>
        <x:v/>
      </x:c>
      <x:c r="EM20" s="1053" t="str">
        <x:f t="shared" si="68"/>
        <x:v/>
      </x:c>
      <x:c r="EN20" s="1053" t="str">
        <x:f t="shared" si="69"/>
        <x:v/>
      </x:c>
      <x:c r="EO20" s="1053" t="str">
        <x:f t="shared" si="70"/>
        <x:v>ERR</x:v>
      </x:c>
      <x:c r="EP20" s="1053" t="str">
        <x:f t="shared" si="71"/>
        <x:v>ERR</x:v>
      </x:c>
      <x:c r="EQ20" s="1053" t="str">
        <x:f t="shared" si="72"/>
        <x:v/>
      </x:c>
      <x:c r="ER20" s="1053" t="str">
        <x:f t="shared" si="72"/>
        <x:v/>
      </x:c>
      <x:c r="ES20" s="1053" t="str">
        <x:f t="shared" si="73"/>
        <x:v/>
      </x:c>
      <x:c r="ET20" s="1053" t="str">
        <x:f t="shared" si="74"/>
        <x:v/>
      </x:c>
      <x:c r="EU20" s="1061">
        <x:f t="shared" si="75"/>
        <x:v>4</x:v>
      </x:c>
      <x:c r="EV20" s="1055" t="str">
        <x:f t="shared" si="76"/>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77"/>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78"/>
        <x:v/>
      </x:c>
      <x:c r="FD20" s="1052">
        <x:f t="shared" si="103"/>
        <x:v>0</x:v>
      </x:c>
      <x:c r="FE20" s="1052">
        <x:f t="shared" si="79"/>
        <x:v>0</x:v>
      </x:c>
      <x:c r="FF20" s="1052">
        <x:f t="shared" si="80"/>
        <x:v>0</x:v>
      </x:c>
      <x:c r="FG20" s="1052" t="str">
        <x:f t="shared" si="81"/>
        <x:v/>
      </x:c>
      <x:c r="FH20" s="1053" t="str">
        <x:f t="shared" si="82"/>
        <x:v/>
      </x:c>
      <x:c r="FI20" s="1052">
        <x:f t="shared" si="104"/>
        <x:v>0</x:v>
      </x:c>
      <x:c r="FJ20" s="1052">
        <x:f t="shared" si="83"/>
        <x:v>0</x:v>
      </x:c>
      <x:c r="FK20" s="1052">
        <x:f t="shared" si="84"/>
        <x:v>0</x:v>
      </x:c>
      <x:c r="FL20" s="1052" t="str">
        <x:f t="shared" si="85"/>
        <x:v/>
      </x:c>
      <x:c r="FM20" s="1053" t="str">
        <x:f t="shared" si="86"/>
        <x:v/>
      </x:c>
      <x:c r="FN20" s="1053" t="e">
        <x:f t="shared" si="87"/>
        <x:v>#VALUE!</x:v>
      </x:c>
      <x:c r="FO20" s="1062" t="e">
        <x:f t="shared" si="88"/>
        <x:v>#VALUE!</x:v>
      </x:c>
      <x:c r="FP20" s="1062" t="e">
        <x:f t="shared" si="89"/>
        <x:v>#VALUE!</x:v>
      </x:c>
      <x:c r="FQ20" s="1063" t="e">
        <x:f t="shared" si="90"/>
        <x:v>#VALUE!</x:v>
      </x:c>
      <x:c r="FR20" s="1064" t="e">
        <x:f t="shared" si="91"/>
        <x:v>#VALUE!</x:v>
      </x:c>
      <x:c r="FS20" s="1065" t="str">
        <x:f t="shared" si="92"/>
        <x:v/>
      </x:c>
      <x:c r="FT20" s="1066" t="str">
        <x:f t="shared" si="93"/>
        <x:v/>
      </x:c>
      <x:c r="FU20" s="1105">
        <x:f t="shared" si="94"/>
        <x:v>0</x:v>
      </x:c>
      <x:c r="FV20" s="1106">
        <x:f t="shared" si="95"/>
        <x:v>0</x:v>
      </x:c>
      <x:c r="GA20" s="1975">
        <x:v>59</x:v>
      </x:c>
      <x:c r="GB20" s="1976">
        <x:v>2.75</x:v>
      </x:c>
      <x:c r="GC20" s="1977">
        <x:v>-0.25</x:v>
      </x:c>
      <x:c r="GD20" s="1978">
        <x:v>-1.875</x:v>
      </x:c>
      <x:c r="GE20" s="1979">
        <x:v>-0.26169539219134702</x:v>
      </x:c>
      <x:c r="GF20" s="1980" t="str">
        <x:f t="shared" si="96"/>
        <x:v>J221</x:v>
      </x:c>
      <x:c r="GG20" s="1453"/>
      <x:c r="GH20" s="1454"/>
      <x:c r="GI20" s="1453"/>
      <x:c r="GJ20" s="1454"/>
      <x:c r="GK20" s="533">
        <x:f t="shared" si="97"/>
        <x:v>708.625</x:v>
      </x:c>
      <x:c r="GL20" s="534">
        <x:f t="shared" si="98"/>
        <x:v>708.79348626656247</x:v>
      </x:c>
      <x:c r="GM20" s="535">
        <x:f>IF(ABS(GK20-GL20)&gt;='Job Info.'!$L$22,ABS(GK20-GL20),0)</x:f>
        <x:v>0</x:v>
      </x:c>
      <x:c r="HA20" s="1658" t="s">
        <x:v>1545</x:v>
      </x:c>
      <x:c r="HB20" s="1659">
        <x:v>1</x:v>
      </x:c>
      <x:c r="HC20" s="1659" t="s">
        <x:v>1978</x:v>
      </x:c>
      <x:c r="HD20" s="1660">
        <x:v>59</x:v>
      </x:c>
      <x:c r="HE20" s="1661">
        <x:v>0.625</x:v>
      </x:c>
      <x:c r="HF20" s="1659">
        <x:v>0</x:v>
      </x:c>
      <x:c r="HG20" s="1659">
        <x:v>1.375</x:v>
      </x:c>
      <x:c r="HH20" s="1659" t="s">
        <x:v>114</x:v>
      </x:c>
      <x:c r="HI20" s="1662" t="s">
        <x:v>117</x:v>
      </x:c>
      <x:c r="HJ20" s="1659" t="s">
        <x:v>117</x:v>
      </x:c>
      <x:c r="HK20" s="1659" t="s">
        <x:v>117</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2230</x:v>
      </x:c>
      <x:c r="IB20" s="1661"/>
      <x:c r="IC20" s="1661"/>
      <x:c r="ID20" s="1661"/>
      <x:c r="IE20" s="1661"/>
      <x:c r="IF20" s="1663"/>
    </x:row>
    <x:row r="21" spans="1:240" ht="12.6" customHeight="1" x14ac:dyDescent="0.25">
      <x:c r="A21" s="1264" t="s">
        <x:v>1546</x:v>
      </x:c>
      <x:c r="B21" s="1265">
        <x:v>1</x:v>
      </x:c>
      <x:c r="C21" s="1265" t="s">
        <x:v>1978</x:v>
      </x:c>
      <x:c r="D21" s="1261">
        <x:v>58</x:v>
      </x:c>
      <x:c r="E21" s="1366">
        <x:v>11.875</x:v>
      </x:c>
      <x:c r="F21" s="1328">
        <x:v>0</x:v>
      </x:c>
      <x:c r="G21" s="1262">
        <x:v>0.625</x:v>
      </x:c>
      <x:c r="H21" s="1266" t="s">
        <x:v>114</x:v>
      </x:c>
      <x:c r="I21" s="1261" t="str">
        <x:f t="shared" si="99"/>
        <x:v/>
      </x:c>
      <x:c r="J21" s="1262" t="str">
        <x:f t="shared" si="100"/>
        <x:v/>
      </x:c>
      <x:c r="K21" s="1370" t="str">
        <x:f t="shared" si="101"/>
        <x:v/>
      </x:c>
      <x:c r="L21" s="1327">
        <x:v>3</x:v>
      </x:c>
      <x:c r="M21" s="1329">
        <x:v>3</x:v>
      </x:c>
      <x:c r="N21" s="1263">
        <x:v>0</x:v>
      </x:c>
      <x:c r="O21" s="1262">
        <x:v>6.75</x:v>
      </x:c>
      <x:c r="P21" s="1260">
        <x:v>2</x:v>
      </x:c>
      <x:c r="Q21" s="1261" t="str">
        <x:f t="shared" si="4"/>
        <x:v/>
      </x:c>
      <x:c r="R21" s="1262" t="str">
        <x:f t="shared" si="5"/>
        <x:v/>
      </x:c>
      <x:c r="S21" s="1375" t="str">
        <x:f t="shared" si="6"/>
        <x:v/>
      </x:c>
      <x:c r="T21" s="1328">
        <x:v>0</x:v>
      </x:c>
      <x:c r="U21" s="1262">
        <x:v>1.5</x:v>
      </x:c>
      <x:c r="V21" s="1261">
        <x:v>0</x:v>
      </x:c>
      <x:c r="W21" s="1262">
        <x:v>1.125</x:v>
      </x:c>
      <x:c r="X21" s="1329">
        <x:v>4</x:v>
      </x:c>
      <x:c r="Y21" s="1377" t="str">
        <x:f t="shared" si="7"/>
        <x:v/>
      </x:c>
      <x:c r="Z21" s="1378" t="str">
        <x:f t="shared" si="8"/>
        <x:v/>
      </x:c>
      <x:c r="AA21" s="2159" t="s">
        <x:v>2231</x:v>
      </x:c>
      <x:c r="AC21" s="1226" t="b">
        <x:v>0</x:v>
      </x:c>
      <x:c r="AD21" s="525">
        <x:f t="shared" si="9"/>
        <x:v>0</x:v>
      </x:c>
      <x:c r="AE21" s="526">
        <x:f t="shared" si="10"/>
        <x:v>1</x:v>
      </x:c>
      <x:c r="AF21" s="526">
        <x:f t="shared" si="11"/>
        <x:v>0</x:v>
      </x:c>
      <x:c r="AG21" s="526">
        <x:f t="shared" si="12"/>
        <x:v>0</x:v>
      </x:c>
      <x:c r="AH21" s="527">
        <x:f t="shared" si="13"/>
        <x:v>0</x:v>
      </x:c>
      <x:c r="AI21" s="528" t="b">
        <x:v>0</x:v>
      </x:c>
      <x:c r="AJ21" s="284">
        <x:f t="shared" si="14"/>
        <x:v>36</x:v>
      </x:c>
      <x:c r="AK21" s="1063" t="str">
        <x:f t="shared" si="15"/>
        <x:v>LH</x:v>
      </x:c>
      <x:c r="AL21" s="1202" t="str">
        <x:f t="shared" si="16"/>
        <x:v/>
      </x:c>
      <x:c r="AM21" s="1063">
        <x:f t="shared" si="17"/>
        <x:v>270</x:v>
      </x:c>
      <x:c r="AN21" s="1063">
        <x:f t="shared" si="18"/>
        <x:v>120</x:v>
      </x:c>
      <x:c r="AO21" s="1063" t="str">
        <x:f t="shared" si="19"/>
        <x:v/>
      </x:c>
      <x:c r="AP21" s="1063" t="b">
        <x:f>IF(ISERROR(AJ21),FALSE,IF(OR(AJ21=0,ISERROR(AL21),ISERROR(AM21),ISERROR(AN21),ISERROR(AO21)),FALSE,IF(AL21&lt;&gt;"",IF(ISERROR(VLOOKUP(SUBSTITUTE(SUBSTITUTE(C21,"R",""),"A",""),TblJoistSize!$A:$A,1,FALSE)),FALSE,TRUE),TRUE)))</x:f>
        <x:v>1</x:v>
      </x:c>
      <x:c r="AQ21" s="1305">
        <x:f t="shared" si="20"/>
        <x:v>6.625</x:v>
      </x:c>
      <x:c r="AR21" s="1305" t="b">
        <x:f t="shared" si="21"/>
        <x:v>1</x:v>
      </x:c>
      <x:c r="AS21" s="1305">
        <x:f t="shared" si="22"/>
        <x:v>6</x:v>
      </x:c>
      <x:c r="AT21" s="1305" t="b">
        <x:f t="shared" si="23"/>
        <x:v>1</x:v>
      </x:c>
      <x:c r="AU21" s="1203" t="str">
        <x:f t="shared" si="24"/>
        <x:v>LH</x:v>
      </x:c>
      <x:c r="AV21" s="1063" t="str">
        <x:f t="shared" si="25"/>
        <x:v/>
      </x:c>
      <x:c r="AW21" s="1063" t="str">
        <x:f t="shared" si="26"/>
        <x:v>LH</x:v>
      </x:c>
      <x:c r="AX21" s="1063" t="str">
        <x:f t="shared" si="102"/>
        <x:v>TJ222</x:v>
      </x:c>
      <x:c r="AY21" s="1306" t="b">
        <x:f t="shared" si="27"/>
        <x:v>0</x:v>
      </x:c>
      <x:c r="AZ21" s="1090" t="b">
        <x:f t="shared" si="28"/>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29"/>
        <x:v/>
      </x:c>
      <x:c r="CE21" s="1812" t="str">
        <x:f t="shared" si="30"/>
        <x:v/>
      </x:c>
      <x:c r="CF21" s="1813"/>
      <x:c r="CG21" s="1814"/>
      <x:c r="CH21" s="738" t="str">
        <x:f t="shared" si="31"/>
        <x:v/>
      </x:c>
      <x:c r="CI21" s="739" t="str">
        <x:f t="shared" si="32"/>
        <x:v/>
      </x:c>
      <x:c r="CJ21" s="740" t="str">
        <x:f t="shared" si="33"/>
        <x:v/>
      </x:c>
      <x:c r="CK21" s="741" t="str">
        <x:f t="shared" si="34"/>
        <x:v/>
      </x:c>
      <x:c r="CL21" s="742" t="str">
        <x:f t="shared" si="35"/>
        <x:v/>
      </x:c>
      <x:c r="CM21" s="743" t="str">
        <x:f t="shared" si="36"/>
        <x:v/>
      </x:c>
      <x:c r="CN21" s="744" t="str">
        <x:f t="shared" si="37"/>
        <x:v/>
      </x:c>
      <x:c r="CO21" s="745" t="str">
        <x:f t="shared" si="38"/>
        <x:v/>
      </x:c>
      <x:c r="CP21" s="762" t="str">
        <x:f t="shared" si="39"/>
        <x:v/>
      </x:c>
      <x:c r="CQ21" s="763" t="str">
        <x:f t="shared" si="40"/>
        <x:v/>
      </x:c>
      <x:c r="CR21" s="953">
        <x:f t="shared" si="41"/>
        <x:v>5</x:v>
      </x:c>
      <x:c r="CS21" s="954">
        <x:f t="shared" si="42"/>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3"/>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4"/>
        <x:v>0</x:v>
      </x:c>
      <x:c r="DO21" s="1049">
        <x:f t="shared" si="45"/>
        <x:v>0</x:v>
      </x:c>
      <x:c r="DP21" s="1053" t="str">
        <x:f t="shared" si="46"/>
        <x:v/>
      </x:c>
      <x:c r="DQ21" s="1053" t="str">
        <x:f t="shared" si="47"/>
        <x:v/>
      </x:c>
      <x:c r="DR21" s="1053" t="str">
        <x:f t="shared" si="48"/>
        <x:v/>
      </x:c>
      <x:c r="DS21" s="1052">
        <x:f t="shared" si="49"/>
        <x:v>0</x:v>
      </x:c>
      <x:c r="DT21" s="1052">
        <x:f t="shared" si="50"/>
        <x:v>0</x:v>
      </x:c>
      <x:c r="DU21" s="1052" t="str">
        <x:f t="shared" si="51"/>
        <x:v/>
      </x:c>
      <x:c r="DV21" s="1053" t="str">
        <x:f t="shared" si="52"/>
        <x:v/>
      </x:c>
      <x:c r="DW21" s="1053" t="str">
        <x:f t="shared" si="53"/>
        <x:v/>
      </x:c>
      <x:c r="DX21" s="1269">
        <x:f t="shared" si="54"/>
        <x:v>0</x:v>
      </x:c>
      <x:c r="DY21" s="1053">
        <x:f t="shared" si="55"/>
        <x:v>0</x:v>
      </x:c>
      <x:c r="DZ21" s="1052">
        <x:f t="shared" si="56"/>
        <x:v>0</x:v>
      </x:c>
      <x:c r="EA21" s="1052" t="str">
        <x:f t="shared" si="57"/>
        <x:v/>
      </x:c>
      <x:c r="EB21" s="1053" t="str">
        <x:f t="shared" si="58"/>
        <x:v/>
      </x:c>
      <x:c r="EC21" s="1053" t="str">
        <x:f t="shared" si="59"/>
        <x:v/>
      </x:c>
      <x:c r="ED21" s="1269">
        <x:f t="shared" si="60"/>
        <x:v>0</x:v>
      </x:c>
      <x:c r="EE21" s="1090" t="str">
        <x:f t="shared" si="61"/>
        <x:v/>
      </x:c>
      <x:c r="EF21" s="1053" t="str">
        <x:f t="shared" si="62"/>
        <x:v/>
      </x:c>
      <x:c r="EG21" s="1053" t="str">
        <x:f t="shared" si="63"/>
        <x:v/>
      </x:c>
      <x:c r="EH21" s="1053" t="str">
        <x:f t="shared" si="64"/>
        <x:v>ERR</x:v>
      </x:c>
      <x:c r="EI21" s="1053" t="str">
        <x:f t="shared" si="65"/>
        <x:v>ERR</x:v>
      </x:c>
      <x:c r="EJ21" s="1053" t="str">
        <x:f t="shared" si="66"/>
        <x:v/>
      </x:c>
      <x:c r="EK21" s="1053" t="str">
        <x:f t="shared" si="66"/>
        <x:v/>
      </x:c>
      <x:c r="EL21" s="1090" t="str">
        <x:f t="shared" si="67"/>
        <x:v/>
      </x:c>
      <x:c r="EM21" s="1053" t="str">
        <x:f t="shared" si="68"/>
        <x:v/>
      </x:c>
      <x:c r="EN21" s="1053" t="str">
        <x:f t="shared" si="69"/>
        <x:v/>
      </x:c>
      <x:c r="EO21" s="1053" t="str">
        <x:f t="shared" si="70"/>
        <x:v>ERR</x:v>
      </x:c>
      <x:c r="EP21" s="1053" t="str">
        <x:f t="shared" si="71"/>
        <x:v>ERR</x:v>
      </x:c>
      <x:c r="EQ21" s="1053" t="str">
        <x:f t="shared" si="72"/>
        <x:v/>
      </x:c>
      <x:c r="ER21" s="1053" t="str">
        <x:f t="shared" si="72"/>
        <x:v/>
      </x:c>
      <x:c r="ES21" s="1053" t="str">
        <x:f t="shared" si="73"/>
        <x:v/>
      </x:c>
      <x:c r="ET21" s="1053" t="str">
        <x:f t="shared" si="74"/>
        <x:v/>
      </x:c>
      <x:c r="EU21" s="1061">
        <x:f t="shared" si="75"/>
        <x:v>4</x:v>
      </x:c>
      <x:c r="EV21" s="1055" t="str">
        <x:f t="shared" si="76"/>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77"/>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78"/>
        <x:v/>
      </x:c>
      <x:c r="FD21" s="1052">
        <x:f t="shared" si="103"/>
        <x:v>0</x:v>
      </x:c>
      <x:c r="FE21" s="1052">
        <x:f t="shared" si="79"/>
        <x:v>0</x:v>
      </x:c>
      <x:c r="FF21" s="1052">
        <x:f t="shared" si="80"/>
        <x:v>0</x:v>
      </x:c>
      <x:c r="FG21" s="1052" t="str">
        <x:f t="shared" si="81"/>
        <x:v/>
      </x:c>
      <x:c r="FH21" s="1053" t="str">
        <x:f t="shared" si="82"/>
        <x:v/>
      </x:c>
      <x:c r="FI21" s="1052">
        <x:f t="shared" si="104"/>
        <x:v>0</x:v>
      </x:c>
      <x:c r="FJ21" s="1052">
        <x:f t="shared" si="83"/>
        <x:v>0</x:v>
      </x:c>
      <x:c r="FK21" s="1052">
        <x:f t="shared" si="84"/>
        <x:v>0</x:v>
      </x:c>
      <x:c r="FL21" s="1052" t="str">
        <x:f t="shared" si="85"/>
        <x:v/>
      </x:c>
      <x:c r="FM21" s="1053" t="str">
        <x:f t="shared" si="86"/>
        <x:v/>
      </x:c>
      <x:c r="FN21" s="1053" t="e">
        <x:f t="shared" si="87"/>
        <x:v>#VALUE!</x:v>
      </x:c>
      <x:c r="FO21" s="1062" t="e">
        <x:f t="shared" si="88"/>
        <x:v>#VALUE!</x:v>
      </x:c>
      <x:c r="FP21" s="1062" t="e">
        <x:f t="shared" si="89"/>
        <x:v>#VALUE!</x:v>
      </x:c>
      <x:c r="FQ21" s="1063" t="e">
        <x:f t="shared" si="90"/>
        <x:v>#VALUE!</x:v>
      </x:c>
      <x:c r="FR21" s="1064" t="e">
        <x:f t="shared" si="91"/>
        <x:v>#VALUE!</x:v>
      </x:c>
      <x:c r="FS21" s="1065" t="str">
        <x:f t="shared" si="92"/>
        <x:v/>
      </x:c>
      <x:c r="FT21" s="1066" t="str">
        <x:f t="shared" si="93"/>
        <x:v/>
      </x:c>
      <x:c r="FU21" s="1105">
        <x:f t="shared" si="94"/>
        <x:v>0</x:v>
      </x:c>
      <x:c r="FV21" s="1106">
        <x:f t="shared" si="95"/>
        <x:v>0</x:v>
      </x:c>
      <x:c r="GA21" s="1975">
        <x:v>59</x:v>
      </x:c>
      <x:c r="GB21" s="1976">
        <x:v>2.75</x:v>
      </x:c>
      <x:c r="GC21" s="1977">
        <x:v>-1</x:v>
      </x:c>
      <x:c r="GD21" s="1978">
        <x:v>-1.875</x:v>
      </x:c>
      <x:c r="GE21" s="1979">
        <x:v>-0.26169539219134702</x:v>
      </x:c>
      <x:c r="GF21" s="1980" t="str">
        <x:f t="shared" si="96"/>
        <x:v>TJ222</x:v>
      </x:c>
      <x:c r="GG21" s="1453"/>
      <x:c r="GH21" s="1454"/>
      <x:c r="GI21" s="1453"/>
      <x:c r="GJ21" s="1454"/>
      <x:c r="GK21" s="533">
        <x:f t="shared" si="97"/>
        <x:v>707.875</x:v>
      </x:c>
      <x:c r="GL21" s="534">
        <x:f t="shared" si="98"/>
        <x:v>708.04330794276643</x:v>
      </x:c>
      <x:c r="GM21" s="535">
        <x:f>IF(ABS(GK21-GL21)&gt;='Job Info.'!$L$22,ABS(GK21-GL21),0)</x:f>
        <x:v>0</x:v>
      </x:c>
      <x:c r="HA21" s="1658" t="s">
        <x:v>1546</x:v>
      </x:c>
      <x:c r="HB21" s="1659">
        <x:v>1</x:v>
      </x:c>
      <x:c r="HC21" s="1659" t="s">
        <x:v>1978</x:v>
      </x:c>
      <x:c r="HD21" s="1660">
        <x:v>58</x:v>
      </x:c>
      <x:c r="HE21" s="1661">
        <x:v>11.875</x:v>
      </x:c>
      <x:c r="HF21" s="1659">
        <x:v>0</x:v>
      </x:c>
      <x:c r="HG21" s="1659">
        <x:v>0.625</x:v>
      </x:c>
      <x:c r="HH21" s="1659" t="s">
        <x:v>114</x:v>
      </x:c>
      <x:c r="HI21" s="1662" t="s">
        <x:v>117</x:v>
      </x:c>
      <x:c r="HJ21" s="1659" t="s">
        <x:v>117</x:v>
      </x:c>
      <x:c r="HK21" s="1659" t="s">
        <x:v>117</x:v>
      </x:c>
      <x:c r="HL21" s="1659">
        <x:v>3</x:v>
      </x:c>
      <x:c r="HM21" s="1659">
        <x:v>3</x:v>
      </x:c>
      <x:c r="HN21" s="1659">
        <x:v>0</x:v>
      </x:c>
      <x:c r="HO21" s="1659">
        <x:v>6.75</x:v>
      </x:c>
      <x:c r="HP21" s="1659">
        <x:v>2</x:v>
      </x:c>
      <x:c r="HQ21" s="1662" t="s">
        <x:v>117</x:v>
      </x:c>
      <x:c r="HR21" s="1659" t="s">
        <x:v>117</x:v>
      </x:c>
      <x:c r="HS21" s="1659" t="s">
        <x:v>117</x:v>
      </x:c>
      <x:c r="HT21" s="1659">
        <x:v>0</x:v>
      </x:c>
      <x:c r="HU21" s="1659">
        <x:v>1.5</x:v>
      </x:c>
      <x:c r="HV21" s="1659">
        <x:v>0</x:v>
      </x:c>
      <x:c r="HW21" s="1661">
        <x:v>1.125</x:v>
      </x:c>
      <x:c r="HX21" s="1661">
        <x:v>4</x:v>
      </x:c>
      <x:c r="HY21" s="1661" t="s">
        <x:v>117</x:v>
      </x:c>
      <x:c r="HZ21" s="1661" t="s">
        <x:v>117</x:v>
      </x:c>
      <x:c r="IA21" s="1661" t="s">
        <x:v>2231</x:v>
      </x:c>
      <x:c r="IB21" s="1661"/>
      <x:c r="IC21" s="1661"/>
      <x:c r="ID21" s="1661"/>
      <x:c r="IE21" s="1661"/>
      <x:c r="IF21" s="1663"/>
    </x:row>
    <x:row r="22" spans="1:240" ht="12.6" customHeight="1" x14ac:dyDescent="0.25">
      <x:c r="A22" s="1264" t="s">
        <x:v>1547</x:v>
      </x:c>
      <x:c r="B22" s="1265">
        <x:v>6</x:v>
      </x:c>
      <x:c r="C22" s="1265" t="s">
        <x:v>1978</x:v>
      </x:c>
      <x:c r="D22" s="1261">
        <x:v>58</x:v>
      </x:c>
      <x:c r="E22" s="1366">
        <x:v>11.875</x:v>
      </x:c>
      <x:c r="F22" s="1328">
        <x:v>0</x:v>
      </x:c>
      <x:c r="G22" s="1262">
        <x:v>0.625</x:v>
      </x:c>
      <x:c r="H22" s="1266" t="s">
        <x:v>114</x:v>
      </x:c>
      <x:c r="I22" s="1261" t="str">
        <x:f t="shared" si="99"/>
        <x:v/>
      </x:c>
      <x:c r="J22" s="1262" t="str">
        <x:f t="shared" si="100"/>
        <x:v/>
      </x:c>
      <x:c r="K22" s="1370" t="str">
        <x:f t="shared" si="101"/>
        <x:v/>
      </x:c>
      <x:c r="L22" s="1327">
        <x:v>3</x:v>
      </x:c>
      <x:c r="M22" s="1329">
        <x:v>3</x:v>
      </x:c>
      <x:c r="N22" s="1263">
        <x:v>0</x:v>
      </x:c>
      <x:c r="O22" s="1262">
        <x:v>6.75</x:v>
      </x:c>
      <x:c r="P22" s="1260">
        <x:v>2</x:v>
      </x:c>
      <x:c r="Q22" s="1261" t="str">
        <x:f t="shared" si="4"/>
        <x:v/>
      </x:c>
      <x:c r="R22" s="1262" t="str">
        <x:f t="shared" si="5"/>
        <x:v/>
      </x:c>
      <x:c r="S22" s="1375" t="str">
        <x:f t="shared" si="6"/>
        <x:v/>
      </x:c>
      <x:c r="T22" s="1328">
        <x:v>0</x:v>
      </x:c>
      <x:c r="U22" s="1262">
        <x:v>1.5</x:v>
      </x:c>
      <x:c r="V22" s="1261">
        <x:v>0</x:v>
      </x:c>
      <x:c r="W22" s="1262">
        <x:v>1.125</x:v>
      </x:c>
      <x:c r="X22" s="1329">
        <x:v>4</x:v>
      </x:c>
      <x:c r="Y22" s="1377" t="str">
        <x:f t="shared" si="7"/>
        <x:v/>
      </x:c>
      <x:c r="Z22" s="1378" t="str">
        <x:f t="shared" si="8"/>
        <x:v/>
      </x:c>
      <x:c r="AA22" s="2159" t="s">
        <x:v>2232</x:v>
      </x:c>
      <x:c r="AC22" s="1226" t="b">
        <x:v>0</x:v>
      </x:c>
      <x:c r="AD22" s="525">
        <x:f t="shared" si="9"/>
        <x:v>0</x:v>
      </x:c>
      <x:c r="AE22" s="526">
        <x:f t="shared" si="10"/>
        <x:v>6</x:v>
      </x:c>
      <x:c r="AF22" s="526">
        <x:f t="shared" si="11"/>
        <x:v>0</x:v>
      </x:c>
      <x:c r="AG22" s="526">
        <x:f t="shared" si="12"/>
        <x:v>0</x:v>
      </x:c>
      <x:c r="AH22" s="527">
        <x:f t="shared" si="13"/>
        <x:v>0</x:v>
      </x:c>
      <x:c r="AI22" s="528" t="b">
        <x:v>0</x:v>
      </x:c>
      <x:c r="AJ22" s="284">
        <x:f t="shared" si="14"/>
        <x:v>36</x:v>
      </x:c>
      <x:c r="AK22" s="1063" t="str">
        <x:f t="shared" si="15"/>
        <x:v>LH</x:v>
      </x:c>
      <x:c r="AL22" s="1202" t="str">
        <x:f t="shared" si="16"/>
        <x:v/>
      </x:c>
      <x:c r="AM22" s="1063">
        <x:f t="shared" si="17"/>
        <x:v>270</x:v>
      </x:c>
      <x:c r="AN22" s="1063">
        <x:f t="shared" si="18"/>
        <x:v>120</x:v>
      </x:c>
      <x:c r="AO22" s="1063" t="str">
        <x:f t="shared" si="19"/>
        <x:v/>
      </x:c>
      <x:c r="AP22" s="1063" t="b">
        <x:f>IF(ISERROR(AJ22),FALSE,IF(OR(AJ22=0,ISERROR(AL22),ISERROR(AM22),ISERROR(AN22),ISERROR(AO22)),FALSE,IF(AL22&lt;&gt;"",IF(ISERROR(VLOOKUP(SUBSTITUTE(SUBSTITUTE(C22,"R",""),"A",""),TblJoistSize!$A:$A,1,FALSE)),FALSE,TRUE),TRUE)))</x:f>
        <x:v>1</x:v>
      </x:c>
      <x:c r="AQ22" s="1305">
        <x:f t="shared" si="20"/>
        <x:v>6.625</x:v>
      </x:c>
      <x:c r="AR22" s="1305" t="b">
        <x:f t="shared" si="21"/>
        <x:v>1</x:v>
      </x:c>
      <x:c r="AS22" s="1305">
        <x:f t="shared" si="22"/>
        <x:v>6</x:v>
      </x:c>
      <x:c r="AT22" s="1305" t="b">
        <x:f t="shared" si="23"/>
        <x:v>1</x:v>
      </x:c>
      <x:c r="AU22" s="1203" t="str">
        <x:f t="shared" si="24"/>
        <x:v>LH</x:v>
      </x:c>
      <x:c r="AV22" s="1063" t="str">
        <x:f t="shared" si="25"/>
        <x:v/>
      </x:c>
      <x:c r="AW22" s="1063" t="str">
        <x:f t="shared" si="26"/>
        <x:v>LH</x:v>
      </x:c>
      <x:c r="AX22" s="1063" t="str">
        <x:f t="shared" si="102"/>
        <x:v>TJ223</x:v>
      </x:c>
      <x:c r="AY22" s="1306" t="b">
        <x:f t="shared" si="27"/>
        <x:v>0</x:v>
      </x:c>
      <x:c r="AZ22" s="1090" t="b">
        <x:f t="shared" si="28"/>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29"/>
        <x:v/>
      </x:c>
      <x:c r="CE22" s="935" t="str">
        <x:f t="shared" si="30"/>
        <x:v/>
      </x:c>
      <x:c r="CF22" s="1149"/>
      <x:c r="CG22" s="1150"/>
      <x:c r="CH22" s="738" t="str">
        <x:f t="shared" si="31"/>
        <x:v/>
      </x:c>
      <x:c r="CI22" s="739" t="str">
        <x:f t="shared" si="32"/>
        <x:v/>
      </x:c>
      <x:c r="CJ22" s="740" t="str">
        <x:f t="shared" si="33"/>
        <x:v/>
      </x:c>
      <x:c r="CK22" s="741" t="str">
        <x:f t="shared" si="34"/>
        <x:v/>
      </x:c>
      <x:c r="CL22" s="742" t="str">
        <x:f t="shared" si="35"/>
        <x:v/>
      </x:c>
      <x:c r="CM22" s="743" t="str">
        <x:f t="shared" si="36"/>
        <x:v/>
      </x:c>
      <x:c r="CN22" s="744" t="str">
        <x:f t="shared" si="37"/>
        <x:v/>
      </x:c>
      <x:c r="CO22" s="745" t="str">
        <x:f t="shared" si="38"/>
        <x:v/>
      </x:c>
      <x:c r="CP22" s="762" t="str">
        <x:f t="shared" si="39"/>
        <x:v/>
      </x:c>
      <x:c r="CQ22" s="763" t="str">
        <x:f t="shared" si="40"/>
        <x:v/>
      </x:c>
      <x:c r="CR22" s="953">
        <x:f t="shared" si="41"/>
        <x:v>5</x:v>
      </x:c>
      <x:c r="CS22" s="954">
        <x:f t="shared" si="42"/>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3"/>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4"/>
        <x:v>0</x:v>
      </x:c>
      <x:c r="DO22" s="1049">
        <x:f t="shared" si="45"/>
        <x:v>0</x:v>
      </x:c>
      <x:c r="DP22" s="1053" t="str">
        <x:f t="shared" si="46"/>
        <x:v/>
      </x:c>
      <x:c r="DQ22" s="1053" t="str">
        <x:f t="shared" si="47"/>
        <x:v/>
      </x:c>
      <x:c r="DR22" s="1053" t="str">
        <x:f t="shared" si="48"/>
        <x:v/>
      </x:c>
      <x:c r="DS22" s="1052">
        <x:f t="shared" si="49"/>
        <x:v>0</x:v>
      </x:c>
      <x:c r="DT22" s="1052">
        <x:f t="shared" si="50"/>
        <x:v>0</x:v>
      </x:c>
      <x:c r="DU22" s="1052" t="str">
        <x:f t="shared" si="51"/>
        <x:v/>
      </x:c>
      <x:c r="DV22" s="1053" t="str">
        <x:f t="shared" si="52"/>
        <x:v/>
      </x:c>
      <x:c r="DW22" s="1053" t="str">
        <x:f t="shared" si="53"/>
        <x:v/>
      </x:c>
      <x:c r="DX22" s="1269">
        <x:f t="shared" si="54"/>
        <x:v>0</x:v>
      </x:c>
      <x:c r="DY22" s="1053">
        <x:f t="shared" si="55"/>
        <x:v>0</x:v>
      </x:c>
      <x:c r="DZ22" s="1052">
        <x:f t="shared" si="56"/>
        <x:v>0</x:v>
      </x:c>
      <x:c r="EA22" s="1052" t="str">
        <x:f t="shared" si="57"/>
        <x:v/>
      </x:c>
      <x:c r="EB22" s="1053" t="str">
        <x:f t="shared" si="58"/>
        <x:v/>
      </x:c>
      <x:c r="EC22" s="1053" t="str">
        <x:f t="shared" si="59"/>
        <x:v/>
      </x:c>
      <x:c r="ED22" s="1269">
        <x:f t="shared" si="60"/>
        <x:v>0</x:v>
      </x:c>
      <x:c r="EE22" s="1090" t="str">
        <x:f t="shared" si="61"/>
        <x:v/>
      </x:c>
      <x:c r="EF22" s="1053" t="str">
        <x:f t="shared" si="62"/>
        <x:v/>
      </x:c>
      <x:c r="EG22" s="1053" t="str">
        <x:f t="shared" si="63"/>
        <x:v/>
      </x:c>
      <x:c r="EH22" s="1053" t="str">
        <x:f t="shared" si="64"/>
        <x:v>ERR</x:v>
      </x:c>
      <x:c r="EI22" s="1053" t="str">
        <x:f t="shared" si="65"/>
        <x:v>ERR</x:v>
      </x:c>
      <x:c r="EJ22" s="1053" t="str">
        <x:f t="shared" si="66"/>
        <x:v/>
      </x:c>
      <x:c r="EK22" s="1053" t="str">
        <x:f t="shared" si="66"/>
        <x:v/>
      </x:c>
      <x:c r="EL22" s="1090" t="str">
        <x:f t="shared" si="67"/>
        <x:v/>
      </x:c>
      <x:c r="EM22" s="1053" t="str">
        <x:f t="shared" si="68"/>
        <x:v/>
      </x:c>
      <x:c r="EN22" s="1053" t="str">
        <x:f t="shared" si="69"/>
        <x:v/>
      </x:c>
      <x:c r="EO22" s="1053" t="str">
        <x:f t="shared" si="70"/>
        <x:v>ERR</x:v>
      </x:c>
      <x:c r="EP22" s="1053" t="str">
        <x:f t="shared" si="71"/>
        <x:v>ERR</x:v>
      </x:c>
      <x:c r="EQ22" s="1053" t="str">
        <x:f t="shared" si="72"/>
        <x:v/>
      </x:c>
      <x:c r="ER22" s="1053" t="str">
        <x:f t="shared" si="72"/>
        <x:v/>
      </x:c>
      <x:c r="ES22" s="1053" t="str">
        <x:f t="shared" si="73"/>
        <x:v/>
      </x:c>
      <x:c r="ET22" s="1053" t="str">
        <x:f t="shared" si="74"/>
        <x:v/>
      </x:c>
      <x:c r="EU22" s="1061">
        <x:f t="shared" si="75"/>
        <x:v>4</x:v>
      </x:c>
      <x:c r="EV22" s="1055" t="str">
        <x:f t="shared" si="76"/>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77"/>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78"/>
        <x:v/>
      </x:c>
      <x:c r="FD22" s="1052">
        <x:f t="shared" si="103"/>
        <x:v>0</x:v>
      </x:c>
      <x:c r="FE22" s="1052">
        <x:f t="shared" si="79"/>
        <x:v>0</x:v>
      </x:c>
      <x:c r="FF22" s="1052">
        <x:f t="shared" si="80"/>
        <x:v>0</x:v>
      </x:c>
      <x:c r="FG22" s="1052" t="str">
        <x:f t="shared" si="81"/>
        <x:v/>
      </x:c>
      <x:c r="FH22" s="1053" t="str">
        <x:f t="shared" si="82"/>
        <x:v/>
      </x:c>
      <x:c r="FI22" s="1052">
        <x:f t="shared" si="104"/>
        <x:v>0</x:v>
      </x:c>
      <x:c r="FJ22" s="1052">
        <x:f t="shared" si="83"/>
        <x:v>0</x:v>
      </x:c>
      <x:c r="FK22" s="1052">
        <x:f t="shared" si="84"/>
        <x:v>0</x:v>
      </x:c>
      <x:c r="FL22" s="1052" t="str">
        <x:f t="shared" si="85"/>
        <x:v/>
      </x:c>
      <x:c r="FM22" s="1053" t="str">
        <x:f t="shared" si="86"/>
        <x:v/>
      </x:c>
      <x:c r="FN22" s="1053" t="e">
        <x:f t="shared" si="87"/>
        <x:v>#VALUE!</x:v>
      </x:c>
      <x:c r="FO22" s="1062" t="e">
        <x:f t="shared" si="88"/>
        <x:v>#VALUE!</x:v>
      </x:c>
      <x:c r="FP22" s="1062" t="e">
        <x:f t="shared" si="89"/>
        <x:v>#VALUE!</x:v>
      </x:c>
      <x:c r="FQ22" s="1063" t="e">
        <x:f t="shared" si="90"/>
        <x:v>#VALUE!</x:v>
      </x:c>
      <x:c r="FR22" s="1064" t="e">
        <x:f t="shared" si="91"/>
        <x:v>#VALUE!</x:v>
      </x:c>
      <x:c r="FS22" s="1065" t="str">
        <x:f t="shared" si="92"/>
        <x:v/>
      </x:c>
      <x:c r="FT22" s="1066" t="str">
        <x:f t="shared" si="93"/>
        <x:v/>
      </x:c>
      <x:c r="FU22" s="1105">
        <x:f t="shared" si="94"/>
        <x:v>0</x:v>
      </x:c>
      <x:c r="FV22" s="1106">
        <x:f t="shared" si="95"/>
        <x:v>0</x:v>
      </x:c>
      <x:c r="GA22" s="1975">
        <x:v>59</x:v>
      </x:c>
      <x:c r="GB22" s="1976">
        <x:v>2.75</x:v>
      </x:c>
      <x:c r="GC22" s="1977">
        <x:v>-1</x:v>
      </x:c>
      <x:c r="GD22" s="1978">
        <x:v>-1.875</x:v>
      </x:c>
      <x:c r="GE22" s="1979">
        <x:v>-0.26169539219134702</x:v>
      </x:c>
      <x:c r="GF22" s="1980" t="str">
        <x:f t="shared" si="96"/>
        <x:v>TJ223</x:v>
      </x:c>
      <x:c r="GG22" s="1453"/>
      <x:c r="GH22" s="1454"/>
      <x:c r="GI22" s="1453"/>
      <x:c r="GJ22" s="1454"/>
      <x:c r="GK22" s="533">
        <x:f t="shared" si="97"/>
        <x:v>707.875</x:v>
      </x:c>
      <x:c r="GL22" s="534">
        <x:f t="shared" si="98"/>
        <x:v>708.04330794276643</x:v>
      </x:c>
      <x:c r="GM22" s="535">
        <x:f>IF(ABS(GK22-GL22)&gt;='Job Info.'!$L$22,ABS(GK22-GL22),0)</x:f>
        <x:v>0</x:v>
      </x:c>
      <x:c r="HA22" s="1658" t="s">
        <x:v>1547</x:v>
      </x:c>
      <x:c r="HB22" s="1659">
        <x:v>6</x:v>
      </x:c>
      <x:c r="HC22" s="1659" t="s">
        <x:v>1978</x:v>
      </x:c>
      <x:c r="HD22" s="1660">
        <x:v>58</x:v>
      </x:c>
      <x:c r="HE22" s="1661">
        <x:v>11.875</x:v>
      </x:c>
      <x:c r="HF22" s="1659">
        <x:v>0</x:v>
      </x:c>
      <x:c r="HG22" s="1659">
        <x:v>0.625</x:v>
      </x:c>
      <x:c r="HH22" s="1659" t="s">
        <x:v>114</x:v>
      </x:c>
      <x:c r="HI22" s="1662" t="s">
        <x:v>117</x:v>
      </x:c>
      <x:c r="HJ22" s="1659" t="s">
        <x:v>117</x:v>
      </x:c>
      <x:c r="HK22" s="1659" t="s">
        <x:v>117</x:v>
      </x:c>
      <x:c r="HL22" s="1659">
        <x:v>3</x:v>
      </x:c>
      <x:c r="HM22" s="1659">
        <x:v>3</x:v>
      </x:c>
      <x:c r="HN22" s="1659">
        <x:v>0</x:v>
      </x:c>
      <x:c r="HO22" s="1659">
        <x:v>6.75</x:v>
      </x:c>
      <x:c r="HP22" s="1659">
        <x:v>2</x:v>
      </x:c>
      <x:c r="HQ22" s="1662" t="s">
        <x:v>117</x:v>
      </x:c>
      <x:c r="HR22" s="1659" t="s">
        <x:v>117</x:v>
      </x:c>
      <x:c r="HS22" s="1659" t="s">
        <x:v>117</x:v>
      </x:c>
      <x:c r="HT22" s="1659">
        <x:v>0</x:v>
      </x:c>
      <x:c r="HU22" s="1659">
        <x:v>1.5</x:v>
      </x:c>
      <x:c r="HV22" s="1659">
        <x:v>0</x:v>
      </x:c>
      <x:c r="HW22" s="1661">
        <x:v>1.125</x:v>
      </x:c>
      <x:c r="HX22" s="1661">
        <x:v>4</x:v>
      </x:c>
      <x:c r="HY22" s="1661" t="s">
        <x:v>117</x:v>
      </x:c>
      <x:c r="HZ22" s="1661" t="s">
        <x:v>117</x:v>
      </x:c>
      <x:c r="IA22" s="1661" t="s">
        <x:v>2232</x:v>
      </x:c>
      <x:c r="IB22" s="1661"/>
      <x:c r="IC22" s="1661"/>
      <x:c r="ID22" s="1661"/>
      <x:c r="IE22" s="1661"/>
      <x:c r="IF22" s="1663"/>
    </x:row>
    <x:row r="23" spans="1:240" ht="12.6" customHeight="1" x14ac:dyDescent="0.25">
      <x:c r="A23" s="1264" t="s">
        <x:v>1548</x:v>
      </x:c>
      <x:c r="B23" s="1265">
        <x:v>1</x:v>
      </x:c>
      <x:c r="C23" s="1265" t="s">
        <x:v>1978</x:v>
      </x:c>
      <x:c r="D23" s="1261">
        <x:v>59</x:v>
      </x:c>
      <x:c r="E23" s="1366">
        <x:v>0.625</x:v>
      </x:c>
      <x:c r="F23" s="1328">
        <x:v>0</x:v>
      </x:c>
      <x:c r="G23" s="1262">
        <x:v>1.375</x:v>
      </x:c>
      <x:c r="H23" s="1266" t="s">
        <x:v>114</x:v>
      </x:c>
      <x:c r="I23" s="1261" t="str">
        <x:f t="shared" si="99"/>
        <x:v/>
      </x:c>
      <x:c r="J23" s="1262" t="str">
        <x:f t="shared" si="100"/>
        <x:v/>
      </x:c>
      <x:c r="K23" s="1370" t="str">
        <x:f t="shared" si="101"/>
        <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x:v>0</x:v>
      </x:c>
      <x:c r="U23" s="1262">
        <x:v>2.25</x:v>
      </x:c>
      <x:c r="V23" s="1261">
        <x:v>0</x:v>
      </x:c>
      <x:c r="W23" s="1262">
        <x:v>1.125</x:v>
      </x:c>
      <x:c r="X23" s="1329">
        <x:v>4</x:v>
      </x:c>
      <x:c r="Y23" s="1377" t="str">
        <x:f t="shared" si="7"/>
        <x:v/>
      </x:c>
      <x:c r="Z23" s="1378" t="str">
        <x:f t="shared" si="8"/>
        <x:v/>
      </x:c>
      <x:c r="AA23" s="2159" t="s">
        <x:v>2229</x:v>
      </x:c>
      <x:c r="AC23" s="1226" t="b">
        <x:v>0</x:v>
      </x:c>
      <x:c r="AD23" s="525">
        <x:f t="shared" si="9"/>
        <x:v>0</x:v>
      </x:c>
      <x:c r="AE23" s="526">
        <x:f t="shared" si="10"/>
        <x:v>1</x:v>
      </x:c>
      <x:c r="AF23" s="526">
        <x:f t="shared" si="11"/>
        <x:v>0</x:v>
      </x:c>
      <x:c r="AG23" s="526">
        <x:f t="shared" si="12"/>
        <x:v>0</x:v>
      </x:c>
      <x:c r="AH23" s="527">
        <x:f t="shared" si="13"/>
        <x:v>0</x:v>
      </x:c>
      <x:c r="AI23" s="528" t="b">
        <x:v>0</x:v>
      </x:c>
      <x:c r="AJ23" s="284">
        <x:f t="shared" si="14"/>
        <x:v>36</x:v>
      </x:c>
      <x:c r="AK23" s="1063" t="str">
        <x:f t="shared" si="15"/>
        <x:v>LH</x:v>
      </x:c>
      <x:c r="AL23" s="1202" t="str">
        <x:f t="shared" si="16"/>
        <x:v/>
      </x:c>
      <x:c r="AM23" s="1063">
        <x:f t="shared" si="17"/>
        <x:v>270</x:v>
      </x:c>
      <x:c r="AN23" s="1063">
        <x:f t="shared" si="18"/>
        <x:v>120</x:v>
      </x:c>
      <x:c r="AO23" s="1063" t="str">
        <x:f t="shared" si="19"/>
        <x:v/>
      </x:c>
      <x:c r="AP23" s="1063" t="b">
        <x:f>IF(ISERROR(AJ23),FALSE,IF(OR(AJ23=0,ISERROR(AL23),ISERROR(AM23),ISERROR(AN23),ISERROR(AO23)),FALSE,IF(AL23&lt;&gt;"",IF(ISERROR(VLOOKUP(SUBSTITUTE(SUBSTITUTE(C23,"R",""),"A",""),TblJoistSize!$A:$A,1,FALSE)),FALSE,TRUE),TRUE)))</x:f>
        <x:v>1</x:v>
      </x:c>
      <x:c r="AQ23" s="1305">
        <x:f t="shared" si="20"/>
        <x:v>7.375</x:v>
      </x:c>
      <x:c r="AR23" s="1305" t="b">
        <x:f t="shared" si="21"/>
        <x:v>1</x:v>
      </x:c>
      <x:c r="AS23" s="1305">
        <x:f t="shared" si="22"/>
        <x:v>6</x:v>
      </x:c>
      <x:c r="AT23" s="1305" t="b">
        <x:f t="shared" si="23"/>
        <x:v>1</x:v>
      </x:c>
      <x:c r="AU23" s="1203" t="str">
        <x:f t="shared" si="24"/>
        <x:v>LH</x:v>
      </x:c>
      <x:c r="AV23" s="1063" t="str">
        <x:f t="shared" si="25"/>
        <x:v/>
      </x:c>
      <x:c r="AW23" s="1063" t="str">
        <x:f t="shared" si="26"/>
        <x:v>LH</x:v>
      </x:c>
      <x:c r="AX23" s="1063" t="str">
        <x:f t="shared" si="102"/>
        <x:v>TJ224</x:v>
      </x:c>
      <x:c r="AY23" s="1306" t="b">
        <x:f t="shared" si="27"/>
        <x:v>0</x:v>
      </x:c>
      <x:c r="AZ23" s="1090" t="b">
        <x:f t="shared" si="28"/>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29"/>
        <x:v/>
      </x:c>
      <x:c r="CE23" s="935" t="str">
        <x:f t="shared" si="30"/>
        <x:v/>
      </x:c>
      <x:c r="CF23" s="1149"/>
      <x:c r="CG23" s="1150"/>
      <x:c r="CH23" s="738" t="str">
        <x:f t="shared" si="31"/>
        <x:v/>
      </x:c>
      <x:c r="CI23" s="739" t="str">
        <x:f t="shared" si="32"/>
        <x:v/>
      </x:c>
      <x:c r="CJ23" s="740" t="str">
        <x:f t="shared" si="33"/>
        <x:v/>
      </x:c>
      <x:c r="CK23" s="741" t="str">
        <x:f t="shared" si="34"/>
        <x:v/>
      </x:c>
      <x:c r="CL23" s="742" t="str">
        <x:f t="shared" si="35"/>
        <x:v/>
      </x:c>
      <x:c r="CM23" s="743" t="str">
        <x:f t="shared" si="36"/>
        <x:v/>
      </x:c>
      <x:c r="CN23" s="744" t="str">
        <x:f t="shared" si="37"/>
        <x:v/>
      </x:c>
      <x:c r="CO23" s="745" t="str">
        <x:f t="shared" si="38"/>
        <x:v/>
      </x:c>
      <x:c r="CP23" s="762" t="str">
        <x:f t="shared" si="39"/>
        <x:v/>
      </x:c>
      <x:c r="CQ23" s="763" t="str">
        <x:f t="shared" si="40"/>
        <x:v/>
      </x:c>
      <x:c r="CR23" s="953">
        <x:f t="shared" si="41"/>
        <x:v>5</x:v>
      </x:c>
      <x:c r="CS23" s="954">
        <x:f t="shared" si="42"/>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3"/>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4"/>
        <x:v>0</x:v>
      </x:c>
      <x:c r="DO23" s="1049">
        <x:f t="shared" si="45"/>
        <x:v>0</x:v>
      </x:c>
      <x:c r="DP23" s="1053" t="str">
        <x:f t="shared" si="46"/>
        <x:v/>
      </x:c>
      <x:c r="DQ23" s="1053" t="str">
        <x:f t="shared" si="47"/>
        <x:v/>
      </x:c>
      <x:c r="DR23" s="1053" t="str">
        <x:f t="shared" si="48"/>
        <x:v/>
      </x:c>
      <x:c r="DS23" s="1052">
        <x:f t="shared" si="49"/>
        <x:v>0</x:v>
      </x:c>
      <x:c r="DT23" s="1052">
        <x:f t="shared" si="50"/>
        <x:v>0</x:v>
      </x:c>
      <x:c r="DU23" s="1052" t="str">
        <x:f t="shared" si="51"/>
        <x:v/>
      </x:c>
      <x:c r="DV23" s="1053" t="str">
        <x:f t="shared" si="52"/>
        <x:v/>
      </x:c>
      <x:c r="DW23" s="1053" t="str">
        <x:f t="shared" si="53"/>
        <x:v/>
      </x:c>
      <x:c r="DX23" s="1269">
        <x:f t="shared" si="54"/>
        <x:v>0</x:v>
      </x:c>
      <x:c r="DY23" s="1053">
        <x:f t="shared" si="55"/>
        <x:v>0</x:v>
      </x:c>
      <x:c r="DZ23" s="1052">
        <x:f t="shared" si="56"/>
        <x:v>0</x:v>
      </x:c>
      <x:c r="EA23" s="1052" t="str">
        <x:f t="shared" si="57"/>
        <x:v/>
      </x:c>
      <x:c r="EB23" s="1053" t="str">
        <x:f t="shared" si="58"/>
        <x:v/>
      </x:c>
      <x:c r="EC23" s="1053" t="str">
        <x:f t="shared" si="59"/>
        <x:v/>
      </x:c>
      <x:c r="ED23" s="1269">
        <x:f t="shared" si="60"/>
        <x:v>0</x:v>
      </x:c>
      <x:c r="EE23" s="1090" t="str">
        <x:f t="shared" si="61"/>
        <x:v/>
      </x:c>
      <x:c r="EF23" s="1053" t="str">
        <x:f t="shared" si="62"/>
        <x:v/>
      </x:c>
      <x:c r="EG23" s="1053" t="str">
        <x:f t="shared" si="63"/>
        <x:v/>
      </x:c>
      <x:c r="EH23" s="1053" t="str">
        <x:f t="shared" si="64"/>
        <x:v>ERR</x:v>
      </x:c>
      <x:c r="EI23" s="1053" t="str">
        <x:f t="shared" si="65"/>
        <x:v>ERR</x:v>
      </x:c>
      <x:c r="EJ23" s="1053" t="str">
        <x:f t="shared" si="66"/>
        <x:v/>
      </x:c>
      <x:c r="EK23" s="1053" t="str">
        <x:f t="shared" si="66"/>
        <x:v/>
      </x:c>
      <x:c r="EL23" s="1090" t="str">
        <x:f t="shared" si="67"/>
        <x:v/>
      </x:c>
      <x:c r="EM23" s="1053" t="str">
        <x:f t="shared" si="68"/>
        <x:v/>
      </x:c>
      <x:c r="EN23" s="1053" t="str">
        <x:f t="shared" si="69"/>
        <x:v/>
      </x:c>
      <x:c r="EO23" s="1053" t="str">
        <x:f t="shared" si="70"/>
        <x:v>ERR</x:v>
      </x:c>
      <x:c r="EP23" s="1053" t="str">
        <x:f t="shared" si="71"/>
        <x:v>ERR</x:v>
      </x:c>
      <x:c r="EQ23" s="1053" t="str">
        <x:f t="shared" si="72"/>
        <x:v/>
      </x:c>
      <x:c r="ER23" s="1053" t="str">
        <x:f t="shared" si="72"/>
        <x:v/>
      </x:c>
      <x:c r="ES23" s="1053" t="str">
        <x:f t="shared" si="73"/>
        <x:v/>
      </x:c>
      <x:c r="ET23" s="1053" t="str">
        <x:f t="shared" si="74"/>
        <x:v/>
      </x:c>
      <x:c r="EU23" s="1061">
        <x:f t="shared" si="75"/>
        <x:v>4</x:v>
      </x:c>
      <x:c r="EV23" s="1055" t="str">
        <x:f t="shared" si="76"/>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77"/>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78"/>
        <x:v/>
      </x:c>
      <x:c r="FD23" s="1052">
        <x:f t="shared" si="103"/>
        <x:v>0</x:v>
      </x:c>
      <x:c r="FE23" s="1052">
        <x:f t="shared" si="79"/>
        <x:v>0</x:v>
      </x:c>
      <x:c r="FF23" s="1052">
        <x:f t="shared" si="80"/>
        <x:v>0</x:v>
      </x:c>
      <x:c r="FG23" s="1052" t="str">
        <x:f t="shared" si="81"/>
        <x:v/>
      </x:c>
      <x:c r="FH23" s="1053" t="str">
        <x:f t="shared" si="82"/>
        <x:v/>
      </x:c>
      <x:c r="FI23" s="1052">
        <x:f t="shared" si="104"/>
        <x:v>0</x:v>
      </x:c>
      <x:c r="FJ23" s="1052">
        <x:f t="shared" si="83"/>
        <x:v>0</x:v>
      </x:c>
      <x:c r="FK23" s="1052">
        <x:f t="shared" si="84"/>
        <x:v>0</x:v>
      </x:c>
      <x:c r="FL23" s="1052" t="str">
        <x:f t="shared" si="85"/>
        <x:v/>
      </x:c>
      <x:c r="FM23" s="1053" t="str">
        <x:f t="shared" si="86"/>
        <x:v/>
      </x:c>
      <x:c r="FN23" s="1053" t="e">
        <x:f t="shared" si="87"/>
        <x:v>#VALUE!</x:v>
      </x:c>
      <x:c r="FO23" s="1062" t="e">
        <x:f t="shared" si="88"/>
        <x:v>#VALUE!</x:v>
      </x:c>
      <x:c r="FP23" s="1062" t="e">
        <x:f t="shared" si="89"/>
        <x:v>#VALUE!</x:v>
      </x:c>
      <x:c r="FQ23" s="1063" t="e">
        <x:f t="shared" si="90"/>
        <x:v>#VALUE!</x:v>
      </x:c>
      <x:c r="FR23" s="1064" t="e">
        <x:f t="shared" si="91"/>
        <x:v>#VALUE!</x:v>
      </x:c>
      <x:c r="FS23" s="1065" t="str">
        <x:f t="shared" si="92"/>
        <x:v/>
      </x:c>
      <x:c r="FT23" s="1066" t="str">
        <x:f t="shared" si="93"/>
        <x:v/>
      </x:c>
      <x:c r="FU23" s="1105">
        <x:f t="shared" si="94"/>
        <x:v>0</x:v>
      </x:c>
      <x:c r="FV23" s="1106">
        <x:f t="shared" si="95"/>
        <x:v>0</x:v>
      </x:c>
      <x:c r="GA23" s="1975">
        <x:v>59</x:v>
      </x:c>
      <x:c r="GB23" s="1976">
        <x:v>2.75</x:v>
      </x:c>
      <x:c r="GC23" s="1977">
        <x:v>-0.25</x:v>
      </x:c>
      <x:c r="GD23" s="1978">
        <x:v>-1.875</x:v>
      </x:c>
      <x:c r="GE23" s="1979">
        <x:v>-0.26169539219134702</x:v>
      </x:c>
      <x:c r="GF23" s="1980" t="str">
        <x:f t="shared" si="96"/>
        <x:v>TJ224</x:v>
      </x:c>
      <x:c r="GG23" s="1453"/>
      <x:c r="GH23" s="1454"/>
      <x:c r="GI23" s="1453"/>
      <x:c r="GJ23" s="1454"/>
      <x:c r="GK23" s="533">
        <x:f t="shared" si="97"/>
        <x:v>708.625</x:v>
      </x:c>
      <x:c r="GL23" s="534">
        <x:f t="shared" si="98"/>
        <x:v>708.79348626656247</x:v>
      </x:c>
      <x:c r="GM23" s="535">
        <x:f>IF(ABS(GK23-GL23)&gt;='Job Info.'!$L$22,ABS(GK23-GL23),0)</x:f>
        <x:v>0</x:v>
      </x:c>
      <x:c r="HA23" s="1658" t="s">
        <x:v>1548</x:v>
      </x:c>
      <x:c r="HB23" s="1659">
        <x:v>1</x:v>
      </x:c>
      <x:c r="HC23" s="1659" t="s">
        <x:v>1978</x:v>
      </x:c>
      <x:c r="HD23" s="1660">
        <x:v>59</x:v>
      </x:c>
      <x:c r="HE23" s="1661">
        <x:v>0.625</x:v>
      </x:c>
      <x:c r="HF23" s="1659">
        <x:v>0</x:v>
      </x:c>
      <x:c r="HG23" s="1659">
        <x:v>1.375</x:v>
      </x:c>
      <x:c r="HH23" s="1659" t="s">
        <x:v>114</x:v>
      </x:c>
      <x:c r="HI23" s="1662" t="s">
        <x:v>117</x:v>
      </x:c>
      <x:c r="HJ23" s="1659" t="s">
        <x:v>117</x:v>
      </x:c>
      <x:c r="HK23" s="1659" t="s">
        <x:v>117</x:v>
      </x:c>
      <x:c r="HL23" s="1659">
        <x:v>3</x:v>
      </x:c>
      <x:c r="HM23" s="1659">
        <x:v>3</x:v>
      </x:c>
      <x:c r="HN23" s="1659" t="s">
        <x:v>117</x:v>
      </x:c>
      <x:c r="HO23" s="1659" t="s">
        <x:v>117</x:v>
      </x:c>
      <x:c r="HP23" s="1659" t="s">
        <x:v>117</x:v>
      </x:c>
      <x:c r="HQ23" s="1662" t="s">
        <x:v>117</x:v>
      </x:c>
      <x:c r="HR23" s="1659" t="s">
        <x:v>117</x:v>
      </x:c>
      <x:c r="HS23" s="1659" t="s">
        <x:v>117</x:v>
      </x:c>
      <x:c r="HT23" s="1659">
        <x:v>0</x:v>
      </x:c>
      <x:c r="HU23" s="1659">
        <x:v>2.25</x:v>
      </x:c>
      <x:c r="HV23" s="1659">
        <x:v>0</x:v>
      </x:c>
      <x:c r="HW23" s="1661">
        <x:v>1.125</x:v>
      </x:c>
      <x:c r="HX23" s="1661">
        <x:v>4</x:v>
      </x:c>
      <x:c r="HY23" s="1661" t="s">
        <x:v>117</x:v>
      </x:c>
      <x:c r="HZ23" s="1661" t="s">
        <x:v>117</x:v>
      </x:c>
      <x:c r="IA23" s="1661" t="s">
        <x:v>2229</x:v>
      </x:c>
      <x:c r="IB23" s="1661"/>
      <x:c r="IC23" s="1661"/>
      <x:c r="ID23" s="1661"/>
      <x:c r="IE23" s="1661"/>
      <x:c r="IF23" s="1663"/>
    </x:row>
    <x:row r="24" spans="1:240" ht="12.6" customHeight="1" x14ac:dyDescent="0.25">
      <x:c r="A24" s="1264" t="s">
        <x:v>1549</x:v>
      </x:c>
      <x:c r="B24" s="1265">
        <x:v>6</x:v>
      </x:c>
      <x:c r="C24" s="1265" t="s">
        <x:v>1978</x:v>
      </x:c>
      <x:c r="D24" s="1261">
        <x:v>59</x:v>
      </x:c>
      <x:c r="E24" s="1366">
        <x:v>0.625</x:v>
      </x:c>
      <x:c r="F24" s="1328">
        <x:v>0</x:v>
      </x:c>
      <x:c r="G24" s="1262">
        <x:v>1.375</x:v>
      </x:c>
      <x:c r="H24" s="1266" t="s">
        <x:v>114</x:v>
      </x:c>
      <x:c r="I24" s="1261" t="str">
        <x:f t="shared" si="99"/>
        <x:v/>
      </x:c>
      <x:c r="J24" s="1262" t="str">
        <x:f t="shared" si="100"/>
        <x:v/>
      </x:c>
      <x:c r="K24" s="1370" t="str">
        <x:f t="shared" si="101"/>
        <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t="str">
        <x:f t="shared" si="105"/>
        <x:v/>
      </x:c>
      <x:c r="U24" s="1262" t="str">
        <x:f t="shared" si="106"/>
        <x:v/>
      </x:c>
      <x:c r="V24" s="1261" t="str">
        <x:f t="shared" si="107"/>
        <x:v/>
      </x:c>
      <x:c r="W24" s="1262" t="str">
        <x:f t="shared" si="108"/>
        <x:v/>
      </x:c>
      <x:c r="X24" s="1329">
        <x:f t="shared" si="109"/>
        <x:v>0</x:v>
      </x:c>
      <x:c r="Y24" s="1377" t="str">
        <x:f t="shared" si="7"/>
        <x:v/>
      </x:c>
      <x:c r="Z24" s="1378" t="str">
        <x:f t="shared" si="8"/>
        <x:v/>
      </x:c>
      <x:c r="AA24" s="2159" t="s">
        <x:v>2233</x:v>
      </x:c>
      <x:c r="AC24" s="1226" t="b">
        <x:v>0</x:v>
      </x:c>
      <x:c r="AD24" s="525">
        <x:f t="shared" si="9"/>
        <x:v>0</x:v>
      </x:c>
      <x:c r="AE24" s="526">
        <x:f t="shared" si="10"/>
        <x:v>6</x:v>
      </x:c>
      <x:c r="AF24" s="526">
        <x:f t="shared" si="11"/>
        <x:v>0</x:v>
      </x:c>
      <x:c r="AG24" s="526">
        <x:f t="shared" si="12"/>
        <x:v>0</x:v>
      </x:c>
      <x:c r="AH24" s="527">
        <x:f t="shared" si="13"/>
        <x:v>0</x:v>
      </x:c>
      <x:c r="AI24" s="528" t="b">
        <x:v>0</x:v>
      </x:c>
      <x:c r="AJ24" s="284">
        <x:f t="shared" si="14"/>
        <x:v>36</x:v>
      </x:c>
      <x:c r="AK24" s="1063" t="str">
        <x:f t="shared" si="15"/>
        <x:v>LH</x:v>
      </x:c>
      <x:c r="AL24" s="1202" t="str">
        <x:f t="shared" si="16"/>
        <x:v/>
      </x:c>
      <x:c r="AM24" s="1063">
        <x:f t="shared" si="17"/>
        <x:v>270</x:v>
      </x:c>
      <x:c r="AN24" s="1063">
        <x:f t="shared" si="18"/>
        <x:v>120</x:v>
      </x:c>
      <x:c r="AO24" s="1063" t="str">
        <x:f t="shared" si="19"/>
        <x:v/>
      </x:c>
      <x:c r="AP24" s="1063" t="b">
        <x:f>IF(ISERROR(AJ24),FALSE,IF(OR(AJ24=0,ISERROR(AL24),ISERROR(AM24),ISERROR(AN24),ISERROR(AO24)),FALSE,IF(AL24&lt;&gt;"",IF(ISERROR(VLOOKUP(SUBSTITUTE(SUBSTITUTE(C24,"R",""),"A",""),TblJoistSize!$A:$A,1,FALSE)),FALSE,TRUE),TRUE)))</x:f>
        <x:v>1</x:v>
      </x:c>
      <x:c r="AQ24" s="1305">
        <x:f t="shared" si="20"/>
        <x:v>7.375</x:v>
      </x:c>
      <x:c r="AR24" s="1305" t="b">
        <x:f t="shared" si="21"/>
        <x:v>0</x:v>
      </x:c>
      <x:c r="AS24" s="1305">
        <x:f t="shared" si="22"/>
        <x:v>6</x:v>
      </x:c>
      <x:c r="AT24" s="1305" t="b">
        <x:f t="shared" si="23"/>
        <x:v>0</x:v>
      </x:c>
      <x:c r="AU24" s="1203" t="str">
        <x:f t="shared" si="24"/>
        <x:v>LH</x:v>
      </x:c>
      <x:c r="AV24" s="1063" t="str">
        <x:f t="shared" si="25"/>
        <x:v/>
      </x:c>
      <x:c r="AW24" s="1063" t="str">
        <x:f t="shared" si="26"/>
        <x:v>LH</x:v>
      </x:c>
      <x:c r="AX24" s="1063" t="str">
        <x:f t="shared" si="102"/>
        <x:v>J225</x:v>
      </x:c>
      <x:c r="AY24" s="1306" t="b">
        <x:f t="shared" si="27"/>
        <x:v>0</x:v>
      </x:c>
      <x:c r="AZ24" s="1090" t="b">
        <x:f t="shared" si="28"/>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29"/>
        <x:v/>
      </x:c>
      <x:c r="CE24" s="935" t="str">
        <x:f t="shared" si="30"/>
        <x:v/>
      </x:c>
      <x:c r="CF24" s="1149"/>
      <x:c r="CG24" s="1150"/>
      <x:c r="CH24" s="738" t="str">
        <x:f t="shared" si="31"/>
        <x:v/>
      </x:c>
      <x:c r="CI24" s="739" t="str">
        <x:f t="shared" si="32"/>
        <x:v/>
      </x:c>
      <x:c r="CJ24" s="740" t="str">
        <x:f t="shared" si="33"/>
        <x:v/>
      </x:c>
      <x:c r="CK24" s="741" t="str">
        <x:f t="shared" si="34"/>
        <x:v/>
      </x:c>
      <x:c r="CL24" s="742" t="str">
        <x:f t="shared" si="35"/>
        <x:v/>
      </x:c>
      <x:c r="CM24" s="743" t="str">
        <x:f t="shared" si="36"/>
        <x:v/>
      </x:c>
      <x:c r="CN24" s="744" t="str">
        <x:f t="shared" si="37"/>
        <x:v/>
      </x:c>
      <x:c r="CO24" s="745" t="str">
        <x:f t="shared" si="38"/>
        <x:v/>
      </x:c>
      <x:c r="CP24" s="762" t="str">
        <x:f t="shared" si="39"/>
        <x:v/>
      </x:c>
      <x:c r="CQ24" s="763" t="str">
        <x:f t="shared" si="40"/>
        <x:v/>
      </x:c>
      <x:c r="CR24" s="953">
        <x:f t="shared" si="41"/>
        <x:v>5</x:v>
      </x:c>
      <x:c r="CS24" s="954">
        <x:f t="shared" si="42"/>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3"/>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4"/>
        <x:v>0</x:v>
      </x:c>
      <x:c r="DO24" s="1049">
        <x:f t="shared" si="45"/>
        <x:v>0</x:v>
      </x:c>
      <x:c r="DP24" s="1053" t="str">
        <x:f t="shared" si="46"/>
        <x:v/>
      </x:c>
      <x:c r="DQ24" s="1053" t="str">
        <x:f t="shared" si="47"/>
        <x:v/>
      </x:c>
      <x:c r="DR24" s="1053" t="str">
        <x:f t="shared" si="48"/>
        <x:v/>
      </x:c>
      <x:c r="DS24" s="1052">
        <x:f t="shared" si="49"/>
        <x:v>0</x:v>
      </x:c>
      <x:c r="DT24" s="1052">
        <x:f t="shared" si="50"/>
        <x:v>0</x:v>
      </x:c>
      <x:c r="DU24" s="1052" t="str">
        <x:f t="shared" si="51"/>
        <x:v/>
      </x:c>
      <x:c r="DV24" s="1053" t="str">
        <x:f t="shared" si="52"/>
        <x:v/>
      </x:c>
      <x:c r="DW24" s="1053" t="str">
        <x:f t="shared" si="53"/>
        <x:v/>
      </x:c>
      <x:c r="DX24" s="1269">
        <x:f t="shared" si="54"/>
        <x:v>0</x:v>
      </x:c>
      <x:c r="DY24" s="1053">
        <x:f t="shared" si="55"/>
        <x:v>0</x:v>
      </x:c>
      <x:c r="DZ24" s="1052">
        <x:f t="shared" si="56"/>
        <x:v>0</x:v>
      </x:c>
      <x:c r="EA24" s="1052" t="str">
        <x:f t="shared" si="57"/>
        <x:v/>
      </x:c>
      <x:c r="EB24" s="1053" t="str">
        <x:f t="shared" si="58"/>
        <x:v/>
      </x:c>
      <x:c r="EC24" s="1053" t="str">
        <x:f t="shared" si="59"/>
        <x:v/>
      </x:c>
      <x:c r="ED24" s="1269">
        <x:f t="shared" si="60"/>
        <x:v>0</x:v>
      </x:c>
      <x:c r="EE24" s="1090" t="str">
        <x:f t="shared" si="61"/>
        <x:v/>
      </x:c>
      <x:c r="EF24" s="1053" t="str">
        <x:f t="shared" si="62"/>
        <x:v/>
      </x:c>
      <x:c r="EG24" s="1053" t="str">
        <x:f t="shared" si="63"/>
        <x:v/>
      </x:c>
      <x:c r="EH24" s="1053" t="str">
        <x:f t="shared" si="64"/>
        <x:v>ERR</x:v>
      </x:c>
      <x:c r="EI24" s="1053" t="str">
        <x:f t="shared" si="65"/>
        <x:v>ERR</x:v>
      </x:c>
      <x:c r="EJ24" s="1053" t="str">
        <x:f t="shared" si="66"/>
        <x:v/>
      </x:c>
      <x:c r="EK24" s="1053" t="str">
        <x:f t="shared" si="66"/>
        <x:v/>
      </x:c>
      <x:c r="EL24" s="1090" t="str">
        <x:f t="shared" si="67"/>
        <x:v/>
      </x:c>
      <x:c r="EM24" s="1053" t="str">
        <x:f t="shared" si="68"/>
        <x:v/>
      </x:c>
      <x:c r="EN24" s="1053" t="str">
        <x:f t="shared" si="69"/>
        <x:v/>
      </x:c>
      <x:c r="EO24" s="1053" t="str">
        <x:f t="shared" si="70"/>
        <x:v>ERR</x:v>
      </x:c>
      <x:c r="EP24" s="1053" t="str">
        <x:f t="shared" si="71"/>
        <x:v>ERR</x:v>
      </x:c>
      <x:c r="EQ24" s="1053" t="str">
        <x:f t="shared" si="72"/>
        <x:v/>
      </x:c>
      <x:c r="ER24" s="1053" t="str">
        <x:f t="shared" si="72"/>
        <x:v/>
      </x:c>
      <x:c r="ES24" s="1053" t="str">
        <x:f t="shared" si="73"/>
        <x:v/>
      </x:c>
      <x:c r="ET24" s="1053" t="str">
        <x:f t="shared" si="74"/>
        <x:v/>
      </x:c>
      <x:c r="EU24" s="1061">
        <x:f t="shared" si="75"/>
        <x:v>4</x:v>
      </x:c>
      <x:c r="EV24" s="1055" t="str">
        <x:f t="shared" si="76"/>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7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78"/>
        <x:v/>
      </x:c>
      <x:c r="FD24" s="1052">
        <x:f t="shared" si="103"/>
        <x:v>0</x:v>
      </x:c>
      <x:c r="FE24" s="1052">
        <x:f t="shared" si="79"/>
        <x:v>0</x:v>
      </x:c>
      <x:c r="FF24" s="1052">
        <x:f t="shared" si="80"/>
        <x:v>0</x:v>
      </x:c>
      <x:c r="FG24" s="1052" t="str">
        <x:f t="shared" si="81"/>
        <x:v/>
      </x:c>
      <x:c r="FH24" s="1053" t="str">
        <x:f t="shared" si="82"/>
        <x:v/>
      </x:c>
      <x:c r="FI24" s="1052">
        <x:f t="shared" si="104"/>
        <x:v>0</x:v>
      </x:c>
      <x:c r="FJ24" s="1052">
        <x:f t="shared" si="83"/>
        <x:v>0</x:v>
      </x:c>
      <x:c r="FK24" s="1052">
        <x:f t="shared" si="84"/>
        <x:v>0</x:v>
      </x:c>
      <x:c r="FL24" s="1052" t="str">
        <x:f t="shared" si="85"/>
        <x:v/>
      </x:c>
      <x:c r="FM24" s="1053" t="str">
        <x:f t="shared" si="86"/>
        <x:v/>
      </x:c>
      <x:c r="FN24" s="1053" t="e">
        <x:f t="shared" si="87"/>
        <x:v>#VALUE!</x:v>
      </x:c>
      <x:c r="FO24" s="1062" t="e">
        <x:f t="shared" si="88"/>
        <x:v>#VALUE!</x:v>
      </x:c>
      <x:c r="FP24" s="1062" t="e">
        <x:f t="shared" si="89"/>
        <x:v>#VALUE!</x:v>
      </x:c>
      <x:c r="FQ24" s="1063" t="e">
        <x:f t="shared" si="90"/>
        <x:v>#VALUE!</x:v>
      </x:c>
      <x:c r="FR24" s="1064" t="e">
        <x:f t="shared" si="91"/>
        <x:v>#VALUE!</x:v>
      </x:c>
      <x:c r="FS24" s="1065" t="str">
        <x:f t="shared" si="92"/>
        <x:v/>
      </x:c>
      <x:c r="FT24" s="1066" t="str">
        <x:f t="shared" si="93"/>
        <x:v/>
      </x:c>
      <x:c r="FU24" s="1105">
        <x:f t="shared" si="94"/>
        <x:v>0</x:v>
      </x:c>
      <x:c r="FV24" s="1106">
        <x:f t="shared" si="95"/>
        <x:v>0</x:v>
      </x:c>
      <x:c r="GA24" s="1975">
        <x:v>59</x:v>
      </x:c>
      <x:c r="GB24" s="1976">
        <x:v>2.75</x:v>
      </x:c>
      <x:c r="GC24" s="1977">
        <x:v>-0.25</x:v>
      </x:c>
      <x:c r="GD24" s="1978">
        <x:v>-1.875</x:v>
      </x:c>
      <x:c r="GE24" s="1979">
        <x:v>-0.26169539219134702</x:v>
      </x:c>
      <x:c r="GF24" s="1980" t="str">
        <x:f t="shared" si="96"/>
        <x:v>J225</x:v>
      </x:c>
      <x:c r="GG24" s="1453"/>
      <x:c r="GH24" s="1454"/>
      <x:c r="GI24" s="1453"/>
      <x:c r="GJ24" s="1454"/>
      <x:c r="GK24" s="533">
        <x:f t="shared" si="97"/>
        <x:v>708.625</x:v>
      </x:c>
      <x:c r="GL24" s="534">
        <x:f t="shared" si="98"/>
        <x:v>708.79348626656247</x:v>
      </x:c>
      <x:c r="GM24" s="535">
        <x:f>IF(ABS(GK24-GL24)&gt;='Job Info.'!$L$22,ABS(GK24-GL24),0)</x:f>
        <x:v>0</x:v>
      </x:c>
      <x:c r="HA24" s="1658" t="s">
        <x:v>1549</x:v>
      </x:c>
      <x:c r="HB24" s="1659">
        <x:v>6</x:v>
      </x:c>
      <x:c r="HC24" s="1659" t="s">
        <x:v>1978</x:v>
      </x:c>
      <x:c r="HD24" s="1660">
        <x:v>59</x:v>
      </x:c>
      <x:c r="HE24" s="1661">
        <x:v>0.625</x:v>
      </x:c>
      <x:c r="HF24" s="1659">
        <x:v>0</x:v>
      </x:c>
      <x:c r="HG24" s="1659">
        <x:v>1.375</x:v>
      </x:c>
      <x:c r="HH24" s="1659" t="s">
        <x:v>114</x:v>
      </x:c>
      <x:c r="HI24" s="1662" t="s">
        <x:v>117</x:v>
      </x:c>
      <x:c r="HJ24" s="1659" t="s">
        <x:v>117</x:v>
      </x:c>
      <x:c r="HK24" s="1659" t="s">
        <x:v>117</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t="s">
        <x:v>117</x:v>
      </x:c>
      <x:c r="HZ24" s="1661" t="s">
        <x:v>117</x:v>
      </x:c>
      <x:c r="IA24" s="1661" t="s">
        <x:v>2233</x:v>
      </x:c>
      <x:c r="IB24" s="1661"/>
      <x:c r="IC24" s="1661"/>
      <x:c r="ID24" s="1661"/>
      <x:c r="IE24" s="1661"/>
      <x:c r="IF24" s="1663"/>
    </x:row>
    <x:row r="25" spans="1:240" ht="12.6" customHeight="1" x14ac:dyDescent="0.25">
      <x:c r="A25" s="1264" t="s">
        <x:v>1550</x:v>
      </x:c>
      <x:c r="B25" s="1265">
        <x:v>1</x:v>
      </x:c>
      <x:c r="C25" s="1265" t="s">
        <x:v>1978</x:v>
      </x:c>
      <x:c r="D25" s="1261">
        <x:v>58</x:v>
      </x:c>
      <x:c r="E25" s="1366">
        <x:v>11.875</x:v>
      </x:c>
      <x:c r="F25" s="1328">
        <x:v>0</x:v>
      </x:c>
      <x:c r="G25" s="1262">
        <x:v>0.625</x:v>
      </x:c>
      <x:c r="H25" s="1266" t="s">
        <x:v>114</x:v>
      </x:c>
      <x:c r="I25" s="1261" t="str">
        <x:f t="shared" si="99"/>
        <x:v/>
      </x:c>
      <x:c r="J25" s="1262" t="str">
        <x:f t="shared" si="100"/>
        <x:v/>
      </x:c>
      <x:c r="K25" s="1370" t="str">
        <x:f t="shared" si="101"/>
        <x:v/>
      </x:c>
      <x:c r="L25" s="1327">
        <x:v>3</x:v>
      </x:c>
      <x:c r="M25" s="1329">
        <x:v>3</x:v>
      </x:c>
      <x:c r="N25" s="1263">
        <x:v>0</x:v>
      </x:c>
      <x:c r="O25" s="1262">
        <x:v>6.75</x:v>
      </x:c>
      <x:c r="P25" s="1260">
        <x:v>2</x:v>
      </x:c>
      <x:c r="Q25" s="1261" t="str">
        <x:f t="shared" si="4"/>
        <x:v/>
      </x:c>
      <x:c r="R25" s="1262" t="str">
        <x:f t="shared" si="5"/>
        <x:v/>
      </x:c>
      <x:c r="S25" s="1375" t="str">
        <x:f t="shared" si="6"/>
        <x:v/>
      </x:c>
      <x:c r="T25" s="1328">
        <x:v>0</x:v>
      </x:c>
      <x:c r="U25" s="1262">
        <x:v>1.5</x:v>
      </x:c>
      <x:c r="V25" s="1261">
        <x:v>0</x:v>
      </x:c>
      <x:c r="W25" s="1262">
        <x:v>1.125</x:v>
      </x:c>
      <x:c r="X25" s="1329">
        <x:v>4</x:v>
      </x:c>
      <x:c r="Y25" s="1377" t="str">
        <x:f t="shared" si="7"/>
        <x:v/>
      </x:c>
      <x:c r="Z25" s="1378" t="str">
        <x:f t="shared" si="8"/>
        <x:v/>
      </x:c>
      <x:c r="AA25" s="2159" t="s">
        <x:v>2234</x:v>
      </x:c>
      <x:c r="AC25" s="1226" t="b">
        <x:v>0</x:v>
      </x:c>
      <x:c r="AD25" s="525">
        <x:f t="shared" si="9"/>
        <x:v>0</x:v>
      </x:c>
      <x:c r="AE25" s="526">
        <x:f t="shared" si="10"/>
        <x:v>1</x:v>
      </x:c>
      <x:c r="AF25" s="526">
        <x:f t="shared" si="11"/>
        <x:v>0</x:v>
      </x:c>
      <x:c r="AG25" s="526">
        <x:f t="shared" si="12"/>
        <x:v>0</x:v>
      </x:c>
      <x:c r="AH25" s="527">
        <x:f t="shared" si="13"/>
        <x:v>0</x:v>
      </x:c>
      <x:c r="AI25" s="528" t="b">
        <x:v>0</x:v>
      </x:c>
      <x:c r="AJ25" s="284">
        <x:f t="shared" si="14"/>
        <x:v>36</x:v>
      </x:c>
      <x:c r="AK25" s="1063" t="str">
        <x:f t="shared" si="15"/>
        <x:v>LH</x:v>
      </x:c>
      <x:c r="AL25" s="1202" t="str">
        <x:f t="shared" si="16"/>
        <x:v/>
      </x:c>
      <x:c r="AM25" s="1063">
        <x:f t="shared" si="17"/>
        <x:v>270</x:v>
      </x:c>
      <x:c r="AN25" s="1063">
        <x:f t="shared" si="18"/>
        <x:v>120</x:v>
      </x:c>
      <x:c r="AO25" s="1063" t="str">
        <x:f t="shared" si="19"/>
        <x:v/>
      </x:c>
      <x:c r="AP25" s="1063" t="b">
        <x:f>IF(ISERROR(AJ25),FALSE,IF(OR(AJ25=0,ISERROR(AL25),ISERROR(AM25),ISERROR(AN25),ISERROR(AO25)),FALSE,IF(AL25&lt;&gt;"",IF(ISERROR(VLOOKUP(SUBSTITUTE(SUBSTITUTE(C25,"R",""),"A",""),TblJoistSize!$A:$A,1,FALSE)),FALSE,TRUE),TRUE)))</x:f>
        <x:v>1</x:v>
      </x:c>
      <x:c r="AQ25" s="1305">
        <x:f t="shared" si="20"/>
        <x:v>6.625</x:v>
      </x:c>
      <x:c r="AR25" s="1305" t="b">
        <x:f t="shared" si="21"/>
        <x:v>1</x:v>
      </x:c>
      <x:c r="AS25" s="1305">
        <x:f t="shared" si="22"/>
        <x:v>6</x:v>
      </x:c>
      <x:c r="AT25" s="1305" t="b">
        <x:f t="shared" si="23"/>
        <x:v>1</x:v>
      </x:c>
      <x:c r="AU25" s="1203" t="str">
        <x:f t="shared" si="24"/>
        <x:v>LH</x:v>
      </x:c>
      <x:c r="AV25" s="1063" t="str">
        <x:f t="shared" si="25"/>
        <x:v/>
      </x:c>
      <x:c r="AW25" s="1063" t="str">
        <x:f t="shared" si="26"/>
        <x:v>LH</x:v>
      </x:c>
      <x:c r="AX25" s="1063" t="str">
        <x:f t="shared" si="102"/>
        <x:v>TJ226</x:v>
      </x:c>
      <x:c r="AY25" s="1306" t="b">
        <x:f t="shared" si="27"/>
        <x:v>0</x:v>
      </x:c>
      <x:c r="AZ25" s="1090" t="b">
        <x:f t="shared" si="28"/>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29"/>
        <x:v/>
      </x:c>
      <x:c r="CE25" s="935" t="str">
        <x:f t="shared" si="30"/>
        <x:v/>
      </x:c>
      <x:c r="CF25" s="1149"/>
      <x:c r="CG25" s="1150"/>
      <x:c r="CH25" s="738" t="str">
        <x:f t="shared" si="31"/>
        <x:v/>
      </x:c>
      <x:c r="CI25" s="739" t="str">
        <x:f t="shared" si="32"/>
        <x:v/>
      </x:c>
      <x:c r="CJ25" s="740" t="str">
        <x:f t="shared" si="33"/>
        <x:v/>
      </x:c>
      <x:c r="CK25" s="741" t="str">
        <x:f t="shared" si="34"/>
        <x:v/>
      </x:c>
      <x:c r="CL25" s="742" t="str">
        <x:f t="shared" si="35"/>
        <x:v/>
      </x:c>
      <x:c r="CM25" s="743" t="str">
        <x:f t="shared" si="36"/>
        <x:v/>
      </x:c>
      <x:c r="CN25" s="744" t="str">
        <x:f t="shared" si="37"/>
        <x:v/>
      </x:c>
      <x:c r="CO25" s="745" t="str">
        <x:f t="shared" si="38"/>
        <x:v/>
      </x:c>
      <x:c r="CP25" s="762" t="str">
        <x:f t="shared" si="39"/>
        <x:v/>
      </x:c>
      <x:c r="CQ25" s="763" t="str">
        <x:f t="shared" si="40"/>
        <x:v/>
      </x:c>
      <x:c r="CR25" s="953">
        <x:f t="shared" si="41"/>
        <x:v>5</x:v>
      </x:c>
      <x:c r="CS25" s="954">
        <x:f t="shared" si="42"/>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3"/>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4"/>
        <x:v>0</x:v>
      </x:c>
      <x:c r="DO25" s="1049">
        <x:f t="shared" si="45"/>
        <x:v>0</x:v>
      </x:c>
      <x:c r="DP25" s="1053" t="str">
        <x:f t="shared" si="46"/>
        <x:v/>
      </x:c>
      <x:c r="DQ25" s="1053" t="str">
        <x:f t="shared" si="47"/>
        <x:v/>
      </x:c>
      <x:c r="DR25" s="1053" t="str">
        <x:f t="shared" si="48"/>
        <x:v/>
      </x:c>
      <x:c r="DS25" s="1052">
        <x:f t="shared" si="49"/>
        <x:v>0</x:v>
      </x:c>
      <x:c r="DT25" s="1052">
        <x:f t="shared" si="50"/>
        <x:v>0</x:v>
      </x:c>
      <x:c r="DU25" s="1052" t="str">
        <x:f t="shared" si="51"/>
        <x:v/>
      </x:c>
      <x:c r="DV25" s="1053" t="str">
        <x:f t="shared" si="52"/>
        <x:v/>
      </x:c>
      <x:c r="DW25" s="1053" t="str">
        <x:f t="shared" si="53"/>
        <x:v/>
      </x:c>
      <x:c r="DX25" s="1269">
        <x:f t="shared" si="54"/>
        <x:v>0</x:v>
      </x:c>
      <x:c r="DY25" s="1053">
        <x:f t="shared" si="55"/>
        <x:v>0</x:v>
      </x:c>
      <x:c r="DZ25" s="1052">
        <x:f t="shared" si="56"/>
        <x:v>0</x:v>
      </x:c>
      <x:c r="EA25" s="1052" t="str">
        <x:f t="shared" si="57"/>
        <x:v/>
      </x:c>
      <x:c r="EB25" s="1053" t="str">
        <x:f t="shared" si="58"/>
        <x:v/>
      </x:c>
      <x:c r="EC25" s="1053" t="str">
        <x:f t="shared" si="59"/>
        <x:v/>
      </x:c>
      <x:c r="ED25" s="1269">
        <x:f t="shared" si="60"/>
        <x:v>0</x:v>
      </x:c>
      <x:c r="EE25" s="1090" t="str">
        <x:f t="shared" si="61"/>
        <x:v/>
      </x:c>
      <x:c r="EF25" s="1053" t="str">
        <x:f t="shared" si="62"/>
        <x:v/>
      </x:c>
      <x:c r="EG25" s="1053" t="str">
        <x:f t="shared" si="63"/>
        <x:v/>
      </x:c>
      <x:c r="EH25" s="1053" t="str">
        <x:f t="shared" si="64"/>
        <x:v>ERR</x:v>
      </x:c>
      <x:c r="EI25" s="1053" t="str">
        <x:f t="shared" si="65"/>
        <x:v>ERR</x:v>
      </x:c>
      <x:c r="EJ25" s="1053" t="str">
        <x:f t="shared" si="66"/>
        <x:v/>
      </x:c>
      <x:c r="EK25" s="1053" t="str">
        <x:f t="shared" si="66"/>
        <x:v/>
      </x:c>
      <x:c r="EL25" s="1090" t="str">
        <x:f t="shared" si="67"/>
        <x:v/>
      </x:c>
      <x:c r="EM25" s="1053" t="str">
        <x:f t="shared" si="68"/>
        <x:v/>
      </x:c>
      <x:c r="EN25" s="1053" t="str">
        <x:f t="shared" si="69"/>
        <x:v/>
      </x:c>
      <x:c r="EO25" s="1053" t="str">
        <x:f t="shared" si="70"/>
        <x:v>ERR</x:v>
      </x:c>
      <x:c r="EP25" s="1053" t="str">
        <x:f t="shared" si="71"/>
        <x:v>ERR</x:v>
      </x:c>
      <x:c r="EQ25" s="1053" t="str">
        <x:f t="shared" si="72"/>
        <x:v/>
      </x:c>
      <x:c r="ER25" s="1053" t="str">
        <x:f t="shared" si="72"/>
        <x:v/>
      </x:c>
      <x:c r="ES25" s="1053" t="str">
        <x:f t="shared" si="73"/>
        <x:v/>
      </x:c>
      <x:c r="ET25" s="1053" t="str">
        <x:f t="shared" si="74"/>
        <x:v/>
      </x:c>
      <x:c r="EU25" s="1061">
        <x:f t="shared" si="75"/>
        <x:v>4</x:v>
      </x:c>
      <x:c r="EV25" s="1055" t="str">
        <x:f t="shared" si="76"/>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7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78"/>
        <x:v/>
      </x:c>
      <x:c r="FD25" s="1052">
        <x:f t="shared" si="103"/>
        <x:v>0</x:v>
      </x:c>
      <x:c r="FE25" s="1052">
        <x:f t="shared" si="79"/>
        <x:v>0</x:v>
      </x:c>
      <x:c r="FF25" s="1052">
        <x:f t="shared" si="80"/>
        <x:v>0</x:v>
      </x:c>
      <x:c r="FG25" s="1052" t="str">
        <x:f t="shared" si="81"/>
        <x:v/>
      </x:c>
      <x:c r="FH25" s="1053" t="str">
        <x:f t="shared" si="82"/>
        <x:v/>
      </x:c>
      <x:c r="FI25" s="1052">
        <x:f t="shared" si="104"/>
        <x:v>0</x:v>
      </x:c>
      <x:c r="FJ25" s="1052">
        <x:f t="shared" si="83"/>
        <x:v>0</x:v>
      </x:c>
      <x:c r="FK25" s="1052">
        <x:f t="shared" si="84"/>
        <x:v>0</x:v>
      </x:c>
      <x:c r="FL25" s="1052" t="str">
        <x:f t="shared" si="85"/>
        <x:v/>
      </x:c>
      <x:c r="FM25" s="1053" t="str">
        <x:f t="shared" si="86"/>
        <x:v/>
      </x:c>
      <x:c r="FN25" s="1053" t="e">
        <x:f t="shared" si="87"/>
        <x:v>#VALUE!</x:v>
      </x:c>
      <x:c r="FO25" s="1062" t="e">
        <x:f t="shared" si="88"/>
        <x:v>#VALUE!</x:v>
      </x:c>
      <x:c r="FP25" s="1062" t="e">
        <x:f t="shared" si="89"/>
        <x:v>#VALUE!</x:v>
      </x:c>
      <x:c r="FQ25" s="1063" t="e">
        <x:f t="shared" si="90"/>
        <x:v>#VALUE!</x:v>
      </x:c>
      <x:c r="FR25" s="1064" t="e">
        <x:f t="shared" si="91"/>
        <x:v>#VALUE!</x:v>
      </x:c>
      <x:c r="FS25" s="1065" t="str">
        <x:f t="shared" si="92"/>
        <x:v/>
      </x:c>
      <x:c r="FT25" s="1066" t="str">
        <x:f t="shared" si="93"/>
        <x:v/>
      </x:c>
      <x:c r="FU25" s="1105">
        <x:f t="shared" si="94"/>
        <x:v>0</x:v>
      </x:c>
      <x:c r="FV25" s="1106">
        <x:f t="shared" si="95"/>
        <x:v>0</x:v>
      </x:c>
      <x:c r="GA25" s="1975">
        <x:v>59</x:v>
      </x:c>
      <x:c r="GB25" s="1976">
        <x:v>2.75</x:v>
      </x:c>
      <x:c r="GC25" s="1977">
        <x:v>-1</x:v>
      </x:c>
      <x:c r="GD25" s="1978">
        <x:v>-1.875</x:v>
      </x:c>
      <x:c r="GE25" s="1979">
        <x:v>-0.26169539219134702</x:v>
      </x:c>
      <x:c r="GF25" s="1980" t="str">
        <x:f t="shared" si="96"/>
        <x:v>TJ226</x:v>
      </x:c>
      <x:c r="GG25" s="1453"/>
      <x:c r="GH25" s="1454"/>
      <x:c r="GI25" s="1453"/>
      <x:c r="GJ25" s="1454"/>
      <x:c r="GK25" s="533">
        <x:f t="shared" si="97"/>
        <x:v>707.875</x:v>
      </x:c>
      <x:c r="GL25" s="534">
        <x:f t="shared" si="98"/>
        <x:v>708.04330794276643</x:v>
      </x:c>
      <x:c r="GM25" s="535">
        <x:f>IF(ABS(GK25-GL25)&gt;='Job Info.'!$L$22,ABS(GK25-GL25),0)</x:f>
        <x:v>0</x:v>
      </x:c>
      <x:c r="HA25" s="1658" t="s">
        <x:v>1550</x:v>
      </x:c>
      <x:c r="HB25" s="1659">
        <x:v>1</x:v>
      </x:c>
      <x:c r="HC25" s="1659" t="s">
        <x:v>1978</x:v>
      </x:c>
      <x:c r="HD25" s="1660">
        <x:v>58</x:v>
      </x:c>
      <x:c r="HE25" s="1661">
        <x:v>11.875</x:v>
      </x:c>
      <x:c r="HF25" s="1659">
        <x:v>0</x:v>
      </x:c>
      <x:c r="HG25" s="1659">
        <x:v>0.625</x:v>
      </x:c>
      <x:c r="HH25" s="1659" t="s">
        <x:v>114</x:v>
      </x:c>
      <x:c r="HI25" s="1662" t="s">
        <x:v>117</x:v>
      </x:c>
      <x:c r="HJ25" s="1659" t="s">
        <x:v>117</x:v>
      </x:c>
      <x:c r="HK25" s="1659" t="s">
        <x:v>117</x:v>
      </x:c>
      <x:c r="HL25" s="1659">
        <x:v>3</x:v>
      </x:c>
      <x:c r="HM25" s="1659">
        <x:v>3</x:v>
      </x:c>
      <x:c r="HN25" s="1659">
        <x:v>0</x:v>
      </x:c>
      <x:c r="HO25" s="1659">
        <x:v>6.75</x:v>
      </x:c>
      <x:c r="HP25" s="1659">
        <x:v>2</x:v>
      </x:c>
      <x:c r="HQ25" s="1662" t="s">
        <x:v>117</x:v>
      </x:c>
      <x:c r="HR25" s="1659" t="s">
        <x:v>117</x:v>
      </x:c>
      <x:c r="HS25" s="1659" t="s">
        <x:v>117</x:v>
      </x:c>
      <x:c r="HT25" s="1659">
        <x:v>0</x:v>
      </x:c>
      <x:c r="HU25" s="1659">
        <x:v>1.5</x:v>
      </x:c>
      <x:c r="HV25" s="1659">
        <x:v>0</x:v>
      </x:c>
      <x:c r="HW25" s="1661">
        <x:v>1.125</x:v>
      </x:c>
      <x:c r="HX25" s="1661">
        <x:v>4</x:v>
      </x:c>
      <x:c r="HY25" s="1661" t="s">
        <x:v>117</x:v>
      </x:c>
      <x:c r="HZ25" s="1661" t="s">
        <x:v>117</x:v>
      </x:c>
      <x:c r="IA25" s="1661" t="s">
        <x:v>2234</x:v>
      </x:c>
      <x:c r="IB25" s="1661"/>
      <x:c r="IC25" s="1661"/>
      <x:c r="ID25" s="1661"/>
      <x:c r="IE25" s="1661"/>
      <x:c r="IF25" s="1663"/>
    </x:row>
    <x:row r="26" spans="1:240" ht="12.6" customHeight="1" x14ac:dyDescent="0.25">
      <x:c r="A26" s="1264" t="s">
        <x:v>1551</x:v>
      </x:c>
      <x:c r="B26" s="1265">
        <x:v>1</x:v>
      </x:c>
      <x:c r="C26" s="1265" t="s">
        <x:v>1981</x:v>
      </x:c>
      <x:c r="D26" s="1261">
        <x:v>7</x:v>
      </x:c>
      <x:c r="E26" s="1366">
        <x:v>4.75</x:v>
      </x:c>
      <x:c r="F26" s="1328">
        <x:v>0</x:v>
      </x:c>
      <x:c r="G26" s="1262">
        <x:v>1.375</x:v>
      </x:c>
      <x:c r="H26" s="1266" t="s">
        <x:v>114</x:v>
      </x:c>
      <x:c r="I26" s="1261">
        <x:v>0</x:v>
      </x:c>
      <x:c r="J26" s="2122">
        <x:v>2</x:v>
      </x:c>
      <x:c r="K26" s="1370" t="s">
        <x:v>114</x:v>
      </x:c>
      <x:c r="L26" s="1327">
        <x:v>3</x:v>
      </x:c>
      <x:c r="M26" s="1329">
        <x:v>3</x:v>
      </x:c>
      <x:c r="N26" s="1263" t="str">
        <x:f t="shared" si="1"/>
        <x:v/>
      </x:c>
      <x:c r="O26" s="1262" t="str">
        <x:f t="shared" si="2"/>
        <x:v/>
      </x:c>
      <x:c r="P26" s="1260" t="str">
        <x:f t="shared" si="3"/>
        <x:v/>
      </x:c>
      <x:c r="Q26" s="1261" t="str">
        <x:f t="shared" si="4"/>
        <x:v/>
      </x:c>
      <x:c r="R26" s="1262" t="str">
        <x:f t="shared" si="5"/>
        <x:v/>
      </x:c>
      <x:c r="S26" s="1375" t="str">
        <x:f t="shared" si="6"/>
        <x:v/>
      </x:c>
      <x:c r="T26" s="1328" t="str">
        <x:f t="shared" si="105"/>
        <x:v/>
      </x:c>
      <x:c r="U26" s="1262" t="str">
        <x:f t="shared" si="106"/>
        <x:v/>
      </x:c>
      <x:c r="V26" s="1261" t="str">
        <x:f t="shared" si="107"/>
        <x:v/>
      </x:c>
      <x:c r="W26" s="1262" t="str">
        <x:f t="shared" si="108"/>
        <x:v/>
      </x:c>
      <x:c r="X26" s="1329">
        <x:f t="shared" si="109"/>
        <x:v>0</x:v>
      </x:c>
      <x:c r="Y26" s="1377" t="str">
        <x:f t="shared" si="7"/>
        <x:v/>
      </x:c>
      <x:c r="Z26" s="1378" t="str">
        <x:f t="shared" si="8"/>
        <x:v/>
      </x:c>
      <x:c r="AA26" s="2211"/>
      <x:c r="AC26" s="1226" t="b">
        <x:v>0</x:v>
      </x:c>
      <x:c r="AD26" s="525">
        <x:f t="shared" si="9"/>
        <x:v>0</x:v>
      </x:c>
      <x:c r="AE26" s="526">
        <x:f t="shared" si="10"/>
        <x:v>0</x:v>
      </x:c>
      <x:c r="AF26" s="526">
        <x:f t="shared" si="11"/>
        <x:v>1</x:v>
      </x:c>
      <x:c r="AG26" s="526">
        <x:f t="shared" si="12"/>
        <x:v>0</x:v>
      </x:c>
      <x:c r="AH26" s="527">
        <x:f t="shared" si="13"/>
        <x:v>0</x:v>
      </x:c>
      <x:c r="AI26" s="528" t="b">
        <x:v>0</x:v>
      </x:c>
      <x:c r="AJ26" s="284">
        <x:f t="shared" si="14"/>
        <x:v>2.5</x:v>
      </x:c>
      <x:c r="AK26" s="1063" t="str">
        <x:f t="shared" si="15"/>
        <x:v>K</x:v>
      </x:c>
      <x:c r="AL26" s="1202" t="str">
        <x:f t="shared" si="16"/>
        <x:v/>
      </x:c>
      <x:c r="AM26" s="1063">
        <x:f t="shared" si="17"/>
        <x:v>310</x:v>
      </x:c>
      <x:c r="AN26" s="1063">
        <x:f t="shared" si="18"/>
        <x:v>160</x:v>
      </x:c>
      <x:c r="AO26" s="1063" t="str">
        <x:f t="shared" si="19"/>
        <x:v/>
      </x:c>
      <x:c r="AP26" s="1063" t="b">
        <x:f>IF(ISERROR(AJ26),FALSE,IF(OR(AJ26=0,ISERROR(AL26),ISERROR(AM26),ISERROR(AN26),ISERROR(AO26)),FALSE,IF(AL26&lt;&gt;"",IF(ISERROR(VLOOKUP(SUBSTITUTE(SUBSTITUTE(C26,"R",""),"A",""),TblJoistSize!$A:$A,1,FALSE)),FALSE,TRUE),TRUE)))</x:f>
        <x:v>1</x:v>
      </x:c>
      <x:c r="AQ26" s="1305">
        <x:f t="shared" si="20"/>
        <x:v>5.375</x:v>
      </x:c>
      <x:c r="AR26" s="1305" t="b">
        <x:f t="shared" si="21"/>
        <x:v>0</x:v>
      </x:c>
      <x:c r="AS26" s="1305">
        <x:f t="shared" si="22"/>
        <x:v>6</x:v>
      </x:c>
      <x:c r="AT26" s="1305" t="b">
        <x:f t="shared" si="23"/>
        <x:v>0</x:v>
      </x:c>
      <x:c r="AU26" s="1203" t="str">
        <x:f t="shared" si="24"/>
        <x:v>JS</x:v>
      </x:c>
      <x:c r="AV26" s="1063" t="str">
        <x:f t="shared" si="25"/>
        <x:v>K</x:v>
      </x:c>
      <x:c r="AW26" s="1063" t="str">
        <x:f t="shared" si="26"/>
        <x:v/>
      </x:c>
      <x:c r="AX26" s="1063" t="str">
        <x:f t="shared" si="102"/>
        <x:v>J227</x:v>
      </x:c>
      <x:c r="AY26" s="1306" t="b">
        <x:f t="shared" si="27"/>
        <x:v>0</x:v>
      </x:c>
      <x:c r="AZ26" s="1090" t="b">
        <x:f t="shared" si="28"/>
        <x:v>1</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29"/>
        <x:v/>
      </x:c>
      <x:c r="CE26" s="935" t="str">
        <x:f t="shared" si="30"/>
        <x:v/>
      </x:c>
      <x:c r="CF26" s="1149"/>
      <x:c r="CG26" s="1150"/>
      <x:c r="CH26" s="738" t="str">
        <x:f t="shared" si="31"/>
        <x:v/>
      </x:c>
      <x:c r="CI26" s="739" t="str">
        <x:f t="shared" si="32"/>
        <x:v/>
      </x:c>
      <x:c r="CJ26" s="740" t="str">
        <x:f t="shared" si="33"/>
        <x:v/>
      </x:c>
      <x:c r="CK26" s="741" t="str">
        <x:f t="shared" si="34"/>
        <x:v/>
      </x:c>
      <x:c r="CL26" s="742" t="str">
        <x:f t="shared" si="35"/>
        <x:v/>
      </x:c>
      <x:c r="CM26" s="743" t="str">
        <x:f t="shared" si="36"/>
        <x:v/>
      </x:c>
      <x:c r="CN26" s="744" t="str">
        <x:f t="shared" si="37"/>
        <x:v/>
      </x:c>
      <x:c r="CO26" s="745" t="str">
        <x:f t="shared" si="38"/>
        <x:v/>
      </x:c>
      <x:c r="CP26" s="762" t="str">
        <x:f t="shared" si="39"/>
        <x:v/>
      </x:c>
      <x:c r="CQ26" s="763" t="str">
        <x:f t="shared" si="40"/>
        <x:v/>
      </x:c>
      <x:c r="CR26" s="953">
        <x:f t="shared" si="41"/>
        <x:v>2.5</x:v>
      </x:c>
      <x:c r="CS26" s="954">
        <x:f t="shared" si="42"/>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3"/>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4"/>
        <x:v>0</x:v>
      </x:c>
      <x:c r="DO26" s="1049">
        <x:f t="shared" si="45"/>
        <x:v>0</x:v>
      </x:c>
      <x:c r="DP26" s="1053" t="str">
        <x:f t="shared" si="46"/>
        <x:v/>
      </x:c>
      <x:c r="DQ26" s="1053" t="str">
        <x:f t="shared" si="47"/>
        <x:v/>
      </x:c>
      <x:c r="DR26" s="1053" t="str">
        <x:f t="shared" si="48"/>
        <x:v/>
      </x:c>
      <x:c r="DS26" s="1052">
        <x:f t="shared" si="49"/>
        <x:v>0</x:v>
      </x:c>
      <x:c r="DT26" s="1052">
        <x:f t="shared" si="50"/>
        <x:v>0</x:v>
      </x:c>
      <x:c r="DU26" s="1052" t="str">
        <x:f t="shared" si="51"/>
        <x:v/>
      </x:c>
      <x:c r="DV26" s="1053" t="str">
        <x:f t="shared" si="52"/>
        <x:v/>
      </x:c>
      <x:c r="DW26" s="1053" t="str">
        <x:f t="shared" si="53"/>
        <x:v/>
      </x:c>
      <x:c r="DX26" s="1269">
        <x:f t="shared" si="54"/>
        <x:v>0</x:v>
      </x:c>
      <x:c r="DY26" s="1053">
        <x:f t="shared" si="55"/>
        <x:v>0</x:v>
      </x:c>
      <x:c r="DZ26" s="1052">
        <x:f t="shared" si="56"/>
        <x:v>0</x:v>
      </x:c>
      <x:c r="EA26" s="1052" t="str">
        <x:f t="shared" si="57"/>
        <x:v/>
      </x:c>
      <x:c r="EB26" s="1053" t="str">
        <x:f t="shared" si="58"/>
        <x:v/>
      </x:c>
      <x:c r="EC26" s="1053" t="str">
        <x:f t="shared" si="59"/>
        <x:v/>
      </x:c>
      <x:c r="ED26" s="1269">
        <x:f t="shared" si="60"/>
        <x:v>0</x:v>
      </x:c>
      <x:c r="EE26" s="1090" t="str">
        <x:f t="shared" si="61"/>
        <x:v/>
      </x:c>
      <x:c r="EF26" s="1053" t="str">
        <x:f t="shared" si="62"/>
        <x:v/>
      </x:c>
      <x:c r="EG26" s="1053" t="str">
        <x:f t="shared" si="63"/>
        <x:v/>
      </x:c>
      <x:c r="EH26" s="1053" t="str">
        <x:f t="shared" si="64"/>
        <x:v>ERR</x:v>
      </x:c>
      <x:c r="EI26" s="1053" t="str">
        <x:f t="shared" si="65"/>
        <x:v>ERR</x:v>
      </x:c>
      <x:c r="EJ26" s="1053" t="str">
        <x:f t="shared" si="66"/>
        <x:v/>
      </x:c>
      <x:c r="EK26" s="1053" t="str">
        <x:f t="shared" si="66"/>
        <x:v/>
      </x:c>
      <x:c r="EL26" s="1090" t="str">
        <x:f t="shared" si="67"/>
        <x:v/>
      </x:c>
      <x:c r="EM26" s="1053" t="str">
        <x:f t="shared" si="68"/>
        <x:v/>
      </x:c>
      <x:c r="EN26" s="1053" t="str">
        <x:f t="shared" si="69"/>
        <x:v/>
      </x:c>
      <x:c r="EO26" s="1053" t="str">
        <x:f t="shared" si="70"/>
        <x:v>ERR</x:v>
      </x:c>
      <x:c r="EP26" s="1053" t="str">
        <x:f t="shared" si="71"/>
        <x:v>ERR</x:v>
      </x:c>
      <x:c r="EQ26" s="1053" t="str">
        <x:f t="shared" si="72"/>
        <x:v/>
      </x:c>
      <x:c r="ER26" s="1053" t="str">
        <x:f t="shared" si="72"/>
        <x:v/>
      </x:c>
      <x:c r="ES26" s="1053" t="str">
        <x:f t="shared" si="73"/>
        <x:v/>
      </x:c>
      <x:c r="ET26" s="1053" t="str">
        <x:f t="shared" si="74"/>
        <x:v/>
      </x:c>
      <x:c r="EU26" s="1061">
        <x:f t="shared" si="75"/>
        <x:v>3.5</x:v>
      </x:c>
      <x:c r="EV26" s="1055" t="str">
        <x:f t="shared" si="76"/>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7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78"/>
        <x:v/>
      </x:c>
      <x:c r="FD26" s="1052">
        <x:f t="shared" si="103"/>
        <x:v>0</x:v>
      </x:c>
      <x:c r="FE26" s="1052">
        <x:f t="shared" si="79"/>
        <x:v>0</x:v>
      </x:c>
      <x:c r="FF26" s="1052">
        <x:f t="shared" si="80"/>
        <x:v>0</x:v>
      </x:c>
      <x:c r="FG26" s="1052" t="str">
        <x:f t="shared" si="81"/>
        <x:v/>
      </x:c>
      <x:c r="FH26" s="1053" t="str">
        <x:f t="shared" si="82"/>
        <x:v/>
      </x:c>
      <x:c r="FI26" s="1052">
        <x:f t="shared" si="104"/>
        <x:v>0</x:v>
      </x:c>
      <x:c r="FJ26" s="1052">
        <x:f t="shared" si="83"/>
        <x:v>0</x:v>
      </x:c>
      <x:c r="FK26" s="1052">
        <x:f t="shared" si="84"/>
        <x:v>0</x:v>
      </x:c>
      <x:c r="FL26" s="1052" t="str">
        <x:f t="shared" si="85"/>
        <x:v/>
      </x:c>
      <x:c r="FM26" s="1053" t="str">
        <x:f t="shared" si="86"/>
        <x:v/>
      </x:c>
      <x:c r="FN26" s="1053" t="e">
        <x:f t="shared" si="87"/>
        <x:v>#VALUE!</x:v>
      </x:c>
      <x:c r="FO26" s="1062" t="e">
        <x:f t="shared" si="88"/>
        <x:v>#VALUE!</x:v>
      </x:c>
      <x:c r="FP26" s="1062" t="e">
        <x:f t="shared" si="89"/>
        <x:v>#VALUE!</x:v>
      </x:c>
      <x:c r="FQ26" s="1063" t="e">
        <x:f t="shared" si="90"/>
        <x:v>#VALUE!</x:v>
      </x:c>
      <x:c r="FR26" s="1064" t="e">
        <x:f t="shared" si="91"/>
        <x:v>#VALUE!</x:v>
      </x:c>
      <x:c r="FS26" s="1065" t="str">
        <x:f t="shared" si="92"/>
        <x:v/>
      </x:c>
      <x:c r="FT26" s="1066" t="str">
        <x:f t="shared" si="93"/>
        <x:v/>
      </x:c>
      <x:c r="FU26" s="1105">
        <x:f t="shared" si="94"/>
        <x:v>0</x:v>
      </x:c>
      <x:c r="FV26" s="1106">
        <x:f t="shared" si="95"/>
        <x:v>0</x:v>
      </x:c>
      <x:c r="GA26" s="1975">
        <x:v>7</x:v>
      </x:c>
      <x:c r="GB26" s="1976">
        <x:v>5.5</x:v>
      </x:c>
      <x:c r="GC26" s="1977">
        <x:v>-0.25</x:v>
      </x:c>
      <x:c r="GD26" s="1978">
        <x:v>-0.5</x:v>
      </x:c>
      <x:c r="GE26" s="1979">
        <x:v>-0.22554508383869701</x:v>
      </x:c>
      <x:c r="GF26" s="1980" t="str">
        <x:f t="shared" si="96"/>
        <x:v>J227</x:v>
      </x:c>
      <x:c r="GG26" s="1453"/>
      <x:c r="GH26" s="1454"/>
      <x:c r="GI26" s="1453"/>
      <x:c r="GJ26" s="1454"/>
      <x:c r="GK26" s="533">
        <x:f t="shared" si="97"/>
        <x:v>88.75</x:v>
      </x:c>
      <x:c r="GL26" s="534">
        <x:f t="shared" si="98"/>
        <x:v>88.765674881058715</x:v>
      </x:c>
      <x:c r="GM26" s="535">
        <x:f>IF(ABS(GK26-GL26)&gt;='Job Info.'!$L$22,ABS(GK26-GL26),0)</x:f>
        <x:v>0</x:v>
      </x:c>
      <x:c r="HA26" s="1658" t="s">
        <x:v>1551</x:v>
      </x:c>
      <x:c r="HB26" s="1659">
        <x:v>1</x:v>
      </x:c>
      <x:c r="HC26" s="1659" t="s">
        <x:v>1981</x:v>
      </x:c>
      <x:c r="HD26" s="1660">
        <x:v>7</x:v>
      </x:c>
      <x:c r="HE26" s="1661">
        <x:v>4.75</x:v>
      </x:c>
      <x:c r="HF26" s="1659">
        <x:v>0</x:v>
      </x:c>
      <x:c r="HG26" s="1659">
        <x:v>1.375</x:v>
      </x:c>
      <x:c r="HH26" s="1659" t="s">
        <x:v>114</x:v>
      </x:c>
      <x:c r="HI26" s="1662">
        <x:v>0</x:v>
      </x:c>
      <x:c r="HJ26" s="1659">
        <x:v>0.25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2235</x:v>
      </x:c>
      <x:c r="IB26" s="1661"/>
      <x:c r="IC26" s="1661"/>
      <x:c r="ID26" s="1661"/>
      <x:c r="IE26" s="1661"/>
      <x:c r="IF26" s="1663"/>
    </x:row>
    <x:row r="27" spans="1:240" ht="12.6" customHeight="1" x14ac:dyDescent="0.25">
      <x:c r="A27" s="1264" t="s">
        <x:v>1552</x:v>
      </x:c>
      <x:c r="B27" s="1265">
        <x:v>1</x:v>
      </x:c>
      <x:c r="C27" s="1265" t="s">
        <x:v>1980</x:v>
      </x:c>
      <x:c r="D27" s="1261">
        <x:v>18</x:v>
      </x:c>
      <x:c r="E27" s="1366">
        <x:v>6.25</x:v>
      </x:c>
      <x:c r="F27" s="1328">
        <x:v>0</x:v>
      </x:c>
      <x:c r="G27" s="1262">
        <x:v>1.375</x:v>
      </x:c>
      <x:c r="H27" s="1266" t="s">
        <x:v>114</x:v>
      </x:c>
      <x:c r="I27" s="1261">
        <x:v>0</x:v>
      </x:c>
      <x:c r="J27" s="2122">
        <x:v>2</x:v>
      </x:c>
      <x:c r="K27" s="1370" t="s">
        <x:v>114</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105"/>
        <x:v/>
      </x:c>
      <x:c r="U27" s="1262" t="str">
        <x:f t="shared" si="106"/>
        <x:v/>
      </x:c>
      <x:c r="V27" s="1261" t="str">
        <x:f t="shared" si="107"/>
        <x:v/>
      </x:c>
      <x:c r="W27" s="1262" t="str">
        <x:f t="shared" si="108"/>
        <x:v/>
      </x:c>
      <x:c r="X27" s="1329">
        <x:f t="shared" si="109"/>
        <x:v>0</x:v>
      </x:c>
      <x:c r="Y27" s="1377" t="str">
        <x:f t="shared" si="7"/>
        <x:v/>
      </x:c>
      <x:c r="Z27" s="1378" t="str">
        <x:f t="shared" si="8"/>
        <x:v/>
      </x:c>
      <x:c r="AA27" s="2159" t="s">
        <x:v>2236</x:v>
      </x:c>
      <x:c r="AC27" s="1226" t="b">
        <x:v>0</x:v>
      </x:c>
      <x:c r="AD27" s="525">
        <x:f t="shared" si="9"/>
        <x:v>1</x:v>
      </x:c>
      <x:c r="AE27" s="526">
        <x:f t="shared" si="10"/>
        <x:v>0</x:v>
      </x:c>
      <x:c r="AF27" s="526">
        <x:f t="shared" si="11"/>
        <x:v>0</x:v>
      </x:c>
      <x:c r="AG27" s="526">
        <x:f t="shared" si="12"/>
        <x:v>0</x:v>
      </x:c>
      <x:c r="AH27" s="527">
        <x:f t="shared" si="13"/>
        <x:v>0</x:v>
      </x:c>
      <x:c r="AI27" s="528" t="b">
        <x:v>0</x:v>
      </x:c>
      <x:c r="AJ27" s="284">
        <x:f t="shared" si="14"/>
        <x:v>30</x:v>
      </x:c>
      <x:c r="AK27" s="1063" t="str">
        <x:f t="shared" si="15"/>
        <x:v>K</x:v>
      </x:c>
      <x:c r="AL27" s="1202" t="str">
        <x:f t="shared" si="16"/>
        <x:v/>
      </x:c>
      <x:c r="AM27" s="1063">
        <x:f t="shared" si="17"/>
        <x:v>310</x:v>
      </x:c>
      <x:c r="AN27" s="1063">
        <x:f t="shared" si="18"/>
        <x:v>160</x:v>
      </x:c>
      <x:c r="AO27" s="1063" t="str">
        <x:f t="shared" si="19"/>
        <x:v/>
      </x:c>
      <x:c r="AP27" s="1063" t="b">
        <x:f>IF(ISERROR(AJ27),FALSE,IF(OR(AJ27=0,ISERROR(AL27),ISERROR(AM27),ISERROR(AN27),ISERROR(AO27)),FALSE,IF(AL27&lt;&gt;"",IF(ISERROR(VLOOKUP(SUBSTITUTE(SUBSTITUTE(C27,"R",""),"A",""),TblJoistSize!$A:$A,1,FALSE)),FALSE,TRUE),TRUE)))</x:f>
        <x:v>1</x:v>
      </x:c>
      <x:c r="AQ27" s="1305">
        <x:f t="shared" si="20"/>
        <x:v>5.375</x:v>
      </x:c>
      <x:c r="AR27" s="1305" t="b">
        <x:f t="shared" si="21"/>
        <x:v>0</x:v>
      </x:c>
      <x:c r="AS27" s="1305">
        <x:f t="shared" si="22"/>
        <x:v>6</x:v>
      </x:c>
      <x:c r="AT27" s="1305" t="b">
        <x:f t="shared" si="23"/>
        <x:v>0</x:v>
      </x:c>
      <x:c r="AU27" s="1203" t="str">
        <x:f t="shared" si="24"/>
        <x:v>K</x:v>
      </x:c>
      <x:c r="AV27" s="1063" t="str">
        <x:f t="shared" si="25"/>
        <x:v>K</x:v>
      </x:c>
      <x:c r="AW27" s="1063" t="str">
        <x:f t="shared" si="26"/>
        <x:v/>
      </x:c>
      <x:c r="AX27" s="1063" t="str">
        <x:f t="shared" si="102"/>
        <x:v>J228</x:v>
      </x:c>
      <x:c r="AY27" s="1306" t="b">
        <x:f t="shared" si="27"/>
        <x:v>0</x:v>
      </x:c>
      <x:c r="AZ27" s="1090" t="b">
        <x:f t="shared" si="28"/>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29"/>
        <x:v/>
      </x:c>
      <x:c r="CE27" s="935" t="str">
        <x:f t="shared" si="30"/>
        <x:v/>
      </x:c>
      <x:c r="CF27" s="1149"/>
      <x:c r="CG27" s="1150"/>
      <x:c r="CH27" s="738" t="str">
        <x:f t="shared" si="31"/>
        <x:v/>
      </x:c>
      <x:c r="CI27" s="739" t="str">
        <x:f t="shared" si="32"/>
        <x:v/>
      </x:c>
      <x:c r="CJ27" s="740" t="str">
        <x:f t="shared" si="33"/>
        <x:v/>
      </x:c>
      <x:c r="CK27" s="741" t="str">
        <x:f t="shared" si="34"/>
        <x:v/>
      </x:c>
      <x:c r="CL27" s="742" t="str">
        <x:f t="shared" si="35"/>
        <x:v/>
      </x:c>
      <x:c r="CM27" s="743" t="str">
        <x:f t="shared" si="36"/>
        <x:v/>
      </x:c>
      <x:c r="CN27" s="744" t="str">
        <x:f t="shared" si="37"/>
        <x:v/>
      </x:c>
      <x:c r="CO27" s="745" t="str">
        <x:f t="shared" si="38"/>
        <x:v/>
      </x:c>
      <x:c r="CP27" s="762" t="str">
        <x:f t="shared" si="39"/>
        <x:v/>
      </x:c>
      <x:c r="CQ27" s="763" t="str">
        <x:f t="shared" si="40"/>
        <x:v/>
      </x:c>
      <x:c r="CR27" s="953">
        <x:f t="shared" si="41"/>
        <x:v>2.5</x:v>
      </x:c>
      <x:c r="CS27" s="954">
        <x:f t="shared" si="42"/>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3"/>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4"/>
        <x:v>0</x:v>
      </x:c>
      <x:c r="DO27" s="1049">
        <x:f t="shared" si="45"/>
        <x:v>0</x:v>
      </x:c>
      <x:c r="DP27" s="1053" t="str">
        <x:f t="shared" si="46"/>
        <x:v/>
      </x:c>
      <x:c r="DQ27" s="1053" t="str">
        <x:f t="shared" si="47"/>
        <x:v/>
      </x:c>
      <x:c r="DR27" s="1053" t="str">
        <x:f t="shared" si="48"/>
        <x:v/>
      </x:c>
      <x:c r="DS27" s="1052">
        <x:f t="shared" si="49"/>
        <x:v>0</x:v>
      </x:c>
      <x:c r="DT27" s="1052">
        <x:f t="shared" si="50"/>
        <x:v>0</x:v>
      </x:c>
      <x:c r="DU27" s="1052" t="str">
        <x:f t="shared" si="51"/>
        <x:v/>
      </x:c>
      <x:c r="DV27" s="1053" t="str">
        <x:f t="shared" si="52"/>
        <x:v/>
      </x:c>
      <x:c r="DW27" s="1053" t="str">
        <x:f t="shared" si="53"/>
        <x:v/>
      </x:c>
      <x:c r="DX27" s="1269">
        <x:f t="shared" si="54"/>
        <x:v>0</x:v>
      </x:c>
      <x:c r="DY27" s="1053">
        <x:f t="shared" si="55"/>
        <x:v>0</x:v>
      </x:c>
      <x:c r="DZ27" s="1052">
        <x:f t="shared" si="56"/>
        <x:v>0</x:v>
      </x:c>
      <x:c r="EA27" s="1052" t="str">
        <x:f t="shared" si="57"/>
        <x:v/>
      </x:c>
      <x:c r="EB27" s="1053" t="str">
        <x:f t="shared" si="58"/>
        <x:v/>
      </x:c>
      <x:c r="EC27" s="1053" t="str">
        <x:f t="shared" si="59"/>
        <x:v/>
      </x:c>
      <x:c r="ED27" s="1269">
        <x:f t="shared" si="60"/>
        <x:v>0</x:v>
      </x:c>
      <x:c r="EE27" s="1090" t="str">
        <x:f t="shared" si="61"/>
        <x:v/>
      </x:c>
      <x:c r="EF27" s="1053" t="str">
        <x:f t="shared" si="62"/>
        <x:v/>
      </x:c>
      <x:c r="EG27" s="1053" t="str">
        <x:f t="shared" si="63"/>
        <x:v/>
      </x:c>
      <x:c r="EH27" s="1053" t="str">
        <x:f t="shared" si="64"/>
        <x:v>ERR</x:v>
      </x:c>
      <x:c r="EI27" s="1053" t="str">
        <x:f t="shared" si="65"/>
        <x:v>ERR</x:v>
      </x:c>
      <x:c r="EJ27" s="1053" t="str">
        <x:f t="shared" si="66"/>
        <x:v/>
      </x:c>
      <x:c r="EK27" s="1053" t="str">
        <x:f t="shared" si="66"/>
        <x:v/>
      </x:c>
      <x:c r="EL27" s="1090" t="str">
        <x:f t="shared" si="67"/>
        <x:v/>
      </x:c>
      <x:c r="EM27" s="1053" t="str">
        <x:f t="shared" si="68"/>
        <x:v/>
      </x:c>
      <x:c r="EN27" s="1053" t="str">
        <x:f t="shared" si="69"/>
        <x:v/>
      </x:c>
      <x:c r="EO27" s="1053" t="str">
        <x:f t="shared" si="70"/>
        <x:v>ERR</x:v>
      </x:c>
      <x:c r="EP27" s="1053" t="str">
        <x:f t="shared" si="71"/>
        <x:v>ERR</x:v>
      </x:c>
      <x:c r="EQ27" s="1053" t="str">
        <x:f t="shared" si="72"/>
        <x:v/>
      </x:c>
      <x:c r="ER27" s="1053" t="str">
        <x:f t="shared" si="72"/>
        <x:v/>
      </x:c>
      <x:c r="ES27" s="1053" t="str">
        <x:f t="shared" si="73"/>
        <x:v/>
      </x:c>
      <x:c r="ET27" s="1053" t="str">
        <x:f t="shared" si="74"/>
        <x:v/>
      </x:c>
      <x:c r="EU27" s="1061">
        <x:f t="shared" si="75"/>
        <x:v>3.5</x:v>
      </x:c>
      <x:c r="EV27" s="1055" t="str">
        <x:f t="shared" si="76"/>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7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78"/>
        <x:v/>
      </x:c>
      <x:c r="FD27" s="1052">
        <x:f t="shared" si="103"/>
        <x:v>0</x:v>
      </x:c>
      <x:c r="FE27" s="1052">
        <x:f t="shared" si="79"/>
        <x:v>0</x:v>
      </x:c>
      <x:c r="FF27" s="1052">
        <x:f t="shared" si="80"/>
        <x:v>0</x:v>
      </x:c>
      <x:c r="FG27" s="1052" t="str">
        <x:f t="shared" si="81"/>
        <x:v/>
      </x:c>
      <x:c r="FH27" s="1053" t="str">
        <x:f t="shared" si="82"/>
        <x:v/>
      </x:c>
      <x:c r="FI27" s="1052">
        <x:f t="shared" si="104"/>
        <x:v>0</x:v>
      </x:c>
      <x:c r="FJ27" s="1052">
        <x:f t="shared" si="83"/>
        <x:v>0</x:v>
      </x:c>
      <x:c r="FK27" s="1052">
        <x:f t="shared" si="84"/>
        <x:v>0</x:v>
      </x:c>
      <x:c r="FL27" s="1052" t="str">
        <x:f t="shared" si="85"/>
        <x:v/>
      </x:c>
      <x:c r="FM27" s="1053" t="str">
        <x:f t="shared" si="86"/>
        <x:v/>
      </x:c>
      <x:c r="FN27" s="1053" t="e">
        <x:f t="shared" si="87"/>
        <x:v>#VALUE!</x:v>
      </x:c>
      <x:c r="FO27" s="1062" t="e">
        <x:f t="shared" si="88"/>
        <x:v>#VALUE!</x:v>
      </x:c>
      <x:c r="FP27" s="1062" t="e">
        <x:f t="shared" si="89"/>
        <x:v>#VALUE!</x:v>
      </x:c>
      <x:c r="FQ27" s="1063" t="e">
        <x:f t="shared" si="90"/>
        <x:v>#VALUE!</x:v>
      </x:c>
      <x:c r="FR27" s="1064" t="e">
        <x:f t="shared" si="91"/>
        <x:v>#VALUE!</x:v>
      </x:c>
      <x:c r="FS27" s="1065" t="str">
        <x:f t="shared" si="92"/>
        <x:v/>
      </x:c>
      <x:c r="FT27" s="1066" t="str">
        <x:f t="shared" si="93"/>
        <x:v/>
      </x:c>
      <x:c r="FU27" s="1105">
        <x:f t="shared" si="94"/>
        <x:v>0</x:v>
      </x:c>
      <x:c r="FV27" s="1106">
        <x:f t="shared" si="95"/>
        <x:v>0</x:v>
      </x:c>
      <x:c r="GA27" s="1975">
        <x:v>18</x:v>
      </x:c>
      <x:c r="GB27" s="1976">
        <x:v>7</x:v>
      </x:c>
      <x:c r="GC27" s="1977">
        <x:v>-0.25</x:v>
      </x:c>
      <x:c r="GD27" s="1978">
        <x:v>-0.5</x:v>
      </x:c>
      <x:c r="GE27" s="1979">
        <x:v>-0.225545070766694</x:v>
      </x:c>
      <x:c r="GF27" s="1980" t="str">
        <x:f t="shared" si="96"/>
        <x:v>J228</x:v>
      </x:c>
      <x:c r="GG27" s="1453"/>
      <x:c r="GH27" s="1454"/>
      <x:c r="GI27" s="1453"/>
      <x:c r="GJ27" s="1454"/>
      <x:c r="GK27" s="533">
        <x:f t="shared" si="97"/>
        <x:v>222.25</x:v>
      </x:c>
      <x:c r="GL27" s="534">
        <x:f t="shared" si="98"/>
        <x:v>222.28925342998895</x:v>
      </x:c>
      <x:c r="GM27" s="535">
        <x:f>IF(ABS(GK27-GL27)&gt;='Job Info.'!$L$22,ABS(GK27-GL27),0)</x:f>
        <x:v>0</x:v>
      </x:c>
      <x:c r="HA27" s="1658" t="s">
        <x:v>1552</x:v>
      </x:c>
      <x:c r="HB27" s="1659">
        <x:v>1</x:v>
      </x:c>
      <x:c r="HC27" s="1659" t="s">
        <x:v>1980</x:v>
      </x:c>
      <x:c r="HD27" s="1660">
        <x:v>18</x:v>
      </x:c>
      <x:c r="HE27" s="1661">
        <x:v>6.25</x:v>
      </x:c>
      <x:c r="HF27" s="1659">
        <x:v>0</x:v>
      </x:c>
      <x:c r="HG27" s="1659">
        <x:v>1.375</x:v>
      </x:c>
      <x:c r="HH27" s="1659" t="s">
        <x:v>114</x:v>
      </x:c>
      <x:c r="HI27" s="1662">
        <x:v>0</x:v>
      </x:c>
      <x:c r="HJ27" s="1659">
        <x:v>0.25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2236</x:v>
      </x:c>
      <x:c r="IB27" s="1661"/>
      <x:c r="IC27" s="1661"/>
      <x:c r="ID27" s="1661"/>
      <x:c r="IE27" s="1661"/>
      <x:c r="IF27" s="1663"/>
    </x:row>
    <x:row r="28" spans="1:240" ht="12.6" customHeight="1" x14ac:dyDescent="0.25">
      <x:c r="A28" s="1264" t="s">
        <x:v>1553</x:v>
      </x:c>
      <x:c r="B28" s="1265">
        <x:v>1</x:v>
      </x:c>
      <x:c r="C28" s="1265" t="s">
        <x:v>1980</x:v>
      </x:c>
      <x:c r="D28" s="1261">
        <x:v>29</x:v>
      </x:c>
      <x:c r="E28" s="1366">
        <x:v>7.75</x:v>
      </x:c>
      <x:c r="F28" s="1328">
        <x:v>0</x:v>
      </x:c>
      <x:c r="G28" s="1262">
        <x:v>1.375</x:v>
      </x:c>
      <x:c r="H28" s="1266" t="s">
        <x:v>114</x:v>
      </x:c>
      <x:c r="I28" s="1261">
        <x:v>0</x:v>
      </x:c>
      <x:c r="J28" s="2122">
        <x:v>2</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105"/>
        <x:v/>
      </x:c>
      <x:c r="U28" s="1262" t="str">
        <x:f t="shared" si="106"/>
        <x:v/>
      </x:c>
      <x:c r="V28" s="1261" t="str">
        <x:f t="shared" si="107"/>
        <x:v/>
      </x:c>
      <x:c r="W28" s="1262" t="str">
        <x:f t="shared" si="108"/>
        <x:v/>
      </x:c>
      <x:c r="X28" s="1329">
        <x:f t="shared" si="109"/>
        <x:v>0</x:v>
      </x:c>
      <x:c r="Y28" s="1377" t="str">
        <x:f t="shared" si="7"/>
        <x:v/>
      </x:c>
      <x:c r="Z28" s="1378" t="str">
        <x:f t="shared" si="8"/>
        <x:v/>
      </x:c>
      <x:c r="AA28" s="2159" t="s">
        <x:v>2237</x:v>
      </x:c>
      <x:c r="AC28" s="1226" t="b">
        <x:v>0</x:v>
      </x:c>
      <x:c r="AD28" s="525">
        <x:f t="shared" si="9"/>
        <x:v>1</x:v>
      </x:c>
      <x:c r="AE28" s="526">
        <x:f t="shared" si="10"/>
        <x:v>0</x:v>
      </x:c>
      <x:c r="AF28" s="526">
        <x:f t="shared" si="11"/>
        <x:v>0</x:v>
      </x:c>
      <x:c r="AG28" s="526">
        <x:f t="shared" si="12"/>
        <x:v>0</x:v>
      </x:c>
      <x:c r="AH28" s="527">
        <x:f t="shared" si="13"/>
        <x:v>0</x:v>
      </x:c>
      <x:c r="AI28" s="528" t="b">
        <x:v>0</x:v>
      </x:c>
      <x:c r="AJ28" s="284">
        <x:f t="shared" si="14"/>
        <x:v>30</x:v>
      </x:c>
      <x:c r="AK28" s="1063" t="str">
        <x:f t="shared" si="15"/>
        <x:v>K</x:v>
      </x:c>
      <x:c r="AL28" s="1202" t="str">
        <x:f t="shared" si="16"/>
        <x:v/>
      </x:c>
      <x:c r="AM28" s="1063">
        <x:f t="shared" si="17"/>
        <x:v>310</x:v>
      </x:c>
      <x:c r="AN28" s="1063">
        <x:f t="shared" si="18"/>
        <x:v>160</x:v>
      </x:c>
      <x:c r="AO28" s="1063" t="str">
        <x:f t="shared" si="19"/>
        <x:v/>
      </x:c>
      <x:c r="AP28" s="1063" t="b">
        <x:f>IF(ISERROR(AJ28),FALSE,IF(OR(AJ28=0,ISERROR(AL28),ISERROR(AM28),ISERROR(AN28),ISERROR(AO28)),FALSE,IF(AL28&lt;&gt;"",IF(ISERROR(VLOOKUP(SUBSTITUTE(SUBSTITUTE(C28,"R",""),"A",""),TblJoistSize!$A:$A,1,FALSE)),FALSE,TRUE),TRUE)))</x:f>
        <x:v>1</x:v>
      </x:c>
      <x:c r="AQ28" s="1305">
        <x:f t="shared" si="20"/>
        <x:v>5.375</x:v>
      </x:c>
      <x:c r="AR28" s="1305" t="b">
        <x:f t="shared" si="21"/>
        <x:v>0</x:v>
      </x:c>
      <x:c r="AS28" s="1305">
        <x:f t="shared" si="22"/>
        <x:v>6</x:v>
      </x:c>
      <x:c r="AT28" s="1305" t="b">
        <x:f t="shared" si="23"/>
        <x:v>0</x:v>
      </x:c>
      <x:c r="AU28" s="1203" t="str">
        <x:f t="shared" si="24"/>
        <x:v>K</x:v>
      </x:c>
      <x:c r="AV28" s="1063" t="str">
        <x:f t="shared" si="25"/>
        <x:v>K</x:v>
      </x:c>
      <x:c r="AW28" s="1063" t="str">
        <x:f t="shared" si="26"/>
        <x:v/>
      </x:c>
      <x:c r="AX28" s="1063" t="str">
        <x:f t="shared" si="102"/>
        <x:v>J229</x:v>
      </x:c>
      <x:c r="AY28" s="1306" t="b">
        <x:f t="shared" si="27"/>
        <x:v>0</x:v>
      </x:c>
      <x:c r="AZ28" s="1090" t="b">
        <x:f t="shared" si="28"/>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29"/>
        <x:v/>
      </x:c>
      <x:c r="CE28" s="935" t="str">
        <x:f t="shared" si="30"/>
        <x:v/>
      </x:c>
      <x:c r="CF28" s="1149"/>
      <x:c r="CG28" s="1150"/>
      <x:c r="CH28" s="738" t="str">
        <x:f t="shared" si="31"/>
        <x:v/>
      </x:c>
      <x:c r="CI28" s="739" t="str">
        <x:f t="shared" si="32"/>
        <x:v/>
      </x:c>
      <x:c r="CJ28" s="740" t="str">
        <x:f t="shared" si="33"/>
        <x:v/>
      </x:c>
      <x:c r="CK28" s="741" t="str">
        <x:f t="shared" si="34"/>
        <x:v/>
      </x:c>
      <x:c r="CL28" s="742" t="str">
        <x:f t="shared" si="35"/>
        <x:v/>
      </x:c>
      <x:c r="CM28" s="743" t="str">
        <x:f t="shared" si="36"/>
        <x:v/>
      </x:c>
      <x:c r="CN28" s="744" t="str">
        <x:f t="shared" si="37"/>
        <x:v/>
      </x:c>
      <x:c r="CO28" s="745" t="str">
        <x:f t="shared" si="38"/>
        <x:v/>
      </x:c>
      <x:c r="CP28" s="762" t="str">
        <x:f t="shared" si="39"/>
        <x:v/>
      </x:c>
      <x:c r="CQ28" s="763" t="str">
        <x:f t="shared" si="40"/>
        <x:v/>
      </x:c>
      <x:c r="CR28" s="953">
        <x:f t="shared" si="41"/>
        <x:v>2.5</x:v>
      </x:c>
      <x:c r="CS28" s="954">
        <x:f t="shared" si="42"/>
        <x:v>2.5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3"/>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4"/>
        <x:v>0</x:v>
      </x:c>
      <x:c r="DO28" s="1049">
        <x:f t="shared" si="45"/>
        <x:v>0</x:v>
      </x:c>
      <x:c r="DP28" s="1053" t="str">
        <x:f t="shared" si="46"/>
        <x:v/>
      </x:c>
      <x:c r="DQ28" s="1053" t="str">
        <x:f t="shared" si="47"/>
        <x:v/>
      </x:c>
      <x:c r="DR28" s="1053" t="str">
        <x:f t="shared" si="48"/>
        <x:v/>
      </x:c>
      <x:c r="DS28" s="1052">
        <x:f t="shared" si="49"/>
        <x:v>0</x:v>
      </x:c>
      <x:c r="DT28" s="1052">
        <x:f t="shared" si="50"/>
        <x:v>0</x:v>
      </x:c>
      <x:c r="DU28" s="1052" t="str">
        <x:f t="shared" si="51"/>
        <x:v/>
      </x:c>
      <x:c r="DV28" s="1053" t="str">
        <x:f t="shared" si="52"/>
        <x:v/>
      </x:c>
      <x:c r="DW28" s="1053" t="str">
        <x:f t="shared" si="53"/>
        <x:v/>
      </x:c>
      <x:c r="DX28" s="1269">
        <x:f t="shared" si="54"/>
        <x:v>0</x:v>
      </x:c>
      <x:c r="DY28" s="1053">
        <x:f t="shared" si="55"/>
        <x:v>0</x:v>
      </x:c>
      <x:c r="DZ28" s="1052">
        <x:f t="shared" si="56"/>
        <x:v>0</x:v>
      </x:c>
      <x:c r="EA28" s="1052" t="str">
        <x:f t="shared" si="57"/>
        <x:v/>
      </x:c>
      <x:c r="EB28" s="1053" t="str">
        <x:f t="shared" si="58"/>
        <x:v/>
      </x:c>
      <x:c r="EC28" s="1053" t="str">
        <x:f t="shared" si="59"/>
        <x:v/>
      </x:c>
      <x:c r="ED28" s="1269">
        <x:f t="shared" si="60"/>
        <x:v>0</x:v>
      </x:c>
      <x:c r="EE28" s="1090" t="str">
        <x:f t="shared" si="61"/>
        <x:v/>
      </x:c>
      <x:c r="EF28" s="1053" t="str">
        <x:f t="shared" si="62"/>
        <x:v/>
      </x:c>
      <x:c r="EG28" s="1053" t="str">
        <x:f t="shared" si="63"/>
        <x:v/>
      </x:c>
      <x:c r="EH28" s="1053" t="str">
        <x:f t="shared" si="64"/>
        <x:v>ERR</x:v>
      </x:c>
      <x:c r="EI28" s="1053" t="str">
        <x:f t="shared" si="65"/>
        <x:v>ERR</x:v>
      </x:c>
      <x:c r="EJ28" s="1053" t="str">
        <x:f t="shared" si="66"/>
        <x:v/>
      </x:c>
      <x:c r="EK28" s="1053" t="str">
        <x:f t="shared" si="66"/>
        <x:v/>
      </x:c>
      <x:c r="EL28" s="1090" t="str">
        <x:f t="shared" si="67"/>
        <x:v/>
      </x:c>
      <x:c r="EM28" s="1053" t="str">
        <x:f t="shared" si="68"/>
        <x:v/>
      </x:c>
      <x:c r="EN28" s="1053" t="str">
        <x:f t="shared" si="69"/>
        <x:v/>
      </x:c>
      <x:c r="EO28" s="1053" t="str">
        <x:f t="shared" si="70"/>
        <x:v>ERR</x:v>
      </x:c>
      <x:c r="EP28" s="1053" t="str">
        <x:f t="shared" si="71"/>
        <x:v>ERR</x:v>
      </x:c>
      <x:c r="EQ28" s="1053" t="str">
        <x:f t="shared" si="72"/>
        <x:v/>
      </x:c>
      <x:c r="ER28" s="1053" t="str">
        <x:f t="shared" si="72"/>
        <x:v/>
      </x:c>
      <x:c r="ES28" s="1053" t="str">
        <x:f t="shared" si="73"/>
        <x:v/>
      </x:c>
      <x:c r="ET28" s="1053" t="str">
        <x:f t="shared" si="74"/>
        <x:v/>
      </x:c>
      <x:c r="EU28" s="1061">
        <x:f t="shared" si="75"/>
        <x:v>3.5</x:v>
      </x:c>
      <x:c r="EV28" s="1055" t="str">
        <x:f t="shared" si="76"/>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7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78"/>
        <x:v/>
      </x:c>
      <x:c r="FD28" s="1052">
        <x:f t="shared" si="103"/>
        <x:v>0</x:v>
      </x:c>
      <x:c r="FE28" s="1052">
        <x:f t="shared" si="79"/>
        <x:v>0</x:v>
      </x:c>
      <x:c r="FF28" s="1052">
        <x:f t="shared" si="80"/>
        <x:v>0</x:v>
      </x:c>
      <x:c r="FG28" s="1052" t="str">
        <x:f t="shared" si="81"/>
        <x:v/>
      </x:c>
      <x:c r="FH28" s="1053" t="str">
        <x:f t="shared" si="82"/>
        <x:v/>
      </x:c>
      <x:c r="FI28" s="1052">
        <x:f t="shared" si="104"/>
        <x:v>0</x:v>
      </x:c>
      <x:c r="FJ28" s="1052">
        <x:f t="shared" si="83"/>
        <x:v>0</x:v>
      </x:c>
      <x:c r="FK28" s="1052">
        <x:f t="shared" si="84"/>
        <x:v>0</x:v>
      </x:c>
      <x:c r="FL28" s="1052" t="str">
        <x:f t="shared" si="85"/>
        <x:v/>
      </x:c>
      <x:c r="FM28" s="1053" t="str">
        <x:f t="shared" si="86"/>
        <x:v/>
      </x:c>
      <x:c r="FN28" s="1053" t="e">
        <x:f t="shared" si="87"/>
        <x:v>#VALUE!</x:v>
      </x:c>
      <x:c r="FO28" s="1062" t="e">
        <x:f t="shared" si="88"/>
        <x:v>#VALUE!</x:v>
      </x:c>
      <x:c r="FP28" s="1062" t="e">
        <x:f t="shared" si="89"/>
        <x:v>#VALUE!</x:v>
      </x:c>
      <x:c r="FQ28" s="1063" t="e">
        <x:f t="shared" si="90"/>
        <x:v>#VALUE!</x:v>
      </x:c>
      <x:c r="FR28" s="1064" t="e">
        <x:f t="shared" si="91"/>
        <x:v>#VALUE!</x:v>
      </x:c>
      <x:c r="FS28" s="1065" t="str">
        <x:f t="shared" si="92"/>
        <x:v/>
      </x:c>
      <x:c r="FT28" s="1066" t="str">
        <x:f t="shared" si="93"/>
        <x:v/>
      </x:c>
      <x:c r="FU28" s="1105">
        <x:f t="shared" si="94"/>
        <x:v>0</x:v>
      </x:c>
      <x:c r="FV28" s="1106">
        <x:f t="shared" si="95"/>
        <x:v>0</x:v>
      </x:c>
      <x:c r="GA28" s="1975">
        <x:v>29</x:v>
      </x:c>
      <x:c r="GB28" s="1976">
        <x:v>8.5</x:v>
      </x:c>
      <x:c r="GC28" s="1977">
        <x:v>-0.25</x:v>
      </x:c>
      <x:c r="GD28" s="1978">
        <x:v>-0.5</x:v>
      </x:c>
      <x:c r="GE28" s="1979">
        <x:v>-0.22554506874760799</x:v>
      </x:c>
      <x:c r="GF28" s="1980" t="str">
        <x:f t="shared" si="96"/>
        <x:v>J229</x:v>
      </x:c>
      <x:c r="GG28" s="1453"/>
      <x:c r="GH28" s="1454"/>
      <x:c r="GI28" s="1453"/>
      <x:c r="GJ28" s="1454"/>
      <x:c r="GK28" s="533">
        <x:f t="shared" si="97"/>
        <x:v>355.75</x:v>
      </x:c>
      <x:c r="GL28" s="534">
        <x:f t="shared" si="98"/>
        <x:v>355.81283197961108</x:v>
      </x:c>
      <x:c r="GM28" s="535">
        <x:f>IF(ABS(GK28-GL28)&gt;='Job Info.'!$L$22,ABS(GK28-GL28),0)</x:f>
        <x:v>0</x:v>
      </x:c>
      <x:c r="HA28" s="1658" t="s">
        <x:v>1553</x:v>
      </x:c>
      <x:c r="HB28" s="1659">
        <x:v>1</x:v>
      </x:c>
      <x:c r="HC28" s="1659" t="s">
        <x:v>1980</x:v>
      </x:c>
      <x:c r="HD28" s="1660">
        <x:v>29</x:v>
      </x:c>
      <x:c r="HE28" s="1661">
        <x:v>7.75</x:v>
      </x:c>
      <x:c r="HF28" s="1659">
        <x:v>0</x:v>
      </x:c>
      <x:c r="HG28" s="1659">
        <x:v>1.375</x:v>
      </x:c>
      <x:c r="HH28" s="1659" t="s">
        <x:v>114</x:v>
      </x:c>
      <x:c r="HI28" s="1662">
        <x:v>0</x:v>
      </x:c>
      <x:c r="HJ28" s="1659">
        <x:v>0.25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2237</x:v>
      </x:c>
      <x:c r="IB28" s="1661"/>
      <x:c r="IC28" s="1661"/>
      <x:c r="ID28" s="1661"/>
      <x:c r="IE28" s="1661"/>
      <x:c r="IF28" s="1663"/>
    </x:row>
    <x:row r="29" spans="1:240" ht="12.6" customHeight="1" x14ac:dyDescent="0.25">
      <x:c r="A29" s="1264" t="s">
        <x:v>1554</x:v>
      </x:c>
      <x:c r="B29" s="1265">
        <x:v>1</x:v>
      </x:c>
      <x:c r="C29" s="1265" t="s">
        <x:v>1979</x:v>
      </x:c>
      <x:c r="D29" s="1261">
        <x:v>40</x:v>
      </x:c>
      <x:c r="E29" s="1366">
        <x:v>9.125</x:v>
      </x:c>
      <x:c r="F29" s="1328">
        <x:v>0</x:v>
      </x:c>
      <x:c r="G29" s="1262">
        <x:v>1.375</x:v>
      </x:c>
      <x:c r="H29" s="1266" t="s">
        <x:v>114</x:v>
      </x:c>
      <x:c r="I29" s="1261">
        <x:v>0</x:v>
      </x:c>
      <x:c r="J29" s="2122">
        <x:v>2</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105"/>
        <x:v/>
      </x:c>
      <x:c r="U29" s="1262" t="str">
        <x:f t="shared" si="106"/>
        <x:v/>
      </x:c>
      <x:c r="V29" s="1261" t="str">
        <x:f t="shared" si="107"/>
        <x:v/>
      </x:c>
      <x:c r="W29" s="1262" t="str">
        <x:f t="shared" si="108"/>
        <x:v/>
      </x:c>
      <x:c r="X29" s="1329">
        <x:f t="shared" si="109"/>
        <x:v>0</x:v>
      </x:c>
      <x:c r="Y29" s="1377" t="str">
        <x:f t="shared" si="7"/>
        <x:v/>
      </x:c>
      <x:c r="Z29" s="1378" t="str">
        <x:f t="shared" si="8"/>
        <x:v/>
      </x:c>
      <x:c r="AA29" s="2159" t="s">
        <x:v>2238</x:v>
      </x:c>
      <x:c r="AC29" s="1226" t="b">
        <x:v>0</x:v>
      </x:c>
      <x:c r="AD29" s="525">
        <x:f t="shared" si="9"/>
        <x:v>1</x:v>
      </x:c>
      <x:c r="AE29" s="526">
        <x:f t="shared" si="10"/>
        <x:v>0</x:v>
      </x:c>
      <x:c r="AF29" s="526">
        <x:f t="shared" si="11"/>
        <x:v>0</x:v>
      </x:c>
      <x:c r="AG29" s="526">
        <x:f t="shared" si="12"/>
        <x:v>0</x:v>
      </x:c>
      <x:c r="AH29" s="527">
        <x:f t="shared" si="13"/>
        <x:v>0</x:v>
      </x:c>
      <x:c r="AI29" s="528" t="b">
        <x:v>0</x:v>
      </x:c>
      <x:c r="AJ29" s="284">
        <x:f t="shared" si="14"/>
        <x:v>30</x:v>
      </x:c>
      <x:c r="AK29" s="1063" t="str">
        <x:f t="shared" si="15"/>
        <x:v>K</x:v>
      </x:c>
      <x:c r="AL29" s="1202" t="str">
        <x:f t="shared" si="16"/>
        <x:v/>
      </x:c>
      <x:c r="AM29" s="1063">
        <x:f t="shared" si="17"/>
        <x:v>240</x:v>
      </x:c>
      <x:c r="AN29" s="1063">
        <x:f t="shared" si="18"/>
        <x:v>140</x:v>
      </x:c>
      <x:c r="AO29" s="1063" t="str">
        <x:f t="shared" si="19"/>
        <x:v/>
      </x:c>
      <x:c r="AP29" s="1063" t="b">
        <x:f>IF(ISERROR(AJ29),FALSE,IF(OR(AJ29=0,ISERROR(AL29),ISERROR(AM29),ISERROR(AN29),ISERROR(AO29)),FALSE,IF(AL29&lt;&gt;"",IF(ISERROR(VLOOKUP(SUBSTITUTE(SUBSTITUTE(C29,"R",""),"A",""),TblJoistSize!$A:$A,1,FALSE)),FALSE,TRUE),TRUE)))</x:f>
        <x:v>1</x:v>
      </x:c>
      <x:c r="AQ29" s="1305">
        <x:f t="shared" si="20"/>
        <x:v>5.375</x:v>
      </x:c>
      <x:c r="AR29" s="1305" t="b">
        <x:f t="shared" si="21"/>
        <x:v>0</x:v>
      </x:c>
      <x:c r="AS29" s="1305">
        <x:f t="shared" si="22"/>
        <x:v>6</x:v>
      </x:c>
      <x:c r="AT29" s="1305" t="b">
        <x:f t="shared" si="23"/>
        <x:v>0</x:v>
      </x:c>
      <x:c r="AU29" s="1203" t="str">
        <x:f t="shared" si="24"/>
        <x:v>K</x:v>
      </x:c>
      <x:c r="AV29" s="1063" t="str">
        <x:f t="shared" si="25"/>
        <x:v>K</x:v>
      </x:c>
      <x:c r="AW29" s="1063" t="str">
        <x:f t="shared" si="26"/>
        <x:v/>
      </x:c>
      <x:c r="AX29" s="1063" t="str">
        <x:f t="shared" si="102"/>
        <x:v>J230</x:v>
      </x:c>
      <x:c r="AY29" s="1306" t="b">
        <x:f t="shared" si="27"/>
        <x:v>0</x:v>
      </x:c>
      <x:c r="AZ29" s="1090" t="b">
        <x:f t="shared" si="28"/>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29"/>
        <x:v/>
      </x:c>
      <x:c r="CE29" s="935" t="str">
        <x:f t="shared" si="30"/>
        <x:v/>
      </x:c>
      <x:c r="CF29" s="1149"/>
      <x:c r="CG29" s="1150"/>
      <x:c r="CH29" s="738" t="str">
        <x:f t="shared" si="31"/>
        <x:v/>
      </x:c>
      <x:c r="CI29" s="739" t="str">
        <x:f t="shared" si="32"/>
        <x:v/>
      </x:c>
      <x:c r="CJ29" s="740" t="str">
        <x:f t="shared" si="33"/>
        <x:v/>
      </x:c>
      <x:c r="CK29" s="741" t="str">
        <x:f t="shared" si="34"/>
        <x:v/>
      </x:c>
      <x:c r="CL29" s="742" t="str">
        <x:f t="shared" si="35"/>
        <x:v/>
      </x:c>
      <x:c r="CM29" s="743" t="str">
        <x:f t="shared" si="36"/>
        <x:v/>
      </x:c>
      <x:c r="CN29" s="744" t="str">
        <x:f t="shared" si="37"/>
        <x:v/>
      </x:c>
      <x:c r="CO29" s="745" t="str">
        <x:f t="shared" si="38"/>
        <x:v/>
      </x:c>
      <x:c r="CP29" s="762" t="str">
        <x:f t="shared" si="39"/>
        <x:v/>
      </x:c>
      <x:c r="CQ29" s="763" t="str">
        <x:f t="shared" si="40"/>
        <x:v/>
      </x:c>
      <x:c r="CR29" s="953">
        <x:f t="shared" si="41"/>
        <x:v>2.5</x:v>
      </x:c>
      <x:c r="CS29" s="954">
        <x:f t="shared" si="42"/>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3"/>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4"/>
        <x:v>0</x:v>
      </x:c>
      <x:c r="DO29" s="1049">
        <x:f t="shared" si="45"/>
        <x:v>0</x:v>
      </x:c>
      <x:c r="DP29" s="1053" t="str">
        <x:f t="shared" si="46"/>
        <x:v/>
      </x:c>
      <x:c r="DQ29" s="1053" t="str">
        <x:f t="shared" si="47"/>
        <x:v/>
      </x:c>
      <x:c r="DR29" s="1053" t="str">
        <x:f t="shared" si="48"/>
        <x:v/>
      </x:c>
      <x:c r="DS29" s="1052">
        <x:f t="shared" si="49"/>
        <x:v>0</x:v>
      </x:c>
      <x:c r="DT29" s="1052">
        <x:f t="shared" si="50"/>
        <x:v>0</x:v>
      </x:c>
      <x:c r="DU29" s="1052" t="str">
        <x:f t="shared" si="51"/>
        <x:v/>
      </x:c>
      <x:c r="DV29" s="1053" t="str">
        <x:f t="shared" si="52"/>
        <x:v/>
      </x:c>
      <x:c r="DW29" s="1053" t="str">
        <x:f t="shared" si="53"/>
        <x:v/>
      </x:c>
      <x:c r="DX29" s="1269">
        <x:f t="shared" si="54"/>
        <x:v>0</x:v>
      </x:c>
      <x:c r="DY29" s="1053">
        <x:f t="shared" si="55"/>
        <x:v>0</x:v>
      </x:c>
      <x:c r="DZ29" s="1052">
        <x:f t="shared" si="56"/>
        <x:v>0</x:v>
      </x:c>
      <x:c r="EA29" s="1052" t="str">
        <x:f t="shared" si="57"/>
        <x:v/>
      </x:c>
      <x:c r="EB29" s="1053" t="str">
        <x:f t="shared" si="58"/>
        <x:v/>
      </x:c>
      <x:c r="EC29" s="1053" t="str">
        <x:f t="shared" si="59"/>
        <x:v/>
      </x:c>
      <x:c r="ED29" s="1269">
        <x:f t="shared" si="60"/>
        <x:v>0</x:v>
      </x:c>
      <x:c r="EE29" s="1090" t="str">
        <x:f t="shared" si="61"/>
        <x:v/>
      </x:c>
      <x:c r="EF29" s="1053" t="str">
        <x:f t="shared" si="62"/>
        <x:v/>
      </x:c>
      <x:c r="EG29" s="1053" t="str">
        <x:f t="shared" si="63"/>
        <x:v/>
      </x:c>
      <x:c r="EH29" s="1053" t="str">
        <x:f t="shared" si="64"/>
        <x:v>ERR</x:v>
      </x:c>
      <x:c r="EI29" s="1053" t="str">
        <x:f t="shared" si="65"/>
        <x:v>ERR</x:v>
      </x:c>
      <x:c r="EJ29" s="1053" t="str">
        <x:f t="shared" si="66"/>
        <x:v/>
      </x:c>
      <x:c r="EK29" s="1053" t="str">
        <x:f t="shared" si="66"/>
        <x:v/>
      </x:c>
      <x:c r="EL29" s="1090" t="str">
        <x:f t="shared" si="67"/>
        <x:v/>
      </x:c>
      <x:c r="EM29" s="1053" t="str">
        <x:f t="shared" si="68"/>
        <x:v/>
      </x:c>
      <x:c r="EN29" s="1053" t="str">
        <x:f t="shared" si="69"/>
        <x:v/>
      </x:c>
      <x:c r="EO29" s="1053" t="str">
        <x:f t="shared" si="70"/>
        <x:v>ERR</x:v>
      </x:c>
      <x:c r="EP29" s="1053" t="str">
        <x:f t="shared" si="71"/>
        <x:v>ERR</x:v>
      </x:c>
      <x:c r="EQ29" s="1053" t="str">
        <x:f t="shared" si="72"/>
        <x:v/>
      </x:c>
      <x:c r="ER29" s="1053" t="str">
        <x:f t="shared" si="72"/>
        <x:v/>
      </x:c>
      <x:c r="ES29" s="1053" t="str">
        <x:f t="shared" si="73"/>
        <x:v/>
      </x:c>
      <x:c r="ET29" s="1053" t="str">
        <x:f t="shared" si="74"/>
        <x:v/>
      </x:c>
      <x:c r="EU29" s="1061">
        <x:f t="shared" si="75"/>
        <x:v>3.5</x:v>
      </x:c>
      <x:c r="EV29" s="1055" t="str">
        <x:f t="shared" si="76"/>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7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78"/>
        <x:v/>
      </x:c>
      <x:c r="FD29" s="1052">
        <x:f t="shared" si="103"/>
        <x:v>0</x:v>
      </x:c>
      <x:c r="FE29" s="1052">
        <x:f t="shared" si="79"/>
        <x:v>0</x:v>
      </x:c>
      <x:c r="FF29" s="1052">
        <x:f t="shared" si="80"/>
        <x:v>0</x:v>
      </x:c>
      <x:c r="FG29" s="1052" t="str">
        <x:f t="shared" si="81"/>
        <x:v/>
      </x:c>
      <x:c r="FH29" s="1053" t="str">
        <x:f t="shared" si="82"/>
        <x:v/>
      </x:c>
      <x:c r="FI29" s="1052">
        <x:f t="shared" si="104"/>
        <x:v>0</x:v>
      </x:c>
      <x:c r="FJ29" s="1052">
        <x:f t="shared" si="83"/>
        <x:v>0</x:v>
      </x:c>
      <x:c r="FK29" s="1052">
        <x:f t="shared" si="84"/>
        <x:v>0</x:v>
      </x:c>
      <x:c r="FL29" s="1052" t="str">
        <x:f t="shared" si="85"/>
        <x:v/>
      </x:c>
      <x:c r="FM29" s="1053" t="str">
        <x:f t="shared" si="86"/>
        <x:v/>
      </x:c>
      <x:c r="FN29" s="1053" t="e">
        <x:f t="shared" si="87"/>
        <x:v>#VALUE!</x:v>
      </x:c>
      <x:c r="FO29" s="1062" t="e">
        <x:f t="shared" si="88"/>
        <x:v>#VALUE!</x:v>
      </x:c>
      <x:c r="FP29" s="1062" t="e">
        <x:f t="shared" si="89"/>
        <x:v>#VALUE!</x:v>
      </x:c>
      <x:c r="FQ29" s="1063" t="e">
        <x:f t="shared" si="90"/>
        <x:v>#VALUE!</x:v>
      </x:c>
      <x:c r="FR29" s="1064" t="e">
        <x:f t="shared" si="91"/>
        <x:v>#VALUE!</x:v>
      </x:c>
      <x:c r="FS29" s="1065" t="str">
        <x:f t="shared" si="92"/>
        <x:v/>
      </x:c>
      <x:c r="FT29" s="1066" t="str">
        <x:f t="shared" si="93"/>
        <x:v/>
      </x:c>
      <x:c r="FU29" s="1105">
        <x:f t="shared" si="94"/>
        <x:v>0</x:v>
      </x:c>
      <x:c r="FV29" s="1106">
        <x:f t="shared" si="95"/>
        <x:v>0</x:v>
      </x:c>
      <x:c r="GA29" s="1975">
        <x:v>40</x:v>
      </x:c>
      <x:c r="GB29" s="1976">
        <x:v>9.875</x:v>
      </x:c>
      <x:c r="GC29" s="1977">
        <x:v>-0.25</x:v>
      </x:c>
      <x:c r="GD29" s="1978">
        <x:v>-0.5</x:v>
      </x:c>
      <x:c r="GE29" s="1979">
        <x:v>-0.225545066908931</x:v>
      </x:c>
      <x:c r="GF29" s="1980" t="str">
        <x:f t="shared" si="96"/>
        <x:v>J230</x:v>
      </x:c>
      <x:c r="GG29" s="1453"/>
      <x:c r="GH29" s="1454"/>
      <x:c r="GI29" s="1453"/>
      <x:c r="GJ29" s="1454"/>
      <x:c r="GK29" s="533">
        <x:f t="shared" si="97"/>
        <x:v>489.125</x:v>
      </x:c>
      <x:c r="GL29" s="534">
        <x:f t="shared" si="98"/>
        <x:v>489.21138845123329</x:v>
      </x:c>
      <x:c r="GM29" s="535">
        <x:f>IF(ABS(GK29-GL29)&gt;='Job Info.'!$L$22,ABS(GK29-GL29),0)</x:f>
        <x:v>0</x:v>
      </x:c>
      <x:c r="HA29" s="1658" t="s">
        <x:v>1554</x:v>
      </x:c>
      <x:c r="HB29" s="1659">
        <x:v>1</x:v>
      </x:c>
      <x:c r="HC29" s="1659" t="s">
        <x:v>1979</x:v>
      </x:c>
      <x:c r="HD29" s="1660">
        <x:v>40</x:v>
      </x:c>
      <x:c r="HE29" s="1661">
        <x:v>9.125</x:v>
      </x:c>
      <x:c r="HF29" s="1659">
        <x:v>0</x:v>
      </x:c>
      <x:c r="HG29" s="1659">
        <x:v>1.375</x:v>
      </x:c>
      <x:c r="HH29" s="1659" t="s">
        <x:v>114</x:v>
      </x:c>
      <x:c r="HI29" s="1662">
        <x:v>0</x:v>
      </x:c>
      <x:c r="HJ29" s="1659">
        <x:v>0.25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2238</x:v>
      </x:c>
      <x:c r="IB29" s="1661"/>
      <x:c r="IC29" s="1661"/>
      <x:c r="ID29" s="1661"/>
      <x:c r="IE29" s="1661"/>
      <x:c r="IF29" s="1663"/>
    </x:row>
    <x:row r="30" spans="1:240" ht="12.6" customHeight="1" x14ac:dyDescent="0.25">
      <x:c r="A30" s="1264" t="s">
        <x:v>1555</x:v>
      </x:c>
      <x:c r="B30" s="1265">
        <x:v>1</x:v>
      </x:c>
      <x:c r="C30" s="1265" t="s">
        <x:v>1979</x:v>
      </x:c>
      <x:c r="D30" s="1261">
        <x:v>57</x:v>
      </x:c>
      <x:c r="E30" s="1366">
        <x:v>5.375</x:v>
      </x:c>
      <x:c r="F30" s="1328">
        <x:v>0</x:v>
      </x:c>
      <x:c r="G30" s="1262">
        <x:v>1.375</x:v>
      </x:c>
      <x:c r="H30" s="1266" t="s">
        <x:v>114</x:v>
      </x:c>
      <x:c r="I30" s="1261">
        <x:v>0</x:v>
      </x:c>
      <x:c r="J30" s="2122">
        <x:v>2</x:v>
      </x:c>
      <x:c r="K30" s="1370" t="s">
        <x:v>114</x:v>
      </x:c>
      <x:c r="L30" s="1327">
        <x:v>3</x:v>
      </x:c>
      <x:c r="M30" s="1329">
        <x:v>3</x:v>
      </x:c>
      <x:c r="N30" s="1263" t="str">
        <x:f t="shared" si="1"/>
        <x:v/>
      </x:c>
      <x:c r="O30" s="1262" t="str">
        <x:f t="shared" si="2"/>
        <x:v/>
      </x:c>
      <x:c r="P30" s="1260" t="str">
        <x:f t="shared" si="3"/>
        <x:v/>
      </x:c>
      <x:c r="Q30" s="1261" t="str">
        <x:f t="shared" si="4"/>
        <x:v/>
      </x:c>
      <x:c r="R30" s="1262" t="str">
        <x:f t="shared" si="5"/>
        <x:v/>
      </x:c>
      <x:c r="S30" s="1375" t="str">
        <x:f t="shared" si="6"/>
        <x:v/>
      </x:c>
      <x:c r="T30" s="1328" t="str">
        <x:f t="shared" si="105"/>
        <x:v/>
      </x:c>
      <x:c r="U30" s="1262" t="str">
        <x:f t="shared" si="106"/>
        <x:v/>
      </x:c>
      <x:c r="V30" s="1261" t="str">
        <x:f t="shared" si="107"/>
        <x:v/>
      </x:c>
      <x:c r="W30" s="1262" t="str">
        <x:f t="shared" si="108"/>
        <x:v/>
      </x:c>
      <x:c r="X30" s="1329">
        <x:f t="shared" si="109"/>
        <x:v>0</x:v>
      </x:c>
      <x:c r="Y30" s="1377" t="str">
        <x:f t="shared" si="7"/>
        <x:v/>
      </x:c>
      <x:c r="Z30" s="1378" t="str">
        <x:f t="shared" si="8"/>
        <x:v/>
      </x:c>
      <x:c r="AA30" s="2159" t="s">
        <x:v>2239</x:v>
      </x:c>
      <x:c r="AC30" s="1226" t="b">
        <x:v>0</x:v>
      </x:c>
      <x:c r="AD30" s="525">
        <x:f t="shared" si="9"/>
        <x:v>1</x:v>
      </x:c>
      <x:c r="AE30" s="526">
        <x:f t="shared" si="10"/>
        <x:v>0</x:v>
      </x:c>
      <x:c r="AF30" s="526">
        <x:f t="shared" si="11"/>
        <x:v>0</x:v>
      </x:c>
      <x:c r="AG30" s="526">
        <x:f t="shared" si="12"/>
        <x:v>0</x:v>
      </x:c>
      <x:c r="AH30" s="527">
        <x:f t="shared" si="13"/>
        <x:v>0</x:v>
      </x:c>
      <x:c r="AI30" s="528" t="b">
        <x:v>0</x:v>
      </x:c>
      <x:c r="AJ30" s="284">
        <x:f t="shared" si="14"/>
        <x:v>30</x:v>
      </x:c>
      <x:c r="AK30" s="1063" t="str">
        <x:f t="shared" si="15"/>
        <x:v>K</x:v>
      </x:c>
      <x:c r="AL30" s="1202" t="str">
        <x:f t="shared" si="16"/>
        <x:v/>
      </x:c>
      <x:c r="AM30" s="1063">
        <x:f t="shared" si="17"/>
        <x:v>240</x:v>
      </x:c>
      <x:c r="AN30" s="1063">
        <x:f t="shared" si="18"/>
        <x:v>140</x:v>
      </x:c>
      <x:c r="AO30" s="1063" t="str">
        <x:f t="shared" si="19"/>
        <x:v/>
      </x:c>
      <x:c r="AP30" s="1063" t="b">
        <x:f>IF(ISERROR(AJ30),FALSE,IF(OR(AJ30=0,ISERROR(AL30),ISERROR(AM30),ISERROR(AN30),ISERROR(AO30)),FALSE,IF(AL30&lt;&gt;"",IF(ISERROR(VLOOKUP(SUBSTITUTE(SUBSTITUTE(C30,"R",""),"A",""),TblJoistSize!$A:$A,1,FALSE)),FALSE,TRUE),TRUE)))</x:f>
        <x:v>1</x:v>
      </x:c>
      <x:c r="AQ30" s="1305">
        <x:f t="shared" si="20"/>
        <x:v>5.375</x:v>
      </x:c>
      <x:c r="AR30" s="1305" t="b">
        <x:f t="shared" si="21"/>
        <x:v>0</x:v>
      </x:c>
      <x:c r="AS30" s="1305">
        <x:f t="shared" si="22"/>
        <x:v>6</x:v>
      </x:c>
      <x:c r="AT30" s="1305" t="b">
        <x:f t="shared" si="23"/>
        <x:v>0</x:v>
      </x:c>
      <x:c r="AU30" s="1203" t="str">
        <x:f t="shared" si="24"/>
        <x:v>K</x:v>
      </x:c>
      <x:c r="AV30" s="1063" t="str">
        <x:f t="shared" si="25"/>
        <x:v>K</x:v>
      </x:c>
      <x:c r="AW30" s="1063" t="str">
        <x:f t="shared" si="26"/>
        <x:v/>
      </x:c>
      <x:c r="AX30" s="1063" t="str">
        <x:f t="shared" si="102"/>
        <x:v>J231</x:v>
      </x:c>
      <x:c r="AY30" s="1306" t="b">
        <x:f t="shared" si="27"/>
        <x:v>0</x:v>
      </x:c>
      <x:c r="AZ30" s="1090" t="b">
        <x:f t="shared" si="28"/>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29"/>
        <x:v/>
      </x:c>
      <x:c r="CE30" s="935" t="str">
        <x:f t="shared" si="30"/>
        <x:v/>
      </x:c>
      <x:c r="CF30" s="1149"/>
      <x:c r="CG30" s="1150"/>
      <x:c r="CH30" s="738" t="str">
        <x:f t="shared" si="31"/>
        <x:v/>
      </x:c>
      <x:c r="CI30" s="739" t="str">
        <x:f t="shared" si="32"/>
        <x:v/>
      </x:c>
      <x:c r="CJ30" s="740" t="str">
        <x:f t="shared" si="33"/>
        <x:v/>
      </x:c>
      <x:c r="CK30" s="741" t="str">
        <x:f t="shared" si="34"/>
        <x:v/>
      </x:c>
      <x:c r="CL30" s="742" t="str">
        <x:f t="shared" si="35"/>
        <x:v/>
      </x:c>
      <x:c r="CM30" s="743" t="str">
        <x:f t="shared" si="36"/>
        <x:v/>
      </x:c>
      <x:c r="CN30" s="744" t="str">
        <x:f t="shared" si="37"/>
        <x:v/>
      </x:c>
      <x:c r="CO30" s="745" t="str">
        <x:f t="shared" si="38"/>
        <x:v/>
      </x:c>
      <x:c r="CP30" s="762" t="str">
        <x:f t="shared" si="39"/>
        <x:v/>
      </x:c>
      <x:c r="CQ30" s="763" t="str">
        <x:f t="shared" si="40"/>
        <x:v/>
      </x:c>
      <x:c r="CR30" s="953">
        <x:f t="shared" si="41"/>
        <x:v>2.5</x:v>
      </x:c>
      <x:c r="CS30" s="954">
        <x:f t="shared" si="42"/>
        <x:v>2.5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3"/>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4"/>
        <x:v>0</x:v>
      </x:c>
      <x:c r="DO30" s="1049">
        <x:f t="shared" si="45"/>
        <x:v>0</x:v>
      </x:c>
      <x:c r="DP30" s="1053" t="str">
        <x:f t="shared" si="46"/>
        <x:v/>
      </x:c>
      <x:c r="DQ30" s="1053" t="str">
        <x:f t="shared" si="47"/>
        <x:v/>
      </x:c>
      <x:c r="DR30" s="1053" t="str">
        <x:f t="shared" si="48"/>
        <x:v/>
      </x:c>
      <x:c r="DS30" s="1052">
        <x:f t="shared" si="49"/>
        <x:v>0</x:v>
      </x:c>
      <x:c r="DT30" s="1052">
        <x:f t="shared" si="50"/>
        <x:v>0</x:v>
      </x:c>
      <x:c r="DU30" s="1052" t="str">
        <x:f t="shared" si="51"/>
        <x:v/>
      </x:c>
      <x:c r="DV30" s="1053" t="str">
        <x:f t="shared" si="52"/>
        <x:v/>
      </x:c>
      <x:c r="DW30" s="1053" t="str">
        <x:f t="shared" si="53"/>
        <x:v/>
      </x:c>
      <x:c r="DX30" s="1269">
        <x:f t="shared" si="54"/>
        <x:v>0</x:v>
      </x:c>
      <x:c r="DY30" s="1053">
        <x:f t="shared" si="55"/>
        <x:v>0</x:v>
      </x:c>
      <x:c r="DZ30" s="1052">
        <x:f t="shared" si="56"/>
        <x:v>0</x:v>
      </x:c>
      <x:c r="EA30" s="1052" t="str">
        <x:f t="shared" si="57"/>
        <x:v/>
      </x:c>
      <x:c r="EB30" s="1053" t="str">
        <x:f t="shared" si="58"/>
        <x:v/>
      </x:c>
      <x:c r="EC30" s="1053" t="str">
        <x:f t="shared" si="59"/>
        <x:v/>
      </x:c>
      <x:c r="ED30" s="1269">
        <x:f t="shared" si="60"/>
        <x:v>0</x:v>
      </x:c>
      <x:c r="EE30" s="1090" t="str">
        <x:f t="shared" si="61"/>
        <x:v/>
      </x:c>
      <x:c r="EF30" s="1053" t="str">
        <x:f t="shared" si="62"/>
        <x:v/>
      </x:c>
      <x:c r="EG30" s="1053" t="str">
        <x:f t="shared" si="63"/>
        <x:v/>
      </x:c>
      <x:c r="EH30" s="1053" t="str">
        <x:f t="shared" si="64"/>
        <x:v>ERR</x:v>
      </x:c>
      <x:c r="EI30" s="1053" t="str">
        <x:f t="shared" si="65"/>
        <x:v>ERR</x:v>
      </x:c>
      <x:c r="EJ30" s="1053" t="str">
        <x:f t="shared" si="66"/>
        <x:v/>
      </x:c>
      <x:c r="EK30" s="1053" t="str">
        <x:f t="shared" si="66"/>
        <x:v/>
      </x:c>
      <x:c r="EL30" s="1090" t="str">
        <x:f t="shared" si="67"/>
        <x:v/>
      </x:c>
      <x:c r="EM30" s="1053" t="str">
        <x:f t="shared" si="68"/>
        <x:v/>
      </x:c>
      <x:c r="EN30" s="1053" t="str">
        <x:f t="shared" si="69"/>
        <x:v/>
      </x:c>
      <x:c r="EO30" s="1053" t="str">
        <x:f t="shared" si="70"/>
        <x:v>ERR</x:v>
      </x:c>
      <x:c r="EP30" s="1053" t="str">
        <x:f t="shared" si="71"/>
        <x:v>ERR</x:v>
      </x:c>
      <x:c r="EQ30" s="1053" t="str">
        <x:f t="shared" si="72"/>
        <x:v/>
      </x:c>
      <x:c r="ER30" s="1053" t="str">
        <x:f t="shared" si="72"/>
        <x:v/>
      </x:c>
      <x:c r="ES30" s="1053" t="str">
        <x:f t="shared" si="73"/>
        <x:v/>
      </x:c>
      <x:c r="ET30" s="1053" t="str">
        <x:f t="shared" si="74"/>
        <x:v/>
      </x:c>
      <x:c r="EU30" s="1061">
        <x:f t="shared" si="75"/>
        <x:v>3.5</x:v>
      </x:c>
      <x:c r="EV30" s="1055" t="str">
        <x:f t="shared" si="76"/>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7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78"/>
        <x:v/>
      </x:c>
      <x:c r="FD30" s="1052">
        <x:f t="shared" si="103"/>
        <x:v>0</x:v>
      </x:c>
      <x:c r="FE30" s="1052">
        <x:f t="shared" si="79"/>
        <x:v>0</x:v>
      </x:c>
      <x:c r="FF30" s="1052">
        <x:f t="shared" si="80"/>
        <x:v>0</x:v>
      </x:c>
      <x:c r="FG30" s="1052" t="str">
        <x:f t="shared" si="81"/>
        <x:v/>
      </x:c>
      <x:c r="FH30" s="1053" t="str">
        <x:f t="shared" si="82"/>
        <x:v/>
      </x:c>
      <x:c r="FI30" s="1052">
        <x:f t="shared" si="104"/>
        <x:v>0</x:v>
      </x:c>
      <x:c r="FJ30" s="1052">
        <x:f t="shared" si="83"/>
        <x:v>0</x:v>
      </x:c>
      <x:c r="FK30" s="1052">
        <x:f t="shared" si="84"/>
        <x:v>0</x:v>
      </x:c>
      <x:c r="FL30" s="1052" t="str">
        <x:f t="shared" si="85"/>
        <x:v/>
      </x:c>
      <x:c r="FM30" s="1053" t="str">
        <x:f t="shared" si="86"/>
        <x:v/>
      </x:c>
      <x:c r="FN30" s="1053" t="e">
        <x:f t="shared" si="87"/>
        <x:v>#VALUE!</x:v>
      </x:c>
      <x:c r="FO30" s="1062" t="e">
        <x:f t="shared" si="88"/>
        <x:v>#VALUE!</x:v>
      </x:c>
      <x:c r="FP30" s="1062" t="e">
        <x:f t="shared" si="89"/>
        <x:v>#VALUE!</x:v>
      </x:c>
      <x:c r="FQ30" s="1063" t="e">
        <x:f t="shared" si="90"/>
        <x:v>#VALUE!</x:v>
      </x:c>
      <x:c r="FR30" s="1064" t="e">
        <x:f t="shared" si="91"/>
        <x:v>#VALUE!</x:v>
      </x:c>
      <x:c r="FS30" s="1065" t="str">
        <x:f t="shared" si="92"/>
        <x:v/>
      </x:c>
      <x:c r="FT30" s="1066" t="str">
        <x:f t="shared" si="93"/>
        <x:v/>
      </x:c>
      <x:c r="FU30" s="1105">
        <x:f t="shared" si="94"/>
        <x:v>0</x:v>
      </x:c>
      <x:c r="FV30" s="1106">
        <x:f t="shared" si="95"/>
        <x:v>0</x:v>
      </x:c>
      <x:c r="GA30" s="1975">
        <x:v>57</x:v>
      </x:c>
      <x:c r="GB30" s="1976">
        <x:v>6.125</x:v>
      </x:c>
      <x:c r="GC30" s="1977">
        <x:v>-0.25</x:v>
      </x:c>
      <x:c r="GD30" s="1978">
        <x:v>-0.5</x:v>
      </x:c>
      <x:c r="GE30" s="1979">
        <x:v>-0.22498944462991799</x:v>
      </x:c>
      <x:c r="GF30" s="1980" t="str">
        <x:f t="shared" si="96"/>
        <x:v>J231</x:v>
      </x:c>
      <x:c r="GG30" s="1453"/>
      <x:c r="GH30" s="1454"/>
      <x:c r="GI30" s="1453"/>
      <x:c r="GJ30" s="1454"/>
      <x:c r="GK30" s="533">
        <x:f t="shared" si="97"/>
        <x:v>689.375</x:v>
      </x:c>
      <x:c r="GL30" s="534">
        <x:f t="shared" si="98"/>
        <x:v>689.49615718313919</x:v>
      </x:c>
      <x:c r="GM30" s="535">
        <x:f>IF(ABS(GK30-GL30)&gt;='Job Info.'!$L$22,ABS(GK30-GL30),0)</x:f>
        <x:v>0</x:v>
      </x:c>
      <x:c r="HA30" s="1658" t="s">
        <x:v>1555</x:v>
      </x:c>
      <x:c r="HB30" s="1659">
        <x:v>1</x:v>
      </x:c>
      <x:c r="HC30" s="1659" t="s">
        <x:v>1979</x:v>
      </x:c>
      <x:c r="HD30" s="1660">
        <x:v>57</x:v>
      </x:c>
      <x:c r="HE30" s="1661">
        <x:v>5.375</x:v>
      </x:c>
      <x:c r="HF30" s="1659">
        <x:v>0</x:v>
      </x:c>
      <x:c r="HG30" s="1659">
        <x:v>1.375</x:v>
      </x:c>
      <x:c r="HH30" s="1659" t="s">
        <x:v>114</x:v>
      </x:c>
      <x:c r="HI30" s="1662">
        <x:v>0</x:v>
      </x:c>
      <x:c r="HJ30" s="1659">
        <x:v>0.25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2239</x:v>
      </x:c>
      <x:c r="IB30" s="1661"/>
      <x:c r="IC30" s="1661"/>
      <x:c r="ID30" s="1661"/>
      <x:c r="IE30" s="1661"/>
      <x:c r="IF30" s="1663"/>
    </x:row>
    <x:row r="31" spans="1:240" ht="12.6" customHeight="1" x14ac:dyDescent="0.25">
      <x:c r="A31" s="1264" t="s">
        <x:v>1556</x:v>
      </x:c>
      <x:c r="B31" s="1265">
        <x:v>1</x:v>
      </x:c>
      <x:c r="C31" s="1265" t="s">
        <x:v>1978</x:v>
      </x:c>
      <x:c r="D31" s="1261">
        <x:v>68</x:v>
      </x:c>
      <x:c r="E31" s="1366">
        <x:v>6.75</x:v>
      </x:c>
      <x:c r="F31" s="1328">
        <x:v>0</x:v>
      </x:c>
      <x:c r="G31" s="1262">
        <x:v>1.375</x:v>
      </x:c>
      <x:c r="H31" s="1266" t="s">
        <x:v>114</x:v>
      </x:c>
      <x:c r="I31" s="1261">
        <x:v>8</x:v>
      </x:c>
      <x:c r="J31" s="1262">
        <x:v>8.625</x:v>
      </x:c>
      <x:c r="K31" s="1370" t="s">
        <x:v>114</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105"/>
        <x:v/>
      </x:c>
      <x:c r="U31" s="1262" t="str">
        <x:f t="shared" si="106"/>
        <x:v/>
      </x:c>
      <x:c r="V31" s="1261" t="str">
        <x:f t="shared" si="107"/>
        <x:v/>
      </x:c>
      <x:c r="W31" s="1262" t="str">
        <x:f t="shared" si="108"/>
        <x:v/>
      </x:c>
      <x:c r="X31" s="1329">
        <x:f t="shared" si="109"/>
        <x:v>0</x:v>
      </x:c>
      <x:c r="Y31" s="1377" t="str">
        <x:f t="shared" si="7"/>
        <x:v/>
      </x:c>
      <x:c r="Z31" s="1378">
        <x:v>0.22858615642806401</x:v>
      </x:c>
      <x:c r="AA31" s="2159" t="s">
        <x:v>2240</x:v>
      </x:c>
      <x:c r="AC31" s="1226" t="b">
        <x:v>0</x:v>
      </x:c>
      <x:c r="AD31" s="525">
        <x:f t="shared" si="9"/>
        <x:v>0</x:v>
      </x:c>
      <x:c r="AE31" s="526">
        <x:f t="shared" si="10"/>
        <x:v>1</x:v>
      </x:c>
      <x:c r="AF31" s="526">
        <x:f t="shared" si="11"/>
        <x:v>0</x:v>
      </x:c>
      <x:c r="AG31" s="526">
        <x:f t="shared" si="12"/>
        <x:v>0</x:v>
      </x:c>
      <x:c r="AH31" s="527">
        <x:f t="shared" si="13"/>
        <x:v>0</x:v>
      </x:c>
      <x:c r="AI31" s="528" t="b">
        <x:v>0</x:v>
      </x:c>
      <x:c r="AJ31" s="284">
        <x:f t="shared" si="14"/>
        <x:v>36</x:v>
      </x:c>
      <x:c r="AK31" s="1063" t="str">
        <x:f t="shared" si="15"/>
        <x:v>LH</x:v>
      </x:c>
      <x:c r="AL31" s="1202" t="str">
        <x:f t="shared" si="16"/>
        <x:v/>
      </x:c>
      <x:c r="AM31" s="1063">
        <x:f t="shared" si="17"/>
        <x:v>270</x:v>
      </x:c>
      <x:c r="AN31" s="1063">
        <x:f t="shared" si="18"/>
        <x:v>120</x:v>
      </x:c>
      <x:c r="AO31" s="1063" t="str">
        <x:f t="shared" si="19"/>
        <x:v/>
      </x:c>
      <x:c r="AP31" s="1063" t="b">
        <x:f>IF(ISERROR(AJ31),FALSE,IF(OR(AJ31=0,ISERROR(AL31),ISERROR(AM31),ISERROR(AN31),ISERROR(AO31)),FALSE,IF(AL31&lt;&gt;"",IF(ISERROR(VLOOKUP(SUBSTITUTE(SUBSTITUTE(C31,"R",""),"A",""),TblJoistSize!$A:$A,1,FALSE)),FALSE,TRUE),TRUE)))</x:f>
        <x:v>1</x:v>
      </x:c>
      <x:c r="AQ31" s="1305">
        <x:f t="shared" si="20"/>
        <x:v>7.375</x:v>
      </x:c>
      <x:c r="AR31" s="1305" t="b">
        <x:f t="shared" si="21"/>
        <x:v>0</x:v>
      </x:c>
      <x:c r="AS31" s="1305">
        <x:f t="shared" si="22"/>
        <x:v>110.625</x:v>
      </x:c>
      <x:c r="AT31" s="1305" t="b">
        <x:f t="shared" si="23"/>
        <x:v>0</x:v>
      </x:c>
      <x:c r="AU31" s="1203" t="str">
        <x:f t="shared" si="24"/>
        <x:v>LH</x:v>
      </x:c>
      <x:c r="AV31" s="1063" t="str">
        <x:f t="shared" si="25"/>
        <x:v/>
      </x:c>
      <x:c r="AW31" s="1063" t="str">
        <x:f t="shared" si="26"/>
        <x:v>LH</x:v>
      </x:c>
      <x:c r="AX31" s="1063" t="str">
        <x:f t="shared" si="102"/>
        <x:v>J232</x:v>
      </x:c>
      <x:c r="AY31" s="1306" t="b">
        <x:f t="shared" si="27"/>
        <x:v>0</x:v>
      </x:c>
      <x:c r="AZ31" s="1090" t="b">
        <x:f t="shared" si="28"/>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29"/>
        <x:v/>
      </x:c>
      <x:c r="CE31" s="935" t="str">
        <x:f t="shared" si="30"/>
        <x:v/>
      </x:c>
      <x:c r="CF31" s="1149"/>
      <x:c r="CG31" s="1150"/>
      <x:c r="CH31" s="738" t="str">
        <x:f t="shared" si="31"/>
        <x:v/>
      </x:c>
      <x:c r="CI31" s="739" t="str">
        <x:f t="shared" si="32"/>
        <x:v/>
      </x:c>
      <x:c r="CJ31" s="740" t="str">
        <x:f t="shared" si="33"/>
        <x:v/>
      </x:c>
      <x:c r="CK31" s="741" t="str">
        <x:f t="shared" si="34"/>
        <x:v/>
      </x:c>
      <x:c r="CL31" s="742" t="str">
        <x:f t="shared" si="35"/>
        <x:v/>
      </x:c>
      <x:c r="CM31" s="743" t="str">
        <x:f t="shared" si="36"/>
        <x:v/>
      </x:c>
      <x:c r="CN31" s="744" t="str">
        <x:f t="shared" si="37"/>
        <x:v/>
      </x:c>
      <x:c r="CO31" s="745" t="str">
        <x:f t="shared" si="38"/>
        <x:v/>
      </x:c>
      <x:c r="CP31" s="762" t="str">
        <x:f t="shared" si="39"/>
        <x:v/>
      </x:c>
      <x:c r="CQ31" s="763" t="str">
        <x:f t="shared" si="40"/>
        <x:v/>
      </x:c>
      <x:c r="CR31" s="953">
        <x:f t="shared" si="41"/>
        <x:v>5</x:v>
      </x:c>
      <x:c r="CS31" s="954">
        <x:f t="shared" si="42"/>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3"/>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4"/>
        <x:v>0</x:v>
      </x:c>
      <x:c r="DO31" s="1049">
        <x:f t="shared" si="45"/>
        <x:v>0</x:v>
      </x:c>
      <x:c r="DP31" s="1053" t="str">
        <x:f t="shared" si="46"/>
        <x:v/>
      </x:c>
      <x:c r="DQ31" s="1053" t="str">
        <x:f t="shared" si="47"/>
        <x:v/>
      </x:c>
      <x:c r="DR31" s="1053" t="str">
        <x:f t="shared" si="48"/>
        <x:v/>
      </x:c>
      <x:c r="DS31" s="1052">
        <x:f t="shared" si="49"/>
        <x:v>0</x:v>
      </x:c>
      <x:c r="DT31" s="1052">
        <x:f t="shared" si="50"/>
        <x:v>0</x:v>
      </x:c>
      <x:c r="DU31" s="1052" t="str">
        <x:f t="shared" si="51"/>
        <x:v/>
      </x:c>
      <x:c r="DV31" s="1053" t="str">
        <x:f t="shared" si="52"/>
        <x:v/>
      </x:c>
      <x:c r="DW31" s="1053" t="str">
        <x:f t="shared" si="53"/>
        <x:v/>
      </x:c>
      <x:c r="DX31" s="1269">
        <x:f t="shared" si="54"/>
        <x:v>0</x:v>
      </x:c>
      <x:c r="DY31" s="1053">
        <x:f t="shared" si="55"/>
        <x:v>0</x:v>
      </x:c>
      <x:c r="DZ31" s="1052">
        <x:f t="shared" si="56"/>
        <x:v>0</x:v>
      </x:c>
      <x:c r="EA31" s="1052" t="str">
        <x:f t="shared" si="57"/>
        <x:v/>
      </x:c>
      <x:c r="EB31" s="1053" t="str">
        <x:f t="shared" si="58"/>
        <x:v/>
      </x:c>
      <x:c r="EC31" s="1053" t="str">
        <x:f t="shared" si="59"/>
        <x:v/>
      </x:c>
      <x:c r="ED31" s="1269">
        <x:f t="shared" si="60"/>
        <x:v>0</x:v>
      </x:c>
      <x:c r="EE31" s="1090" t="str">
        <x:f t="shared" si="61"/>
        <x:v/>
      </x:c>
      <x:c r="EF31" s="1053" t="str">
        <x:f t="shared" si="62"/>
        <x:v/>
      </x:c>
      <x:c r="EG31" s="1053" t="str">
        <x:f t="shared" si="63"/>
        <x:v/>
      </x:c>
      <x:c r="EH31" s="1053" t="str">
        <x:f t="shared" si="64"/>
        <x:v>ERR</x:v>
      </x:c>
      <x:c r="EI31" s="1053" t="str">
        <x:f t="shared" si="65"/>
        <x:v>ERR</x:v>
      </x:c>
      <x:c r="EJ31" s="1053" t="str">
        <x:f t="shared" si="66"/>
        <x:v/>
      </x:c>
      <x:c r="EK31" s="1053" t="str">
        <x:f t="shared" si="66"/>
        <x:v/>
      </x:c>
      <x:c r="EL31" s="1090" t="str">
        <x:f t="shared" si="67"/>
        <x:v/>
      </x:c>
      <x:c r="EM31" s="1053" t="str">
        <x:f t="shared" si="68"/>
        <x:v/>
      </x:c>
      <x:c r="EN31" s="1053" t="str">
        <x:f t="shared" si="69"/>
        <x:v/>
      </x:c>
      <x:c r="EO31" s="1053" t="str">
        <x:f t="shared" si="70"/>
        <x:v>ERR</x:v>
      </x:c>
      <x:c r="EP31" s="1053" t="str">
        <x:f t="shared" si="71"/>
        <x:v>ERR</x:v>
      </x:c>
      <x:c r="EQ31" s="1053" t="str">
        <x:f t="shared" si="72"/>
        <x:v/>
      </x:c>
      <x:c r="ER31" s="1053" t="str">
        <x:f t="shared" si="72"/>
        <x:v/>
      </x:c>
      <x:c r="ES31" s="1053" t="str">
        <x:f t="shared" si="73"/>
        <x:v/>
      </x:c>
      <x:c r="ET31" s="1053" t="str">
        <x:f t="shared" si="74"/>
        <x:v/>
      </x:c>
      <x:c r="EU31" s="1061">
        <x:f t="shared" si="75"/>
        <x:v>4</x:v>
      </x:c>
      <x:c r="EV31" s="1055" t="str">
        <x:f t="shared" si="76"/>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7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78"/>
        <x:v/>
      </x:c>
      <x:c r="FD31" s="1052">
        <x:f t="shared" si="103"/>
        <x:v>0</x:v>
      </x:c>
      <x:c r="FE31" s="1052">
        <x:f t="shared" si="79"/>
        <x:v>0</x:v>
      </x:c>
      <x:c r="FF31" s="1052">
        <x:f t="shared" si="80"/>
        <x:v>0</x:v>
      </x:c>
      <x:c r="FG31" s="1052" t="str">
        <x:f t="shared" si="81"/>
        <x:v/>
      </x:c>
      <x:c r="FH31" s="1053" t="str">
        <x:f t="shared" si="82"/>
        <x:v/>
      </x:c>
      <x:c r="FI31" s="1052">
        <x:f t="shared" si="104"/>
        <x:v>0</x:v>
      </x:c>
      <x:c r="FJ31" s="1052">
        <x:f t="shared" si="83"/>
        <x:v>0</x:v>
      </x:c>
      <x:c r="FK31" s="1052">
        <x:f t="shared" si="84"/>
        <x:v>0</x:v>
      </x:c>
      <x:c r="FL31" s="1052" t="str">
        <x:f t="shared" si="85"/>
        <x:v/>
      </x:c>
      <x:c r="FM31" s="1053" t="str">
        <x:f t="shared" si="86"/>
        <x:v/>
      </x:c>
      <x:c r="FN31" s="1053" t="e">
        <x:f t="shared" si="87"/>
        <x:v>#VALUE!</x:v>
      </x:c>
      <x:c r="FO31" s="1062" t="e">
        <x:f t="shared" si="88"/>
        <x:v>#VALUE!</x:v>
      </x:c>
      <x:c r="FP31" s="1062" t="e">
        <x:f t="shared" si="89"/>
        <x:v>#VALUE!</x:v>
      </x:c>
      <x:c r="FQ31" s="1063" t="e">
        <x:f t="shared" si="90"/>
        <x:v>#VALUE!</x:v>
      </x:c>
      <x:c r="FR31" s="1064" t="e">
        <x:f t="shared" si="91"/>
        <x:v>#VALUE!</x:v>
      </x:c>
      <x:c r="FS31" s="1065" t="str">
        <x:f t="shared" si="92"/>
        <x:v/>
      </x:c>
      <x:c r="FT31" s="1066" t="str">
        <x:f t="shared" si="93"/>
        <x:v/>
      </x:c>
      <x:c r="FU31" s="1105">
        <x:f t="shared" si="94"/>
        <x:v>0</x:v>
      </x:c>
      <x:c r="FV31" s="1106">
        <x:f t="shared" si="95"/>
        <x:v>0</x:v>
      </x:c>
      <x:c r="GA31" s="1975">
        <x:v>60</x:v>
      </x:c>
      <x:c r="GB31" s="1976">
        <x:v>0</x:v>
      </x:c>
      <x:c r="GC31" s="1977">
        <x:v>-0.25</x:v>
      </x:c>
      <x:c r="GD31" s="1978">
        <x:v>103</x:v>
      </x:c>
      <x:c r="GE31" s="1979">
        <x:v>-0.22858615642806401</x:v>
      </x:c>
      <x:c r="GF31" s="1980" t="str">
        <x:f t="shared" si="96"/>
        <x:v>J232</x:v>
      </x:c>
      <x:c r="GG31" s="1453"/>
      <x:c r="GH31" s="1454"/>
      <x:c r="GI31" s="1453"/>
      <x:c r="GJ31" s="1454"/>
      <x:c r="GK31" s="533">
        <x:f t="shared" si="97"/>
        <x:v>822.75</x:v>
      </x:c>
      <x:c r="GL31" s="534">
        <x:f t="shared" si="98"/>
        <x:v>822.89925739657679</x:v>
      </x:c>
      <x:c r="GM31" s="535">
        <x:f>IF(ABS(GK31-GL31)&gt;='Job Info.'!$L$22,ABS(GK31-GL31),0)</x:f>
        <x:v>0</x:v>
      </x:c>
      <x:c r="HA31" s="1658" t="s">
        <x:v>1556</x:v>
      </x:c>
      <x:c r="HB31" s="1659">
        <x:v>1</x:v>
      </x:c>
      <x:c r="HC31" s="1659" t="s">
        <x:v>1978</x:v>
      </x:c>
      <x:c r="HD31" s="1660">
        <x:v>68</x:v>
      </x:c>
      <x:c r="HE31" s="1661">
        <x:v>6.75</x:v>
      </x:c>
      <x:c r="HF31" s="1659">
        <x:v>0</x:v>
      </x:c>
      <x:c r="HG31" s="1659">
        <x:v>1.375</x:v>
      </x:c>
      <x:c r="HH31" s="1659" t="s">
        <x:v>114</x:v>
      </x:c>
      <x:c r="HI31" s="1662">
        <x:v>8</x:v>
      </x:c>
      <x:c r="HJ31" s="1659">
        <x:v>8.625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x:v>0.22858615642806401</x:v>
      </x:c>
      <x:c r="IA31" s="1661" t="s">
        <x:v>2240</x:v>
      </x:c>
      <x:c r="IB31" s="1661"/>
      <x:c r="IC31" s="1661"/>
      <x:c r="ID31" s="1661"/>
      <x:c r="IE31" s="1661"/>
      <x:c r="IF31" s="1663"/>
    </x:row>
    <x:row r="32" spans="1:240" ht="12.6" customHeight="1" x14ac:dyDescent="0.25">
      <x:c r="A32" s="1264" t="s">
        <x:v>1557</x:v>
      </x:c>
      <x:c r="B32" s="1265">
        <x:v>3</x:v>
      </x:c>
      <x:c r="C32" s="1265" t="s">
        <x:v>1978</x:v>
      </x:c>
      <x:c r="D32" s="1261">
        <x:v>59</x:v>
      </x:c>
      <x:c r="E32" s="1366">
        <x:v>11.5</x:v>
      </x:c>
      <x:c r="F32" s="1328">
        <x:v>0</x:v>
      </x:c>
      <x:c r="G32" s="1262">
        <x:v>1.375</x:v>
      </x:c>
      <x:c r="H32" s="1266" t="s">
        <x:v>114</x:v>
      </x:c>
      <x:c r="I32" s="1261">
        <x:v>0</x:v>
      </x:c>
      <x:c r="J32" s="1262">
        <x:v>1.375</x:v>
      </x:c>
      <x:c r="K32" s="1370" t="s">
        <x:v>114</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t="str">
        <x:f t="shared" si="105"/>
        <x:v/>
      </x:c>
      <x:c r="U32" s="1262" t="str">
        <x:f t="shared" si="106"/>
        <x:v/>
      </x:c>
      <x:c r="V32" s="1261" t="str">
        <x:f t="shared" si="107"/>
        <x:v/>
      </x:c>
      <x:c r="W32" s="1262" t="str">
        <x:f t="shared" si="108"/>
        <x:v/>
      </x:c>
      <x:c r="X32" s="1329">
        <x:f t="shared" si="109"/>
        <x:v>0</x:v>
      </x:c>
      <x:c r="Y32" s="1377" t="str">
        <x:f t="shared" si="7"/>
        <x:v/>
      </x:c>
      <x:c r="Z32" s="1378" t="str">
        <x:f t="shared" si="8"/>
        <x:v/>
      </x:c>
      <x:c r="AA32" s="2159" t="s">
        <x:v>2241</x:v>
      </x:c>
      <x:c r="AC32" s="1226" t="b">
        <x:v>0</x:v>
      </x:c>
      <x:c r="AD32" s="525">
        <x:f t="shared" si="9"/>
        <x:v>0</x:v>
      </x:c>
      <x:c r="AE32" s="526">
        <x:f t="shared" si="10"/>
        <x:v>3</x:v>
      </x:c>
      <x:c r="AF32" s="526">
        <x:f t="shared" si="11"/>
        <x:v>0</x:v>
      </x:c>
      <x:c r="AG32" s="526">
        <x:f t="shared" si="12"/>
        <x:v>0</x:v>
      </x:c>
      <x:c r="AH32" s="527">
        <x:f t="shared" si="13"/>
        <x:v>0</x:v>
      </x:c>
      <x:c r="AI32" s="528" t="b">
        <x:v>0</x:v>
      </x:c>
      <x:c r="AJ32" s="284">
        <x:f t="shared" si="14"/>
        <x:v>36</x:v>
      </x:c>
      <x:c r="AK32" s="1063" t="str">
        <x:f t="shared" si="15"/>
        <x:v>LH</x:v>
      </x:c>
      <x:c r="AL32" s="1202" t="str">
        <x:f t="shared" si="16"/>
        <x:v/>
      </x:c>
      <x:c r="AM32" s="1063">
        <x:f t="shared" si="17"/>
        <x:v>270</x:v>
      </x:c>
      <x:c r="AN32" s="1063">
        <x:f t="shared" si="18"/>
        <x:v>120</x:v>
      </x:c>
      <x:c r="AO32" s="1063" t="str">
        <x:f t="shared" si="19"/>
        <x:v/>
      </x:c>
      <x:c r="AP32" s="1063" t="b">
        <x:f>IF(ISERROR(AJ32),FALSE,IF(OR(AJ32=0,ISERROR(AL32),ISERROR(AM32),ISERROR(AN32),ISERROR(AO32)),FALSE,IF(AL32&lt;&gt;"",IF(ISERROR(VLOOKUP(SUBSTITUTE(SUBSTITUTE(C32,"R",""),"A",""),TblJoistSize!$A:$A,1,FALSE)),FALSE,TRUE),TRUE)))</x:f>
        <x:v>1</x:v>
      </x:c>
      <x:c r="AQ32" s="1305">
        <x:f t="shared" si="20"/>
        <x:v>7.375</x:v>
      </x:c>
      <x:c r="AR32" s="1305" t="b">
        <x:f t="shared" si="21"/>
        <x:v>0</x:v>
      </x:c>
      <x:c r="AS32" s="1305">
        <x:f t="shared" si="22"/>
        <x:v>7.375</x:v>
      </x:c>
      <x:c r="AT32" s="1305" t="b">
        <x:f t="shared" si="23"/>
        <x:v>0</x:v>
      </x:c>
      <x:c r="AU32" s="1203" t="str">
        <x:f t="shared" si="24"/>
        <x:v>LH</x:v>
      </x:c>
      <x:c r="AV32" s="1063" t="str">
        <x:f t="shared" si="25"/>
        <x:v/>
      </x:c>
      <x:c r="AW32" s="1063" t="str">
        <x:f t="shared" si="26"/>
        <x:v>LH</x:v>
      </x:c>
      <x:c r="AX32" s="1063" t="str">
        <x:f t="shared" si="102"/>
        <x:v>J233</x:v>
      </x:c>
      <x:c r="AY32" s="1306" t="b">
        <x:f t="shared" si="27"/>
        <x:v>0</x:v>
      </x:c>
      <x:c r="AZ32" s="1090" t="b">
        <x:f t="shared" si="28"/>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29"/>
        <x:v/>
      </x:c>
      <x:c r="CE32" s="935" t="str">
        <x:f t="shared" si="30"/>
        <x:v/>
      </x:c>
      <x:c r="CF32" s="1149"/>
      <x:c r="CG32" s="1150"/>
      <x:c r="CH32" s="738" t="str">
        <x:f t="shared" si="31"/>
        <x:v/>
      </x:c>
      <x:c r="CI32" s="739" t="str">
        <x:f t="shared" si="32"/>
        <x:v/>
      </x:c>
      <x:c r="CJ32" s="740" t="str">
        <x:f t="shared" si="33"/>
        <x:v/>
      </x:c>
      <x:c r="CK32" s="741" t="str">
        <x:f t="shared" si="34"/>
        <x:v/>
      </x:c>
      <x:c r="CL32" s="742" t="str">
        <x:f t="shared" si="35"/>
        <x:v/>
      </x:c>
      <x:c r="CM32" s="743" t="str">
        <x:f t="shared" si="36"/>
        <x:v/>
      </x:c>
      <x:c r="CN32" s="744" t="str">
        <x:f t="shared" si="37"/>
        <x:v/>
      </x:c>
      <x:c r="CO32" s="745" t="str">
        <x:f t="shared" si="38"/>
        <x:v/>
      </x:c>
      <x:c r="CP32" s="762" t="str">
        <x:f t="shared" si="39"/>
        <x:v/>
      </x:c>
      <x:c r="CQ32" s="763" t="str">
        <x:f t="shared" si="40"/>
        <x:v/>
      </x:c>
      <x:c r="CR32" s="953">
        <x:f t="shared" si="41"/>
        <x:v>5</x:v>
      </x:c>
      <x:c r="CS32" s="954">
        <x:f t="shared" si="42"/>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3"/>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4"/>
        <x:v>0</x:v>
      </x:c>
      <x:c r="DO32" s="1049">
        <x:f t="shared" si="45"/>
        <x:v>0</x:v>
      </x:c>
      <x:c r="DP32" s="1053" t="str">
        <x:f t="shared" si="46"/>
        <x:v/>
      </x:c>
      <x:c r="DQ32" s="1053" t="str">
        <x:f t="shared" si="47"/>
        <x:v/>
      </x:c>
      <x:c r="DR32" s="1053" t="str">
        <x:f t="shared" si="48"/>
        <x:v/>
      </x:c>
      <x:c r="DS32" s="1052">
        <x:f t="shared" si="49"/>
        <x:v>0</x:v>
      </x:c>
      <x:c r="DT32" s="1052">
        <x:f t="shared" si="50"/>
        <x:v>0</x:v>
      </x:c>
      <x:c r="DU32" s="1052" t="str">
        <x:f t="shared" si="51"/>
        <x:v/>
      </x:c>
      <x:c r="DV32" s="1053" t="str">
        <x:f t="shared" si="52"/>
        <x:v/>
      </x:c>
      <x:c r="DW32" s="1053" t="str">
        <x:f t="shared" si="53"/>
        <x:v/>
      </x:c>
      <x:c r="DX32" s="1269">
        <x:f t="shared" si="54"/>
        <x:v>0</x:v>
      </x:c>
      <x:c r="DY32" s="1053">
        <x:f t="shared" si="55"/>
        <x:v>0</x:v>
      </x:c>
      <x:c r="DZ32" s="1052">
        <x:f t="shared" si="56"/>
        <x:v>0</x:v>
      </x:c>
      <x:c r="EA32" s="1052" t="str">
        <x:f t="shared" si="57"/>
        <x:v/>
      </x:c>
      <x:c r="EB32" s="1053" t="str">
        <x:f t="shared" si="58"/>
        <x:v/>
      </x:c>
      <x:c r="EC32" s="1053" t="str">
        <x:f t="shared" si="59"/>
        <x:v/>
      </x:c>
      <x:c r="ED32" s="1269">
        <x:f t="shared" si="60"/>
        <x:v>0</x:v>
      </x:c>
      <x:c r="EE32" s="1090" t="str">
        <x:f t="shared" si="61"/>
        <x:v/>
      </x:c>
      <x:c r="EF32" s="1053" t="str">
        <x:f t="shared" si="62"/>
        <x:v/>
      </x:c>
      <x:c r="EG32" s="1053" t="str">
        <x:f t="shared" si="63"/>
        <x:v/>
      </x:c>
      <x:c r="EH32" s="1053" t="str">
        <x:f t="shared" si="64"/>
        <x:v>ERR</x:v>
      </x:c>
      <x:c r="EI32" s="1053" t="str">
        <x:f t="shared" si="65"/>
        <x:v>ERR</x:v>
      </x:c>
      <x:c r="EJ32" s="1053" t="str">
        <x:f t="shared" si="66"/>
        <x:v/>
      </x:c>
      <x:c r="EK32" s="1053" t="str">
        <x:f t="shared" si="66"/>
        <x:v/>
      </x:c>
      <x:c r="EL32" s="1090" t="str">
        <x:f t="shared" si="67"/>
        <x:v/>
      </x:c>
      <x:c r="EM32" s="1053" t="str">
        <x:f t="shared" si="68"/>
        <x:v/>
      </x:c>
      <x:c r="EN32" s="1053" t="str">
        <x:f t="shared" si="69"/>
        <x:v/>
      </x:c>
      <x:c r="EO32" s="1053" t="str">
        <x:f t="shared" si="70"/>
        <x:v>ERR</x:v>
      </x:c>
      <x:c r="EP32" s="1053" t="str">
        <x:f t="shared" si="71"/>
        <x:v>ERR</x:v>
      </x:c>
      <x:c r="EQ32" s="1053" t="str">
        <x:f t="shared" si="72"/>
        <x:v/>
      </x:c>
      <x:c r="ER32" s="1053" t="str">
        <x:f t="shared" si="72"/>
        <x:v/>
      </x:c>
      <x:c r="ES32" s="1053" t="str">
        <x:f t="shared" si="73"/>
        <x:v/>
      </x:c>
      <x:c r="ET32" s="1053" t="str">
        <x:f t="shared" si="74"/>
        <x:v/>
      </x:c>
      <x:c r="EU32" s="1061">
        <x:f t="shared" si="75"/>
        <x:v>4</x:v>
      </x:c>
      <x:c r="EV32" s="1055" t="str">
        <x:f t="shared" si="76"/>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7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78"/>
        <x:v/>
      </x:c>
      <x:c r="FD32" s="1052">
        <x:f t="shared" si="103"/>
        <x:v>0</x:v>
      </x:c>
      <x:c r="FE32" s="1052">
        <x:f t="shared" si="79"/>
        <x:v>0</x:v>
      </x:c>
      <x:c r="FF32" s="1052">
        <x:f t="shared" si="80"/>
        <x:v>0</x:v>
      </x:c>
      <x:c r="FG32" s="1052" t="str">
        <x:f t="shared" si="81"/>
        <x:v/>
      </x:c>
      <x:c r="FH32" s="1053" t="str">
        <x:f t="shared" si="82"/>
        <x:v/>
      </x:c>
      <x:c r="FI32" s="1052">
        <x:f t="shared" si="104"/>
        <x:v>0</x:v>
      </x:c>
      <x:c r="FJ32" s="1052">
        <x:f t="shared" si="83"/>
        <x:v>0</x:v>
      </x:c>
      <x:c r="FK32" s="1052">
        <x:f t="shared" si="84"/>
        <x:v>0</x:v>
      </x:c>
      <x:c r="FL32" s="1052" t="str">
        <x:f t="shared" si="85"/>
        <x:v/>
      </x:c>
      <x:c r="FM32" s="1053" t="str">
        <x:f t="shared" si="86"/>
        <x:v/>
      </x:c>
      <x:c r="FN32" s="1053" t="e">
        <x:f t="shared" si="87"/>
        <x:v>#VALUE!</x:v>
      </x:c>
      <x:c r="FO32" s="1062" t="e">
        <x:f t="shared" si="88"/>
        <x:v>#VALUE!</x:v>
      </x:c>
      <x:c r="FP32" s="1062" t="e">
        <x:f t="shared" si="89"/>
        <x:v>#VALUE!</x:v>
      </x:c>
      <x:c r="FQ32" s="1063" t="e">
        <x:f t="shared" si="90"/>
        <x:v>#VALUE!</x:v>
      </x:c>
      <x:c r="FR32" s="1064" t="e">
        <x:f t="shared" si="91"/>
        <x:v>#VALUE!</x:v>
      </x:c>
      <x:c r="FS32" s="1065" t="str">
        <x:f t="shared" si="92"/>
        <x:v/>
      </x:c>
      <x:c r="FT32" s="1066" t="str">
        <x:f t="shared" si="93"/>
        <x:v/>
      </x:c>
      <x:c r="FU32" s="1105">
        <x:f t="shared" si="94"/>
        <x:v>0</x:v>
      </x:c>
      <x:c r="FV32" s="1106">
        <x:f t="shared" si="95"/>
        <x:v>0</x:v>
      </x:c>
      <x:c r="GA32" s="1975">
        <x:v>60</x:v>
      </x:c>
      <x:c r="GB32" s="1976">
        <x:v>0</x:v>
      </x:c>
      <x:c r="GC32" s="1977">
        <x:v>-0.25</x:v>
      </x:c>
      <x:c r="GD32" s="1978">
        <x:v>-0.25</x:v>
      </x:c>
      <x:c r="GE32" s="1979">
        <x:v>-0.2381034202378135</x:v>
      </x:c>
      <x:c r="GF32" s="1980" t="str">
        <x:f t="shared" si="96"/>
        <x:v>J233</x:v>
      </x:c>
      <x:c r="GG32" s="1453"/>
      <x:c r="GH32" s="1454"/>
      <x:c r="GI32" s="1453"/>
      <x:c r="GJ32" s="1454"/>
      <x:c r="GK32" s="533">
        <x:f t="shared" si="97"/>
        <x:v>719.5</x:v>
      </x:c>
      <x:c r="GL32" s="534">
        <x:f t="shared" si="98"/>
        <x:v>719.64162073330385</x:v>
      </x:c>
      <x:c r="GM32" s="535">
        <x:f>IF(ABS(GK32-GL32)&gt;='Job Info.'!$L$22,ABS(GK32-GL32),0)</x:f>
        <x:v>0</x:v>
      </x:c>
      <x:c r="HA32" s="1658" t="s">
        <x:v>1557</x:v>
      </x:c>
      <x:c r="HB32" s="1659">
        <x:v>3</x:v>
      </x:c>
      <x:c r="HC32" s="1659" t="s">
        <x:v>1978</x:v>
      </x:c>
      <x:c r="HD32" s="1660">
        <x:v>59</x:v>
      </x:c>
      <x:c r="HE32" s="1661">
        <x:v>11.5</x:v>
      </x:c>
      <x:c r="HF32" s="1659">
        <x:v>0</x:v>
      </x:c>
      <x:c r="HG32" s="1659">
        <x:v>1.375</x:v>
      </x:c>
      <x:c r="HH32" s="1659" t="s">
        <x:v>114</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2241</x:v>
      </x:c>
      <x:c r="IB32" s="1661"/>
      <x:c r="IC32" s="1661"/>
      <x:c r="ID32" s="1661"/>
      <x:c r="IE32" s="1661"/>
      <x:c r="IF32" s="1663"/>
    </x:row>
    <x:row r="33" spans="1:240" ht="12.6" customHeight="1" x14ac:dyDescent="0.25">
      <x:c r="A33" s="1264" t="s">
        <x:v>1558</x:v>
      </x:c>
      <x:c r="B33" s="1265">
        <x:v>1</x:v>
      </x:c>
      <x:c r="C33" s="1265" t="s">
        <x:v>1978</x:v>
      </x:c>
      <x:c r="D33" s="1261">
        <x:v>59</x:v>
      </x:c>
      <x:c r="E33" s="1366">
        <x:v>11.5</x:v>
      </x:c>
      <x:c r="F33" s="1328">
        <x:v>0</x:v>
      </x:c>
      <x:c r="G33" s="1262">
        <x:v>1.375</x:v>
      </x:c>
      <x:c r="H33" s="1266" t="s">
        <x:v>114</x:v>
      </x:c>
      <x:c r="I33" s="1261">
        <x:v>0</x:v>
      </x:c>
      <x:c r="J33" s="1262">
        <x:v>1.375</x:v>
      </x:c>
      <x:c r="K33" s="1370" t="s">
        <x:v>114</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x:v>0</x:v>
      </x:c>
      <x:c r="U33" s="1262">
        <x:v>2.25</x:v>
      </x:c>
      <x:c r="V33" s="1261">
        <x:v>0</x:v>
      </x:c>
      <x:c r="W33" s="1262">
        <x:v>2.25</x:v>
      </x:c>
      <x:c r="X33" s="1329">
        <x:v>4</x:v>
      </x:c>
      <x:c r="Y33" s="1377" t="str">
        <x:f t="shared" si="7"/>
        <x:v/>
      </x:c>
      <x:c r="Z33" s="1378" t="str">
        <x:f t="shared" si="8"/>
        <x:v/>
      </x:c>
      <x:c r="AA33" s="2159" t="s">
        <x:v>2242</x:v>
      </x:c>
      <x:c r="AC33" s="1226" t="b">
        <x:v>0</x:v>
      </x:c>
      <x:c r="AD33" s="525">
        <x:f t="shared" si="9"/>
        <x:v>0</x:v>
      </x:c>
      <x:c r="AE33" s="526">
        <x:f t="shared" si="10"/>
        <x:v>1</x:v>
      </x:c>
      <x:c r="AF33" s="526">
        <x:f t="shared" si="11"/>
        <x:v>0</x:v>
      </x:c>
      <x:c r="AG33" s="526">
        <x:f t="shared" si="12"/>
        <x:v>0</x:v>
      </x:c>
      <x:c r="AH33" s="527">
        <x:f t="shared" si="13"/>
        <x:v>0</x:v>
      </x:c>
      <x:c r="AI33" s="528" t="b">
        <x:v>0</x:v>
      </x:c>
      <x:c r="AJ33" s="284">
        <x:f t="shared" si="14"/>
        <x:v>36</x:v>
      </x:c>
      <x:c r="AK33" s="1063" t="str">
        <x:f t="shared" si="15"/>
        <x:v>LH</x:v>
      </x:c>
      <x:c r="AL33" s="1202" t="str">
        <x:f t="shared" si="16"/>
        <x:v/>
      </x:c>
      <x:c r="AM33" s="1063">
        <x:f t="shared" si="17"/>
        <x:v>270</x:v>
      </x:c>
      <x:c r="AN33" s="1063">
        <x:f t="shared" si="18"/>
        <x:v>120</x:v>
      </x:c>
      <x:c r="AO33" s="1063" t="str">
        <x:f t="shared" si="19"/>
        <x:v/>
      </x:c>
      <x:c r="AP33" s="1063" t="b">
        <x:f>IF(ISERROR(AJ33),FALSE,IF(OR(AJ33=0,ISERROR(AL33),ISERROR(AM33),ISERROR(AN33),ISERROR(AO33)),FALSE,IF(AL33&lt;&gt;"",IF(ISERROR(VLOOKUP(SUBSTITUTE(SUBSTITUTE(C33,"R",""),"A",""),TblJoistSize!$A:$A,1,FALSE)),FALSE,TRUE),TRUE)))</x:f>
        <x:v>1</x:v>
      </x:c>
      <x:c r="AQ33" s="1305">
        <x:f t="shared" si="20"/>
        <x:v>7.375</x:v>
      </x:c>
      <x:c r="AR33" s="1305" t="b">
        <x:f t="shared" si="21"/>
        <x:v>1</x:v>
      </x:c>
      <x:c r="AS33" s="1305">
        <x:f t="shared" si="22"/>
        <x:v>7.375</x:v>
      </x:c>
      <x:c r="AT33" s="1305" t="b">
        <x:f t="shared" si="23"/>
        <x:v>1</x:v>
      </x:c>
      <x:c r="AU33" s="1203" t="str">
        <x:f t="shared" si="24"/>
        <x:v>LH</x:v>
      </x:c>
      <x:c r="AV33" s="1063" t="str">
        <x:f t="shared" si="25"/>
        <x:v/>
      </x:c>
      <x:c r="AW33" s="1063" t="str">
        <x:f t="shared" si="26"/>
        <x:v>LH</x:v>
      </x:c>
      <x:c r="AX33" s="1063" t="str">
        <x:f t="shared" si="102"/>
        <x:v>TJ234</x:v>
      </x:c>
      <x:c r="AY33" s="1306" t="b">
        <x:f t="shared" si="27"/>
        <x:v>0</x:v>
      </x:c>
      <x:c r="AZ33" s="1090" t="b">
        <x:f t="shared" si="28"/>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29"/>
        <x:v/>
      </x:c>
      <x:c r="CE33" s="935" t="str">
        <x:f t="shared" si="30"/>
        <x:v/>
      </x:c>
      <x:c r="CF33" s="1149"/>
      <x:c r="CG33" s="1150"/>
      <x:c r="CH33" s="738" t="str">
        <x:f t="shared" si="31"/>
        <x:v/>
      </x:c>
      <x:c r="CI33" s="739" t="str">
        <x:f t="shared" si="32"/>
        <x:v/>
      </x:c>
      <x:c r="CJ33" s="740" t="str">
        <x:f t="shared" si="33"/>
        <x:v/>
      </x:c>
      <x:c r="CK33" s="741" t="str">
        <x:f t="shared" si="34"/>
        <x:v/>
      </x:c>
      <x:c r="CL33" s="742" t="str">
        <x:f t="shared" si="35"/>
        <x:v/>
      </x:c>
      <x:c r="CM33" s="743" t="str">
        <x:f t="shared" si="36"/>
        <x:v/>
      </x:c>
      <x:c r="CN33" s="744" t="str">
        <x:f t="shared" si="37"/>
        <x:v/>
      </x:c>
      <x:c r="CO33" s="745" t="str">
        <x:f t="shared" si="38"/>
        <x:v/>
      </x:c>
      <x:c r="CP33" s="762" t="str">
        <x:f t="shared" si="39"/>
        <x:v/>
      </x:c>
      <x:c r="CQ33" s="763" t="str">
        <x:f t="shared" si="40"/>
        <x:v/>
      </x:c>
      <x:c r="CR33" s="953">
        <x:f t="shared" si="41"/>
        <x:v>5</x:v>
      </x:c>
      <x:c r="CS33" s="954">
        <x:f t="shared" si="42"/>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3"/>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4"/>
        <x:v>0</x:v>
      </x:c>
      <x:c r="DO33" s="1049">
        <x:f t="shared" si="45"/>
        <x:v>0</x:v>
      </x:c>
      <x:c r="DP33" s="1053" t="str">
        <x:f t="shared" si="46"/>
        <x:v/>
      </x:c>
      <x:c r="DQ33" s="1053" t="str">
        <x:f t="shared" si="47"/>
        <x:v/>
      </x:c>
      <x:c r="DR33" s="1053" t="str">
        <x:f t="shared" si="48"/>
        <x:v/>
      </x:c>
      <x:c r="DS33" s="1052">
        <x:f t="shared" si="49"/>
        <x:v>0</x:v>
      </x:c>
      <x:c r="DT33" s="1052">
        <x:f t="shared" si="50"/>
        <x:v>0</x:v>
      </x:c>
      <x:c r="DU33" s="1052" t="str">
        <x:f t="shared" si="51"/>
        <x:v/>
      </x:c>
      <x:c r="DV33" s="1053" t="str">
        <x:f t="shared" si="52"/>
        <x:v/>
      </x:c>
      <x:c r="DW33" s="1053" t="str">
        <x:f t="shared" si="53"/>
        <x:v/>
      </x:c>
      <x:c r="DX33" s="1269">
        <x:f t="shared" si="54"/>
        <x:v>0</x:v>
      </x:c>
      <x:c r="DY33" s="1053">
        <x:f t="shared" si="55"/>
        <x:v>0</x:v>
      </x:c>
      <x:c r="DZ33" s="1052">
        <x:f t="shared" si="56"/>
        <x:v>0</x:v>
      </x:c>
      <x:c r="EA33" s="1052" t="str">
        <x:f t="shared" si="57"/>
        <x:v/>
      </x:c>
      <x:c r="EB33" s="1053" t="str">
        <x:f t="shared" si="58"/>
        <x:v/>
      </x:c>
      <x:c r="EC33" s="1053" t="str">
        <x:f t="shared" si="59"/>
        <x:v/>
      </x:c>
      <x:c r="ED33" s="1269">
        <x:f t="shared" si="60"/>
        <x:v>0</x:v>
      </x:c>
      <x:c r="EE33" s="1090" t="str">
        <x:f t="shared" si="61"/>
        <x:v/>
      </x:c>
      <x:c r="EF33" s="1053" t="str">
        <x:f t="shared" si="62"/>
        <x:v/>
      </x:c>
      <x:c r="EG33" s="1053" t="str">
        <x:f t="shared" si="63"/>
        <x:v/>
      </x:c>
      <x:c r="EH33" s="1053" t="str">
        <x:f t="shared" si="64"/>
        <x:v>ERR</x:v>
      </x:c>
      <x:c r="EI33" s="1053" t="str">
        <x:f t="shared" si="65"/>
        <x:v>ERR</x:v>
      </x:c>
      <x:c r="EJ33" s="1053" t="str">
        <x:f t="shared" si="66"/>
        <x:v/>
      </x:c>
      <x:c r="EK33" s="1053" t="str">
        <x:f t="shared" si="66"/>
        <x:v/>
      </x:c>
      <x:c r="EL33" s="1090" t="str">
        <x:f t="shared" si="67"/>
        <x:v/>
      </x:c>
      <x:c r="EM33" s="1053" t="str">
        <x:f t="shared" si="68"/>
        <x:v/>
      </x:c>
      <x:c r="EN33" s="1053" t="str">
        <x:f t="shared" si="69"/>
        <x:v/>
      </x:c>
      <x:c r="EO33" s="1053" t="str">
        <x:f t="shared" si="70"/>
        <x:v>ERR</x:v>
      </x:c>
      <x:c r="EP33" s="1053" t="str">
        <x:f t="shared" si="71"/>
        <x:v>ERR</x:v>
      </x:c>
      <x:c r="EQ33" s="1053" t="str">
        <x:f t="shared" si="72"/>
        <x:v/>
      </x:c>
      <x:c r="ER33" s="1053" t="str">
        <x:f t="shared" si="72"/>
        <x:v/>
      </x:c>
      <x:c r="ES33" s="1053" t="str">
        <x:f t="shared" si="73"/>
        <x:v/>
      </x:c>
      <x:c r="ET33" s="1053" t="str">
        <x:f t="shared" si="74"/>
        <x:v/>
      </x:c>
      <x:c r="EU33" s="1061">
        <x:f t="shared" si="75"/>
        <x:v>4</x:v>
      </x:c>
      <x:c r="EV33" s="1055" t="str">
        <x:f t="shared" si="76"/>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7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78"/>
        <x:v/>
      </x:c>
      <x:c r="FD33" s="1052">
        <x:f t="shared" si="103"/>
        <x:v>0</x:v>
      </x:c>
      <x:c r="FE33" s="1052">
        <x:f t="shared" si="79"/>
        <x:v>0</x:v>
      </x:c>
      <x:c r="FF33" s="1052">
        <x:f t="shared" si="80"/>
        <x:v>0</x:v>
      </x:c>
      <x:c r="FG33" s="1052" t="str">
        <x:f t="shared" si="81"/>
        <x:v/>
      </x:c>
      <x:c r="FH33" s="1053" t="str">
        <x:f t="shared" si="82"/>
        <x:v/>
      </x:c>
      <x:c r="FI33" s="1052">
        <x:f t="shared" si="104"/>
        <x:v>0</x:v>
      </x:c>
      <x:c r="FJ33" s="1052">
        <x:f t="shared" si="83"/>
        <x:v>0</x:v>
      </x:c>
      <x:c r="FK33" s="1052">
        <x:f t="shared" si="84"/>
        <x:v>0</x:v>
      </x:c>
      <x:c r="FL33" s="1052" t="str">
        <x:f t="shared" si="85"/>
        <x:v/>
      </x:c>
      <x:c r="FM33" s="1053" t="str">
        <x:f t="shared" si="86"/>
        <x:v/>
      </x:c>
      <x:c r="FN33" s="1053" t="e">
        <x:f t="shared" si="87"/>
        <x:v>#VALUE!</x:v>
      </x:c>
      <x:c r="FO33" s="1062" t="e">
        <x:f t="shared" si="88"/>
        <x:v>#VALUE!</x:v>
      </x:c>
      <x:c r="FP33" s="1062" t="e">
        <x:f t="shared" si="89"/>
        <x:v>#VALUE!</x:v>
      </x:c>
      <x:c r="FQ33" s="1063" t="e">
        <x:f t="shared" si="90"/>
        <x:v>#VALUE!</x:v>
      </x:c>
      <x:c r="FR33" s="1064" t="e">
        <x:f t="shared" si="91"/>
        <x:v>#VALUE!</x:v>
      </x:c>
      <x:c r="FS33" s="1065" t="str">
        <x:f t="shared" si="92"/>
        <x:v/>
      </x:c>
      <x:c r="FT33" s="1066" t="str">
        <x:f t="shared" si="93"/>
        <x:v/>
      </x:c>
      <x:c r="FU33" s="1105">
        <x:f t="shared" si="94"/>
        <x:v>0</x:v>
      </x:c>
      <x:c r="FV33" s="1106">
        <x:f t="shared" si="95"/>
        <x:v>0</x:v>
      </x:c>
      <x:c r="GA33" s="1975">
        <x:v>60</x:v>
      </x:c>
      <x:c r="GB33" s="1976">
        <x:v>0</x:v>
      </x:c>
      <x:c r="GC33" s="1977">
        <x:v>-0.25</x:v>
      </x:c>
      <x:c r="GD33" s="1978">
        <x:v>-0.25</x:v>
      </x:c>
      <x:c r="GE33" s="1979">
        <x:v>-0.24762068404756299</x:v>
      </x:c>
      <x:c r="GF33" s="1980" t="str">
        <x:f t="shared" si="96"/>
        <x:v>TJ234</x:v>
      </x:c>
      <x:c r="GG33" s="1453"/>
      <x:c r="GH33" s="1454"/>
      <x:c r="GI33" s="1453"/>
      <x:c r="GJ33" s="1454"/>
      <x:c r="GK33" s="533">
        <x:f t="shared" si="97"/>
        <x:v>719.5</x:v>
      </x:c>
      <x:c r="GL33" s="534">
        <x:f t="shared" si="98"/>
        <x:v>719.65316725339369</x:v>
      </x:c>
      <x:c r="GM33" s="535">
        <x:f>IF(ABS(GK33-GL33)&gt;='Job Info.'!$L$22,ABS(GK33-GL33),0)</x:f>
        <x:v>0</x:v>
      </x:c>
      <x:c r="HA33" s="1658" t="s">
        <x:v>1558</x:v>
      </x:c>
      <x:c r="HB33" s="1659">
        <x:v>1</x:v>
      </x:c>
      <x:c r="HC33" s="1659" t="s">
        <x:v>1978</x:v>
      </x:c>
      <x:c r="HD33" s="1660">
        <x:v>59</x:v>
      </x:c>
      <x:c r="HE33" s="1661">
        <x:v>11.5</x:v>
      </x:c>
      <x:c r="HF33" s="1659">
        <x:v>0</x:v>
      </x:c>
      <x:c r="HG33" s="1659">
        <x:v>1.375</x:v>
      </x:c>
      <x:c r="HH33" s="1659" t="s">
        <x:v>114</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x:v>0</x:v>
      </x:c>
      <x:c r="HU33" s="1659">
        <x:v>2.25</x:v>
      </x:c>
      <x:c r="HV33" s="1659">
        <x:v>0</x:v>
      </x:c>
      <x:c r="HW33" s="1661">
        <x:v>2.25</x:v>
      </x:c>
      <x:c r="HX33" s="1661">
        <x:v>4</x:v>
      </x:c>
      <x:c r="HY33" s="1661" t="s">
        <x:v>117</x:v>
      </x:c>
      <x:c r="HZ33" s="1661" t="s">
        <x:v>117</x:v>
      </x:c>
      <x:c r="IA33" s="1661" t="s">
        <x:v>2242</x:v>
      </x:c>
      <x:c r="IB33" s="1661"/>
      <x:c r="IC33" s="1661"/>
      <x:c r="ID33" s="1661"/>
      <x:c r="IE33" s="1661"/>
      <x:c r="IF33" s="1663"/>
    </x:row>
    <x:row r="34" spans="1:240" ht="12.6" customHeight="1" x14ac:dyDescent="0.25">
      <x:c r="A34" s="1264" t="s">
        <x:v>1559</x:v>
      </x:c>
      <x:c r="B34" s="1265">
        <x:v>1</x:v>
      </x:c>
      <x:c r="C34" s="1265" t="s">
        <x:v>1978</x:v>
      </x:c>
      <x:c r="D34" s="1261">
        <x:v>59</x:v>
      </x:c>
      <x:c r="E34" s="1366">
        <x:v>11.5</x:v>
      </x:c>
      <x:c r="F34" s="1328">
        <x:v>0</x:v>
      </x:c>
      <x:c r="G34" s="1262">
        <x:v>1.375</x:v>
      </x:c>
      <x:c r="H34" s="1266" t="s">
        <x:v>114</x:v>
      </x:c>
      <x:c r="I34" s="1261">
        <x:v>0</x:v>
      </x:c>
      <x:c r="J34" s="1262">
        <x:v>1.375</x:v>
      </x:c>
      <x:c r="K34" s="1370" t="s">
        <x:v>114</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x:v>0</x:v>
      </x:c>
      <x:c r="U34" s="1262">
        <x:v>2.25</x:v>
      </x:c>
      <x:c r="V34" s="1261">
        <x:v>0</x:v>
      </x:c>
      <x:c r="W34" s="1262">
        <x:v>2.25</x:v>
      </x:c>
      <x:c r="X34" s="1329">
        <x:v>4</x:v>
      </x:c>
      <x:c r="Y34" s="1377" t="str">
        <x:f t="shared" si="7"/>
        <x:v/>
      </x:c>
      <x:c r="Z34" s="1378" t="str">
        <x:f t="shared" si="8"/>
        <x:v/>
      </x:c>
      <x:c r="AA34" s="2159" t="s">
        <x:v>2241</x:v>
      </x:c>
      <x:c r="AC34" s="1226" t="b">
        <x:v>0</x:v>
      </x:c>
      <x:c r="AD34" s="525">
        <x:f t="shared" si="9"/>
        <x:v>0</x:v>
      </x:c>
      <x:c r="AE34" s="526">
        <x:f t="shared" si="10"/>
        <x:v>1</x:v>
      </x:c>
      <x:c r="AF34" s="526">
        <x:f t="shared" si="11"/>
        <x:v>0</x:v>
      </x:c>
      <x:c r="AG34" s="526">
        <x:f t="shared" si="12"/>
        <x:v>0</x:v>
      </x:c>
      <x:c r="AH34" s="527">
        <x:f t="shared" si="13"/>
        <x:v>0</x:v>
      </x:c>
      <x:c r="AI34" s="528" t="b">
        <x:v>0</x:v>
      </x:c>
      <x:c r="AJ34" s="284">
        <x:f t="shared" si="14"/>
        <x:v>36</x:v>
      </x:c>
      <x:c r="AK34" s="1063" t="str">
        <x:f t="shared" si="15"/>
        <x:v>LH</x:v>
      </x:c>
      <x:c r="AL34" s="1202" t="str">
        <x:f t="shared" si="16"/>
        <x:v/>
      </x:c>
      <x:c r="AM34" s="1063">
        <x:f t="shared" si="17"/>
        <x:v>270</x:v>
      </x:c>
      <x:c r="AN34" s="1063">
        <x:f t="shared" si="18"/>
        <x:v>120</x:v>
      </x:c>
      <x:c r="AO34" s="1063" t="str">
        <x:f t="shared" si="19"/>
        <x:v/>
      </x:c>
      <x:c r="AP34" s="1063" t="b">
        <x:f>IF(ISERROR(AJ34),FALSE,IF(OR(AJ34=0,ISERROR(AL34),ISERROR(AM34),ISERROR(AN34),ISERROR(AO34)),FALSE,IF(AL34&lt;&gt;"",IF(ISERROR(VLOOKUP(SUBSTITUTE(SUBSTITUTE(C34,"R",""),"A",""),TblJoistSize!$A:$A,1,FALSE)),FALSE,TRUE),TRUE)))</x:f>
        <x:v>1</x:v>
      </x:c>
      <x:c r="AQ34" s="1305">
        <x:f t="shared" si="20"/>
        <x:v>7.375</x:v>
      </x:c>
      <x:c r="AR34" s="1305" t="b">
        <x:f t="shared" si="21"/>
        <x:v>1</x:v>
      </x:c>
      <x:c r="AS34" s="1305">
        <x:f t="shared" si="22"/>
        <x:v>7.375</x:v>
      </x:c>
      <x:c r="AT34" s="1305" t="b">
        <x:f t="shared" si="23"/>
        <x:v>1</x:v>
      </x:c>
      <x:c r="AU34" s="1203" t="str">
        <x:f t="shared" si="24"/>
        <x:v>LH</x:v>
      </x:c>
      <x:c r="AV34" s="1063" t="str">
        <x:f t="shared" si="25"/>
        <x:v/>
      </x:c>
      <x:c r="AW34" s="1063" t="str">
        <x:f t="shared" si="26"/>
        <x:v>LH</x:v>
      </x:c>
      <x:c r="AX34" s="1063" t="str">
        <x:f t="shared" si="102"/>
        <x:v>TJ235</x:v>
      </x:c>
      <x:c r="AY34" s="1306" t="b">
        <x:f t="shared" si="27"/>
        <x:v>0</x:v>
      </x:c>
      <x:c r="AZ34" s="1090" t="b">
        <x:f t="shared" si="28"/>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29"/>
        <x:v/>
      </x:c>
      <x:c r="CE34" s="935" t="str">
        <x:f t="shared" si="30"/>
        <x:v/>
      </x:c>
      <x:c r="CF34" s="1149"/>
      <x:c r="CG34" s="1150"/>
      <x:c r="CH34" s="738" t="str">
        <x:f t="shared" si="31"/>
        <x:v/>
      </x:c>
      <x:c r="CI34" s="739" t="str">
        <x:f t="shared" si="32"/>
        <x:v/>
      </x:c>
      <x:c r="CJ34" s="740" t="str">
        <x:f t="shared" si="33"/>
        <x:v/>
      </x:c>
      <x:c r="CK34" s="741" t="str">
        <x:f t="shared" si="34"/>
        <x:v/>
      </x:c>
      <x:c r="CL34" s="742" t="str">
        <x:f t="shared" si="35"/>
        <x:v/>
      </x:c>
      <x:c r="CM34" s="743" t="str">
        <x:f t="shared" si="36"/>
        <x:v/>
      </x:c>
      <x:c r="CN34" s="744" t="str">
        <x:f t="shared" si="37"/>
        <x:v/>
      </x:c>
      <x:c r="CO34" s="745" t="str">
        <x:f t="shared" si="38"/>
        <x:v/>
      </x:c>
      <x:c r="CP34" s="762" t="str">
        <x:f t="shared" si="39"/>
        <x:v/>
      </x:c>
      <x:c r="CQ34" s="763" t="str">
        <x:f t="shared" si="40"/>
        <x:v/>
      </x:c>
      <x:c r="CR34" s="953">
        <x:f t="shared" si="41"/>
        <x:v>5</x:v>
      </x:c>
      <x:c r="CS34" s="954">
        <x:f t="shared" si="42"/>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3"/>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4"/>
        <x:v>0</x:v>
      </x:c>
      <x:c r="DO34" s="1049">
        <x:f t="shared" si="45"/>
        <x:v>0</x:v>
      </x:c>
      <x:c r="DP34" s="1053" t="str">
        <x:f t="shared" si="46"/>
        <x:v/>
      </x:c>
      <x:c r="DQ34" s="1053" t="str">
        <x:f t="shared" si="47"/>
        <x:v/>
      </x:c>
      <x:c r="DR34" s="1053" t="str">
        <x:f t="shared" si="48"/>
        <x:v/>
      </x:c>
      <x:c r="DS34" s="1052">
        <x:f t="shared" si="49"/>
        <x:v>0</x:v>
      </x:c>
      <x:c r="DT34" s="1052">
        <x:f t="shared" si="50"/>
        <x:v>0</x:v>
      </x:c>
      <x:c r="DU34" s="1052" t="str">
        <x:f t="shared" si="51"/>
        <x:v/>
      </x:c>
      <x:c r="DV34" s="1053" t="str">
        <x:f t="shared" si="52"/>
        <x:v/>
      </x:c>
      <x:c r="DW34" s="1053" t="str">
        <x:f t="shared" si="53"/>
        <x:v/>
      </x:c>
      <x:c r="DX34" s="1269">
        <x:f t="shared" si="54"/>
        <x:v>0</x:v>
      </x:c>
      <x:c r="DY34" s="1053">
        <x:f t="shared" si="55"/>
        <x:v>0</x:v>
      </x:c>
      <x:c r="DZ34" s="1052">
        <x:f t="shared" si="56"/>
        <x:v>0</x:v>
      </x:c>
      <x:c r="EA34" s="1052" t="str">
        <x:f t="shared" si="57"/>
        <x:v/>
      </x:c>
      <x:c r="EB34" s="1053" t="str">
        <x:f t="shared" si="58"/>
        <x:v/>
      </x:c>
      <x:c r="EC34" s="1053" t="str">
        <x:f t="shared" si="59"/>
        <x:v/>
      </x:c>
      <x:c r="ED34" s="1269">
        <x:f t="shared" si="60"/>
        <x:v>0</x:v>
      </x:c>
      <x:c r="EE34" s="1090" t="str">
        <x:f t="shared" si="61"/>
        <x:v/>
      </x:c>
      <x:c r="EF34" s="1053" t="str">
        <x:f t="shared" si="62"/>
        <x:v/>
      </x:c>
      <x:c r="EG34" s="1053" t="str">
        <x:f t="shared" si="63"/>
        <x:v/>
      </x:c>
      <x:c r="EH34" s="1053" t="str">
        <x:f t="shared" si="64"/>
        <x:v>ERR</x:v>
      </x:c>
      <x:c r="EI34" s="1053" t="str">
        <x:f t="shared" si="65"/>
        <x:v>ERR</x:v>
      </x:c>
      <x:c r="EJ34" s="1053" t="str">
        <x:f t="shared" si="66"/>
        <x:v/>
      </x:c>
      <x:c r="EK34" s="1053" t="str">
        <x:f t="shared" si="66"/>
        <x:v/>
      </x:c>
      <x:c r="EL34" s="1090" t="str">
        <x:f t="shared" si="67"/>
        <x:v/>
      </x:c>
      <x:c r="EM34" s="1053" t="str">
        <x:f t="shared" si="68"/>
        <x:v/>
      </x:c>
      <x:c r="EN34" s="1053" t="str">
        <x:f t="shared" si="69"/>
        <x:v/>
      </x:c>
      <x:c r="EO34" s="1053" t="str">
        <x:f t="shared" si="70"/>
        <x:v>ERR</x:v>
      </x:c>
      <x:c r="EP34" s="1053" t="str">
        <x:f t="shared" si="71"/>
        <x:v>ERR</x:v>
      </x:c>
      <x:c r="EQ34" s="1053" t="str">
        <x:f t="shared" si="72"/>
        <x:v/>
      </x:c>
      <x:c r="ER34" s="1053" t="str">
        <x:f t="shared" si="72"/>
        <x:v/>
      </x:c>
      <x:c r="ES34" s="1053" t="str">
        <x:f t="shared" si="73"/>
        <x:v/>
      </x:c>
      <x:c r="ET34" s="1053" t="str">
        <x:f t="shared" si="74"/>
        <x:v/>
      </x:c>
      <x:c r="EU34" s="1061">
        <x:f t="shared" si="75"/>
        <x:v>4</x:v>
      </x:c>
      <x:c r="EV34" s="1055" t="str">
        <x:f t="shared" si="76"/>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7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78"/>
        <x:v/>
      </x:c>
      <x:c r="FD34" s="1052">
        <x:f t="shared" si="103"/>
        <x:v>0</x:v>
      </x:c>
      <x:c r="FE34" s="1052">
        <x:f t="shared" si="79"/>
        <x:v>0</x:v>
      </x:c>
      <x:c r="FF34" s="1052">
        <x:f t="shared" si="80"/>
        <x:v>0</x:v>
      </x:c>
      <x:c r="FG34" s="1052" t="str">
        <x:f t="shared" si="81"/>
        <x:v/>
      </x:c>
      <x:c r="FH34" s="1053" t="str">
        <x:f t="shared" si="82"/>
        <x:v/>
      </x:c>
      <x:c r="FI34" s="1052">
        <x:f t="shared" si="104"/>
        <x:v>0</x:v>
      </x:c>
      <x:c r="FJ34" s="1052">
        <x:f t="shared" si="83"/>
        <x:v>0</x:v>
      </x:c>
      <x:c r="FK34" s="1052">
        <x:f t="shared" si="84"/>
        <x:v>0</x:v>
      </x:c>
      <x:c r="FL34" s="1052" t="str">
        <x:f t="shared" si="85"/>
        <x:v/>
      </x:c>
      <x:c r="FM34" s="1053" t="str">
        <x:f t="shared" si="86"/>
        <x:v/>
      </x:c>
      <x:c r="FN34" s="1053" t="e">
        <x:f t="shared" si="87"/>
        <x:v>#VALUE!</x:v>
      </x:c>
      <x:c r="FO34" s="1062" t="e">
        <x:f t="shared" si="88"/>
        <x:v>#VALUE!</x:v>
      </x:c>
      <x:c r="FP34" s="1062" t="e">
        <x:f t="shared" si="89"/>
        <x:v>#VALUE!</x:v>
      </x:c>
      <x:c r="FQ34" s="1063" t="e">
        <x:f t="shared" si="90"/>
        <x:v>#VALUE!</x:v>
      </x:c>
      <x:c r="FR34" s="1064" t="e">
        <x:f t="shared" si="91"/>
        <x:v>#VALUE!</x:v>
      </x:c>
      <x:c r="FS34" s="1065" t="str">
        <x:f t="shared" si="92"/>
        <x:v/>
      </x:c>
      <x:c r="FT34" s="1066" t="str">
        <x:f t="shared" si="93"/>
        <x:v/>
      </x:c>
      <x:c r="FU34" s="1105">
        <x:f t="shared" si="94"/>
        <x:v>0</x:v>
      </x:c>
      <x:c r="FV34" s="1106">
        <x:f t="shared" si="95"/>
        <x:v>0</x:v>
      </x:c>
      <x:c r="GA34" s="1975">
        <x:v>60</x:v>
      </x:c>
      <x:c r="GB34" s="1976">
        <x:v>0</x:v>
      </x:c>
      <x:c r="GC34" s="1977">
        <x:v>-0.25</x:v>
      </x:c>
      <x:c r="GD34" s="1978">
        <x:v>-0.25</x:v>
      </x:c>
      <x:c r="GE34" s="1979">
        <x:v>-0.25</x:v>
      </x:c>
      <x:c r="GF34" s="1980" t="str">
        <x:f t="shared" si="96"/>
        <x:v>TJ235</x:v>
      </x:c>
      <x:c r="GG34" s="1453"/>
      <x:c r="GH34" s="1454"/>
      <x:c r="GI34" s="1453"/>
      <x:c r="GJ34" s="1454"/>
      <x:c r="GK34" s="533">
        <x:f t="shared" si="97"/>
        <x:v>719.5</x:v>
      </x:c>
      <x:c r="GL34" s="534">
        <x:f t="shared" si="98"/>
        <x:v>719.65612455429505</x:v>
      </x:c>
      <x:c r="GM34" s="535">
        <x:f>IF(ABS(GK34-GL34)&gt;='Job Info.'!$L$22,ABS(GK34-GL34),0)</x:f>
        <x:v>0</x:v>
      </x:c>
      <x:c r="HA34" s="1658" t="s">
        <x:v>1559</x:v>
      </x:c>
      <x:c r="HB34" s="1659">
        <x:v>1</x:v>
      </x:c>
      <x:c r="HC34" s="1659" t="s">
        <x:v>1978</x:v>
      </x:c>
      <x:c r="HD34" s="1660">
        <x:v>59</x:v>
      </x:c>
      <x:c r="HE34" s="1661">
        <x:v>11.5</x:v>
      </x:c>
      <x:c r="HF34" s="1659">
        <x:v>0</x:v>
      </x:c>
      <x:c r="HG34" s="1659">
        <x:v>1.375</x:v>
      </x:c>
      <x:c r="HH34" s="1659" t="s">
        <x:v>114</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x:v>0</x:v>
      </x:c>
      <x:c r="HU34" s="1659">
        <x:v>2.25</x:v>
      </x:c>
      <x:c r="HV34" s="1659">
        <x:v>0</x:v>
      </x:c>
      <x:c r="HW34" s="1661">
        <x:v>2.25</x:v>
      </x:c>
      <x:c r="HX34" s="1661">
        <x:v>4</x:v>
      </x:c>
      <x:c r="HY34" s="1661" t="s">
        <x:v>117</x:v>
      </x:c>
      <x:c r="HZ34" s="1661" t="s">
        <x:v>117</x:v>
      </x:c>
      <x:c r="IA34" s="1661" t="s">
        <x:v>2241</x:v>
      </x:c>
      <x:c r="IB34" s="1661"/>
      <x:c r="IC34" s="1661"/>
      <x:c r="ID34" s="1661"/>
      <x:c r="IE34" s="1661"/>
      <x:c r="IF34" s="1663"/>
    </x:row>
    <x:row r="35" spans="1:240" ht="12.6" customHeight="1" x14ac:dyDescent="0.25">
      <x:c r="A35" s="1264" t="s">
        <x:v>1560</x:v>
      </x:c>
      <x:c r="B35" s="1265">
        <x:v>2</x:v>
      </x:c>
      <x:c r="C35" s="1265" t="s">
        <x:v>1978</x:v>
      </x:c>
      <x:c r="D35" s="1261">
        <x:v>59</x:v>
      </x:c>
      <x:c r="E35" s="1366">
        <x:v>11.5</x:v>
      </x:c>
      <x:c r="F35" s="1328">
        <x:v>0</x:v>
      </x:c>
      <x:c r="G35" s="1262">
        <x:v>1.375</x:v>
      </x:c>
      <x:c r="H35" s="1266" t="s">
        <x:v>114</x:v>
      </x:c>
      <x:c r="I35" s="1261">
        <x:v>0</x:v>
      </x:c>
      <x:c r="J35" s="1262">
        <x:v>1.375</x:v>
      </x:c>
      <x:c r="K35" s="1370" t="s">
        <x:v>114</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105"/>
        <x:v/>
      </x:c>
      <x:c r="U35" s="1262" t="str">
        <x:f t="shared" si="106"/>
        <x:v/>
      </x:c>
      <x:c r="V35" s="1261" t="str">
        <x:f t="shared" si="107"/>
        <x:v/>
      </x:c>
      <x:c r="W35" s="1262" t="str">
        <x:f t="shared" si="108"/>
        <x:v/>
      </x:c>
      <x:c r="X35" s="1329">
        <x:f t="shared" si="109"/>
        <x:v>0</x:v>
      </x:c>
      <x:c r="Y35" s="1377" t="str">
        <x:f t="shared" si="7"/>
        <x:v/>
      </x:c>
      <x:c r="Z35" s="1378" t="str">
        <x:f t="shared" si="8"/>
        <x:v/>
      </x:c>
      <x:c r="AA35" s="2159" t="s">
        <x:v>2243</x:v>
      </x:c>
      <x:c r="AC35" s="1226" t="b">
        <x:v>0</x:v>
      </x:c>
      <x:c r="AD35" s="525">
        <x:f t="shared" si="9"/>
        <x:v>0</x:v>
      </x:c>
      <x:c r="AE35" s="526">
        <x:f t="shared" si="10"/>
        <x:v>2</x:v>
      </x:c>
      <x:c r="AF35" s="526">
        <x:f t="shared" si="11"/>
        <x:v>0</x:v>
      </x:c>
      <x:c r="AG35" s="526">
        <x:f t="shared" si="12"/>
        <x:v>0</x:v>
      </x:c>
      <x:c r="AH35" s="527">
        <x:f t="shared" si="13"/>
        <x:v>0</x:v>
      </x:c>
      <x:c r="AI35" s="528" t="b">
        <x:v>0</x:v>
      </x:c>
      <x:c r="AJ35" s="284">
        <x:f t="shared" si="14"/>
        <x:v>36</x:v>
      </x:c>
      <x:c r="AK35" s="1063" t="str">
        <x:f t="shared" si="15"/>
        <x:v>LH</x:v>
      </x:c>
      <x:c r="AL35" s="1202" t="str">
        <x:f t="shared" si="16"/>
        <x:v/>
      </x:c>
      <x:c r="AM35" s="1063">
        <x:f t="shared" si="17"/>
        <x:v>270</x:v>
      </x:c>
      <x:c r="AN35" s="1063">
        <x:f t="shared" si="18"/>
        <x:v>120</x:v>
      </x:c>
      <x:c r="AO35" s="1063" t="str">
        <x:f t="shared" si="19"/>
        <x:v/>
      </x:c>
      <x:c r="AP35" s="1063" t="b">
        <x:f>IF(ISERROR(AJ35),FALSE,IF(OR(AJ35=0,ISERROR(AL35),ISERROR(AM35),ISERROR(AN35),ISERROR(AO35)),FALSE,IF(AL35&lt;&gt;"",IF(ISERROR(VLOOKUP(SUBSTITUTE(SUBSTITUTE(C35,"R",""),"A",""),TblJoistSize!$A:$A,1,FALSE)),FALSE,TRUE),TRUE)))</x:f>
        <x:v>1</x:v>
      </x:c>
      <x:c r="AQ35" s="1305">
        <x:f t="shared" si="20"/>
        <x:v>7.375</x:v>
      </x:c>
      <x:c r="AR35" s="1305" t="b">
        <x:f t="shared" si="21"/>
        <x:v>0</x:v>
      </x:c>
      <x:c r="AS35" s="1305">
        <x:f t="shared" si="22"/>
        <x:v>7.375</x:v>
      </x:c>
      <x:c r="AT35" s="1305" t="b">
        <x:f t="shared" si="23"/>
        <x:v>0</x:v>
      </x:c>
      <x:c r="AU35" s="1203" t="str">
        <x:f t="shared" si="24"/>
        <x:v>LH</x:v>
      </x:c>
      <x:c r="AV35" s="1063" t="str">
        <x:f t="shared" si="25"/>
        <x:v/>
      </x:c>
      <x:c r="AW35" s="1063" t="str">
        <x:f t="shared" si="26"/>
        <x:v>LH</x:v>
      </x:c>
      <x:c r="AX35" s="1063" t="str">
        <x:f t="shared" si="102"/>
        <x:v>J236</x:v>
      </x:c>
      <x:c r="AY35" s="1306" t="b">
        <x:f t="shared" si="27"/>
        <x:v>0</x:v>
      </x:c>
      <x:c r="AZ35" s="1090" t="b">
        <x:f t="shared" si="28"/>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29"/>
        <x:v/>
      </x:c>
      <x:c r="CE35" s="935" t="str">
        <x:f t="shared" si="30"/>
        <x:v/>
      </x:c>
      <x:c r="CF35" s="1149"/>
      <x:c r="CG35" s="1150"/>
      <x:c r="CH35" s="738" t="str">
        <x:f t="shared" si="31"/>
        <x:v/>
      </x:c>
      <x:c r="CI35" s="739" t="str">
        <x:f t="shared" si="32"/>
        <x:v/>
      </x:c>
      <x:c r="CJ35" s="740" t="str">
        <x:f t="shared" si="33"/>
        <x:v/>
      </x:c>
      <x:c r="CK35" s="741" t="str">
        <x:f t="shared" si="34"/>
        <x:v/>
      </x:c>
      <x:c r="CL35" s="742" t="str">
        <x:f t="shared" si="35"/>
        <x:v/>
      </x:c>
      <x:c r="CM35" s="743" t="str">
        <x:f t="shared" si="36"/>
        <x:v/>
      </x:c>
      <x:c r="CN35" s="744" t="str">
        <x:f t="shared" si="37"/>
        <x:v/>
      </x:c>
      <x:c r="CO35" s="745" t="str">
        <x:f t="shared" si="38"/>
        <x:v/>
      </x:c>
      <x:c r="CP35" s="762" t="str">
        <x:f t="shared" si="39"/>
        <x:v/>
      </x:c>
      <x:c r="CQ35" s="763" t="str">
        <x:f t="shared" si="40"/>
        <x:v/>
      </x:c>
      <x:c r="CR35" s="953">
        <x:f t="shared" si="41"/>
        <x:v>5</x:v>
      </x:c>
      <x:c r="CS35" s="954">
        <x:f t="shared" si="42"/>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3"/>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4"/>
        <x:v>0</x:v>
      </x:c>
      <x:c r="DO35" s="1049">
        <x:f t="shared" si="45"/>
        <x:v>0</x:v>
      </x:c>
      <x:c r="DP35" s="1053" t="str">
        <x:f t="shared" si="46"/>
        <x:v/>
      </x:c>
      <x:c r="DQ35" s="1053" t="str">
        <x:f t="shared" si="47"/>
        <x:v/>
      </x:c>
      <x:c r="DR35" s="1053" t="str">
        <x:f t="shared" si="48"/>
        <x:v/>
      </x:c>
      <x:c r="DS35" s="1052">
        <x:f t="shared" si="49"/>
        <x:v>0</x:v>
      </x:c>
      <x:c r="DT35" s="1052">
        <x:f t="shared" si="50"/>
        <x:v>0</x:v>
      </x:c>
      <x:c r="DU35" s="1052" t="str">
        <x:f t="shared" si="51"/>
        <x:v/>
      </x:c>
      <x:c r="DV35" s="1053" t="str">
        <x:f t="shared" si="52"/>
        <x:v/>
      </x:c>
      <x:c r="DW35" s="1053" t="str">
        <x:f t="shared" si="53"/>
        <x:v/>
      </x:c>
      <x:c r="DX35" s="1269">
        <x:f t="shared" si="54"/>
        <x:v>0</x:v>
      </x:c>
      <x:c r="DY35" s="1053">
        <x:f t="shared" si="55"/>
        <x:v>0</x:v>
      </x:c>
      <x:c r="DZ35" s="1052">
        <x:f t="shared" si="56"/>
        <x:v>0</x:v>
      </x:c>
      <x:c r="EA35" s="1052" t="str">
        <x:f t="shared" si="57"/>
        <x:v/>
      </x:c>
      <x:c r="EB35" s="1053" t="str">
        <x:f t="shared" si="58"/>
        <x:v/>
      </x:c>
      <x:c r="EC35" s="1053" t="str">
        <x:f t="shared" si="59"/>
        <x:v/>
      </x:c>
      <x:c r="ED35" s="1269">
        <x:f t="shared" si="60"/>
        <x:v>0</x:v>
      </x:c>
      <x:c r="EE35" s="1090" t="str">
        <x:f t="shared" si="61"/>
        <x:v/>
      </x:c>
      <x:c r="EF35" s="1053" t="str">
        <x:f t="shared" si="62"/>
        <x:v/>
      </x:c>
      <x:c r="EG35" s="1053" t="str">
        <x:f t="shared" si="63"/>
        <x:v/>
      </x:c>
      <x:c r="EH35" s="1053" t="str">
        <x:f t="shared" si="64"/>
        <x:v>ERR</x:v>
      </x:c>
      <x:c r="EI35" s="1053" t="str">
        <x:f t="shared" si="65"/>
        <x:v>ERR</x:v>
      </x:c>
      <x:c r="EJ35" s="1053" t="str">
        <x:f t="shared" si="66"/>
        <x:v/>
      </x:c>
      <x:c r="EK35" s="1053" t="str">
        <x:f t="shared" si="66"/>
        <x:v/>
      </x:c>
      <x:c r="EL35" s="1090" t="str">
        <x:f t="shared" si="67"/>
        <x:v/>
      </x:c>
      <x:c r="EM35" s="1053" t="str">
        <x:f t="shared" si="68"/>
        <x:v/>
      </x:c>
      <x:c r="EN35" s="1053" t="str">
        <x:f t="shared" si="69"/>
        <x:v/>
      </x:c>
      <x:c r="EO35" s="1053" t="str">
        <x:f t="shared" si="70"/>
        <x:v>ERR</x:v>
      </x:c>
      <x:c r="EP35" s="1053" t="str">
        <x:f t="shared" si="71"/>
        <x:v>ERR</x:v>
      </x:c>
      <x:c r="EQ35" s="1053" t="str">
        <x:f t="shared" si="72"/>
        <x:v/>
      </x:c>
      <x:c r="ER35" s="1053" t="str">
        <x:f t="shared" si="72"/>
        <x:v/>
      </x:c>
      <x:c r="ES35" s="1053" t="str">
        <x:f t="shared" si="73"/>
        <x:v/>
      </x:c>
      <x:c r="ET35" s="1053" t="str">
        <x:f t="shared" si="74"/>
        <x:v/>
      </x:c>
      <x:c r="EU35" s="1061">
        <x:f t="shared" si="75"/>
        <x:v>4</x:v>
      </x:c>
      <x:c r="EV35" s="1055" t="str">
        <x:f t="shared" si="76"/>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7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78"/>
        <x:v/>
      </x:c>
      <x:c r="FD35" s="1052">
        <x:f t="shared" si="103"/>
        <x:v>0</x:v>
      </x:c>
      <x:c r="FE35" s="1052">
        <x:f t="shared" si="79"/>
        <x:v>0</x:v>
      </x:c>
      <x:c r="FF35" s="1052">
        <x:f t="shared" si="80"/>
        <x:v>0</x:v>
      </x:c>
      <x:c r="FG35" s="1052" t="str">
        <x:f t="shared" si="81"/>
        <x:v/>
      </x:c>
      <x:c r="FH35" s="1053" t="str">
        <x:f t="shared" si="82"/>
        <x:v/>
      </x:c>
      <x:c r="FI35" s="1052">
        <x:f t="shared" si="104"/>
        <x:v>0</x:v>
      </x:c>
      <x:c r="FJ35" s="1052">
        <x:f t="shared" si="83"/>
        <x:v>0</x:v>
      </x:c>
      <x:c r="FK35" s="1052">
        <x:f t="shared" si="84"/>
        <x:v>0</x:v>
      </x:c>
      <x:c r="FL35" s="1052" t="str">
        <x:f t="shared" si="85"/>
        <x:v/>
      </x:c>
      <x:c r="FM35" s="1053" t="str">
        <x:f t="shared" si="86"/>
        <x:v/>
      </x:c>
      <x:c r="FN35" s="1053" t="e">
        <x:f t="shared" si="87"/>
        <x:v>#VALUE!</x:v>
      </x:c>
      <x:c r="FO35" s="1062" t="e">
        <x:f t="shared" si="88"/>
        <x:v>#VALUE!</x:v>
      </x:c>
      <x:c r="FP35" s="1062" t="e">
        <x:f t="shared" si="89"/>
        <x:v>#VALUE!</x:v>
      </x:c>
      <x:c r="FQ35" s="1063" t="e">
        <x:f t="shared" si="90"/>
        <x:v>#VALUE!</x:v>
      </x:c>
      <x:c r="FR35" s="1064" t="e">
        <x:f t="shared" si="91"/>
        <x:v>#VALUE!</x:v>
      </x:c>
      <x:c r="FS35" s="1065" t="str">
        <x:f t="shared" si="92"/>
        <x:v/>
      </x:c>
      <x:c r="FT35" s="1066" t="str">
        <x:f t="shared" si="93"/>
        <x:v/>
      </x:c>
      <x:c r="FU35" s="1105">
        <x:f t="shared" si="94"/>
        <x:v>0</x:v>
      </x:c>
      <x:c r="FV35" s="1106">
        <x:f t="shared" si="95"/>
        <x:v>0</x:v>
      </x:c>
      <x:c r="GA35" s="1975">
        <x:v>60</x:v>
      </x:c>
      <x:c r="GB35" s="1976">
        <x:v>0</x:v>
      </x:c>
      <x:c r="GC35" s="1977">
        <x:v>-0.25</x:v>
      </x:c>
      <x:c r="GD35" s="1978">
        <x:v>-0.25</x:v>
      </x:c>
      <x:c r="GE35" s="1979">
        <x:v>-0.25</x:v>
      </x:c>
      <x:c r="GF35" s="1980" t="str">
        <x:f t="shared" si="96"/>
        <x:v>J236</x:v>
      </x:c>
      <x:c r="GG35" s="1453"/>
      <x:c r="GH35" s="1454"/>
      <x:c r="GI35" s="1453"/>
      <x:c r="GJ35" s="1454"/>
      <x:c r="GK35" s="533">
        <x:f t="shared" si="97"/>
        <x:v>719.5</x:v>
      </x:c>
      <x:c r="GL35" s="534">
        <x:f t="shared" si="98"/>
        <x:v>719.65612455429505</x:v>
      </x:c>
      <x:c r="GM35" s="535">
        <x:f>IF(ABS(GK35-GL35)&gt;='Job Info.'!$L$22,ABS(GK35-GL35),0)</x:f>
        <x:v>0</x:v>
      </x:c>
      <x:c r="HA35" s="1658" t="s">
        <x:v>1560</x:v>
      </x:c>
      <x:c r="HB35" s="1659">
        <x:v>2</x:v>
      </x:c>
      <x:c r="HC35" s="1659" t="s">
        <x:v>1978</x:v>
      </x:c>
      <x:c r="HD35" s="1660">
        <x:v>59</x:v>
      </x:c>
      <x:c r="HE35" s="1661">
        <x:v>11.5</x:v>
      </x:c>
      <x:c r="HF35" s="1659">
        <x:v>0</x:v>
      </x:c>
      <x:c r="HG35" s="1659">
        <x:v>1.375</x:v>
      </x:c>
      <x:c r="HH35" s="1659" t="s">
        <x:v>114</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2243</x:v>
      </x:c>
      <x:c r="IB35" s="1661"/>
      <x:c r="IC35" s="1661"/>
      <x:c r="ID35" s="1661"/>
      <x:c r="IE35" s="1661"/>
      <x:c r="IF35" s="1663"/>
    </x:row>
    <x:row r="36" spans="1:240" ht="12.6" customHeight="1" x14ac:dyDescent="0.25">
      <x:c r="A36" s="1264" t="s">
        <x:v>1561</x:v>
      </x:c>
      <x:c r="B36" s="1265">
        <x:v>65</x:v>
      </x:c>
      <x:c r="C36" s="1265" t="s">
        <x:v>1978</x:v>
      </x:c>
      <x:c r="D36" s="1261">
        <x:v>59</x:v>
      </x:c>
      <x:c r="E36" s="1366">
        <x:v>11.5</x:v>
      </x:c>
      <x:c r="F36" s="1328">
        <x:v>0</x:v>
      </x:c>
      <x:c r="G36" s="1262">
        <x:v>1.375</x:v>
      </x:c>
      <x:c r="H36" s="1266" t="s">
        <x:v>114</x:v>
      </x:c>
      <x:c r="I36" s="1261">
        <x:v>0</x:v>
      </x:c>
      <x:c r="J36" s="1262">
        <x:v>1.375</x:v>
      </x:c>
      <x:c r="K36" s="1370" t="s">
        <x:v>114</x:v>
      </x:c>
      <x:c r="L36" s="1327">
        <x:v>3</x:v>
      </x:c>
      <x:c r="M36" s="1329">
        <x:v>3</x:v>
      </x:c>
      <x:c r="N36" s="1263" t="str">
        <x:f t="shared" si="1"/>
        <x:v/>
      </x:c>
      <x:c r="O36" s="1262" t="str">
        <x:f t="shared" si="2"/>
        <x:v/>
      </x:c>
      <x:c r="P36" s="1260" t="str">
        <x:f t="shared" si="3"/>
        <x:v/>
      </x:c>
      <x:c r="Q36" s="1261" t="str">
        <x:f t="shared" si="4"/>
        <x:v/>
      </x:c>
      <x:c r="R36" s="1262" t="str">
        <x:f t="shared" si="5"/>
        <x:v/>
      </x:c>
      <x:c r="S36" s="1375" t="str">
        <x:f t="shared" si="6"/>
        <x:v/>
      </x:c>
      <x:c r="T36" s="1328" t="str">
        <x:f t="shared" si="105"/>
        <x:v/>
      </x:c>
      <x:c r="U36" s="1262" t="str">
        <x:f t="shared" si="106"/>
        <x:v/>
      </x:c>
      <x:c r="V36" s="1261" t="str">
        <x:f t="shared" si="107"/>
        <x:v/>
      </x:c>
      <x:c r="W36" s="1262" t="str">
        <x:f t="shared" si="108"/>
        <x:v/>
      </x:c>
      <x:c r="X36" s="1329">
        <x:f t="shared" si="109"/>
        <x:v>0</x:v>
      </x:c>
      <x:c r="Y36" s="1377" t="str">
        <x:f t="shared" si="7"/>
        <x:v/>
      </x:c>
      <x:c r="Z36" s="1378" t="str">
        <x:f t="shared" si="8"/>
        <x:v/>
      </x:c>
      <x:c r="AA36" s="2159" t="s">
        <x:v>2095</x:v>
      </x:c>
      <x:c r="AC36" s="1226" t="b">
        <x:v>0</x:v>
      </x:c>
      <x:c r="AD36" s="525">
        <x:f t="shared" si="9"/>
        <x:v>0</x:v>
      </x:c>
      <x:c r="AE36" s="526">
        <x:f t="shared" si="10"/>
        <x:v>65</x:v>
      </x:c>
      <x:c r="AF36" s="526">
        <x:f t="shared" si="11"/>
        <x:v>0</x:v>
      </x:c>
      <x:c r="AG36" s="526">
        <x:f t="shared" si="12"/>
        <x:v>0</x:v>
      </x:c>
      <x:c r="AH36" s="527">
        <x:f t="shared" si="13"/>
        <x:v>0</x:v>
      </x:c>
      <x:c r="AI36" s="528" t="b">
        <x:v>0</x:v>
      </x:c>
      <x:c r="AJ36" s="284">
        <x:f t="shared" si="14"/>
        <x:v>36</x:v>
      </x:c>
      <x:c r="AK36" s="1063" t="str">
        <x:f t="shared" si="15"/>
        <x:v>LH</x:v>
      </x:c>
      <x:c r="AL36" s="1202" t="str">
        <x:f t="shared" si="16"/>
        <x:v/>
      </x:c>
      <x:c r="AM36" s="1063">
        <x:f t="shared" si="17"/>
        <x:v>270</x:v>
      </x:c>
      <x:c r="AN36" s="1063">
        <x:f t="shared" si="18"/>
        <x:v>120</x:v>
      </x:c>
      <x:c r="AO36" s="1063" t="str">
        <x:f t="shared" si="19"/>
        <x:v/>
      </x:c>
      <x:c r="AP36" s="1063" t="b">
        <x:f>IF(ISERROR(AJ36),FALSE,IF(OR(AJ36=0,ISERROR(AL36),ISERROR(AM36),ISERROR(AN36),ISERROR(AO36)),FALSE,IF(AL36&lt;&gt;"",IF(ISERROR(VLOOKUP(SUBSTITUTE(SUBSTITUTE(C36,"R",""),"A",""),TblJoistSize!$A:$A,1,FALSE)),FALSE,TRUE),TRUE)))</x:f>
        <x:v>1</x:v>
      </x:c>
      <x:c r="AQ36" s="1305">
        <x:f t="shared" si="20"/>
        <x:v>7.375</x:v>
      </x:c>
      <x:c r="AR36" s="1305" t="b">
        <x:f t="shared" si="21"/>
        <x:v>0</x:v>
      </x:c>
      <x:c r="AS36" s="1305">
        <x:f t="shared" si="22"/>
        <x:v>7.375</x:v>
      </x:c>
      <x:c r="AT36" s="1305" t="b">
        <x:f t="shared" si="23"/>
        <x:v>0</x:v>
      </x:c>
      <x:c r="AU36" s="1203" t="str">
        <x:f t="shared" si="24"/>
        <x:v>LH</x:v>
      </x:c>
      <x:c r="AV36" s="1063" t="str">
        <x:f t="shared" si="25"/>
        <x:v/>
      </x:c>
      <x:c r="AW36" s="1063" t="str">
        <x:f t="shared" si="26"/>
        <x:v>LH</x:v>
      </x:c>
      <x:c r="AX36" s="1063" t="str">
        <x:f t="shared" si="102"/>
        <x:v>J237</x:v>
      </x:c>
      <x:c r="AY36" s="1306" t="b">
        <x:f t="shared" si="27"/>
        <x:v>0</x:v>
      </x:c>
      <x:c r="AZ36" s="1090" t="b">
        <x:f t="shared" si="28"/>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29"/>
        <x:v/>
      </x:c>
      <x:c r="CE36" s="935" t="str">
        <x:f t="shared" si="30"/>
        <x:v/>
      </x:c>
      <x:c r="CF36" s="1149"/>
      <x:c r="CG36" s="1150"/>
      <x:c r="CH36" s="738" t="str">
        <x:f t="shared" si="31"/>
        <x:v/>
      </x:c>
      <x:c r="CI36" s="739" t="str">
        <x:f t="shared" si="32"/>
        <x:v/>
      </x:c>
      <x:c r="CJ36" s="740" t="str">
        <x:f t="shared" si="33"/>
        <x:v/>
      </x:c>
      <x:c r="CK36" s="741" t="str">
        <x:f t="shared" si="34"/>
        <x:v/>
      </x:c>
      <x:c r="CL36" s="742" t="str">
        <x:f t="shared" si="35"/>
        <x:v/>
      </x:c>
      <x:c r="CM36" s="743" t="str">
        <x:f t="shared" si="36"/>
        <x:v/>
      </x:c>
      <x:c r="CN36" s="744" t="str">
        <x:f t="shared" si="37"/>
        <x:v/>
      </x:c>
      <x:c r="CO36" s="745" t="str">
        <x:f t="shared" si="38"/>
        <x:v/>
      </x:c>
      <x:c r="CP36" s="762" t="str">
        <x:f t="shared" si="39"/>
        <x:v/>
      </x:c>
      <x:c r="CQ36" s="763" t="str">
        <x:f t="shared" si="40"/>
        <x:v/>
      </x:c>
      <x:c r="CR36" s="953">
        <x:f t="shared" si="41"/>
        <x:v>5</x:v>
      </x:c>
      <x:c r="CS36" s="954">
        <x:f t="shared" si="42"/>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3"/>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4"/>
        <x:v>0</x:v>
      </x:c>
      <x:c r="DO36" s="1049">
        <x:f t="shared" si="45"/>
        <x:v>0</x:v>
      </x:c>
      <x:c r="DP36" s="1053" t="str">
        <x:f t="shared" si="46"/>
        <x:v/>
      </x:c>
      <x:c r="DQ36" s="1053" t="str">
        <x:f t="shared" si="47"/>
        <x:v/>
      </x:c>
      <x:c r="DR36" s="1053" t="str">
        <x:f t="shared" si="48"/>
        <x:v/>
      </x:c>
      <x:c r="DS36" s="1052">
        <x:f t="shared" si="49"/>
        <x:v>0</x:v>
      </x:c>
      <x:c r="DT36" s="1052">
        <x:f t="shared" si="50"/>
        <x:v>0</x:v>
      </x:c>
      <x:c r="DU36" s="1052" t="str">
        <x:f t="shared" si="51"/>
        <x:v/>
      </x:c>
      <x:c r="DV36" s="1053" t="str">
        <x:f t="shared" si="52"/>
        <x:v/>
      </x:c>
      <x:c r="DW36" s="1053" t="str">
        <x:f t="shared" si="53"/>
        <x:v/>
      </x:c>
      <x:c r="DX36" s="1269">
        <x:f t="shared" si="54"/>
        <x:v>0</x:v>
      </x:c>
      <x:c r="DY36" s="1053">
        <x:f t="shared" si="55"/>
        <x:v>0</x:v>
      </x:c>
      <x:c r="DZ36" s="1052">
        <x:f t="shared" si="56"/>
        <x:v>0</x:v>
      </x:c>
      <x:c r="EA36" s="1052" t="str">
        <x:f t="shared" si="57"/>
        <x:v/>
      </x:c>
      <x:c r="EB36" s="1053" t="str">
        <x:f t="shared" si="58"/>
        <x:v/>
      </x:c>
      <x:c r="EC36" s="1053" t="str">
        <x:f t="shared" si="59"/>
        <x:v/>
      </x:c>
      <x:c r="ED36" s="1269">
        <x:f t="shared" si="60"/>
        <x:v>0</x:v>
      </x:c>
      <x:c r="EE36" s="1090" t="str">
        <x:f t="shared" si="61"/>
        <x:v/>
      </x:c>
      <x:c r="EF36" s="1053" t="str">
        <x:f t="shared" si="62"/>
        <x:v/>
      </x:c>
      <x:c r="EG36" s="1053" t="str">
        <x:f t="shared" si="63"/>
        <x:v/>
      </x:c>
      <x:c r="EH36" s="1053" t="str">
        <x:f t="shared" si="64"/>
        <x:v>ERR</x:v>
      </x:c>
      <x:c r="EI36" s="1053" t="str">
        <x:f t="shared" si="65"/>
        <x:v>ERR</x:v>
      </x:c>
      <x:c r="EJ36" s="1053" t="str">
        <x:f t="shared" si="66"/>
        <x:v/>
      </x:c>
      <x:c r="EK36" s="1053" t="str">
        <x:f t="shared" si="66"/>
        <x:v/>
      </x:c>
      <x:c r="EL36" s="1090" t="str">
        <x:f t="shared" si="67"/>
        <x:v/>
      </x:c>
      <x:c r="EM36" s="1053" t="str">
        <x:f t="shared" si="68"/>
        <x:v/>
      </x:c>
      <x:c r="EN36" s="1053" t="str">
        <x:f t="shared" si="69"/>
        <x:v/>
      </x:c>
      <x:c r="EO36" s="1053" t="str">
        <x:f t="shared" si="70"/>
        <x:v>ERR</x:v>
      </x:c>
      <x:c r="EP36" s="1053" t="str">
        <x:f t="shared" si="71"/>
        <x:v>ERR</x:v>
      </x:c>
      <x:c r="EQ36" s="1053" t="str">
        <x:f t="shared" si="72"/>
        <x:v/>
      </x:c>
      <x:c r="ER36" s="1053" t="str">
        <x:f t="shared" si="72"/>
        <x:v/>
      </x:c>
      <x:c r="ES36" s="1053" t="str">
        <x:f t="shared" si="73"/>
        <x:v/>
      </x:c>
      <x:c r="ET36" s="1053" t="str">
        <x:f t="shared" si="74"/>
        <x:v/>
      </x:c>
      <x:c r="EU36" s="1061">
        <x:f t="shared" si="75"/>
        <x:v>4</x:v>
      </x:c>
      <x:c r="EV36" s="1055" t="str">
        <x:f t="shared" si="76"/>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7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78"/>
        <x:v/>
      </x:c>
      <x:c r="FD36" s="1052">
        <x:f t="shared" si="103"/>
        <x:v>0</x:v>
      </x:c>
      <x:c r="FE36" s="1052">
        <x:f t="shared" si="79"/>
        <x:v>0</x:v>
      </x:c>
      <x:c r="FF36" s="1052">
        <x:f t="shared" si="80"/>
        <x:v>0</x:v>
      </x:c>
      <x:c r="FG36" s="1052" t="str">
        <x:f t="shared" si="81"/>
        <x:v/>
      </x:c>
      <x:c r="FH36" s="1053" t="str">
        <x:f t="shared" si="82"/>
        <x:v/>
      </x:c>
      <x:c r="FI36" s="1052">
        <x:f t="shared" si="104"/>
        <x:v>0</x:v>
      </x:c>
      <x:c r="FJ36" s="1052">
        <x:f t="shared" si="83"/>
        <x:v>0</x:v>
      </x:c>
      <x:c r="FK36" s="1052">
        <x:f t="shared" si="84"/>
        <x:v>0</x:v>
      </x:c>
      <x:c r="FL36" s="1052" t="str">
        <x:f t="shared" si="85"/>
        <x:v/>
      </x:c>
      <x:c r="FM36" s="1053" t="str">
        <x:f t="shared" si="86"/>
        <x:v/>
      </x:c>
      <x:c r="FN36" s="1053" t="e">
        <x:f t="shared" si="87"/>
        <x:v>#VALUE!</x:v>
      </x:c>
      <x:c r="FO36" s="1062" t="e">
        <x:f t="shared" si="88"/>
        <x:v>#VALUE!</x:v>
      </x:c>
      <x:c r="FP36" s="1062" t="e">
        <x:f t="shared" si="89"/>
        <x:v>#VALUE!</x:v>
      </x:c>
      <x:c r="FQ36" s="1063" t="e">
        <x:f t="shared" si="90"/>
        <x:v>#VALUE!</x:v>
      </x:c>
      <x:c r="FR36" s="1064" t="e">
        <x:f t="shared" si="91"/>
        <x:v>#VALUE!</x:v>
      </x:c>
      <x:c r="FS36" s="1065" t="str">
        <x:f t="shared" si="92"/>
        <x:v/>
      </x:c>
      <x:c r="FT36" s="1066" t="str">
        <x:f t="shared" si="93"/>
        <x:v/>
      </x:c>
      <x:c r="FU36" s="1105">
        <x:f t="shared" si="94"/>
        <x:v>0</x:v>
      </x:c>
      <x:c r="FV36" s="1106">
        <x:f t="shared" si="95"/>
        <x:v>0</x:v>
      </x:c>
      <x:c r="GA36" s="1975">
        <x:v>60</x:v>
      </x:c>
      <x:c r="GB36" s="1976">
        <x:v>0</x:v>
      </x:c>
      <x:c r="GC36" s="1977">
        <x:v>-0.25</x:v>
      </x:c>
      <x:c r="GD36" s="1978">
        <x:v>-0.25</x:v>
      </x:c>
      <x:c r="GE36" s="1979">
        <x:v>-0.25</x:v>
      </x:c>
      <x:c r="GF36" s="1980" t="str">
        <x:f t="shared" si="96"/>
        <x:v>J237</x:v>
      </x:c>
      <x:c r="GG36" s="1453"/>
      <x:c r="GH36" s="1454"/>
      <x:c r="GI36" s="1453"/>
      <x:c r="GJ36" s="1454"/>
      <x:c r="GK36" s="533">
        <x:f t="shared" si="97"/>
        <x:v>719.5</x:v>
      </x:c>
      <x:c r="GL36" s="534">
        <x:f t="shared" si="98"/>
        <x:v>719.65612455429505</x:v>
      </x:c>
      <x:c r="GM36" s="535">
        <x:f>IF(ABS(GK36-GL36)&gt;='Job Info.'!$L$22,ABS(GK36-GL36),0)</x:f>
        <x:v>0</x:v>
      </x:c>
      <x:c r="HA36" s="1658" t="s">
        <x:v>1561</x:v>
      </x:c>
      <x:c r="HB36" s="1659">
        <x:v>65</x:v>
      </x:c>
      <x:c r="HC36" s="1659" t="s">
        <x:v>1978</x:v>
      </x:c>
      <x:c r="HD36" s="1660">
        <x:v>59</x:v>
      </x:c>
      <x:c r="HE36" s="1661">
        <x:v>11.5</x:v>
      </x:c>
      <x:c r="HF36" s="1659">
        <x:v>0</x:v>
      </x:c>
      <x:c r="HG36" s="1659">
        <x:v>1.375</x:v>
      </x:c>
      <x:c r="HH36" s="1659" t="s">
        <x:v>114</x:v>
      </x:c>
      <x:c r="HI36" s="1662">
        <x:v>0</x:v>
      </x:c>
      <x:c r="HJ36" s="1659">
        <x:v>1.375</x:v>
      </x:c>
      <x:c r="HK36" s="1659" t="s">
        <x:v>114</x:v>
      </x:c>
      <x:c r="HL36" s="1659">
        <x:v>3</x:v>
      </x:c>
      <x:c r="HM36" s="1659">
        <x:v>3</x:v>
      </x:c>
      <x:c r="HN36" s="1659" t="s">
        <x:v>117</x:v>
      </x:c>
      <x:c r="HO36" s="1659" t="s">
        <x:v>117</x:v>
      </x:c>
      <x:c r="HP36" s="1659" t="s">
        <x:v>117</x:v>
      </x:c>
      <x:c r="HQ36" s="1662" t="s">
        <x:v>117</x:v>
      </x:c>
      <x:c r="HR36" s="1659" t="s">
        <x:v>117</x:v>
      </x:c>
      <x:c r="HS36" s="1659" t="s">
        <x:v>117</x:v>
      </x:c>
      <x:c r="HT36" s="1659" t="s">
        <x:v>117</x:v>
      </x:c>
      <x:c r="HU36" s="1659" t="s">
        <x:v>117</x:v>
      </x:c>
      <x:c r="HV36" s="1659" t="s">
        <x:v>117</x:v>
      </x:c>
      <x:c r="HW36" s="1661" t="s">
        <x:v>117</x:v>
      </x:c>
      <x:c r="HX36" s="1661">
        <x:v>0</x:v>
      </x:c>
      <x:c r="HY36" s="1661" t="s">
        <x:v>117</x:v>
      </x:c>
      <x:c r="HZ36" s="1661" t="s">
        <x:v>117</x:v>
      </x:c>
      <x:c r="IA36" s="1661" t="s">
        <x:v>2095</x:v>
      </x:c>
      <x:c r="IB36" s="1661"/>
      <x:c r="IC36" s="1661"/>
      <x:c r="ID36" s="1661"/>
      <x:c r="IE36" s="1661"/>
      <x:c r="IF36" s="1663"/>
    </x:row>
    <x:row r="37" spans="1:240" ht="12.6" customHeight="1" x14ac:dyDescent="0.25">
      <x:c r="A37" s="1264" t="s">
        <x:v>1562</x:v>
      </x:c>
      <x:c r="B37" s="1265">
        <x:v>1</x:v>
      </x:c>
      <x:c r="C37" s="1265" t="s">
        <x:v>1978</x:v>
      </x:c>
      <x:c r="D37" s="1261">
        <x:v>59</x:v>
      </x:c>
      <x:c r="E37" s="1366">
        <x:v>10</x:v>
      </x:c>
      <x:c r="F37" s="1328">
        <x:v>0</x:v>
      </x:c>
      <x:c r="G37" s="1262">
        <x:v>0.625</x:v>
      </x:c>
      <x:c r="H37" s="1266" t="s">
        <x:v>114</x:v>
      </x:c>
      <x:c r="I37" s="1261">
        <x:v>0</x:v>
      </x:c>
      <x:c r="J37" s="1262">
        <x:v>0.625</x:v>
      </x:c>
      <x:c r="K37" s="1370" t="s">
        <x:v>114</x:v>
      </x:c>
      <x:c r="L37" s="1327">
        <x:v>3</x:v>
      </x:c>
      <x:c r="M37" s="1329">
        <x:v>3</x:v>
      </x:c>
      <x:c r="N37" s="1263">
        <x:v>0</x:v>
      </x:c>
      <x:c r="O37" s="1262">
        <x:v>6.75</x:v>
      </x:c>
      <x:c r="P37" s="1260">
        <x:v>2</x:v>
      </x:c>
      <x:c r="Q37" s="1261">
        <x:v>0</x:v>
      </x:c>
      <x:c r="R37" s="1262">
        <x:v>5.375</x:v>
      </x:c>
      <x:c r="S37" s="1375">
        <x:v>2</x:v>
      </x:c>
      <x:c r="T37" s="1328">
        <x:v>0</x:v>
      </x:c>
      <x:c r="U37" s="1262">
        <x:v>1.5</x:v>
      </x:c>
      <x:c r="V37" s="1261">
        <x:v>0</x:v>
      </x:c>
      <x:c r="W37" s="1262">
        <x:v>1.5</x:v>
      </x:c>
      <x:c r="X37" s="1329">
        <x:v>4</x:v>
      </x:c>
      <x:c r="Y37" s="1377" t="str">
        <x:f t="shared" si="7"/>
        <x:v/>
      </x:c>
      <x:c r="Z37" s="1378" t="str">
        <x:f t="shared" si="8"/>
        <x:v/>
      </x:c>
      <x:c r="AA37" s="2159" t="s">
        <x:v>2099</x:v>
      </x:c>
      <x:c r="AC37" s="1226" t="b">
        <x:v>0</x:v>
      </x:c>
      <x:c r="AD37" s="525">
        <x:f t="shared" si="9"/>
        <x:v>0</x:v>
      </x:c>
      <x:c r="AE37" s="526">
        <x:f t="shared" si="10"/>
        <x:v>1</x:v>
      </x:c>
      <x:c r="AF37" s="526">
        <x:f t="shared" si="11"/>
        <x:v>0</x:v>
      </x:c>
      <x:c r="AG37" s="526">
        <x:f t="shared" si="12"/>
        <x:v>0</x:v>
      </x:c>
      <x:c r="AH37" s="527">
        <x:f t="shared" si="13"/>
        <x:v>0</x:v>
      </x:c>
      <x:c r="AI37" s="528" t="b">
        <x:v>0</x:v>
      </x:c>
      <x:c r="AJ37" s="284">
        <x:f t="shared" si="14"/>
        <x:v>36</x:v>
      </x:c>
      <x:c r="AK37" s="1063" t="str">
        <x:f t="shared" si="15"/>
        <x:v>LH</x:v>
      </x:c>
      <x:c r="AL37" s="1202" t="str">
        <x:f t="shared" si="16"/>
        <x:v/>
      </x:c>
      <x:c r="AM37" s="1063">
        <x:f t="shared" si="17"/>
        <x:v>270</x:v>
      </x:c>
      <x:c r="AN37" s="1063">
        <x:f t="shared" si="18"/>
        <x:v>120</x:v>
      </x:c>
      <x:c r="AO37" s="1063" t="str">
        <x:f t="shared" si="19"/>
        <x:v/>
      </x:c>
      <x:c r="AP37" s="1063" t="b">
        <x:f>IF(ISERROR(AJ37),FALSE,IF(OR(AJ37=0,ISERROR(AL37),ISERROR(AM37),ISERROR(AN37),ISERROR(AO37)),FALSE,IF(AL37&lt;&gt;"",IF(ISERROR(VLOOKUP(SUBSTITUTE(SUBSTITUTE(C37,"R",""),"A",""),TblJoistSize!$A:$A,1,FALSE)),FALSE,TRUE),TRUE)))</x:f>
        <x:v>1</x:v>
      </x:c>
      <x:c r="AQ37" s="1305">
        <x:f t="shared" si="20"/>
        <x:v>6.625</x:v>
      </x:c>
      <x:c r="AR37" s="1305" t="b">
        <x:f t="shared" si="21"/>
        <x:v>1</x:v>
      </x:c>
      <x:c r="AS37" s="1305">
        <x:f t="shared" si="22"/>
        <x:v>6.625</x:v>
      </x:c>
      <x:c r="AT37" s="1305" t="b">
        <x:f t="shared" si="23"/>
        <x:v>1</x:v>
      </x:c>
      <x:c r="AU37" s="1203" t="str">
        <x:f t="shared" si="24"/>
        <x:v>LH</x:v>
      </x:c>
      <x:c r="AV37" s="1063" t="str">
        <x:f t="shared" si="25"/>
        <x:v/>
      </x:c>
      <x:c r="AW37" s="1063" t="str">
        <x:f t="shared" si="26"/>
        <x:v>LH</x:v>
      </x:c>
      <x:c r="AX37" s="1063" t="str">
        <x:f t="shared" si="102"/>
        <x:v>TJ238</x:v>
      </x:c>
      <x:c r="AY37" s="1306" t="b">
        <x:f t="shared" si="27"/>
        <x:v>0</x:v>
      </x:c>
      <x:c r="AZ37" s="1090" t="b">
        <x:f t="shared" si="28"/>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29"/>
        <x:v/>
      </x:c>
      <x:c r="CE37" s="935" t="str">
        <x:f t="shared" si="30"/>
        <x:v/>
      </x:c>
      <x:c r="CF37" s="1149"/>
      <x:c r="CG37" s="1150"/>
      <x:c r="CH37" s="738" t="str">
        <x:f t="shared" si="31"/>
        <x:v/>
      </x:c>
      <x:c r="CI37" s="739" t="str">
        <x:f t="shared" si="32"/>
        <x:v/>
      </x:c>
      <x:c r="CJ37" s="740" t="str">
        <x:f t="shared" si="33"/>
        <x:v/>
      </x:c>
      <x:c r="CK37" s="741" t="str">
        <x:f t="shared" si="34"/>
        <x:v/>
      </x:c>
      <x:c r="CL37" s="742" t="str">
        <x:f t="shared" si="35"/>
        <x:v/>
      </x:c>
      <x:c r="CM37" s="743" t="str">
        <x:f t="shared" si="36"/>
        <x:v/>
      </x:c>
      <x:c r="CN37" s="744" t="str">
        <x:f t="shared" si="37"/>
        <x:v/>
      </x:c>
      <x:c r="CO37" s="745" t="str">
        <x:f t="shared" si="38"/>
        <x:v/>
      </x:c>
      <x:c r="CP37" s="762" t="str">
        <x:f t="shared" si="39"/>
        <x:v/>
      </x:c>
      <x:c r="CQ37" s="763" t="str">
        <x:f t="shared" si="40"/>
        <x:v/>
      </x:c>
      <x:c r="CR37" s="953">
        <x:f t="shared" si="41"/>
        <x:v>5</x:v>
      </x:c>
      <x:c r="CS37" s="954">
        <x:f t="shared" si="42"/>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3"/>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4"/>
        <x:v>0</x:v>
      </x:c>
      <x:c r="DO37" s="1049">
        <x:f t="shared" si="45"/>
        <x:v>0</x:v>
      </x:c>
      <x:c r="DP37" s="1053" t="str">
        <x:f t="shared" si="46"/>
        <x:v/>
      </x:c>
      <x:c r="DQ37" s="1053" t="str">
        <x:f t="shared" si="47"/>
        <x:v/>
      </x:c>
      <x:c r="DR37" s="1053" t="str">
        <x:f t="shared" si="48"/>
        <x:v/>
      </x:c>
      <x:c r="DS37" s="1052">
        <x:f t="shared" si="49"/>
        <x:v>0</x:v>
      </x:c>
      <x:c r="DT37" s="1052">
        <x:f t="shared" si="50"/>
        <x:v>0</x:v>
      </x:c>
      <x:c r="DU37" s="1052" t="str">
        <x:f t="shared" si="51"/>
        <x:v/>
      </x:c>
      <x:c r="DV37" s="1053" t="str">
        <x:f t="shared" si="52"/>
        <x:v/>
      </x:c>
      <x:c r="DW37" s="1053" t="str">
        <x:f t="shared" si="53"/>
        <x:v/>
      </x:c>
      <x:c r="DX37" s="1269">
        <x:f t="shared" si="54"/>
        <x:v>0</x:v>
      </x:c>
      <x:c r="DY37" s="1053">
        <x:f t="shared" si="55"/>
        <x:v>0</x:v>
      </x:c>
      <x:c r="DZ37" s="1052">
        <x:f t="shared" si="56"/>
        <x:v>0</x:v>
      </x:c>
      <x:c r="EA37" s="1052" t="str">
        <x:f t="shared" si="57"/>
        <x:v/>
      </x:c>
      <x:c r="EB37" s="1053" t="str">
        <x:f t="shared" si="58"/>
        <x:v/>
      </x:c>
      <x:c r="EC37" s="1053" t="str">
        <x:f t="shared" si="59"/>
        <x:v/>
      </x:c>
      <x:c r="ED37" s="1269">
        <x:f t="shared" si="60"/>
        <x:v>0</x:v>
      </x:c>
      <x:c r="EE37" s="1090" t="str">
        <x:f t="shared" si="61"/>
        <x:v/>
      </x:c>
      <x:c r="EF37" s="1053" t="str">
        <x:f t="shared" si="62"/>
        <x:v/>
      </x:c>
      <x:c r="EG37" s="1053" t="str">
        <x:f t="shared" si="63"/>
        <x:v/>
      </x:c>
      <x:c r="EH37" s="1053" t="str">
        <x:f t="shared" si="64"/>
        <x:v>ERR</x:v>
      </x:c>
      <x:c r="EI37" s="1053" t="str">
        <x:f t="shared" si="65"/>
        <x:v>ERR</x:v>
      </x:c>
      <x:c r="EJ37" s="1053" t="str">
        <x:f t="shared" si="66"/>
        <x:v/>
      </x:c>
      <x:c r="EK37" s="1053" t="str">
        <x:f t="shared" si="66"/>
        <x:v/>
      </x:c>
      <x:c r="EL37" s="1090" t="str">
        <x:f t="shared" si="67"/>
        <x:v/>
      </x:c>
      <x:c r="EM37" s="1053" t="str">
        <x:f t="shared" si="68"/>
        <x:v/>
      </x:c>
      <x:c r="EN37" s="1053" t="str">
        <x:f t="shared" si="69"/>
        <x:v/>
      </x:c>
      <x:c r="EO37" s="1053" t="str">
        <x:f t="shared" si="70"/>
        <x:v>ERR</x:v>
      </x:c>
      <x:c r="EP37" s="1053" t="str">
        <x:f t="shared" si="71"/>
        <x:v>ERR</x:v>
      </x:c>
      <x:c r="EQ37" s="1053" t="str">
        <x:f t="shared" si="72"/>
        <x:v/>
      </x:c>
      <x:c r="ER37" s="1053" t="str">
        <x:f t="shared" si="72"/>
        <x:v/>
      </x:c>
      <x:c r="ES37" s="1053" t="str">
        <x:f t="shared" si="73"/>
        <x:v/>
      </x:c>
      <x:c r="ET37" s="1053" t="str">
        <x:f t="shared" si="74"/>
        <x:v/>
      </x:c>
      <x:c r="EU37" s="1061">
        <x:f t="shared" si="75"/>
        <x:v>4</x:v>
      </x:c>
      <x:c r="EV37" s="1055" t="str">
        <x:f t="shared" si="76"/>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7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78"/>
        <x:v/>
      </x:c>
      <x:c r="FD37" s="1052">
        <x:f t="shared" si="103"/>
        <x:v>0</x:v>
      </x:c>
      <x:c r="FE37" s="1052">
        <x:f t="shared" si="79"/>
        <x:v>0</x:v>
      </x:c>
      <x:c r="FF37" s="1052">
        <x:f t="shared" si="80"/>
        <x:v>0</x:v>
      </x:c>
      <x:c r="FG37" s="1052" t="str">
        <x:f t="shared" si="81"/>
        <x:v/>
      </x:c>
      <x:c r="FH37" s="1053" t="str">
        <x:f t="shared" si="82"/>
        <x:v/>
      </x:c>
      <x:c r="FI37" s="1052">
        <x:f t="shared" si="104"/>
        <x:v>0</x:v>
      </x:c>
      <x:c r="FJ37" s="1052">
        <x:f t="shared" si="83"/>
        <x:v>0</x:v>
      </x:c>
      <x:c r="FK37" s="1052">
        <x:f t="shared" si="84"/>
        <x:v>0</x:v>
      </x:c>
      <x:c r="FL37" s="1052" t="str">
        <x:f t="shared" si="85"/>
        <x:v/>
      </x:c>
      <x:c r="FM37" s="1053" t="str">
        <x:f t="shared" si="86"/>
        <x:v/>
      </x:c>
      <x:c r="FN37" s="1053" t="e">
        <x:f t="shared" si="87"/>
        <x:v>#VALUE!</x:v>
      </x:c>
      <x:c r="FO37" s="1062" t="e">
        <x:f t="shared" si="88"/>
        <x:v>#VALUE!</x:v>
      </x:c>
      <x:c r="FP37" s="1062" t="e">
        <x:f t="shared" si="89"/>
        <x:v>#VALUE!</x:v>
      </x:c>
      <x:c r="FQ37" s="1063" t="e">
        <x:f t="shared" si="90"/>
        <x:v>#VALUE!</x:v>
      </x:c>
      <x:c r="FR37" s="1064" t="e">
        <x:f t="shared" si="91"/>
        <x:v>#VALUE!</x:v>
      </x:c>
      <x:c r="FS37" s="1065" t="str">
        <x:f t="shared" si="92"/>
        <x:v/>
      </x:c>
      <x:c r="FT37" s="1066" t="str">
        <x:f t="shared" si="93"/>
        <x:v/>
      </x:c>
      <x:c r="FU37" s="1105">
        <x:f t="shared" si="94"/>
        <x:v>0</x:v>
      </x:c>
      <x:c r="FV37" s="1106">
        <x:f t="shared" si="95"/>
        <x:v>0</x:v>
      </x:c>
      <x:c r="GA37" s="1975">
        <x:v>60</x:v>
      </x:c>
      <x:c r="GB37" s="1976">
        <x:v>0</x:v>
      </x:c>
      <x:c r="GC37" s="1977">
        <x:v>-1</x:v>
      </x:c>
      <x:c r="GD37" s="1978">
        <x:v>-1</x:v>
      </x:c>
      <x:c r="GE37" s="1979">
        <x:v>-0.25</x:v>
      </x:c>
      <x:c r="GF37" s="1980" t="str">
        <x:f t="shared" si="96"/>
        <x:v>TJ238</x:v>
      </x:c>
      <x:c r="GG37" s="1453"/>
      <x:c r="GH37" s="1454"/>
      <x:c r="GI37" s="1453"/>
      <x:c r="GJ37" s="1454"/>
      <x:c r="GK37" s="533">
        <x:f t="shared" si="97"/>
        <x:v>718</x:v>
      </x:c>
      <x:c r="GL37" s="534">
        <x:f t="shared" si="98"/>
        <x:v>718.15579906877531</x:v>
      </x:c>
      <x:c r="GM37" s="535">
        <x:f>IF(ABS(GK37-GL37)&gt;='Job Info.'!$L$22,ABS(GK37-GL37),0)</x:f>
        <x:v>0</x:v>
      </x:c>
      <x:c r="HA37" s="1658" t="s">
        <x:v>1562</x:v>
      </x:c>
      <x:c r="HB37" s="1659">
        <x:v>1</x:v>
      </x:c>
      <x:c r="HC37" s="1659" t="s">
        <x:v>1978</x:v>
      </x:c>
      <x:c r="HD37" s="1660">
        <x:v>59</x:v>
      </x:c>
      <x:c r="HE37" s="1661">
        <x:v>10</x:v>
      </x:c>
      <x:c r="HF37" s="1659">
        <x:v>0</x:v>
      </x:c>
      <x:c r="HG37" s="1659">
        <x:v>0.625</x:v>
      </x:c>
      <x:c r="HH37" s="1659" t="s">
        <x:v>114</x:v>
      </x:c>
      <x:c r="HI37" s="1662">
        <x:v>0</x:v>
      </x:c>
      <x:c r="HJ37" s="1659">
        <x:v>0.625</x:v>
      </x:c>
      <x:c r="HK37" s="1659" t="s">
        <x:v>114</x:v>
      </x:c>
      <x:c r="HL37" s="1659">
        <x:v>3</x:v>
      </x:c>
      <x:c r="HM37" s="1659">
        <x:v>3</x:v>
      </x:c>
      <x:c r="HN37" s="1659">
        <x:v>0</x:v>
      </x:c>
      <x:c r="HO37" s="1659">
        <x:v>6.75</x:v>
      </x:c>
      <x:c r="HP37" s="1659">
        <x:v>2</x:v>
      </x:c>
      <x:c r="HQ37" s="1662">
        <x:v>0</x:v>
      </x:c>
      <x:c r="HR37" s="1659">
        <x:v>5.375</x:v>
      </x:c>
      <x:c r="HS37" s="1659">
        <x:v>2</x:v>
      </x:c>
      <x:c r="HT37" s="1659">
        <x:v>0</x:v>
      </x:c>
      <x:c r="HU37" s="1659">
        <x:v>1.5</x:v>
      </x:c>
      <x:c r="HV37" s="1659">
        <x:v>0</x:v>
      </x:c>
      <x:c r="HW37" s="1661">
        <x:v>1.5</x:v>
      </x:c>
      <x:c r="HX37" s="1661">
        <x:v>4</x:v>
      </x:c>
      <x:c r="HY37" s="1661" t="s">
        <x:v>117</x:v>
      </x:c>
      <x:c r="HZ37" s="1661" t="s">
        <x:v>117</x:v>
      </x:c>
      <x:c r="IA37" s="1661" t="s">
        <x:v>2099</x:v>
      </x:c>
      <x:c r="IB37" s="1661"/>
      <x:c r="IC37" s="1661"/>
      <x:c r="ID37" s="1661"/>
      <x:c r="IE37" s="1661"/>
      <x:c r="IF37" s="1663"/>
    </x:row>
    <x:row r="38" spans="1:240" ht="12.6" customHeight="1" x14ac:dyDescent="0.25">
      <x:c r="A38" s="1264" t="s">
        <x:v>1563</x:v>
      </x:c>
      <x:c r="B38" s="1265">
        <x:v>12</x:v>
      </x:c>
      <x:c r="C38" s="1265" t="s">
        <x:v>1978</x:v>
      </x:c>
      <x:c r="D38" s="1261">
        <x:v>59</x:v>
      </x:c>
      <x:c r="E38" s="1366">
        <x:v>11.5</x:v>
      </x:c>
      <x:c r="F38" s="1328">
        <x:v>0</x:v>
      </x:c>
      <x:c r="G38" s="1262">
        <x:v>1.375</x:v>
      </x:c>
      <x:c r="H38" s="1266" t="s">
        <x:v>114</x:v>
      </x:c>
      <x:c r="I38" s="1261">
        <x:v>0</x:v>
      </x:c>
      <x:c r="J38" s="1262">
        <x:v>1.375</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105"/>
        <x:v/>
      </x:c>
      <x:c r="U38" s="1262" t="str">
        <x:f t="shared" si="106"/>
        <x:v/>
      </x:c>
      <x:c r="V38" s="1261" t="str">
        <x:f t="shared" si="107"/>
        <x:v/>
      </x:c>
      <x:c r="W38" s="1262" t="str">
        <x:f t="shared" si="108"/>
        <x:v/>
      </x:c>
      <x:c r="X38" s="1329">
        <x:f t="shared" si="109"/>
        <x:v>0</x:v>
      </x:c>
      <x:c r="Y38" s="1377" t="str">
        <x:f t="shared" si="7"/>
        <x:v/>
      </x:c>
      <x:c r="Z38" s="1378" t="str">
        <x:f t="shared" si="8"/>
        <x:v/>
      </x:c>
      <x:c r="AA38" s="2159" t="s">
        <x:v>2096</x:v>
      </x:c>
      <x:c r="AC38" s="1226" t="b">
        <x:v>0</x:v>
      </x:c>
      <x:c r="AD38" s="525">
        <x:f t="shared" si="9"/>
        <x:v>0</x:v>
      </x:c>
      <x:c r="AE38" s="526">
        <x:f t="shared" si="10"/>
        <x:v>12</x:v>
      </x:c>
      <x:c r="AF38" s="526">
        <x:f t="shared" si="11"/>
        <x:v>0</x:v>
      </x:c>
      <x:c r="AG38" s="526">
        <x:f t="shared" si="12"/>
        <x:v>0</x:v>
      </x:c>
      <x:c r="AH38" s="527">
        <x:f t="shared" si="13"/>
        <x:v>0</x:v>
      </x:c>
      <x:c r="AI38" s="528" t="b">
        <x:v>0</x:v>
      </x:c>
      <x:c r="AJ38" s="284">
        <x:f t="shared" si="14"/>
        <x:v>36</x:v>
      </x:c>
      <x:c r="AK38" s="1063" t="str">
        <x:f t="shared" si="15"/>
        <x:v>LH</x:v>
      </x:c>
      <x:c r="AL38" s="1202" t="str">
        <x:f t="shared" si="16"/>
        <x:v/>
      </x:c>
      <x:c r="AM38" s="1063">
        <x:f t="shared" si="17"/>
        <x:v>270</x:v>
      </x:c>
      <x:c r="AN38" s="1063">
        <x:f t="shared" si="18"/>
        <x:v>120</x:v>
      </x:c>
      <x:c r="AO38" s="1063" t="str">
        <x:f t="shared" si="19"/>
        <x:v/>
      </x:c>
      <x:c r="AP38" s="1063" t="b">
        <x:f>IF(ISERROR(AJ38),FALSE,IF(OR(AJ38=0,ISERROR(AL38),ISERROR(AM38),ISERROR(AN38),ISERROR(AO38)),FALSE,IF(AL38&lt;&gt;"",IF(ISERROR(VLOOKUP(SUBSTITUTE(SUBSTITUTE(C38,"R",""),"A",""),TblJoistSize!$A:$A,1,FALSE)),FALSE,TRUE),TRUE)))</x:f>
        <x:v>1</x:v>
      </x:c>
      <x:c r="AQ38" s="1305">
        <x:f t="shared" si="20"/>
        <x:v>7.375</x:v>
      </x:c>
      <x:c r="AR38" s="1305" t="b">
        <x:f t="shared" si="21"/>
        <x:v>0</x:v>
      </x:c>
      <x:c r="AS38" s="1305">
        <x:f t="shared" si="22"/>
        <x:v>7.375</x:v>
      </x:c>
      <x:c r="AT38" s="1305" t="b">
        <x:f t="shared" si="23"/>
        <x:v>0</x:v>
      </x:c>
      <x:c r="AU38" s="1203" t="str">
        <x:f t="shared" si="24"/>
        <x:v>LH</x:v>
      </x:c>
      <x:c r="AV38" s="1063" t="str">
        <x:f t="shared" si="25"/>
        <x:v/>
      </x:c>
      <x:c r="AW38" s="1063" t="str">
        <x:f t="shared" si="26"/>
        <x:v>LH</x:v>
      </x:c>
      <x:c r="AX38" s="1063" t="str">
        <x:f t="shared" si="102"/>
        <x:v>J239</x:v>
      </x:c>
      <x:c r="AY38" s="1306" t="b">
        <x:f t="shared" si="27"/>
        <x:v>0</x:v>
      </x:c>
      <x:c r="AZ38" s="1090" t="b">
        <x:f t="shared" si="28"/>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29"/>
        <x:v/>
      </x:c>
      <x:c r="CE38" s="935" t="str">
        <x:f t="shared" si="30"/>
        <x:v/>
      </x:c>
      <x:c r="CF38" s="1149"/>
      <x:c r="CG38" s="1150"/>
      <x:c r="CH38" s="738" t="str">
        <x:f t="shared" si="31"/>
        <x:v/>
      </x:c>
      <x:c r="CI38" s="739" t="str">
        <x:f t="shared" si="32"/>
        <x:v/>
      </x:c>
      <x:c r="CJ38" s="740" t="str">
        <x:f t="shared" si="33"/>
        <x:v/>
      </x:c>
      <x:c r="CK38" s="741" t="str">
        <x:f t="shared" si="34"/>
        <x:v/>
      </x:c>
      <x:c r="CL38" s="742" t="str">
        <x:f t="shared" si="35"/>
        <x:v/>
      </x:c>
      <x:c r="CM38" s="743" t="str">
        <x:f t="shared" si="36"/>
        <x:v/>
      </x:c>
      <x:c r="CN38" s="744" t="str">
        <x:f t="shared" si="37"/>
        <x:v/>
      </x:c>
      <x:c r="CO38" s="745" t="str">
        <x:f t="shared" si="38"/>
        <x:v/>
      </x:c>
      <x:c r="CP38" s="762" t="str">
        <x:f t="shared" si="39"/>
        <x:v/>
      </x:c>
      <x:c r="CQ38" s="763" t="str">
        <x:f t="shared" si="40"/>
        <x:v/>
      </x:c>
      <x:c r="CR38" s="953">
        <x:f t="shared" si="41"/>
        <x:v>5</x:v>
      </x:c>
      <x:c r="CS38" s="954">
        <x:f t="shared" si="42"/>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3"/>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4"/>
        <x:v>0</x:v>
      </x:c>
      <x:c r="DO38" s="1049">
        <x:f t="shared" si="45"/>
        <x:v>0</x:v>
      </x:c>
      <x:c r="DP38" s="1053" t="str">
        <x:f t="shared" si="46"/>
        <x:v/>
      </x:c>
      <x:c r="DQ38" s="1053" t="str">
        <x:f t="shared" si="47"/>
        <x:v/>
      </x:c>
      <x:c r="DR38" s="1053" t="str">
        <x:f t="shared" si="48"/>
        <x:v/>
      </x:c>
      <x:c r="DS38" s="1052">
        <x:f t="shared" si="49"/>
        <x:v>0</x:v>
      </x:c>
      <x:c r="DT38" s="1052">
        <x:f t="shared" si="50"/>
        <x:v>0</x:v>
      </x:c>
      <x:c r="DU38" s="1052" t="str">
        <x:f t="shared" si="51"/>
        <x:v/>
      </x:c>
      <x:c r="DV38" s="1053" t="str">
        <x:f t="shared" si="52"/>
        <x:v/>
      </x:c>
      <x:c r="DW38" s="1053" t="str">
        <x:f t="shared" si="53"/>
        <x:v/>
      </x:c>
      <x:c r="DX38" s="1269">
        <x:f t="shared" si="54"/>
        <x:v>0</x:v>
      </x:c>
      <x:c r="DY38" s="1053">
        <x:f t="shared" si="55"/>
        <x:v>0</x:v>
      </x:c>
      <x:c r="DZ38" s="1052">
        <x:f t="shared" si="56"/>
        <x:v>0</x:v>
      </x:c>
      <x:c r="EA38" s="1052" t="str">
        <x:f t="shared" si="57"/>
        <x:v/>
      </x:c>
      <x:c r="EB38" s="1053" t="str">
        <x:f t="shared" si="58"/>
        <x:v/>
      </x:c>
      <x:c r="EC38" s="1053" t="str">
        <x:f t="shared" si="59"/>
        <x:v/>
      </x:c>
      <x:c r="ED38" s="1269">
        <x:f t="shared" si="60"/>
        <x:v>0</x:v>
      </x:c>
      <x:c r="EE38" s="1090" t="str">
        <x:f t="shared" si="61"/>
        <x:v/>
      </x:c>
      <x:c r="EF38" s="1053" t="str">
        <x:f t="shared" si="62"/>
        <x:v/>
      </x:c>
      <x:c r="EG38" s="1053" t="str">
        <x:f t="shared" si="63"/>
        <x:v/>
      </x:c>
      <x:c r="EH38" s="1053" t="str">
        <x:f t="shared" si="64"/>
        <x:v>ERR</x:v>
      </x:c>
      <x:c r="EI38" s="1053" t="str">
        <x:f t="shared" si="65"/>
        <x:v>ERR</x:v>
      </x:c>
      <x:c r="EJ38" s="1053" t="str">
        <x:f t="shared" si="66"/>
        <x:v/>
      </x:c>
      <x:c r="EK38" s="1053" t="str">
        <x:f t="shared" si="66"/>
        <x:v/>
      </x:c>
      <x:c r="EL38" s="1090" t="str">
        <x:f t="shared" si="67"/>
        <x:v/>
      </x:c>
      <x:c r="EM38" s="1053" t="str">
        <x:f t="shared" si="68"/>
        <x:v/>
      </x:c>
      <x:c r="EN38" s="1053" t="str">
        <x:f t="shared" si="69"/>
        <x:v/>
      </x:c>
      <x:c r="EO38" s="1053" t="str">
        <x:f t="shared" si="70"/>
        <x:v>ERR</x:v>
      </x:c>
      <x:c r="EP38" s="1053" t="str">
        <x:f t="shared" si="71"/>
        <x:v>ERR</x:v>
      </x:c>
      <x:c r="EQ38" s="1053" t="str">
        <x:f t="shared" si="72"/>
        <x:v/>
      </x:c>
      <x:c r="ER38" s="1053" t="str">
        <x:f t="shared" si="72"/>
        <x:v/>
      </x:c>
      <x:c r="ES38" s="1053" t="str">
        <x:f t="shared" si="73"/>
        <x:v/>
      </x:c>
      <x:c r="ET38" s="1053" t="str">
        <x:f t="shared" si="74"/>
        <x:v/>
      </x:c>
      <x:c r="EU38" s="1061">
        <x:f t="shared" si="75"/>
        <x:v>4</x:v>
      </x:c>
      <x:c r="EV38" s="1055" t="str">
        <x:f t="shared" si="76"/>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7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78"/>
        <x:v/>
      </x:c>
      <x:c r="FD38" s="1052">
        <x:f t="shared" si="103"/>
        <x:v>0</x:v>
      </x:c>
      <x:c r="FE38" s="1052">
        <x:f t="shared" si="79"/>
        <x:v>0</x:v>
      </x:c>
      <x:c r="FF38" s="1052">
        <x:f t="shared" si="80"/>
        <x:v>0</x:v>
      </x:c>
      <x:c r="FG38" s="1052" t="str">
        <x:f t="shared" si="81"/>
        <x:v/>
      </x:c>
      <x:c r="FH38" s="1053" t="str">
        <x:f t="shared" si="82"/>
        <x:v/>
      </x:c>
      <x:c r="FI38" s="1052">
        <x:f t="shared" si="104"/>
        <x:v>0</x:v>
      </x:c>
      <x:c r="FJ38" s="1052">
        <x:f t="shared" si="83"/>
        <x:v>0</x:v>
      </x:c>
      <x:c r="FK38" s="1052">
        <x:f t="shared" si="84"/>
        <x:v>0</x:v>
      </x:c>
      <x:c r="FL38" s="1052" t="str">
        <x:f t="shared" si="85"/>
        <x:v/>
      </x:c>
      <x:c r="FM38" s="1053" t="str">
        <x:f t="shared" si="86"/>
        <x:v/>
      </x:c>
      <x:c r="FN38" s="1053" t="e">
        <x:f t="shared" si="87"/>
        <x:v>#VALUE!</x:v>
      </x:c>
      <x:c r="FO38" s="1062" t="e">
        <x:f t="shared" si="88"/>
        <x:v>#VALUE!</x:v>
      </x:c>
      <x:c r="FP38" s="1062" t="e">
        <x:f t="shared" si="89"/>
        <x:v>#VALUE!</x:v>
      </x:c>
      <x:c r="FQ38" s="1063" t="e">
        <x:f t="shared" si="90"/>
        <x:v>#VALUE!</x:v>
      </x:c>
      <x:c r="FR38" s="1064" t="e">
        <x:f t="shared" si="91"/>
        <x:v>#VALUE!</x:v>
      </x:c>
      <x:c r="FS38" s="1065" t="str">
        <x:f t="shared" si="92"/>
        <x:v/>
      </x:c>
      <x:c r="FT38" s="1066" t="str">
        <x:f t="shared" si="93"/>
        <x:v/>
      </x:c>
      <x:c r="FU38" s="1105">
        <x:f t="shared" si="94"/>
        <x:v>0</x:v>
      </x:c>
      <x:c r="FV38" s="1106">
        <x:f t="shared" si="95"/>
        <x:v>0</x:v>
      </x:c>
      <x:c r="GA38" s="1975">
        <x:v>60</x:v>
      </x:c>
      <x:c r="GB38" s="1976">
        <x:v>0</x:v>
      </x:c>
      <x:c r="GC38" s="1977">
        <x:v>-0.25</x:v>
      </x:c>
      <x:c r="GD38" s="1978">
        <x:v>-0.25</x:v>
      </x:c>
      <x:c r="GE38" s="1979">
        <x:v>-0.25</x:v>
      </x:c>
      <x:c r="GF38" s="1980" t="str">
        <x:f t="shared" si="96"/>
        <x:v>J239</x:v>
      </x:c>
      <x:c r="GG38" s="1453"/>
      <x:c r="GH38" s="1454"/>
      <x:c r="GI38" s="1453"/>
      <x:c r="GJ38" s="1454"/>
      <x:c r="GK38" s="533">
        <x:f t="shared" si="97"/>
        <x:v>719.5</x:v>
      </x:c>
      <x:c r="GL38" s="534">
        <x:f t="shared" si="98"/>
        <x:v>719.65612455429505</x:v>
      </x:c>
      <x:c r="GM38" s="535">
        <x:f>IF(ABS(GK38-GL38)&gt;='Job Info.'!$L$22,ABS(GK38-GL38),0)</x:f>
        <x:v>0</x:v>
      </x:c>
      <x:c r="HA38" s="1658" t="s">
        <x:v>1563</x:v>
      </x:c>
      <x:c r="HB38" s="1659">
        <x:v>12</x:v>
      </x:c>
      <x:c r="HC38" s="1659" t="s">
        <x:v>1978</x:v>
      </x:c>
      <x:c r="HD38" s="1660">
        <x:v>59</x:v>
      </x:c>
      <x:c r="HE38" s="1661">
        <x:v>11.5</x:v>
      </x:c>
      <x:c r="HF38" s="1659">
        <x:v>0</x:v>
      </x:c>
      <x:c r="HG38" s="1659">
        <x:v>1.375</x:v>
      </x:c>
      <x:c r="HH38" s="1659" t="s">
        <x:v>114</x:v>
      </x:c>
      <x:c r="HI38" s="1662">
        <x:v>0</x:v>
      </x:c>
      <x:c r="HJ38" s="1659">
        <x:v>1.375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2096</x:v>
      </x:c>
      <x:c r="IB38" s="1661"/>
      <x:c r="IC38" s="1661"/>
      <x:c r="ID38" s="1661"/>
      <x:c r="IE38" s="1661"/>
      <x:c r="IF38" s="1663"/>
    </x:row>
    <x:row r="39" spans="1:240" ht="12.6" customHeight="1" x14ac:dyDescent="0.25">
      <x:c r="A39" s="1264" t="s">
        <x:v>1564</x:v>
      </x:c>
      <x:c r="B39" s="1265">
        <x:v>14</x:v>
      </x:c>
      <x:c r="C39" s="1265" t="s">
        <x:v>1978</x:v>
      </x:c>
      <x:c r="D39" s="1261">
        <x:v>59</x:v>
      </x:c>
      <x:c r="E39" s="1366">
        <x:v>11.5</x:v>
      </x:c>
      <x:c r="F39" s="1328">
        <x:v>0</x:v>
      </x:c>
      <x:c r="G39" s="1262">
        <x:v>1.375</x:v>
      </x:c>
      <x:c r="H39" s="1266" t="s">
        <x:v>114</x:v>
      </x:c>
      <x:c r="I39" s="1261">
        <x:v>0</x:v>
      </x:c>
      <x:c r="J39" s="1262">
        <x:v>1.375</x:v>
      </x:c>
      <x:c r="K39" s="1370" t="s">
        <x:v>114</x:v>
      </x:c>
      <x:c r="L39" s="1327">
        <x:v>3</x:v>
      </x:c>
      <x:c r="M39" s="1329">
        <x:v>3</x:v>
      </x:c>
      <x:c r="N39" s="1263" t="str">
        <x:f t="shared" si="1"/>
        <x:v/>
      </x:c>
      <x:c r="O39" s="1262" t="str">
        <x:f t="shared" si="2"/>
        <x:v/>
      </x:c>
      <x:c r="P39" s="1260" t="str">
        <x:f t="shared" si="3"/>
        <x:v/>
      </x:c>
      <x:c r="Q39" s="1261" t="str">
        <x:f t="shared" si="4"/>
        <x:v/>
      </x:c>
      <x:c r="R39" s="1262" t="str">
        <x:f t="shared" si="5"/>
        <x:v/>
      </x:c>
      <x:c r="S39" s="1375" t="str">
        <x:f t="shared" si="6"/>
        <x:v/>
      </x:c>
      <x:c r="T39" s="1328">
        <x:v>0</x:v>
      </x:c>
      <x:c r="U39" s="1262">
        <x:v>2.25</x:v>
      </x:c>
      <x:c r="V39" s="1261">
        <x:v>0</x:v>
      </x:c>
      <x:c r="W39" s="1262">
        <x:v>2.25</x:v>
      </x:c>
      <x:c r="X39" s="1329">
        <x:v>4</x:v>
      </x:c>
      <x:c r="Y39" s="1377" t="str">
        <x:f t="shared" si="7"/>
        <x:v/>
      </x:c>
      <x:c r="Z39" s="1378" t="str">
        <x:f t="shared" si="8"/>
        <x:v/>
      </x:c>
      <x:c r="AA39" s="2159" t="s">
        <x:v>2095</x:v>
      </x:c>
      <x:c r="AC39" s="1226" t="b">
        <x:v>0</x:v>
      </x:c>
      <x:c r="AD39" s="525">
        <x:f t="shared" si="9"/>
        <x:v>0</x:v>
      </x:c>
      <x:c r="AE39" s="526">
        <x:f t="shared" si="10"/>
        <x:v>14</x:v>
      </x:c>
      <x:c r="AF39" s="526">
        <x:f t="shared" si="11"/>
        <x:v>0</x:v>
      </x:c>
      <x:c r="AG39" s="526">
        <x:f t="shared" si="12"/>
        <x:v>0</x:v>
      </x:c>
      <x:c r="AH39" s="527">
        <x:f t="shared" si="13"/>
        <x:v>0</x:v>
      </x:c>
      <x:c r="AI39" s="528" t="b">
        <x:v>0</x:v>
      </x:c>
      <x:c r="AJ39" s="284">
        <x:f t="shared" si="14"/>
        <x:v>36</x:v>
      </x:c>
      <x:c r="AK39" s="1063" t="str">
        <x:f t="shared" si="15"/>
        <x:v>LH</x:v>
      </x:c>
      <x:c r="AL39" s="1202" t="str">
        <x:f t="shared" si="16"/>
        <x:v/>
      </x:c>
      <x:c r="AM39" s="1063">
        <x:f t="shared" si="17"/>
        <x:v>270</x:v>
      </x:c>
      <x:c r="AN39" s="1063">
        <x:f t="shared" si="18"/>
        <x:v>120</x:v>
      </x:c>
      <x:c r="AO39" s="1063" t="str">
        <x:f t="shared" si="19"/>
        <x:v/>
      </x:c>
      <x:c r="AP39" s="1063" t="b">
        <x:f>IF(ISERROR(AJ39),FALSE,IF(OR(AJ39=0,ISERROR(AL39),ISERROR(AM39),ISERROR(AN39),ISERROR(AO39)),FALSE,IF(AL39&lt;&gt;"",IF(ISERROR(VLOOKUP(SUBSTITUTE(SUBSTITUTE(C39,"R",""),"A",""),TblJoistSize!$A:$A,1,FALSE)),FALSE,TRUE),TRUE)))</x:f>
        <x:v>1</x:v>
      </x:c>
      <x:c r="AQ39" s="1305">
        <x:f t="shared" si="20"/>
        <x:v>7.375</x:v>
      </x:c>
      <x:c r="AR39" s="1305" t="b">
        <x:f t="shared" si="21"/>
        <x:v>1</x:v>
      </x:c>
      <x:c r="AS39" s="1305">
        <x:f t="shared" si="22"/>
        <x:v>7.375</x:v>
      </x:c>
      <x:c r="AT39" s="1305" t="b">
        <x:f t="shared" si="23"/>
        <x:v>1</x:v>
      </x:c>
      <x:c r="AU39" s="1203" t="str">
        <x:f t="shared" si="24"/>
        <x:v>LH</x:v>
      </x:c>
      <x:c r="AV39" s="1063" t="str">
        <x:f t="shared" si="25"/>
        <x:v/>
      </x:c>
      <x:c r="AW39" s="1063" t="str">
        <x:f t="shared" si="26"/>
        <x:v>LH</x:v>
      </x:c>
      <x:c r="AX39" s="1063" t="str">
        <x:f t="shared" si="102"/>
        <x:v>TJ240</x:v>
      </x:c>
      <x:c r="AY39" s="1306" t="b">
        <x:f t="shared" si="27"/>
        <x:v>0</x:v>
      </x:c>
      <x:c r="AZ39" s="1090" t="b">
        <x:f t="shared" si="28"/>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29"/>
        <x:v/>
      </x:c>
      <x:c r="CE39" s="935" t="str">
        <x:f t="shared" si="30"/>
        <x:v/>
      </x:c>
      <x:c r="CF39" s="1149"/>
      <x:c r="CG39" s="1150"/>
      <x:c r="CH39" s="738" t="str">
        <x:f t="shared" si="31"/>
        <x:v/>
      </x:c>
      <x:c r="CI39" s="739" t="str">
        <x:f t="shared" si="32"/>
        <x:v/>
      </x:c>
      <x:c r="CJ39" s="740" t="str">
        <x:f t="shared" si="33"/>
        <x:v/>
      </x:c>
      <x:c r="CK39" s="741" t="str">
        <x:f t="shared" si="34"/>
        <x:v/>
      </x:c>
      <x:c r="CL39" s="742" t="str">
        <x:f t="shared" si="35"/>
        <x:v/>
      </x:c>
      <x:c r="CM39" s="743" t="str">
        <x:f t="shared" si="36"/>
        <x:v/>
      </x:c>
      <x:c r="CN39" s="744" t="str">
        <x:f t="shared" si="37"/>
        <x:v/>
      </x:c>
      <x:c r="CO39" s="745" t="str">
        <x:f t="shared" si="38"/>
        <x:v/>
      </x:c>
      <x:c r="CP39" s="762" t="str">
        <x:f t="shared" si="39"/>
        <x:v/>
      </x:c>
      <x:c r="CQ39" s="763" t="str">
        <x:f t="shared" si="40"/>
        <x:v/>
      </x:c>
      <x:c r="CR39" s="953">
        <x:f t="shared" si="41"/>
        <x:v>5</x:v>
      </x:c>
      <x:c r="CS39" s="954">
        <x:f t="shared" si="42"/>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3"/>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4"/>
        <x:v>0</x:v>
      </x:c>
      <x:c r="DO39" s="1049">
        <x:f t="shared" si="45"/>
        <x:v>0</x:v>
      </x:c>
      <x:c r="DP39" s="1053" t="str">
        <x:f t="shared" si="46"/>
        <x:v/>
      </x:c>
      <x:c r="DQ39" s="1053" t="str">
        <x:f t="shared" si="47"/>
        <x:v/>
      </x:c>
      <x:c r="DR39" s="1053" t="str">
        <x:f t="shared" si="48"/>
        <x:v/>
      </x:c>
      <x:c r="DS39" s="1052">
        <x:f t="shared" si="49"/>
        <x:v>0</x:v>
      </x:c>
      <x:c r="DT39" s="1052">
        <x:f t="shared" si="50"/>
        <x:v>0</x:v>
      </x:c>
      <x:c r="DU39" s="1052" t="str">
        <x:f t="shared" si="51"/>
        <x:v/>
      </x:c>
      <x:c r="DV39" s="1053" t="str">
        <x:f t="shared" si="52"/>
        <x:v/>
      </x:c>
      <x:c r="DW39" s="1053" t="str">
        <x:f t="shared" si="53"/>
        <x:v/>
      </x:c>
      <x:c r="DX39" s="1269">
        <x:f t="shared" si="54"/>
        <x:v>0</x:v>
      </x:c>
      <x:c r="DY39" s="1053">
        <x:f t="shared" si="55"/>
        <x:v>0</x:v>
      </x:c>
      <x:c r="DZ39" s="1052">
        <x:f t="shared" si="56"/>
        <x:v>0</x:v>
      </x:c>
      <x:c r="EA39" s="1052" t="str">
        <x:f t="shared" si="57"/>
        <x:v/>
      </x:c>
      <x:c r="EB39" s="1053" t="str">
        <x:f t="shared" si="58"/>
        <x:v/>
      </x:c>
      <x:c r="EC39" s="1053" t="str">
        <x:f t="shared" si="59"/>
        <x:v/>
      </x:c>
      <x:c r="ED39" s="1269">
        <x:f t="shared" si="60"/>
        <x:v>0</x:v>
      </x:c>
      <x:c r="EE39" s="1090" t="str">
        <x:f t="shared" si="61"/>
        <x:v/>
      </x:c>
      <x:c r="EF39" s="1053" t="str">
        <x:f t="shared" si="62"/>
        <x:v/>
      </x:c>
      <x:c r="EG39" s="1053" t="str">
        <x:f t="shared" si="63"/>
        <x:v/>
      </x:c>
      <x:c r="EH39" s="1053" t="str">
        <x:f t="shared" si="64"/>
        <x:v>ERR</x:v>
      </x:c>
      <x:c r="EI39" s="1053" t="str">
        <x:f t="shared" si="65"/>
        <x:v>ERR</x:v>
      </x:c>
      <x:c r="EJ39" s="1053" t="str">
        <x:f t="shared" si="66"/>
        <x:v/>
      </x:c>
      <x:c r="EK39" s="1053" t="str">
        <x:f t="shared" si="66"/>
        <x:v/>
      </x:c>
      <x:c r="EL39" s="1090" t="str">
        <x:f t="shared" si="67"/>
        <x:v/>
      </x:c>
      <x:c r="EM39" s="1053" t="str">
        <x:f t="shared" si="68"/>
        <x:v/>
      </x:c>
      <x:c r="EN39" s="1053" t="str">
        <x:f t="shared" si="69"/>
        <x:v/>
      </x:c>
      <x:c r="EO39" s="1053" t="str">
        <x:f t="shared" si="70"/>
        <x:v>ERR</x:v>
      </x:c>
      <x:c r="EP39" s="1053" t="str">
        <x:f t="shared" si="71"/>
        <x:v>ERR</x:v>
      </x:c>
      <x:c r="EQ39" s="1053" t="str">
        <x:f t="shared" si="72"/>
        <x:v/>
      </x:c>
      <x:c r="ER39" s="1053" t="str">
        <x:f t="shared" si="72"/>
        <x:v/>
      </x:c>
      <x:c r="ES39" s="1053" t="str">
        <x:f t="shared" si="73"/>
        <x:v/>
      </x:c>
      <x:c r="ET39" s="1053" t="str">
        <x:f t="shared" si="74"/>
        <x:v/>
      </x:c>
      <x:c r="EU39" s="1061">
        <x:f t="shared" si="75"/>
        <x:v>4</x:v>
      </x:c>
      <x:c r="EV39" s="1055" t="str">
        <x:f t="shared" si="76"/>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7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78"/>
        <x:v/>
      </x:c>
      <x:c r="FD39" s="1052">
        <x:f t="shared" si="103"/>
        <x:v>0</x:v>
      </x:c>
      <x:c r="FE39" s="1052">
        <x:f t="shared" si="79"/>
        <x:v>0</x:v>
      </x:c>
      <x:c r="FF39" s="1052">
        <x:f t="shared" si="80"/>
        <x:v>0</x:v>
      </x:c>
      <x:c r="FG39" s="1052" t="str">
        <x:f t="shared" si="81"/>
        <x:v/>
      </x:c>
      <x:c r="FH39" s="1053" t="str">
        <x:f t="shared" si="82"/>
        <x:v/>
      </x:c>
      <x:c r="FI39" s="1052">
        <x:f t="shared" si="104"/>
        <x:v>0</x:v>
      </x:c>
      <x:c r="FJ39" s="1052">
        <x:f t="shared" si="83"/>
        <x:v>0</x:v>
      </x:c>
      <x:c r="FK39" s="1052">
        <x:f t="shared" si="84"/>
        <x:v>0</x:v>
      </x:c>
      <x:c r="FL39" s="1052" t="str">
        <x:f t="shared" si="85"/>
        <x:v/>
      </x:c>
      <x:c r="FM39" s="1053" t="str">
        <x:f t="shared" si="86"/>
        <x:v/>
      </x:c>
      <x:c r="FN39" s="1053" t="e">
        <x:f t="shared" si="87"/>
        <x:v>#VALUE!</x:v>
      </x:c>
      <x:c r="FO39" s="1062" t="e">
        <x:f t="shared" si="88"/>
        <x:v>#VALUE!</x:v>
      </x:c>
      <x:c r="FP39" s="1062" t="e">
        <x:f t="shared" si="89"/>
        <x:v>#VALUE!</x:v>
      </x:c>
      <x:c r="FQ39" s="1063" t="e">
        <x:f t="shared" si="90"/>
        <x:v>#VALUE!</x:v>
      </x:c>
      <x:c r="FR39" s="1064" t="e">
        <x:f t="shared" si="91"/>
        <x:v>#VALUE!</x:v>
      </x:c>
      <x:c r="FS39" s="1065" t="str">
        <x:f t="shared" si="92"/>
        <x:v/>
      </x:c>
      <x:c r="FT39" s="1066" t="str">
        <x:f t="shared" si="93"/>
        <x:v/>
      </x:c>
      <x:c r="FU39" s="1105">
        <x:f t="shared" si="94"/>
        <x:v>0</x:v>
      </x:c>
      <x:c r="FV39" s="1106">
        <x:f t="shared" si="95"/>
        <x:v>0</x:v>
      </x:c>
      <x:c r="GA39" s="1975">
        <x:v>60</x:v>
      </x:c>
      <x:c r="GB39" s="1976">
        <x:v>0</x:v>
      </x:c>
      <x:c r="GC39" s="1977">
        <x:v>-0.25</x:v>
      </x:c>
      <x:c r="GD39" s="1978">
        <x:v>-0.25</x:v>
      </x:c>
      <x:c r="GE39" s="1979">
        <x:v>-0.25</x:v>
      </x:c>
      <x:c r="GF39" s="1980" t="str">
        <x:f t="shared" si="96"/>
        <x:v>TJ240</x:v>
      </x:c>
      <x:c r="GG39" s="1453"/>
      <x:c r="GH39" s="1454"/>
      <x:c r="GI39" s="1453"/>
      <x:c r="GJ39" s="1454"/>
      <x:c r="GK39" s="533">
        <x:f t="shared" si="97"/>
        <x:v>719.5</x:v>
      </x:c>
      <x:c r="GL39" s="534">
        <x:f t="shared" si="98"/>
        <x:v>719.65612455429505</x:v>
      </x:c>
      <x:c r="GM39" s="535">
        <x:f>IF(ABS(GK39-GL39)&gt;='Job Info.'!$L$22,ABS(GK39-GL39),0)</x:f>
        <x:v>0</x:v>
      </x:c>
      <x:c r="HA39" s="1658" t="s">
        <x:v>1564</x:v>
      </x:c>
      <x:c r="HB39" s="1659">
        <x:v>14</x:v>
      </x:c>
      <x:c r="HC39" s="1659" t="s">
        <x:v>1978</x:v>
      </x:c>
      <x:c r="HD39" s="1660">
        <x:v>59</x:v>
      </x:c>
      <x:c r="HE39" s="1661">
        <x:v>11.5</x:v>
      </x:c>
      <x:c r="HF39" s="1659">
        <x:v>0</x:v>
      </x:c>
      <x:c r="HG39" s="1659">
        <x:v>1.375</x:v>
      </x:c>
      <x:c r="HH39" s="1659" t="s">
        <x:v>114</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x:v>0</x:v>
      </x:c>
      <x:c r="HU39" s="1659">
        <x:v>2.25</x:v>
      </x:c>
      <x:c r="HV39" s="1659">
        <x:v>0</x:v>
      </x:c>
      <x:c r="HW39" s="1661">
        <x:v>2.25</x:v>
      </x:c>
      <x:c r="HX39" s="1661">
        <x:v>4</x:v>
      </x:c>
      <x:c r="HY39" s="1661" t="s">
        <x:v>117</x:v>
      </x:c>
      <x:c r="HZ39" s="1661" t="s">
        <x:v>117</x:v>
      </x:c>
      <x:c r="IA39" s="1661" t="s">
        <x:v>2095</x:v>
      </x:c>
      <x:c r="IB39" s="1661"/>
      <x:c r="IC39" s="1661"/>
      <x:c r="ID39" s="1661"/>
      <x:c r="IE39" s="1661"/>
      <x:c r="IF39" s="1663"/>
    </x:row>
    <x:row r="40" spans="1:240" ht="12.6" customHeight="1" x14ac:dyDescent="0.25">
      <x:c r="A40" s="1264" t="s">
        <x:v>1565</x:v>
      </x:c>
      <x:c r="B40" s="1265">
        <x:v>6</x:v>
      </x:c>
      <x:c r="C40" s="1265" t="s">
        <x:v>1978</x:v>
      </x:c>
      <x:c r="D40" s="1261">
        <x:v>59</x:v>
      </x:c>
      <x:c r="E40" s="1366">
        <x:v>10</x:v>
      </x:c>
      <x:c r="F40" s="1328">
        <x:v>0</x:v>
      </x:c>
      <x:c r="G40" s="1262">
        <x:v>0.625</x:v>
      </x:c>
      <x:c r="H40" s="1266" t="s">
        <x:v>114</x:v>
      </x:c>
      <x:c r="I40" s="1261">
        <x:v>0</x:v>
      </x:c>
      <x:c r="J40" s="1262">
        <x:v>0.625</x:v>
      </x:c>
      <x:c r="K40" s="1370" t="s">
        <x:v>114</x:v>
      </x:c>
      <x:c r="L40" s="1327">
        <x:v>3</x:v>
      </x:c>
      <x:c r="M40" s="1329">
        <x:v>3</x:v>
      </x:c>
      <x:c r="N40" s="1263">
        <x:v>0</x:v>
      </x:c>
      <x:c r="O40" s="1262">
        <x:v>6.75</x:v>
      </x:c>
      <x:c r="P40" s="1260">
        <x:v>2</x:v>
      </x:c>
      <x:c r="Q40" s="1261">
        <x:v>0</x:v>
      </x:c>
      <x:c r="R40" s="1262">
        <x:v>5.375</x:v>
      </x:c>
      <x:c r="S40" s="1375">
        <x:v>2</x:v>
      </x:c>
      <x:c r="T40" s="1328">
        <x:v>0</x:v>
      </x:c>
      <x:c r="U40" s="1262">
        <x:v>1.5</x:v>
      </x:c>
      <x:c r="V40" s="1261">
        <x:v>0</x:v>
      </x:c>
      <x:c r="W40" s="1262">
        <x:v>1.5</x:v>
      </x:c>
      <x:c r="X40" s="1329">
        <x:v>4</x:v>
      </x:c>
      <x:c r="Y40" s="1377" t="str">
        <x:f t="shared" si="7"/>
        <x:v/>
      </x:c>
      <x:c r="Z40" s="1378" t="str">
        <x:f t="shared" si="8"/>
        <x:v/>
      </x:c>
      <x:c r="AA40" s="2159" t="s">
        <x:v>2098</x:v>
      </x:c>
      <x:c r="AC40" s="1226" t="b">
        <x:v>0</x:v>
      </x:c>
      <x:c r="AD40" s="525">
        <x:f t="shared" si="9"/>
        <x:v>0</x:v>
      </x:c>
      <x:c r="AE40" s="526">
        <x:f t="shared" si="10"/>
        <x:v>6</x:v>
      </x:c>
      <x:c r="AF40" s="526">
        <x:f t="shared" si="11"/>
        <x:v>0</x:v>
      </x:c>
      <x:c r="AG40" s="526">
        <x:f t="shared" si="12"/>
        <x:v>0</x:v>
      </x:c>
      <x:c r="AH40" s="527">
        <x:f t="shared" si="13"/>
        <x:v>0</x:v>
      </x:c>
      <x:c r="AI40" s="528" t="b">
        <x:v>0</x:v>
      </x:c>
      <x:c r="AJ40" s="284">
        <x:f t="shared" si="14"/>
        <x:v>36</x:v>
      </x:c>
      <x:c r="AK40" s="1063" t="str">
        <x:f t="shared" si="15"/>
        <x:v>LH</x:v>
      </x:c>
      <x:c r="AL40" s="1202" t="str">
        <x:f t="shared" si="16"/>
        <x:v/>
      </x:c>
      <x:c r="AM40" s="1063">
        <x:f t="shared" si="17"/>
        <x:v>270</x:v>
      </x:c>
      <x:c r="AN40" s="1063">
        <x:f t="shared" si="18"/>
        <x:v>120</x:v>
      </x:c>
      <x:c r="AO40" s="1063" t="str">
        <x:f t="shared" si="19"/>
        <x:v/>
      </x:c>
      <x:c r="AP40" s="1063" t="b">
        <x:f>IF(ISERROR(AJ40),FALSE,IF(OR(AJ40=0,ISERROR(AL40),ISERROR(AM40),ISERROR(AN40),ISERROR(AO40)),FALSE,IF(AL40&lt;&gt;"",IF(ISERROR(VLOOKUP(SUBSTITUTE(SUBSTITUTE(C40,"R",""),"A",""),TblJoistSize!$A:$A,1,FALSE)),FALSE,TRUE),TRUE)))</x:f>
        <x:v>1</x:v>
      </x:c>
      <x:c r="AQ40" s="1305">
        <x:f t="shared" si="20"/>
        <x:v>6.625</x:v>
      </x:c>
      <x:c r="AR40" s="1305" t="b">
        <x:f t="shared" si="21"/>
        <x:v>1</x:v>
      </x:c>
      <x:c r="AS40" s="1305">
        <x:f t="shared" si="22"/>
        <x:v>6.625</x:v>
      </x:c>
      <x:c r="AT40" s="1305" t="b">
        <x:f t="shared" si="23"/>
        <x:v>1</x:v>
      </x:c>
      <x:c r="AU40" s="1203" t="str">
        <x:f t="shared" si="24"/>
        <x:v>LH</x:v>
      </x:c>
      <x:c r="AV40" s="1063" t="str">
        <x:f t="shared" si="25"/>
        <x:v/>
      </x:c>
      <x:c r="AW40" s="1063" t="str">
        <x:f t="shared" si="26"/>
        <x:v>LH</x:v>
      </x:c>
      <x:c r="AX40" s="1063" t="str">
        <x:f t="shared" si="102"/>
        <x:v>TJ241</x:v>
      </x:c>
      <x:c r="AY40" s="1306" t="b">
        <x:f t="shared" si="27"/>
        <x:v>0</x:v>
      </x:c>
      <x:c r="AZ40" s="1090" t="b">
        <x:f t="shared" si="28"/>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29"/>
        <x:v/>
      </x:c>
      <x:c r="CE40" s="935" t="str">
        <x:f t="shared" si="30"/>
        <x:v/>
      </x:c>
      <x:c r="CF40" s="1149"/>
      <x:c r="CG40" s="1150"/>
      <x:c r="CH40" s="738" t="str">
        <x:f t="shared" si="31"/>
        <x:v/>
      </x:c>
      <x:c r="CI40" s="739" t="str">
        <x:f t="shared" si="32"/>
        <x:v/>
      </x:c>
      <x:c r="CJ40" s="740" t="str">
        <x:f t="shared" si="33"/>
        <x:v/>
      </x:c>
      <x:c r="CK40" s="741" t="str">
        <x:f t="shared" si="34"/>
        <x:v/>
      </x:c>
      <x:c r="CL40" s="742" t="str">
        <x:f t="shared" si="35"/>
        <x:v/>
      </x:c>
      <x:c r="CM40" s="743" t="str">
        <x:f t="shared" si="36"/>
        <x:v/>
      </x:c>
      <x:c r="CN40" s="744" t="str">
        <x:f t="shared" si="37"/>
        <x:v/>
      </x:c>
      <x:c r="CO40" s="745" t="str">
        <x:f t="shared" si="38"/>
        <x:v/>
      </x:c>
      <x:c r="CP40" s="762" t="str">
        <x:f t="shared" si="39"/>
        <x:v/>
      </x:c>
      <x:c r="CQ40" s="763" t="str">
        <x:f t="shared" si="40"/>
        <x:v/>
      </x:c>
      <x:c r="CR40" s="953">
        <x:f t="shared" si="41"/>
        <x:v>5</x:v>
      </x:c>
      <x:c r="CS40" s="954">
        <x:f t="shared" si="42"/>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3"/>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4"/>
        <x:v>0</x:v>
      </x:c>
      <x:c r="DO40" s="1049">
        <x:f t="shared" si="45"/>
        <x:v>0</x:v>
      </x:c>
      <x:c r="DP40" s="1053" t="str">
        <x:f t="shared" si="46"/>
        <x:v/>
      </x:c>
      <x:c r="DQ40" s="1053" t="str">
        <x:f t="shared" si="47"/>
        <x:v/>
      </x:c>
      <x:c r="DR40" s="1053" t="str">
        <x:f t="shared" si="48"/>
        <x:v/>
      </x:c>
      <x:c r="DS40" s="1052">
        <x:f t="shared" si="49"/>
        <x:v>0</x:v>
      </x:c>
      <x:c r="DT40" s="1052">
        <x:f t="shared" si="50"/>
        <x:v>0</x:v>
      </x:c>
      <x:c r="DU40" s="1052" t="str">
        <x:f t="shared" si="51"/>
        <x:v/>
      </x:c>
      <x:c r="DV40" s="1053" t="str">
        <x:f t="shared" si="52"/>
        <x:v/>
      </x:c>
      <x:c r="DW40" s="1053" t="str">
        <x:f t="shared" si="53"/>
        <x:v/>
      </x:c>
      <x:c r="DX40" s="1269">
        <x:f t="shared" si="54"/>
        <x:v>0</x:v>
      </x:c>
      <x:c r="DY40" s="1053">
        <x:f t="shared" si="55"/>
        <x:v>0</x:v>
      </x:c>
      <x:c r="DZ40" s="1052">
        <x:f t="shared" si="56"/>
        <x:v>0</x:v>
      </x:c>
      <x:c r="EA40" s="1052" t="str">
        <x:f t="shared" si="57"/>
        <x:v/>
      </x:c>
      <x:c r="EB40" s="1053" t="str">
        <x:f t="shared" si="58"/>
        <x:v/>
      </x:c>
      <x:c r="EC40" s="1053" t="str">
        <x:f t="shared" si="59"/>
        <x:v/>
      </x:c>
      <x:c r="ED40" s="1269">
        <x:f t="shared" si="60"/>
        <x:v>0</x:v>
      </x:c>
      <x:c r="EE40" s="1090" t="str">
        <x:f t="shared" si="61"/>
        <x:v/>
      </x:c>
      <x:c r="EF40" s="1053" t="str">
        <x:f t="shared" si="62"/>
        <x:v/>
      </x:c>
      <x:c r="EG40" s="1053" t="str">
        <x:f t="shared" si="63"/>
        <x:v/>
      </x:c>
      <x:c r="EH40" s="1053" t="str">
        <x:f t="shared" si="64"/>
        <x:v>ERR</x:v>
      </x:c>
      <x:c r="EI40" s="1053" t="str">
        <x:f t="shared" si="65"/>
        <x:v>ERR</x:v>
      </x:c>
      <x:c r="EJ40" s="1053" t="str">
        <x:f t="shared" si="66"/>
        <x:v/>
      </x:c>
      <x:c r="EK40" s="1053" t="str">
        <x:f t="shared" si="66"/>
        <x:v/>
      </x:c>
      <x:c r="EL40" s="1090" t="str">
        <x:f t="shared" si="67"/>
        <x:v/>
      </x:c>
      <x:c r="EM40" s="1053" t="str">
        <x:f t="shared" si="68"/>
        <x:v/>
      </x:c>
      <x:c r="EN40" s="1053" t="str">
        <x:f t="shared" si="69"/>
        <x:v/>
      </x:c>
      <x:c r="EO40" s="1053" t="str">
        <x:f t="shared" si="70"/>
        <x:v>ERR</x:v>
      </x:c>
      <x:c r="EP40" s="1053" t="str">
        <x:f t="shared" si="71"/>
        <x:v>ERR</x:v>
      </x:c>
      <x:c r="EQ40" s="1053" t="str">
        <x:f t="shared" si="72"/>
        <x:v/>
      </x:c>
      <x:c r="ER40" s="1053" t="str">
        <x:f t="shared" si="72"/>
        <x:v/>
      </x:c>
      <x:c r="ES40" s="1053" t="str">
        <x:f t="shared" si="73"/>
        <x:v/>
      </x:c>
      <x:c r="ET40" s="1053" t="str">
        <x:f t="shared" si="74"/>
        <x:v/>
      </x:c>
      <x:c r="EU40" s="1061">
        <x:f t="shared" si="75"/>
        <x:v>4</x:v>
      </x:c>
      <x:c r="EV40" s="1055" t="str">
        <x:f t="shared" si="76"/>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77"/>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78"/>
        <x:v/>
      </x:c>
      <x:c r="FD40" s="1052">
        <x:f t="shared" si="103"/>
        <x:v>0</x:v>
      </x:c>
      <x:c r="FE40" s="1052">
        <x:f t="shared" si="79"/>
        <x:v>0</x:v>
      </x:c>
      <x:c r="FF40" s="1052">
        <x:f t="shared" si="80"/>
        <x:v>0</x:v>
      </x:c>
      <x:c r="FG40" s="1052" t="str">
        <x:f t="shared" si="81"/>
        <x:v/>
      </x:c>
      <x:c r="FH40" s="1053" t="str">
        <x:f t="shared" si="82"/>
        <x:v/>
      </x:c>
      <x:c r="FI40" s="1052">
        <x:f t="shared" si="104"/>
        <x:v>0</x:v>
      </x:c>
      <x:c r="FJ40" s="1052">
        <x:f t="shared" si="83"/>
        <x:v>0</x:v>
      </x:c>
      <x:c r="FK40" s="1052">
        <x:f t="shared" si="84"/>
        <x:v>0</x:v>
      </x:c>
      <x:c r="FL40" s="1052" t="str">
        <x:f t="shared" si="85"/>
        <x:v/>
      </x:c>
      <x:c r="FM40" s="1053" t="str">
        <x:f t="shared" si="86"/>
        <x:v/>
      </x:c>
      <x:c r="FN40" s="1053" t="e">
        <x:f t="shared" si="87"/>
        <x:v>#VALUE!</x:v>
      </x:c>
      <x:c r="FO40" s="1062" t="e">
        <x:f t="shared" si="88"/>
        <x:v>#VALUE!</x:v>
      </x:c>
      <x:c r="FP40" s="1062" t="e">
        <x:f t="shared" si="89"/>
        <x:v>#VALUE!</x:v>
      </x:c>
      <x:c r="FQ40" s="1063" t="e">
        <x:f t="shared" si="90"/>
        <x:v>#VALUE!</x:v>
      </x:c>
      <x:c r="FR40" s="1064" t="e">
        <x:f t="shared" si="91"/>
        <x:v>#VALUE!</x:v>
      </x:c>
      <x:c r="FS40" s="1065" t="str">
        <x:f t="shared" si="92"/>
        <x:v/>
      </x:c>
      <x:c r="FT40" s="1066" t="str">
        <x:f t="shared" si="93"/>
        <x:v/>
      </x:c>
      <x:c r="FU40" s="1105">
        <x:f t="shared" si="94"/>
        <x:v>0</x:v>
      </x:c>
      <x:c r="FV40" s="1106">
        <x:f t="shared" si="95"/>
        <x:v>0</x:v>
      </x:c>
      <x:c r="GA40" s="1975">
        <x:v>60</x:v>
      </x:c>
      <x:c r="GB40" s="1976">
        <x:v>0</x:v>
      </x:c>
      <x:c r="GC40" s="1977">
        <x:v>-1</x:v>
      </x:c>
      <x:c r="GD40" s="1978">
        <x:v>-1</x:v>
      </x:c>
      <x:c r="GE40" s="1979">
        <x:v>-0.25</x:v>
      </x:c>
      <x:c r="GF40" s="1980" t="str">
        <x:f t="shared" si="96"/>
        <x:v>TJ241</x:v>
      </x:c>
      <x:c r="GG40" s="1453"/>
      <x:c r="GH40" s="1454"/>
      <x:c r="GI40" s="1453"/>
      <x:c r="GJ40" s="1454"/>
      <x:c r="GK40" s="533">
        <x:f t="shared" si="97"/>
        <x:v>718</x:v>
      </x:c>
      <x:c r="GL40" s="534">
        <x:f t="shared" si="98"/>
        <x:v>718.15579906877531</x:v>
      </x:c>
      <x:c r="GM40" s="535">
        <x:f>IF(ABS(GK40-GL40)&gt;='Job Info.'!$L$22,ABS(GK40-GL40),0)</x:f>
        <x:v>0</x:v>
      </x:c>
      <x:c r="HA40" s="1658" t="s">
        <x:v>1565</x:v>
      </x:c>
      <x:c r="HB40" s="1659">
        <x:v>6</x:v>
      </x:c>
      <x:c r="HC40" s="1659" t="s">
        <x:v>1978</x:v>
      </x:c>
      <x:c r="HD40" s="1660">
        <x:v>59</x:v>
      </x:c>
      <x:c r="HE40" s="1661">
        <x:v>10</x:v>
      </x:c>
      <x:c r="HF40" s="1659">
        <x:v>0</x:v>
      </x:c>
      <x:c r="HG40" s="1659">
        <x:v>0.625</x:v>
      </x:c>
      <x:c r="HH40" s="1659" t="s">
        <x:v>114</x:v>
      </x:c>
      <x:c r="HI40" s="1662">
        <x:v>0</x:v>
      </x:c>
      <x:c r="HJ40" s="1659">
        <x:v>0.625</x:v>
      </x:c>
      <x:c r="HK40" s="1659" t="s">
        <x:v>114</x:v>
      </x:c>
      <x:c r="HL40" s="1659">
        <x:v>3</x:v>
      </x:c>
      <x:c r="HM40" s="1659">
        <x:v>3</x:v>
      </x:c>
      <x:c r="HN40" s="1659">
        <x:v>0</x:v>
      </x:c>
      <x:c r="HO40" s="1659">
        <x:v>6.75</x:v>
      </x:c>
      <x:c r="HP40" s="1659">
        <x:v>2</x:v>
      </x:c>
      <x:c r="HQ40" s="1662">
        <x:v>0</x:v>
      </x:c>
      <x:c r="HR40" s="1659">
        <x:v>5.375</x:v>
      </x:c>
      <x:c r="HS40" s="1659">
        <x:v>2</x:v>
      </x:c>
      <x:c r="HT40" s="1659">
        <x:v>0</x:v>
      </x:c>
      <x:c r="HU40" s="1659">
        <x:v>1.5</x:v>
      </x:c>
      <x:c r="HV40" s="1659">
        <x:v>0</x:v>
      </x:c>
      <x:c r="HW40" s="1661">
        <x:v>1.5</x:v>
      </x:c>
      <x:c r="HX40" s="1661">
        <x:v>4</x:v>
      </x:c>
      <x:c r="HY40" s="1661" t="s">
        <x:v>117</x:v>
      </x:c>
      <x:c r="HZ40" s="1661" t="s">
        <x:v>117</x:v>
      </x:c>
      <x:c r="IA40" s="1661" t="s">
        <x:v>2098</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ref="F41:F44" si="114">IF(DX41=0,"",TRUNC(DX41/12))</x:f>
        <x:v/>
      </x:c>
      <x:c r="G41" s="1262" t="str">
        <x:f t="shared" ref="G41:G44" si="115">IF(DX41=0,"",DX41-(F41*12))</x:f>
        <x:v/>
      </x:c>
      <x:c r="H41" s="1266" t="str">
        <x:f t="shared" ref="H41:H44" si="116">IF(DX41=0,"",CW41)</x:f>
        <x:v/>
      </x:c>
      <x:c r="I41" s="1261" t="str">
        <x:f t="shared" si="99"/>
        <x:v/>
      </x:c>
      <x:c r="J41" s="1262" t="str">
        <x:f t="shared" si="100"/>
        <x:v/>
      </x:c>
      <x:c r="K41" s="1370" t="str">
        <x:f t="shared" si="101"/>
        <x:v/>
      </x:c>
      <x:c r="L41" s="1327" t="str">
        <x:f t="shared" ref="L41:M44" si="117">DQ41</x:f>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105"/>
        <x:v/>
      </x:c>
      <x:c r="U41" s="1262" t="str">
        <x:f t="shared" si="106"/>
        <x:v/>
      </x:c>
      <x:c r="V41" s="1261" t="str">
        <x:f t="shared" si="107"/>
        <x:v/>
      </x:c>
      <x:c r="W41" s="1262" t="str">
        <x:f t="shared" si="108"/>
        <x:v/>
      </x:c>
      <x:c r="X41" s="1329">
        <x:f t="shared" si="109"/>
        <x:v>0</x:v>
      </x:c>
      <x:c r="Y41" s="1377" t="str">
        <x:f t="shared" si="7"/>
        <x:v/>
      </x:c>
      <x:c r="Z41" s="1378" t="str">
        <x:f t="shared" si="8"/>
        <x:v/>
      </x:c>
      <x:c r="AA41" s="2159"/>
      <x:c r="AC41" s="1226" t="b">
        <x:v>0</x:v>
      </x:c>
      <x:c r="AD41" s="525">
        <x:f t="shared" si="9"/>
        <x:v>0</x:v>
      </x:c>
      <x:c r="AE41" s="526">
        <x:f t="shared" si="10"/>
        <x:v>0</x:v>
      </x:c>
      <x:c r="AF41" s="526">
        <x:f t="shared" si="11"/>
        <x:v>0</x:v>
      </x:c>
      <x:c r="AG41" s="526">
        <x:f t="shared" si="12"/>
        <x:v>0</x:v>
      </x:c>
      <x:c r="AH41" s="527">
        <x:f t="shared" si="13"/>
        <x:v>0</x:v>
      </x:c>
      <x:c r="AI41" s="528" t="b">
        <x:v>0</x:v>
      </x:c>
      <x:c r="AJ41" s="284">
        <x:f t="shared" si="14"/>
        <x:v>0</x:v>
      </x:c>
      <x:c r="AK41" s="1063" t="str">
        <x:f t="shared" si="15"/>
        <x:v/>
      </x:c>
      <x:c r="AL41" s="1202" t="str">
        <x:f t="shared" si="16"/>
        <x:v/>
      </x:c>
      <x:c r="AM41" s="1063" t="str">
        <x:f t="shared" si="17"/>
        <x:v/>
      </x:c>
      <x:c r="AN41" s="1063" t="str">
        <x:f t="shared" si="18"/>
        <x:v/>
      </x:c>
      <x:c r="AO41" s="1063" t="str">
        <x:f t="shared" si="19"/>
        <x:v/>
      </x:c>
      <x:c r="AP41" s="1063" t="b">
        <x:f>IF(ISERROR(AJ41),FALSE,IF(OR(AJ41=0,ISERROR(AL41),ISERROR(AM41),ISERROR(AN41),ISERROR(AO41)),FALSE,IF(AL41&lt;&gt;"",IF(ISERROR(VLOOKUP(SUBSTITUTE(SUBSTITUTE(C41,"R",""),"A",""),TblJoistSize!$A:$A,1,FALSE)),FALSE,TRUE),TRUE)))</x:f>
        <x:v>0</x:v>
      </x:c>
      <x:c r="AQ41" s="1305" t="e">
        <x:f t="shared" si="20"/>
        <x:v>#N/A</x:v>
      </x:c>
      <x:c r="AR41" s="1305" t="b">
        <x:f t="shared" si="21"/>
        <x:v>0</x:v>
      </x:c>
      <x:c r="AS41" s="1305" t="e">
        <x:f t="shared" si="22"/>
        <x:v>#N/A</x:v>
      </x:c>
      <x:c r="AT41" s="1305" t="b">
        <x:f t="shared" si="23"/>
        <x:v>0</x:v>
      </x:c>
      <x:c r="AU41" s="1203" t="str">
        <x:f t="shared" si="24"/>
        <x:v/>
      </x:c>
      <x:c r="AV41" s="1063" t="str">
        <x:f t="shared" si="25"/>
        <x:v/>
      </x:c>
      <x:c r="AW41" s="1063" t="str">
        <x:f t="shared" si="26"/>
        <x:v/>
      </x:c>
      <x:c r="AX41" s="1063" t="str">
        <x:f t="shared" si="102"/>
        <x:v/>
      </x:c>
      <x:c r="AY41" s="1306" t="b">
        <x:f t="shared" si="27"/>
        <x:v>0</x:v>
      </x:c>
      <x:c r="AZ41" s="1090" t="str">
        <x:f t="shared" si="28"/>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29"/>
        <x:v/>
      </x:c>
      <x:c r="CE41" s="935" t="str">
        <x:f t="shared" si="30"/>
        <x:v/>
      </x:c>
      <x:c r="CF41" s="1149"/>
      <x:c r="CG41" s="1150"/>
      <x:c r="CH41" s="738" t="str">
        <x:f t="shared" si="31"/>
        <x:v/>
      </x:c>
      <x:c r="CI41" s="739" t="str">
        <x:f t="shared" si="32"/>
        <x:v/>
      </x:c>
      <x:c r="CJ41" s="740" t="str">
        <x:f t="shared" si="33"/>
        <x:v/>
      </x:c>
      <x:c r="CK41" s="741" t="str">
        <x:f t="shared" si="34"/>
        <x:v/>
      </x:c>
      <x:c r="CL41" s="742" t="str">
        <x:f t="shared" si="35"/>
        <x:v/>
      </x:c>
      <x:c r="CM41" s="743" t="str">
        <x:f t="shared" si="36"/>
        <x:v/>
      </x:c>
      <x:c r="CN41" s="744" t="str">
        <x:f t="shared" si="37"/>
        <x:v/>
      </x:c>
      <x:c r="CO41" s="745" t="str">
        <x:f t="shared" si="38"/>
        <x:v/>
      </x:c>
      <x:c r="CP41" s="762" t="str">
        <x:f t="shared" si="39"/>
        <x:v/>
      </x:c>
      <x:c r="CQ41" s="763" t="str">
        <x:f t="shared" si="40"/>
        <x:v/>
      </x:c>
      <x:c r="CR41" s="953" t="str">
        <x:f t="shared" si="41"/>
        <x:v/>
      </x:c>
      <x:c r="CS41" s="954" t="str">
        <x:f t="shared" si="42"/>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3"/>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4"/>
        <x:v>0</x:v>
      </x:c>
      <x:c r="DO41" s="1049">
        <x:f t="shared" si="45"/>
        <x:v>0</x:v>
      </x:c>
      <x:c r="DP41" s="1053" t="str">
        <x:f t="shared" si="46"/>
        <x:v/>
      </x:c>
      <x:c r="DQ41" s="1053" t="str">
        <x:f t="shared" si="47"/>
        <x:v/>
      </x:c>
      <x:c r="DR41" s="1053" t="str">
        <x:f t="shared" si="48"/>
        <x:v/>
      </x:c>
      <x:c r="DS41" s="1052">
        <x:f t="shared" si="49"/>
        <x:v>0</x:v>
      </x:c>
      <x:c r="DT41" s="1052">
        <x:f t="shared" si="50"/>
        <x:v>0</x:v>
      </x:c>
      <x:c r="DU41" s="1052" t="str">
        <x:f t="shared" si="51"/>
        <x:v/>
      </x:c>
      <x:c r="DV41" s="1053" t="str">
        <x:f t="shared" si="52"/>
        <x:v/>
      </x:c>
      <x:c r="DW41" s="1053" t="str">
        <x:f t="shared" si="53"/>
        <x:v/>
      </x:c>
      <x:c r="DX41" s="1269">
        <x:f t="shared" si="54"/>
        <x:v>0</x:v>
      </x:c>
      <x:c r="DY41" s="1053">
        <x:f t="shared" si="55"/>
        <x:v>0</x:v>
      </x:c>
      <x:c r="DZ41" s="1052">
        <x:f t="shared" si="56"/>
        <x:v>0</x:v>
      </x:c>
      <x:c r="EA41" s="1052" t="str">
        <x:f t="shared" si="57"/>
        <x:v/>
      </x:c>
      <x:c r="EB41" s="1053" t="str">
        <x:f t="shared" si="58"/>
        <x:v/>
      </x:c>
      <x:c r="EC41" s="1053" t="str">
        <x:f t="shared" si="59"/>
        <x:v/>
      </x:c>
      <x:c r="ED41" s="1269">
        <x:f t="shared" si="60"/>
        <x:v>0</x:v>
      </x:c>
      <x:c r="EE41" s="1090" t="str">
        <x:f t="shared" si="61"/>
        <x:v/>
      </x:c>
      <x:c r="EF41" s="1053" t="str">
        <x:f t="shared" si="62"/>
        <x:v/>
      </x:c>
      <x:c r="EG41" s="1053" t="str">
        <x:f t="shared" si="63"/>
        <x:v/>
      </x:c>
      <x:c r="EH41" s="1053" t="e">
        <x:f t="shared" si="64"/>
        <x:v>#N/A</x:v>
      </x:c>
      <x:c r="EI41" s="1053" t="e">
        <x:f t="shared" si="65"/>
        <x:v>#N/A</x:v>
      </x:c>
      <x:c r="EJ41" s="1053" t="str">
        <x:f t="shared" si="66"/>
        <x:v/>
      </x:c>
      <x:c r="EK41" s="1053" t="str">
        <x:f t="shared" si="66"/>
        <x:v/>
      </x:c>
      <x:c r="EL41" s="1090" t="str">
        <x:f t="shared" si="67"/>
        <x:v/>
      </x:c>
      <x:c r="EM41" s="1053" t="str">
        <x:f t="shared" si="68"/>
        <x:v/>
      </x:c>
      <x:c r="EN41" s="1053" t="str">
        <x:f t="shared" si="69"/>
        <x:v/>
      </x:c>
      <x:c r="EO41" s="1053" t="e">
        <x:f t="shared" si="70"/>
        <x:v>#N/A</x:v>
      </x:c>
      <x:c r="EP41" s="1053" t="e">
        <x:f t="shared" si="71"/>
        <x:v>#N/A</x:v>
      </x:c>
      <x:c r="EQ41" s="1053" t="str">
        <x:f t="shared" si="72"/>
        <x:v/>
      </x:c>
      <x:c r="ER41" s="1053" t="str">
        <x:f t="shared" si="72"/>
        <x:v/>
      </x:c>
      <x:c r="ES41" s="1053" t="str">
        <x:f t="shared" si="73"/>
        <x:v/>
      </x:c>
      <x:c r="ET41" s="1053" t="str">
        <x:f t="shared" si="74"/>
        <x:v/>
      </x:c>
      <x:c r="EU41" s="1061" t="str">
        <x:f t="shared" si="75"/>
        <x:v/>
      </x:c>
      <x:c r="EV41" s="1055" t="str">
        <x:f t="shared" si="76"/>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77"/>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78"/>
        <x:v/>
      </x:c>
      <x:c r="FD41" s="1052">
        <x:f t="shared" si="103"/>
        <x:v>0</x:v>
      </x:c>
      <x:c r="FE41" s="1052">
        <x:f t="shared" si="79"/>
        <x:v>0</x:v>
      </x:c>
      <x:c r="FF41" s="1052">
        <x:f t="shared" si="80"/>
        <x:v>0</x:v>
      </x:c>
      <x:c r="FG41" s="1052" t="str">
        <x:f t="shared" si="81"/>
        <x:v/>
      </x:c>
      <x:c r="FH41" s="1053" t="str">
        <x:f t="shared" si="82"/>
        <x:v/>
      </x:c>
      <x:c r="FI41" s="1052">
        <x:f t="shared" si="104"/>
        <x:v>0</x:v>
      </x:c>
      <x:c r="FJ41" s="1052">
        <x:f t="shared" si="83"/>
        <x:v>0</x:v>
      </x:c>
      <x:c r="FK41" s="1052">
        <x:f t="shared" si="84"/>
        <x:v>0</x:v>
      </x:c>
      <x:c r="FL41" s="1052" t="str">
        <x:f t="shared" si="85"/>
        <x:v/>
      </x:c>
      <x:c r="FM41" s="1053" t="str">
        <x:f t="shared" si="86"/>
        <x:v/>
      </x:c>
      <x:c r="FN41" s="1053" t="e">
        <x:f t="shared" si="87"/>
        <x:v>#VALUE!</x:v>
      </x:c>
      <x:c r="FO41" s="1062" t="e">
        <x:f t="shared" si="88"/>
        <x:v>#VALUE!</x:v>
      </x:c>
      <x:c r="FP41" s="1062" t="e">
        <x:f t="shared" si="89"/>
        <x:v>#VALUE!</x:v>
      </x:c>
      <x:c r="FQ41" s="1063" t="e">
        <x:f t="shared" si="90"/>
        <x:v>#VALUE!</x:v>
      </x:c>
      <x:c r="FR41" s="1064" t="e">
        <x:f t="shared" si="91"/>
        <x:v>#VALUE!</x:v>
      </x:c>
      <x:c r="FS41" s="1065" t="str">
        <x:f t="shared" si="92"/>
        <x:v/>
      </x:c>
      <x:c r="FT41" s="1066" t="str">
        <x:f t="shared" si="93"/>
        <x:v/>
      </x:c>
      <x:c r="FU41" s="1105">
        <x:f t="shared" si="94"/>
        <x:v>0</x:v>
      </x:c>
      <x:c r="FV41" s="1106">
        <x:f t="shared" si="95"/>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96"/>
        <x:v/>
      </x:c>
      <x:c r="GG41" s="1453"/>
      <x:c r="GH41" s="1454"/>
      <x:c r="GI41" s="1453"/>
      <x:c r="GJ41" s="1454"/>
      <x:c r="GK41" s="533">
        <x:f t="shared" si="97"/>
        <x:v>0</x:v>
      </x:c>
      <x:c r="GL41" s="534" t="e">
        <x:f t="shared" si="98"/>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14"/>
        <x:v/>
      </x:c>
      <x:c r="G42" s="1262" t="str">
        <x:f t="shared" si="115"/>
        <x:v/>
      </x:c>
      <x:c r="H42" s="1266" t="str">
        <x:f t="shared" si="116"/>
        <x:v/>
      </x:c>
      <x:c r="I42" s="1261" t="str">
        <x:f t="shared" si="99"/>
        <x:v/>
      </x:c>
      <x:c r="J42" s="1262" t="str">
        <x:f t="shared" si="100"/>
        <x:v/>
      </x:c>
      <x:c r="K42" s="1370" t="str">
        <x:f t="shared" si="101"/>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105"/>
        <x:v/>
      </x:c>
      <x:c r="U42" s="1262" t="str">
        <x:f t="shared" si="106"/>
        <x:v/>
      </x:c>
      <x:c r="V42" s="1261" t="str">
        <x:f t="shared" si="107"/>
        <x:v/>
      </x:c>
      <x:c r="W42" s="1262" t="str">
        <x:f t="shared" si="108"/>
        <x:v/>
      </x:c>
      <x:c r="X42" s="1329">
        <x:f t="shared" si="109"/>
        <x:v>0</x:v>
      </x:c>
      <x:c r="Y42" s="1377" t="str">
        <x:f t="shared" si="7"/>
        <x:v/>
      </x:c>
      <x:c r="Z42" s="1378" t="str">
        <x:f t="shared" si="8"/>
        <x:v/>
      </x:c>
      <x:c r="AA42" s="2159"/>
      <x:c r="AC42" s="1226" t="b">
        <x:v>0</x:v>
      </x:c>
      <x:c r="AD42" s="525">
        <x:f t="shared" si="9"/>
        <x:v>0</x:v>
      </x:c>
      <x:c r="AE42" s="526">
        <x:f t="shared" si="10"/>
        <x:v>0</x:v>
      </x:c>
      <x:c r="AF42" s="526">
        <x:f t="shared" si="11"/>
        <x:v>0</x:v>
      </x:c>
      <x:c r="AG42" s="526">
        <x:f t="shared" si="12"/>
        <x:v>0</x:v>
      </x:c>
      <x:c r="AH42" s="527">
        <x:f t="shared" si="13"/>
        <x:v>0</x:v>
      </x:c>
      <x:c r="AI42" s="528" t="b">
        <x:v>0</x:v>
      </x:c>
      <x:c r="AJ42" s="284">
        <x:f t="shared" si="14"/>
        <x:v>0</x:v>
      </x:c>
      <x:c r="AK42" s="1063" t="str">
        <x:f t="shared" si="15"/>
        <x:v/>
      </x:c>
      <x:c r="AL42" s="1202" t="str">
        <x:f t="shared" si="16"/>
        <x:v/>
      </x:c>
      <x:c r="AM42" s="1063" t="str">
        <x:f t="shared" si="17"/>
        <x:v/>
      </x:c>
      <x:c r="AN42" s="1063" t="str">
        <x:f t="shared" si="18"/>
        <x:v/>
      </x:c>
      <x:c r="AO42" s="1063" t="str">
        <x:f t="shared" si="19"/>
        <x:v/>
      </x:c>
      <x:c r="AP42" s="1063" t="b">
        <x:f>IF(ISERROR(AJ42),FALSE,IF(OR(AJ42=0,ISERROR(AL42),ISERROR(AM42),ISERROR(AN42),ISERROR(AO42)),FALSE,IF(AL42&lt;&gt;"",IF(ISERROR(VLOOKUP(SUBSTITUTE(SUBSTITUTE(C42,"R",""),"A",""),TblJoistSize!$A:$A,1,FALSE)),FALSE,TRUE),TRUE)))</x:f>
        <x:v>0</x:v>
      </x:c>
      <x:c r="AQ42" s="1305" t="e">
        <x:f t="shared" si="20"/>
        <x:v>#N/A</x:v>
      </x:c>
      <x:c r="AR42" s="1305" t="b">
        <x:f t="shared" si="21"/>
        <x:v>0</x:v>
      </x:c>
      <x:c r="AS42" s="1305" t="e">
        <x:f t="shared" si="22"/>
        <x:v>#N/A</x:v>
      </x:c>
      <x:c r="AT42" s="1305" t="b">
        <x:f t="shared" si="23"/>
        <x:v>0</x:v>
      </x:c>
      <x:c r="AU42" s="1203" t="str">
        <x:f t="shared" si="24"/>
        <x:v/>
      </x:c>
      <x:c r="AV42" s="1063" t="str">
        <x:f t="shared" si="25"/>
        <x:v/>
      </x:c>
      <x:c r="AW42" s="1063" t="str">
        <x:f t="shared" si="26"/>
        <x:v/>
      </x:c>
      <x:c r="AX42" s="1063" t="str">
        <x:f t="shared" si="102"/>
        <x:v/>
      </x:c>
      <x:c r="AY42" s="1306" t="b">
        <x:f t="shared" si="27"/>
        <x:v>0</x:v>
      </x:c>
      <x:c r="AZ42" s="1090" t="str">
        <x:f t="shared" si="28"/>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29"/>
        <x:v/>
      </x:c>
      <x:c r="CE42" s="935" t="str">
        <x:f t="shared" si="30"/>
        <x:v/>
      </x:c>
      <x:c r="CF42" s="1149"/>
      <x:c r="CG42" s="1150"/>
      <x:c r="CH42" s="738" t="str">
        <x:f t="shared" si="31"/>
        <x:v/>
      </x:c>
      <x:c r="CI42" s="739" t="str">
        <x:f t="shared" si="32"/>
        <x:v/>
      </x:c>
      <x:c r="CJ42" s="740" t="str">
        <x:f t="shared" si="33"/>
        <x:v/>
      </x:c>
      <x:c r="CK42" s="741" t="str">
        <x:f t="shared" si="34"/>
        <x:v/>
      </x:c>
      <x:c r="CL42" s="742" t="str">
        <x:f t="shared" si="35"/>
        <x:v/>
      </x:c>
      <x:c r="CM42" s="743" t="str">
        <x:f t="shared" si="36"/>
        <x:v/>
      </x:c>
      <x:c r="CN42" s="744" t="str">
        <x:f t="shared" si="37"/>
        <x:v/>
      </x:c>
      <x:c r="CO42" s="745" t="str">
        <x:f t="shared" si="38"/>
        <x:v/>
      </x:c>
      <x:c r="CP42" s="762" t="str">
        <x:f t="shared" si="39"/>
        <x:v/>
      </x:c>
      <x:c r="CQ42" s="763" t="str">
        <x:f t="shared" si="40"/>
        <x:v/>
      </x:c>
      <x:c r="CR42" s="953" t="str">
        <x:f t="shared" si="41"/>
        <x:v/>
      </x:c>
      <x:c r="CS42" s="954" t="str">
        <x:f t="shared" si="42"/>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3"/>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4"/>
        <x:v>0</x:v>
      </x:c>
      <x:c r="DO42" s="1049">
        <x:f t="shared" si="45"/>
        <x:v>0</x:v>
      </x:c>
      <x:c r="DP42" s="1053" t="str">
        <x:f t="shared" si="46"/>
        <x:v/>
      </x:c>
      <x:c r="DQ42" s="1053" t="str">
        <x:f t="shared" si="47"/>
        <x:v/>
      </x:c>
      <x:c r="DR42" s="1053" t="str">
        <x:f t="shared" si="48"/>
        <x:v/>
      </x:c>
      <x:c r="DS42" s="1052">
        <x:f t="shared" si="49"/>
        <x:v>0</x:v>
      </x:c>
      <x:c r="DT42" s="1052">
        <x:f t="shared" si="50"/>
        <x:v>0</x:v>
      </x:c>
      <x:c r="DU42" s="1052" t="str">
        <x:f t="shared" si="51"/>
        <x:v/>
      </x:c>
      <x:c r="DV42" s="1053" t="str">
        <x:f t="shared" si="52"/>
        <x:v/>
      </x:c>
      <x:c r="DW42" s="1053" t="str">
        <x:f t="shared" si="53"/>
        <x:v/>
      </x:c>
      <x:c r="DX42" s="1269">
        <x:f t="shared" si="54"/>
        <x:v>0</x:v>
      </x:c>
      <x:c r="DY42" s="1053">
        <x:f t="shared" si="55"/>
        <x:v>0</x:v>
      </x:c>
      <x:c r="DZ42" s="1052">
        <x:f t="shared" si="56"/>
        <x:v>0</x:v>
      </x:c>
      <x:c r="EA42" s="1052" t="str">
        <x:f t="shared" si="57"/>
        <x:v/>
      </x:c>
      <x:c r="EB42" s="1053" t="str">
        <x:f t="shared" si="58"/>
        <x:v/>
      </x:c>
      <x:c r="EC42" s="1053" t="str">
        <x:f t="shared" si="59"/>
        <x:v/>
      </x:c>
      <x:c r="ED42" s="1269">
        <x:f t="shared" si="60"/>
        <x:v>0</x:v>
      </x:c>
      <x:c r="EE42" s="1090" t="str">
        <x:f t="shared" si="61"/>
        <x:v/>
      </x:c>
      <x:c r="EF42" s="1053" t="str">
        <x:f t="shared" si="62"/>
        <x:v/>
      </x:c>
      <x:c r="EG42" s="1053" t="str">
        <x:f t="shared" si="63"/>
        <x:v/>
      </x:c>
      <x:c r="EH42" s="1053" t="e">
        <x:f t="shared" si="64"/>
        <x:v>#N/A</x:v>
      </x:c>
      <x:c r="EI42" s="1053" t="e">
        <x:f t="shared" si="65"/>
        <x:v>#N/A</x:v>
      </x:c>
      <x:c r="EJ42" s="1053" t="str">
        <x:f t="shared" si="66"/>
        <x:v/>
      </x:c>
      <x:c r="EK42" s="1053" t="str">
        <x:f t="shared" si="66"/>
        <x:v/>
      </x:c>
      <x:c r="EL42" s="1090" t="str">
        <x:f t="shared" si="67"/>
        <x:v/>
      </x:c>
      <x:c r="EM42" s="1053" t="str">
        <x:f t="shared" si="68"/>
        <x:v/>
      </x:c>
      <x:c r="EN42" s="1053" t="str">
        <x:f t="shared" si="69"/>
        <x:v/>
      </x:c>
      <x:c r="EO42" s="1053" t="e">
        <x:f t="shared" si="70"/>
        <x:v>#N/A</x:v>
      </x:c>
      <x:c r="EP42" s="1053" t="e">
        <x:f t="shared" si="71"/>
        <x:v>#N/A</x:v>
      </x:c>
      <x:c r="EQ42" s="1053" t="str">
        <x:f t="shared" si="72"/>
        <x:v/>
      </x:c>
      <x:c r="ER42" s="1053" t="str">
        <x:f t="shared" si="72"/>
        <x:v/>
      </x:c>
      <x:c r="ES42" s="1053" t="str">
        <x:f t="shared" si="73"/>
        <x:v/>
      </x:c>
      <x:c r="ET42" s="1053" t="str">
        <x:f t="shared" si="74"/>
        <x:v/>
      </x:c>
      <x:c r="EU42" s="1061" t="str">
        <x:f t="shared" si="75"/>
        <x:v/>
      </x:c>
      <x:c r="EV42" s="1055" t="str">
        <x:f t="shared" si="76"/>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77"/>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78"/>
        <x:v/>
      </x:c>
      <x:c r="FD42" s="1052">
        <x:f t="shared" si="103"/>
        <x:v>0</x:v>
      </x:c>
      <x:c r="FE42" s="1052">
        <x:f t="shared" si="79"/>
        <x:v>0</x:v>
      </x:c>
      <x:c r="FF42" s="1052">
        <x:f t="shared" si="80"/>
        <x:v>0</x:v>
      </x:c>
      <x:c r="FG42" s="1052" t="str">
        <x:f t="shared" si="81"/>
        <x:v/>
      </x:c>
      <x:c r="FH42" s="1053" t="str">
        <x:f t="shared" si="82"/>
        <x:v/>
      </x:c>
      <x:c r="FI42" s="1052">
        <x:f t="shared" si="104"/>
        <x:v>0</x:v>
      </x:c>
      <x:c r="FJ42" s="1052">
        <x:f t="shared" si="83"/>
        <x:v>0</x:v>
      </x:c>
      <x:c r="FK42" s="1052">
        <x:f t="shared" si="84"/>
        <x:v>0</x:v>
      </x:c>
      <x:c r="FL42" s="1052" t="str">
        <x:f t="shared" si="85"/>
        <x:v/>
      </x:c>
      <x:c r="FM42" s="1053" t="str">
        <x:f t="shared" si="86"/>
        <x:v/>
      </x:c>
      <x:c r="FN42" s="1053" t="e">
        <x:f t="shared" si="87"/>
        <x:v>#VALUE!</x:v>
      </x:c>
      <x:c r="FO42" s="1062" t="e">
        <x:f t="shared" si="88"/>
        <x:v>#VALUE!</x:v>
      </x:c>
      <x:c r="FP42" s="1062" t="e">
        <x:f t="shared" si="89"/>
        <x:v>#VALUE!</x:v>
      </x:c>
      <x:c r="FQ42" s="1063" t="e">
        <x:f t="shared" si="90"/>
        <x:v>#VALUE!</x:v>
      </x:c>
      <x:c r="FR42" s="1064" t="e">
        <x:f t="shared" si="91"/>
        <x:v>#VALUE!</x:v>
      </x:c>
      <x:c r="FS42" s="1065" t="str">
        <x:f t="shared" si="92"/>
        <x:v/>
      </x:c>
      <x:c r="FT42" s="1066" t="str">
        <x:f t="shared" si="93"/>
        <x:v/>
      </x:c>
      <x:c r="FU42" s="1105">
        <x:f t="shared" si="94"/>
        <x:v>0</x:v>
      </x:c>
      <x:c r="FV42" s="1106">
        <x:f t="shared" si="95"/>
        <x:v>0</x:v>
      </x:c>
      <x:c r="GA42" s="1975" t="str">
        <x:f t="shared" si="118"/>
        <x:v/>
      </x:c>
      <x:c r="GB42" s="1976" t="str">
        <x:f t="shared" si="119"/>
        <x:v/>
      </x:c>
      <x:c r="GC42" s="1977" t="str">
        <x:f t="shared" si="120"/>
        <x:v/>
      </x:c>
      <x:c r="GD42" s="1978" t="str">
        <x:f t="shared" si="121"/>
        <x:v/>
      </x:c>
      <x:c r="GE42" s="1979" t="str">
        <x:f t="shared" si="122"/>
        <x:v/>
      </x:c>
      <x:c r="GF42" s="1980" t="str">
        <x:f t="shared" si="96"/>
        <x:v/>
      </x:c>
      <x:c r="GG42" s="1453"/>
      <x:c r="GH42" s="1454"/>
      <x:c r="GI42" s="1453"/>
      <x:c r="GJ42" s="1454"/>
      <x:c r="GK42" s="533">
        <x:f t="shared" si="97"/>
        <x:v>0</x:v>
      </x:c>
      <x:c r="GL42" s="534" t="e">
        <x:f t="shared" si="98"/>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14"/>
        <x:v/>
      </x:c>
      <x:c r="G43" s="1262" t="str">
        <x:f t="shared" si="115"/>
        <x:v/>
      </x:c>
      <x:c r="H43" s="1266" t="str">
        <x:f t="shared" si="116"/>
        <x:v/>
      </x:c>
      <x:c r="I43" s="1261" t="str">
        <x:f t="shared" si="99"/>
        <x:v/>
      </x:c>
      <x:c r="J43" s="1262" t="str">
        <x:f t="shared" si="100"/>
        <x:v/>
      </x:c>
      <x:c r="K43" s="1370" t="str">
        <x:f t="shared" si="101"/>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105"/>
        <x:v/>
      </x:c>
      <x:c r="U43" s="1262" t="str">
        <x:f t="shared" si="106"/>
        <x:v/>
      </x:c>
      <x:c r="V43" s="1261" t="str">
        <x:f t="shared" si="107"/>
        <x:v/>
      </x:c>
      <x:c r="W43" s="1262" t="str">
        <x:f t="shared" si="108"/>
        <x:v/>
      </x:c>
      <x:c r="X43" s="1329">
        <x:f t="shared" si="109"/>
        <x:v>0</x:v>
      </x:c>
      <x:c r="Y43" s="1377" t="str">
        <x:f t="shared" si="7"/>
        <x:v/>
      </x:c>
      <x:c r="Z43" s="1378" t="str">
        <x:f t="shared" si="8"/>
        <x:v/>
      </x:c>
      <x:c r="AA43" s="2159"/>
      <x:c r="AC43" s="1226" t="b">
        <x:v>0</x:v>
      </x:c>
      <x:c r="AD43" s="525">
        <x:f t="shared" si="9"/>
        <x:v>0</x:v>
      </x:c>
      <x:c r="AE43" s="526">
        <x:f t="shared" si="10"/>
        <x:v>0</x:v>
      </x:c>
      <x:c r="AF43" s="526">
        <x:f t="shared" si="11"/>
        <x:v>0</x:v>
      </x:c>
      <x:c r="AG43" s="526">
        <x:f t="shared" si="12"/>
        <x:v>0</x:v>
      </x:c>
      <x:c r="AH43" s="527">
        <x:f t="shared" si="13"/>
        <x:v>0</x:v>
      </x:c>
      <x:c r="AI43" s="528" t="b">
        <x:v>0</x:v>
      </x:c>
      <x:c r="AJ43" s="284">
        <x:f t="shared" si="14"/>
        <x:v>0</x:v>
      </x:c>
      <x:c r="AK43" s="1063" t="str">
        <x:f t="shared" si="15"/>
        <x:v/>
      </x:c>
      <x:c r="AL43" s="1202" t="str">
        <x:f t="shared" si="16"/>
        <x:v/>
      </x:c>
      <x:c r="AM43" s="1063" t="str">
        <x:f t="shared" si="17"/>
        <x:v/>
      </x:c>
      <x:c r="AN43" s="1063" t="str">
        <x:f t="shared" si="18"/>
        <x:v/>
      </x:c>
      <x:c r="AO43" s="1063" t="str">
        <x:f t="shared" si="19"/>
        <x:v/>
      </x:c>
      <x:c r="AP43" s="1063" t="b">
        <x:f>IF(ISERROR(AJ43),FALSE,IF(OR(AJ43=0,ISERROR(AL43),ISERROR(AM43),ISERROR(AN43),ISERROR(AO43)),FALSE,IF(AL43&lt;&gt;"",IF(ISERROR(VLOOKUP(SUBSTITUTE(SUBSTITUTE(C43,"R",""),"A",""),TblJoistSize!$A:$A,1,FALSE)),FALSE,TRUE),TRUE)))</x:f>
        <x:v>0</x:v>
      </x:c>
      <x:c r="AQ43" s="1305" t="e">
        <x:f t="shared" si="20"/>
        <x:v>#N/A</x:v>
      </x:c>
      <x:c r="AR43" s="1305" t="b">
        <x:f t="shared" si="21"/>
        <x:v>0</x:v>
      </x:c>
      <x:c r="AS43" s="1305" t="e">
        <x:f t="shared" si="22"/>
        <x:v>#N/A</x:v>
      </x:c>
      <x:c r="AT43" s="1305" t="b">
        <x:f t="shared" si="23"/>
        <x:v>0</x:v>
      </x:c>
      <x:c r="AU43" s="1203" t="str">
        <x:f t="shared" si="24"/>
        <x:v/>
      </x:c>
      <x:c r="AV43" s="1063" t="str">
        <x:f t="shared" si="25"/>
        <x:v/>
      </x:c>
      <x:c r="AW43" s="1063" t="str">
        <x:f t="shared" si="26"/>
        <x:v/>
      </x:c>
      <x:c r="AX43" s="1063" t="str">
        <x:f t="shared" si="102"/>
        <x:v/>
      </x:c>
      <x:c r="AY43" s="1306" t="b">
        <x:f t="shared" si="27"/>
        <x:v>0</x:v>
      </x:c>
      <x:c r="AZ43" s="1090" t="str">
        <x:f t="shared" si="28"/>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29"/>
        <x:v/>
      </x:c>
      <x:c r="CE43" s="935" t="str">
        <x:f t="shared" si="30"/>
        <x:v/>
      </x:c>
      <x:c r="CF43" s="1149"/>
      <x:c r="CG43" s="1150"/>
      <x:c r="CH43" s="738" t="str">
        <x:f t="shared" si="31"/>
        <x:v/>
      </x:c>
      <x:c r="CI43" s="739" t="str">
        <x:f t="shared" si="32"/>
        <x:v/>
      </x:c>
      <x:c r="CJ43" s="740" t="str">
        <x:f t="shared" si="33"/>
        <x:v/>
      </x:c>
      <x:c r="CK43" s="741" t="str">
        <x:f t="shared" si="34"/>
        <x:v/>
      </x:c>
      <x:c r="CL43" s="742" t="str">
        <x:f t="shared" si="35"/>
        <x:v/>
      </x:c>
      <x:c r="CM43" s="743" t="str">
        <x:f t="shared" si="36"/>
        <x:v/>
      </x:c>
      <x:c r="CN43" s="744" t="str">
        <x:f t="shared" si="37"/>
        <x:v/>
      </x:c>
      <x:c r="CO43" s="745" t="str">
        <x:f t="shared" si="38"/>
        <x:v/>
      </x:c>
      <x:c r="CP43" s="762" t="str">
        <x:f t="shared" si="39"/>
        <x:v/>
      </x:c>
      <x:c r="CQ43" s="763" t="str">
        <x:f t="shared" si="40"/>
        <x:v/>
      </x:c>
      <x:c r="CR43" s="953" t="str">
        <x:f t="shared" si="41"/>
        <x:v/>
      </x:c>
      <x:c r="CS43" s="954" t="str">
        <x:f t="shared" si="42"/>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3"/>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4"/>
        <x:v>0</x:v>
      </x:c>
      <x:c r="DO43" s="1049">
        <x:f t="shared" si="45"/>
        <x:v>0</x:v>
      </x:c>
      <x:c r="DP43" s="1053" t="str">
        <x:f t="shared" si="46"/>
        <x:v/>
      </x:c>
      <x:c r="DQ43" s="1053" t="str">
        <x:f t="shared" si="47"/>
        <x:v/>
      </x:c>
      <x:c r="DR43" s="1053" t="str">
        <x:f t="shared" si="48"/>
        <x:v/>
      </x:c>
      <x:c r="DS43" s="1052">
        <x:f t="shared" si="49"/>
        <x:v>0</x:v>
      </x:c>
      <x:c r="DT43" s="1052">
        <x:f t="shared" si="50"/>
        <x:v>0</x:v>
      </x:c>
      <x:c r="DU43" s="1052" t="str">
        <x:f t="shared" si="51"/>
        <x:v/>
      </x:c>
      <x:c r="DV43" s="1053" t="str">
        <x:f t="shared" si="52"/>
        <x:v/>
      </x:c>
      <x:c r="DW43" s="1053" t="str">
        <x:f t="shared" si="53"/>
        <x:v/>
      </x:c>
      <x:c r="DX43" s="1269">
        <x:f t="shared" si="54"/>
        <x:v>0</x:v>
      </x:c>
      <x:c r="DY43" s="1053">
        <x:f t="shared" si="55"/>
        <x:v>0</x:v>
      </x:c>
      <x:c r="DZ43" s="1052">
        <x:f t="shared" si="56"/>
        <x:v>0</x:v>
      </x:c>
      <x:c r="EA43" s="1052" t="str">
        <x:f t="shared" si="57"/>
        <x:v/>
      </x:c>
      <x:c r="EB43" s="1053" t="str">
        <x:f t="shared" si="58"/>
        <x:v/>
      </x:c>
      <x:c r="EC43" s="1053" t="str">
        <x:f t="shared" si="59"/>
        <x:v/>
      </x:c>
      <x:c r="ED43" s="1269">
        <x:f t="shared" si="60"/>
        <x:v>0</x:v>
      </x:c>
      <x:c r="EE43" s="1090" t="str">
        <x:f t="shared" si="61"/>
        <x:v/>
      </x:c>
      <x:c r="EF43" s="1053" t="str">
        <x:f t="shared" si="62"/>
        <x:v/>
      </x:c>
      <x:c r="EG43" s="1053" t="str">
        <x:f t="shared" si="63"/>
        <x:v/>
      </x:c>
      <x:c r="EH43" s="1053" t="e">
        <x:f t="shared" si="64"/>
        <x:v>#N/A</x:v>
      </x:c>
      <x:c r="EI43" s="1053" t="e">
        <x:f t="shared" si="65"/>
        <x:v>#N/A</x:v>
      </x:c>
      <x:c r="EJ43" s="1053" t="str">
        <x:f t="shared" si="66"/>
        <x:v/>
      </x:c>
      <x:c r="EK43" s="1053" t="str">
        <x:f t="shared" si="66"/>
        <x:v/>
      </x:c>
      <x:c r="EL43" s="1090" t="str">
        <x:f t="shared" si="67"/>
        <x:v/>
      </x:c>
      <x:c r="EM43" s="1053" t="str">
        <x:f t="shared" si="68"/>
        <x:v/>
      </x:c>
      <x:c r="EN43" s="1053" t="str">
        <x:f t="shared" si="69"/>
        <x:v/>
      </x:c>
      <x:c r="EO43" s="1053" t="e">
        <x:f t="shared" si="70"/>
        <x:v>#N/A</x:v>
      </x:c>
      <x:c r="EP43" s="1053" t="e">
        <x:f t="shared" si="71"/>
        <x:v>#N/A</x:v>
      </x:c>
      <x:c r="EQ43" s="1053" t="str">
        <x:f t="shared" si="72"/>
        <x:v/>
      </x:c>
      <x:c r="ER43" s="1053" t="str">
        <x:f t="shared" si="72"/>
        <x:v/>
      </x:c>
      <x:c r="ES43" s="1053" t="str">
        <x:f t="shared" si="73"/>
        <x:v/>
      </x:c>
      <x:c r="ET43" s="1053" t="str">
        <x:f t="shared" si="74"/>
        <x:v/>
      </x:c>
      <x:c r="EU43" s="1061" t="str">
        <x:f t="shared" si="75"/>
        <x:v/>
      </x:c>
      <x:c r="EV43" s="1055" t="str">
        <x:f t="shared" si="76"/>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77"/>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78"/>
        <x:v/>
      </x:c>
      <x:c r="FD43" s="1052">
        <x:f t="shared" si="103"/>
        <x:v>0</x:v>
      </x:c>
      <x:c r="FE43" s="1052">
        <x:f t="shared" si="79"/>
        <x:v>0</x:v>
      </x:c>
      <x:c r="FF43" s="1052">
        <x:f t="shared" si="80"/>
        <x:v>0</x:v>
      </x:c>
      <x:c r="FG43" s="1052" t="str">
        <x:f t="shared" si="81"/>
        <x:v/>
      </x:c>
      <x:c r="FH43" s="1053" t="str">
        <x:f t="shared" si="82"/>
        <x:v/>
      </x:c>
      <x:c r="FI43" s="1052">
        <x:f t="shared" si="104"/>
        <x:v>0</x:v>
      </x:c>
      <x:c r="FJ43" s="1052">
        <x:f t="shared" si="83"/>
        <x:v>0</x:v>
      </x:c>
      <x:c r="FK43" s="1052">
        <x:f t="shared" si="84"/>
        <x:v>0</x:v>
      </x:c>
      <x:c r="FL43" s="1052" t="str">
        <x:f t="shared" si="85"/>
        <x:v/>
      </x:c>
      <x:c r="FM43" s="1053" t="str">
        <x:f t="shared" si="86"/>
        <x:v/>
      </x:c>
      <x:c r="FN43" s="1053" t="e">
        <x:f t="shared" si="87"/>
        <x:v>#VALUE!</x:v>
      </x:c>
      <x:c r="FO43" s="1062" t="e">
        <x:f t="shared" si="88"/>
        <x:v>#VALUE!</x:v>
      </x:c>
      <x:c r="FP43" s="1062" t="e">
        <x:f t="shared" si="89"/>
        <x:v>#VALUE!</x:v>
      </x:c>
      <x:c r="FQ43" s="1063" t="e">
        <x:f t="shared" si="90"/>
        <x:v>#VALUE!</x:v>
      </x:c>
      <x:c r="FR43" s="1064" t="e">
        <x:f t="shared" si="91"/>
        <x:v>#VALUE!</x:v>
      </x:c>
      <x:c r="FS43" s="1065" t="str">
        <x:f t="shared" si="92"/>
        <x:v/>
      </x:c>
      <x:c r="FT43" s="1066" t="str">
        <x:f t="shared" si="93"/>
        <x:v/>
      </x:c>
      <x:c r="FU43" s="1105">
        <x:f t="shared" si="94"/>
        <x:v>0</x:v>
      </x:c>
      <x:c r="FV43" s="1106">
        <x:f t="shared" si="95"/>
        <x:v>0</x:v>
      </x:c>
      <x:c r="GA43" s="1975" t="str">
        <x:f t="shared" si="118"/>
        <x:v/>
      </x:c>
      <x:c r="GB43" s="1976" t="str">
        <x:f t="shared" si="119"/>
        <x:v/>
      </x:c>
      <x:c r="GC43" s="1977" t="str">
        <x:f t="shared" si="120"/>
        <x:v/>
      </x:c>
      <x:c r="GD43" s="1978" t="str">
        <x:f t="shared" si="121"/>
        <x:v/>
      </x:c>
      <x:c r="GE43" s="1979" t="str">
        <x:f t="shared" si="122"/>
        <x:v/>
      </x:c>
      <x:c r="GF43" s="1980" t="str">
        <x:f t="shared" si="96"/>
        <x:v/>
      </x:c>
      <x:c r="GG43" s="1453"/>
      <x:c r="GH43" s="1454"/>
      <x:c r="GI43" s="1453"/>
      <x:c r="GJ43" s="1454"/>
      <x:c r="GK43" s="533">
        <x:f t="shared" si="97"/>
        <x:v>0</x:v>
      </x:c>
      <x:c r="GL43" s="534" t="e">
        <x:f t="shared" si="98"/>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14"/>
        <x:v/>
      </x:c>
      <x:c r="G44" s="1262" t="str">
        <x:f t="shared" si="115"/>
        <x:v/>
      </x:c>
      <x:c r="H44" s="1266" t="str">
        <x:f t="shared" si="116"/>
        <x:v/>
      </x:c>
      <x:c r="I44" s="1261" t="str">
        <x:f t="shared" si="99"/>
        <x:v/>
      </x:c>
      <x:c r="J44" s="1262" t="str">
        <x:f t="shared" si="100"/>
        <x:v/>
      </x:c>
      <x:c r="K44" s="1370" t="str">
        <x:f t="shared" si="101"/>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105"/>
        <x:v/>
      </x:c>
      <x:c r="U44" s="1262" t="str">
        <x:f t="shared" si="106"/>
        <x:v/>
      </x:c>
      <x:c r="V44" s="1261" t="str">
        <x:f t="shared" si="107"/>
        <x:v/>
      </x:c>
      <x:c r="W44" s="1262" t="str">
        <x:f t="shared" si="108"/>
        <x:v/>
      </x:c>
      <x:c r="X44" s="1329">
        <x:f t="shared" si="109"/>
        <x:v>0</x:v>
      </x:c>
      <x:c r="Y44" s="1377" t="str">
        <x:f t="shared" si="7"/>
        <x:v/>
      </x:c>
      <x:c r="Z44" s="1378" t="str">
        <x:f t="shared" si="8"/>
        <x:v/>
      </x:c>
      <x:c r="AA44" s="2159"/>
      <x:c r="AC44" s="1226" t="b">
        <x:v>0</x:v>
      </x:c>
      <x:c r="AD44" s="525">
        <x:f t="shared" si="9"/>
        <x:v>0</x:v>
      </x:c>
      <x:c r="AE44" s="526">
        <x:f t="shared" si="10"/>
        <x:v>0</x:v>
      </x:c>
      <x:c r="AF44" s="526">
        <x:f t="shared" si="11"/>
        <x:v>0</x:v>
      </x:c>
      <x:c r="AG44" s="526">
        <x:f t="shared" si="12"/>
        <x:v>0</x:v>
      </x:c>
      <x:c r="AH44" s="527">
        <x:f t="shared" si="13"/>
        <x:v>0</x:v>
      </x:c>
      <x:c r="AI44" s="528" t="b">
        <x:v>0</x:v>
      </x:c>
      <x:c r="AJ44" s="284">
        <x:f t="shared" si="14"/>
        <x:v>0</x:v>
      </x:c>
      <x:c r="AK44" s="1063" t="str">
        <x:f t="shared" si="15"/>
        <x:v/>
      </x:c>
      <x:c r="AL44" s="1202" t="str">
        <x:f t="shared" si="16"/>
        <x:v/>
      </x:c>
      <x:c r="AM44" s="1063" t="str">
        <x:f t="shared" si="17"/>
        <x:v/>
      </x:c>
      <x:c r="AN44" s="1063" t="str">
        <x:f t="shared" si="18"/>
        <x:v/>
      </x:c>
      <x:c r="AO44" s="1063" t="str">
        <x:f t="shared" si="19"/>
        <x:v/>
      </x:c>
      <x:c r="AP44" s="1063" t="b">
        <x:f>IF(ISERROR(AJ44),FALSE,IF(OR(AJ44=0,ISERROR(AL44),ISERROR(AM44),ISERROR(AN44),ISERROR(AO44)),FALSE,IF(AL44&lt;&gt;"",IF(ISERROR(VLOOKUP(SUBSTITUTE(SUBSTITUTE(C44,"R",""),"A",""),TblJoistSize!$A:$A,1,FALSE)),FALSE,TRUE),TRUE)))</x:f>
        <x:v>0</x:v>
      </x:c>
      <x:c r="AQ44" s="1305" t="e">
        <x:f t="shared" si="20"/>
        <x:v>#N/A</x:v>
      </x:c>
      <x:c r="AR44" s="1305" t="b">
        <x:f t="shared" si="21"/>
        <x:v>0</x:v>
      </x:c>
      <x:c r="AS44" s="1305" t="e">
        <x:f t="shared" si="22"/>
        <x:v>#N/A</x:v>
      </x:c>
      <x:c r="AT44" s="1305" t="b">
        <x:f t="shared" si="23"/>
        <x:v>0</x:v>
      </x:c>
      <x:c r="AU44" s="1203" t="str">
        <x:f t="shared" si="24"/>
        <x:v/>
      </x:c>
      <x:c r="AV44" s="1063" t="str">
        <x:f t="shared" si="25"/>
        <x:v/>
      </x:c>
      <x:c r="AW44" s="1063" t="str">
        <x:f t="shared" si="26"/>
        <x:v/>
      </x:c>
      <x:c r="AX44" s="1063" t="str">
        <x:f t="shared" si="102"/>
        <x:v/>
      </x:c>
      <x:c r="AY44" s="1306" t="b">
        <x:f t="shared" si="27"/>
        <x:v>0</x:v>
      </x:c>
      <x:c r="AZ44" s="1090" t="str">
        <x:f t="shared" si="28"/>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29"/>
        <x:v/>
      </x:c>
      <x:c r="CE44" s="935" t="str">
        <x:f t="shared" si="30"/>
        <x:v/>
      </x:c>
      <x:c r="CF44" s="1149"/>
      <x:c r="CG44" s="1150"/>
      <x:c r="CH44" s="738" t="str">
        <x:f t="shared" si="31"/>
        <x:v/>
      </x:c>
      <x:c r="CI44" s="739" t="str">
        <x:f t="shared" si="32"/>
        <x:v/>
      </x:c>
      <x:c r="CJ44" s="740" t="str">
        <x:f t="shared" si="33"/>
        <x:v/>
      </x:c>
      <x:c r="CK44" s="741" t="str">
        <x:f t="shared" si="34"/>
        <x:v/>
      </x:c>
      <x:c r="CL44" s="742" t="str">
        <x:f t="shared" si="35"/>
        <x:v/>
      </x:c>
      <x:c r="CM44" s="743" t="str">
        <x:f t="shared" si="36"/>
        <x:v/>
      </x:c>
      <x:c r="CN44" s="744" t="str">
        <x:f t="shared" si="37"/>
        <x:v/>
      </x:c>
      <x:c r="CO44" s="745" t="str">
        <x:f t="shared" si="38"/>
        <x:v/>
      </x:c>
      <x:c r="CP44" s="762" t="str">
        <x:f t="shared" si="39"/>
        <x:v/>
      </x:c>
      <x:c r="CQ44" s="763" t="str">
        <x:f t="shared" si="40"/>
        <x:v/>
      </x:c>
      <x:c r="CR44" s="953" t="str">
        <x:f t="shared" si="41"/>
        <x:v/>
      </x:c>
      <x:c r="CS44" s="954" t="str">
        <x:f t="shared" si="42"/>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3"/>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4"/>
        <x:v>0</x:v>
      </x:c>
      <x:c r="DO44" s="1049">
        <x:f t="shared" si="45"/>
        <x:v>0</x:v>
      </x:c>
      <x:c r="DP44" s="1053" t="str">
        <x:f t="shared" si="46"/>
        <x:v/>
      </x:c>
      <x:c r="DQ44" s="1053" t="str">
        <x:f t="shared" si="47"/>
        <x:v/>
      </x:c>
      <x:c r="DR44" s="1053" t="str">
        <x:f t="shared" si="48"/>
        <x:v/>
      </x:c>
      <x:c r="DS44" s="1052">
        <x:f t="shared" si="49"/>
        <x:v>0</x:v>
      </x:c>
      <x:c r="DT44" s="1052">
        <x:f t="shared" si="50"/>
        <x:v>0</x:v>
      </x:c>
      <x:c r="DU44" s="1052" t="str">
        <x:f t="shared" si="51"/>
        <x:v/>
      </x:c>
      <x:c r="DV44" s="1053" t="str">
        <x:f t="shared" si="52"/>
        <x:v/>
      </x:c>
      <x:c r="DW44" s="1053" t="str">
        <x:f t="shared" si="53"/>
        <x:v/>
      </x:c>
      <x:c r="DX44" s="1269">
        <x:f t="shared" si="54"/>
        <x:v>0</x:v>
      </x:c>
      <x:c r="DY44" s="1053">
        <x:f t="shared" si="55"/>
        <x:v>0</x:v>
      </x:c>
      <x:c r="DZ44" s="1052">
        <x:f t="shared" si="56"/>
        <x:v>0</x:v>
      </x:c>
      <x:c r="EA44" s="1052" t="str">
        <x:f t="shared" si="57"/>
        <x:v/>
      </x:c>
      <x:c r="EB44" s="1053" t="str">
        <x:f t="shared" si="58"/>
        <x:v/>
      </x:c>
      <x:c r="EC44" s="1053" t="str">
        <x:f t="shared" si="59"/>
        <x:v/>
      </x:c>
      <x:c r="ED44" s="1269">
        <x:f t="shared" si="60"/>
        <x:v>0</x:v>
      </x:c>
      <x:c r="EE44" s="1090" t="str">
        <x:f t="shared" si="61"/>
        <x:v/>
      </x:c>
      <x:c r="EF44" s="1053" t="str">
        <x:f t="shared" si="62"/>
        <x:v/>
      </x:c>
      <x:c r="EG44" s="1053" t="str">
        <x:f t="shared" si="63"/>
        <x:v/>
      </x:c>
      <x:c r="EH44" s="1053" t="e">
        <x:f t="shared" si="64"/>
        <x:v>#N/A</x:v>
      </x:c>
      <x:c r="EI44" s="1053" t="e">
        <x:f t="shared" si="65"/>
        <x:v>#N/A</x:v>
      </x:c>
      <x:c r="EJ44" s="1053" t="str">
        <x:f t="shared" si="66"/>
        <x:v/>
      </x:c>
      <x:c r="EK44" s="1053" t="str">
        <x:f t="shared" si="66"/>
        <x:v/>
      </x:c>
      <x:c r="EL44" s="1090" t="str">
        <x:f t="shared" si="67"/>
        <x:v/>
      </x:c>
      <x:c r="EM44" s="1053" t="str">
        <x:f t="shared" si="68"/>
        <x:v/>
      </x:c>
      <x:c r="EN44" s="1053" t="str">
        <x:f t="shared" si="69"/>
        <x:v/>
      </x:c>
      <x:c r="EO44" s="1053" t="e">
        <x:f t="shared" si="70"/>
        <x:v>#N/A</x:v>
      </x:c>
      <x:c r="EP44" s="1053" t="e">
        <x:f t="shared" si="71"/>
        <x:v>#N/A</x:v>
      </x:c>
      <x:c r="EQ44" s="1053" t="str">
        <x:f t="shared" si="72"/>
        <x:v/>
      </x:c>
      <x:c r="ER44" s="1053" t="str">
        <x:f t="shared" si="72"/>
        <x:v/>
      </x:c>
      <x:c r="ES44" s="1053" t="str">
        <x:f t="shared" si="73"/>
        <x:v/>
      </x:c>
      <x:c r="ET44" s="1053" t="str">
        <x:f t="shared" si="74"/>
        <x:v/>
      </x:c>
      <x:c r="EU44" s="1061" t="str">
        <x:f t="shared" si="75"/>
        <x:v/>
      </x:c>
      <x:c r="EV44" s="1055" t="str">
        <x:f t="shared" si="76"/>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77"/>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78"/>
        <x:v/>
      </x:c>
      <x:c r="FD44" s="1052">
        <x:f t="shared" si="103"/>
        <x:v>0</x:v>
      </x:c>
      <x:c r="FE44" s="1052">
        <x:f t="shared" si="79"/>
        <x:v>0</x:v>
      </x:c>
      <x:c r="FF44" s="1052">
        <x:f t="shared" si="80"/>
        <x:v>0</x:v>
      </x:c>
      <x:c r="FG44" s="1052" t="str">
        <x:f t="shared" si="81"/>
        <x:v/>
      </x:c>
      <x:c r="FH44" s="1053" t="str">
        <x:f t="shared" si="82"/>
        <x:v/>
      </x:c>
      <x:c r="FI44" s="1052">
        <x:f t="shared" si="104"/>
        <x:v>0</x:v>
      </x:c>
      <x:c r="FJ44" s="1052">
        <x:f t="shared" si="83"/>
        <x:v>0</x:v>
      </x:c>
      <x:c r="FK44" s="1052">
        <x:f t="shared" si="84"/>
        <x:v>0</x:v>
      </x:c>
      <x:c r="FL44" s="1052" t="str">
        <x:f t="shared" si="85"/>
        <x:v/>
      </x:c>
      <x:c r="FM44" s="1053" t="str">
        <x:f t="shared" si="86"/>
        <x:v/>
      </x:c>
      <x:c r="FN44" s="1053" t="e">
        <x:f t="shared" si="87"/>
        <x:v>#VALUE!</x:v>
      </x:c>
      <x:c r="FO44" s="1062" t="e">
        <x:f t="shared" si="88"/>
        <x:v>#VALUE!</x:v>
      </x:c>
      <x:c r="FP44" s="1062" t="e">
        <x:f t="shared" si="89"/>
        <x:v>#VALUE!</x:v>
      </x:c>
      <x:c r="FQ44" s="1063" t="e">
        <x:f t="shared" si="90"/>
        <x:v>#VALUE!</x:v>
      </x:c>
      <x:c r="FR44" s="1064" t="e">
        <x:f t="shared" si="91"/>
        <x:v>#VALUE!</x:v>
      </x:c>
      <x:c r="FS44" s="1065" t="str">
        <x:f t="shared" si="92"/>
        <x:v/>
      </x:c>
      <x:c r="FT44" s="1066" t="str">
        <x:f t="shared" si="93"/>
        <x:v/>
      </x:c>
      <x:c r="FU44" s="1105">
        <x:f t="shared" si="94"/>
        <x:v>0</x:v>
      </x:c>
      <x:c r="FV44" s="1106">
        <x:f t="shared" si="95"/>
        <x:v>0</x:v>
      </x:c>
      <x:c r="GA44" s="1975" t="str">
        <x:f t="shared" si="118"/>
        <x:v/>
      </x:c>
      <x:c r="GB44" s="1976" t="str">
        <x:f t="shared" si="119"/>
        <x:v/>
      </x:c>
      <x:c r="GC44" s="1977" t="str">
        <x:f t="shared" si="120"/>
        <x:v/>
      </x:c>
      <x:c r="GD44" s="1978" t="str">
        <x:f t="shared" si="121"/>
        <x:v/>
      </x:c>
      <x:c r="GE44" s="1979" t="str">
        <x:f t="shared" si="122"/>
        <x:v/>
      </x:c>
      <x:c r="GF44" s="1980" t="str">
        <x:f t="shared" si="96"/>
        <x:v/>
      </x:c>
      <x:c r="GG44" s="1453"/>
      <x:c r="GH44" s="1454"/>
      <x:c r="GI44" s="1453"/>
      <x:c r="GJ44" s="1454"/>
      <x:c r="GK44" s="533">
        <x:f t="shared" si="97"/>
        <x:v>0</x:v>
      </x:c>
      <x:c r="GL44" s="534" t="e">
        <x:f t="shared" si="98"/>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9"/>
        <x:v>0</x:v>
      </x:c>
      <x:c r="AE45" s="526">
        <x:f t="shared" si="10"/>
        <x:v>0</x:v>
      </x:c>
      <x:c r="AF45" s="526">
        <x:f t="shared" si="11"/>
        <x:v>0</x:v>
      </x:c>
      <x:c r="AG45" s="526">
        <x:f t="shared" si="12"/>
        <x:v>0</x:v>
      </x:c>
      <x:c r="AH45" s="527">
        <x:f t="shared" si="13"/>
        <x:v>0</x:v>
      </x:c>
      <x:c r="AI45" s="528" t="b">
        <x:v>0</x:v>
      </x:c>
      <x:c r="AJ45" s="284">
        <x:f t="shared" si="14"/>
        <x:v>0</x:v>
      </x:c>
      <x:c r="AK45" s="1063" t="str">
        <x:f t="shared" si="15"/>
        <x:v/>
      </x:c>
      <x:c r="AL45" s="1202" t="str">
        <x:f t="shared" si="16"/>
        <x:v/>
      </x:c>
      <x:c r="AM45" s="1063" t="str">
        <x:f t="shared" si="17"/>
        <x:v/>
      </x:c>
      <x:c r="AN45" s="1063" t="str">
        <x:f t="shared" si="18"/>
        <x:v/>
      </x:c>
      <x:c r="AO45" s="1063" t="str">
        <x:f t="shared" si="19"/>
        <x:v/>
      </x:c>
      <x:c r="AP45" s="1063" t="b">
        <x:f>IF(ISERROR(AJ45),FALSE,IF(OR(AJ45=0,ISERROR(AL45),ISERROR(AM45),ISERROR(AN45),ISERROR(AO45)),FALSE,IF(AL45&lt;&gt;"",IF(ISERROR(VLOOKUP(SUBSTITUTE(SUBSTITUTE(C45,"R",""),"A",""),TblJoistSize!$A:$A,1,FALSE)),FALSE,TRUE),TRUE)))</x:f>
        <x:v>0</x:v>
      </x:c>
      <x:c r="AQ45" s="1305" t="e">
        <x:f t="shared" si="20"/>
        <x:v>#N/A</x:v>
      </x:c>
      <x:c r="AR45" s="1305" t="b">
        <x:f t="shared" si="21"/>
        <x:v>0</x:v>
      </x:c>
      <x:c r="AS45" s="1305" t="e">
        <x:f t="shared" si="22"/>
        <x:v>#N/A</x:v>
      </x:c>
      <x:c r="AT45" s="1305" t="b">
        <x:f t="shared" si="23"/>
        <x:v>0</x:v>
      </x:c>
      <x:c r="AU45" s="1203" t="str">
        <x:f t="shared" si="24"/>
        <x:v/>
      </x:c>
      <x:c r="AV45" s="1063" t="str">
        <x:f t="shared" si="25"/>
        <x:v/>
      </x:c>
      <x:c r="AW45" s="1063" t="str">
        <x:f t="shared" si="26"/>
        <x:v/>
      </x:c>
      <x:c r="AX45" s="1063" t="str">
        <x:f t="shared" si="102"/>
        <x:v/>
      </x:c>
      <x:c r="AY45" s="1306" t="b">
        <x:f t="shared" si="27"/>
        <x:v>0</x:v>
      </x:c>
      <x:c r="AZ45" s="1090" t="str">
        <x:f t="shared" si="28"/>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29"/>
        <x:v/>
      </x:c>
      <x:c r="CE45" s="942" t="str">
        <x:f t="shared" si="30"/>
        <x:v/>
      </x:c>
      <x:c r="CF45" s="1151"/>
      <x:c r="CG45" s="1152"/>
      <x:c r="CH45" s="748" t="str">
        <x:f t="shared" si="31"/>
        <x:v/>
      </x:c>
      <x:c r="CI45" s="749" t="str">
        <x:f t="shared" si="32"/>
        <x:v/>
      </x:c>
      <x:c r="CJ45" s="750" t="str">
        <x:f t="shared" si="33"/>
        <x:v/>
      </x:c>
      <x:c r="CK45" s="751" t="str">
        <x:f t="shared" si="34"/>
        <x:v/>
      </x:c>
      <x:c r="CL45" s="752" t="str">
        <x:f t="shared" si="35"/>
        <x:v/>
      </x:c>
      <x:c r="CM45" s="753" t="str">
        <x:f t="shared" si="36"/>
        <x:v/>
      </x:c>
      <x:c r="CN45" s="754" t="str">
        <x:f t="shared" si="37"/>
        <x:v/>
      </x:c>
      <x:c r="CO45" s="755" t="str">
        <x:f t="shared" si="38"/>
        <x:v/>
      </x:c>
      <x:c r="CP45" s="764" t="str">
        <x:f t="shared" si="39"/>
        <x:v/>
      </x:c>
      <x:c r="CQ45" s="765" t="str">
        <x:f t="shared" si="40"/>
        <x:v/>
      </x:c>
      <x:c r="CR45" s="955" t="str">
        <x:f t="shared" si="41"/>
        <x:v/>
      </x:c>
      <x:c r="CS45" s="956" t="str">
        <x:f t="shared" si="42"/>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3"/>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4"/>
        <x:v>0</x:v>
      </x:c>
      <x:c r="DO45" s="1049">
        <x:f t="shared" si="45"/>
        <x:v>0</x:v>
      </x:c>
      <x:c r="DP45" s="1053" t="str">
        <x:f t="shared" si="46"/>
        <x:v/>
      </x:c>
      <x:c r="DQ45" s="1053" t="str">
        <x:f t="shared" si="47"/>
        <x:v/>
      </x:c>
      <x:c r="DR45" s="1053" t="str">
        <x:f t="shared" si="48"/>
        <x:v/>
      </x:c>
      <x:c r="DS45" s="1052">
        <x:f t="shared" si="49"/>
        <x:v>0</x:v>
      </x:c>
      <x:c r="DT45" s="1052">
        <x:f t="shared" si="50"/>
        <x:v>0</x:v>
      </x:c>
      <x:c r="DU45" s="1052" t="str">
        <x:f t="shared" si="51"/>
        <x:v/>
      </x:c>
      <x:c r="DV45" s="1053" t="str">
        <x:f t="shared" si="52"/>
        <x:v/>
      </x:c>
      <x:c r="DW45" s="1053" t="str">
        <x:f t="shared" si="53"/>
        <x:v/>
      </x:c>
      <x:c r="DX45" s="1269">
        <x:f t="shared" si="54"/>
        <x:v>0</x:v>
      </x:c>
      <x:c r="DY45" s="1053">
        <x:f t="shared" si="55"/>
        <x:v>0</x:v>
      </x:c>
      <x:c r="DZ45" s="1052">
        <x:f t="shared" si="56"/>
        <x:v>0</x:v>
      </x:c>
      <x:c r="EA45" s="1052" t="str">
        <x:f t="shared" si="57"/>
        <x:v/>
      </x:c>
      <x:c r="EB45" s="1053" t="str">
        <x:f t="shared" si="58"/>
        <x:v/>
      </x:c>
      <x:c r="EC45" s="1053" t="str">
        <x:f t="shared" si="59"/>
        <x:v/>
      </x:c>
      <x:c r="ED45" s="1269">
        <x:f t="shared" si="60"/>
        <x:v>0</x:v>
      </x:c>
      <x:c r="EE45" s="1090" t="str">
        <x:f t="shared" si="61"/>
        <x:v/>
      </x:c>
      <x:c r="EF45" s="1053" t="str">
        <x:f t="shared" si="62"/>
        <x:v/>
      </x:c>
      <x:c r="EG45" s="1053" t="str">
        <x:f t="shared" si="63"/>
        <x:v/>
      </x:c>
      <x:c r="EH45" s="1053" t="e">
        <x:f t="shared" si="64"/>
        <x:v>#N/A</x:v>
      </x:c>
      <x:c r="EI45" s="1053" t="e">
        <x:f t="shared" si="65"/>
        <x:v>#N/A</x:v>
      </x:c>
      <x:c r="EJ45" s="1053" t="str">
        <x:f t="shared" si="66"/>
        <x:v/>
      </x:c>
      <x:c r="EK45" s="1053" t="str">
        <x:f t="shared" si="66"/>
        <x:v/>
      </x:c>
      <x:c r="EL45" s="1090" t="str">
        <x:f t="shared" si="67"/>
        <x:v/>
      </x:c>
      <x:c r="EM45" s="1053" t="str">
        <x:f t="shared" si="68"/>
        <x:v/>
      </x:c>
      <x:c r="EN45" s="1053" t="str">
        <x:f t="shared" si="69"/>
        <x:v/>
      </x:c>
      <x:c r="EO45" s="1053" t="e">
        <x:f t="shared" si="70"/>
        <x:v>#N/A</x:v>
      </x:c>
      <x:c r="EP45" s="1053" t="e">
        <x:f t="shared" si="71"/>
        <x:v>#N/A</x:v>
      </x:c>
      <x:c r="EQ45" s="1053" t="str">
        <x:f t="shared" si="72"/>
        <x:v/>
      </x:c>
      <x:c r="ER45" s="1053" t="str">
        <x:f t="shared" si="72"/>
        <x:v/>
      </x:c>
      <x:c r="ES45" s="1053" t="str">
        <x:f t="shared" si="73"/>
        <x:v/>
      </x:c>
      <x:c r="ET45" s="1053" t="str">
        <x:f t="shared" si="74"/>
        <x:v/>
      </x:c>
      <x:c r="EU45" s="1061" t="str">
        <x:f t="shared" si="75"/>
        <x:v/>
      </x:c>
      <x:c r="EV45" s="1055" t="str">
        <x:f t="shared" si="76"/>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77"/>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78"/>
        <x:v/>
      </x:c>
      <x:c r="FD45" s="1052">
        <x:f t="shared" si="103"/>
        <x:v>0</x:v>
      </x:c>
      <x:c r="FE45" s="1052">
        <x:f t="shared" si="79"/>
        <x:v>0</x:v>
      </x:c>
      <x:c r="FF45" s="1052">
        <x:f t="shared" si="80"/>
        <x:v>0</x:v>
      </x:c>
      <x:c r="FG45" s="1052" t="str">
        <x:f t="shared" si="81"/>
        <x:v/>
      </x:c>
      <x:c r="FH45" s="1053" t="str">
        <x:f t="shared" si="82"/>
        <x:v/>
      </x:c>
      <x:c r="FI45" s="1052">
        <x:f t="shared" si="104"/>
        <x:v>0</x:v>
      </x:c>
      <x:c r="FJ45" s="1052">
        <x:f t="shared" si="83"/>
        <x:v>0</x:v>
      </x:c>
      <x:c r="FK45" s="1052">
        <x:f t="shared" si="84"/>
        <x:v>0</x:v>
      </x:c>
      <x:c r="FL45" s="1052" t="str">
        <x:f t="shared" si="85"/>
        <x:v/>
      </x:c>
      <x:c r="FM45" s="1053" t="str">
        <x:f t="shared" si="86"/>
        <x:v/>
      </x:c>
      <x:c r="FN45" s="1053" t="e">
        <x:f t="shared" si="87"/>
        <x:v>#VALUE!</x:v>
      </x:c>
      <x:c r="FO45" s="1062" t="e">
        <x:f t="shared" si="88"/>
        <x:v>#VALUE!</x:v>
      </x:c>
      <x:c r="FP45" s="1062" t="e">
        <x:f t="shared" si="89"/>
        <x:v>#VALUE!</x:v>
      </x:c>
      <x:c r="FQ45" s="1063" t="e">
        <x:f t="shared" si="90"/>
        <x:v>#VALUE!</x:v>
      </x:c>
      <x:c r="FR45" s="1064" t="e">
        <x:f t="shared" si="91"/>
        <x:v>#VALUE!</x:v>
      </x:c>
      <x:c r="FS45" s="1065" t="str">
        <x:f t="shared" si="92"/>
        <x:v/>
      </x:c>
      <x:c r="FT45" s="1066" t="str">
        <x:f t="shared" si="93"/>
        <x:v/>
      </x:c>
      <x:c r="FU45" s="1105">
        <x:f t="shared" si="94"/>
        <x:v>0</x:v>
      </x:c>
      <x:c r="FV45" s="1106">
        <x:f t="shared" si="95"/>
        <x:v>0</x:v>
      </x:c>
      <x:c r="GA45" s="1975" t="str">
        <x:f t="shared" si="118"/>
        <x:v/>
      </x:c>
      <x:c r="GB45" s="1976" t="str">
        <x:f t="shared" si="119"/>
        <x:v/>
      </x:c>
      <x:c r="GC45" s="1977" t="str">
        <x:f t="shared" si="120"/>
        <x:v/>
      </x:c>
      <x:c r="GD45" s="1978" t="str">
        <x:f t="shared" si="121"/>
        <x:v/>
      </x:c>
      <x:c r="GE45" s="1979" t="str">
        <x:f t="shared" si="122"/>
        <x:v/>
      </x:c>
      <x:c r="GF45" s="1980" t="str">
        <x:f t="shared" si="96"/>
        <x:v/>
      </x:c>
      <x:c r="GG45" s="1455"/>
      <x:c r="GH45" s="1456"/>
      <x:c r="GI45" s="1455"/>
      <x:c r="GJ45" s="1456"/>
      <x:c r="GK45" s="533">
        <x:f t="shared" si="97"/>
        <x:v>0</x:v>
      </x:c>
      <x:c r="GL45" s="534" t="e">
        <x:f t="shared" si="98"/>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5</x:v>
      </x:c>
      <x:c r="AE46" s="540">
        <x:f>SUM(AE16:AE45)</x:f>
        <x:v>212</x:v>
      </x:c>
      <x:c r="AF46" s="540">
        <x:f>SUM(AF16:AF45)</x:f>
        <x:v>1</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218</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2226</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t="str">
        <x:f t="shared" si="123"/>
        <x:v/>
      </x:c>
      <x:c r="EL85" s="529" t="str">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GI8LIc9WKnZxUqCqGCPN7AGUZKhQPqzQfA+qClJzhZCviOSOJxJgcYIqMq8ioUG9SmqZEfOc0D2SPlzAdBleJg==" saltValue="ZdBfitvPdjr+VVIdX0jsyg=="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326" priority="69" stopIfTrue="1">
      <x:formula>GM57&gt;=0.125</x:formula>
    </x:cfRule>
  </x:conditionalFormatting>
  <x:conditionalFormatting sqref="EF57">
    <x:cfRule type="cellIs" dxfId="325" priority="70" stopIfTrue="1" operator="notEqual">
      <x:formula>$EG57</x:formula>
    </x:cfRule>
  </x:conditionalFormatting>
  <x:conditionalFormatting sqref="EM57">
    <x:cfRule type="cellIs" dxfId="324" priority="71" stopIfTrue="1" operator="notEqual">
      <x:formula>$EN57</x:formula>
    </x:cfRule>
  </x:conditionalFormatting>
  <x:conditionalFormatting sqref="CD16:CD45">
    <x:cfRule type="expression" dxfId="323" priority="62">
      <x:formula>AND(CD16="X",CY16="")</x:formula>
    </x:cfRule>
    <x:cfRule type="expression" dxfId="322" priority="72">
      <x:formula>AND(CD16="",CY16&lt;&gt;"")</x:formula>
    </x:cfRule>
  </x:conditionalFormatting>
  <x:conditionalFormatting sqref="CE16:CE45">
    <x:cfRule type="expression" dxfId="321" priority="73">
      <x:formula>AND(CE16="X",DI16="")</x:formula>
    </x:cfRule>
    <x:cfRule type="expression" dxfId="320" priority="74">
      <x:formula>AND(CE16="",DI16&lt;&gt;"")</x:formula>
    </x:cfRule>
  </x:conditionalFormatting>
  <x:conditionalFormatting sqref="P2:S4">
    <x:cfRule type="cellIs" dxfId="319" priority="76" stopIfTrue="1" operator="equal">
      <x:formula>""</x:formula>
    </x:cfRule>
  </x:conditionalFormatting>
  <x:conditionalFormatting sqref="EF16:EF45">
    <x:cfRule type="cellIs" dxfId="318" priority="68" stopIfTrue="1" operator="notEqual">
      <x:formula>$EG16</x:formula>
    </x:cfRule>
  </x:conditionalFormatting>
  <x:conditionalFormatting sqref="EM16:EM45">
    <x:cfRule type="cellIs" dxfId="317" priority="67" stopIfTrue="1" operator="notEqual">
      <x:formula>$EN16</x:formula>
    </x:cfRule>
  </x:conditionalFormatting>
  <x:conditionalFormatting sqref="CC12">
    <x:cfRule type="expression" dxfId="316" priority="66" stopIfTrue="1">
      <x:formula>ISBLANK($CC$12)</x:formula>
    </x:cfRule>
  </x:conditionalFormatting>
  <x:conditionalFormatting sqref="CC11">
    <x:cfRule type="expression" dxfId="315" priority="65" stopIfTrue="1">
      <x:formula>ISBLANK($CC$11)</x:formula>
    </x:cfRule>
  </x:conditionalFormatting>
  <x:conditionalFormatting sqref="M7">
    <x:cfRule type="expression" dxfId="314" priority="63" stopIfTrue="1">
      <x:formula>OR(ISBLANK($M$7),$M$7="")</x:formula>
    </x:cfRule>
    <x:cfRule type="expression" dxfId="313" priority="64" stopIfTrue="1">
      <x:formula>AND(LOWER($M$7)&lt;&gt;"std gray primer: one shop coat",LOWER($M$7)&lt;&gt;"gray",$M$7&lt;&gt;"")</x:formula>
    </x:cfRule>
  </x:conditionalFormatting>
  <x:conditionalFormatting sqref="BV16:BV45">
    <x:cfRule type="expression" dxfId="312" priority="60">
      <x:formula>AND(NOT($AY16),AND(ISBLANK(BV16),AND(NOT(ISBLANK(BU16)),$BW16&lt;&gt;0)))</x:formula>
    </x:cfRule>
  </x:conditionalFormatting>
  <x:conditionalFormatting sqref="BD16:BD45">
    <x:cfRule type="expression" dxfId="311" priority="61">
      <x:formula>AND(NOT($AY16),NOT($AP16))</x:formula>
    </x:cfRule>
  </x:conditionalFormatting>
  <x:conditionalFormatting sqref="U16:U45">
    <x:cfRule type="expression" dxfId="310" priority="57">
      <x:formula>AND(NOT($AY16),NOT(AR16))</x:formula>
    </x:cfRule>
  </x:conditionalFormatting>
  <x:conditionalFormatting sqref="W16:W45">
    <x:cfRule type="expression" dxfId="309" priority="59">
      <x:formula>AND(NOT($AY16),NOT(AT16))</x:formula>
    </x:cfRule>
  </x:conditionalFormatting>
  <x:conditionalFormatting sqref="T16:T45">
    <x:cfRule type="expression" dxfId="308" priority="56">
      <x:formula>AND(NOT($AY16),NOT(AR16))</x:formula>
    </x:cfRule>
  </x:conditionalFormatting>
  <x:conditionalFormatting sqref="V16:V45">
    <x:cfRule type="expression" dxfId="307" priority="58">
      <x:formula>AND(NOT($AY16),NOT(AT16))</x:formula>
    </x:cfRule>
  </x:conditionalFormatting>
  <x:conditionalFormatting sqref="C16:C45">
    <x:cfRule type="expression" dxfId="306" priority="54">
      <x:formula>AND(NOT($AY16),NOT($AP16))</x:formula>
    </x:cfRule>
  </x:conditionalFormatting>
  <x:conditionalFormatting sqref="X16:X45">
    <x:cfRule type="expression" dxfId="305" priority="14">
      <x:formula>$X16=0</x:formula>
    </x:cfRule>
  </x:conditionalFormatting>
  <x:conditionalFormatting sqref="CB16:CB45">
    <x:cfRule type="expression" dxfId="304" priority="53">
      <x:formula>OR(CB16&gt;CV16,CB16&lt;0)</x:formula>
    </x:cfRule>
  </x:conditionalFormatting>
  <x:conditionalFormatting sqref="CC16:CC45">
    <x:cfRule type="expression" dxfId="303" priority="51">
      <x:formula>OR(CC16&gt;DF16,CC16&lt;0)</x:formula>
    </x:cfRule>
  </x:conditionalFormatting>
  <x:conditionalFormatting sqref="BY16:BY45">
    <x:cfRule type="expression" dxfId="302" priority="75">
      <x:formula>OR(CH16&lt;&gt;"",CI16&lt;&gt;"",CJ16&lt;&gt;"",CK16&lt;&gt;"",CL16&lt;&gt;"",CM16&lt;&gt;"")</x:formula>
    </x:cfRule>
  </x:conditionalFormatting>
  <x:conditionalFormatting sqref="BE16:BF45">
    <x:cfRule type="expression" dxfId="301" priority="77">
      <x:formula>AND(NOT($AY16),AND($AZ16,AND($AK16&lt;&gt;"HDR",$AK16&lt;&gt;"JS",$AJ16&gt;=8)))</x:formula>
    </x:cfRule>
  </x:conditionalFormatting>
  <x:conditionalFormatting sqref="D16:E45">
    <x:cfRule type="expression" dxfId="300" priority="55">
      <x:formula>AND(NOT($AY16),AND($AZ16,AND($AK16&lt;&gt;"HDR",$AK16&lt;&gt;"JS",$AJ16&gt;=8)))</x:formula>
    </x:cfRule>
  </x:conditionalFormatting>
  <x:conditionalFormatting sqref="AA12">
    <x:cfRule type="expression" dxfId="299" priority="52">
      <x:formula>OR(ISBLANK(AA12),AA12="")</x:formula>
    </x:cfRule>
  </x:conditionalFormatting>
  <x:conditionalFormatting sqref="A16:Z45 BB16:CG45">
    <x:cfRule type="expression" dxfId="298" priority="78">
      <x:formula>$AC16</x:formula>
    </x:cfRule>
  </x:conditionalFormatting>
  <x:conditionalFormatting sqref="BN16:BN45">
    <x:cfRule type="expression" dxfId="297" priority="17">
      <x:formula>AND(NOT($AY16),AND(ISBLANK(BN16),AND(NOT(ISBLANK(BM16)),$BW16&lt;&gt;0)))</x:formula>
    </x:cfRule>
  </x:conditionalFormatting>
  <x:conditionalFormatting sqref="BO16:BO45">
    <x:cfRule type="expression" dxfId="296" priority="16">
      <x:formula>AND(NOT($AY16),ISERROR(DE16))</x:formula>
    </x:cfRule>
    <x:cfRule type="expression" dxfId="295" priority="43">
      <x:formula>AND(NOT($AY16),OR(DE16="", CQ16&lt;&gt;""))</x:formula>
    </x:cfRule>
  </x:conditionalFormatting>
  <x:conditionalFormatting sqref="BG16:BG45">
    <x:cfRule type="expression" dxfId="294" priority="15">
      <x:formula>AND(NOT($AY16),ISERROR(CU16))</x:formula>
    </x:cfRule>
    <x:cfRule type="expression" dxfId="293" priority="42">
      <x:formula>AND(NOT($AY16),OR(CP16&lt;&gt;"", CU16=""))</x:formula>
    </x:cfRule>
  </x:conditionalFormatting>
  <x:conditionalFormatting sqref="BH16:BH45">
    <x:cfRule type="expression" dxfId="292" priority="30">
      <x:formula>AND(NOT($AY16),OR($CU16="M",$CU16="C",AND($CU16="B",$DC16&gt;0)))</x:formula>
    </x:cfRule>
    <x:cfRule type="expression" dxfId="291" priority="31">
      <x:formula>AND(NOT($AY16),AND(BH16="",BI16="",OR($CU16="B",$CU16="G")))</x:formula>
    </x:cfRule>
    <x:cfRule type="expression" dxfId="290" priority="32">
      <x:formula>AND(NOT($AY16),(BH16/2)/COS(RADIANS(BM16))+CV16-DW16&lt;VLOOKUP(AU16,$DF$2:$DJ$9,5,FALSE))</x:formula>
    </x:cfRule>
  </x:conditionalFormatting>
  <x:conditionalFormatting sqref="BI16:BI45">
    <x:cfRule type="expression" dxfId="289" priority="39">
      <x:formula>AND(NOT($AY16),OR($CU16="M",$CU16="C",AND($CU16="B",$DC16&gt;0)))</x:formula>
    </x:cfRule>
    <x:cfRule type="expression" dxfId="288" priority="40">
      <x:formula>AND(NOT($AY16),AND(BH16="",BI16="",OR($CU16="B",$CU16="G")))</x:formula>
    </x:cfRule>
    <x:cfRule type="expression" dxfId="287" priority="41">
      <x:formula>AND(NOT($AY16),(BI16/2)/COS(RADIANS(BM16))+CV16-DW16&lt;VLOOKUP(AU16,$DF$2:$DJ$9,5,FALSE))</x:formula>
    </x:cfRule>
  </x:conditionalFormatting>
  <x:conditionalFormatting sqref="BK16:BK45">
    <x:cfRule type="expression" dxfId="286" priority="18">
      <x:formula>AND(NOT($AY16),OR($CU16="M",$CU16="C",AND($CU16="B",$DA16&lt;&gt;"")))</x:formula>
    </x:cfRule>
    <x:cfRule type="expression" dxfId="285" priority="19">
      <x:formula>AND(NOT($AY16),AND(BJ16="X",BK16="",BL16=""))</x:formula>
    </x:cfRule>
    <x:cfRule type="expression" dxfId="284" priority="20">
      <x:formula>AND(NOT($AY16),EZ16="ERR")</x:formula>
    </x:cfRule>
  </x:conditionalFormatting>
  <x:conditionalFormatting sqref="BL16:BL45">
    <x:cfRule type="expression" dxfId="283" priority="21">
      <x:formula>AND(NOT($AY16),OR($CU16="M",$CU16="C",AND($CU16="B",$DA16&lt;&gt;"")))</x:formula>
    </x:cfRule>
    <x:cfRule type="expression" dxfId="282" priority="22">
      <x:formula>AND(NOT($AY16),AND(BJ16="X",BK16="",BL16=""))</x:formula>
    </x:cfRule>
    <x:cfRule type="expression" dxfId="281" priority="23">
      <x:formula>AND(NOT($AY16),EZ16="ERR")</x:formula>
    </x:cfRule>
  </x:conditionalFormatting>
  <x:conditionalFormatting sqref="BS16:BS45">
    <x:cfRule type="expression" dxfId="280" priority="24">
      <x:formula>AND(NOT($AY16),OR($DE16="M",$DE16="C",AND($DE16="B",$DK16&lt;&gt;"")))</x:formula>
    </x:cfRule>
    <x:cfRule type="expression" dxfId="279" priority="25">
      <x:formula>AND(NOT($AY16),AND(BR16="X",BS16="",BT16=""))</x:formula>
    </x:cfRule>
    <x:cfRule type="expression" dxfId="278" priority="26">
      <x:formula>AND(NOT($AY16),FC16="ERR")</x:formula>
    </x:cfRule>
  </x:conditionalFormatting>
  <x:conditionalFormatting sqref="BT16:BT45">
    <x:cfRule type="expression" dxfId="277" priority="27">
      <x:formula>AND(NOT($AY16),OR($DE16="M",$DE16="C",AND($DE16="B",$DK16&lt;&gt;"")))</x:formula>
    </x:cfRule>
    <x:cfRule type="expression" dxfId="276" priority="28">
      <x:formula>AND(NOT($AY16),AND(BR16="X",BS16="",BT16=""))</x:formula>
    </x:cfRule>
    <x:cfRule type="expression" dxfId="275" priority="29">
      <x:formula>AND(NOT($AY16),FC16="ERR")</x:formula>
    </x:cfRule>
  </x:conditionalFormatting>
  <x:conditionalFormatting sqref="BP16:BP45">
    <x:cfRule type="expression" dxfId="274" priority="33">
      <x:formula>AND(NOT($AY16),OR($DE16="M",$DE16="C",AND($DE16="B",$DM16&gt;0)))</x:formula>
    </x:cfRule>
    <x:cfRule type="expression" dxfId="273" priority="34">
      <x:formula>AND(NOT($AY16),AND(BP16="",BQ16="",OR($DE16="B",$DE16="G")))</x:formula>
    </x:cfRule>
    <x:cfRule type="expression" dxfId="272" priority="35">
      <x:formula>AND(NOT($AY16),(BP16/2)/COS(RADIANS(BU16))+DF16-EC16&lt;VLOOKUP(AU16,$DF$2:$DJ$9,5,FALSE))</x:formula>
    </x:cfRule>
  </x:conditionalFormatting>
  <x:conditionalFormatting sqref="BQ16:BQ45">
    <x:cfRule type="expression" dxfId="271" priority="36">
      <x:formula>AND(NOT($AY16),OR($DE16="M",$DE16="C",AND($DE16="B",$DM16&gt;0)))</x:formula>
    </x:cfRule>
    <x:cfRule type="expression" dxfId="270" priority="37">
      <x:formula>AND(NOT($AY16),AND(BP16="",BQ16="",OR($DE16="B",$DE16="G")))</x:formula>
    </x:cfRule>
    <x:cfRule type="expression" dxfId="269" priority="38">
      <x:formula>AND(NOT($AY16),(BQ16/2)/COS(RADIANS(BU16))+DF16-EC16&lt;VLOOKUP(AU16,$DF$2:$DJ$9,5,FALSE))</x:formula>
    </x:cfRule>
  </x:conditionalFormatting>
  <x:conditionalFormatting sqref="BJ16:BJ45">
    <x:cfRule type="expression" dxfId="268" priority="44">
      <x:formula>AND(NOT($AY16),OR($CU16="C",AND($CU16="M",$DA16&gt;0)))</x:formula>
    </x:cfRule>
    <x:cfRule type="expression" dxfId="267" priority="45">
      <x:formula>AND(NOT($AY16),OR(NOT(IF(AND(OR(MID($BB16,1,1)="T",($BE16+$BF16/12)/IF(ABS($BW16)&gt;$DQ$1,COS($DO16),1)&gt;=40),OR($CU16="B",$CU16="G")),"X","")="X"),$EZ16="ERR"))</x:formula>
    </x:cfRule>
    <x:cfRule type="expression" dxfId="266" priority="46">
      <x:formula>AND(NOT($AY16),$BJ16&lt;&gt;"X",$BJ16&lt;&gt;IF(AND(OR(MID(BB16,1,1)="T",($BE16+$BF16/12)/IF(ABS($BW16)&gt;$DQ$1,COS($DO16),1)&gt;=40),OR($CU16="B",$CU16="G")),"X",""))</x:formula>
    </x:cfRule>
  </x:conditionalFormatting>
  <x:conditionalFormatting sqref="BR16:BR45">
    <x:cfRule type="expression" dxfId="265" priority="47">
      <x:formula>AND(NOT($AY16),OR($DE16="C",AND($DE16="M",$DK16&gt;0)))</x:formula>
    </x:cfRule>
    <x:cfRule type="expression" dxfId="264" priority="48">
      <x:formula>AND(NOT($AY16),OR(NOT(IF(AND(OR(MID($BB16,1,1)="T",($BE16+$BF16/12)/IF(ABS($BW16)&gt;$DQ$1,COS($DO16),1)&gt;=40),OR($DE16="B",$DE16="G")),"X","")="X"),$FC16="ERR"))</x:formula>
    </x:cfRule>
    <x:cfRule type="expression" dxfId="263" priority="49">
      <x:formula>AND(NOT($AY16),$BR16&lt;&gt;"X",$BR16&lt;&gt;IF(AND(OR(MID(BB16,1,1)="T",($BE16+$BF16/12)/IF(ABS($BW16)&gt;$DQ$1,COS($DO16),1)&gt;=40),OR($DE16="B",$DE16="G")),"X",""))</x:formula>
    </x:cfRule>
  </x:conditionalFormatting>
  <x:conditionalFormatting sqref="A16:B45 BB16:BC45">
    <x:cfRule type="expression" dxfId="262" priority="50">
      <x:formula>AND(NOT($AE$1),$B16=0,$AD$1="M")</x:formula>
    </x:cfRule>
  </x:conditionalFormatting>
  <x:conditionalFormatting sqref="U57">
    <x:cfRule type="expression" dxfId="261" priority="11" stopIfTrue="1">
      <x:formula>AND(NOT($AY57),NOT(AR57))</x:formula>
    </x:cfRule>
  </x:conditionalFormatting>
  <x:conditionalFormatting sqref="W57">
    <x:cfRule type="expression" dxfId="260" priority="13" stopIfTrue="1">
      <x:formula>AND(NOT($AY57),NOT(AT57))</x:formula>
    </x:cfRule>
  </x:conditionalFormatting>
  <x:conditionalFormatting sqref="T57">
    <x:cfRule type="expression" dxfId="259" priority="10" stopIfTrue="1">
      <x:formula>AND(NOT($AY57),NOT(AR57))</x:formula>
    </x:cfRule>
  </x:conditionalFormatting>
  <x:conditionalFormatting sqref="V57">
    <x:cfRule type="expression" dxfId="258" priority="12" stopIfTrue="1">
      <x:formula>AND(NOT($AY57),NOT(AT57))</x:formula>
    </x:cfRule>
  </x:conditionalFormatting>
  <x:conditionalFormatting sqref="C57">
    <x:cfRule type="expression" dxfId="257" priority="8" stopIfTrue="1">
      <x:formula>AND(NOT($AY57),NOT($AP57))</x:formula>
    </x:cfRule>
  </x:conditionalFormatting>
  <x:conditionalFormatting sqref="X57">
    <x:cfRule type="expression" dxfId="256" priority="4">
      <x:formula>$X57=0</x:formula>
    </x:cfRule>
  </x:conditionalFormatting>
  <x:conditionalFormatting sqref="D57:E57">
    <x:cfRule type="expression" dxfId="255" priority="9" stopIfTrue="1">
      <x:formula>AND(NOT($AY57),AND($AZ57,AND($AK57&lt;&gt;"HDR",$AK57&lt;&gt;"JS",$AJ57&gt;=8)))</x:formula>
    </x:cfRule>
  </x:conditionalFormatting>
  <x:conditionalFormatting sqref="A57:AA57">
    <x:cfRule type="expression" dxfId="254" priority="5">
      <x:formula>$AC57</x:formula>
    </x:cfRule>
  </x:conditionalFormatting>
  <x:conditionalFormatting sqref="AA57">
    <x:cfRule type="expression" dxfId="253" priority="6" stopIfTrue="1">
      <x:formula>AND(NOT($AY57),LEN(AA57)&gt;31)</x:formula>
    </x:cfRule>
  </x:conditionalFormatting>
  <x:conditionalFormatting sqref="A57:B57">
    <x:cfRule type="expression" dxfId="252" priority="7">
      <x:formula>AND(NOT($AE$1),$B57=0,$AD$1="M")</x:formula>
    </x:cfRule>
  </x:conditionalFormatting>
  <x:conditionalFormatting sqref="AA16:AA45">
    <x:cfRule type="expression" dxfId="251" priority="2">
      <x:formula>$AC16</x:formula>
    </x:cfRule>
  </x:conditionalFormatting>
  <x:conditionalFormatting sqref="AA16:AA45">
    <x:cfRule type="expression" dxfId="250" priority="3" stopIfTrue="1">
      <x:formula>AND(NOT($AY16),LEN(AA16)&gt;31)</x:formula>
    </x:cfRule>
  </x:conditionalFormatting>
  <x:conditionalFormatting sqref="GA16:GB45">
    <x:cfRule type="expression" dxfId="249"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6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6">
    <x:tabColor indexed="43"/>
  </x:sheetPr>
  <x:dimension ref="A1:IG104"/>
  <x:sheetViews>
    <x:sheetView showGridLines="0" zoomScaleNormal="100" zoomScaleSheetLayoutView="75" workbookViewId="0">
      <x:selection activeCell="GA30" sqref="GA30"/>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40 of 42</x:v>
      </x:c>
      <x:c r="Z7" s="822"/>
      <x:c r="AA7" s="444"/>
      <x:c r="AB7" s="449"/>
      <x:c r="AC7" s="1393">
        <x:v>40</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1566</x:v>
      </x:c>
      <x:c r="B16" s="1265">
        <x:v>1</x:v>
      </x:c>
      <x:c r="C16" s="1265" t="s">
        <x:v>1978</x:v>
      </x:c>
      <x:c r="D16" s="1261">
        <x:v>59</x:v>
      </x:c>
      <x:c r="E16" s="1366">
        <x:v>11.5</x:v>
      </x:c>
      <x:c r="F16" s="1328">
        <x:v>0</x:v>
      </x:c>
      <x:c r="G16" s="1262">
        <x:v>1.375</x:v>
      </x:c>
      <x:c r="H16" s="1266" t="s">
        <x:v>114</x:v>
      </x:c>
      <x:c r="I16" s="1261">
        <x:v>0</x:v>
      </x:c>
      <x:c r="J16" s="1262">
        <x:v>1.375</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x:v>0</x:v>
      </x:c>
      <x:c r="U16" s="1262">
        <x:v>2.25</x:v>
      </x:c>
      <x:c r="V16" s="1261">
        <x:v>0</x:v>
      </x:c>
      <x:c r="W16" s="1262">
        <x:v>2.25</x:v>
      </x:c>
      <x:c r="X16" s="1329">
        <x:v>4</x:v>
      </x:c>
      <x:c r="Y16" s="1377" t="str">
        <x:f t="shared" ref="Y16:Y44" si="7">FG16</x:f>
        <x:v/>
      </x:c>
      <x:c r="Z16" s="1378" t="str">
        <x:f t="shared" ref="Z16:Z44" si="8">FL16</x:f>
        <x:v/>
      </x:c>
      <x:c r="AA16" s="2159" t="s">
        <x:v>2096</x:v>
      </x:c>
      <x:c r="AC16" s="1226" t="b">
        <x:v>0</x:v>
      </x:c>
      <x:c r="AD16" s="525">
        <x:f t="shared" ref="AD16:AD45" si="9">IF($C16="",0,IF(SUM(AE16:AG16)&gt;0,0,IF(ISERROR(SEARCH("K",$C16,1))=TRUE,0,$B16)))</x:f>
        <x:v>0</x:v>
      </x:c>
      <x:c r="AE16" s="526">
        <x:f t="shared" ref="AE16:AE45" si="10">IF(ISERROR(SEARCH("LH",$C16,1))=TRUE,0,$B16)</x:f>
        <x:v>1</x:v>
      </x:c>
      <x:c r="AF16" s="526">
        <x:f t="shared" ref="AF16:AF45" si="11">IF(ISERROR(SEARCH("JS",$C16))=TRUE,IF(ISERROR(SEARCH("2.5K",$C16))=TRUE,0,$B16),$B16)</x:f>
        <x:v>0</x:v>
      </x:c>
      <x:c r="AG16" s="526">
        <x:f t="shared" ref="AG16:AG45" si="12">IF(ISERROR(SEARCH("HDR",$C16,1))=TRUE,0,$B16)</x:f>
        <x:v>0</x:v>
      </x:c>
      <x:c r="AH16" s="527">
        <x:f t="shared" ref="AH16:AH45" si="13">IF(ISERROR(SEARCH("CJ",$C16,1))=TRUE,0,$B16)</x:f>
        <x:v>0</x:v>
      </x:c>
      <x:c r="AI16" s="528" t="b">
        <x:v>0</x:v>
      </x:c>
      <x:c r="AJ16" s="284">
        <x:f t="shared" ref="AJ16:AJ45" si="14">IF(OR(ISERROR(VALUE(LEFT(C16,SEARCH(AK16,C16)-1))),AK16=""),0,VALUE(LEFT(C16,SEARCH(AK16,C16)-1)))</x:f>
        <x:v>36</x:v>
      </x:c>
      <x:c r="AK16" s="1063" t="str">
        <x:f t="shared" ref="AK16:AK45" si="15">IF(AV16="",AW16,AV16)</x:f>
        <x:v>LH</x:v>
      </x:c>
      <x:c r="AL16" s="1202" t="str">
        <x:f t="shared" ref="AL16:AL45" si="16">IF(AK16="","",IF(ISERROR(SEARCH("/",C16)),IF(VALUE(MID(C16,SEARCH(AK16,C16)+LEN(AK16),LEN(C16)))&gt;25,"",VALUE(MID(C16,SEARCH(AK16,C16)+LEN(AK16),LEN(C16)))),""))</x:f>
        <x:v/>
      </x:c>
      <x:c r="AM16" s="1063">
        <x:f t="shared" ref="AM16:AM45" si="17">IF(AK16="","",IF(ISERROR(SEARCH("/",C16)),IF(VALUE(MID(C16,SEARCH(AK16,C16)+LEN(AK16),LEN(C16)))&lt;26,"",VALUE(MID(C16,SEARCH(AK16,C16)+LEN(AK16),LEN(C16)))),VALUE(MID(C16,SEARCH(AK16,C16)+LEN(AK16),SEARCH("/",C16)-SEARCH(AK16,C16)-LEN(AK16)))))</x:f>
        <x:v>270</x:v>
      </x:c>
      <x:c r="AN16" s="1063">
        <x:f t="shared" ref="AN16:AN45" si="18">IF(AK16="","",IF(AK16="CJ",MID(MID(C16,SEARCH("/",C16)+1,LEN(C16)),1,SEARCH("/",MID(C16,SEARCH("/",C16)+1,LEN(C16)))-1),IF(ISERROR(SEARCH("/",C16)),"",VALUE(MID(C16,SEARCH("/",C16)+1,LEN(C16))))))</x:f>
        <x:v>120</x:v>
      </x:c>
      <x:c r="AO16" s="1063" t="str">
        <x:f t="shared" ref="AO16:AO45" si="19">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0">VLOOKUP(AK16,$DF$2:$DN$9,4,FALSE)+IF(LEFT(H16,1)="R",IF(ISNUMBER(F16),F16*12,0)+IF(ISNUMBER(G16),G16,0),0)</x:f>
        <x:v>7.375</x:v>
      </x:c>
      <x:c r="AR16" s="1305" t="b">
        <x:f t="shared" ref="AR16:AR45" si="21">IF(IF(ISNUMBER(T16),T16*12,0)+IF(ISNUMBER(U16),U16,0)&gt;0,IF(AND((IF(ISNUMBER(T16),T16*12,0)+IF(ISNUMBER(U16),U16,0))&gt;=1,(IF(ISNUMBER(T16),T16*12,0)+IF(ISNUMBER(U16),U16,0))&lt;=(AQ16-1)+IF(H16="X",2,0)),TRUE,FALSE),FALSE)</x:f>
        <x:v>1</x:v>
      </x:c>
      <x:c r="AS16" s="1305">
        <x:f t="shared" ref="AS16:AS45" si="22">VLOOKUP(AK16,$DF$2:$DN$9,4,FALSE)+IF(LEFT(K16,1)="R",(IF(ISNUMBER(I16),I16*12,0)+IF(ISNUMBER(J16),J16,0)),0)</x:f>
        <x:v>7.375</x:v>
      </x:c>
      <x:c r="AT16" s="1305" t="b">
        <x:f t="shared" ref="AT16:AT45" si="23">IF(IF(ISNUMBER(V16),V16*12,0)+IF(ISNUMBER(W16),W16,0)&gt;0,IF(AND((IF(ISNUMBER(V16),V16*12,0)+IF(ISNUMBER(W16),W16,0))&gt;=1,(IF(ISNUMBER(V16),V16*12,0)+IF(ISNUMBER(W16),W16,0))&lt;=(AS16-1)+IF(K16="X",2,0)),TRUE,FALSE),FALSE)</x:f>
        <x:v>1</x:v>
      </x:c>
      <x:c r="AU16" s="1203" t="str">
        <x: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25">IF(NOT(ISERROR(SEARCH("KCSR",C16))),"KCSR",IF(NOT(ISERROR(SEARCH("KCSA",C16))),"KCSA",IF(NOT(ISERROR(SEARCH("KCS",C16))),"KCS",IF(NOT(ISERROR(SEARCH("KR",C16))),"KR",IF(NOT(ISERROR(SEARCH("KA",C16))),"KA",IF(NOT(ISERROR(SEARCH("K",C16))),"K",IF(NOT(ISERROR(SEARCH("CJ",C16))),"CJ","")))))))</x:f>
        <x:v/>
      </x:c>
      <x:c r="AW16" s="1063" t="str">
        <x:f t="shared" ref="AW16:AW45" si="26">IF(NOT(ISERROR(SEARCH("HDR",C16))),"HDR",IF(NOT(ISERROR(SEARCH("JS",C16))),"JS",IF(NOT(ISERROR(SEARCH("SLH",C16))),"SLH",IF(NOT(ISERROR(SEARCH("DLH",C16))),"DLH",IF(NOT(ISERROR(SEARCH("LH",C16))),"LH","")))))</x:f>
        <x:v>LH</x:v>
      </x:c>
      <x:c r="AX16" s="1063" t="str">
        <x:f>IF(OR(ISBLANK(A16),A16=""),"",A16)</x:f>
        <x:v>TJ242</x:v>
      </x:c>
      <x:c r="AY16" s="1306" t="b">
        <x:f t="shared" ref="AY16:AY45" si="27">IF($AE$1,IF(AX16=AX15,AY15,IF(AND(AX16&lt;&gt;"",OR(B16=0,B16="")),TRUE,FALSE)),FALSE)</x:f>
        <x:v>0</x:v>
      </x:c>
      <x:c r="AZ16" s="1090" t="b">
        <x:f t="shared" ref="AZ16:AZ45" si="28">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29">IF(CY16="","","X")</x:f>
        <x:v/>
      </x:c>
      <x:c r="CE16" s="925" t="str">
        <x:f t="shared" ref="CE16:CE45" si="30">IF(DI16="","","X")</x:f>
        <x:v/>
      </x:c>
      <x:c r="CF16" s="1147"/>
      <x:c r="CG16" s="1148"/>
      <x:c r="CH16" s="730" t="str">
        <x:f t="shared" ref="CH16:CH45" si="31">IF(EJ16=EK16,IF(EK16="ERR","ERR",""),CONCATENATE(IF(BM16&lt;0,"NS ","FS "),IF(EK16="ERR","Slot Only",CONCATENATE("Slot @ ",EJ16))))</x:f>
        <x:v/>
      </x:c>
      <x:c r="CI16" s="731" t="str">
        <x:f t="shared" ref="CI16:CI45" si="32">IF(EQ16=ER16,IF(ER16="ERR","ERR",""),CONCATENATE(IF(BU16&lt;0,"FS ","NS "),IF(ER16="ERR","Slot Only",CONCATENATE("Slot @ ",EQ16))))</x:f>
        <x:v/>
      </x:c>
      <x:c r="CJ16" s="732" t="str">
        <x:f t="shared" ref="CJ16:CJ45" si="33">IF(EV16="","",IF(AND(DB16&lt;&gt;EV16,OR(NOT(ISBLANK(BJ16)),CU16="C")),CONCATENATE("LE slots @ ",DB16," Ga."),IF(AND(DL16&lt;&gt;EV16,OR(NOT(ISBLANK(BR16)),DE16="C")),CONCATENATE("RE slots @ ",DL16," Ga."),"")))</x:f>
        <x:v/>
      </x:c>
      <x:c r="CK16" s="733" t="str">
        <x:f t="shared" ref="CK16:CK45" si="34">IF(AND(CP16&lt;&gt;"",BM16&lt;&gt;"",CQ16&lt;&gt;"",BU16&lt;&gt;""),"BE",IF(AND(CP16&lt;&gt;"",BM16&lt;&gt;""),"LE",IF(AND(CQ16&lt;&gt;"",BU16&lt;&gt;""),"RE","")))</x:f>
        <x:v/>
      </x:c>
      <x:c r="CL16" s="734" t="str">
        <x:f t="shared" ref="CL16:CL45" si="35">IF(ISBLANK(CB16),"",CEILING(DV16,0.125))</x:f>
        <x:v/>
      </x:c>
      <x:c r="CM16" s="735" t="str">
        <x:f t="shared" ref="CM16:CM45" si="36">IF(ISBLANK(CC16),"",CEILING(EB16,0.125))</x:f>
        <x:v/>
      </x:c>
      <x:c r="CN16" s="736" t="str">
        <x:f t="shared" ref="CN16:CN45" si="37">IF(AND(BW16&lt;&gt;0,BM16&lt;&gt;0),BW16*COS(RADIANS(90-BM16))/(1/COS(RADIANS(90-BM16)))*-1,"")</x:f>
        <x:v/>
      </x:c>
      <x:c r="CO16" s="737" t="str">
        <x:f t="shared" ref="CO16:CO45" si="38">IF(AND(BW16&lt;&gt;0,BU16&lt;&gt;0),BW16*COS(RADIANS(90-BU16))/(1/COS(RADIANS(90-BU16))),"")</x:f>
        <x:v/>
      </x:c>
      <x:c r="CP16" s="760" t="str">
        <x:f t="shared" ref="CP16:CP45" si="39">IF(BG16="","",IF(AU16="JS","",IF(VLOOKUP(AU16,$DF$2:$DN$9,5,FALSE)&gt;FO16,IF(FO16&gt;=0.0625,CEILING(FO16-0.0625,0.125),FO16),"")))</x:f>
        <x:v/>
      </x:c>
      <x:c r="CQ16" s="761" t="str">
        <x:f t="shared" ref="CQ16:CQ45" si="40">IF(BO16="","",IF(AU16="JS","",IF(VLOOKUP(AU16,$DF$2:$DN$9,5,FALSE)&gt;FP16,IF(FP16&gt;=0.0625,CEILING(FP16-0.0625,0.125),FP16),"")))</x:f>
        <x:v/>
      </x:c>
      <x:c r="CR16" s="951">
        <x:f t="shared" ref="CR16:CR45" si="41">IF(AU16="","",IF(ABS(FF16)&lt;ABS($CX$2),VLOOKUP(AU16,$DF$2:$DN$9,3,FALSE),CEILING(VLOOKUP(AU16,$DF$2:$DN$9,3,FALSE)/COS(FE16)+0.375+IF(CU16="M",IF(FE16&gt;0,(DV16-DW16)/12,0),IF(FE16&gt;0,0,(DV16-CV16)/12))*ABS(FF16),0.125)))</x:f>
        <x:v>5</x:v>
      </x:c>
      <x:c r="CS16" s="952">
        <x:f t="shared" ref="CS16:CS45" si="42">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3">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4">BV16*-1</x:f>
        <x:v>0</x:v>
      </x:c>
      <x:c r="DO16" s="1094">
        <x:f t="shared" ref="DO16:DO45" si="45">IF(BW16="",0,ATAN(BW16/12))</x:f>
        <x:v>0</x:v>
      </x:c>
      <x:c r="DP16" s="1095" t="str">
        <x:f t="shared" ref="DP16:DP45" si="46">IF(OR(CV16="",BE16="",DF16=""),"",CEILING(IF(AND(BE16="",BF16=""),"",((BE16*12+BF16)+CV16+DF16)/COS(FN16))-0.0625,0.125))</x:f>
        <x:v/>
      </x:c>
      <x:c r="DQ16" s="1095" t="str">
        <x:f t="shared" ref="DQ16:DQ45" si="47">IF(AU16="","",IF(ABS(FF16)&lt;ABS($CX$2),CX16,IF(FF16=0,CX16,CEILING((CX16+((DW16-CV16)/12)*FF16)-0.0625,0.125))))</x:f>
        <x:v/>
      </x:c>
      <x:c r="DR16" s="1095" t="str">
        <x:f t="shared" ref="DR16:DR45" si="48">IF(AU16="","",IF(ABS(FK16)&lt;ABS($CX$2),DH16,IF(FK16=0,DH16,CEILING((DH16+((EC16-DF16)/12)*FK16)-0.0625,0.125))))</x:f>
        <x:v/>
      </x:c>
      <x:c r="DS16" s="1096">
        <x:f t="shared" ref="DS16:DS45" si="49">IF(BM16="",0,RADIANS(ABS(BM16)))</x:f>
        <x:v>0</x:v>
      </x:c>
      <x:c r="DT16" s="1052">
        <x:f t="shared" ref="DT16:DT45" si="50">MIN(IF(BH16&gt;0,BH16/2,MAX(BI16/2,DC16)),IF(BI16&gt;0,BI16/2,MAX(BH16/2,DC16)),IF(DC16&gt;0,DC16,MAX(BI16/2,BH16/2)))/IF(OR(CU16="C",AND(CU16="M",$DD$1="N")),1,COS(DS16))</x:f>
        <x:v>0</x:v>
      </x:c>
      <x:c r="DU16" s="1052" t="str">
        <x:f t="shared" ref="DU16:DU45" si="51">IF(CV16="","",IF(DC16&gt;=0,MAX(BH16/2,BI16/2,DC16),DC16)/IF(OR(CU16="C",AND(CU16="M",$DD$1="N")),1,COS(DS16)))</x:f>
        <x:v/>
      </x:c>
      <x:c r="DV16" s="1095" t="str">
        <x:f t="shared" ref="DV16:DV45" si="52">IF(CV16="","",(CV16+DU16+(VLOOKUP(IF(AU16="HDR","K",AU16),$DF$2:$DN$9,2,FALSE))*TAN(DS16))/COS(FD16)-FH16)</x:f>
        <x:v/>
      </x:c>
      <x:c r="DW16" s="1095" t="str">
        <x:f t="shared" ref="DW16:DW45" si="53">IF(CV16="","",MAX(0,IF(NOT(ISBLANK(CB16)),CV16-CB16,DV16-VLOOKUP(IF(AU16="HDR","K",AU16),$DF$2:$DN$9,4,FALSE))))</x:f>
        <x:v/>
      </x:c>
      <x:c r="DX16" s="1451">
        <x:f t="shared" ref="DX16:DX45" si="54">IF(CV16="",0,IF(DW16/COS(FN16-FD16)&lt;0.0625,0,CEILING(DW16/COS(FN16-FD16)-0.03125,0.125)))</x:f>
        <x:v>0</x:v>
      </x:c>
      <x:c r="DY16" s="1095">
        <x:f t="shared" ref="DY16:DY45" si="55">RADIANS(ABS(BU16))</x:f>
        <x:v>0</x:v>
      </x:c>
      <x:c r="DZ16" s="1052">
        <x:f t="shared" ref="DZ16:DZ45" si="56">MIN(IF(BP16&gt;0,BP16/2,MAX(BQ16/2,DM16)),IF(BQ16&gt;0,BQ16/2,MAX(BP16/2,DM16)),IF(DM16&gt;0,DM16,MAX(BQ16/2,BP16/2)))/IF(OR(DE16="C",AND(DE16="M",$DD$1="N")),1,COS(DY16))</x:f>
        <x:v>0</x:v>
      </x:c>
      <x:c r="EA16" s="1052" t="str">
        <x:f t="shared" ref="EA16:EA45" si="57">IF(DF16="","",IF(DM16&gt;=0,MAX(BP16/2,BQ16/2,DM16),DM16)/IF(OR(DE16="C",AND(DE16="M",$DD$1="N")),1,COS(DY16)))</x:f>
        <x:v/>
      </x:c>
      <x:c r="EB16" s="1095" t="str">
        <x:f t="shared" ref="EB16:EB45" si="58">IF(DF16="","",(DF16+EA16+(VLOOKUP(IF(AU16="HDR","K",AU16),$DF$2:$DN$9,2,FALSE))*TAN(DY16))/COS(FI16)-FM16)</x:f>
        <x:v/>
      </x:c>
      <x:c r="EC16" s="1095" t="str">
        <x:f t="shared" ref="EC16:EC45" si="59">IF(DF16="","",MAX(0,IF(NOT(ISBLANK(CC16)),DF16-CC16,EB16-VLOOKUP(IF(AU16="HDR","K",AU16),$DF$2:$DN$9,4,FALSE))))</x:f>
        <x:v/>
      </x:c>
      <x:c r="ED16" s="1451">
        <x:f t="shared" ref="ED16:ED45" si="60">IF(DF16="",0,IF(EC16/COS(FN16+FI16)&lt;0.0625,0,CEILING(EC16/COS(FN16+FI16)-0.03125,0.125)))</x:f>
        <x:v>0</x:v>
      </x:c>
      <x:c r="EE16" s="1107" t="str">
        <x:f t="shared" ref="EE16:EE45" si="61">IF(AND(EZ16="",DA16=""),"",IF(EZ16="ERR","ERR",IF(CU16="C",DA16,IF(BJ16="","",IF(DA16="",(EZ16/2)*-1,DA16)))))</x:f>
        <x:v/>
      </x:c>
      <x:c r="EF16" s="1095" t="str">
        <x:f t="shared" ref="EF16:EF45" si="62">IF(EE16="ERR","ERR",IF(EE16="","",IF(DB16*TAN(DS16)&lt;=(VLOOKUP(AU16,$DF$2:$DN$9,8,FALSE)-(VLOOKUP(AU16,$DF$2:$DN$9,7,FALSE)-0.0625)),CV16-(EE16-FH16)/IF(OR(CU16="C",AND(CU16="M",$DD$1="N")),1,COS(DS16))-IF(MID(CW16,1,1)="R",0,DW16),(ABS(EE16-FH16)/IF(OR(CU16="C",AND(CU16="M",$DD$1="N")),1,COS(DS16))+CV16)-((DB16/2)*TAN(DS16))-IF(MID(CW16,1,1)="R",0,DW16))))</x:f>
        <x:v/>
      </x:c>
      <x:c r="EG16" s="1095" t="str">
        <x:f t="shared" ref="EG16:EG45" si="63">IF(EE16="ERR","ERR",IF(EE16="","",IF(DB16*TAN(DS16)&lt;=(VLOOKUP(AU16,$DF$2:$DN$9,8,FALSE)-(VLOOKUP(AU16,$DF$2:$DN$9,7,FALSE)-0.0625)),CV16-(EE16-FH16)/IF(OR(CU16="C",AND(CU16="M",$DD$1="N")),1,COS(DS16))-IF(MID(CW16,1,1)="R",0,DW16),(ABS(EE16-FH16)/IF(OR(CU16="C",AND(CU16="M",$DD$1="N")),1,COS(DS16))+CV16)+((DB16/2)*TAN(DS16))-IF(MID(CW16,1,1)="R",0,DW16))))</x:f>
        <x:v/>
      </x:c>
      <x:c r="EH16" s="1095" t="str">
        <x:f t="shared" ref="EH16:EH45" si="64">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5">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6">IF(ISERROR(EF16),"ERR",IF(EF16="","",IF(EH16="ERR","ERR",CEILING(EH16-0.0625,0.125))))</x:f>
        <x:v/>
      </x:c>
      <x:c r="EK16" s="1095" t="str">
        <x:f t="shared" si="66"/>
        <x:v/>
      </x:c>
      <x:c r="EL16" s="1107" t="str">
        <x:f t="shared" ref="EL16:EL45" si="67">IF(AND(FC16="",DK16=""),"",IF(FC16="ERR","ERR",IF(DE16="C",DK16,IF(BR16="","",IF(DK16="",(FC16/2)*-1,DK16)))))</x:f>
        <x:v/>
      </x:c>
      <x:c r="EM16" s="1095" t="str">
        <x:f t="shared" ref="EM16:EM45" si="68">IF(EL16="ERR","ERR",IF(EL16="","",IF(DL16*TAN(DY16)&lt;=(VLOOKUP(AU16,$DF$2:$DN$9,8,FALSE)-(VLOOKUP(AU16,$DF$2:$DN$9,7,FALSE)-0.0625)),DF16-(EL16-FM16)/IF(OR(DE16="C",AND(DE16="M",$DD$1="N")),1,COS(DY16))-IF(MID(DG16,1,1)="R",0,EC16),(ABS(EL16-FM16)/IF(OR(DE16="C",AND(DE16="M",$DD$1="N")),1,COS(DY16))+DF16)-((DL16/2)*TAN(DY16))-IF(MID(DG16,1,1)="R",0,EC16))))</x:f>
        <x:v/>
      </x:c>
      <x:c r="EN16" s="1095" t="str">
        <x:f t="shared" ref="EN16:EN45" si="69">IF(EL16="ERR","ERR",IF(EL16="","",IF(DL16*TAN(DY16)&lt;=(VLOOKUP(AU16,$DF$2:$DN$9,8,FALSE)-(VLOOKUP(AU16,$DF$2:$DN$9,7,FALSE)-0.0625)),DF16-(EL16-FM16)/IF(OR(DE16="C",AND(DE16="M",$DD$1="N")),1,COS(DY16))-IF(MID(DG16,1,1)="R",0,EC16),(ABS(EL16-FM16)/IF(OR(DE16="C",AND(DE16="M",$DD$1="N")),1,COS(DY16))+DF16)+((DL16/2)*TAN(DY16))-IF(MID(DG16,1,1)="R",0,EC16))))</x:f>
        <x:v/>
      </x:c>
      <x:c r="EO16" s="1095" t="str">
        <x:f t="shared" ref="EO16:EO45" si="70">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1">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2">IF(ISERROR(EM16),"ERR",IF(EM16="","",IF(EO16="ERR","ERR",CEILING(EO16-0.0625,0.125))))</x:f>
        <x:v/>
      </x:c>
      <x:c r="ER16" s="1095" t="str">
        <x:f t="shared" si="72"/>
        <x:v/>
      </x:c>
      <x:c r="ES16" s="1053" t="str">
        <x:f t="shared" ref="ES16:ES45" si="73">IF(OR(CY16="",AU16="JS",AU16="HDR",CD16=""),"",IF((CV16-CY16)/COS(DO16)-FS16&lt;=-0.0625,CEILING((CV16-CY16)/COS(DO16)-FS16+0.0625,-0.125),IF((CV16-CY16)/COS(DO16)-FS16&gt;=0.0625,CEILING((CV16-CY16)/COS(DO16)-FS16-0.0625,0.125),0)))</x:f>
        <x:v/>
      </x:c>
      <x:c r="ET16" s="1053" t="str">
        <x:f t="shared" ref="ET16:ET45" si="74">IF(OR(DI16="",AU16="JS",AU16="HDR",CE16=""),"",IF((DF16-DI16)/COS(DO16)-FT16&lt;=-0.0625,CEILING((DF16-DI16)/COS(DO16)-FT16+0.0625,-0.125),IF((DF16-DI16)/COS(DO16)-FT16&gt;=0.0625,CEILING((DF16-DI16)/COS(DO16)-FT16-0.0625,0.125),0)))</x:f>
        <x:v/>
      </x:c>
      <x:c r="EU16" s="1097">
        <x:f t="shared" ref="EU16:EU45" si="75">IF(AU16="","",VLOOKUP(AU16,$DF$2:$DN$9,6,FALSE))</x:f>
        <x:v>4</x:v>
      </x:c>
      <x:c r="EV16" s="1055" t="str">
        <x:f t="shared" ref="EV16:EV45" si="76">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77">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78">IF(BR16="X",IF(OR(DE16="M",DE16="C"),"",IF((FB16-FA16)/2&lt;=(VLOOKUP(AU16,$DF$2:$DN$9,8,FALSE)-(VLOOKUP(AU16,$DF$2:$DN$9,7,FALSE)-0.0625)),(FA16+FB16)/2,"ERR")),"")</x:f>
        <x:v/>
      </x:c>
      <x:c r="FD16" s="1096">
        <x:f>IF(DD16="",0,ATAN(DD16/12))</x:f>
        <x:v>0</x:v>
      </x:c>
      <x:c r="FE16" s="1096">
        <x:f t="shared" ref="FE16:FE45" si="79">DO16-FD16</x:f>
        <x:v>0</x:v>
      </x:c>
      <x:c r="FF16" s="1096">
        <x:f t="shared" ref="FF16:FF45" si="80">TAN(FE16)*12</x:f>
        <x:v>0</x:v>
      </x:c>
      <x:c r="FG16" s="1096" t="str">
        <x:f t="shared" ref="FG16:FG45" si="81">IF(FF16=0,"",IF(ABS(FF16)&lt;$CX$2,IF(AND(ABS(MIN(DV16,FQ16)/12*FF16)&gt;$DD$2,FF16&gt;0),IF(FF16&gt;0,CEILING(FF16-0.0625,0.125),CEILING(FF16+0.0625,-0.125)),""),IF(FF16&gt;0,CEILING(FF16-0.0625,0.125),CEILING(FF16+0.0625,-0.125))))</x:f>
        <x:v/>
      </x:c>
      <x:c r="FH16" s="1095" t="str">
        <x:f t="shared" ref="FH16:FH45" si="82">IF(CX16="","",CX16*TAN(FD16))</x:f>
        <x:v/>
      </x:c>
      <x:c r="FI16" s="1096">
        <x:f>IF(DN16="",0,ATAN(DN16/12))</x:f>
        <x:v>0</x:v>
      </x:c>
      <x:c r="FJ16" s="1096">
        <x:f t="shared" ref="FJ16:FJ45" si="83">DO16+FI16</x:f>
        <x:v>0</x:v>
      </x:c>
      <x:c r="FK16" s="1096">
        <x:f t="shared" ref="FK16:FK45" si="84">TAN(FJ16)*-12</x:f>
        <x:v>0</x:v>
      </x:c>
      <x:c r="FL16" s="1096" t="str">
        <x:f t="shared" ref="FL16:FL45" si="85">IF(FK16=0,"",IF(ABS(FK16)&lt;$CX$2,IF(AND(ABS(MIN(EB16,FR16)/12*FK16)&gt;$DD$2,FK16&gt;0),IF(FK16&gt;0,CEILING(FK16-0.0625,0.125),CEILING(FK16+0.0625,-0.125)),""),IF(FK16&gt;0,CEILING(FK16-0.0625,0.125),CEILING(FK16+0.0625,-0.125))))</x:f>
        <x:v/>
      </x:c>
      <x:c r="FM16" s="1095" t="str">
        <x:f t="shared" ref="FM16:FM45" si="86">IF(DH16="","",DH16*TAN(FI16))</x:f>
        <x:v/>
      </x:c>
      <x:c r="FN16" s="1095" t="e">
        <x:f t="shared" ref="FN16:FN45" si="87">IF(((BE16*12+BF16)+CV16+DF16)/COS(DO16)-((BE16*12+BF16)+CV16+DF16)&lt;$DB$2,0,DO16)</x:f>
        <x:v>#VALUE!</x:v>
      </x:c>
      <x:c r="FO16" s="1098" t="e">
        <x:f t="shared" ref="FO16:FO45" si="88">MIN(IF(BH16&gt;0,BH16/2,MAX(BI16/2,DC16)),IF(BI16&gt;0,BI16/2,MAX(BH16/2,DC16)),IF(DC16&gt;0,DC16,MAX(BI16/2,BH16/2)))/COS(DS16)+CV16-DW16</x:f>
        <x:v>#VALUE!</x:v>
      </x:c>
      <x:c r="FP16" s="1098" t="e">
        <x:f t="shared" ref="FP16:FP45" si="89">MIN(IF(BP16&gt;0,BP16/2,MAX(BQ16/2,DM16)),IF(BQ16&gt;0,BQ16/2,MAX(BP16/2,DM16)),IF(DM16&gt;0,DM16,MAX(BQ16/2,BP16/2)))/COS(DY16)+DF16-EC16</x:f>
        <x:v>#VALUE!</x:v>
      </x:c>
      <x:c r="FQ16" s="1099" t="e">
        <x:f t="shared" ref="FQ16:FQ45" si="90">IF(OR(CU16="M", CU16="B",CU16="G"),MAX(BH16,BI16),DC16+CV16)</x:f>
        <x:v>#VALUE!</x:v>
      </x:c>
      <x:c r="FR16" s="1100" t="e">
        <x:f t="shared" ref="FR16:FR45" si="91">IF(OR(DE16="M", DE16="B",DE16="G"),MAX(BP16,BQ16),DM16+DF16)</x:f>
        <x:v>#VALUE!</x:v>
      </x:c>
      <x:c r="FS16" s="1101" t="str">
        <x:f t="shared" ref="FS16:FS45" si="92">IF(CY16="","",IF(ABS(BW16*((AJ16-IF(BW16&gt;0,VLOOKUP(AU16,$DF$2:$DN$9,9,FALSE),0))/12))&gt;$CZ$2,BW16*((AJ16-IF(BW16&gt;0,VLOOKUP(AU16,$DF$2:$DN$9,9,FALSE),0))/12),0))</x:f>
        <x:v/>
      </x:c>
      <x:c r="FT16" s="1102" t="str">
        <x:f t="shared" ref="FT16:FT45" si="93">IF(DI16="","",IF(ABS(BW16*((AJ16-IF(BW16&lt;0,VLOOKUP(AU16,$DF$2:$DN$9,9,FALSE),0))/12))&gt;$CZ$2,BW16*((AJ16-IF(BW16&lt;0,VLOOKUP(AU16,$DF$2:$DN$9,9,FALSE),0))/12)*-1,0))</x:f>
        <x:v/>
      </x:c>
      <x:c r="FU16" s="1103">
        <x:f t="shared" ref="FU16:FU45" si="94">IF(CX16="",0,MAX(0,MIN(DV16-VLOOKUP(AU16,DF$2:DN$9,4,FALSE),(MAX(0,CX16-VLOOKUP(AU16,DF$2:DN$9,3,FALSE))+VLOOKUP(AU16,DF$2:DN$9,4,FALSE))*COS(DO16)+((MAX(0,CX16-VLOOKUP(AU16,DF$2:DN$9,3,FALSE))+VLOOKUP(AU16,DF$2:DN$9,4,FALSE))*COS(PI()/2-DO16))/TAN(PI()/2-(DO16+PI()/4))-VLOOKUP(AU16,DF$2:DN$9,4,FALSE))))</x:f>
        <x:v>0</x:v>
      </x:c>
      <x:c r="FV16" s="1104">
        <x:f t="shared" ref="FV16:FV45" si="95">IF(DH16="",0,MAX(0,MIN(EB16-VLOOKUP(AU16,DF$2:DN$9,4,FALSE),(MAX(0,DH16-VLOOKUP(AU16,DF$2:DN$9,3,FALSE))+VLOOKUP(AU16,DF$2:DN$9,4,FALSE))*COS(DO16)+((MAX(0,DH16-VLOOKUP(AU16,DF$2:DN$9,3,FALSE))+VLOOKUP(AU16,DF$2:DN$9,4,FALSE))*COS(PI()/2-DO16))/TAN(PI()/2-(DO16+PI()/4))-VLOOKUP(AU16,DF$2:DN$9,4,FALSE))))</x:f>
        <x:v>0</x:v>
      </x:c>
      <x:c r="GA16" s="1975">
        <x:v>60</x:v>
      </x:c>
      <x:c r="GB16" s="1976">
        <x:v>0</x:v>
      </x:c>
      <x:c r="GC16" s="1977">
        <x:v>-0.25</x:v>
      </x:c>
      <x:c r="GD16" s="1978">
        <x:v>-0.25</x:v>
      </x:c>
      <x:c r="GE16" s="1979">
        <x:v>-0.25</x:v>
      </x:c>
      <x:c r="GF16" s="1980" t="str">
        <x:f t="shared" ref="GF16:GF45" si="96">IF(A16=0,"",A16)</x:f>
        <x:v>TJ242</x:v>
      </x:c>
      <x:c r="GG16" s="1453"/>
      <x:c r="GH16" s="1454"/>
      <x:c r="GI16" s="1453"/>
      <x:c r="GJ16" s="1454"/>
      <x:c r="GK16" s="533">
        <x:f t="shared" ref="GK16:GK45" si="97">IF(D16="",0,D16*12+E16)</x:f>
        <x:v>719.5</x:v>
      </x:c>
      <x:c r="GL16" s="534">
        <x:f t="shared" ref="GL16:GL45" si="98">(GA16*12+GB16+GC16+GD16)/COS(ATAN(ABS(GE16/12)))</x:f>
        <x:v>719.65612455429505</x:v>
      </x:c>
      <x:c r="GM16" s="535">
        <x:f>IF(ABS(GK16-GL16)&gt;='Job Info.'!$L$22,ABS(GK16-GL16),0)</x:f>
        <x:v>0</x:v>
      </x:c>
      <x:c r="HA16" s="1652" t="s">
        <x:v>1566</x:v>
      </x:c>
      <x:c r="HB16" s="1653">
        <x:v>1</x:v>
      </x:c>
      <x:c r="HC16" s="1653" t="s">
        <x:v>1978</x:v>
      </x:c>
      <x:c r="HD16" s="1654">
        <x:v>59</x:v>
      </x:c>
      <x:c r="HE16" s="1655">
        <x:v>11.5</x:v>
      </x:c>
      <x:c r="HF16" s="1653">
        <x:v>0</x:v>
      </x:c>
      <x:c r="HG16" s="1653">
        <x:v>1.375</x:v>
      </x:c>
      <x:c r="HH16" s="1653" t="s">
        <x:v>114</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x:v>0</x:v>
      </x:c>
      <x:c r="HU16" s="1653">
        <x:v>2.25</x:v>
      </x:c>
      <x:c r="HV16" s="1653">
        <x:v>0</x:v>
      </x:c>
      <x:c r="HW16" s="1655">
        <x:v>2.25</x:v>
      </x:c>
      <x:c r="HX16" s="1655">
        <x:v>4</x:v>
      </x:c>
      <x:c r="HY16" s="1655" t="s">
        <x:v>117</x:v>
      </x:c>
      <x:c r="HZ16" s="1655" t="s">
        <x:v>117</x:v>
      </x:c>
      <x:c r="IA16" s="1655" t="s">
        <x:v>2096</x:v>
      </x:c>
      <x:c r="IB16" s="1655"/>
      <x:c r="IC16" s="1655"/>
      <x:c r="ID16" s="1655"/>
      <x:c r="IE16" s="1655"/>
      <x:c r="IF16" s="1657"/>
    </x:row>
    <x:row r="17" spans="1:240" ht="12.6" customHeight="1" x14ac:dyDescent="0.25">
      <x:c r="A17" s="1264" t="s">
        <x:v>1567</x:v>
      </x:c>
      <x:c r="B17" s="1265">
        <x:v>6</x:v>
      </x:c>
      <x:c r="C17" s="1265" t="s">
        <x:v>1978</x:v>
      </x:c>
      <x:c r="D17" s="1261">
        <x:v>59</x:v>
      </x:c>
      <x:c r="E17" s="1366">
        <x:v>11.5</x:v>
      </x:c>
      <x:c r="F17" s="1328">
        <x:v>0</x:v>
      </x:c>
      <x:c r="G17" s="1262">
        <x:v>1.375</x:v>
      </x:c>
      <x:c r="H17" s="1266" t="s">
        <x:v>114</x:v>
      </x:c>
      <x:c r="I17" s="1261">
        <x:v>0</x:v>
      </x:c>
      <x:c r="J17" s="1262">
        <x:v>1.375</x:v>
      </x:c>
      <x:c r="K17" s="1370" t="s">
        <x:v>114</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t="str">
        <x:f t="shared" ref="T17:T44" si="99">IF(CH17="ERR","",IF(EK17="","",IF(EK17="ERR",TRUNC(EJ17/12),TRUNC(EK17/12))))</x:f>
        <x:v/>
      </x:c>
      <x:c r="U17" s="1262" t="str">
        <x:f t="shared" ref="U17:U44" si="100">IF(CH17="ERR","",IF(EK17="","",IF(EK17="ERR",EJ17-(T17*12),EK17-(T17*12))))</x:f>
        <x:v/>
      </x:c>
      <x:c r="V17" s="1261" t="str">
        <x:f t="shared" ref="V17:V44" si="101">IF(CI17="ERR","",IF(ER17="","",IF(ER17="ERR",TRUNC(EQ17/12),TRUNC(ER17/12))))</x:f>
        <x:v/>
      </x:c>
      <x:c r="W17" s="1262" t="str">
        <x:f t="shared" ref="W17:W44" si="102">IF(CI17="ERR","",IF(ER17="","",IF(ER17="ERR",EQ17-(V17*12),ER17-(V17*12))))</x:f>
        <x:v/>
      </x:c>
      <x:c r="X17" s="1329">
        <x:f t="shared" ref="X17:X44" si="103">IF(EV17="",0,EV17)</x:f>
        <x:v>0</x:v>
      </x:c>
      <x:c r="Y17" s="1377" t="str">
        <x:f t="shared" si="7"/>
        <x:v/>
      </x:c>
      <x:c r="Z17" s="1378" t="str">
        <x:f t="shared" si="8"/>
        <x:v/>
      </x:c>
      <x:c r="AA17" s="2159" t="s">
        <x:v>2097</x:v>
      </x:c>
      <x:c r="AC17" s="1226" t="b">
        <x:v>0</x:v>
      </x:c>
      <x:c r="AD17" s="525">
        <x:f t="shared" si="9"/>
        <x:v>0</x:v>
      </x:c>
      <x:c r="AE17" s="526">
        <x:f t="shared" si="10"/>
        <x:v>6</x:v>
      </x:c>
      <x:c r="AF17" s="526">
        <x:f t="shared" si="11"/>
        <x:v>0</x:v>
      </x:c>
      <x:c r="AG17" s="526">
        <x:f t="shared" si="12"/>
        <x:v>0</x:v>
      </x:c>
      <x:c r="AH17" s="527">
        <x:f t="shared" si="13"/>
        <x:v>0</x:v>
      </x:c>
      <x:c r="AI17" s="528" t="b">
        <x:v>0</x:v>
      </x:c>
      <x:c r="AJ17" s="284">
        <x:f t="shared" si="14"/>
        <x:v>36</x:v>
      </x:c>
      <x:c r="AK17" s="1063" t="str">
        <x:f t="shared" si="15"/>
        <x:v>LH</x:v>
      </x:c>
      <x:c r="AL17" s="1202" t="str">
        <x:f t="shared" si="16"/>
        <x:v/>
      </x:c>
      <x:c r="AM17" s="1063">
        <x:f t="shared" si="17"/>
        <x:v>270</x:v>
      </x:c>
      <x:c r="AN17" s="1063">
        <x:f t="shared" si="18"/>
        <x:v>120</x:v>
      </x:c>
      <x:c r="AO17" s="1063" t="str">
        <x:f t="shared" si="19"/>
        <x:v/>
      </x:c>
      <x:c r="AP17" s="1063" t="b">
        <x:f>IF(ISERROR(AJ17),FALSE,IF(OR(AJ17=0,ISERROR(AL17),ISERROR(AM17),ISERROR(AN17),ISERROR(AO17)),FALSE,IF(AL17&lt;&gt;"",IF(ISERROR(VLOOKUP(SUBSTITUTE(SUBSTITUTE(C17,"R",""),"A",""),TblJoistSize!$A:$A,1,FALSE)),FALSE,TRUE),TRUE)))</x:f>
        <x:v>1</x:v>
      </x:c>
      <x:c r="AQ17" s="1305">
        <x:f t="shared" si="20"/>
        <x:v>7.375</x:v>
      </x:c>
      <x:c r="AR17" s="1305" t="b">
        <x:f t="shared" si="21"/>
        <x:v>0</x:v>
      </x:c>
      <x:c r="AS17" s="1305">
        <x:f t="shared" si="22"/>
        <x:v>7.375</x:v>
      </x:c>
      <x:c r="AT17" s="1305" t="b">
        <x:f t="shared" si="23"/>
        <x:v>0</x:v>
      </x:c>
      <x:c r="AU17" s="1203" t="str">
        <x:f t="shared" si="24"/>
        <x:v>LH</x:v>
      </x:c>
      <x:c r="AV17" s="1063" t="str">
        <x:f t="shared" si="25"/>
        <x:v/>
      </x:c>
      <x:c r="AW17" s="1063" t="str">
        <x:f t="shared" si="26"/>
        <x:v>LH</x:v>
      </x:c>
      <x:c r="AX17" s="1063" t="str">
        <x:f t="shared" ref="AX17:AX45" si="104">IF(AND(OR(ISBLANK(A17),A17=""),AA17&lt;&gt;""),AX16,IF(OR(ISBLANK(A17),A17=""),"",A17))</x:f>
        <x:v>J243</x:v>
      </x:c>
      <x:c r="AY17" s="1306" t="b">
        <x:f t="shared" si="27"/>
        <x:v>0</x:v>
      </x:c>
      <x:c r="AZ17" s="1090" t="b">
        <x:f t="shared" si="28"/>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29"/>
        <x:v/>
      </x:c>
      <x:c r="CE17" s="935" t="str">
        <x:f t="shared" si="30"/>
        <x:v/>
      </x:c>
      <x:c r="CF17" s="1149"/>
      <x:c r="CG17" s="1150"/>
      <x:c r="CH17" s="738" t="str">
        <x:f t="shared" si="31"/>
        <x:v/>
      </x:c>
      <x:c r="CI17" s="739" t="str">
        <x:f t="shared" si="32"/>
        <x:v/>
      </x:c>
      <x:c r="CJ17" s="740" t="str">
        <x:f t="shared" si="33"/>
        <x:v/>
      </x:c>
      <x:c r="CK17" s="741" t="str">
        <x:f t="shared" si="34"/>
        <x:v/>
      </x:c>
      <x:c r="CL17" s="742" t="str">
        <x:f t="shared" si="35"/>
        <x:v/>
      </x:c>
      <x:c r="CM17" s="743" t="str">
        <x:f t="shared" si="36"/>
        <x:v/>
      </x:c>
      <x:c r="CN17" s="744" t="str">
        <x:f t="shared" si="37"/>
        <x:v/>
      </x:c>
      <x:c r="CO17" s="745" t="str">
        <x:f t="shared" si="38"/>
        <x:v/>
      </x:c>
      <x:c r="CP17" s="762" t="str">
        <x:f t="shared" si="39"/>
        <x:v/>
      </x:c>
      <x:c r="CQ17" s="763" t="str">
        <x:f t="shared" si="40"/>
        <x:v/>
      </x:c>
      <x:c r="CR17" s="953">
        <x:f t="shared" si="41"/>
        <x:v>5</x:v>
      </x:c>
      <x:c r="CS17" s="954">
        <x:f t="shared" si="42"/>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3"/>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4"/>
        <x:v>0</x:v>
      </x:c>
      <x:c r="DO17" s="1049">
        <x:f t="shared" si="45"/>
        <x:v>0</x:v>
      </x:c>
      <x:c r="DP17" s="1053" t="str">
        <x:f t="shared" si="46"/>
        <x:v/>
      </x:c>
      <x:c r="DQ17" s="1053" t="str">
        <x:f t="shared" si="47"/>
        <x:v/>
      </x:c>
      <x:c r="DR17" s="1053" t="str">
        <x:f t="shared" si="48"/>
        <x:v/>
      </x:c>
      <x:c r="DS17" s="1052">
        <x:f t="shared" si="49"/>
        <x:v>0</x:v>
      </x:c>
      <x:c r="DT17" s="1052">
        <x:f t="shared" si="50"/>
        <x:v>0</x:v>
      </x:c>
      <x:c r="DU17" s="1052" t="str">
        <x:f t="shared" si="51"/>
        <x:v/>
      </x:c>
      <x:c r="DV17" s="1053" t="str">
        <x:f t="shared" si="52"/>
        <x:v/>
      </x:c>
      <x:c r="DW17" s="1053" t="str">
        <x:f t="shared" si="53"/>
        <x:v/>
      </x:c>
      <x:c r="DX17" s="1269">
        <x:f t="shared" si="54"/>
        <x:v>0</x:v>
      </x:c>
      <x:c r="DY17" s="1053">
        <x:f t="shared" si="55"/>
        <x:v>0</x:v>
      </x:c>
      <x:c r="DZ17" s="1052">
        <x:f t="shared" si="56"/>
        <x:v>0</x:v>
      </x:c>
      <x:c r="EA17" s="1052" t="str">
        <x:f t="shared" si="57"/>
        <x:v/>
      </x:c>
      <x:c r="EB17" s="1053" t="str">
        <x:f t="shared" si="58"/>
        <x:v/>
      </x:c>
      <x:c r="EC17" s="1053" t="str">
        <x:f t="shared" si="59"/>
        <x:v/>
      </x:c>
      <x:c r="ED17" s="1269">
        <x:f t="shared" si="60"/>
        <x:v>0</x:v>
      </x:c>
      <x:c r="EE17" s="1090" t="str">
        <x:f t="shared" si="61"/>
        <x:v/>
      </x:c>
      <x:c r="EF17" s="1053" t="str">
        <x:f t="shared" si="62"/>
        <x:v/>
      </x:c>
      <x:c r="EG17" s="1053" t="str">
        <x:f t="shared" si="63"/>
        <x:v/>
      </x:c>
      <x:c r="EH17" s="1053" t="str">
        <x:f t="shared" si="64"/>
        <x:v>ERR</x:v>
      </x:c>
      <x:c r="EI17" s="1053" t="str">
        <x:f t="shared" si="65"/>
        <x:v>ERR</x:v>
      </x:c>
      <x:c r="EJ17" s="1053" t="str">
        <x:f t="shared" si="66"/>
        <x:v/>
      </x:c>
      <x:c r="EK17" s="1053" t="str">
        <x:f t="shared" si="66"/>
        <x:v/>
      </x:c>
      <x:c r="EL17" s="1090" t="str">
        <x:f t="shared" si="67"/>
        <x:v/>
      </x:c>
      <x:c r="EM17" s="1053" t="str">
        <x:f t="shared" si="68"/>
        <x:v/>
      </x:c>
      <x:c r="EN17" s="1053" t="str">
        <x:f t="shared" si="69"/>
        <x:v/>
      </x:c>
      <x:c r="EO17" s="1053" t="str">
        <x:f t="shared" si="70"/>
        <x:v>ERR</x:v>
      </x:c>
      <x:c r="EP17" s="1053" t="str">
        <x:f t="shared" si="71"/>
        <x:v>ERR</x:v>
      </x:c>
      <x:c r="EQ17" s="1053" t="str">
        <x:f t="shared" si="72"/>
        <x:v/>
      </x:c>
      <x:c r="ER17" s="1053" t="str">
        <x:f t="shared" si="72"/>
        <x:v/>
      </x:c>
      <x:c r="ES17" s="1053" t="str">
        <x:f t="shared" si="73"/>
        <x:v/>
      </x:c>
      <x:c r="ET17" s="1053" t="str">
        <x:f t="shared" si="74"/>
        <x:v/>
      </x:c>
      <x:c r="EU17" s="1061">
        <x:f t="shared" si="75"/>
        <x:v>4</x:v>
      </x:c>
      <x:c r="EV17" s="1055" t="str">
        <x:f t="shared" si="76"/>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77"/>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78"/>
        <x:v/>
      </x:c>
      <x:c r="FD17" s="1052">
        <x:f t="shared" ref="FD17:FD45" si="105">IF(DD17="",0,ATAN(DD17/12))</x:f>
        <x:v>0</x:v>
      </x:c>
      <x:c r="FE17" s="1052">
        <x:f t="shared" si="79"/>
        <x:v>0</x:v>
      </x:c>
      <x:c r="FF17" s="1052">
        <x:f t="shared" si="80"/>
        <x:v>0</x:v>
      </x:c>
      <x:c r="FG17" s="1052" t="str">
        <x:f t="shared" si="81"/>
        <x:v/>
      </x:c>
      <x:c r="FH17" s="1053" t="str">
        <x:f t="shared" si="82"/>
        <x:v/>
      </x:c>
      <x:c r="FI17" s="1052">
        <x:f t="shared" ref="FI17:FI45" si="106">IF(DN17="",0,ATAN(DN17/12))</x:f>
        <x:v>0</x:v>
      </x:c>
      <x:c r="FJ17" s="1052">
        <x:f t="shared" si="83"/>
        <x:v>0</x:v>
      </x:c>
      <x:c r="FK17" s="1052">
        <x:f t="shared" si="84"/>
        <x:v>0</x:v>
      </x:c>
      <x:c r="FL17" s="1052" t="str">
        <x:f t="shared" si="85"/>
        <x:v/>
      </x:c>
      <x:c r="FM17" s="1053" t="str">
        <x:f t="shared" si="86"/>
        <x:v/>
      </x:c>
      <x:c r="FN17" s="1053" t="e">
        <x:f t="shared" si="87"/>
        <x:v>#VALUE!</x:v>
      </x:c>
      <x:c r="FO17" s="1062" t="e">
        <x:f t="shared" si="88"/>
        <x:v>#VALUE!</x:v>
      </x:c>
      <x:c r="FP17" s="1062" t="e">
        <x:f t="shared" si="89"/>
        <x:v>#VALUE!</x:v>
      </x:c>
      <x:c r="FQ17" s="1063" t="e">
        <x:f t="shared" si="90"/>
        <x:v>#VALUE!</x:v>
      </x:c>
      <x:c r="FR17" s="1064" t="e">
        <x:f t="shared" si="91"/>
        <x:v>#VALUE!</x:v>
      </x:c>
      <x:c r="FS17" s="1065" t="str">
        <x:f t="shared" si="92"/>
        <x:v/>
      </x:c>
      <x:c r="FT17" s="1066" t="str">
        <x:f t="shared" si="93"/>
        <x:v/>
      </x:c>
      <x:c r="FU17" s="1105">
        <x:f t="shared" si="94"/>
        <x:v>0</x:v>
      </x:c>
      <x:c r="FV17" s="1106">
        <x:f t="shared" si="95"/>
        <x:v>0</x:v>
      </x:c>
      <x:c r="GA17" s="1975">
        <x:v>60</x:v>
      </x:c>
      <x:c r="GB17" s="1976">
        <x:v>0</x:v>
      </x:c>
      <x:c r="GC17" s="1977">
        <x:v>-0.25</x:v>
      </x:c>
      <x:c r="GD17" s="1978">
        <x:v>-0.25</x:v>
      </x:c>
      <x:c r="GE17" s="1979">
        <x:v>-0.25</x:v>
      </x:c>
      <x:c r="GF17" s="1980" t="str">
        <x:f t="shared" si="96"/>
        <x:v>J243</x:v>
      </x:c>
      <x:c r="GG17" s="1453"/>
      <x:c r="GH17" s="1454"/>
      <x:c r="GI17" s="1453"/>
      <x:c r="GJ17" s="1454"/>
      <x:c r="GK17" s="533">
        <x:f t="shared" si="97"/>
        <x:v>719.5</x:v>
      </x:c>
      <x:c r="GL17" s="534">
        <x:f t="shared" si="98"/>
        <x:v>719.65612455429505</x:v>
      </x:c>
      <x:c r="GM17" s="535">
        <x:f>IF(ABS(GK17-GL17)&gt;='Job Info.'!$L$22,ABS(GK17-GL17),0)</x:f>
        <x:v>0</x:v>
      </x:c>
      <x:c r="HA17" s="1658" t="s">
        <x:v>1567</x:v>
      </x:c>
      <x:c r="HB17" s="1659">
        <x:v>6</x:v>
      </x:c>
      <x:c r="HC17" s="1659" t="s">
        <x:v>1978</x:v>
      </x:c>
      <x:c r="HD17" s="1660">
        <x:v>59</x:v>
      </x:c>
      <x:c r="HE17" s="1661">
        <x:v>11.5</x:v>
      </x:c>
      <x:c r="HF17" s="1659">
        <x:v>0</x:v>
      </x:c>
      <x:c r="HG17" s="1659">
        <x:v>1.375</x:v>
      </x:c>
      <x:c r="HH17" s="1659" t="s">
        <x:v>114</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t="s">
        <x:v>117</x:v>
      </x:c>
      <x:c r="HU17" s="1659" t="s">
        <x:v>117</x:v>
      </x:c>
      <x:c r="HV17" s="1659" t="s">
        <x:v>117</x:v>
      </x:c>
      <x:c r="HW17" s="1661" t="s">
        <x:v>117</x:v>
      </x:c>
      <x:c r="HX17" s="1661">
        <x:v>0</x:v>
      </x:c>
      <x:c r="HY17" s="1661" t="s">
        <x:v>117</x:v>
      </x:c>
      <x:c r="HZ17" s="1661" t="s">
        <x:v>117</x:v>
      </x:c>
      <x:c r="IA17" s="1661" t="s">
        <x:v>2097</x:v>
      </x:c>
      <x:c r="IB17" s="1661"/>
      <x:c r="IC17" s="1661"/>
      <x:c r="ID17" s="1661"/>
      <x:c r="IE17" s="1661"/>
      <x:c r="IF17" s="1663"/>
    </x:row>
    <x:row r="18" spans="1:240" ht="12.6" customHeight="1" x14ac:dyDescent="0.25">
      <x:c r="A18" s="1264" t="s">
        <x:v>1568</x:v>
      </x:c>
      <x:c r="B18" s="1265">
        <x:v>1</x:v>
      </x:c>
      <x:c r="C18" s="1265" t="s">
        <x:v>1978</x:v>
      </x:c>
      <x:c r="D18" s="1261">
        <x:v>59</x:v>
      </x:c>
      <x:c r="E18" s="1366">
        <x:v>10</x:v>
      </x:c>
      <x:c r="F18" s="1328">
        <x:v>0</x:v>
      </x:c>
      <x:c r="G18" s="1262">
        <x:v>0.625</x:v>
      </x:c>
      <x:c r="H18" s="1266" t="s">
        <x:v>114</x:v>
      </x:c>
      <x:c r="I18" s="1261">
        <x:v>0</x:v>
      </x:c>
      <x:c r="J18" s="1262">
        <x:v>0.625</x:v>
      </x:c>
      <x:c r="K18" s="1370" t="s">
        <x:v>114</x:v>
      </x:c>
      <x:c r="L18" s="1327">
        <x:v>3</x:v>
      </x:c>
      <x:c r="M18" s="1329">
        <x:v>3</x:v>
      </x:c>
      <x:c r="N18" s="1263">
        <x:v>0</x:v>
      </x:c>
      <x:c r="O18" s="1262">
        <x:v>6.75</x:v>
      </x:c>
      <x:c r="P18" s="1260">
        <x:v>2</x:v>
      </x:c>
      <x:c r="Q18" s="1261">
        <x:v>0</x:v>
      </x:c>
      <x:c r="R18" s="1262">
        <x:v>5.375</x:v>
      </x:c>
      <x:c r="S18" s="1375">
        <x:v>2</x:v>
      </x:c>
      <x:c r="T18" s="1328">
        <x:v>0</x:v>
      </x:c>
      <x:c r="U18" s="1262">
        <x:v>1.5</x:v>
      </x:c>
      <x:c r="V18" s="1261">
        <x:v>0</x:v>
      </x:c>
      <x:c r="W18" s="1262">
        <x:v>1.5</x:v>
      </x:c>
      <x:c r="X18" s="1329">
        <x:v>4</x:v>
      </x:c>
      <x:c r="Y18" s="1377" t="str">
        <x:f t="shared" si="7"/>
        <x:v/>
      </x:c>
      <x:c r="Z18" s="1378" t="str">
        <x:f t="shared" si="8"/>
        <x:v/>
      </x:c>
      <x:c r="AA18" s="2159" t="s">
        <x:v>2117</x:v>
      </x:c>
      <x:c r="AC18" s="1226" t="b">
        <x:v>0</x:v>
      </x:c>
      <x:c r="AD18" s="525">
        <x:f t="shared" si="9"/>
        <x:v>0</x:v>
      </x:c>
      <x:c r="AE18" s="526">
        <x:f t="shared" si="10"/>
        <x:v>1</x:v>
      </x:c>
      <x:c r="AF18" s="526">
        <x:f t="shared" si="11"/>
        <x:v>0</x:v>
      </x:c>
      <x:c r="AG18" s="526">
        <x:f t="shared" si="12"/>
        <x:v>0</x:v>
      </x:c>
      <x:c r="AH18" s="527">
        <x:f t="shared" si="13"/>
        <x:v>0</x:v>
      </x:c>
      <x:c r="AI18" s="528" t="b">
        <x:v>0</x:v>
      </x:c>
      <x:c r="AJ18" s="284">
        <x:f t="shared" si="14"/>
        <x:v>36</x:v>
      </x:c>
      <x:c r="AK18" s="1063" t="str">
        <x:f t="shared" si="15"/>
        <x:v>LH</x:v>
      </x:c>
      <x:c r="AL18" s="1202" t="str">
        <x:f t="shared" si="16"/>
        <x:v/>
      </x:c>
      <x:c r="AM18" s="1063">
        <x:f t="shared" si="17"/>
        <x:v>270</x:v>
      </x:c>
      <x:c r="AN18" s="1063">
        <x:f t="shared" si="18"/>
        <x:v>120</x:v>
      </x:c>
      <x:c r="AO18" s="1063" t="str">
        <x:f t="shared" si="19"/>
        <x:v/>
      </x:c>
      <x:c r="AP18" s="1063" t="b">
        <x:f>IF(ISERROR(AJ18),FALSE,IF(OR(AJ18=0,ISERROR(AL18),ISERROR(AM18),ISERROR(AN18),ISERROR(AO18)),FALSE,IF(AL18&lt;&gt;"",IF(ISERROR(VLOOKUP(SUBSTITUTE(SUBSTITUTE(C18,"R",""),"A",""),TblJoistSize!$A:$A,1,FALSE)),FALSE,TRUE),TRUE)))</x:f>
        <x:v>1</x:v>
      </x:c>
      <x:c r="AQ18" s="1305">
        <x:f t="shared" si="20"/>
        <x:v>6.625</x:v>
      </x:c>
      <x:c r="AR18" s="1305" t="b">
        <x:f t="shared" si="21"/>
        <x:v>1</x:v>
      </x:c>
      <x:c r="AS18" s="1305">
        <x:f t="shared" si="22"/>
        <x:v>6.625</x:v>
      </x:c>
      <x:c r="AT18" s="1305" t="b">
        <x:f t="shared" si="23"/>
        <x:v>1</x:v>
      </x:c>
      <x:c r="AU18" s="1203" t="str">
        <x:f t="shared" si="24"/>
        <x:v>LH</x:v>
      </x:c>
      <x:c r="AV18" s="1063" t="str">
        <x:f t="shared" si="25"/>
        <x:v/>
      </x:c>
      <x:c r="AW18" s="1063" t="str">
        <x:f t="shared" si="26"/>
        <x:v>LH</x:v>
      </x:c>
      <x:c r="AX18" s="1063" t="str">
        <x:f t="shared" si="104"/>
        <x:v>TJ244</x:v>
      </x:c>
      <x:c r="AY18" s="1306" t="b">
        <x:f t="shared" si="27"/>
        <x:v>0</x:v>
      </x:c>
      <x:c r="AZ18" s="1090" t="b">
        <x:f t="shared" si="28"/>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29"/>
        <x:v/>
      </x:c>
      <x:c r="CE18" s="935" t="str">
        <x:f t="shared" si="30"/>
        <x:v/>
      </x:c>
      <x:c r="CF18" s="1149"/>
      <x:c r="CG18" s="1150"/>
      <x:c r="CH18" s="738" t="str">
        <x:f t="shared" si="31"/>
        <x:v/>
      </x:c>
      <x:c r="CI18" s="739" t="str">
        <x:f t="shared" si="32"/>
        <x:v/>
      </x:c>
      <x:c r="CJ18" s="740" t="str">
        <x:f t="shared" si="33"/>
        <x:v/>
      </x:c>
      <x:c r="CK18" s="741" t="str">
        <x:f t="shared" si="34"/>
        <x:v/>
      </x:c>
      <x:c r="CL18" s="742" t="str">
        <x:f t="shared" si="35"/>
        <x:v/>
      </x:c>
      <x:c r="CM18" s="743" t="str">
        <x:f t="shared" si="36"/>
        <x:v/>
      </x:c>
      <x:c r="CN18" s="744" t="str">
        <x:f t="shared" si="37"/>
        <x:v/>
      </x:c>
      <x:c r="CO18" s="745" t="str">
        <x:f t="shared" si="38"/>
        <x:v/>
      </x:c>
      <x:c r="CP18" s="762" t="str">
        <x:f t="shared" si="39"/>
        <x:v/>
      </x:c>
      <x:c r="CQ18" s="763" t="str">
        <x:f t="shared" si="40"/>
        <x:v/>
      </x:c>
      <x:c r="CR18" s="953">
        <x:f t="shared" si="41"/>
        <x:v>5</x:v>
      </x:c>
      <x:c r="CS18" s="954">
        <x:f t="shared" si="42"/>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3"/>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4"/>
        <x:v>0</x:v>
      </x:c>
      <x:c r="DO18" s="1049">
        <x:f t="shared" si="45"/>
        <x:v>0</x:v>
      </x:c>
      <x:c r="DP18" s="1053" t="str">
        <x:f t="shared" si="46"/>
        <x:v/>
      </x:c>
      <x:c r="DQ18" s="1053" t="str">
        <x:f t="shared" si="47"/>
        <x:v/>
      </x:c>
      <x:c r="DR18" s="1053" t="str">
        <x:f t="shared" si="48"/>
        <x:v/>
      </x:c>
      <x:c r="DS18" s="1052">
        <x:f t="shared" si="49"/>
        <x:v>0</x:v>
      </x:c>
      <x:c r="DT18" s="1052">
        <x:f t="shared" si="50"/>
        <x:v>0</x:v>
      </x:c>
      <x:c r="DU18" s="1052" t="str">
        <x:f t="shared" si="51"/>
        <x:v/>
      </x:c>
      <x:c r="DV18" s="1053" t="str">
        <x:f t="shared" si="52"/>
        <x:v/>
      </x:c>
      <x:c r="DW18" s="1053" t="str">
        <x:f t="shared" si="53"/>
        <x:v/>
      </x:c>
      <x:c r="DX18" s="1269">
        <x:f t="shared" si="54"/>
        <x:v>0</x:v>
      </x:c>
      <x:c r="DY18" s="1053">
        <x:f t="shared" si="55"/>
        <x:v>0</x:v>
      </x:c>
      <x:c r="DZ18" s="1052">
        <x:f t="shared" si="56"/>
        <x:v>0</x:v>
      </x:c>
      <x:c r="EA18" s="1052" t="str">
        <x:f t="shared" si="57"/>
        <x:v/>
      </x:c>
      <x:c r="EB18" s="1053" t="str">
        <x:f t="shared" si="58"/>
        <x:v/>
      </x:c>
      <x:c r="EC18" s="1053" t="str">
        <x:f t="shared" si="59"/>
        <x:v/>
      </x:c>
      <x:c r="ED18" s="1269">
        <x:f t="shared" si="60"/>
        <x:v>0</x:v>
      </x:c>
      <x:c r="EE18" s="1090" t="str">
        <x:f t="shared" si="61"/>
        <x:v/>
      </x:c>
      <x:c r="EF18" s="1053" t="str">
        <x:f t="shared" si="62"/>
        <x:v/>
      </x:c>
      <x:c r="EG18" s="1053" t="str">
        <x:f t="shared" si="63"/>
        <x:v/>
      </x:c>
      <x:c r="EH18" s="1053" t="str">
        <x:f t="shared" si="64"/>
        <x:v>ERR</x:v>
      </x:c>
      <x:c r="EI18" s="1053" t="str">
        <x:f t="shared" si="65"/>
        <x:v>ERR</x:v>
      </x:c>
      <x:c r="EJ18" s="1053" t="str">
        <x:f t="shared" si="66"/>
        <x:v/>
      </x:c>
      <x:c r="EK18" s="1053" t="str">
        <x:f t="shared" si="66"/>
        <x:v/>
      </x:c>
      <x:c r="EL18" s="1090" t="str">
        <x:f t="shared" si="67"/>
        <x:v/>
      </x:c>
      <x:c r="EM18" s="1053" t="str">
        <x:f t="shared" si="68"/>
        <x:v/>
      </x:c>
      <x:c r="EN18" s="1053" t="str">
        <x:f t="shared" si="69"/>
        <x:v/>
      </x:c>
      <x:c r="EO18" s="1053" t="str">
        <x:f t="shared" si="70"/>
        <x:v>ERR</x:v>
      </x:c>
      <x:c r="EP18" s="1053" t="str">
        <x:f t="shared" si="71"/>
        <x:v>ERR</x:v>
      </x:c>
      <x:c r="EQ18" s="1053" t="str">
        <x:f t="shared" si="72"/>
        <x:v/>
      </x:c>
      <x:c r="ER18" s="1053" t="str">
        <x:f t="shared" si="72"/>
        <x:v/>
      </x:c>
      <x:c r="ES18" s="1053" t="str">
        <x:f t="shared" si="73"/>
        <x:v/>
      </x:c>
      <x:c r="ET18" s="1053" t="str">
        <x:f t="shared" si="74"/>
        <x:v/>
      </x:c>
      <x:c r="EU18" s="1061">
        <x:f t="shared" si="75"/>
        <x:v>4</x:v>
      </x:c>
      <x:c r="EV18" s="1055" t="str">
        <x:f t="shared" si="76"/>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77"/>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78"/>
        <x:v/>
      </x:c>
      <x:c r="FD18" s="1052">
        <x:f t="shared" si="105"/>
        <x:v>0</x:v>
      </x:c>
      <x:c r="FE18" s="1052">
        <x:f t="shared" si="79"/>
        <x:v>0</x:v>
      </x:c>
      <x:c r="FF18" s="1052">
        <x:f t="shared" si="80"/>
        <x:v>0</x:v>
      </x:c>
      <x:c r="FG18" s="1052" t="str">
        <x:f t="shared" si="81"/>
        <x:v/>
      </x:c>
      <x:c r="FH18" s="1053" t="str">
        <x:f t="shared" si="82"/>
        <x:v/>
      </x:c>
      <x:c r="FI18" s="1052">
        <x:f t="shared" si="106"/>
        <x:v>0</x:v>
      </x:c>
      <x:c r="FJ18" s="1052">
        <x:f t="shared" si="83"/>
        <x:v>0</x:v>
      </x:c>
      <x:c r="FK18" s="1052">
        <x:f t="shared" si="84"/>
        <x:v>0</x:v>
      </x:c>
      <x:c r="FL18" s="1052" t="str">
        <x:f t="shared" si="85"/>
        <x:v/>
      </x:c>
      <x:c r="FM18" s="1053" t="str">
        <x:f t="shared" si="86"/>
        <x:v/>
      </x:c>
      <x:c r="FN18" s="1053" t="e">
        <x:f t="shared" si="87"/>
        <x:v>#VALUE!</x:v>
      </x:c>
      <x:c r="FO18" s="1062" t="e">
        <x:f t="shared" si="88"/>
        <x:v>#VALUE!</x:v>
      </x:c>
      <x:c r="FP18" s="1062" t="e">
        <x:f t="shared" si="89"/>
        <x:v>#VALUE!</x:v>
      </x:c>
      <x:c r="FQ18" s="1063" t="e">
        <x:f t="shared" si="90"/>
        <x:v>#VALUE!</x:v>
      </x:c>
      <x:c r="FR18" s="1064" t="e">
        <x:f t="shared" si="91"/>
        <x:v>#VALUE!</x:v>
      </x:c>
      <x:c r="FS18" s="1065" t="str">
        <x:f t="shared" si="92"/>
        <x:v/>
      </x:c>
      <x:c r="FT18" s="1066" t="str">
        <x:f t="shared" si="93"/>
        <x:v/>
      </x:c>
      <x:c r="FU18" s="1105">
        <x:f t="shared" si="94"/>
        <x:v>0</x:v>
      </x:c>
      <x:c r="FV18" s="1106">
        <x:f t="shared" si="95"/>
        <x:v>0</x:v>
      </x:c>
      <x:c r="GA18" s="1975">
        <x:v>60</x:v>
      </x:c>
      <x:c r="GB18" s="1976">
        <x:v>0</x:v>
      </x:c>
      <x:c r="GC18" s="1977">
        <x:v>-1</x:v>
      </x:c>
      <x:c r="GD18" s="1978">
        <x:v>-1</x:v>
      </x:c>
      <x:c r="GE18" s="1979">
        <x:v>-0.25</x:v>
      </x:c>
      <x:c r="GF18" s="1980" t="str">
        <x:f t="shared" si="96"/>
        <x:v>TJ244</x:v>
      </x:c>
      <x:c r="GG18" s="1453"/>
      <x:c r="GH18" s="1454"/>
      <x:c r="GI18" s="1453"/>
      <x:c r="GJ18" s="1454"/>
      <x:c r="GK18" s="533">
        <x:f t="shared" si="97"/>
        <x:v>718</x:v>
      </x:c>
      <x:c r="GL18" s="534">
        <x:f t="shared" si="98"/>
        <x:v>718.15579906877531</x:v>
      </x:c>
      <x:c r="GM18" s="535">
        <x:f>IF(ABS(GK18-GL18)&gt;='Job Info.'!$L$22,ABS(GK18-GL18),0)</x:f>
        <x:v>0</x:v>
      </x:c>
      <x:c r="HA18" s="1658" t="s">
        <x:v>1568</x:v>
      </x:c>
      <x:c r="HB18" s="1659">
        <x:v>1</x:v>
      </x:c>
      <x:c r="HC18" s="1659" t="s">
        <x:v>1978</x:v>
      </x:c>
      <x:c r="HD18" s="1660">
        <x:v>59</x:v>
      </x:c>
      <x:c r="HE18" s="1661">
        <x:v>10</x:v>
      </x:c>
      <x:c r="HF18" s="1659">
        <x:v>0</x:v>
      </x:c>
      <x:c r="HG18" s="1659">
        <x:v>0.625</x:v>
      </x:c>
      <x:c r="HH18" s="1659" t="s">
        <x:v>114</x:v>
      </x:c>
      <x:c r="HI18" s="1662">
        <x:v>0</x:v>
      </x:c>
      <x:c r="HJ18" s="1659">
        <x:v>0.625</x:v>
      </x:c>
      <x:c r="HK18" s="1659" t="s">
        <x:v>114</x:v>
      </x:c>
      <x:c r="HL18" s="1659">
        <x:v>3</x:v>
      </x:c>
      <x:c r="HM18" s="1659">
        <x:v>3</x:v>
      </x:c>
      <x:c r="HN18" s="1659">
        <x:v>0</x:v>
      </x:c>
      <x:c r="HO18" s="1659">
        <x:v>6.75</x:v>
      </x:c>
      <x:c r="HP18" s="1659">
        <x:v>2</x:v>
      </x:c>
      <x:c r="HQ18" s="1662">
        <x:v>0</x:v>
      </x:c>
      <x:c r="HR18" s="1659">
        <x:v>5.375</x:v>
      </x:c>
      <x:c r="HS18" s="1659">
        <x:v>2</x:v>
      </x:c>
      <x:c r="HT18" s="1659">
        <x:v>0</x:v>
      </x:c>
      <x:c r="HU18" s="1659">
        <x:v>1.5</x:v>
      </x:c>
      <x:c r="HV18" s="1659">
        <x:v>0</x:v>
      </x:c>
      <x:c r="HW18" s="1661">
        <x:v>1.5</x:v>
      </x:c>
      <x:c r="HX18" s="1661">
        <x:v>4</x:v>
      </x:c>
      <x:c r="HY18" s="1661" t="s">
        <x:v>117</x:v>
      </x:c>
      <x:c r="HZ18" s="1661" t="s">
        <x:v>117</x:v>
      </x:c>
      <x:c r="IA18" s="1661" t="s">
        <x:v>2117</x:v>
      </x:c>
      <x:c r="IB18" s="1661"/>
      <x:c r="IC18" s="1661"/>
      <x:c r="ID18" s="1661"/>
      <x:c r="IE18" s="1661"/>
      <x:c r="IF18" s="1663"/>
    </x:row>
    <x:row r="19" spans="1:240" ht="12.6" customHeight="1" x14ac:dyDescent="0.25">
      <x:c r="A19" s="1264" t="s">
        <x:v>1569</x:v>
      </x:c>
      <x:c r="B19" s="1265">
        <x:v>1</x:v>
      </x:c>
      <x:c r="C19" s="1265" t="s">
        <x:v>1980</x:v>
      </x:c>
      <x:c r="D19" s="1261">
        <x:v>11</x:v>
      </x:c>
      <x:c r="E19" s="1366">
        <x:v>9.5</x:v>
      </x:c>
      <x:c r="F19" s="1328">
        <x:v>0</x:v>
      </x:c>
      <x:c r="G19" s="1262">
        <x:v>1.375</x:v>
      </x:c>
      <x:c r="H19" s="1266" t="s">
        <x:v>114</x:v>
      </x:c>
      <x:c r="I19" s="1261">
        <x:v>0</x:v>
      </x:c>
      <x:c r="J19" s="2122">
        <x:v>2</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si="99"/>
        <x:v/>
      </x:c>
      <x:c r="U19" s="1262" t="str">
        <x:f t="shared" si="100"/>
        <x:v/>
      </x:c>
      <x:c r="V19" s="1261" t="str">
        <x:f t="shared" si="101"/>
        <x:v/>
      </x:c>
      <x:c r="W19" s="1262" t="str">
        <x:f t="shared" si="102"/>
        <x:v/>
      </x:c>
      <x:c r="X19" s="1329">
        <x:f t="shared" si="103"/>
        <x:v>0</x:v>
      </x:c>
      <x:c r="Y19" s="1377">
        <x:v>0.46666665526309398</x:v>
      </x:c>
      <x:c r="Z19" s="1378">
        <x:v>-0.46666665526309398</x:v>
      </x:c>
      <x:c r="AA19" s="2159" t="s">
        <x:v>2245</x:v>
      </x:c>
      <x:c r="AC19" s="1226" t="b">
        <x:v>0</x:v>
      </x:c>
      <x:c r="AD19" s="525">
        <x:f t="shared" si="9"/>
        <x:v>1</x:v>
      </x:c>
      <x:c r="AE19" s="526">
        <x:f t="shared" si="10"/>
        <x:v>0</x:v>
      </x:c>
      <x:c r="AF19" s="526">
        <x:f t="shared" si="11"/>
        <x:v>0</x:v>
      </x:c>
      <x:c r="AG19" s="526">
        <x:f t="shared" si="12"/>
        <x:v>0</x:v>
      </x:c>
      <x:c r="AH19" s="527">
        <x:f t="shared" si="13"/>
        <x:v>0</x:v>
      </x:c>
      <x:c r="AI19" s="528" t="b">
        <x:v>0</x:v>
      </x:c>
      <x:c r="AJ19" s="284">
        <x:f t="shared" si="14"/>
        <x:v>30</x:v>
      </x:c>
      <x:c r="AK19" s="1063" t="str">
        <x:f t="shared" si="15"/>
        <x:v>K</x:v>
      </x:c>
      <x:c r="AL19" s="1202" t="str">
        <x:f t="shared" si="16"/>
        <x:v/>
      </x:c>
      <x:c r="AM19" s="1063">
        <x:f t="shared" si="17"/>
        <x:v>310</x:v>
      </x:c>
      <x:c r="AN19" s="1063">
        <x:f t="shared" si="18"/>
        <x:v>160</x:v>
      </x:c>
      <x:c r="AO19" s="1063" t="str">
        <x:f t="shared" si="19"/>
        <x:v/>
      </x:c>
      <x:c r="AP19" s="1063" t="b">
        <x:f>IF(ISERROR(AJ19),FALSE,IF(OR(AJ19=0,ISERROR(AL19),ISERROR(AM19),ISERROR(AN19),ISERROR(AO19)),FALSE,IF(AL19&lt;&gt;"",IF(ISERROR(VLOOKUP(SUBSTITUTE(SUBSTITUTE(C19,"R",""),"A",""),TblJoistSize!$A:$A,1,FALSE)),FALSE,TRUE),TRUE)))</x:f>
        <x:v>1</x:v>
      </x:c>
      <x:c r="AQ19" s="1305">
        <x:f t="shared" si="20"/>
        <x:v>5.375</x:v>
      </x:c>
      <x:c r="AR19" s="1305" t="b">
        <x:f t="shared" si="21"/>
        <x:v>0</x:v>
      </x:c>
      <x:c r="AS19" s="1305">
        <x:f t="shared" si="22"/>
        <x:v>6</x:v>
      </x:c>
      <x:c r="AT19" s="1305" t="b">
        <x:f t="shared" si="23"/>
        <x:v>0</x:v>
      </x:c>
      <x:c r="AU19" s="1203" t="str">
        <x:f t="shared" si="24"/>
        <x:v>K</x:v>
      </x:c>
      <x:c r="AV19" s="1063" t="str">
        <x:f t="shared" si="25"/>
        <x:v>K</x:v>
      </x:c>
      <x:c r="AW19" s="1063" t="str">
        <x:f t="shared" si="26"/>
        <x:v/>
      </x:c>
      <x:c r="AX19" s="1063" t="str">
        <x:f t="shared" si="104"/>
        <x:v>J245</x:v>
      </x:c>
      <x:c r="AY19" s="1306" t="b">
        <x:f t="shared" si="27"/>
        <x:v>0</x:v>
      </x:c>
      <x:c r="AZ19" s="1090" t="b">
        <x:f t="shared" si="28"/>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29"/>
        <x:v/>
      </x:c>
      <x:c r="CE19" s="935" t="str">
        <x:f t="shared" si="30"/>
        <x:v/>
      </x:c>
      <x:c r="CF19" s="1149"/>
      <x:c r="CG19" s="1150"/>
      <x:c r="CH19" s="738" t="str">
        <x:f t="shared" si="31"/>
        <x:v/>
      </x:c>
      <x:c r="CI19" s="739" t="str">
        <x:f t="shared" si="32"/>
        <x:v/>
      </x:c>
      <x:c r="CJ19" s="740" t="str">
        <x:f t="shared" si="33"/>
        <x:v/>
      </x:c>
      <x:c r="CK19" s="741" t="str">
        <x:f t="shared" si="34"/>
        <x:v/>
      </x:c>
      <x:c r="CL19" s="742" t="str">
        <x:f t="shared" si="35"/>
        <x:v/>
      </x:c>
      <x:c r="CM19" s="743" t="str">
        <x:f t="shared" si="36"/>
        <x:v/>
      </x:c>
      <x:c r="CN19" s="744" t="str">
        <x:f t="shared" si="37"/>
        <x:v/>
      </x:c>
      <x:c r="CO19" s="745" t="str">
        <x:f t="shared" si="38"/>
        <x:v/>
      </x:c>
      <x:c r="CP19" s="762" t="str">
        <x:f t="shared" si="39"/>
        <x:v/>
      </x:c>
      <x:c r="CQ19" s="763" t="str">
        <x:f t="shared" si="40"/>
        <x:v/>
      </x:c>
      <x:c r="CR19" s="953">
        <x:f t="shared" si="41"/>
        <x:v>2.5</x:v>
      </x:c>
      <x:c r="CS19" s="954">
        <x:f t="shared" si="42"/>
        <x:v>2.5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3"/>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4"/>
        <x:v>0</x:v>
      </x:c>
      <x:c r="DO19" s="1049">
        <x:f t="shared" si="45"/>
        <x:v>0</x:v>
      </x:c>
      <x:c r="DP19" s="1053" t="str">
        <x:f t="shared" si="46"/>
        <x:v/>
      </x:c>
      <x:c r="DQ19" s="1053" t="str">
        <x:f t="shared" si="47"/>
        <x:v/>
      </x:c>
      <x:c r="DR19" s="1053" t="str">
        <x:f t="shared" si="48"/>
        <x:v/>
      </x:c>
      <x:c r="DS19" s="1052">
        <x:f t="shared" si="49"/>
        <x:v>0</x:v>
      </x:c>
      <x:c r="DT19" s="1052">
        <x:f t="shared" si="50"/>
        <x:v>0</x:v>
      </x:c>
      <x:c r="DU19" s="1052" t="str">
        <x:f t="shared" si="51"/>
        <x:v/>
      </x:c>
      <x:c r="DV19" s="1053" t="str">
        <x:f t="shared" si="52"/>
        <x:v/>
      </x:c>
      <x:c r="DW19" s="1053" t="str">
        <x:f t="shared" si="53"/>
        <x:v/>
      </x:c>
      <x:c r="DX19" s="1269">
        <x:f t="shared" si="54"/>
        <x:v>0</x:v>
      </x:c>
      <x:c r="DY19" s="1053">
        <x:f t="shared" si="55"/>
        <x:v>0</x:v>
      </x:c>
      <x:c r="DZ19" s="1052">
        <x:f t="shared" si="56"/>
        <x:v>0</x:v>
      </x:c>
      <x:c r="EA19" s="1052" t="str">
        <x:f t="shared" si="57"/>
        <x:v/>
      </x:c>
      <x:c r="EB19" s="1053" t="str">
        <x:f t="shared" si="58"/>
        <x:v/>
      </x:c>
      <x:c r="EC19" s="1053" t="str">
        <x:f t="shared" si="59"/>
        <x:v/>
      </x:c>
      <x:c r="ED19" s="1269">
        <x:f t="shared" si="60"/>
        <x:v>0</x:v>
      </x:c>
      <x:c r="EE19" s="1090" t="str">
        <x:f t="shared" si="61"/>
        <x:v/>
      </x:c>
      <x:c r="EF19" s="1053" t="str">
        <x:f t="shared" si="62"/>
        <x:v/>
      </x:c>
      <x:c r="EG19" s="1053" t="str">
        <x:f t="shared" si="63"/>
        <x:v/>
      </x:c>
      <x:c r="EH19" s="1053" t="str">
        <x:f t="shared" si="64"/>
        <x:v>ERR</x:v>
      </x:c>
      <x:c r="EI19" s="1053" t="str">
        <x:f t="shared" si="65"/>
        <x:v>ERR</x:v>
      </x:c>
      <x:c r="EJ19" s="1053" t="str">
        <x:f t="shared" si="66"/>
        <x:v/>
      </x:c>
      <x:c r="EK19" s="1053" t="str">
        <x:f t="shared" si="66"/>
        <x:v/>
      </x:c>
      <x:c r="EL19" s="1090" t="str">
        <x:f t="shared" si="67"/>
        <x:v/>
      </x:c>
      <x:c r="EM19" s="1053" t="str">
        <x:f t="shared" si="68"/>
        <x:v/>
      </x:c>
      <x:c r="EN19" s="1053" t="str">
        <x:f t="shared" si="69"/>
        <x:v/>
      </x:c>
      <x:c r="EO19" s="1053" t="str">
        <x:f t="shared" si="70"/>
        <x:v>ERR</x:v>
      </x:c>
      <x:c r="EP19" s="1053" t="str">
        <x:f t="shared" si="71"/>
        <x:v>ERR</x:v>
      </x:c>
      <x:c r="EQ19" s="1053" t="str">
        <x:f t="shared" si="72"/>
        <x:v/>
      </x:c>
      <x:c r="ER19" s="1053" t="str">
        <x:f t="shared" si="72"/>
        <x:v/>
      </x:c>
      <x:c r="ES19" s="1053" t="str">
        <x:f t="shared" si="73"/>
        <x:v/>
      </x:c>
      <x:c r="ET19" s="1053" t="str">
        <x:f t="shared" si="74"/>
        <x:v/>
      </x:c>
      <x:c r="EU19" s="1061">
        <x:f t="shared" si="75"/>
        <x:v>3.5</x:v>
      </x:c>
      <x:c r="EV19" s="1055" t="str">
        <x:f t="shared" si="76"/>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77"/>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78"/>
        <x:v/>
      </x:c>
      <x:c r="FD19" s="1052">
        <x:f t="shared" si="105"/>
        <x:v>0</x:v>
      </x:c>
      <x:c r="FE19" s="1052">
        <x:f t="shared" si="79"/>
        <x:v>0</x:v>
      </x:c>
      <x:c r="FF19" s="1052">
        <x:f t="shared" si="80"/>
        <x:v>0</x:v>
      </x:c>
      <x:c r="FG19" s="1052" t="str">
        <x:f t="shared" si="81"/>
        <x:v/>
      </x:c>
      <x:c r="FH19" s="1053" t="str">
        <x:f t="shared" si="82"/>
        <x:v/>
      </x:c>
      <x:c r="FI19" s="1052">
        <x:f t="shared" si="106"/>
        <x:v>0</x:v>
      </x:c>
      <x:c r="FJ19" s="1052">
        <x:f t="shared" si="83"/>
        <x:v>0</x:v>
      </x:c>
      <x:c r="FK19" s="1052">
        <x:f t="shared" si="84"/>
        <x:v>0</x:v>
      </x:c>
      <x:c r="FL19" s="1052" t="str">
        <x:f t="shared" si="85"/>
        <x:v/>
      </x:c>
      <x:c r="FM19" s="1053" t="str">
        <x:f t="shared" si="86"/>
        <x:v/>
      </x:c>
      <x:c r="FN19" s="1053" t="e">
        <x:f t="shared" si="87"/>
        <x:v>#VALUE!</x:v>
      </x:c>
      <x:c r="FO19" s="1062" t="e">
        <x:f t="shared" si="88"/>
        <x:v>#VALUE!</x:v>
      </x:c>
      <x:c r="FP19" s="1062" t="e">
        <x:f t="shared" si="89"/>
        <x:v>#VALUE!</x:v>
      </x:c>
      <x:c r="FQ19" s="1063" t="e">
        <x:f t="shared" si="90"/>
        <x:v>#VALUE!</x:v>
      </x:c>
      <x:c r="FR19" s="1064" t="e">
        <x:f t="shared" si="91"/>
        <x:v>#VALUE!</x:v>
      </x:c>
      <x:c r="FS19" s="1065" t="str">
        <x:f t="shared" si="92"/>
        <x:v/>
      </x:c>
      <x:c r="FT19" s="1066" t="str">
        <x:f t="shared" si="93"/>
        <x:v/>
      </x:c>
      <x:c r="FU19" s="1105">
        <x:f t="shared" si="94"/>
        <x:v>0</x:v>
      </x:c>
      <x:c r="FV19" s="1106">
        <x:f t="shared" si="95"/>
        <x:v>0</x:v>
      </x:c>
      <x:c r="GA19" s="1975">
        <x:v>11</x:v>
      </x:c>
      <x:c r="GB19" s="1976">
        <x:v>10.25</x:v>
      </x:c>
      <x:c r="GC19" s="1977">
        <x:v>-0.25</x:v>
      </x:c>
      <x:c r="GD19" s="1978">
        <x:v>-0.5</x:v>
      </x:c>
      <x:c r="GE19" s="1979">
        <x:v>0.46666665526309398</x:v>
      </x:c>
      <x:c r="GF19" s="1980" t="str">
        <x:f t="shared" si="96"/>
        <x:v>J245</x:v>
      </x:c>
      <x:c r="GG19" s="1453"/>
      <x:c r="GH19" s="1454"/>
      <x:c r="GI19" s="1453"/>
      <x:c r="GJ19" s="1454"/>
      <x:c r="GK19" s="533">
        <x:f t="shared" si="97"/>
        <x:v>141.5</x:v>
      </x:c>
      <x:c r="GL19" s="534">
        <x:f t="shared" si="98"/>
        <x:v>141.60695802746318</x:v>
      </x:c>
      <x:c r="GM19" s="535">
        <x:f>IF(ABS(GK19-GL19)&gt;='Job Info.'!$L$22,ABS(GK19-GL19),0)</x:f>
        <x:v>0</x:v>
      </x:c>
      <x:c r="HA19" s="1658" t="s">
        <x:v>1569</x:v>
      </x:c>
      <x:c r="HB19" s="1659">
        <x:v>1</x:v>
      </x:c>
      <x:c r="HC19" s="1659" t="s">
        <x:v>1980</x:v>
      </x:c>
      <x:c r="HD19" s="1660">
        <x:v>11</x:v>
      </x:c>
      <x:c r="HE19" s="1661">
        <x:v>9.5</x:v>
      </x:c>
      <x:c r="HF19" s="1659">
        <x:v>0</x:v>
      </x:c>
      <x:c r="HG19" s="1659">
        <x:v>1.375</x:v>
      </x:c>
      <x:c r="HH19" s="1659" t="s">
        <x:v>114</x:v>
      </x:c>
      <x:c r="HI19" s="1662">
        <x:v>0</x:v>
      </x:c>
      <x:c r="HJ19" s="1659">
        <x:v>0.25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x:v>0.46666665526309398</x:v>
      </x:c>
      <x:c r="HZ19" s="1661">
        <x:v>-0.46666665526309398</x:v>
      </x:c>
      <x:c r="IA19" s="1661" t="s">
        <x:v>2245</x:v>
      </x:c>
      <x:c r="IB19" s="1661"/>
      <x:c r="IC19" s="1661"/>
      <x:c r="ID19" s="1661"/>
      <x:c r="IE19" s="1661"/>
      <x:c r="IF19" s="1663"/>
    </x:row>
    <x:row r="20" spans="1:240" ht="12.6" customHeight="1" x14ac:dyDescent="0.25">
      <x:c r="A20" s="1264" t="s">
        <x:v>1570</x:v>
      </x:c>
      <x:c r="B20" s="1265">
        <x:v>1</x:v>
      </x:c>
      <x:c r="C20" s="1265" t="s">
        <x:v>1980</x:v>
      </x:c>
      <x:c r="D20" s="1261">
        <x:v>22</x:v>
      </x:c>
      <x:c r="E20" s="1366">
        <x:v>10.875</x:v>
      </x:c>
      <x:c r="F20" s="1328">
        <x:v>0</x:v>
      </x:c>
      <x:c r="G20" s="1262">
        <x:v>1.375</x:v>
      </x:c>
      <x:c r="H20" s="1266" t="s">
        <x:v>114</x:v>
      </x:c>
      <x:c r="I20" s="1261">
        <x:v>0</x:v>
      </x:c>
      <x:c r="J20" s="2122">
        <x:v>2</x:v>
      </x:c>
      <x:c r="K20" s="1370" t="s">
        <x:v>114</x:v>
      </x:c>
      <x:c r="L20" s="1327">
        <x:v>3</x:v>
      </x:c>
      <x:c r="M20" s="1329">
        <x:v>3</x:v>
      </x:c>
      <x:c r="N20" s="1263" t="str">
        <x:f t="shared" si="1"/>
        <x:v/>
      </x:c>
      <x:c r="O20" s="1262" t="str">
        <x:f t="shared" si="2"/>
        <x:v/>
      </x:c>
      <x:c r="P20" s="1260" t="str">
        <x:f t="shared" si="3"/>
        <x:v/>
      </x:c>
      <x:c r="Q20" s="1261" t="str">
        <x:f t="shared" si="4"/>
        <x:v/>
      </x:c>
      <x:c r="R20" s="1262" t="str">
        <x:f t="shared" si="5"/>
        <x:v/>
      </x:c>
      <x:c r="S20" s="1375" t="str">
        <x:f t="shared" si="6"/>
        <x:v/>
      </x:c>
      <x:c r="T20" s="1328" t="str">
        <x:f t="shared" si="99"/>
        <x:v/>
      </x:c>
      <x:c r="U20" s="1262" t="str">
        <x:f t="shared" si="100"/>
        <x:v/>
      </x:c>
      <x:c r="V20" s="1261" t="str">
        <x:f t="shared" si="101"/>
        <x:v/>
      </x:c>
      <x:c r="W20" s="1262" t="str">
        <x:f t="shared" si="102"/>
        <x:v/>
      </x:c>
      <x:c r="X20" s="1329">
        <x:f t="shared" si="103"/>
        <x:v>0</x:v>
      </x:c>
      <x:c r="Y20" s="1377">
        <x:v>0.46666667546662299</x:v>
      </x:c>
      <x:c r="Z20" s="1378">
        <x:v>-0.46666667546662299</x:v>
      </x:c>
      <x:c r="AA20" s="2159" t="s">
        <x:v>2246</x:v>
      </x:c>
      <x:c r="AC20" s="1226" t="b">
        <x:v>0</x:v>
      </x:c>
      <x:c r="AD20" s="525">
        <x:f t="shared" si="9"/>
        <x:v>1</x:v>
      </x:c>
      <x:c r="AE20" s="526">
        <x:f t="shared" si="10"/>
        <x:v>0</x:v>
      </x:c>
      <x:c r="AF20" s="526">
        <x:f t="shared" si="11"/>
        <x:v>0</x:v>
      </x:c>
      <x:c r="AG20" s="526">
        <x:f t="shared" si="12"/>
        <x:v>0</x:v>
      </x:c>
      <x:c r="AH20" s="527">
        <x:f t="shared" si="13"/>
        <x:v>0</x:v>
      </x:c>
      <x:c r="AI20" s="528" t="b">
        <x:v>0</x:v>
      </x:c>
      <x:c r="AJ20" s="284">
        <x:f t="shared" si="14"/>
        <x:v>30</x:v>
      </x:c>
      <x:c r="AK20" s="1063" t="str">
        <x:f t="shared" si="15"/>
        <x:v>K</x:v>
      </x:c>
      <x:c r="AL20" s="1202" t="str">
        <x:f t="shared" si="16"/>
        <x:v/>
      </x:c>
      <x:c r="AM20" s="1063">
        <x:f t="shared" si="17"/>
        <x:v>310</x:v>
      </x:c>
      <x:c r="AN20" s="1063">
        <x:f t="shared" si="18"/>
        <x:v>160</x:v>
      </x:c>
      <x:c r="AO20" s="1063" t="str">
        <x:f t="shared" si="19"/>
        <x:v/>
      </x:c>
      <x:c r="AP20" s="1063" t="b">
        <x:f>IF(ISERROR(AJ20),FALSE,IF(OR(AJ20=0,ISERROR(AL20),ISERROR(AM20),ISERROR(AN20),ISERROR(AO20)),FALSE,IF(AL20&lt;&gt;"",IF(ISERROR(VLOOKUP(SUBSTITUTE(SUBSTITUTE(C20,"R",""),"A",""),TblJoistSize!$A:$A,1,FALSE)),FALSE,TRUE),TRUE)))</x:f>
        <x:v>1</x:v>
      </x:c>
      <x:c r="AQ20" s="1305">
        <x:f t="shared" si="20"/>
        <x:v>5.375</x:v>
      </x:c>
      <x:c r="AR20" s="1305" t="b">
        <x:f t="shared" si="21"/>
        <x:v>0</x:v>
      </x:c>
      <x:c r="AS20" s="1305">
        <x:f t="shared" si="22"/>
        <x:v>6</x:v>
      </x:c>
      <x:c r="AT20" s="1305" t="b">
        <x:f t="shared" si="23"/>
        <x:v>0</x:v>
      </x:c>
      <x:c r="AU20" s="1203" t="str">
        <x:f t="shared" si="24"/>
        <x:v>K</x:v>
      </x:c>
      <x:c r="AV20" s="1063" t="str">
        <x:f t="shared" si="25"/>
        <x:v>K</x:v>
      </x:c>
      <x:c r="AW20" s="1063" t="str">
        <x:f t="shared" si="26"/>
        <x:v/>
      </x:c>
      <x:c r="AX20" s="1063" t="str">
        <x:f t="shared" si="104"/>
        <x:v>J246</x:v>
      </x:c>
      <x:c r="AY20" s="1306" t="b">
        <x:f t="shared" si="27"/>
        <x:v>0</x:v>
      </x:c>
      <x:c r="AZ20" s="1090" t="b">
        <x:f t="shared" si="28"/>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29"/>
        <x:v/>
      </x:c>
      <x:c r="CE20" s="935" t="str">
        <x:f t="shared" si="30"/>
        <x:v/>
      </x:c>
      <x:c r="CF20" s="1149"/>
      <x:c r="CG20" s="1150"/>
      <x:c r="CH20" s="738" t="str">
        <x:f t="shared" si="31"/>
        <x:v/>
      </x:c>
      <x:c r="CI20" s="739" t="str">
        <x:f t="shared" si="32"/>
        <x:v/>
      </x:c>
      <x:c r="CJ20" s="740" t="str">
        <x:f t="shared" si="33"/>
        <x:v/>
      </x:c>
      <x:c r="CK20" s="741" t="str">
        <x:f t="shared" si="34"/>
        <x:v/>
      </x:c>
      <x:c r="CL20" s="742" t="str">
        <x:f t="shared" si="35"/>
        <x:v/>
      </x:c>
      <x:c r="CM20" s="743" t="str">
        <x:f t="shared" si="36"/>
        <x:v/>
      </x:c>
      <x:c r="CN20" s="744" t="str">
        <x:f t="shared" si="37"/>
        <x:v/>
      </x:c>
      <x:c r="CO20" s="745" t="str">
        <x:f t="shared" si="38"/>
        <x:v/>
      </x:c>
      <x:c r="CP20" s="762" t="str">
        <x:f t="shared" si="39"/>
        <x:v/>
      </x:c>
      <x:c r="CQ20" s="763" t="str">
        <x:f t="shared" si="40"/>
        <x:v/>
      </x:c>
      <x:c r="CR20" s="953">
        <x:f t="shared" si="41"/>
        <x:v>2.5</x:v>
      </x:c>
      <x:c r="CS20" s="954">
        <x:f t="shared" si="42"/>
        <x:v>2.5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3"/>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4"/>
        <x:v>0</x:v>
      </x:c>
      <x:c r="DO20" s="1049">
        <x:f t="shared" si="45"/>
        <x:v>0</x:v>
      </x:c>
      <x:c r="DP20" s="1053" t="str">
        <x:f t="shared" si="46"/>
        <x:v/>
      </x:c>
      <x:c r="DQ20" s="1053" t="str">
        <x:f t="shared" si="47"/>
        <x:v/>
      </x:c>
      <x:c r="DR20" s="1053" t="str">
        <x:f t="shared" si="48"/>
        <x:v/>
      </x:c>
      <x:c r="DS20" s="1052">
        <x:f t="shared" si="49"/>
        <x:v>0</x:v>
      </x:c>
      <x:c r="DT20" s="1052">
        <x:f t="shared" si="50"/>
        <x:v>0</x:v>
      </x:c>
      <x:c r="DU20" s="1052" t="str">
        <x:f t="shared" si="51"/>
        <x:v/>
      </x:c>
      <x:c r="DV20" s="1053" t="str">
        <x:f t="shared" si="52"/>
        <x:v/>
      </x:c>
      <x:c r="DW20" s="1053" t="str">
        <x:f t="shared" si="53"/>
        <x:v/>
      </x:c>
      <x:c r="DX20" s="1269">
        <x:f t="shared" si="54"/>
        <x:v>0</x:v>
      </x:c>
      <x:c r="DY20" s="1053">
        <x:f t="shared" si="55"/>
        <x:v>0</x:v>
      </x:c>
      <x:c r="DZ20" s="1052">
        <x:f t="shared" si="56"/>
        <x:v>0</x:v>
      </x:c>
      <x:c r="EA20" s="1052" t="str">
        <x:f t="shared" si="57"/>
        <x:v/>
      </x:c>
      <x:c r="EB20" s="1053" t="str">
        <x:f t="shared" si="58"/>
        <x:v/>
      </x:c>
      <x:c r="EC20" s="1053" t="str">
        <x:f t="shared" si="59"/>
        <x:v/>
      </x:c>
      <x:c r="ED20" s="1269">
        <x:f t="shared" si="60"/>
        <x:v>0</x:v>
      </x:c>
      <x:c r="EE20" s="1090" t="str">
        <x:f t="shared" si="61"/>
        <x:v/>
      </x:c>
      <x:c r="EF20" s="1053" t="str">
        <x:f t="shared" si="62"/>
        <x:v/>
      </x:c>
      <x:c r="EG20" s="1053" t="str">
        <x:f t="shared" si="63"/>
        <x:v/>
      </x:c>
      <x:c r="EH20" s="1053" t="str">
        <x:f t="shared" si="64"/>
        <x:v>ERR</x:v>
      </x:c>
      <x:c r="EI20" s="1053" t="str">
        <x:f t="shared" si="65"/>
        <x:v>ERR</x:v>
      </x:c>
      <x:c r="EJ20" s="1053" t="str">
        <x:f t="shared" si="66"/>
        <x:v/>
      </x:c>
      <x:c r="EK20" s="1053" t="str">
        <x:f t="shared" si="66"/>
        <x:v/>
      </x:c>
      <x:c r="EL20" s="1090" t="str">
        <x:f t="shared" si="67"/>
        <x:v/>
      </x:c>
      <x:c r="EM20" s="1053" t="str">
        <x:f t="shared" si="68"/>
        <x:v/>
      </x:c>
      <x:c r="EN20" s="1053" t="str">
        <x:f t="shared" si="69"/>
        <x:v/>
      </x:c>
      <x:c r="EO20" s="1053" t="str">
        <x:f t="shared" si="70"/>
        <x:v>ERR</x:v>
      </x:c>
      <x:c r="EP20" s="1053" t="str">
        <x:f t="shared" si="71"/>
        <x:v>ERR</x:v>
      </x:c>
      <x:c r="EQ20" s="1053" t="str">
        <x:f t="shared" si="72"/>
        <x:v/>
      </x:c>
      <x:c r="ER20" s="1053" t="str">
        <x:f t="shared" si="72"/>
        <x:v/>
      </x:c>
      <x:c r="ES20" s="1053" t="str">
        <x:f t="shared" si="73"/>
        <x:v/>
      </x:c>
      <x:c r="ET20" s="1053" t="str">
        <x:f t="shared" si="74"/>
        <x:v/>
      </x:c>
      <x:c r="EU20" s="1061">
        <x:f t="shared" si="75"/>
        <x:v>3.5</x:v>
      </x:c>
      <x:c r="EV20" s="1055" t="str">
        <x:f t="shared" si="76"/>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77"/>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78"/>
        <x:v/>
      </x:c>
      <x:c r="FD20" s="1052">
        <x:f t="shared" si="105"/>
        <x:v>0</x:v>
      </x:c>
      <x:c r="FE20" s="1052">
        <x:f t="shared" si="79"/>
        <x:v>0</x:v>
      </x:c>
      <x:c r="FF20" s="1052">
        <x:f t="shared" si="80"/>
        <x:v>0</x:v>
      </x:c>
      <x:c r="FG20" s="1052" t="str">
        <x:f t="shared" si="81"/>
        <x:v/>
      </x:c>
      <x:c r="FH20" s="1053" t="str">
        <x:f t="shared" si="82"/>
        <x:v/>
      </x:c>
      <x:c r="FI20" s="1052">
        <x:f t="shared" si="106"/>
        <x:v>0</x:v>
      </x:c>
      <x:c r="FJ20" s="1052">
        <x:f t="shared" si="83"/>
        <x:v>0</x:v>
      </x:c>
      <x:c r="FK20" s="1052">
        <x:f t="shared" si="84"/>
        <x:v>0</x:v>
      </x:c>
      <x:c r="FL20" s="1052" t="str">
        <x:f t="shared" si="85"/>
        <x:v/>
      </x:c>
      <x:c r="FM20" s="1053" t="str">
        <x:f t="shared" si="86"/>
        <x:v/>
      </x:c>
      <x:c r="FN20" s="1053" t="e">
        <x:f t="shared" si="87"/>
        <x:v>#VALUE!</x:v>
      </x:c>
      <x:c r="FO20" s="1062" t="e">
        <x:f t="shared" si="88"/>
        <x:v>#VALUE!</x:v>
      </x:c>
      <x:c r="FP20" s="1062" t="e">
        <x:f t="shared" si="89"/>
        <x:v>#VALUE!</x:v>
      </x:c>
      <x:c r="FQ20" s="1063" t="e">
        <x:f t="shared" si="90"/>
        <x:v>#VALUE!</x:v>
      </x:c>
      <x:c r="FR20" s="1064" t="e">
        <x:f t="shared" si="91"/>
        <x:v>#VALUE!</x:v>
      </x:c>
      <x:c r="FS20" s="1065" t="str">
        <x:f t="shared" si="92"/>
        <x:v/>
      </x:c>
      <x:c r="FT20" s="1066" t="str">
        <x:f t="shared" si="93"/>
        <x:v/>
      </x:c>
      <x:c r="FU20" s="1105">
        <x:f t="shared" si="94"/>
        <x:v>0</x:v>
      </x:c>
      <x:c r="FV20" s="1106">
        <x:f t="shared" si="95"/>
        <x:v>0</x:v>
      </x:c>
      <x:c r="GA20" s="1975">
        <x:v>22</x:v>
      </x:c>
      <x:c r="GB20" s="1976">
        <x:v>11.625</x:v>
      </x:c>
      <x:c r="GC20" s="1977">
        <x:v>-0.25</x:v>
      </x:c>
      <x:c r="GD20" s="1978">
        <x:v>-0.5</x:v>
      </x:c>
      <x:c r="GE20" s="1979">
        <x:v>0.46666667546662299</x:v>
      </x:c>
      <x:c r="GF20" s="1980" t="str">
        <x:f t="shared" si="96"/>
        <x:v>J246</x:v>
      </x:c>
      <x:c r="GG20" s="1453"/>
      <x:c r="GH20" s="1454"/>
      <x:c r="GI20" s="1453"/>
      <x:c r="GJ20" s="1454"/>
      <x:c r="GK20" s="533">
        <x:f t="shared" si="97"/>
        <x:v>274.875</x:v>
      </x:c>
      <x:c r="GL20" s="534">
        <x:f t="shared" si="98"/>
        <x:v>275.08277449006101</x:v>
      </x:c>
      <x:c r="GM20" s="535">
        <x:f>IF(ABS(GK20-GL20)&gt;='Job Info.'!$L$22,ABS(GK20-GL20),0)</x:f>
        <x:v>0</x:v>
      </x:c>
      <x:c r="HA20" s="1658" t="s">
        <x:v>1570</x:v>
      </x:c>
      <x:c r="HB20" s="1659">
        <x:v>1</x:v>
      </x:c>
      <x:c r="HC20" s="1659" t="s">
        <x:v>1980</x:v>
      </x:c>
      <x:c r="HD20" s="1660">
        <x:v>22</x:v>
      </x:c>
      <x:c r="HE20" s="1661">
        <x:v>10.875</x:v>
      </x:c>
      <x:c r="HF20" s="1659">
        <x:v>0</x:v>
      </x:c>
      <x:c r="HG20" s="1659">
        <x:v>1.375</x:v>
      </x:c>
      <x:c r="HH20" s="1659" t="s">
        <x:v>114</x:v>
      </x:c>
      <x:c r="HI20" s="1662">
        <x:v>0</x:v>
      </x:c>
      <x:c r="HJ20" s="1659">
        <x:v>0.25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x:v>0.46666667546662299</x:v>
      </x:c>
      <x:c r="HZ20" s="1661">
        <x:v>-0.46666667546662299</x:v>
      </x:c>
      <x:c r="IA20" s="1661" t="s">
        <x:v>2246</x:v>
      </x:c>
      <x:c r="IB20" s="1661"/>
      <x:c r="IC20" s="1661"/>
      <x:c r="ID20" s="1661"/>
      <x:c r="IE20" s="1661"/>
      <x:c r="IF20" s="1663"/>
    </x:row>
    <x:row r="21" spans="1:240" ht="12.6" customHeight="1" x14ac:dyDescent="0.25">
      <x:c r="A21" s="1264" t="s">
        <x:v>1571</x:v>
      </x:c>
      <x:c r="B21" s="1265">
        <x:v>1</x:v>
      </x:c>
      <x:c r="C21" s="1265" t="s">
        <x:v>1980</x:v>
      </x:c>
      <x:c r="D21" s="1261">
        <x:v>33</x:v>
      </x:c>
      <x:c r="E21" s="1366">
        <x:v>11.875</x:v>
      </x:c>
      <x:c r="F21" s="1328">
        <x:v>0</x:v>
      </x:c>
      <x:c r="G21" s="1262">
        <x:v>0.625</x:v>
      </x:c>
      <x:c r="H21" s="1266" t="s">
        <x:v>114</x:v>
      </x:c>
      <x:c r="I21" s="1261">
        <x:v>0</x:v>
      </x:c>
      <x:c r="J21" s="2122">
        <x:v>2</x:v>
      </x:c>
      <x:c r="K21" s="1370" t="s">
        <x:v>114</x:v>
      </x:c>
      <x:c r="L21" s="1327">
        <x:v>3</x:v>
      </x:c>
      <x:c r="M21" s="1329">
        <x:v>3</x:v>
      </x:c>
      <x:c r="N21" s="1263">
        <x:v>0</x:v>
      </x:c>
      <x:c r="O21" s="1262">
        <x:v>4.875</x:v>
      </x:c>
      <x:c r="P21" s="1260">
        <x:v>2</x:v>
      </x:c>
      <x:c r="Q21" s="1261" t="str">
        <x:f t="shared" si="4"/>
        <x:v/>
      </x:c>
      <x:c r="R21" s="1262" t="str">
        <x:f t="shared" si="5"/>
        <x:v/>
      </x:c>
      <x:c r="S21" s="1375" t="str">
        <x:f t="shared" si="6"/>
        <x:v/>
      </x:c>
      <x:c r="T21" s="1328">
        <x:v>0</x:v>
      </x:c>
      <x:c r="U21" s="1262">
        <x:v>1.5</x:v>
      </x:c>
      <x:c r="V21" s="1261">
        <x:v>0</x:v>
      </x:c>
      <x:c r="W21" s="1262">
        <x:v>3.875</x:v>
      </x:c>
      <x:c r="X21" s="1329">
        <x:v>4</x:v>
      </x:c>
      <x:c r="Y21" s="1377">
        <x:v>0.46666666182322297</x:v>
      </x:c>
      <x:c r="Z21" s="1378">
        <x:v>-0.46666666182322297</x:v>
      </x:c>
      <x:c r="AA21" s="2159" t="s">
        <x:v>2247</x:v>
      </x:c>
      <x:c r="AC21" s="1226" t="b">
        <x:v>0</x:v>
      </x:c>
      <x:c r="AD21" s="525">
        <x:f t="shared" si="9"/>
        <x:v>1</x:v>
      </x:c>
      <x:c r="AE21" s="526">
        <x:f t="shared" si="10"/>
        <x:v>0</x:v>
      </x:c>
      <x:c r="AF21" s="526">
        <x:f t="shared" si="11"/>
        <x:v>0</x:v>
      </x:c>
      <x:c r="AG21" s="526">
        <x:f t="shared" si="12"/>
        <x:v>0</x:v>
      </x:c>
      <x:c r="AH21" s="527">
        <x:f t="shared" si="13"/>
        <x:v>0</x:v>
      </x:c>
      <x:c r="AI21" s="528" t="b">
        <x:v>0</x:v>
      </x:c>
      <x:c r="AJ21" s="284">
        <x:f t="shared" si="14"/>
        <x:v>30</x:v>
      </x:c>
      <x:c r="AK21" s="1063" t="str">
        <x:f t="shared" si="15"/>
        <x:v>K</x:v>
      </x:c>
      <x:c r="AL21" s="1202" t="str">
        <x:f t="shared" si="16"/>
        <x:v/>
      </x:c>
      <x:c r="AM21" s="1063">
        <x:f t="shared" si="17"/>
        <x:v>310</x:v>
      </x:c>
      <x:c r="AN21" s="1063">
        <x:f t="shared" si="18"/>
        <x:v>160</x:v>
      </x:c>
      <x:c r="AO21" s="1063" t="str">
        <x:f t="shared" si="19"/>
        <x:v/>
      </x:c>
      <x:c r="AP21" s="1063" t="b">
        <x:f>IF(ISERROR(AJ21),FALSE,IF(OR(AJ21=0,ISERROR(AL21),ISERROR(AM21),ISERROR(AN21),ISERROR(AO21)),FALSE,IF(AL21&lt;&gt;"",IF(ISERROR(VLOOKUP(SUBSTITUTE(SUBSTITUTE(C21,"R",""),"A",""),TblJoistSize!$A:$A,1,FALSE)),FALSE,TRUE),TRUE)))</x:f>
        <x:v>1</x:v>
      </x:c>
      <x:c r="AQ21" s="1305">
        <x:f t="shared" si="20"/>
        <x:v>4.625</x:v>
      </x:c>
      <x:c r="AR21" s="1305" t="b">
        <x:f t="shared" si="21"/>
        <x:v>1</x:v>
      </x:c>
      <x:c r="AS21" s="1305">
        <x:f t="shared" si="22"/>
        <x:v>6</x:v>
      </x:c>
      <x:c r="AT21" s="1305" t="b">
        <x:f t="shared" si="23"/>
        <x:v>1</x:v>
      </x:c>
      <x:c r="AU21" s="1203" t="str">
        <x:f t="shared" si="24"/>
        <x:v>K</x:v>
      </x:c>
      <x:c r="AV21" s="1063" t="str">
        <x:f t="shared" si="25"/>
        <x:v>K</x:v>
      </x:c>
      <x:c r="AW21" s="1063" t="str">
        <x:f t="shared" si="26"/>
        <x:v/>
      </x:c>
      <x:c r="AX21" s="1063" t="str">
        <x:f t="shared" si="104"/>
        <x:v>TJ247</x:v>
      </x:c>
      <x:c r="AY21" s="1306" t="b">
        <x:f t="shared" si="27"/>
        <x:v>0</x:v>
      </x:c>
      <x:c r="AZ21" s="1090" t="b">
        <x:f t="shared" si="28"/>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29"/>
        <x:v/>
      </x:c>
      <x:c r="CE21" s="1812" t="str">
        <x:f t="shared" si="30"/>
        <x:v/>
      </x:c>
      <x:c r="CF21" s="1813"/>
      <x:c r="CG21" s="1814"/>
      <x:c r="CH21" s="738" t="str">
        <x:f t="shared" si="31"/>
        <x:v/>
      </x:c>
      <x:c r="CI21" s="739" t="str">
        <x:f t="shared" si="32"/>
        <x:v/>
      </x:c>
      <x:c r="CJ21" s="740" t="str">
        <x:f t="shared" si="33"/>
        <x:v/>
      </x:c>
      <x:c r="CK21" s="741" t="str">
        <x:f t="shared" si="34"/>
        <x:v/>
      </x:c>
      <x:c r="CL21" s="742" t="str">
        <x:f t="shared" si="35"/>
        <x:v/>
      </x:c>
      <x:c r="CM21" s="743" t="str">
        <x:f t="shared" si="36"/>
        <x:v/>
      </x:c>
      <x:c r="CN21" s="744" t="str">
        <x:f t="shared" si="37"/>
        <x:v/>
      </x:c>
      <x:c r="CO21" s="745" t="str">
        <x:f t="shared" si="38"/>
        <x:v/>
      </x:c>
      <x:c r="CP21" s="762" t="str">
        <x:f t="shared" si="39"/>
        <x:v/>
      </x:c>
      <x:c r="CQ21" s="763" t="str">
        <x:f t="shared" si="40"/>
        <x:v/>
      </x:c>
      <x:c r="CR21" s="953">
        <x:f t="shared" si="41"/>
        <x:v>2.5</x:v>
      </x:c>
      <x:c r="CS21" s="954">
        <x:f t="shared" si="42"/>
        <x:v>2.5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3"/>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4"/>
        <x:v>0</x:v>
      </x:c>
      <x:c r="DO21" s="1049">
        <x:f t="shared" si="45"/>
        <x:v>0</x:v>
      </x:c>
      <x:c r="DP21" s="1053" t="str">
        <x:f t="shared" si="46"/>
        <x:v/>
      </x:c>
      <x:c r="DQ21" s="1053" t="str">
        <x:f t="shared" si="47"/>
        <x:v/>
      </x:c>
      <x:c r="DR21" s="1053" t="str">
        <x:f t="shared" si="48"/>
        <x:v/>
      </x:c>
      <x:c r="DS21" s="1052">
        <x:f t="shared" si="49"/>
        <x:v>0</x:v>
      </x:c>
      <x:c r="DT21" s="1052">
        <x:f t="shared" si="50"/>
        <x:v>0</x:v>
      </x:c>
      <x:c r="DU21" s="1052" t="str">
        <x:f t="shared" si="51"/>
        <x:v/>
      </x:c>
      <x:c r="DV21" s="1053" t="str">
        <x:f t="shared" si="52"/>
        <x:v/>
      </x:c>
      <x:c r="DW21" s="1053" t="str">
        <x:f t="shared" si="53"/>
        <x:v/>
      </x:c>
      <x:c r="DX21" s="1269">
        <x:f t="shared" si="54"/>
        <x:v>0</x:v>
      </x:c>
      <x:c r="DY21" s="1053">
        <x:f t="shared" si="55"/>
        <x:v>0</x:v>
      </x:c>
      <x:c r="DZ21" s="1052">
        <x:f t="shared" si="56"/>
        <x:v>0</x:v>
      </x:c>
      <x:c r="EA21" s="1052" t="str">
        <x:f t="shared" si="57"/>
        <x:v/>
      </x:c>
      <x:c r="EB21" s="1053" t="str">
        <x:f t="shared" si="58"/>
        <x:v/>
      </x:c>
      <x:c r="EC21" s="1053" t="str">
        <x:f t="shared" si="59"/>
        <x:v/>
      </x:c>
      <x:c r="ED21" s="1269">
        <x:f t="shared" si="60"/>
        <x:v>0</x:v>
      </x:c>
      <x:c r="EE21" s="1090" t="str">
        <x:f t="shared" si="61"/>
        <x:v/>
      </x:c>
      <x:c r="EF21" s="1053" t="str">
        <x:f t="shared" si="62"/>
        <x:v/>
      </x:c>
      <x:c r="EG21" s="1053" t="str">
        <x:f t="shared" si="63"/>
        <x:v/>
      </x:c>
      <x:c r="EH21" s="1053" t="str">
        <x:f t="shared" si="64"/>
        <x:v>ERR</x:v>
      </x:c>
      <x:c r="EI21" s="1053" t="str">
        <x:f t="shared" si="65"/>
        <x:v>ERR</x:v>
      </x:c>
      <x:c r="EJ21" s="1053" t="str">
        <x:f t="shared" si="66"/>
        <x:v/>
      </x:c>
      <x:c r="EK21" s="1053" t="str">
        <x:f t="shared" si="66"/>
        <x:v/>
      </x:c>
      <x:c r="EL21" s="1090" t="str">
        <x:f t="shared" si="67"/>
        <x:v/>
      </x:c>
      <x:c r="EM21" s="1053" t="str">
        <x:f t="shared" si="68"/>
        <x:v/>
      </x:c>
      <x:c r="EN21" s="1053" t="str">
        <x:f t="shared" si="69"/>
        <x:v/>
      </x:c>
      <x:c r="EO21" s="1053" t="str">
        <x:f t="shared" si="70"/>
        <x:v>ERR</x:v>
      </x:c>
      <x:c r="EP21" s="1053" t="str">
        <x:f t="shared" si="71"/>
        <x:v>ERR</x:v>
      </x:c>
      <x:c r="EQ21" s="1053" t="str">
        <x:f t="shared" si="72"/>
        <x:v/>
      </x:c>
      <x:c r="ER21" s="1053" t="str">
        <x:f t="shared" si="72"/>
        <x:v/>
      </x:c>
      <x:c r="ES21" s="1053" t="str">
        <x:f t="shared" si="73"/>
        <x:v/>
      </x:c>
      <x:c r="ET21" s="1053" t="str">
        <x:f t="shared" si="74"/>
        <x:v/>
      </x:c>
      <x:c r="EU21" s="1061">
        <x:f t="shared" si="75"/>
        <x:v>3.5</x:v>
      </x:c>
      <x:c r="EV21" s="1055" t="str">
        <x:f t="shared" si="76"/>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77"/>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78"/>
        <x:v/>
      </x:c>
      <x:c r="FD21" s="1052">
        <x:f t="shared" si="105"/>
        <x:v>0</x:v>
      </x:c>
      <x:c r="FE21" s="1052">
        <x:f t="shared" si="79"/>
        <x:v>0</x:v>
      </x:c>
      <x:c r="FF21" s="1052">
        <x:f t="shared" si="80"/>
        <x:v>0</x:v>
      </x:c>
      <x:c r="FG21" s="1052" t="str">
        <x:f t="shared" si="81"/>
        <x:v/>
      </x:c>
      <x:c r="FH21" s="1053" t="str">
        <x:f t="shared" si="82"/>
        <x:v/>
      </x:c>
      <x:c r="FI21" s="1052">
        <x:f t="shared" si="106"/>
        <x:v>0</x:v>
      </x:c>
      <x:c r="FJ21" s="1052">
        <x:f t="shared" si="83"/>
        <x:v>0</x:v>
      </x:c>
      <x:c r="FK21" s="1052">
        <x:f t="shared" si="84"/>
        <x:v>0</x:v>
      </x:c>
      <x:c r="FL21" s="1052" t="str">
        <x:f t="shared" si="85"/>
        <x:v/>
      </x:c>
      <x:c r="FM21" s="1053" t="str">
        <x:f t="shared" si="86"/>
        <x:v/>
      </x:c>
      <x:c r="FN21" s="1053" t="e">
        <x:f t="shared" si="87"/>
        <x:v>#VALUE!</x:v>
      </x:c>
      <x:c r="FO21" s="1062" t="e">
        <x:f t="shared" si="88"/>
        <x:v>#VALUE!</x:v>
      </x:c>
      <x:c r="FP21" s="1062" t="e">
        <x:f t="shared" si="89"/>
        <x:v>#VALUE!</x:v>
      </x:c>
      <x:c r="FQ21" s="1063" t="e">
        <x:f t="shared" si="90"/>
        <x:v>#VALUE!</x:v>
      </x:c>
      <x:c r="FR21" s="1064" t="e">
        <x:f t="shared" si="91"/>
        <x:v>#VALUE!</x:v>
      </x:c>
      <x:c r="FS21" s="1065" t="str">
        <x:f t="shared" si="92"/>
        <x:v/>
      </x:c>
      <x:c r="FT21" s="1066" t="str">
        <x:f t="shared" si="93"/>
        <x:v/>
      </x:c>
      <x:c r="FU21" s="1105">
        <x:f t="shared" si="94"/>
        <x:v>0</x:v>
      </x:c>
      <x:c r="FV21" s="1106">
        <x:f t="shared" si="95"/>
        <x:v>0</x:v>
      </x:c>
      <x:c r="GA21" s="1975">
        <x:v>34</x:v>
      </x:c>
      <x:c r="GB21" s="1976">
        <x:v>1.125</x:v>
      </x:c>
      <x:c r="GC21" s="1977">
        <x:v>-1</x:v>
      </x:c>
      <x:c r="GD21" s="1978">
        <x:v>-0.5</x:v>
      </x:c>
      <x:c r="GE21" s="1979">
        <x:v>0.46666666182322297</x:v>
      </x:c>
      <x:c r="GF21" s="1980" t="str">
        <x:f t="shared" si="96"/>
        <x:v>TJ247</x:v>
      </x:c>
      <x:c r="GG21" s="1453"/>
      <x:c r="GH21" s="1454"/>
      <x:c r="GI21" s="1453"/>
      <x:c r="GJ21" s="1454"/>
      <x:c r="GK21" s="533">
        <x:f t="shared" si="97"/>
        <x:v>407.875</x:v>
      </x:c>
      <x:c r="GL21" s="534">
        <x:f t="shared" si="98"/>
        <x:v>407.933118495901</x:v>
      </x:c>
      <x:c r="GM21" s="535">
        <x:f>IF(ABS(GK21-GL21)&gt;='Job Info.'!$L$22,ABS(GK21-GL21),0)</x:f>
        <x:v>0</x:v>
      </x:c>
      <x:c r="HA21" s="1658" t="s">
        <x:v>1571</x:v>
      </x:c>
      <x:c r="HB21" s="1659">
        <x:v>1</x:v>
      </x:c>
      <x:c r="HC21" s="1659" t="s">
        <x:v>1980</x:v>
      </x:c>
      <x:c r="HD21" s="1660">
        <x:v>33</x:v>
      </x:c>
      <x:c r="HE21" s="1661">
        <x:v>11.875</x:v>
      </x:c>
      <x:c r="HF21" s="1659">
        <x:v>0</x:v>
      </x:c>
      <x:c r="HG21" s="1659">
        <x:v>0.625</x:v>
      </x:c>
      <x:c r="HH21" s="1659" t="s">
        <x:v>114</x:v>
      </x:c>
      <x:c r="HI21" s="1662">
        <x:v>0</x:v>
      </x:c>
      <x:c r="HJ21" s="1659">
        <x:v>0.25</x:v>
      </x:c>
      <x:c r="HK21" s="1659" t="s">
        <x:v>114</x:v>
      </x:c>
      <x:c r="HL21" s="1659">
        <x:v>3</x:v>
      </x:c>
      <x:c r="HM21" s="1659">
        <x:v>3</x:v>
      </x:c>
      <x:c r="HN21" s="1659">
        <x:v>0</x:v>
      </x:c>
      <x:c r="HO21" s="1659">
        <x:v>4.875</x:v>
      </x:c>
      <x:c r="HP21" s="1659">
        <x:v>2</x:v>
      </x:c>
      <x:c r="HQ21" s="1662" t="s">
        <x:v>117</x:v>
      </x:c>
      <x:c r="HR21" s="1659" t="s">
        <x:v>117</x:v>
      </x:c>
      <x:c r="HS21" s="1659" t="s">
        <x:v>117</x:v>
      </x:c>
      <x:c r="HT21" s="1659">
        <x:v>0</x:v>
      </x:c>
      <x:c r="HU21" s="1659">
        <x:v>1.5</x:v>
      </x:c>
      <x:c r="HV21" s="1659">
        <x:v>0</x:v>
      </x:c>
      <x:c r="HW21" s="1661">
        <x:v>3.875</x:v>
      </x:c>
      <x:c r="HX21" s="1661">
        <x:v>4</x:v>
      </x:c>
      <x:c r="HY21" s="1661">
        <x:v>0.46666666182322297</x:v>
      </x:c>
      <x:c r="HZ21" s="1661">
        <x:v>-0.46666666182322297</x:v>
      </x:c>
      <x:c r="IA21" s="1661" t="s">
        <x:v>2247</x:v>
      </x:c>
      <x:c r="IB21" s="1661"/>
      <x:c r="IC21" s="1661"/>
      <x:c r="ID21" s="1661"/>
      <x:c r="IE21" s="1661"/>
      <x:c r="IF21" s="1663"/>
    </x:row>
    <x:row r="22" spans="1:240" ht="12.6" customHeight="1" x14ac:dyDescent="0.25">
      <x:c r="A22" s="1264" t="s">
        <x:v>1572</x:v>
      </x:c>
      <x:c r="B22" s="1265">
        <x:v>1</x:v>
      </x:c>
      <x:c r="C22" s="1265" t="s">
        <x:v>1979</x:v>
      </x:c>
      <x:c r="D22" s="1261">
        <x:v>45</x:v>
      </x:c>
      <x:c r="E22" s="1366">
        <x:v>2.25</x:v>
      </x:c>
      <x:c r="F22" s="1328">
        <x:v>0</x:v>
      </x:c>
      <x:c r="G22" s="1262">
        <x:v>1.375</x:v>
      </x:c>
      <x:c r="H22" s="1266" t="s">
        <x:v>114</x:v>
      </x:c>
      <x:c r="I22" s="1261">
        <x:v>0</x:v>
      </x:c>
      <x:c r="J22" s="2122">
        <x:v>2</x:v>
      </x:c>
      <x:c r="K22" s="1370" t="s">
        <x:v>114</x:v>
      </x:c>
      <x:c r="L22" s="1327">
        <x:v>3</x:v>
      </x:c>
      <x:c r="M22" s="1329">
        <x:v>3</x:v>
      </x:c>
      <x:c r="N22" s="1263" t="str">
        <x:f t="shared" si="1"/>
        <x:v/>
      </x:c>
      <x:c r="O22" s="1262" t="str">
        <x:f t="shared" si="2"/>
        <x:v/>
      </x:c>
      <x:c r="P22" s="1260" t="str">
        <x:f t="shared" si="3"/>
        <x:v/>
      </x:c>
      <x:c r="Q22" s="1261" t="str">
        <x:f t="shared" si="4"/>
        <x:v/>
      </x:c>
      <x:c r="R22" s="1262" t="str">
        <x:f t="shared" si="5"/>
        <x:v/>
      </x:c>
      <x:c r="S22" s="1375" t="str">
        <x:f t="shared" si="6"/>
        <x:v/>
      </x:c>
      <x:c r="T22" s="1328" t="str">
        <x:f t="shared" si="99"/>
        <x:v/>
      </x:c>
      <x:c r="U22" s="1262" t="str">
        <x:f t="shared" si="100"/>
        <x:v/>
      </x:c>
      <x:c r="V22" s="1261" t="str">
        <x:f t="shared" si="101"/>
        <x:v/>
      </x:c>
      <x:c r="W22" s="1262" t="str">
        <x:f t="shared" si="102"/>
        <x:v/>
      </x:c>
      <x:c r="X22" s="1329">
        <x:f t="shared" si="103"/>
        <x:v>0</x:v>
      </x:c>
      <x:c r="Y22" s="1377">
        <x:v>0.46666667047418398</x:v>
      </x:c>
      <x:c r="Z22" s="1378">
        <x:v>-0.46666667047418398</x:v>
      </x:c>
      <x:c r="AA22" s="2159" t="s">
        <x:v>2248</x:v>
      </x:c>
      <x:c r="AC22" s="1226" t="b">
        <x:v>0</x:v>
      </x:c>
      <x:c r="AD22" s="525">
        <x:f t="shared" si="9"/>
        <x:v>1</x:v>
      </x:c>
      <x:c r="AE22" s="526">
        <x:f t="shared" si="10"/>
        <x:v>0</x:v>
      </x:c>
      <x:c r="AF22" s="526">
        <x:f t="shared" si="11"/>
        <x:v>0</x:v>
      </x:c>
      <x:c r="AG22" s="526">
        <x:f t="shared" si="12"/>
        <x:v>0</x:v>
      </x:c>
      <x:c r="AH22" s="527">
        <x:f t="shared" si="13"/>
        <x:v>0</x:v>
      </x:c>
      <x:c r="AI22" s="528" t="b">
        <x:v>0</x:v>
      </x:c>
      <x:c r="AJ22" s="284">
        <x:f t="shared" si="14"/>
        <x:v>30</x:v>
      </x:c>
      <x:c r="AK22" s="1063" t="str">
        <x:f t="shared" si="15"/>
        <x:v>K</x:v>
      </x:c>
      <x:c r="AL22" s="1202" t="str">
        <x:f t="shared" si="16"/>
        <x:v/>
      </x:c>
      <x:c r="AM22" s="1063">
        <x:f t="shared" si="17"/>
        <x:v>240</x:v>
      </x:c>
      <x:c r="AN22" s="1063">
        <x:f t="shared" si="18"/>
        <x:v>140</x:v>
      </x:c>
      <x:c r="AO22" s="1063" t="str">
        <x:f t="shared" si="19"/>
        <x:v/>
      </x:c>
      <x:c r="AP22" s="1063" t="b">
        <x:f>IF(ISERROR(AJ22),FALSE,IF(OR(AJ22=0,ISERROR(AL22),ISERROR(AM22),ISERROR(AN22),ISERROR(AO22)),FALSE,IF(AL22&lt;&gt;"",IF(ISERROR(VLOOKUP(SUBSTITUTE(SUBSTITUTE(C22,"R",""),"A",""),TblJoistSize!$A:$A,1,FALSE)),FALSE,TRUE),TRUE)))</x:f>
        <x:v>1</x:v>
      </x:c>
      <x:c r="AQ22" s="1305">
        <x:f t="shared" si="20"/>
        <x:v>5.375</x:v>
      </x:c>
      <x:c r="AR22" s="1305" t="b">
        <x:f t="shared" si="21"/>
        <x:v>0</x:v>
      </x:c>
      <x:c r="AS22" s="1305">
        <x:f t="shared" si="22"/>
        <x:v>6</x:v>
      </x:c>
      <x:c r="AT22" s="1305" t="b">
        <x:f t="shared" si="23"/>
        <x:v>0</x:v>
      </x:c>
      <x:c r="AU22" s="1203" t="str">
        <x:f t="shared" si="24"/>
        <x:v>K</x:v>
      </x:c>
      <x:c r="AV22" s="1063" t="str">
        <x:f t="shared" si="25"/>
        <x:v>K</x:v>
      </x:c>
      <x:c r="AW22" s="1063" t="str">
        <x:f t="shared" si="26"/>
        <x:v/>
      </x:c>
      <x:c r="AX22" s="1063" t="str">
        <x:f t="shared" si="104"/>
        <x:v>J248</x:v>
      </x:c>
      <x:c r="AY22" s="1306" t="b">
        <x:f t="shared" si="27"/>
        <x:v>0</x:v>
      </x:c>
      <x:c r="AZ22" s="1090" t="b">
        <x:f t="shared" si="28"/>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29"/>
        <x:v/>
      </x:c>
      <x:c r="CE22" s="935" t="str">
        <x:f t="shared" si="30"/>
        <x:v/>
      </x:c>
      <x:c r="CF22" s="1149"/>
      <x:c r="CG22" s="1150"/>
      <x:c r="CH22" s="738" t="str">
        <x:f t="shared" si="31"/>
        <x:v/>
      </x:c>
      <x:c r="CI22" s="739" t="str">
        <x:f t="shared" si="32"/>
        <x:v/>
      </x:c>
      <x:c r="CJ22" s="740" t="str">
        <x:f t="shared" si="33"/>
        <x:v/>
      </x:c>
      <x:c r="CK22" s="741" t="str">
        <x:f t="shared" si="34"/>
        <x:v/>
      </x:c>
      <x:c r="CL22" s="742" t="str">
        <x:f t="shared" si="35"/>
        <x:v/>
      </x:c>
      <x:c r="CM22" s="743" t="str">
        <x:f t="shared" si="36"/>
        <x:v/>
      </x:c>
      <x:c r="CN22" s="744" t="str">
        <x:f t="shared" si="37"/>
        <x:v/>
      </x:c>
      <x:c r="CO22" s="745" t="str">
        <x:f t="shared" si="38"/>
        <x:v/>
      </x:c>
      <x:c r="CP22" s="762" t="str">
        <x:f t="shared" si="39"/>
        <x:v/>
      </x:c>
      <x:c r="CQ22" s="763" t="str">
        <x:f t="shared" si="40"/>
        <x:v/>
      </x:c>
      <x:c r="CR22" s="953">
        <x:f t="shared" si="41"/>
        <x:v>2.5</x:v>
      </x:c>
      <x:c r="CS22" s="954">
        <x:f t="shared" si="42"/>
        <x:v>2.5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3"/>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4"/>
        <x:v>0</x:v>
      </x:c>
      <x:c r="DO22" s="1049">
        <x:f t="shared" si="45"/>
        <x:v>0</x:v>
      </x:c>
      <x:c r="DP22" s="1053" t="str">
        <x:f t="shared" si="46"/>
        <x:v/>
      </x:c>
      <x:c r="DQ22" s="1053" t="str">
        <x:f t="shared" si="47"/>
        <x:v/>
      </x:c>
      <x:c r="DR22" s="1053" t="str">
        <x:f t="shared" si="48"/>
        <x:v/>
      </x:c>
      <x:c r="DS22" s="1052">
        <x:f t="shared" si="49"/>
        <x:v>0</x:v>
      </x:c>
      <x:c r="DT22" s="1052">
        <x:f t="shared" si="50"/>
        <x:v>0</x:v>
      </x:c>
      <x:c r="DU22" s="1052" t="str">
        <x:f t="shared" si="51"/>
        <x:v/>
      </x:c>
      <x:c r="DV22" s="1053" t="str">
        <x:f t="shared" si="52"/>
        <x:v/>
      </x:c>
      <x:c r="DW22" s="1053" t="str">
        <x:f t="shared" si="53"/>
        <x:v/>
      </x:c>
      <x:c r="DX22" s="1269">
        <x:f t="shared" si="54"/>
        <x:v>0</x:v>
      </x:c>
      <x:c r="DY22" s="1053">
        <x:f t="shared" si="55"/>
        <x:v>0</x:v>
      </x:c>
      <x:c r="DZ22" s="1052">
        <x:f t="shared" si="56"/>
        <x:v>0</x:v>
      </x:c>
      <x:c r="EA22" s="1052" t="str">
        <x:f t="shared" si="57"/>
        <x:v/>
      </x:c>
      <x:c r="EB22" s="1053" t="str">
        <x:f t="shared" si="58"/>
        <x:v/>
      </x:c>
      <x:c r="EC22" s="1053" t="str">
        <x:f t="shared" si="59"/>
        <x:v/>
      </x:c>
      <x:c r="ED22" s="1269">
        <x:f t="shared" si="60"/>
        <x:v>0</x:v>
      </x:c>
      <x:c r="EE22" s="1090" t="str">
        <x:f t="shared" si="61"/>
        <x:v/>
      </x:c>
      <x:c r="EF22" s="1053" t="str">
        <x:f t="shared" si="62"/>
        <x:v/>
      </x:c>
      <x:c r="EG22" s="1053" t="str">
        <x:f t="shared" si="63"/>
        <x:v/>
      </x:c>
      <x:c r="EH22" s="1053" t="str">
        <x:f t="shared" si="64"/>
        <x:v>ERR</x:v>
      </x:c>
      <x:c r="EI22" s="1053" t="str">
        <x:f t="shared" si="65"/>
        <x:v>ERR</x:v>
      </x:c>
      <x:c r="EJ22" s="1053" t="str">
        <x:f t="shared" si="66"/>
        <x:v/>
      </x:c>
      <x:c r="EK22" s="1053" t="str">
        <x:f t="shared" si="66"/>
        <x:v/>
      </x:c>
      <x:c r="EL22" s="1090" t="str">
        <x:f t="shared" si="67"/>
        <x:v/>
      </x:c>
      <x:c r="EM22" s="1053" t="str">
        <x:f t="shared" si="68"/>
        <x:v/>
      </x:c>
      <x:c r="EN22" s="1053" t="str">
        <x:f t="shared" si="69"/>
        <x:v/>
      </x:c>
      <x:c r="EO22" s="1053" t="str">
        <x:f t="shared" si="70"/>
        <x:v>ERR</x:v>
      </x:c>
      <x:c r="EP22" s="1053" t="str">
        <x:f t="shared" si="71"/>
        <x:v>ERR</x:v>
      </x:c>
      <x:c r="EQ22" s="1053" t="str">
        <x:f t="shared" si="72"/>
        <x:v/>
      </x:c>
      <x:c r="ER22" s="1053" t="str">
        <x:f t="shared" si="72"/>
        <x:v/>
      </x:c>
      <x:c r="ES22" s="1053" t="str">
        <x:f t="shared" si="73"/>
        <x:v/>
      </x:c>
      <x:c r="ET22" s="1053" t="str">
        <x:f t="shared" si="74"/>
        <x:v/>
      </x:c>
      <x:c r="EU22" s="1061">
        <x:f t="shared" si="75"/>
        <x:v>3.5</x:v>
      </x:c>
      <x:c r="EV22" s="1055" t="str">
        <x:f t="shared" si="76"/>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77"/>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78"/>
        <x:v/>
      </x:c>
      <x:c r="FD22" s="1052">
        <x:f t="shared" si="105"/>
        <x:v>0</x:v>
      </x:c>
      <x:c r="FE22" s="1052">
        <x:f t="shared" si="79"/>
        <x:v>0</x:v>
      </x:c>
      <x:c r="FF22" s="1052">
        <x:f t="shared" si="80"/>
        <x:v>0</x:v>
      </x:c>
      <x:c r="FG22" s="1052" t="str">
        <x:f t="shared" si="81"/>
        <x:v/>
      </x:c>
      <x:c r="FH22" s="1053" t="str">
        <x:f t="shared" si="82"/>
        <x:v/>
      </x:c>
      <x:c r="FI22" s="1052">
        <x:f t="shared" si="106"/>
        <x:v>0</x:v>
      </x:c>
      <x:c r="FJ22" s="1052">
        <x:f t="shared" si="83"/>
        <x:v>0</x:v>
      </x:c>
      <x:c r="FK22" s="1052">
        <x:f t="shared" si="84"/>
        <x:v>0</x:v>
      </x:c>
      <x:c r="FL22" s="1052" t="str">
        <x:f t="shared" si="85"/>
        <x:v/>
      </x:c>
      <x:c r="FM22" s="1053" t="str">
        <x:f t="shared" si="86"/>
        <x:v/>
      </x:c>
      <x:c r="FN22" s="1053" t="e">
        <x:f t="shared" si="87"/>
        <x:v>#VALUE!</x:v>
      </x:c>
      <x:c r="FO22" s="1062" t="e">
        <x:f t="shared" si="88"/>
        <x:v>#VALUE!</x:v>
      </x:c>
      <x:c r="FP22" s="1062" t="e">
        <x:f t="shared" si="89"/>
        <x:v>#VALUE!</x:v>
      </x:c>
      <x:c r="FQ22" s="1063" t="e">
        <x:f t="shared" si="90"/>
        <x:v>#VALUE!</x:v>
      </x:c>
      <x:c r="FR22" s="1064" t="e">
        <x:f t="shared" si="91"/>
        <x:v>#VALUE!</x:v>
      </x:c>
      <x:c r="FS22" s="1065" t="str">
        <x:f t="shared" si="92"/>
        <x:v/>
      </x:c>
      <x:c r="FT22" s="1066" t="str">
        <x:f t="shared" si="93"/>
        <x:v/>
      </x:c>
      <x:c r="FU22" s="1105">
        <x:f t="shared" si="94"/>
        <x:v>0</x:v>
      </x:c>
      <x:c r="FV22" s="1106">
        <x:f t="shared" si="95"/>
        <x:v>0</x:v>
      </x:c>
      <x:c r="GA22" s="1975">
        <x:v>45</x:v>
      </x:c>
      <x:c r="GB22" s="1976">
        <x:v>2.625</x:v>
      </x:c>
      <x:c r="GC22" s="1977">
        <x:v>-0.25</x:v>
      </x:c>
      <x:c r="GD22" s="1978">
        <x:v>-0.5</x:v>
      </x:c>
      <x:c r="GE22" s="1979">
        <x:v>0.46666667047418398</x:v>
      </x:c>
      <x:c r="GF22" s="1980" t="str">
        <x:f t="shared" si="96"/>
        <x:v>J248</x:v>
      </x:c>
      <x:c r="GG22" s="1453"/>
      <x:c r="GH22" s="1454"/>
      <x:c r="GI22" s="1453"/>
      <x:c r="GJ22" s="1454"/>
      <x:c r="GK22" s="533">
        <x:f t="shared" si="97"/>
        <x:v>542.25</x:v>
      </x:c>
      <x:c r="GL22" s="534">
        <x:f t="shared" si="98"/>
        <x:v>542.28459635977731</x:v>
      </x:c>
      <x:c r="GM22" s="535">
        <x:f>IF(ABS(GK22-GL22)&gt;='Job Info.'!$L$22,ABS(GK22-GL22),0)</x:f>
        <x:v>0</x:v>
      </x:c>
      <x:c r="HA22" s="1658" t="s">
        <x:v>1572</x:v>
      </x:c>
      <x:c r="HB22" s="1659">
        <x:v>1</x:v>
      </x:c>
      <x:c r="HC22" s="1659" t="s">
        <x:v>1979</x:v>
      </x:c>
      <x:c r="HD22" s="1660">
        <x:v>45</x:v>
      </x:c>
      <x:c r="HE22" s="1661">
        <x:v>2.25</x:v>
      </x:c>
      <x:c r="HF22" s="1659">
        <x:v>0</x:v>
      </x:c>
      <x:c r="HG22" s="1659">
        <x:v>1.375</x:v>
      </x:c>
      <x:c r="HH22" s="1659" t="s">
        <x:v>114</x:v>
      </x:c>
      <x:c r="HI22" s="1662">
        <x:v>0</x:v>
      </x:c>
      <x:c r="HJ22" s="1659">
        <x:v>0.25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x:v>0.46666667047418398</x:v>
      </x:c>
      <x:c r="HZ22" s="1661">
        <x:v>-0.46666667047418398</x:v>
      </x:c>
      <x:c r="IA22" s="1661" t="s">
        <x:v>2248</x:v>
      </x:c>
      <x:c r="IB22" s="1661"/>
      <x:c r="IC22" s="1661"/>
      <x:c r="ID22" s="1661"/>
      <x:c r="IE22" s="1661"/>
      <x:c r="IF22" s="1663"/>
    </x:row>
    <x:row r="23" spans="1:240" ht="12.6" customHeight="1" x14ac:dyDescent="0.25">
      <x:c r="A23" s="1264" t="s">
        <x:v>1573</x:v>
      </x:c>
      <x:c r="B23" s="1265">
        <x:v>1</x:v>
      </x:c>
      <x:c r="C23" s="1265" t="s">
        <x:v>1978</x:v>
      </x:c>
      <x:c r="D23" s="1261">
        <x:v>56</x:v>
      </x:c>
      <x:c r="E23" s="1366">
        <x:v>3.75</x:v>
      </x:c>
      <x:c r="F23" s="1328">
        <x:v>0</x:v>
      </x:c>
      <x:c r="G23" s="1262">
        <x:v>1.375</x:v>
      </x:c>
      <x:c r="H23" s="1266" t="s">
        <x:v>114</x:v>
      </x:c>
      <x:c r="I23" s="1261">
        <x:v>0</x:v>
      </x:c>
      <x:c r="J23" s="2122">
        <x:v>2</x:v>
      </x:c>
      <x:c r="K23" s="1370" t="s">
        <x:v>114</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t="str">
        <x:f t="shared" si="99"/>
        <x:v/>
      </x:c>
      <x:c r="U23" s="1262" t="str">
        <x:f t="shared" si="100"/>
        <x:v/>
      </x:c>
      <x:c r="V23" s="1261" t="str">
        <x:f t="shared" si="101"/>
        <x:v/>
      </x:c>
      <x:c r="W23" s="1262" t="str">
        <x:f t="shared" si="102"/>
        <x:v/>
      </x:c>
      <x:c r="X23" s="1329">
        <x:f t="shared" si="103"/>
        <x:v>0</x:v>
      </x:c>
      <x:c r="Y23" s="1377">
        <x:v>0.466666670105855</x:v>
      </x:c>
      <x:c r="Z23" s="1378">
        <x:v>-0.466666670105855</x:v>
      </x:c>
      <x:c r="AA23" s="2159" t="s">
        <x:v>2249</x:v>
      </x:c>
      <x:c r="AC23" s="1226" t="b">
        <x:v>0</x:v>
      </x:c>
      <x:c r="AD23" s="525">
        <x:f t="shared" si="9"/>
        <x:v>0</x:v>
      </x:c>
      <x:c r="AE23" s="526">
        <x:f t="shared" si="10"/>
        <x:v>1</x:v>
      </x:c>
      <x:c r="AF23" s="526">
        <x:f t="shared" si="11"/>
        <x:v>0</x:v>
      </x:c>
      <x:c r="AG23" s="526">
        <x:f t="shared" si="12"/>
        <x:v>0</x:v>
      </x:c>
      <x:c r="AH23" s="527">
        <x:f t="shared" si="13"/>
        <x:v>0</x:v>
      </x:c>
      <x:c r="AI23" s="528" t="b">
        <x:v>0</x:v>
      </x:c>
      <x:c r="AJ23" s="284">
        <x:f t="shared" si="14"/>
        <x:v>36</x:v>
      </x:c>
      <x:c r="AK23" s="1063" t="str">
        <x:f t="shared" si="15"/>
        <x:v>LH</x:v>
      </x:c>
      <x:c r="AL23" s="1202" t="str">
        <x:f t="shared" si="16"/>
        <x:v/>
      </x:c>
      <x:c r="AM23" s="1063">
        <x:f t="shared" si="17"/>
        <x:v>270</x:v>
      </x:c>
      <x:c r="AN23" s="1063">
        <x:f t="shared" si="18"/>
        <x:v>120</x:v>
      </x:c>
      <x:c r="AO23" s="1063" t="str">
        <x:f t="shared" si="19"/>
        <x:v/>
      </x:c>
      <x:c r="AP23" s="1063" t="b">
        <x:f>IF(ISERROR(AJ23),FALSE,IF(OR(AJ23=0,ISERROR(AL23),ISERROR(AM23),ISERROR(AN23),ISERROR(AO23)),FALSE,IF(AL23&lt;&gt;"",IF(ISERROR(VLOOKUP(SUBSTITUTE(SUBSTITUTE(C23,"R",""),"A",""),TblJoistSize!$A:$A,1,FALSE)),FALSE,TRUE),TRUE)))</x:f>
        <x:v>1</x:v>
      </x:c>
      <x:c r="AQ23" s="1305">
        <x:f t="shared" si="20"/>
        <x:v>7.375</x:v>
      </x:c>
      <x:c r="AR23" s="1305" t="b">
        <x:f t="shared" si="21"/>
        <x:v>0</x:v>
      </x:c>
      <x:c r="AS23" s="1305">
        <x:f t="shared" si="22"/>
        <x:v>8</x:v>
      </x:c>
      <x:c r="AT23" s="1305" t="b">
        <x:f t="shared" si="23"/>
        <x:v>0</x:v>
      </x:c>
      <x:c r="AU23" s="1203" t="str">
        <x:f t="shared" si="24"/>
        <x:v>LH</x:v>
      </x:c>
      <x:c r="AV23" s="1063" t="str">
        <x:f t="shared" si="25"/>
        <x:v/>
      </x:c>
      <x:c r="AW23" s="1063" t="str">
        <x:f t="shared" si="26"/>
        <x:v>LH</x:v>
      </x:c>
      <x:c r="AX23" s="1063" t="str">
        <x:f t="shared" si="104"/>
        <x:v>J249</x:v>
      </x:c>
      <x:c r="AY23" s="1306" t="b">
        <x:f t="shared" si="27"/>
        <x:v>0</x:v>
      </x:c>
      <x:c r="AZ23" s="1090" t="b">
        <x:f t="shared" si="28"/>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29"/>
        <x:v/>
      </x:c>
      <x:c r="CE23" s="935" t="str">
        <x:f t="shared" si="30"/>
        <x:v/>
      </x:c>
      <x:c r="CF23" s="1149"/>
      <x:c r="CG23" s="1150"/>
      <x:c r="CH23" s="738" t="str">
        <x:f t="shared" si="31"/>
        <x:v/>
      </x:c>
      <x:c r="CI23" s="739" t="str">
        <x:f t="shared" si="32"/>
        <x:v/>
      </x:c>
      <x:c r="CJ23" s="740" t="str">
        <x:f t="shared" si="33"/>
        <x:v/>
      </x:c>
      <x:c r="CK23" s="741" t="str">
        <x:f t="shared" si="34"/>
        <x:v/>
      </x:c>
      <x:c r="CL23" s="742" t="str">
        <x:f t="shared" si="35"/>
        <x:v/>
      </x:c>
      <x:c r="CM23" s="743" t="str">
        <x:f t="shared" si="36"/>
        <x:v/>
      </x:c>
      <x:c r="CN23" s="744" t="str">
        <x:f t="shared" si="37"/>
        <x:v/>
      </x:c>
      <x:c r="CO23" s="745" t="str">
        <x:f t="shared" si="38"/>
        <x:v/>
      </x:c>
      <x:c r="CP23" s="762" t="str">
        <x:f t="shared" si="39"/>
        <x:v/>
      </x:c>
      <x:c r="CQ23" s="763" t="str">
        <x:f t="shared" si="40"/>
        <x:v/>
      </x:c>
      <x:c r="CR23" s="953">
        <x:f t="shared" si="41"/>
        <x:v>5</x:v>
      </x:c>
      <x:c r="CS23" s="954">
        <x:f t="shared" si="42"/>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3"/>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4"/>
        <x:v>0</x:v>
      </x:c>
      <x:c r="DO23" s="1049">
        <x:f t="shared" si="45"/>
        <x:v>0</x:v>
      </x:c>
      <x:c r="DP23" s="1053" t="str">
        <x:f t="shared" si="46"/>
        <x:v/>
      </x:c>
      <x:c r="DQ23" s="1053" t="str">
        <x:f t="shared" si="47"/>
        <x:v/>
      </x:c>
      <x:c r="DR23" s="1053" t="str">
        <x:f t="shared" si="48"/>
        <x:v/>
      </x:c>
      <x:c r="DS23" s="1052">
        <x:f t="shared" si="49"/>
        <x:v>0</x:v>
      </x:c>
      <x:c r="DT23" s="1052">
        <x:f t="shared" si="50"/>
        <x:v>0</x:v>
      </x:c>
      <x:c r="DU23" s="1052" t="str">
        <x:f t="shared" si="51"/>
        <x:v/>
      </x:c>
      <x:c r="DV23" s="1053" t="str">
        <x:f t="shared" si="52"/>
        <x:v/>
      </x:c>
      <x:c r="DW23" s="1053" t="str">
        <x:f t="shared" si="53"/>
        <x:v/>
      </x:c>
      <x:c r="DX23" s="1269">
        <x:f t="shared" si="54"/>
        <x:v>0</x:v>
      </x:c>
      <x:c r="DY23" s="1053">
        <x:f t="shared" si="55"/>
        <x:v>0</x:v>
      </x:c>
      <x:c r="DZ23" s="1052">
        <x:f t="shared" si="56"/>
        <x:v>0</x:v>
      </x:c>
      <x:c r="EA23" s="1052" t="str">
        <x:f t="shared" si="57"/>
        <x:v/>
      </x:c>
      <x:c r="EB23" s="1053" t="str">
        <x:f t="shared" si="58"/>
        <x:v/>
      </x:c>
      <x:c r="EC23" s="1053" t="str">
        <x:f t="shared" si="59"/>
        <x:v/>
      </x:c>
      <x:c r="ED23" s="1269">
        <x:f t="shared" si="60"/>
        <x:v>0</x:v>
      </x:c>
      <x:c r="EE23" s="1090" t="str">
        <x:f t="shared" si="61"/>
        <x:v/>
      </x:c>
      <x:c r="EF23" s="1053" t="str">
        <x:f t="shared" si="62"/>
        <x:v/>
      </x:c>
      <x:c r="EG23" s="1053" t="str">
        <x:f t="shared" si="63"/>
        <x:v/>
      </x:c>
      <x:c r="EH23" s="1053" t="str">
        <x:f t="shared" si="64"/>
        <x:v>ERR</x:v>
      </x:c>
      <x:c r="EI23" s="1053" t="str">
        <x:f t="shared" si="65"/>
        <x:v>ERR</x:v>
      </x:c>
      <x:c r="EJ23" s="1053" t="str">
        <x:f t="shared" si="66"/>
        <x:v/>
      </x:c>
      <x:c r="EK23" s="1053" t="str">
        <x:f t="shared" si="66"/>
        <x:v/>
      </x:c>
      <x:c r="EL23" s="1090" t="str">
        <x:f t="shared" si="67"/>
        <x:v/>
      </x:c>
      <x:c r="EM23" s="1053" t="str">
        <x:f t="shared" si="68"/>
        <x:v/>
      </x:c>
      <x:c r="EN23" s="1053" t="str">
        <x:f t="shared" si="69"/>
        <x:v/>
      </x:c>
      <x:c r="EO23" s="1053" t="str">
        <x:f t="shared" si="70"/>
        <x:v>ERR</x:v>
      </x:c>
      <x:c r="EP23" s="1053" t="str">
        <x:f t="shared" si="71"/>
        <x:v>ERR</x:v>
      </x:c>
      <x:c r="EQ23" s="1053" t="str">
        <x:f t="shared" si="72"/>
        <x:v/>
      </x:c>
      <x:c r="ER23" s="1053" t="str">
        <x:f t="shared" si="72"/>
        <x:v/>
      </x:c>
      <x:c r="ES23" s="1053" t="str">
        <x:f t="shared" si="73"/>
        <x:v/>
      </x:c>
      <x:c r="ET23" s="1053" t="str">
        <x:f t="shared" si="74"/>
        <x:v/>
      </x:c>
      <x:c r="EU23" s="1061">
        <x:f t="shared" si="75"/>
        <x:v>4</x:v>
      </x:c>
      <x:c r="EV23" s="1055" t="str">
        <x:f t="shared" si="76"/>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77"/>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78"/>
        <x:v/>
      </x:c>
      <x:c r="FD23" s="1052">
        <x:f t="shared" si="105"/>
        <x:v>0</x:v>
      </x:c>
      <x:c r="FE23" s="1052">
        <x:f t="shared" si="79"/>
        <x:v>0</x:v>
      </x:c>
      <x:c r="FF23" s="1052">
        <x:f t="shared" si="80"/>
        <x:v>0</x:v>
      </x:c>
      <x:c r="FG23" s="1052" t="str">
        <x:f t="shared" si="81"/>
        <x:v/>
      </x:c>
      <x:c r="FH23" s="1053" t="str">
        <x:f t="shared" si="82"/>
        <x:v/>
      </x:c>
      <x:c r="FI23" s="1052">
        <x:f t="shared" si="106"/>
        <x:v>0</x:v>
      </x:c>
      <x:c r="FJ23" s="1052">
        <x:f t="shared" si="83"/>
        <x:v>0</x:v>
      </x:c>
      <x:c r="FK23" s="1052">
        <x:f t="shared" si="84"/>
        <x:v>0</x:v>
      </x:c>
      <x:c r="FL23" s="1052" t="str">
        <x:f t="shared" si="85"/>
        <x:v/>
      </x:c>
      <x:c r="FM23" s="1053" t="str">
        <x:f t="shared" si="86"/>
        <x:v/>
      </x:c>
      <x:c r="FN23" s="1053" t="e">
        <x:f t="shared" si="87"/>
        <x:v>#VALUE!</x:v>
      </x:c>
      <x:c r="FO23" s="1062" t="e">
        <x:f t="shared" si="88"/>
        <x:v>#VALUE!</x:v>
      </x:c>
      <x:c r="FP23" s="1062" t="e">
        <x:f t="shared" si="89"/>
        <x:v>#VALUE!</x:v>
      </x:c>
      <x:c r="FQ23" s="1063" t="e">
        <x:f t="shared" si="90"/>
        <x:v>#VALUE!</x:v>
      </x:c>
      <x:c r="FR23" s="1064" t="e">
        <x:f t="shared" si="91"/>
        <x:v>#VALUE!</x:v>
      </x:c>
      <x:c r="FS23" s="1065" t="str">
        <x:f t="shared" si="92"/>
        <x:v/>
      </x:c>
      <x:c r="FT23" s="1066" t="str">
        <x:f t="shared" si="93"/>
        <x:v/>
      </x:c>
      <x:c r="FU23" s="1105">
        <x:f t="shared" si="94"/>
        <x:v>0</x:v>
      </x:c>
      <x:c r="FV23" s="1106">
        <x:f t="shared" si="95"/>
        <x:v>0</x:v>
      </x:c>
      <x:c r="GA23" s="1975">
        <x:v>56</x:v>
      </x:c>
      <x:c r="GB23" s="1976">
        <x:v>4</x:v>
      </x:c>
      <x:c r="GC23" s="1977">
        <x:v>-0.25</x:v>
      </x:c>
      <x:c r="GD23" s="1978">
        <x:v>-0.5</x:v>
      </x:c>
      <x:c r="GE23" s="1979">
        <x:v>0.466666670105855</x:v>
      </x:c>
      <x:c r="GF23" s="1980" t="str">
        <x:f t="shared" si="96"/>
        <x:v>J249</x:v>
      </x:c>
      <x:c r="GG23" s="1453"/>
      <x:c r="GH23" s="1454"/>
      <x:c r="GI23" s="1453"/>
      <x:c r="GJ23" s="1454"/>
      <x:c r="GK23" s="533">
        <x:f t="shared" si="97"/>
        <x:v>675.75</x:v>
      </x:c>
      <x:c r="GL23" s="534">
        <x:f t="shared" si="98"/>
        <x:v>675.7604128101558</x:v>
      </x:c>
      <x:c r="GM23" s="535">
        <x:f>IF(ABS(GK23-GL23)&gt;='Job Info.'!$L$22,ABS(GK23-GL23),0)</x:f>
        <x:v>0</x:v>
      </x:c>
      <x:c r="HA23" s="1658" t="s">
        <x:v>1573</x:v>
      </x:c>
      <x:c r="HB23" s="1659">
        <x:v>1</x:v>
      </x:c>
      <x:c r="HC23" s="1659" t="s">
        <x:v>1978</x:v>
      </x:c>
      <x:c r="HD23" s="1660">
        <x:v>56</x:v>
      </x:c>
      <x:c r="HE23" s="1661">
        <x:v>3.75</x:v>
      </x:c>
      <x:c r="HF23" s="1659">
        <x:v>0</x:v>
      </x:c>
      <x:c r="HG23" s="1659">
        <x:v>1.375</x:v>
      </x:c>
      <x:c r="HH23" s="1659" t="s">
        <x:v>114</x:v>
      </x:c>
      <x:c r="HI23" s="1662">
        <x:v>0</x:v>
      </x:c>
      <x:c r="HJ23" s="1659">
        <x:v>0.875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x:v>0.466666670105855</x:v>
      </x:c>
      <x:c r="HZ23" s="1661">
        <x:v>-0.466666670105855</x:v>
      </x:c>
      <x:c r="IA23" s="1661" t="s">
        <x:v>2249</x:v>
      </x:c>
      <x:c r="IB23" s="1661"/>
      <x:c r="IC23" s="1661"/>
      <x:c r="ID23" s="1661"/>
      <x:c r="IE23" s="1661"/>
      <x:c r="IF23" s="1663"/>
    </x:row>
    <x:row r="24" spans="1:240" ht="12.6" customHeight="1" x14ac:dyDescent="0.25">
      <x:c r="A24" s="1264" t="s">
        <x:v>1574</x:v>
      </x:c>
      <x:c r="B24" s="1265">
        <x:v>1</x:v>
      </x:c>
      <x:c r="C24" s="1265" t="s">
        <x:v>1978</x:v>
      </x:c>
      <x:c r="D24" s="1261">
        <x:v>59</x:v>
      </x:c>
      <x:c r="E24" s="1366">
        <x:v>11.875</x:v>
      </x:c>
      <x:c r="F24" s="1328">
        <x:v>0</x:v>
      </x:c>
      <x:c r="G24" s="1262">
        <x:v>1.375</x:v>
      </x:c>
      <x:c r="H24" s="1266" t="s">
        <x:v>114</x:v>
      </x:c>
      <x:c r="I24" s="1261">
        <x:v>0</x:v>
      </x:c>
      <x:c r="J24" s="1262">
        <x:v>1.375</x:v>
      </x:c>
      <x:c r="K24" s="1370" t="s">
        <x:v>114</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t="str">
        <x:f t="shared" si="99"/>
        <x:v/>
      </x:c>
      <x:c r="U24" s="1262" t="str">
        <x:f t="shared" si="100"/>
        <x:v/>
      </x:c>
      <x:c r="V24" s="1261" t="str">
        <x:f t="shared" si="101"/>
        <x:v/>
      </x:c>
      <x:c r="W24" s="1262" t="str">
        <x:f t="shared" si="102"/>
        <x:v/>
      </x:c>
      <x:c r="X24" s="1329">
        <x:f t="shared" si="103"/>
        <x:v>0</x:v>
      </x:c>
      <x:c r="Y24" s="1377" t="str">
        <x:f t="shared" si="7"/>
        <x:v/>
      </x:c>
      <x:c r="Z24" s="1378" t="str">
        <x:f t="shared" si="8"/>
        <x:v/>
      </x:c>
      <x:c r="AA24" s="2159" t="s">
        <x:v>2190</x:v>
      </x:c>
      <x:c r="AC24" s="1226" t="b">
        <x:v>0</x:v>
      </x:c>
      <x:c r="AD24" s="525">
        <x:f t="shared" si="9"/>
        <x:v>0</x:v>
      </x:c>
      <x:c r="AE24" s="526">
        <x:f t="shared" si="10"/>
        <x:v>1</x:v>
      </x:c>
      <x:c r="AF24" s="526">
        <x:f t="shared" si="11"/>
        <x:v>0</x:v>
      </x:c>
      <x:c r="AG24" s="526">
        <x:f t="shared" si="12"/>
        <x:v>0</x:v>
      </x:c>
      <x:c r="AH24" s="527">
        <x:f t="shared" si="13"/>
        <x:v>0</x:v>
      </x:c>
      <x:c r="AI24" s="528" t="b">
        <x:v>0</x:v>
      </x:c>
      <x:c r="AJ24" s="284">
        <x:f t="shared" si="14"/>
        <x:v>36</x:v>
      </x:c>
      <x:c r="AK24" s="1063" t="str">
        <x:f t="shared" si="15"/>
        <x:v>LH</x:v>
      </x:c>
      <x:c r="AL24" s="1202" t="str">
        <x:f t="shared" si="16"/>
        <x:v/>
      </x:c>
      <x:c r="AM24" s="1063">
        <x:f t="shared" si="17"/>
        <x:v>270</x:v>
      </x:c>
      <x:c r="AN24" s="1063">
        <x:f t="shared" si="18"/>
        <x:v>120</x:v>
      </x:c>
      <x:c r="AO24" s="1063" t="str">
        <x:f t="shared" si="19"/>
        <x:v/>
      </x:c>
      <x:c r="AP24" s="1063" t="b">
        <x:f>IF(ISERROR(AJ24),FALSE,IF(OR(AJ24=0,ISERROR(AL24),ISERROR(AM24),ISERROR(AN24),ISERROR(AO24)),FALSE,IF(AL24&lt;&gt;"",IF(ISERROR(VLOOKUP(SUBSTITUTE(SUBSTITUTE(C24,"R",""),"A",""),TblJoistSize!$A:$A,1,FALSE)),FALSE,TRUE),TRUE)))</x:f>
        <x:v>1</x:v>
      </x:c>
      <x:c r="AQ24" s="1305">
        <x:f t="shared" si="20"/>
        <x:v>7.375</x:v>
      </x:c>
      <x:c r="AR24" s="1305" t="b">
        <x:f t="shared" si="21"/>
        <x:v>0</x:v>
      </x:c>
      <x:c r="AS24" s="1305">
        <x:f t="shared" si="22"/>
        <x:v>7.375</x:v>
      </x:c>
      <x:c r="AT24" s="1305" t="b">
        <x:f t="shared" si="23"/>
        <x:v>0</x:v>
      </x:c>
      <x:c r="AU24" s="1203" t="str">
        <x:f t="shared" si="24"/>
        <x:v>LH</x:v>
      </x:c>
      <x:c r="AV24" s="1063" t="str">
        <x:f t="shared" si="25"/>
        <x:v/>
      </x:c>
      <x:c r="AW24" s="1063" t="str">
        <x:f t="shared" si="26"/>
        <x:v>LH</x:v>
      </x:c>
      <x:c r="AX24" s="1063" t="str">
        <x:f t="shared" si="104"/>
        <x:v>J250</x:v>
      </x:c>
      <x:c r="AY24" s="1306" t="b">
        <x:f t="shared" si="27"/>
        <x:v>0</x:v>
      </x:c>
      <x:c r="AZ24" s="1090" t="b">
        <x:f t="shared" si="28"/>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29"/>
        <x:v/>
      </x:c>
      <x:c r="CE24" s="935" t="str">
        <x:f t="shared" si="30"/>
        <x:v/>
      </x:c>
      <x:c r="CF24" s="1149"/>
      <x:c r="CG24" s="1150"/>
      <x:c r="CH24" s="738" t="str">
        <x:f t="shared" si="31"/>
        <x:v/>
      </x:c>
      <x:c r="CI24" s="739" t="str">
        <x:f t="shared" si="32"/>
        <x:v/>
      </x:c>
      <x:c r="CJ24" s="740" t="str">
        <x:f t="shared" si="33"/>
        <x:v/>
      </x:c>
      <x:c r="CK24" s="741" t="str">
        <x:f t="shared" si="34"/>
        <x:v/>
      </x:c>
      <x:c r="CL24" s="742" t="str">
        <x:f t="shared" si="35"/>
        <x:v/>
      </x:c>
      <x:c r="CM24" s="743" t="str">
        <x:f t="shared" si="36"/>
        <x:v/>
      </x:c>
      <x:c r="CN24" s="744" t="str">
        <x:f t="shared" si="37"/>
        <x:v/>
      </x:c>
      <x:c r="CO24" s="745" t="str">
        <x:f t="shared" si="38"/>
        <x:v/>
      </x:c>
      <x:c r="CP24" s="762" t="str">
        <x:f t="shared" si="39"/>
        <x:v/>
      </x:c>
      <x:c r="CQ24" s="763" t="str">
        <x:f t="shared" si="40"/>
        <x:v/>
      </x:c>
      <x:c r="CR24" s="953">
        <x:f t="shared" si="41"/>
        <x:v>5</x:v>
      </x:c>
      <x:c r="CS24" s="954">
        <x:f t="shared" si="42"/>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3"/>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4"/>
        <x:v>0</x:v>
      </x:c>
      <x:c r="DO24" s="1049">
        <x:f t="shared" si="45"/>
        <x:v>0</x:v>
      </x:c>
      <x:c r="DP24" s="1053" t="str">
        <x:f t="shared" si="46"/>
        <x:v/>
      </x:c>
      <x:c r="DQ24" s="1053" t="str">
        <x:f t="shared" si="47"/>
        <x:v/>
      </x:c>
      <x:c r="DR24" s="1053" t="str">
        <x:f t="shared" si="48"/>
        <x:v/>
      </x:c>
      <x:c r="DS24" s="1052">
        <x:f t="shared" si="49"/>
        <x:v>0</x:v>
      </x:c>
      <x:c r="DT24" s="1052">
        <x:f t="shared" si="50"/>
        <x:v>0</x:v>
      </x:c>
      <x:c r="DU24" s="1052" t="str">
        <x:f t="shared" si="51"/>
        <x:v/>
      </x:c>
      <x:c r="DV24" s="1053" t="str">
        <x:f t="shared" si="52"/>
        <x:v/>
      </x:c>
      <x:c r="DW24" s="1053" t="str">
        <x:f t="shared" si="53"/>
        <x:v/>
      </x:c>
      <x:c r="DX24" s="1269">
        <x:f t="shared" si="54"/>
        <x:v>0</x:v>
      </x:c>
      <x:c r="DY24" s="1053">
        <x:f t="shared" si="55"/>
        <x:v>0</x:v>
      </x:c>
      <x:c r="DZ24" s="1052">
        <x:f t="shared" si="56"/>
        <x:v>0</x:v>
      </x:c>
      <x:c r="EA24" s="1052" t="str">
        <x:f t="shared" si="57"/>
        <x:v/>
      </x:c>
      <x:c r="EB24" s="1053" t="str">
        <x:f t="shared" si="58"/>
        <x:v/>
      </x:c>
      <x:c r="EC24" s="1053" t="str">
        <x:f t="shared" si="59"/>
        <x:v/>
      </x:c>
      <x:c r="ED24" s="1269">
        <x:f t="shared" si="60"/>
        <x:v>0</x:v>
      </x:c>
      <x:c r="EE24" s="1090" t="str">
        <x:f t="shared" si="61"/>
        <x:v/>
      </x:c>
      <x:c r="EF24" s="1053" t="str">
        <x:f t="shared" si="62"/>
        <x:v/>
      </x:c>
      <x:c r="EG24" s="1053" t="str">
        <x:f t="shared" si="63"/>
        <x:v/>
      </x:c>
      <x:c r="EH24" s="1053" t="str">
        <x:f t="shared" si="64"/>
        <x:v>ERR</x:v>
      </x:c>
      <x:c r="EI24" s="1053" t="str">
        <x:f t="shared" si="65"/>
        <x:v>ERR</x:v>
      </x:c>
      <x:c r="EJ24" s="1053" t="str">
        <x:f t="shared" si="66"/>
        <x:v/>
      </x:c>
      <x:c r="EK24" s="1053" t="str">
        <x:f t="shared" si="66"/>
        <x:v/>
      </x:c>
      <x:c r="EL24" s="1090" t="str">
        <x:f t="shared" si="67"/>
        <x:v/>
      </x:c>
      <x:c r="EM24" s="1053" t="str">
        <x:f t="shared" si="68"/>
        <x:v/>
      </x:c>
      <x:c r="EN24" s="1053" t="str">
        <x:f t="shared" si="69"/>
        <x:v/>
      </x:c>
      <x:c r="EO24" s="1053" t="str">
        <x:f t="shared" si="70"/>
        <x:v>ERR</x:v>
      </x:c>
      <x:c r="EP24" s="1053" t="str">
        <x:f t="shared" si="71"/>
        <x:v>ERR</x:v>
      </x:c>
      <x:c r="EQ24" s="1053" t="str">
        <x:f t="shared" si="72"/>
        <x:v/>
      </x:c>
      <x:c r="ER24" s="1053" t="str">
        <x:f t="shared" si="72"/>
        <x:v/>
      </x:c>
      <x:c r="ES24" s="1053" t="str">
        <x:f t="shared" si="73"/>
        <x:v/>
      </x:c>
      <x:c r="ET24" s="1053" t="str">
        <x:f t="shared" si="74"/>
        <x:v/>
      </x:c>
      <x:c r="EU24" s="1061">
        <x:f t="shared" si="75"/>
        <x:v>4</x:v>
      </x:c>
      <x:c r="EV24" s="1055" t="str">
        <x:f t="shared" si="76"/>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7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78"/>
        <x:v/>
      </x:c>
      <x:c r="FD24" s="1052">
        <x:f t="shared" si="105"/>
        <x:v>0</x:v>
      </x:c>
      <x:c r="FE24" s="1052">
        <x:f t="shared" si="79"/>
        <x:v>0</x:v>
      </x:c>
      <x:c r="FF24" s="1052">
        <x:f t="shared" si="80"/>
        <x:v>0</x:v>
      </x:c>
      <x:c r="FG24" s="1052" t="str">
        <x:f t="shared" si="81"/>
        <x:v/>
      </x:c>
      <x:c r="FH24" s="1053" t="str">
        <x:f t="shared" si="82"/>
        <x:v/>
      </x:c>
      <x:c r="FI24" s="1052">
        <x:f t="shared" si="106"/>
        <x:v>0</x:v>
      </x:c>
      <x:c r="FJ24" s="1052">
        <x:f t="shared" si="83"/>
        <x:v>0</x:v>
      </x:c>
      <x:c r="FK24" s="1052">
        <x:f t="shared" si="84"/>
        <x:v>0</x:v>
      </x:c>
      <x:c r="FL24" s="1052" t="str">
        <x:f t="shared" si="85"/>
        <x:v/>
      </x:c>
      <x:c r="FM24" s="1053" t="str">
        <x:f t="shared" si="86"/>
        <x:v/>
      </x:c>
      <x:c r="FN24" s="1053" t="e">
        <x:f t="shared" si="87"/>
        <x:v>#VALUE!</x:v>
      </x:c>
      <x:c r="FO24" s="1062" t="e">
        <x:f t="shared" si="88"/>
        <x:v>#VALUE!</x:v>
      </x:c>
      <x:c r="FP24" s="1062" t="e">
        <x:f t="shared" si="89"/>
        <x:v>#VALUE!</x:v>
      </x:c>
      <x:c r="FQ24" s="1063" t="e">
        <x:f t="shared" si="90"/>
        <x:v>#VALUE!</x:v>
      </x:c>
      <x:c r="FR24" s="1064" t="e">
        <x:f t="shared" si="91"/>
        <x:v>#VALUE!</x:v>
      </x:c>
      <x:c r="FS24" s="1065" t="str">
        <x:f t="shared" si="92"/>
        <x:v/>
      </x:c>
      <x:c r="FT24" s="1066" t="str">
        <x:f t="shared" si="93"/>
        <x:v/>
      </x:c>
      <x:c r="FU24" s="1105">
        <x:f t="shared" si="94"/>
        <x:v>0</x:v>
      </x:c>
      <x:c r="FV24" s="1106">
        <x:f t="shared" si="95"/>
        <x:v>0</x:v>
      </x:c>
      <x:c r="GA24" s="1975">
        <x:v>60</x:v>
      </x:c>
      <x:c r="GB24" s="1976">
        <x:v>0</x:v>
      </x:c>
      <x:c r="GC24" s="1977">
        <x:v>-0.25</x:v>
      </x:c>
      <x:c r="GD24" s="1978">
        <x:v>-0.25</x:v>
      </x:c>
      <x:c r="GE24" s="1979">
        <x:v>0.36282051282051297</x:v>
      </x:c>
      <x:c r="GF24" s="1980" t="str">
        <x:f t="shared" si="96"/>
        <x:v>J250</x:v>
      </x:c>
      <x:c r="GG24" s="1453"/>
      <x:c r="GH24" s="1454"/>
      <x:c r="GI24" s="1453"/>
      <x:c r="GJ24" s="1454"/>
      <x:c r="GK24" s="533">
        <x:f t="shared" si="97"/>
        <x:v>719.875</x:v>
      </x:c>
      <x:c r="GL24" s="534">
        <x:f t="shared" si="98"/>
        <x:v>719.82879314681543</x:v>
      </x:c>
      <x:c r="GM24" s="535">
        <x:f>IF(ABS(GK24-GL24)&gt;='Job Info.'!$L$22,ABS(GK24-GL24),0)</x:f>
        <x:v>0</x:v>
      </x:c>
      <x:c r="HA24" s="1658" t="s">
        <x:v>1574</x:v>
      </x:c>
      <x:c r="HB24" s="1659">
        <x:v>1</x:v>
      </x:c>
      <x:c r="HC24" s="1659" t="s">
        <x:v>1978</x:v>
      </x:c>
      <x:c r="HD24" s="1660">
        <x:v>59</x:v>
      </x:c>
      <x:c r="HE24" s="1661">
        <x:v>11.875</x:v>
      </x:c>
      <x:c r="HF24" s="1659">
        <x:v>0</x:v>
      </x:c>
      <x:c r="HG24" s="1659">
        <x:v>1.375</x:v>
      </x:c>
      <x:c r="HH24" s="1659" t="s">
        <x:v>114</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t="s">
        <x:v>117</x:v>
      </x:c>
      <x:c r="HU24" s="1659" t="s">
        <x:v>117</x:v>
      </x:c>
      <x:c r="HV24" s="1659" t="s">
        <x:v>117</x:v>
      </x:c>
      <x:c r="HW24" s="1661" t="s">
        <x:v>117</x:v>
      </x:c>
      <x:c r="HX24" s="1661">
        <x:v>0</x:v>
      </x:c>
      <x:c r="HY24" s="1661" t="s">
        <x:v>117</x:v>
      </x:c>
      <x:c r="HZ24" s="1661" t="s">
        <x:v>117</x:v>
      </x:c>
      <x:c r="IA24" s="1661" t="s">
        <x:v>2190</x:v>
      </x:c>
      <x:c r="IB24" s="1661"/>
      <x:c r="IC24" s="1661"/>
      <x:c r="ID24" s="1661"/>
      <x:c r="IE24" s="1661"/>
      <x:c r="IF24" s="1663"/>
    </x:row>
    <x:row r="25" spans="1:240" ht="12.6" customHeight="1" x14ac:dyDescent="0.25">
      <x:c r="A25" s="1264" t="s">
        <x:v>1575</x:v>
      </x:c>
      <x:c r="B25" s="1265">
        <x:v>1</x:v>
      </x:c>
      <x:c r="C25" s="1265" t="s">
        <x:v>1978</x:v>
      </x:c>
      <x:c r="D25" s="1261">
        <x:v>59</x:v>
      </x:c>
      <x:c r="E25" s="1366">
        <x:v>11.75</x:v>
      </x:c>
      <x:c r="F25" s="1328">
        <x:v>0</x:v>
      </x:c>
      <x:c r="G25" s="1262">
        <x:v>1.375</x:v>
      </x:c>
      <x:c r="H25" s="1266" t="s">
        <x:v>114</x:v>
      </x:c>
      <x:c r="I25" s="1261">
        <x:v>0</x:v>
      </x:c>
      <x:c r="J25" s="1262">
        <x:v>1.375</x:v>
      </x:c>
      <x:c r="K25" s="1370"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t="str">
        <x:f t="shared" si="99"/>
        <x:v/>
      </x:c>
      <x:c r="U25" s="1262" t="str">
        <x:f t="shared" si="100"/>
        <x:v/>
      </x:c>
      <x:c r="V25" s="1261" t="str">
        <x:f t="shared" si="101"/>
        <x:v/>
      </x:c>
      <x:c r="W25" s="1262" t="str">
        <x:f t="shared" si="102"/>
        <x:v/>
      </x:c>
      <x:c r="X25" s="1329">
        <x:f t="shared" si="103"/>
        <x:v>0</x:v>
      </x:c>
      <x:c r="Y25" s="1377" t="str">
        <x:f t="shared" si="7"/>
        <x:v/>
      </x:c>
      <x:c r="Z25" s="1378" t="str">
        <x:f t="shared" si="8"/>
        <x:v/>
      </x:c>
      <x:c r="AA25" s="2159" t="s">
        <x:v>2095</x:v>
      </x:c>
      <x:c r="AC25" s="1226" t="b">
        <x:v>0</x:v>
      </x:c>
      <x:c r="AD25" s="525">
        <x:f t="shared" si="9"/>
        <x:v>0</x:v>
      </x:c>
      <x:c r="AE25" s="526">
        <x:f t="shared" si="10"/>
        <x:v>1</x:v>
      </x:c>
      <x:c r="AF25" s="526">
        <x:f t="shared" si="11"/>
        <x:v>0</x:v>
      </x:c>
      <x:c r="AG25" s="526">
        <x:f t="shared" si="12"/>
        <x:v>0</x:v>
      </x:c>
      <x:c r="AH25" s="527">
        <x:f t="shared" si="13"/>
        <x:v>0</x:v>
      </x:c>
      <x:c r="AI25" s="528" t="b">
        <x:v>0</x:v>
      </x:c>
      <x:c r="AJ25" s="284">
        <x:f t="shared" si="14"/>
        <x:v>36</x:v>
      </x:c>
      <x:c r="AK25" s="1063" t="str">
        <x:f t="shared" si="15"/>
        <x:v>LH</x:v>
      </x:c>
      <x:c r="AL25" s="1202" t="str">
        <x:f t="shared" si="16"/>
        <x:v/>
      </x:c>
      <x:c r="AM25" s="1063">
        <x:f t="shared" si="17"/>
        <x:v>270</x:v>
      </x:c>
      <x:c r="AN25" s="1063">
        <x:f t="shared" si="18"/>
        <x:v>120</x:v>
      </x:c>
      <x:c r="AO25" s="1063" t="str">
        <x:f t="shared" si="19"/>
        <x:v/>
      </x:c>
      <x:c r="AP25" s="1063" t="b">
        <x:f>IF(ISERROR(AJ25),FALSE,IF(OR(AJ25=0,ISERROR(AL25),ISERROR(AM25),ISERROR(AN25),ISERROR(AO25)),FALSE,IF(AL25&lt;&gt;"",IF(ISERROR(VLOOKUP(SUBSTITUTE(SUBSTITUTE(C25,"R",""),"A",""),TblJoistSize!$A:$A,1,FALSE)),FALSE,TRUE),TRUE)))</x:f>
        <x:v>1</x:v>
      </x:c>
      <x:c r="AQ25" s="1305">
        <x:f t="shared" si="20"/>
        <x:v>7.375</x:v>
      </x:c>
      <x:c r="AR25" s="1305" t="b">
        <x:f t="shared" si="21"/>
        <x:v>0</x:v>
      </x:c>
      <x:c r="AS25" s="1305">
        <x:f t="shared" si="22"/>
        <x:v>7.375</x:v>
      </x:c>
      <x:c r="AT25" s="1305" t="b">
        <x:f t="shared" si="23"/>
        <x:v>0</x:v>
      </x:c>
      <x:c r="AU25" s="1203" t="str">
        <x:f t="shared" si="24"/>
        <x:v>LH</x:v>
      </x:c>
      <x:c r="AV25" s="1063" t="str">
        <x:f t="shared" si="25"/>
        <x:v/>
      </x:c>
      <x:c r="AW25" s="1063" t="str">
        <x:f t="shared" si="26"/>
        <x:v>LH</x:v>
      </x:c>
      <x:c r="AX25" s="1063" t="str">
        <x:f t="shared" si="104"/>
        <x:v>J251</x:v>
      </x:c>
      <x:c r="AY25" s="1306" t="b">
        <x:f t="shared" si="27"/>
        <x:v>0</x:v>
      </x:c>
      <x:c r="AZ25" s="1090" t="b">
        <x:f t="shared" si="28"/>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29"/>
        <x:v/>
      </x:c>
      <x:c r="CE25" s="935" t="str">
        <x:f t="shared" si="30"/>
        <x:v/>
      </x:c>
      <x:c r="CF25" s="1149"/>
      <x:c r="CG25" s="1150"/>
      <x:c r="CH25" s="738" t="str">
        <x:f t="shared" si="31"/>
        <x:v/>
      </x:c>
      <x:c r="CI25" s="739" t="str">
        <x:f t="shared" si="32"/>
        <x:v/>
      </x:c>
      <x:c r="CJ25" s="740" t="str">
        <x:f t="shared" si="33"/>
        <x:v/>
      </x:c>
      <x:c r="CK25" s="741" t="str">
        <x:f t="shared" si="34"/>
        <x:v/>
      </x:c>
      <x:c r="CL25" s="742" t="str">
        <x:f t="shared" si="35"/>
        <x:v/>
      </x:c>
      <x:c r="CM25" s="743" t="str">
        <x:f t="shared" si="36"/>
        <x:v/>
      </x:c>
      <x:c r="CN25" s="744" t="str">
        <x:f t="shared" si="37"/>
        <x:v/>
      </x:c>
      <x:c r="CO25" s="745" t="str">
        <x:f t="shared" si="38"/>
        <x:v/>
      </x:c>
      <x:c r="CP25" s="762" t="str">
        <x:f t="shared" si="39"/>
        <x:v/>
      </x:c>
      <x:c r="CQ25" s="763" t="str">
        <x:f t="shared" si="40"/>
        <x:v/>
      </x:c>
      <x:c r="CR25" s="953">
        <x:f t="shared" si="41"/>
        <x:v>5</x:v>
      </x:c>
      <x:c r="CS25" s="954">
        <x:f t="shared" si="42"/>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3"/>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4"/>
        <x:v>0</x:v>
      </x:c>
      <x:c r="DO25" s="1049">
        <x:f t="shared" si="45"/>
        <x:v>0</x:v>
      </x:c>
      <x:c r="DP25" s="1053" t="str">
        <x:f t="shared" si="46"/>
        <x:v/>
      </x:c>
      <x:c r="DQ25" s="1053" t="str">
        <x:f t="shared" si="47"/>
        <x:v/>
      </x:c>
      <x:c r="DR25" s="1053" t="str">
        <x:f t="shared" si="48"/>
        <x:v/>
      </x:c>
      <x:c r="DS25" s="1052">
        <x:f t="shared" si="49"/>
        <x:v>0</x:v>
      </x:c>
      <x:c r="DT25" s="1052">
        <x:f t="shared" si="50"/>
        <x:v>0</x:v>
      </x:c>
      <x:c r="DU25" s="1052" t="str">
        <x:f t="shared" si="51"/>
        <x:v/>
      </x:c>
      <x:c r="DV25" s="1053" t="str">
        <x:f t="shared" si="52"/>
        <x:v/>
      </x:c>
      <x:c r="DW25" s="1053" t="str">
        <x:f t="shared" si="53"/>
        <x:v/>
      </x:c>
      <x:c r="DX25" s="1269">
        <x:f t="shared" si="54"/>
        <x:v>0</x:v>
      </x:c>
      <x:c r="DY25" s="1053">
        <x:f t="shared" si="55"/>
        <x:v>0</x:v>
      </x:c>
      <x:c r="DZ25" s="1052">
        <x:f t="shared" si="56"/>
        <x:v>0</x:v>
      </x:c>
      <x:c r="EA25" s="1052" t="str">
        <x:f t="shared" si="57"/>
        <x:v/>
      </x:c>
      <x:c r="EB25" s="1053" t="str">
        <x:f t="shared" si="58"/>
        <x:v/>
      </x:c>
      <x:c r="EC25" s="1053" t="str">
        <x:f t="shared" si="59"/>
        <x:v/>
      </x:c>
      <x:c r="ED25" s="1269">
        <x:f t="shared" si="60"/>
        <x:v>0</x:v>
      </x:c>
      <x:c r="EE25" s="1090" t="str">
        <x:f t="shared" si="61"/>
        <x:v/>
      </x:c>
      <x:c r="EF25" s="1053" t="str">
        <x:f t="shared" si="62"/>
        <x:v/>
      </x:c>
      <x:c r="EG25" s="1053" t="str">
        <x:f t="shared" si="63"/>
        <x:v/>
      </x:c>
      <x:c r="EH25" s="1053" t="str">
        <x:f t="shared" si="64"/>
        <x:v>ERR</x:v>
      </x:c>
      <x:c r="EI25" s="1053" t="str">
        <x:f t="shared" si="65"/>
        <x:v>ERR</x:v>
      </x:c>
      <x:c r="EJ25" s="1053" t="str">
        <x:f t="shared" si="66"/>
        <x:v/>
      </x:c>
      <x:c r="EK25" s="1053" t="str">
        <x:f t="shared" si="66"/>
        <x:v/>
      </x:c>
      <x:c r="EL25" s="1090" t="str">
        <x:f t="shared" si="67"/>
        <x:v/>
      </x:c>
      <x:c r="EM25" s="1053" t="str">
        <x:f t="shared" si="68"/>
        <x:v/>
      </x:c>
      <x:c r="EN25" s="1053" t="str">
        <x:f t="shared" si="69"/>
        <x:v/>
      </x:c>
      <x:c r="EO25" s="1053" t="str">
        <x:f t="shared" si="70"/>
        <x:v>ERR</x:v>
      </x:c>
      <x:c r="EP25" s="1053" t="str">
        <x:f t="shared" si="71"/>
        <x:v>ERR</x:v>
      </x:c>
      <x:c r="EQ25" s="1053" t="str">
        <x:f t="shared" si="72"/>
        <x:v/>
      </x:c>
      <x:c r="ER25" s="1053" t="str">
        <x:f t="shared" si="72"/>
        <x:v/>
      </x:c>
      <x:c r="ES25" s="1053" t="str">
        <x:f t="shared" si="73"/>
        <x:v/>
      </x:c>
      <x:c r="ET25" s="1053" t="str">
        <x:f t="shared" si="74"/>
        <x:v/>
      </x:c>
      <x:c r="EU25" s="1061">
        <x:f t="shared" si="75"/>
        <x:v>4</x:v>
      </x:c>
      <x:c r="EV25" s="1055" t="str">
        <x:f t="shared" si="76"/>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7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78"/>
        <x:v/>
      </x:c>
      <x:c r="FD25" s="1052">
        <x:f t="shared" si="105"/>
        <x:v>0</x:v>
      </x:c>
      <x:c r="FE25" s="1052">
        <x:f t="shared" si="79"/>
        <x:v>0</x:v>
      </x:c>
      <x:c r="FF25" s="1052">
        <x:f t="shared" si="80"/>
        <x:v>0</x:v>
      </x:c>
      <x:c r="FG25" s="1052" t="str">
        <x:f t="shared" si="81"/>
        <x:v/>
      </x:c>
      <x:c r="FH25" s="1053" t="str">
        <x:f t="shared" si="82"/>
        <x:v/>
      </x:c>
      <x:c r="FI25" s="1052">
        <x:f t="shared" si="106"/>
        <x:v>0</x:v>
      </x:c>
      <x:c r="FJ25" s="1052">
        <x:f t="shared" si="83"/>
        <x:v>0</x:v>
      </x:c>
      <x:c r="FK25" s="1052">
        <x:f t="shared" si="84"/>
        <x:v>0</x:v>
      </x:c>
      <x:c r="FL25" s="1052" t="str">
        <x:f t="shared" si="85"/>
        <x:v/>
      </x:c>
      <x:c r="FM25" s="1053" t="str">
        <x:f t="shared" si="86"/>
        <x:v/>
      </x:c>
      <x:c r="FN25" s="1053" t="e">
        <x:f t="shared" si="87"/>
        <x:v>#VALUE!</x:v>
      </x:c>
      <x:c r="FO25" s="1062" t="e">
        <x:f t="shared" si="88"/>
        <x:v>#VALUE!</x:v>
      </x:c>
      <x:c r="FP25" s="1062" t="e">
        <x:f t="shared" si="89"/>
        <x:v>#VALUE!</x:v>
      </x:c>
      <x:c r="FQ25" s="1063" t="e">
        <x:f t="shared" si="90"/>
        <x:v>#VALUE!</x:v>
      </x:c>
      <x:c r="FR25" s="1064" t="e">
        <x:f t="shared" si="91"/>
        <x:v>#VALUE!</x:v>
      </x:c>
      <x:c r="FS25" s="1065" t="str">
        <x:f t="shared" si="92"/>
        <x:v/>
      </x:c>
      <x:c r="FT25" s="1066" t="str">
        <x:f t="shared" si="93"/>
        <x:v/>
      </x:c>
      <x:c r="FU25" s="1105">
        <x:f t="shared" si="94"/>
        <x:v>0</x:v>
      </x:c>
      <x:c r="FV25" s="1106">
        <x:f t="shared" si="95"/>
        <x:v>0</x:v>
      </x:c>
      <x:c r="GA25" s="1975">
        <x:v>60</x:v>
      </x:c>
      <x:c r="GB25" s="1976">
        <x:v>0</x:v>
      </x:c>
      <x:c r="GC25" s="1977">
        <x:v>-0.25</x:v>
      </x:c>
      <x:c r="GD25" s="1978">
        <x:v>-0.25</x:v>
      </x:c>
      <x:c r="GE25" s="1979">
        <x:v>0.34230769230769198</x:v>
      </x:c>
      <x:c r="GF25" s="1980" t="str">
        <x:f t="shared" si="96"/>
        <x:v>J251</x:v>
      </x:c>
      <x:c r="GG25" s="1453"/>
      <x:c r="GH25" s="1454"/>
      <x:c r="GI25" s="1453"/>
      <x:c r="GJ25" s="1454"/>
      <x:c r="GK25" s="533">
        <x:f t="shared" si="97"/>
        <x:v>719.75</x:v>
      </x:c>
      <x:c r="GL25" s="534">
        <x:f t="shared" si="98"/>
        <x:v>719.7926734366041</x:v>
      </x:c>
      <x:c r="GM25" s="535">
        <x:f>IF(ABS(GK25-GL25)&gt;='Job Info.'!$L$22,ABS(GK25-GL25),0)</x:f>
        <x:v>0</x:v>
      </x:c>
      <x:c r="HA25" s="1658" t="s">
        <x:v>1575</x:v>
      </x:c>
      <x:c r="HB25" s="1659">
        <x:v>1</x:v>
      </x:c>
      <x:c r="HC25" s="1659" t="s">
        <x:v>1978</x:v>
      </x:c>
      <x:c r="HD25" s="1660">
        <x:v>59</x:v>
      </x:c>
      <x:c r="HE25" s="1661">
        <x:v>11.75</x:v>
      </x:c>
      <x:c r="HF25" s="1659">
        <x:v>0</x:v>
      </x:c>
      <x:c r="HG25" s="1659">
        <x:v>1.375</x:v>
      </x:c>
      <x:c r="HH25" s="1659" t="s">
        <x:v>114</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2095</x:v>
      </x:c>
      <x:c r="IB25" s="1661"/>
      <x:c r="IC25" s="1661"/>
      <x:c r="ID25" s="1661"/>
      <x:c r="IE25" s="1661"/>
      <x:c r="IF25" s="1663"/>
    </x:row>
    <x:row r="26" spans="1:240" ht="12.6" customHeight="1" x14ac:dyDescent="0.25">
      <x:c r="A26" s="1264" t="s">
        <x:v>1576</x:v>
      </x:c>
      <x:c r="B26" s="1265">
        <x:v>1</x:v>
      </x:c>
      <x:c r="C26" s="1265" t="s">
        <x:v>1980</x:v>
      </x:c>
      <x:c r="D26" s="1261">
        <x:v>16</x:v>
      </x:c>
      <x:c r="E26" s="1366">
        <x:v>2.125</x:v>
      </x:c>
      <x:c r="F26" s="1328">
        <x:v>0</x:v>
      </x:c>
      <x:c r="G26" s="1262">
        <x:v>1.375</x:v>
      </x:c>
      <x:c r="H26" s="1266" t="s">
        <x:v>114</x:v>
      </x:c>
      <x:c r="I26" s="1261">
        <x:v>0</x:v>
      </x:c>
      <x:c r="J26" s="2122">
        <x:v>2</x:v>
      </x:c>
      <x:c r="K26" s="1370" t="s">
        <x:v>114</x:v>
      </x:c>
      <x:c r="L26" s="1327">
        <x:v>3</x:v>
      </x:c>
      <x:c r="M26" s="1329">
        <x:v>3</x:v>
      </x:c>
      <x:c r="N26" s="1263" t="str">
        <x:f t="shared" si="1"/>
        <x:v/>
      </x:c>
      <x:c r="O26" s="1262" t="str">
        <x:f t="shared" si="2"/>
        <x:v/>
      </x:c>
      <x:c r="P26" s="1260" t="str">
        <x:f t="shared" si="3"/>
        <x:v/>
      </x:c>
      <x:c r="Q26" s="1261" t="str">
        <x:f t="shared" si="4"/>
        <x:v/>
      </x:c>
      <x:c r="R26" s="1262" t="str">
        <x:f t="shared" si="5"/>
        <x:v/>
      </x:c>
      <x:c r="S26" s="1375" t="str">
        <x:f t="shared" si="6"/>
        <x:v/>
      </x:c>
      <x:c r="T26" s="1328" t="str">
        <x:f t="shared" si="99"/>
        <x:v/>
      </x:c>
      <x:c r="U26" s="1262" t="str">
        <x:f t="shared" si="100"/>
        <x:v/>
      </x:c>
      <x:c r="V26" s="1261" t="str">
        <x:f t="shared" si="101"/>
        <x:v/>
      </x:c>
      <x:c r="W26" s="1262" t="str">
        <x:f t="shared" si="102"/>
        <x:v/>
      </x:c>
      <x:c r="X26" s="1329">
        <x:f t="shared" si="103"/>
        <x:v>0</x:v>
      </x:c>
      <x:c r="Y26" s="1377" t="str">
        <x:f t="shared" si="7"/>
        <x:v/>
      </x:c>
      <x:c r="Z26" s="1378" t="str">
        <x:f t="shared" si="8"/>
        <x:v/>
      </x:c>
      <x:c r="AA26" s="2159" t="s">
        <x:v>2224</x:v>
      </x:c>
      <x:c r="AC26" s="1226" t="b">
        <x:v>0</x:v>
      </x:c>
      <x:c r="AD26" s="525">
        <x:f t="shared" si="9"/>
        <x:v>1</x:v>
      </x:c>
      <x:c r="AE26" s="526">
        <x:f t="shared" si="10"/>
        <x:v>0</x:v>
      </x:c>
      <x:c r="AF26" s="526">
        <x:f t="shared" si="11"/>
        <x:v>0</x:v>
      </x:c>
      <x:c r="AG26" s="526">
        <x:f t="shared" si="12"/>
        <x:v>0</x:v>
      </x:c>
      <x:c r="AH26" s="527">
        <x:f t="shared" si="13"/>
        <x:v>0</x:v>
      </x:c>
      <x:c r="AI26" s="528" t="b">
        <x:v>0</x:v>
      </x:c>
      <x:c r="AJ26" s="284">
        <x:f t="shared" si="14"/>
        <x:v>30</x:v>
      </x:c>
      <x:c r="AK26" s="1063" t="str">
        <x:f t="shared" si="15"/>
        <x:v>K</x:v>
      </x:c>
      <x:c r="AL26" s="1202" t="str">
        <x:f t="shared" si="16"/>
        <x:v/>
      </x:c>
      <x:c r="AM26" s="1063">
        <x:f t="shared" si="17"/>
        <x:v>310</x:v>
      </x:c>
      <x:c r="AN26" s="1063">
        <x:f t="shared" si="18"/>
        <x:v>160</x:v>
      </x:c>
      <x:c r="AO26" s="1063" t="str">
        <x:f t="shared" si="19"/>
        <x:v/>
      </x:c>
      <x:c r="AP26" s="1063" t="b">
        <x:f>IF(ISERROR(AJ26),FALSE,IF(OR(AJ26=0,ISERROR(AL26),ISERROR(AM26),ISERROR(AN26),ISERROR(AO26)),FALSE,IF(AL26&lt;&gt;"",IF(ISERROR(VLOOKUP(SUBSTITUTE(SUBSTITUTE(C26,"R",""),"A",""),TblJoistSize!$A:$A,1,FALSE)),FALSE,TRUE),TRUE)))</x:f>
        <x:v>1</x:v>
      </x:c>
      <x:c r="AQ26" s="1305">
        <x:f t="shared" si="20"/>
        <x:v>5.375</x:v>
      </x:c>
      <x:c r="AR26" s="1305" t="b">
        <x:f t="shared" si="21"/>
        <x:v>0</x:v>
      </x:c>
      <x:c r="AS26" s="1305">
        <x:f t="shared" si="22"/>
        <x:v>6</x:v>
      </x:c>
      <x:c r="AT26" s="1305" t="b">
        <x:f t="shared" si="23"/>
        <x:v>0</x:v>
      </x:c>
      <x:c r="AU26" s="1203" t="str">
        <x:f t="shared" si="24"/>
        <x:v>K</x:v>
      </x:c>
      <x:c r="AV26" s="1063" t="str">
        <x:f t="shared" si="25"/>
        <x:v>K</x:v>
      </x:c>
      <x:c r="AW26" s="1063" t="str">
        <x:f t="shared" si="26"/>
        <x:v/>
      </x:c>
      <x:c r="AX26" s="1063" t="str">
        <x:f t="shared" si="104"/>
        <x:v>J252</x:v>
      </x:c>
      <x:c r="AY26" s="1306" t="b">
        <x:f t="shared" si="27"/>
        <x:v>0</x:v>
      </x:c>
      <x:c r="AZ26" s="1090" t="b">
        <x:f t="shared" si="28"/>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29"/>
        <x:v/>
      </x:c>
      <x:c r="CE26" s="935" t="str">
        <x:f t="shared" si="30"/>
        <x:v/>
      </x:c>
      <x:c r="CF26" s="1149"/>
      <x:c r="CG26" s="1150"/>
      <x:c r="CH26" s="738" t="str">
        <x:f t="shared" si="31"/>
        <x:v/>
      </x:c>
      <x:c r="CI26" s="739" t="str">
        <x:f t="shared" si="32"/>
        <x:v/>
      </x:c>
      <x:c r="CJ26" s="740" t="str">
        <x:f t="shared" si="33"/>
        <x:v/>
      </x:c>
      <x:c r="CK26" s="741" t="str">
        <x:f t="shared" si="34"/>
        <x:v/>
      </x:c>
      <x:c r="CL26" s="742" t="str">
        <x:f t="shared" si="35"/>
        <x:v/>
      </x:c>
      <x:c r="CM26" s="743" t="str">
        <x:f t="shared" si="36"/>
        <x:v/>
      </x:c>
      <x:c r="CN26" s="744" t="str">
        <x:f t="shared" si="37"/>
        <x:v/>
      </x:c>
      <x:c r="CO26" s="745" t="str">
        <x:f t="shared" si="38"/>
        <x:v/>
      </x:c>
      <x:c r="CP26" s="762" t="str">
        <x:f t="shared" si="39"/>
        <x:v/>
      </x:c>
      <x:c r="CQ26" s="763" t="str">
        <x:f t="shared" si="40"/>
        <x:v/>
      </x:c>
      <x:c r="CR26" s="953">
        <x:f t="shared" si="41"/>
        <x:v>2.5</x:v>
      </x:c>
      <x:c r="CS26" s="954">
        <x:f t="shared" si="42"/>
        <x:v>2.5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3"/>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4"/>
        <x:v>0</x:v>
      </x:c>
      <x:c r="DO26" s="1049">
        <x:f t="shared" si="45"/>
        <x:v>0</x:v>
      </x:c>
      <x:c r="DP26" s="1053" t="str">
        <x:f t="shared" si="46"/>
        <x:v/>
      </x:c>
      <x:c r="DQ26" s="1053" t="str">
        <x:f t="shared" si="47"/>
        <x:v/>
      </x:c>
      <x:c r="DR26" s="1053" t="str">
        <x:f t="shared" si="48"/>
        <x:v/>
      </x:c>
      <x:c r="DS26" s="1052">
        <x:f t="shared" si="49"/>
        <x:v>0</x:v>
      </x:c>
      <x:c r="DT26" s="1052">
        <x:f t="shared" si="50"/>
        <x:v>0</x:v>
      </x:c>
      <x:c r="DU26" s="1052" t="str">
        <x:f t="shared" si="51"/>
        <x:v/>
      </x:c>
      <x:c r="DV26" s="1053" t="str">
        <x:f t="shared" si="52"/>
        <x:v/>
      </x:c>
      <x:c r="DW26" s="1053" t="str">
        <x:f t="shared" si="53"/>
        <x:v/>
      </x:c>
      <x:c r="DX26" s="1269">
        <x:f t="shared" si="54"/>
        <x:v>0</x:v>
      </x:c>
      <x:c r="DY26" s="1053">
        <x:f t="shared" si="55"/>
        <x:v>0</x:v>
      </x:c>
      <x:c r="DZ26" s="1052">
        <x:f t="shared" si="56"/>
        <x:v>0</x:v>
      </x:c>
      <x:c r="EA26" s="1052" t="str">
        <x:f t="shared" si="57"/>
        <x:v/>
      </x:c>
      <x:c r="EB26" s="1053" t="str">
        <x:f t="shared" si="58"/>
        <x:v/>
      </x:c>
      <x:c r="EC26" s="1053" t="str">
        <x:f t="shared" si="59"/>
        <x:v/>
      </x:c>
      <x:c r="ED26" s="1269">
        <x:f t="shared" si="60"/>
        <x:v>0</x:v>
      </x:c>
      <x:c r="EE26" s="1090" t="str">
        <x:f t="shared" si="61"/>
        <x:v/>
      </x:c>
      <x:c r="EF26" s="1053" t="str">
        <x:f t="shared" si="62"/>
        <x:v/>
      </x:c>
      <x:c r="EG26" s="1053" t="str">
        <x:f t="shared" si="63"/>
        <x:v/>
      </x:c>
      <x:c r="EH26" s="1053" t="str">
        <x:f t="shared" si="64"/>
        <x:v>ERR</x:v>
      </x:c>
      <x:c r="EI26" s="1053" t="str">
        <x:f t="shared" si="65"/>
        <x:v>ERR</x:v>
      </x:c>
      <x:c r="EJ26" s="1053" t="str">
        <x:f t="shared" si="66"/>
        <x:v/>
      </x:c>
      <x:c r="EK26" s="1053" t="str">
        <x:f t="shared" si="66"/>
        <x:v/>
      </x:c>
      <x:c r="EL26" s="1090" t="str">
        <x:f t="shared" si="67"/>
        <x:v/>
      </x:c>
      <x:c r="EM26" s="1053" t="str">
        <x:f t="shared" si="68"/>
        <x:v/>
      </x:c>
      <x:c r="EN26" s="1053" t="str">
        <x:f t="shared" si="69"/>
        <x:v/>
      </x:c>
      <x:c r="EO26" s="1053" t="str">
        <x:f t="shared" si="70"/>
        <x:v>ERR</x:v>
      </x:c>
      <x:c r="EP26" s="1053" t="str">
        <x:f t="shared" si="71"/>
        <x:v>ERR</x:v>
      </x:c>
      <x:c r="EQ26" s="1053" t="str">
        <x:f t="shared" si="72"/>
        <x:v/>
      </x:c>
      <x:c r="ER26" s="1053" t="str">
        <x:f t="shared" si="72"/>
        <x:v/>
      </x:c>
      <x:c r="ES26" s="1053" t="str">
        <x:f t="shared" si="73"/>
        <x:v/>
      </x:c>
      <x:c r="ET26" s="1053" t="str">
        <x:f t="shared" si="74"/>
        <x:v/>
      </x:c>
      <x:c r="EU26" s="1061">
        <x:f t="shared" si="75"/>
        <x:v>3.5</x:v>
      </x:c>
      <x:c r="EV26" s="1055" t="str">
        <x:f t="shared" si="76"/>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7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78"/>
        <x:v/>
      </x:c>
      <x:c r="FD26" s="1052">
        <x:f t="shared" si="105"/>
        <x:v>0</x:v>
      </x:c>
      <x:c r="FE26" s="1052">
        <x:f t="shared" si="79"/>
        <x:v>0</x:v>
      </x:c>
      <x:c r="FF26" s="1052">
        <x:f t="shared" si="80"/>
        <x:v>0</x:v>
      </x:c>
      <x:c r="FG26" s="1052" t="str">
        <x:f t="shared" si="81"/>
        <x:v/>
      </x:c>
      <x:c r="FH26" s="1053" t="str">
        <x:f t="shared" si="82"/>
        <x:v/>
      </x:c>
      <x:c r="FI26" s="1052">
        <x:f t="shared" si="106"/>
        <x:v>0</x:v>
      </x:c>
      <x:c r="FJ26" s="1052">
        <x:f t="shared" si="83"/>
        <x:v>0</x:v>
      </x:c>
      <x:c r="FK26" s="1052">
        <x:f t="shared" si="84"/>
        <x:v>0</x:v>
      </x:c>
      <x:c r="FL26" s="1052" t="str">
        <x:f t="shared" si="85"/>
        <x:v/>
      </x:c>
      <x:c r="FM26" s="1053" t="str">
        <x:f t="shared" si="86"/>
        <x:v/>
      </x:c>
      <x:c r="FN26" s="1053" t="e">
        <x:f t="shared" si="87"/>
        <x:v>#VALUE!</x:v>
      </x:c>
      <x:c r="FO26" s="1062" t="e">
        <x:f t="shared" si="88"/>
        <x:v>#VALUE!</x:v>
      </x:c>
      <x:c r="FP26" s="1062" t="e">
        <x:f t="shared" si="89"/>
        <x:v>#VALUE!</x:v>
      </x:c>
      <x:c r="FQ26" s="1063" t="e">
        <x:f t="shared" si="90"/>
        <x:v>#VALUE!</x:v>
      </x:c>
      <x:c r="FR26" s="1064" t="e">
        <x:f t="shared" si="91"/>
        <x:v>#VALUE!</x:v>
      </x:c>
      <x:c r="FS26" s="1065" t="str">
        <x:f t="shared" si="92"/>
        <x:v/>
      </x:c>
      <x:c r="FT26" s="1066" t="str">
        <x:f t="shared" si="93"/>
        <x:v/>
      </x:c>
      <x:c r="FU26" s="1105">
        <x:f t="shared" si="94"/>
        <x:v>0</x:v>
      </x:c>
      <x:c r="FV26" s="1106">
        <x:f t="shared" si="95"/>
        <x:v>0</x:v>
      </x:c>
      <x:c r="GA26" s="1975">
        <x:v>16</x:v>
      </x:c>
      <x:c r="GB26" s="1976">
        <x:v>2.875</x:v>
      </x:c>
      <x:c r="GC26" s="1977">
        <x:v>-0.25</x:v>
      </x:c>
      <x:c r="GD26" s="1978">
        <x:v>-0.5</x:v>
      </x:c>
      <x:c r="GE26" s="1979">
        <x:v>0.21099232142628399</x:v>
      </x:c>
      <x:c r="GF26" s="1980" t="str">
        <x:f t="shared" si="96"/>
        <x:v>J252</x:v>
      </x:c>
      <x:c r="GG26" s="1453"/>
      <x:c r="GH26" s="1454"/>
      <x:c r="GI26" s="1453"/>
      <x:c r="GJ26" s="1454"/>
      <x:c r="GK26" s="533">
        <x:f t="shared" si="97"/>
        <x:v>194.125</x:v>
      </x:c>
      <x:c r="GL26" s="534">
        <x:f t="shared" si="98"/>
        <x:v>194.15500466070625</x:v>
      </x:c>
      <x:c r="GM26" s="535">
        <x:f>IF(ABS(GK26-GL26)&gt;='Job Info.'!$L$22,ABS(GK26-GL26),0)</x:f>
        <x:v>0</x:v>
      </x:c>
      <x:c r="HA26" s="1658" t="s">
        <x:v>1576</x:v>
      </x:c>
      <x:c r="HB26" s="1659">
        <x:v>1</x:v>
      </x:c>
      <x:c r="HC26" s="1659" t="s">
        <x:v>1980</x:v>
      </x:c>
      <x:c r="HD26" s="1660">
        <x:v>16</x:v>
      </x:c>
      <x:c r="HE26" s="1661">
        <x:v>2.125</x:v>
      </x:c>
      <x:c r="HF26" s="1659">
        <x:v>0</x:v>
      </x:c>
      <x:c r="HG26" s="1659">
        <x:v>1.375</x:v>
      </x:c>
      <x:c r="HH26" s="1659" t="s">
        <x:v>114</x:v>
      </x:c>
      <x:c r="HI26" s="1662">
        <x:v>0</x:v>
      </x:c>
      <x:c r="HJ26" s="1659">
        <x:v>0.25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2224</x:v>
      </x:c>
      <x:c r="IB26" s="1661"/>
      <x:c r="IC26" s="1661"/>
      <x:c r="ID26" s="1661"/>
      <x:c r="IE26" s="1661"/>
      <x:c r="IF26" s="1663"/>
    </x:row>
    <x:row r="27" spans="1:240" ht="12.6" customHeight="1" x14ac:dyDescent="0.25">
      <x:c r="A27" s="1264" t="s">
        <x:v>1577</x:v>
      </x:c>
      <x:c r="B27" s="1265">
        <x:v>1</x:v>
      </x:c>
      <x:c r="C27" s="1265" t="s">
        <x:v>1980</x:v>
      </x:c>
      <x:c r="D27" s="1261">
        <x:v>27</x:v>
      </x:c>
      <x:c r="E27" s="1366">
        <x:v>3.625</x:v>
      </x:c>
      <x:c r="F27" s="1328">
        <x:v>0</x:v>
      </x:c>
      <x:c r="G27" s="1262">
        <x:v>1.375</x:v>
      </x:c>
      <x:c r="H27" s="1266" t="s">
        <x:v>114</x:v>
      </x:c>
      <x:c r="I27" s="1261">
        <x:v>0</x:v>
      </x:c>
      <x:c r="J27" s="2122">
        <x:v>2</x:v>
      </x:c>
      <x:c r="K27" s="1370" t="s">
        <x:v>114</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99"/>
        <x:v/>
      </x:c>
      <x:c r="U27" s="1262" t="str">
        <x:f t="shared" si="100"/>
        <x:v/>
      </x:c>
      <x:c r="V27" s="1261" t="str">
        <x:f t="shared" si="101"/>
        <x:v/>
      </x:c>
      <x:c r="W27" s="1262" t="str">
        <x:f t="shared" si="102"/>
        <x:v/>
      </x:c>
      <x:c r="X27" s="1329">
        <x:f t="shared" si="103"/>
        <x:v>0</x:v>
      </x:c>
      <x:c r="Y27" s="1377" t="str">
        <x:f t="shared" si="7"/>
        <x:v/>
      </x:c>
      <x:c r="Z27" s="1378" t="str">
        <x:f t="shared" si="8"/>
        <x:v/>
      </x:c>
      <x:c r="AA27" s="2159" t="s">
        <x:v>2250</x:v>
      </x:c>
      <x:c r="AC27" s="1226" t="b">
        <x:v>0</x:v>
      </x:c>
      <x:c r="AD27" s="525">
        <x:f t="shared" si="9"/>
        <x:v>1</x:v>
      </x:c>
      <x:c r="AE27" s="526">
        <x:f t="shared" si="10"/>
        <x:v>0</x:v>
      </x:c>
      <x:c r="AF27" s="526">
        <x:f t="shared" si="11"/>
        <x:v>0</x:v>
      </x:c>
      <x:c r="AG27" s="526">
        <x:f t="shared" si="12"/>
        <x:v>0</x:v>
      </x:c>
      <x:c r="AH27" s="527">
        <x:f t="shared" si="13"/>
        <x:v>0</x:v>
      </x:c>
      <x:c r="AI27" s="528" t="b">
        <x:v>0</x:v>
      </x:c>
      <x:c r="AJ27" s="284">
        <x:f t="shared" si="14"/>
        <x:v>30</x:v>
      </x:c>
      <x:c r="AK27" s="1063" t="str">
        <x:f t="shared" si="15"/>
        <x:v>K</x:v>
      </x:c>
      <x:c r="AL27" s="1202" t="str">
        <x:f t="shared" si="16"/>
        <x:v/>
      </x:c>
      <x:c r="AM27" s="1063">
        <x:f t="shared" si="17"/>
        <x:v>310</x:v>
      </x:c>
      <x:c r="AN27" s="1063">
        <x:f t="shared" si="18"/>
        <x:v>160</x:v>
      </x:c>
      <x:c r="AO27" s="1063" t="str">
        <x:f t="shared" si="19"/>
        <x:v/>
      </x:c>
      <x:c r="AP27" s="1063" t="b">
        <x:f>IF(ISERROR(AJ27),FALSE,IF(OR(AJ27=0,ISERROR(AL27),ISERROR(AM27),ISERROR(AN27),ISERROR(AO27)),FALSE,IF(AL27&lt;&gt;"",IF(ISERROR(VLOOKUP(SUBSTITUTE(SUBSTITUTE(C27,"R",""),"A",""),TblJoistSize!$A:$A,1,FALSE)),FALSE,TRUE),TRUE)))</x:f>
        <x:v>1</x:v>
      </x:c>
      <x:c r="AQ27" s="1305">
        <x:f t="shared" si="20"/>
        <x:v>5.375</x:v>
      </x:c>
      <x:c r="AR27" s="1305" t="b">
        <x:f t="shared" si="21"/>
        <x:v>0</x:v>
      </x:c>
      <x:c r="AS27" s="1305">
        <x:f t="shared" si="22"/>
        <x:v>6</x:v>
      </x:c>
      <x:c r="AT27" s="1305" t="b">
        <x:f t="shared" si="23"/>
        <x:v>0</x:v>
      </x:c>
      <x:c r="AU27" s="1203" t="str">
        <x:f t="shared" si="24"/>
        <x:v>K</x:v>
      </x:c>
      <x:c r="AV27" s="1063" t="str">
        <x:f t="shared" si="25"/>
        <x:v>K</x:v>
      </x:c>
      <x:c r="AW27" s="1063" t="str">
        <x:f t="shared" si="26"/>
        <x:v/>
      </x:c>
      <x:c r="AX27" s="1063" t="str">
        <x:f t="shared" si="104"/>
        <x:v>J253</x:v>
      </x:c>
      <x:c r="AY27" s="1306" t="b">
        <x:f t="shared" si="27"/>
        <x:v>0</x:v>
      </x:c>
      <x:c r="AZ27" s="1090" t="b">
        <x:f t="shared" si="28"/>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29"/>
        <x:v/>
      </x:c>
      <x:c r="CE27" s="935" t="str">
        <x:f t="shared" si="30"/>
        <x:v/>
      </x:c>
      <x:c r="CF27" s="1149"/>
      <x:c r="CG27" s="1150"/>
      <x:c r="CH27" s="738" t="str">
        <x:f t="shared" si="31"/>
        <x:v/>
      </x:c>
      <x:c r="CI27" s="739" t="str">
        <x:f t="shared" si="32"/>
        <x:v/>
      </x:c>
      <x:c r="CJ27" s="740" t="str">
        <x:f t="shared" si="33"/>
        <x:v/>
      </x:c>
      <x:c r="CK27" s="741" t="str">
        <x:f t="shared" si="34"/>
        <x:v/>
      </x:c>
      <x:c r="CL27" s="742" t="str">
        <x:f t="shared" si="35"/>
        <x:v/>
      </x:c>
      <x:c r="CM27" s="743" t="str">
        <x:f t="shared" si="36"/>
        <x:v/>
      </x:c>
      <x:c r="CN27" s="744" t="str">
        <x:f t="shared" si="37"/>
        <x:v/>
      </x:c>
      <x:c r="CO27" s="745" t="str">
        <x:f t="shared" si="38"/>
        <x:v/>
      </x:c>
      <x:c r="CP27" s="762" t="str">
        <x:f t="shared" si="39"/>
        <x:v/>
      </x:c>
      <x:c r="CQ27" s="763" t="str">
        <x:f t="shared" si="40"/>
        <x:v/>
      </x:c>
      <x:c r="CR27" s="953">
        <x:f t="shared" si="41"/>
        <x:v>2.5</x:v>
      </x:c>
      <x:c r="CS27" s="954">
        <x:f t="shared" si="42"/>
        <x:v>2.5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3"/>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4"/>
        <x:v>0</x:v>
      </x:c>
      <x:c r="DO27" s="1049">
        <x:f t="shared" si="45"/>
        <x:v>0</x:v>
      </x:c>
      <x:c r="DP27" s="1053" t="str">
        <x:f t="shared" si="46"/>
        <x:v/>
      </x:c>
      <x:c r="DQ27" s="1053" t="str">
        <x:f t="shared" si="47"/>
        <x:v/>
      </x:c>
      <x:c r="DR27" s="1053" t="str">
        <x:f t="shared" si="48"/>
        <x:v/>
      </x:c>
      <x:c r="DS27" s="1052">
        <x:f t="shared" si="49"/>
        <x:v>0</x:v>
      </x:c>
      <x:c r="DT27" s="1052">
        <x:f t="shared" si="50"/>
        <x:v>0</x:v>
      </x:c>
      <x:c r="DU27" s="1052" t="str">
        <x:f t="shared" si="51"/>
        <x:v/>
      </x:c>
      <x:c r="DV27" s="1053" t="str">
        <x:f t="shared" si="52"/>
        <x:v/>
      </x:c>
      <x:c r="DW27" s="1053" t="str">
        <x:f t="shared" si="53"/>
        <x:v/>
      </x:c>
      <x:c r="DX27" s="1269">
        <x:f t="shared" si="54"/>
        <x:v>0</x:v>
      </x:c>
      <x:c r="DY27" s="1053">
        <x:f t="shared" si="55"/>
        <x:v>0</x:v>
      </x:c>
      <x:c r="DZ27" s="1052">
        <x:f t="shared" si="56"/>
        <x:v>0</x:v>
      </x:c>
      <x:c r="EA27" s="1052" t="str">
        <x:f t="shared" si="57"/>
        <x:v/>
      </x:c>
      <x:c r="EB27" s="1053" t="str">
        <x:f t="shared" si="58"/>
        <x:v/>
      </x:c>
      <x:c r="EC27" s="1053" t="str">
        <x:f t="shared" si="59"/>
        <x:v/>
      </x:c>
      <x:c r="ED27" s="1269">
        <x:f t="shared" si="60"/>
        <x:v>0</x:v>
      </x:c>
      <x:c r="EE27" s="1090" t="str">
        <x:f t="shared" si="61"/>
        <x:v/>
      </x:c>
      <x:c r="EF27" s="1053" t="str">
        <x:f t="shared" si="62"/>
        <x:v/>
      </x:c>
      <x:c r="EG27" s="1053" t="str">
        <x:f t="shared" si="63"/>
        <x:v/>
      </x:c>
      <x:c r="EH27" s="1053" t="str">
        <x:f t="shared" si="64"/>
        <x:v>ERR</x:v>
      </x:c>
      <x:c r="EI27" s="1053" t="str">
        <x:f t="shared" si="65"/>
        <x:v>ERR</x:v>
      </x:c>
      <x:c r="EJ27" s="1053" t="str">
        <x:f t="shared" si="66"/>
        <x:v/>
      </x:c>
      <x:c r="EK27" s="1053" t="str">
        <x:f t="shared" si="66"/>
        <x:v/>
      </x:c>
      <x:c r="EL27" s="1090" t="str">
        <x:f t="shared" si="67"/>
        <x:v/>
      </x:c>
      <x:c r="EM27" s="1053" t="str">
        <x:f t="shared" si="68"/>
        <x:v/>
      </x:c>
      <x:c r="EN27" s="1053" t="str">
        <x:f t="shared" si="69"/>
        <x:v/>
      </x:c>
      <x:c r="EO27" s="1053" t="str">
        <x:f t="shared" si="70"/>
        <x:v>ERR</x:v>
      </x:c>
      <x:c r="EP27" s="1053" t="str">
        <x:f t="shared" si="71"/>
        <x:v>ERR</x:v>
      </x:c>
      <x:c r="EQ27" s="1053" t="str">
        <x:f t="shared" si="72"/>
        <x:v/>
      </x:c>
      <x:c r="ER27" s="1053" t="str">
        <x:f t="shared" si="72"/>
        <x:v/>
      </x:c>
      <x:c r="ES27" s="1053" t="str">
        <x:f t="shared" si="73"/>
        <x:v/>
      </x:c>
      <x:c r="ET27" s="1053" t="str">
        <x:f t="shared" si="74"/>
        <x:v/>
      </x:c>
      <x:c r="EU27" s="1061">
        <x:f t="shared" si="75"/>
        <x:v>3.5</x:v>
      </x:c>
      <x:c r="EV27" s="1055" t="str">
        <x:f t="shared" si="76"/>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7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78"/>
        <x:v/>
      </x:c>
      <x:c r="FD27" s="1052">
        <x:f t="shared" si="105"/>
        <x:v>0</x:v>
      </x:c>
      <x:c r="FE27" s="1052">
        <x:f t="shared" si="79"/>
        <x:v>0</x:v>
      </x:c>
      <x:c r="FF27" s="1052">
        <x:f t="shared" si="80"/>
        <x:v>0</x:v>
      </x:c>
      <x:c r="FG27" s="1052" t="str">
        <x:f t="shared" si="81"/>
        <x:v/>
      </x:c>
      <x:c r="FH27" s="1053" t="str">
        <x:f t="shared" si="82"/>
        <x:v/>
      </x:c>
      <x:c r="FI27" s="1052">
        <x:f t="shared" si="106"/>
        <x:v>0</x:v>
      </x:c>
      <x:c r="FJ27" s="1052">
        <x:f t="shared" si="83"/>
        <x:v>0</x:v>
      </x:c>
      <x:c r="FK27" s="1052">
        <x:f t="shared" si="84"/>
        <x:v>0</x:v>
      </x:c>
      <x:c r="FL27" s="1052" t="str">
        <x:f t="shared" si="85"/>
        <x:v/>
      </x:c>
      <x:c r="FM27" s="1053" t="str">
        <x:f t="shared" si="86"/>
        <x:v/>
      </x:c>
      <x:c r="FN27" s="1053" t="e">
        <x:f t="shared" si="87"/>
        <x:v>#VALUE!</x:v>
      </x:c>
      <x:c r="FO27" s="1062" t="e">
        <x:f t="shared" si="88"/>
        <x:v>#VALUE!</x:v>
      </x:c>
      <x:c r="FP27" s="1062" t="e">
        <x:f t="shared" si="89"/>
        <x:v>#VALUE!</x:v>
      </x:c>
      <x:c r="FQ27" s="1063" t="e">
        <x:f t="shared" si="90"/>
        <x:v>#VALUE!</x:v>
      </x:c>
      <x:c r="FR27" s="1064" t="e">
        <x:f t="shared" si="91"/>
        <x:v>#VALUE!</x:v>
      </x:c>
      <x:c r="FS27" s="1065" t="str">
        <x:f t="shared" si="92"/>
        <x:v/>
      </x:c>
      <x:c r="FT27" s="1066" t="str">
        <x:f t="shared" si="93"/>
        <x:v/>
      </x:c>
      <x:c r="FU27" s="1105">
        <x:f t="shared" si="94"/>
        <x:v>0</x:v>
      </x:c>
      <x:c r="FV27" s="1106">
        <x:f t="shared" si="95"/>
        <x:v>0</x:v>
      </x:c>
      <x:c r="GA27" s="1975">
        <x:v>27</x:v>
      </x:c>
      <x:c r="GB27" s="1976">
        <x:v>4.375</x:v>
      </x:c>
      <x:c r="GC27" s="1977">
        <x:v>-0.25</x:v>
      </x:c>
      <x:c r="GD27" s="1978">
        <x:v>-0.5</x:v>
      </x:c>
      <x:c r="GE27" s="1979">
        <x:v>0.163865618006167</x:v>
      </x:c>
      <x:c r="GF27" s="1980" t="str">
        <x:f t="shared" si="96"/>
        <x:v>J253</x:v>
      </x:c>
      <x:c r="GG27" s="1453"/>
      <x:c r="GH27" s="1454"/>
      <x:c r="GI27" s="1453"/>
      <x:c r="GJ27" s="1454"/>
      <x:c r="GK27" s="533">
        <x:f t="shared" si="97"/>
        <x:v>327.625</x:v>
      </x:c>
      <x:c r="GL27" s="534">
        <x:f t="shared" si="98"/>
        <x:v>327.65554498963877</x:v>
      </x:c>
      <x:c r="GM27" s="535">
        <x:f>IF(ABS(GK27-GL27)&gt;='Job Info.'!$L$22,ABS(GK27-GL27),0)</x:f>
        <x:v>0</x:v>
      </x:c>
      <x:c r="HA27" s="1658" t="s">
        <x:v>1577</x:v>
      </x:c>
      <x:c r="HB27" s="1659">
        <x:v>1</x:v>
      </x:c>
      <x:c r="HC27" s="1659" t="s">
        <x:v>1980</x:v>
      </x:c>
      <x:c r="HD27" s="1660">
        <x:v>27</x:v>
      </x:c>
      <x:c r="HE27" s="1661">
        <x:v>3.625</x:v>
      </x:c>
      <x:c r="HF27" s="1659">
        <x:v>0</x:v>
      </x:c>
      <x:c r="HG27" s="1659">
        <x:v>1.375</x:v>
      </x:c>
      <x:c r="HH27" s="1659" t="s">
        <x:v>114</x:v>
      </x:c>
      <x:c r="HI27" s="1662">
        <x:v>0</x:v>
      </x:c>
      <x:c r="HJ27" s="1659">
        <x:v>0.25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2250</x:v>
      </x:c>
      <x:c r="IB27" s="1661"/>
      <x:c r="IC27" s="1661"/>
      <x:c r="ID27" s="1661"/>
      <x:c r="IE27" s="1661"/>
      <x:c r="IF27" s="1663"/>
    </x:row>
    <x:row r="28" spans="1:240" ht="12.6" customHeight="1" x14ac:dyDescent="0.25">
      <x:c r="A28" s="1264" t="s">
        <x:v>1578</x:v>
      </x:c>
      <x:c r="B28" s="1265">
        <x:v>1</x:v>
      </x:c>
      <x:c r="C28" s="1265" t="s">
        <x:v>1980</x:v>
      </x:c>
      <x:c r="D28" s="1261">
        <x:v>38</x:v>
      </x:c>
      <x:c r="E28" s="1366">
        <x:v>5.125</x:v>
      </x:c>
      <x:c r="F28" s="1328">
        <x:v>0</x:v>
      </x:c>
      <x:c r="G28" s="1262">
        <x:v>1.375</x:v>
      </x:c>
      <x:c r="H28" s="1266" t="s">
        <x:v>114</x:v>
      </x:c>
      <x:c r="I28" s="1261">
        <x:v>0</x:v>
      </x:c>
      <x:c r="J28" s="2122">
        <x:v>2</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99"/>
        <x:v/>
      </x:c>
      <x:c r="U28" s="1262" t="str">
        <x:f t="shared" si="100"/>
        <x:v/>
      </x:c>
      <x:c r="V28" s="1261" t="str">
        <x:f t="shared" si="101"/>
        <x:v/>
      </x:c>
      <x:c r="W28" s="1262" t="str">
        <x:f t="shared" si="102"/>
        <x:v/>
      </x:c>
      <x:c r="X28" s="1329">
        <x:f t="shared" si="103"/>
        <x:v>0</x:v>
      </x:c>
      <x:c r="Y28" s="1377" t="str">
        <x:f t="shared" si="7"/>
        <x:v/>
      </x:c>
      <x:c r="Z28" s="1378" t="str">
        <x:f t="shared" si="8"/>
        <x:v/>
      </x:c>
      <x:c r="AA28" s="2159" t="s">
        <x:v>2251</x:v>
      </x:c>
      <x:c r="AC28" s="1226" t="b">
        <x:v>0</x:v>
      </x:c>
      <x:c r="AD28" s="525">
        <x:f t="shared" si="9"/>
        <x:v>1</x:v>
      </x:c>
      <x:c r="AE28" s="526">
        <x:f t="shared" si="10"/>
        <x:v>0</x:v>
      </x:c>
      <x:c r="AF28" s="526">
        <x:f t="shared" si="11"/>
        <x:v>0</x:v>
      </x:c>
      <x:c r="AG28" s="526">
        <x:f t="shared" si="12"/>
        <x:v>0</x:v>
      </x:c>
      <x:c r="AH28" s="527">
        <x:f t="shared" si="13"/>
        <x:v>0</x:v>
      </x:c>
      <x:c r="AI28" s="528" t="b">
        <x:v>0</x:v>
      </x:c>
      <x:c r="AJ28" s="284">
        <x:f t="shared" si="14"/>
        <x:v>30</x:v>
      </x:c>
      <x:c r="AK28" s="1063" t="str">
        <x:f t="shared" si="15"/>
        <x:v>K</x:v>
      </x:c>
      <x:c r="AL28" s="1202" t="str">
        <x:f t="shared" si="16"/>
        <x:v/>
      </x:c>
      <x:c r="AM28" s="1063">
        <x:f t="shared" si="17"/>
        <x:v>310</x:v>
      </x:c>
      <x:c r="AN28" s="1063">
        <x:f t="shared" si="18"/>
        <x:v>160</x:v>
      </x:c>
      <x:c r="AO28" s="1063" t="str">
        <x:f t="shared" si="19"/>
        <x:v/>
      </x:c>
      <x:c r="AP28" s="1063" t="b">
        <x:f>IF(ISERROR(AJ28),FALSE,IF(OR(AJ28=0,ISERROR(AL28),ISERROR(AM28),ISERROR(AN28),ISERROR(AO28)),FALSE,IF(AL28&lt;&gt;"",IF(ISERROR(VLOOKUP(SUBSTITUTE(SUBSTITUTE(C28,"R",""),"A",""),TblJoistSize!$A:$A,1,FALSE)),FALSE,TRUE),TRUE)))</x:f>
        <x:v>1</x:v>
      </x:c>
      <x:c r="AQ28" s="1305">
        <x:f t="shared" si="20"/>
        <x:v>5.375</x:v>
      </x:c>
      <x:c r="AR28" s="1305" t="b">
        <x:f t="shared" si="21"/>
        <x:v>0</x:v>
      </x:c>
      <x:c r="AS28" s="1305">
        <x:f t="shared" si="22"/>
        <x:v>6</x:v>
      </x:c>
      <x:c r="AT28" s="1305" t="b">
        <x:f t="shared" si="23"/>
        <x:v>0</x:v>
      </x:c>
      <x:c r="AU28" s="1203" t="str">
        <x:f t="shared" si="24"/>
        <x:v>K</x:v>
      </x:c>
      <x:c r="AV28" s="1063" t="str">
        <x:f t="shared" si="25"/>
        <x:v>K</x:v>
      </x:c>
      <x:c r="AW28" s="1063" t="str">
        <x:f t="shared" si="26"/>
        <x:v/>
      </x:c>
      <x:c r="AX28" s="1063" t="str">
        <x:f t="shared" si="104"/>
        <x:v>J254</x:v>
      </x:c>
      <x:c r="AY28" s="1306" t="b">
        <x:f t="shared" si="27"/>
        <x:v>0</x:v>
      </x:c>
      <x:c r="AZ28" s="1090" t="b">
        <x:f t="shared" si="28"/>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29"/>
        <x:v/>
      </x:c>
      <x:c r="CE28" s="935" t="str">
        <x:f t="shared" si="30"/>
        <x:v/>
      </x:c>
      <x:c r="CF28" s="1149"/>
      <x:c r="CG28" s="1150"/>
      <x:c r="CH28" s="738" t="str">
        <x:f t="shared" si="31"/>
        <x:v/>
      </x:c>
      <x:c r="CI28" s="739" t="str">
        <x:f t="shared" si="32"/>
        <x:v/>
      </x:c>
      <x:c r="CJ28" s="740" t="str">
        <x:f t="shared" si="33"/>
        <x:v/>
      </x:c>
      <x:c r="CK28" s="741" t="str">
        <x:f t="shared" si="34"/>
        <x:v/>
      </x:c>
      <x:c r="CL28" s="742" t="str">
        <x:f t="shared" si="35"/>
        <x:v/>
      </x:c>
      <x:c r="CM28" s="743" t="str">
        <x:f t="shared" si="36"/>
        <x:v/>
      </x:c>
      <x:c r="CN28" s="744" t="str">
        <x:f t="shared" si="37"/>
        <x:v/>
      </x:c>
      <x:c r="CO28" s="745" t="str">
        <x:f t="shared" si="38"/>
        <x:v/>
      </x:c>
      <x:c r="CP28" s="762" t="str">
        <x:f t="shared" si="39"/>
        <x:v/>
      </x:c>
      <x:c r="CQ28" s="763" t="str">
        <x:f t="shared" si="40"/>
        <x:v/>
      </x:c>
      <x:c r="CR28" s="953">
        <x:f t="shared" si="41"/>
        <x:v>2.5</x:v>
      </x:c>
      <x:c r="CS28" s="954">
        <x:f t="shared" si="42"/>
        <x:v>2.5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3"/>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4"/>
        <x:v>0</x:v>
      </x:c>
      <x:c r="DO28" s="1049">
        <x:f t="shared" si="45"/>
        <x:v>0</x:v>
      </x:c>
      <x:c r="DP28" s="1053" t="str">
        <x:f t="shared" si="46"/>
        <x:v/>
      </x:c>
      <x:c r="DQ28" s="1053" t="str">
        <x:f t="shared" si="47"/>
        <x:v/>
      </x:c>
      <x:c r="DR28" s="1053" t="str">
        <x:f t="shared" si="48"/>
        <x:v/>
      </x:c>
      <x:c r="DS28" s="1052">
        <x:f t="shared" si="49"/>
        <x:v>0</x:v>
      </x:c>
      <x:c r="DT28" s="1052">
        <x:f t="shared" si="50"/>
        <x:v>0</x:v>
      </x:c>
      <x:c r="DU28" s="1052" t="str">
        <x:f t="shared" si="51"/>
        <x:v/>
      </x:c>
      <x:c r="DV28" s="1053" t="str">
        <x:f t="shared" si="52"/>
        <x:v/>
      </x:c>
      <x:c r="DW28" s="1053" t="str">
        <x:f t="shared" si="53"/>
        <x:v/>
      </x:c>
      <x:c r="DX28" s="1269">
        <x:f t="shared" si="54"/>
        <x:v>0</x:v>
      </x:c>
      <x:c r="DY28" s="1053">
        <x:f t="shared" si="55"/>
        <x:v>0</x:v>
      </x:c>
      <x:c r="DZ28" s="1052">
        <x:f t="shared" si="56"/>
        <x:v>0</x:v>
      </x:c>
      <x:c r="EA28" s="1052" t="str">
        <x:f t="shared" si="57"/>
        <x:v/>
      </x:c>
      <x:c r="EB28" s="1053" t="str">
        <x:f t="shared" si="58"/>
        <x:v/>
      </x:c>
      <x:c r="EC28" s="1053" t="str">
        <x:f t="shared" si="59"/>
        <x:v/>
      </x:c>
      <x:c r="ED28" s="1269">
        <x:f t="shared" si="60"/>
        <x:v>0</x:v>
      </x:c>
      <x:c r="EE28" s="1090" t="str">
        <x:f t="shared" si="61"/>
        <x:v/>
      </x:c>
      <x:c r="EF28" s="1053" t="str">
        <x:f t="shared" si="62"/>
        <x:v/>
      </x:c>
      <x:c r="EG28" s="1053" t="str">
        <x:f t="shared" si="63"/>
        <x:v/>
      </x:c>
      <x:c r="EH28" s="1053" t="str">
        <x:f t="shared" si="64"/>
        <x:v>ERR</x:v>
      </x:c>
      <x:c r="EI28" s="1053" t="str">
        <x:f t="shared" si="65"/>
        <x:v>ERR</x:v>
      </x:c>
      <x:c r="EJ28" s="1053" t="str">
        <x:f t="shared" si="66"/>
        <x:v/>
      </x:c>
      <x:c r="EK28" s="1053" t="str">
        <x:f t="shared" si="66"/>
        <x:v/>
      </x:c>
      <x:c r="EL28" s="1090" t="str">
        <x:f t="shared" si="67"/>
        <x:v/>
      </x:c>
      <x:c r="EM28" s="1053" t="str">
        <x:f t="shared" si="68"/>
        <x:v/>
      </x:c>
      <x:c r="EN28" s="1053" t="str">
        <x:f t="shared" si="69"/>
        <x:v/>
      </x:c>
      <x:c r="EO28" s="1053" t="str">
        <x:f t="shared" si="70"/>
        <x:v>ERR</x:v>
      </x:c>
      <x:c r="EP28" s="1053" t="str">
        <x:f t="shared" si="71"/>
        <x:v>ERR</x:v>
      </x:c>
      <x:c r="EQ28" s="1053" t="str">
        <x:f t="shared" si="72"/>
        <x:v/>
      </x:c>
      <x:c r="ER28" s="1053" t="str">
        <x:f t="shared" si="72"/>
        <x:v/>
      </x:c>
      <x:c r="ES28" s="1053" t="str">
        <x:f t="shared" si="73"/>
        <x:v/>
      </x:c>
      <x:c r="ET28" s="1053" t="str">
        <x:f t="shared" si="74"/>
        <x:v/>
      </x:c>
      <x:c r="EU28" s="1061">
        <x:f t="shared" si="75"/>
        <x:v>3.5</x:v>
      </x:c>
      <x:c r="EV28" s="1055" t="str">
        <x:f t="shared" si="76"/>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7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78"/>
        <x:v/>
      </x:c>
      <x:c r="FD28" s="1052">
        <x:f t="shared" si="105"/>
        <x:v>0</x:v>
      </x:c>
      <x:c r="FE28" s="1052">
        <x:f t="shared" si="79"/>
        <x:v>0</x:v>
      </x:c>
      <x:c r="FF28" s="1052">
        <x:f t="shared" si="80"/>
        <x:v>0</x:v>
      </x:c>
      <x:c r="FG28" s="1052" t="str">
        <x:f t="shared" si="81"/>
        <x:v/>
      </x:c>
      <x:c r="FH28" s="1053" t="str">
        <x:f t="shared" si="82"/>
        <x:v/>
      </x:c>
      <x:c r="FI28" s="1052">
        <x:f t="shared" si="106"/>
        <x:v>0</x:v>
      </x:c>
      <x:c r="FJ28" s="1052">
        <x:f t="shared" si="83"/>
        <x:v>0</x:v>
      </x:c>
      <x:c r="FK28" s="1052">
        <x:f t="shared" si="84"/>
        <x:v>0</x:v>
      </x:c>
      <x:c r="FL28" s="1052" t="str">
        <x:f t="shared" si="85"/>
        <x:v/>
      </x:c>
      <x:c r="FM28" s="1053" t="str">
        <x:f t="shared" si="86"/>
        <x:v/>
      </x:c>
      <x:c r="FN28" s="1053" t="e">
        <x:f t="shared" si="87"/>
        <x:v>#VALUE!</x:v>
      </x:c>
      <x:c r="FO28" s="1062" t="e">
        <x:f t="shared" si="88"/>
        <x:v>#VALUE!</x:v>
      </x:c>
      <x:c r="FP28" s="1062" t="e">
        <x:f t="shared" si="89"/>
        <x:v>#VALUE!</x:v>
      </x:c>
      <x:c r="FQ28" s="1063" t="e">
        <x:f t="shared" si="90"/>
        <x:v>#VALUE!</x:v>
      </x:c>
      <x:c r="FR28" s="1064" t="e">
        <x:f t="shared" si="91"/>
        <x:v>#VALUE!</x:v>
      </x:c>
      <x:c r="FS28" s="1065" t="str">
        <x:f t="shared" si="92"/>
        <x:v/>
      </x:c>
      <x:c r="FT28" s="1066" t="str">
        <x:f t="shared" si="93"/>
        <x:v/>
      </x:c>
      <x:c r="FU28" s="1105">
        <x:f t="shared" si="94"/>
        <x:v>0</x:v>
      </x:c>
      <x:c r="FV28" s="1106">
        <x:f t="shared" si="95"/>
        <x:v>0</x:v>
      </x:c>
      <x:c r="GA28" s="1975">
        <x:v>38</x:v>
      </x:c>
      <x:c r="GB28" s="1976">
        <x:v>5.875</x:v>
      </x:c>
      <x:c r="GC28" s="1977">
        <x:v>-0.25</x:v>
      </x:c>
      <x:c r="GD28" s="1978">
        <x:v>-0.5</x:v>
      </x:c>
      <x:c r="GE28" s="1979">
        <x:v>0.143977771952497</x:v>
      </x:c>
      <x:c r="GF28" s="1980" t="str">
        <x:f t="shared" si="96"/>
        <x:v>J254</x:v>
      </x:c>
      <x:c r="GG28" s="1453"/>
      <x:c r="GH28" s="1454"/>
      <x:c r="GI28" s="1453"/>
      <x:c r="GJ28" s="1454"/>
      <x:c r="GK28" s="533">
        <x:f t="shared" si="97"/>
        <x:v>461.125</x:v>
      </x:c>
      <x:c r="GL28" s="534">
        <x:f t="shared" si="98"/>
        <x:v>461.15818955647046</x:v>
      </x:c>
      <x:c r="GM28" s="535">
        <x:f>IF(ABS(GK28-GL28)&gt;='Job Info.'!$L$22,ABS(GK28-GL28),0)</x:f>
        <x:v>0</x:v>
      </x:c>
      <x:c r="HA28" s="1658" t="s">
        <x:v>1578</x:v>
      </x:c>
      <x:c r="HB28" s="1659">
        <x:v>1</x:v>
      </x:c>
      <x:c r="HC28" s="1659" t="s">
        <x:v>1980</x:v>
      </x:c>
      <x:c r="HD28" s="1660">
        <x:v>38</x:v>
      </x:c>
      <x:c r="HE28" s="1661">
        <x:v>5.125</x:v>
      </x:c>
      <x:c r="HF28" s="1659">
        <x:v>0</x:v>
      </x:c>
      <x:c r="HG28" s="1659">
        <x:v>1.375</x:v>
      </x:c>
      <x:c r="HH28" s="1659" t="s">
        <x:v>114</x:v>
      </x:c>
      <x:c r="HI28" s="1662">
        <x:v>0</x:v>
      </x:c>
      <x:c r="HJ28" s="1659">
        <x:v>0.25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2251</x:v>
      </x:c>
      <x:c r="IB28" s="1661"/>
      <x:c r="IC28" s="1661"/>
      <x:c r="ID28" s="1661"/>
      <x:c r="IE28" s="1661"/>
      <x:c r="IF28" s="1663"/>
    </x:row>
    <x:row r="29" spans="1:240" ht="12.6" customHeight="1" x14ac:dyDescent="0.25">
      <x:c r="A29" s="1264" t="s">
        <x:v>1579</x:v>
      </x:c>
      <x:c r="B29" s="1265">
        <x:v>1</x:v>
      </x:c>
      <x:c r="C29" s="1265" t="s">
        <x:v>1979</x:v>
      </x:c>
      <x:c r="D29" s="1261">
        <x:v>49</x:v>
      </x:c>
      <x:c r="E29" s="1366">
        <x:v>6.5</x:v>
      </x:c>
      <x:c r="F29" s="1328">
        <x:v>0</x:v>
      </x:c>
      <x:c r="G29" s="1262">
        <x:v>1.375</x:v>
      </x:c>
      <x:c r="H29" s="1266" t="s">
        <x:v>114</x:v>
      </x:c>
      <x:c r="I29" s="1261">
        <x:v>0</x:v>
      </x:c>
      <x:c r="J29" s="2122">
        <x:v>2</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t="str">
        <x:f t="shared" si="99"/>
        <x:v/>
      </x:c>
      <x:c r="U29" s="1262" t="str">
        <x:f t="shared" si="100"/>
        <x:v/>
      </x:c>
      <x:c r="V29" s="1261" t="str">
        <x:f t="shared" si="101"/>
        <x:v/>
      </x:c>
      <x:c r="W29" s="1262" t="str">
        <x:f t="shared" si="102"/>
        <x:v/>
      </x:c>
      <x:c r="X29" s="1329">
        <x:f t="shared" si="103"/>
        <x:v>0</x:v>
      </x:c>
      <x:c r="Y29" s="1377" t="str">
        <x:f t="shared" si="7"/>
        <x:v/>
      </x:c>
      <x:c r="Z29" s="1378" t="str">
        <x:f t="shared" si="8"/>
        <x:v/>
      </x:c>
      <x:c r="AA29" s="2159" t="s">
        <x:v>2252</x:v>
      </x:c>
      <x:c r="AC29" s="1226" t="b">
        <x:v>0</x:v>
      </x:c>
      <x:c r="AD29" s="525">
        <x:f t="shared" si="9"/>
        <x:v>1</x:v>
      </x:c>
      <x:c r="AE29" s="526">
        <x:f t="shared" si="10"/>
        <x:v>0</x:v>
      </x:c>
      <x:c r="AF29" s="526">
        <x:f t="shared" si="11"/>
        <x:v>0</x:v>
      </x:c>
      <x:c r="AG29" s="526">
        <x:f t="shared" si="12"/>
        <x:v>0</x:v>
      </x:c>
      <x:c r="AH29" s="527">
        <x:f t="shared" si="13"/>
        <x:v>0</x:v>
      </x:c>
      <x:c r="AI29" s="528" t="b">
        <x:v>0</x:v>
      </x:c>
      <x:c r="AJ29" s="284">
        <x:f t="shared" si="14"/>
        <x:v>30</x:v>
      </x:c>
      <x:c r="AK29" s="1063" t="str">
        <x:f t="shared" si="15"/>
        <x:v>K</x:v>
      </x:c>
      <x:c r="AL29" s="1202" t="str">
        <x:f t="shared" si="16"/>
        <x:v/>
      </x:c>
      <x:c r="AM29" s="1063">
        <x:f t="shared" si="17"/>
        <x:v>240</x:v>
      </x:c>
      <x:c r="AN29" s="1063">
        <x:f t="shared" si="18"/>
        <x:v>140</x:v>
      </x:c>
      <x:c r="AO29" s="1063" t="str">
        <x:f t="shared" si="19"/>
        <x:v/>
      </x:c>
      <x:c r="AP29" s="1063" t="b">
        <x:f>IF(ISERROR(AJ29),FALSE,IF(OR(AJ29=0,ISERROR(AL29),ISERROR(AM29),ISERROR(AN29),ISERROR(AO29)),FALSE,IF(AL29&lt;&gt;"",IF(ISERROR(VLOOKUP(SUBSTITUTE(SUBSTITUTE(C29,"R",""),"A",""),TblJoistSize!$A:$A,1,FALSE)),FALSE,TRUE),TRUE)))</x:f>
        <x:v>1</x:v>
      </x:c>
      <x:c r="AQ29" s="1305">
        <x:f t="shared" si="20"/>
        <x:v>5.375</x:v>
      </x:c>
      <x:c r="AR29" s="1305" t="b">
        <x:f t="shared" si="21"/>
        <x:v>0</x:v>
      </x:c>
      <x:c r="AS29" s="1305">
        <x:f t="shared" si="22"/>
        <x:v>6</x:v>
      </x:c>
      <x:c r="AT29" s="1305" t="b">
        <x:f t="shared" si="23"/>
        <x:v>0</x:v>
      </x:c>
      <x:c r="AU29" s="1203" t="str">
        <x:f t="shared" si="24"/>
        <x:v>K</x:v>
      </x:c>
      <x:c r="AV29" s="1063" t="str">
        <x:f t="shared" si="25"/>
        <x:v>K</x:v>
      </x:c>
      <x:c r="AW29" s="1063" t="str">
        <x:f t="shared" si="26"/>
        <x:v/>
      </x:c>
      <x:c r="AX29" s="1063" t="str">
        <x:f t="shared" si="104"/>
        <x:v>J255</x:v>
      </x:c>
      <x:c r="AY29" s="1306" t="b">
        <x:f t="shared" si="27"/>
        <x:v>0</x:v>
      </x:c>
      <x:c r="AZ29" s="1090" t="b">
        <x:f t="shared" si="28"/>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29"/>
        <x:v/>
      </x:c>
      <x:c r="CE29" s="935" t="str">
        <x:f t="shared" si="30"/>
        <x:v/>
      </x:c>
      <x:c r="CF29" s="1149"/>
      <x:c r="CG29" s="1150"/>
      <x:c r="CH29" s="738" t="str">
        <x:f t="shared" si="31"/>
        <x:v/>
      </x:c>
      <x:c r="CI29" s="739" t="str">
        <x:f t="shared" si="32"/>
        <x:v/>
      </x:c>
      <x:c r="CJ29" s="740" t="str">
        <x:f t="shared" si="33"/>
        <x:v/>
      </x:c>
      <x:c r="CK29" s="741" t="str">
        <x:f t="shared" si="34"/>
        <x:v/>
      </x:c>
      <x:c r="CL29" s="742" t="str">
        <x:f t="shared" si="35"/>
        <x:v/>
      </x:c>
      <x:c r="CM29" s="743" t="str">
        <x:f t="shared" si="36"/>
        <x:v/>
      </x:c>
      <x:c r="CN29" s="744" t="str">
        <x:f t="shared" si="37"/>
        <x:v/>
      </x:c>
      <x:c r="CO29" s="745" t="str">
        <x:f t="shared" si="38"/>
        <x:v/>
      </x:c>
      <x:c r="CP29" s="762" t="str">
        <x:f t="shared" si="39"/>
        <x:v/>
      </x:c>
      <x:c r="CQ29" s="763" t="str">
        <x:f t="shared" si="40"/>
        <x:v/>
      </x:c>
      <x:c r="CR29" s="953">
        <x:f t="shared" si="41"/>
        <x:v>2.5</x:v>
      </x:c>
      <x:c r="CS29" s="954">
        <x:f t="shared" si="42"/>
        <x:v>2.5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3"/>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4"/>
        <x:v>0</x:v>
      </x:c>
      <x:c r="DO29" s="1049">
        <x:f t="shared" si="45"/>
        <x:v>0</x:v>
      </x:c>
      <x:c r="DP29" s="1053" t="str">
        <x:f t="shared" si="46"/>
        <x:v/>
      </x:c>
      <x:c r="DQ29" s="1053" t="str">
        <x:f t="shared" si="47"/>
        <x:v/>
      </x:c>
      <x:c r="DR29" s="1053" t="str">
        <x:f t="shared" si="48"/>
        <x:v/>
      </x:c>
      <x:c r="DS29" s="1052">
        <x:f t="shared" si="49"/>
        <x:v>0</x:v>
      </x:c>
      <x:c r="DT29" s="1052">
        <x:f t="shared" si="50"/>
        <x:v>0</x:v>
      </x:c>
      <x:c r="DU29" s="1052" t="str">
        <x:f t="shared" si="51"/>
        <x:v/>
      </x:c>
      <x:c r="DV29" s="1053" t="str">
        <x:f t="shared" si="52"/>
        <x:v/>
      </x:c>
      <x:c r="DW29" s="1053" t="str">
        <x:f t="shared" si="53"/>
        <x:v/>
      </x:c>
      <x:c r="DX29" s="1269">
        <x:f t="shared" si="54"/>
        <x:v>0</x:v>
      </x:c>
      <x:c r="DY29" s="1053">
        <x:f t="shared" si="55"/>
        <x:v>0</x:v>
      </x:c>
      <x:c r="DZ29" s="1052">
        <x:f t="shared" si="56"/>
        <x:v>0</x:v>
      </x:c>
      <x:c r="EA29" s="1052" t="str">
        <x:f t="shared" si="57"/>
        <x:v/>
      </x:c>
      <x:c r="EB29" s="1053" t="str">
        <x:f t="shared" si="58"/>
        <x:v/>
      </x:c>
      <x:c r="EC29" s="1053" t="str">
        <x:f t="shared" si="59"/>
        <x:v/>
      </x:c>
      <x:c r="ED29" s="1269">
        <x:f t="shared" si="60"/>
        <x:v>0</x:v>
      </x:c>
      <x:c r="EE29" s="1090" t="str">
        <x:f t="shared" si="61"/>
        <x:v/>
      </x:c>
      <x:c r="EF29" s="1053" t="str">
        <x:f t="shared" si="62"/>
        <x:v/>
      </x:c>
      <x:c r="EG29" s="1053" t="str">
        <x:f t="shared" si="63"/>
        <x:v/>
      </x:c>
      <x:c r="EH29" s="1053" t="str">
        <x:f t="shared" si="64"/>
        <x:v>ERR</x:v>
      </x:c>
      <x:c r="EI29" s="1053" t="str">
        <x:f t="shared" si="65"/>
        <x:v>ERR</x:v>
      </x:c>
      <x:c r="EJ29" s="1053" t="str">
        <x:f t="shared" si="66"/>
        <x:v/>
      </x:c>
      <x:c r="EK29" s="1053" t="str">
        <x:f t="shared" si="66"/>
        <x:v/>
      </x:c>
      <x:c r="EL29" s="1090" t="str">
        <x:f t="shared" si="67"/>
        <x:v/>
      </x:c>
      <x:c r="EM29" s="1053" t="str">
        <x:f t="shared" si="68"/>
        <x:v/>
      </x:c>
      <x:c r="EN29" s="1053" t="str">
        <x:f t="shared" si="69"/>
        <x:v/>
      </x:c>
      <x:c r="EO29" s="1053" t="str">
        <x:f t="shared" si="70"/>
        <x:v>ERR</x:v>
      </x:c>
      <x:c r="EP29" s="1053" t="str">
        <x:f t="shared" si="71"/>
        <x:v>ERR</x:v>
      </x:c>
      <x:c r="EQ29" s="1053" t="str">
        <x:f t="shared" si="72"/>
        <x:v/>
      </x:c>
      <x:c r="ER29" s="1053" t="str">
        <x:f t="shared" si="72"/>
        <x:v/>
      </x:c>
      <x:c r="ES29" s="1053" t="str">
        <x:f t="shared" si="73"/>
        <x:v/>
      </x:c>
      <x:c r="ET29" s="1053" t="str">
        <x:f t="shared" si="74"/>
        <x:v/>
      </x:c>
      <x:c r="EU29" s="1061">
        <x:f t="shared" si="75"/>
        <x:v>3.5</x:v>
      </x:c>
      <x:c r="EV29" s="1055" t="str">
        <x:f t="shared" si="76"/>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7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78"/>
        <x:v/>
      </x:c>
      <x:c r="FD29" s="1052">
        <x:f t="shared" si="105"/>
        <x:v>0</x:v>
      </x:c>
      <x:c r="FE29" s="1052">
        <x:f t="shared" si="79"/>
        <x:v>0</x:v>
      </x:c>
      <x:c r="FF29" s="1052">
        <x:f t="shared" si="80"/>
        <x:v>0</x:v>
      </x:c>
      <x:c r="FG29" s="1052" t="str">
        <x:f t="shared" si="81"/>
        <x:v/>
      </x:c>
      <x:c r="FH29" s="1053" t="str">
        <x:f t="shared" si="82"/>
        <x:v/>
      </x:c>
      <x:c r="FI29" s="1052">
        <x:f t="shared" si="106"/>
        <x:v>0</x:v>
      </x:c>
      <x:c r="FJ29" s="1052">
        <x:f t="shared" si="83"/>
        <x:v>0</x:v>
      </x:c>
      <x:c r="FK29" s="1052">
        <x:f t="shared" si="84"/>
        <x:v>0</x:v>
      </x:c>
      <x:c r="FL29" s="1052" t="str">
        <x:f t="shared" si="85"/>
        <x:v/>
      </x:c>
      <x:c r="FM29" s="1053" t="str">
        <x:f t="shared" si="86"/>
        <x:v/>
      </x:c>
      <x:c r="FN29" s="1053" t="e">
        <x:f t="shared" si="87"/>
        <x:v>#VALUE!</x:v>
      </x:c>
      <x:c r="FO29" s="1062" t="e">
        <x:f t="shared" si="88"/>
        <x:v>#VALUE!</x:v>
      </x:c>
      <x:c r="FP29" s="1062" t="e">
        <x:f t="shared" si="89"/>
        <x:v>#VALUE!</x:v>
      </x:c>
      <x:c r="FQ29" s="1063" t="e">
        <x:f t="shared" si="90"/>
        <x:v>#VALUE!</x:v>
      </x:c>
      <x:c r="FR29" s="1064" t="e">
        <x:f t="shared" si="91"/>
        <x:v>#VALUE!</x:v>
      </x:c>
      <x:c r="FS29" s="1065" t="str">
        <x:f t="shared" si="92"/>
        <x:v/>
      </x:c>
      <x:c r="FT29" s="1066" t="str">
        <x:f t="shared" si="93"/>
        <x:v/>
      </x:c>
      <x:c r="FU29" s="1105">
        <x:f t="shared" si="94"/>
        <x:v>0</x:v>
      </x:c>
      <x:c r="FV29" s="1106">
        <x:f t="shared" si="95"/>
        <x:v>0</x:v>
      </x:c>
      <x:c r="GA29" s="1975">
        <x:v>49</x:v>
      </x:c>
      <x:c r="GB29" s="1976">
        <x:v>7.25</x:v>
      </x:c>
      <x:c r="GC29" s="1977">
        <x:v>-0.25</x:v>
      </x:c>
      <x:c r="GD29" s="1978">
        <x:v>-0.5</x:v>
      </x:c>
      <x:c r="GE29" s="1979">
        <x:v>0.133007727054645</x:v>
      </x:c>
      <x:c r="GF29" s="1980" t="str">
        <x:f t="shared" si="96"/>
        <x:v>J255</x:v>
      </x:c>
      <x:c r="GG29" s="1453"/>
      <x:c r="GH29" s="1454"/>
      <x:c r="GI29" s="1453"/>
      <x:c r="GJ29" s="1454"/>
      <x:c r="GK29" s="533">
        <x:f t="shared" si="97"/>
        <x:v>594.5</x:v>
      </x:c>
      <x:c r="GL29" s="534">
        <x:f t="shared" si="98"/>
        <x:v>594.53651739396889</x:v>
      </x:c>
      <x:c r="GM29" s="535">
        <x:f>IF(ABS(GK29-GL29)&gt;='Job Info.'!$L$22,ABS(GK29-GL29),0)</x:f>
        <x:v>0</x:v>
      </x:c>
      <x:c r="HA29" s="1658" t="s">
        <x:v>1579</x:v>
      </x:c>
      <x:c r="HB29" s="1659">
        <x:v>1</x:v>
      </x:c>
      <x:c r="HC29" s="1659" t="s">
        <x:v>1979</x:v>
      </x:c>
      <x:c r="HD29" s="1660">
        <x:v>49</x:v>
      </x:c>
      <x:c r="HE29" s="1661">
        <x:v>6.5</x:v>
      </x:c>
      <x:c r="HF29" s="1659">
        <x:v>0</x:v>
      </x:c>
      <x:c r="HG29" s="1659">
        <x:v>1.375</x:v>
      </x:c>
      <x:c r="HH29" s="1659" t="s">
        <x:v>114</x:v>
      </x:c>
      <x:c r="HI29" s="1662">
        <x:v>0</x:v>
      </x:c>
      <x:c r="HJ29" s="1659">
        <x:v>0.25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2252</x:v>
      </x:c>
      <x:c r="IB29" s="1661"/>
      <x:c r="IC29" s="1661"/>
      <x:c r="ID29" s="1661"/>
      <x:c r="IE29" s="1661"/>
      <x:c r="IF29" s="1663"/>
    </x:row>
    <x:row r="30" spans="1:240" ht="12.6" customHeight="1" x14ac:dyDescent="0.25">
      <x:c r="A30" s="1264" t="s">
        <x:v>1580</x:v>
      </x:c>
      <x:c r="B30" s="1265">
        <x:v>1</x:v>
      </x:c>
      <x:c r="C30" s="1265" t="s">
        <x:v>1978</x:v>
      </x:c>
      <x:c r="D30" s="1261">
        <x:v>59</x:v>
      </x:c>
      <x:c r="E30" s="1366">
        <x:v>11.5</x:v>
      </x:c>
      <x:c r="F30" s="1328">
        <x:v>0</x:v>
      </x:c>
      <x:c r="G30" s="1262">
        <x:v>1.375</x:v>
      </x:c>
      <x:c r="H30" s="1266" t="s">
        <x:v>114</x:v>
      </x:c>
      <x:c r="I30" s="1261">
        <x:v>0</x:v>
      </x:c>
      <x:c r="J30" s="1262">
        <x:v>1.375</x:v>
      </x:c>
      <x:c r="K30" s="1370" t="s">
        <x:v>114</x:v>
      </x:c>
      <x:c r="L30" s="1327">
        <x:v>3</x:v>
      </x:c>
      <x:c r="M30" s="1329">
        <x:v>3</x:v>
      </x:c>
      <x:c r="N30" s="1263" t="str">
        <x:f t="shared" si="1"/>
        <x:v/>
      </x:c>
      <x:c r="O30" s="1262" t="str">
        <x:f t="shared" si="2"/>
        <x:v/>
      </x:c>
      <x:c r="P30" s="1260" t="str">
        <x:f t="shared" si="3"/>
        <x:v/>
      </x:c>
      <x:c r="Q30" s="1261" t="str">
        <x:f t="shared" si="4"/>
        <x:v/>
      </x:c>
      <x:c r="R30" s="1262" t="str">
        <x:f t="shared" si="5"/>
        <x:v/>
      </x:c>
      <x:c r="S30" s="1375" t="str">
        <x:f t="shared" si="6"/>
        <x:v/>
      </x:c>
      <x:c r="T30" s="1328" t="str">
        <x:f t="shared" si="99"/>
        <x:v/>
      </x:c>
      <x:c r="U30" s="1262" t="str">
        <x:f t="shared" si="100"/>
        <x:v/>
      </x:c>
      <x:c r="V30" s="1261" t="str">
        <x:f t="shared" si="101"/>
        <x:v/>
      </x:c>
      <x:c r="W30" s="1262" t="str">
        <x:f t="shared" si="102"/>
        <x:v/>
      </x:c>
      <x:c r="X30" s="1329">
        <x:f t="shared" si="103"/>
        <x:v>0</x:v>
      </x:c>
      <x:c r="Y30" s="1377" t="str">
        <x:f t="shared" si="7"/>
        <x:v/>
      </x:c>
      <x:c r="Z30" s="1378" t="str">
        <x:f t="shared" si="8"/>
        <x:v/>
      </x:c>
      <x:c r="AA30" s="2159" t="s">
        <x:v>2253</x:v>
      </x:c>
      <x:c r="AC30" s="1226" t="b">
        <x:v>0</x:v>
      </x:c>
      <x:c r="AD30" s="525">
        <x:f t="shared" si="9"/>
        <x:v>0</x:v>
      </x:c>
      <x:c r="AE30" s="526">
        <x:f t="shared" si="10"/>
        <x:v>1</x:v>
      </x:c>
      <x:c r="AF30" s="526">
        <x:f t="shared" si="11"/>
        <x:v>0</x:v>
      </x:c>
      <x:c r="AG30" s="526">
        <x:f t="shared" si="12"/>
        <x:v>0</x:v>
      </x:c>
      <x:c r="AH30" s="527">
        <x:f t="shared" si="13"/>
        <x:v>0</x:v>
      </x:c>
      <x:c r="AI30" s="528" t="b">
        <x:v>0</x:v>
      </x:c>
      <x:c r="AJ30" s="284">
        <x:f t="shared" si="14"/>
        <x:v>36</x:v>
      </x:c>
      <x:c r="AK30" s="1063" t="str">
        <x:f t="shared" si="15"/>
        <x:v>LH</x:v>
      </x:c>
      <x:c r="AL30" s="1202" t="str">
        <x:f t="shared" si="16"/>
        <x:v/>
      </x:c>
      <x:c r="AM30" s="1063">
        <x:f t="shared" si="17"/>
        <x:v>270</x:v>
      </x:c>
      <x:c r="AN30" s="1063">
        <x:f t="shared" si="18"/>
        <x:v>120</x:v>
      </x:c>
      <x:c r="AO30" s="1063" t="str">
        <x:f t="shared" si="19"/>
        <x:v/>
      </x:c>
      <x:c r="AP30" s="1063" t="b">
        <x:f>IF(ISERROR(AJ30),FALSE,IF(OR(AJ30=0,ISERROR(AL30),ISERROR(AM30),ISERROR(AN30),ISERROR(AO30)),FALSE,IF(AL30&lt;&gt;"",IF(ISERROR(VLOOKUP(SUBSTITUTE(SUBSTITUTE(C30,"R",""),"A",""),TblJoistSize!$A:$A,1,FALSE)),FALSE,TRUE),TRUE)))</x:f>
        <x:v>1</x:v>
      </x:c>
      <x:c r="AQ30" s="1305">
        <x:f t="shared" si="20"/>
        <x:v>7.375</x:v>
      </x:c>
      <x:c r="AR30" s="1305" t="b">
        <x:f t="shared" si="21"/>
        <x:v>0</x:v>
      </x:c>
      <x:c r="AS30" s="1305">
        <x:f t="shared" si="22"/>
        <x:v>7.375</x:v>
      </x:c>
      <x:c r="AT30" s="1305" t="b">
        <x:f t="shared" si="23"/>
        <x:v>0</x:v>
      </x:c>
      <x:c r="AU30" s="1203" t="str">
        <x:f t="shared" si="24"/>
        <x:v>LH</x:v>
      </x:c>
      <x:c r="AV30" s="1063" t="str">
        <x:f t="shared" si="25"/>
        <x:v/>
      </x:c>
      <x:c r="AW30" s="1063" t="str">
        <x:f t="shared" si="26"/>
        <x:v>LH</x:v>
      </x:c>
      <x:c r="AX30" s="1063" t="str">
        <x:f t="shared" si="104"/>
        <x:v>J256</x:v>
      </x:c>
      <x:c r="AY30" s="1306" t="b">
        <x:f t="shared" si="27"/>
        <x:v>0</x:v>
      </x:c>
      <x:c r="AZ30" s="1090" t="b">
        <x:f t="shared" si="28"/>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29"/>
        <x:v/>
      </x:c>
      <x:c r="CE30" s="935" t="str">
        <x:f t="shared" si="30"/>
        <x:v/>
      </x:c>
      <x:c r="CF30" s="1149"/>
      <x:c r="CG30" s="1150"/>
      <x:c r="CH30" s="738" t="str">
        <x:f t="shared" si="31"/>
        <x:v/>
      </x:c>
      <x:c r="CI30" s="739" t="str">
        <x:f t="shared" si="32"/>
        <x:v/>
      </x:c>
      <x:c r="CJ30" s="740" t="str">
        <x:f t="shared" si="33"/>
        <x:v/>
      </x:c>
      <x:c r="CK30" s="741" t="str">
        <x:f t="shared" si="34"/>
        <x:v/>
      </x:c>
      <x:c r="CL30" s="742" t="str">
        <x:f t="shared" si="35"/>
        <x:v/>
      </x:c>
      <x:c r="CM30" s="743" t="str">
        <x:f t="shared" si="36"/>
        <x:v/>
      </x:c>
      <x:c r="CN30" s="744" t="str">
        <x:f t="shared" si="37"/>
        <x:v/>
      </x:c>
      <x:c r="CO30" s="745" t="str">
        <x:f t="shared" si="38"/>
        <x:v/>
      </x:c>
      <x:c r="CP30" s="762" t="str">
        <x:f t="shared" si="39"/>
        <x:v/>
      </x:c>
      <x:c r="CQ30" s="763" t="str">
        <x:f t="shared" si="40"/>
        <x:v/>
      </x:c>
      <x:c r="CR30" s="953">
        <x:f t="shared" si="41"/>
        <x:v>5</x:v>
      </x:c>
      <x:c r="CS30" s="954">
        <x:f t="shared" si="42"/>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3"/>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4"/>
        <x:v>0</x:v>
      </x:c>
      <x:c r="DO30" s="1049">
        <x:f t="shared" si="45"/>
        <x:v>0</x:v>
      </x:c>
      <x:c r="DP30" s="1053" t="str">
        <x:f t="shared" si="46"/>
        <x:v/>
      </x:c>
      <x:c r="DQ30" s="1053" t="str">
        <x:f t="shared" si="47"/>
        <x:v/>
      </x:c>
      <x:c r="DR30" s="1053" t="str">
        <x:f t="shared" si="48"/>
        <x:v/>
      </x:c>
      <x:c r="DS30" s="1052">
        <x:f t="shared" si="49"/>
        <x:v>0</x:v>
      </x:c>
      <x:c r="DT30" s="1052">
        <x:f t="shared" si="50"/>
        <x:v>0</x:v>
      </x:c>
      <x:c r="DU30" s="1052" t="str">
        <x:f t="shared" si="51"/>
        <x:v/>
      </x:c>
      <x:c r="DV30" s="1053" t="str">
        <x:f t="shared" si="52"/>
        <x:v/>
      </x:c>
      <x:c r="DW30" s="1053" t="str">
        <x:f t="shared" si="53"/>
        <x:v/>
      </x:c>
      <x:c r="DX30" s="1269">
        <x:f t="shared" si="54"/>
        <x:v>0</x:v>
      </x:c>
      <x:c r="DY30" s="1053">
        <x:f t="shared" si="55"/>
        <x:v>0</x:v>
      </x:c>
      <x:c r="DZ30" s="1052">
        <x:f t="shared" si="56"/>
        <x:v>0</x:v>
      </x:c>
      <x:c r="EA30" s="1052" t="str">
        <x:f t="shared" si="57"/>
        <x:v/>
      </x:c>
      <x:c r="EB30" s="1053" t="str">
        <x:f t="shared" si="58"/>
        <x:v/>
      </x:c>
      <x:c r="EC30" s="1053" t="str">
        <x:f t="shared" si="59"/>
        <x:v/>
      </x:c>
      <x:c r="ED30" s="1269">
        <x:f t="shared" si="60"/>
        <x:v>0</x:v>
      </x:c>
      <x:c r="EE30" s="1090" t="str">
        <x:f t="shared" si="61"/>
        <x:v/>
      </x:c>
      <x:c r="EF30" s="1053" t="str">
        <x:f t="shared" si="62"/>
        <x:v/>
      </x:c>
      <x:c r="EG30" s="1053" t="str">
        <x:f t="shared" si="63"/>
        <x:v/>
      </x:c>
      <x:c r="EH30" s="1053" t="str">
        <x:f t="shared" si="64"/>
        <x:v>ERR</x:v>
      </x:c>
      <x:c r="EI30" s="1053" t="str">
        <x:f t="shared" si="65"/>
        <x:v>ERR</x:v>
      </x:c>
      <x:c r="EJ30" s="1053" t="str">
        <x:f t="shared" si="66"/>
        <x:v/>
      </x:c>
      <x:c r="EK30" s="1053" t="str">
        <x:f t="shared" si="66"/>
        <x:v/>
      </x:c>
      <x:c r="EL30" s="1090" t="str">
        <x:f t="shared" si="67"/>
        <x:v/>
      </x:c>
      <x:c r="EM30" s="1053" t="str">
        <x:f t="shared" si="68"/>
        <x:v/>
      </x:c>
      <x:c r="EN30" s="1053" t="str">
        <x:f t="shared" si="69"/>
        <x:v/>
      </x:c>
      <x:c r="EO30" s="1053" t="str">
        <x:f t="shared" si="70"/>
        <x:v>ERR</x:v>
      </x:c>
      <x:c r="EP30" s="1053" t="str">
        <x:f t="shared" si="71"/>
        <x:v>ERR</x:v>
      </x:c>
      <x:c r="EQ30" s="1053" t="str">
        <x:f t="shared" si="72"/>
        <x:v/>
      </x:c>
      <x:c r="ER30" s="1053" t="str">
        <x:f t="shared" si="72"/>
        <x:v/>
      </x:c>
      <x:c r="ES30" s="1053" t="str">
        <x:f t="shared" si="73"/>
        <x:v/>
      </x:c>
      <x:c r="ET30" s="1053" t="str">
        <x:f t="shared" si="74"/>
        <x:v/>
      </x:c>
      <x:c r="EU30" s="1061">
        <x:f t="shared" si="75"/>
        <x:v>4</x:v>
      </x:c>
      <x:c r="EV30" s="1055" t="str">
        <x:f t="shared" si="76"/>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7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78"/>
        <x:v/>
      </x:c>
      <x:c r="FD30" s="1052">
        <x:f t="shared" si="105"/>
        <x:v>0</x:v>
      </x:c>
      <x:c r="FE30" s="1052">
        <x:f t="shared" si="79"/>
        <x:v>0</x:v>
      </x:c>
      <x:c r="FF30" s="1052">
        <x:f t="shared" si="80"/>
        <x:v>0</x:v>
      </x:c>
      <x:c r="FG30" s="1052" t="str">
        <x:f t="shared" si="81"/>
        <x:v/>
      </x:c>
      <x:c r="FH30" s="1053" t="str">
        <x:f t="shared" si="82"/>
        <x:v/>
      </x:c>
      <x:c r="FI30" s="1052">
        <x:f t="shared" si="106"/>
        <x:v>0</x:v>
      </x:c>
      <x:c r="FJ30" s="1052">
        <x:f t="shared" si="83"/>
        <x:v>0</x:v>
      </x:c>
      <x:c r="FK30" s="1052">
        <x:f t="shared" si="84"/>
        <x:v>0</x:v>
      </x:c>
      <x:c r="FL30" s="1052" t="str">
        <x:f t="shared" si="85"/>
        <x:v/>
      </x:c>
      <x:c r="FM30" s="1053" t="str">
        <x:f t="shared" si="86"/>
        <x:v/>
      </x:c>
      <x:c r="FN30" s="1053" t="e">
        <x:f t="shared" si="87"/>
        <x:v>#VALUE!</x:v>
      </x:c>
      <x:c r="FO30" s="1062" t="e">
        <x:f t="shared" si="88"/>
        <x:v>#VALUE!</x:v>
      </x:c>
      <x:c r="FP30" s="1062" t="e">
        <x:f t="shared" si="89"/>
        <x:v>#VALUE!</x:v>
      </x:c>
      <x:c r="FQ30" s="1063" t="e">
        <x:f t="shared" si="90"/>
        <x:v>#VALUE!</x:v>
      </x:c>
      <x:c r="FR30" s="1064" t="e">
        <x:f t="shared" si="91"/>
        <x:v>#VALUE!</x:v>
      </x:c>
      <x:c r="FS30" s="1065" t="str">
        <x:f t="shared" si="92"/>
        <x:v/>
      </x:c>
      <x:c r="FT30" s="1066" t="str">
        <x:f t="shared" si="93"/>
        <x:v/>
      </x:c>
      <x:c r="FU30" s="1105">
        <x:f t="shared" si="94"/>
        <x:v>0</x:v>
      </x:c>
      <x:c r="FV30" s="1106">
        <x:f t="shared" si="95"/>
        <x:v>0</x:v>
      </x:c>
      <x:c r="GA30" s="1975">
        <x:v>60</x:v>
      </x:c>
      <x:c r="GB30" s="1976">
        <x:v>0</x:v>
      </x:c>
      <x:c r="GC30" s="1977">
        <x:v>-0.25</x:v>
      </x:c>
      <x:c r="GD30" s="1978">
        <x:v>-0.25</x:v>
      </x:c>
      <x:c r="GE30" s="1979">
        <x:v>0.12657990385742701</x:v>
      </x:c>
      <x:c r="GF30" s="1980" t="str">
        <x:f t="shared" si="96"/>
        <x:v>J256</x:v>
      </x:c>
      <x:c r="GG30" s="1453"/>
      <x:c r="GH30" s="1454"/>
      <x:c r="GI30" s="1453"/>
      <x:c r="GJ30" s="1454"/>
      <x:c r="GK30" s="533">
        <x:f t="shared" si="97"/>
        <x:v>719.5</x:v>
      </x:c>
      <x:c r="GL30" s="534">
        <x:f t="shared" si="98"/>
        <x:v>719.54002724996087</x:v>
      </x:c>
      <x:c r="GM30" s="535">
        <x:f>IF(ABS(GK30-GL30)&gt;='Job Info.'!$L$22,ABS(GK30-GL30),0)</x:f>
        <x:v>0</x:v>
      </x:c>
      <x:c r="HA30" s="1658" t="s">
        <x:v>1580</x:v>
      </x:c>
      <x:c r="HB30" s="1659">
        <x:v>1</x:v>
      </x:c>
      <x:c r="HC30" s="1659" t="s">
        <x:v>1978</x:v>
      </x:c>
      <x:c r="HD30" s="1660">
        <x:v>59</x:v>
      </x:c>
      <x:c r="HE30" s="1661">
        <x:v>11.5</x:v>
      </x:c>
      <x:c r="HF30" s="1659">
        <x:v>0</x:v>
      </x:c>
      <x:c r="HG30" s="1659">
        <x:v>1.375</x:v>
      </x:c>
      <x:c r="HH30" s="1659" t="s">
        <x:v>114</x:v>
      </x:c>
      <x:c r="HI30" s="1662">
        <x:v>0</x:v>
      </x:c>
      <x:c r="HJ30" s="1659">
        <x:v>1.375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2253</x:v>
      </x:c>
      <x:c r="IB30" s="1661"/>
      <x:c r="IC30" s="1661"/>
      <x:c r="ID30" s="1661"/>
      <x:c r="IE30" s="1661"/>
      <x:c r="IF30" s="1663"/>
    </x:row>
    <x:row r="31" spans="1:240" ht="12.6" customHeight="1" x14ac:dyDescent="0.25">
      <x:c r="A31" s="1264" t="s">
        <x:v>1581</x:v>
      </x:c>
      <x:c r="B31" s="1265">
        <x:v>2</x:v>
      </x:c>
      <x:c r="C31" s="1265" t="s">
        <x:v>1978</x:v>
      </x:c>
      <x:c r="D31" s="1261">
        <x:v>59</x:v>
      </x:c>
      <x:c r="E31" s="1366">
        <x:v>11.5</x:v>
      </x:c>
      <x:c r="F31" s="1328">
        <x:v>0</x:v>
      </x:c>
      <x:c r="G31" s="1262">
        <x:v>1.375</x:v>
      </x:c>
      <x:c r="H31" s="1266" t="s">
        <x:v>114</x:v>
      </x:c>
      <x:c r="I31" s="1261">
        <x:v>0</x:v>
      </x:c>
      <x:c r="J31" s="1262">
        <x:v>1.375</x:v>
      </x:c>
      <x:c r="K31" s="1370" t="s">
        <x:v>114</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99"/>
        <x:v/>
      </x:c>
      <x:c r="U31" s="1262" t="str">
        <x:f t="shared" si="100"/>
        <x:v/>
      </x:c>
      <x:c r="V31" s="1261" t="str">
        <x:f t="shared" si="101"/>
        <x:v/>
      </x:c>
      <x:c r="W31" s="1262" t="str">
        <x:f t="shared" si="102"/>
        <x:v/>
      </x:c>
      <x:c r="X31" s="1329">
        <x:f t="shared" si="103"/>
        <x:v>0</x:v>
      </x:c>
      <x:c r="Y31" s="1377" t="str">
        <x:f t="shared" si="7"/>
        <x:v/>
      </x:c>
      <x:c r="Z31" s="1378" t="str">
        <x:f t="shared" si="8"/>
        <x:v/>
      </x:c>
      <x:c r="AA31" s="2159" t="s">
        <x:v>2254</x:v>
      </x:c>
      <x:c r="AC31" s="1226" t="b">
        <x:v>0</x:v>
      </x:c>
      <x:c r="AD31" s="525">
        <x:f t="shared" si="9"/>
        <x:v>0</x:v>
      </x:c>
      <x:c r="AE31" s="526">
        <x:f t="shared" si="10"/>
        <x:v>2</x:v>
      </x:c>
      <x:c r="AF31" s="526">
        <x:f t="shared" si="11"/>
        <x:v>0</x:v>
      </x:c>
      <x:c r="AG31" s="526">
        <x:f t="shared" si="12"/>
        <x:v>0</x:v>
      </x:c>
      <x:c r="AH31" s="527">
        <x:f t="shared" si="13"/>
        <x:v>0</x:v>
      </x:c>
      <x:c r="AI31" s="528" t="b">
        <x:v>0</x:v>
      </x:c>
      <x:c r="AJ31" s="284">
        <x:f t="shared" si="14"/>
        <x:v>36</x:v>
      </x:c>
      <x:c r="AK31" s="1063" t="str">
        <x:f t="shared" si="15"/>
        <x:v>LH</x:v>
      </x:c>
      <x:c r="AL31" s="1202" t="str">
        <x:f t="shared" si="16"/>
        <x:v/>
      </x:c>
      <x:c r="AM31" s="1063">
        <x:f t="shared" si="17"/>
        <x:v>270</x:v>
      </x:c>
      <x:c r="AN31" s="1063">
        <x:f t="shared" si="18"/>
        <x:v>120</x:v>
      </x:c>
      <x:c r="AO31" s="1063" t="str">
        <x:f t="shared" si="19"/>
        <x:v/>
      </x:c>
      <x:c r="AP31" s="1063" t="b">
        <x:f>IF(ISERROR(AJ31),FALSE,IF(OR(AJ31=0,ISERROR(AL31),ISERROR(AM31),ISERROR(AN31),ISERROR(AO31)),FALSE,IF(AL31&lt;&gt;"",IF(ISERROR(VLOOKUP(SUBSTITUTE(SUBSTITUTE(C31,"R",""),"A",""),TblJoistSize!$A:$A,1,FALSE)),FALSE,TRUE),TRUE)))</x:f>
        <x:v>1</x:v>
      </x:c>
      <x:c r="AQ31" s="1305">
        <x:f t="shared" si="20"/>
        <x:v>7.375</x:v>
      </x:c>
      <x:c r="AR31" s="1305" t="b">
        <x:f t="shared" si="21"/>
        <x:v>0</x:v>
      </x:c>
      <x:c r="AS31" s="1305">
        <x:f t="shared" si="22"/>
        <x:v>7.375</x:v>
      </x:c>
      <x:c r="AT31" s="1305" t="b">
        <x:f t="shared" si="23"/>
        <x:v>0</x:v>
      </x:c>
      <x:c r="AU31" s="1203" t="str">
        <x:f t="shared" si="24"/>
        <x:v>LH</x:v>
      </x:c>
      <x:c r="AV31" s="1063" t="str">
        <x:f t="shared" si="25"/>
        <x:v/>
      </x:c>
      <x:c r="AW31" s="1063" t="str">
        <x:f t="shared" si="26"/>
        <x:v>LH</x:v>
      </x:c>
      <x:c r="AX31" s="1063" t="str">
        <x:f t="shared" si="104"/>
        <x:v>J257</x:v>
      </x:c>
      <x:c r="AY31" s="1306" t="b">
        <x:f t="shared" si="27"/>
        <x:v>0</x:v>
      </x:c>
      <x:c r="AZ31" s="1090" t="b">
        <x:f t="shared" si="28"/>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29"/>
        <x:v/>
      </x:c>
      <x:c r="CE31" s="935" t="str">
        <x:f t="shared" si="30"/>
        <x:v/>
      </x:c>
      <x:c r="CF31" s="1149"/>
      <x:c r="CG31" s="1150"/>
      <x:c r="CH31" s="738" t="str">
        <x:f t="shared" si="31"/>
        <x:v/>
      </x:c>
      <x:c r="CI31" s="739" t="str">
        <x:f t="shared" si="32"/>
        <x:v/>
      </x:c>
      <x:c r="CJ31" s="740" t="str">
        <x:f t="shared" si="33"/>
        <x:v/>
      </x:c>
      <x:c r="CK31" s="741" t="str">
        <x:f t="shared" si="34"/>
        <x:v/>
      </x:c>
      <x:c r="CL31" s="742" t="str">
        <x:f t="shared" si="35"/>
        <x:v/>
      </x:c>
      <x:c r="CM31" s="743" t="str">
        <x:f t="shared" si="36"/>
        <x:v/>
      </x:c>
      <x:c r="CN31" s="744" t="str">
        <x:f t="shared" si="37"/>
        <x:v/>
      </x:c>
      <x:c r="CO31" s="745" t="str">
        <x:f t="shared" si="38"/>
        <x:v/>
      </x:c>
      <x:c r="CP31" s="762" t="str">
        <x:f t="shared" si="39"/>
        <x:v/>
      </x:c>
      <x:c r="CQ31" s="763" t="str">
        <x:f t="shared" si="40"/>
        <x:v/>
      </x:c>
      <x:c r="CR31" s="953">
        <x:f t="shared" si="41"/>
        <x:v>5</x:v>
      </x:c>
      <x:c r="CS31" s="954">
        <x:f t="shared" si="42"/>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3"/>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4"/>
        <x:v>0</x:v>
      </x:c>
      <x:c r="DO31" s="1049">
        <x:f t="shared" si="45"/>
        <x:v>0</x:v>
      </x:c>
      <x:c r="DP31" s="1053" t="str">
        <x:f t="shared" si="46"/>
        <x:v/>
      </x:c>
      <x:c r="DQ31" s="1053" t="str">
        <x:f t="shared" si="47"/>
        <x:v/>
      </x:c>
      <x:c r="DR31" s="1053" t="str">
        <x:f t="shared" si="48"/>
        <x:v/>
      </x:c>
      <x:c r="DS31" s="1052">
        <x:f t="shared" si="49"/>
        <x:v>0</x:v>
      </x:c>
      <x:c r="DT31" s="1052">
        <x:f t="shared" si="50"/>
        <x:v>0</x:v>
      </x:c>
      <x:c r="DU31" s="1052" t="str">
        <x:f t="shared" si="51"/>
        <x:v/>
      </x:c>
      <x:c r="DV31" s="1053" t="str">
        <x:f t="shared" si="52"/>
        <x:v/>
      </x:c>
      <x:c r="DW31" s="1053" t="str">
        <x:f t="shared" si="53"/>
        <x:v/>
      </x:c>
      <x:c r="DX31" s="1269">
        <x:f t="shared" si="54"/>
        <x:v>0</x:v>
      </x:c>
      <x:c r="DY31" s="1053">
        <x:f t="shared" si="55"/>
        <x:v>0</x:v>
      </x:c>
      <x:c r="DZ31" s="1052">
        <x:f t="shared" si="56"/>
        <x:v>0</x:v>
      </x:c>
      <x:c r="EA31" s="1052" t="str">
        <x:f t="shared" si="57"/>
        <x:v/>
      </x:c>
      <x:c r="EB31" s="1053" t="str">
        <x:f t="shared" si="58"/>
        <x:v/>
      </x:c>
      <x:c r="EC31" s="1053" t="str">
        <x:f t="shared" si="59"/>
        <x:v/>
      </x:c>
      <x:c r="ED31" s="1269">
        <x:f t="shared" si="60"/>
        <x:v>0</x:v>
      </x:c>
      <x:c r="EE31" s="1090" t="str">
        <x:f t="shared" si="61"/>
        <x:v/>
      </x:c>
      <x:c r="EF31" s="1053" t="str">
        <x:f t="shared" si="62"/>
        <x:v/>
      </x:c>
      <x:c r="EG31" s="1053" t="str">
        <x:f t="shared" si="63"/>
        <x:v/>
      </x:c>
      <x:c r="EH31" s="1053" t="str">
        <x:f t="shared" si="64"/>
        <x:v>ERR</x:v>
      </x:c>
      <x:c r="EI31" s="1053" t="str">
        <x:f t="shared" si="65"/>
        <x:v>ERR</x:v>
      </x:c>
      <x:c r="EJ31" s="1053" t="str">
        <x:f t="shared" si="66"/>
        <x:v/>
      </x:c>
      <x:c r="EK31" s="1053" t="str">
        <x:f t="shared" si="66"/>
        <x:v/>
      </x:c>
      <x:c r="EL31" s="1090" t="str">
        <x:f t="shared" si="67"/>
        <x:v/>
      </x:c>
      <x:c r="EM31" s="1053" t="str">
        <x:f t="shared" si="68"/>
        <x:v/>
      </x:c>
      <x:c r="EN31" s="1053" t="str">
        <x:f t="shared" si="69"/>
        <x:v/>
      </x:c>
      <x:c r="EO31" s="1053" t="str">
        <x:f t="shared" si="70"/>
        <x:v>ERR</x:v>
      </x:c>
      <x:c r="EP31" s="1053" t="str">
        <x:f t="shared" si="71"/>
        <x:v>ERR</x:v>
      </x:c>
      <x:c r="EQ31" s="1053" t="str">
        <x:f t="shared" si="72"/>
        <x:v/>
      </x:c>
      <x:c r="ER31" s="1053" t="str">
        <x:f t="shared" si="72"/>
        <x:v/>
      </x:c>
      <x:c r="ES31" s="1053" t="str">
        <x:f t="shared" si="73"/>
        <x:v/>
      </x:c>
      <x:c r="ET31" s="1053" t="str">
        <x:f t="shared" si="74"/>
        <x:v/>
      </x:c>
      <x:c r="EU31" s="1061">
        <x:f t="shared" si="75"/>
        <x:v>4</x:v>
      </x:c>
      <x:c r="EV31" s="1055" t="str">
        <x:f t="shared" si="76"/>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7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78"/>
        <x:v/>
      </x:c>
      <x:c r="FD31" s="1052">
        <x:f t="shared" si="105"/>
        <x:v>0</x:v>
      </x:c>
      <x:c r="FE31" s="1052">
        <x:f t="shared" si="79"/>
        <x:v>0</x:v>
      </x:c>
      <x:c r="FF31" s="1052">
        <x:f t="shared" si="80"/>
        <x:v>0</x:v>
      </x:c>
      <x:c r="FG31" s="1052" t="str">
        <x:f t="shared" si="81"/>
        <x:v/>
      </x:c>
      <x:c r="FH31" s="1053" t="str">
        <x:f t="shared" si="82"/>
        <x:v/>
      </x:c>
      <x:c r="FI31" s="1052">
        <x:f t="shared" si="106"/>
        <x:v>0</x:v>
      </x:c>
      <x:c r="FJ31" s="1052">
        <x:f t="shared" si="83"/>
        <x:v>0</x:v>
      </x:c>
      <x:c r="FK31" s="1052">
        <x:f t="shared" si="84"/>
        <x:v>0</x:v>
      </x:c>
      <x:c r="FL31" s="1052" t="str">
        <x:f t="shared" si="85"/>
        <x:v/>
      </x:c>
      <x:c r="FM31" s="1053" t="str">
        <x:f t="shared" si="86"/>
        <x:v/>
      </x:c>
      <x:c r="FN31" s="1053" t="e">
        <x:f t="shared" si="87"/>
        <x:v>#VALUE!</x:v>
      </x:c>
      <x:c r="FO31" s="1062" t="e">
        <x:f t="shared" si="88"/>
        <x:v>#VALUE!</x:v>
      </x:c>
      <x:c r="FP31" s="1062" t="e">
        <x:f t="shared" si="89"/>
        <x:v>#VALUE!</x:v>
      </x:c>
      <x:c r="FQ31" s="1063" t="e">
        <x:f t="shared" si="90"/>
        <x:v>#VALUE!</x:v>
      </x:c>
      <x:c r="FR31" s="1064" t="e">
        <x:f t="shared" si="91"/>
        <x:v>#VALUE!</x:v>
      </x:c>
      <x:c r="FS31" s="1065" t="str">
        <x:f t="shared" si="92"/>
        <x:v/>
      </x:c>
      <x:c r="FT31" s="1066" t="str">
        <x:f t="shared" si="93"/>
        <x:v/>
      </x:c>
      <x:c r="FU31" s="1105">
        <x:f t="shared" si="94"/>
        <x:v>0</x:v>
      </x:c>
      <x:c r="FV31" s="1106">
        <x:f t="shared" si="95"/>
        <x:v>0</x:v>
      </x:c>
      <x:c r="GA31" s="1975">
        <x:v>60</x:v>
      </x:c>
      <x:c r="GB31" s="1976">
        <x:v>0</x:v>
      </x:c>
      <x:c r="GC31" s="1977">
        <x:v>-0.25</x:v>
      </x:c>
      <x:c r="GD31" s="1978">
        <x:v>-0.25</x:v>
      </x:c>
      <x:c r="GE31" s="1979">
        <x:v>0.14764809543174801</x:v>
      </x:c>
      <x:c r="GF31" s="1980" t="str">
        <x:f t="shared" si="96"/>
        <x:v>J257</x:v>
      </x:c>
      <x:c r="GG31" s="1453"/>
      <x:c r="GH31" s="1454"/>
      <x:c r="GI31" s="1453"/>
      <x:c r="GJ31" s="1454"/>
      <x:c r="GK31" s="533">
        <x:f t="shared" si="97"/>
        <x:v>719.5</x:v>
      </x:c>
      <x:c r="GL31" s="534">
        <x:f t="shared" si="98"/>
        <x:v>719.55445999198105</x:v>
      </x:c>
      <x:c r="GM31" s="535">
        <x:f>IF(ABS(GK31-GL31)&gt;='Job Info.'!$L$22,ABS(GK31-GL31),0)</x:f>
        <x:v>0</x:v>
      </x:c>
      <x:c r="HA31" s="1658" t="s">
        <x:v>1581</x:v>
      </x:c>
      <x:c r="HB31" s="1659">
        <x:v>2</x:v>
      </x:c>
      <x:c r="HC31" s="1659" t="s">
        <x:v>1978</x:v>
      </x:c>
      <x:c r="HD31" s="1660">
        <x:v>59</x:v>
      </x:c>
      <x:c r="HE31" s="1661">
        <x:v>11.5</x:v>
      </x:c>
      <x:c r="HF31" s="1659">
        <x:v>0</x:v>
      </x:c>
      <x:c r="HG31" s="1659">
        <x:v>1.375</x:v>
      </x:c>
      <x:c r="HH31" s="1659" t="s">
        <x:v>114</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2254</x:v>
      </x:c>
      <x:c r="IB31" s="1661"/>
      <x:c r="IC31" s="1661"/>
      <x:c r="ID31" s="1661"/>
      <x:c r="IE31" s="1661"/>
      <x:c r="IF31" s="1663"/>
    </x:row>
    <x:row r="32" spans="1:240" ht="12.6" customHeight="1" x14ac:dyDescent="0.25">
      <x:c r="A32" s="1264" t="s">
        <x:v>1582</x:v>
      </x:c>
      <x:c r="B32" s="1265">
        <x:v>5</x:v>
      </x:c>
      <x:c r="C32" s="1265" t="s">
        <x:v>1978</x:v>
      </x:c>
      <x:c r="D32" s="1261">
        <x:v>59</x:v>
      </x:c>
      <x:c r="E32" s="1366">
        <x:v>0.625</x:v>
      </x:c>
      <x:c r="F32" s="1328" t="str">
        <x:f t="shared" ref="F32:F44" si="107">IF(DX32=0,"",TRUNC(DX32/12))</x:f>
        <x:v/>
      </x:c>
      <x:c r="G32" s="1262" t="str">
        <x:f t="shared" ref="G32:G44" si="108">IF(DX32=0,"",DX32-(F32*12))</x:f>
        <x:v/>
      </x:c>
      <x:c r="H32" s="1266" t="str">
        <x:f t="shared" ref="H32:H44" si="109">IF(DX32=0,"",CW32)</x:f>
        <x:v/>
      </x:c>
      <x:c r="I32" s="1261">
        <x:v>0</x:v>
      </x:c>
      <x:c r="J32" s="1262">
        <x:v>1.375</x:v>
      </x:c>
      <x:c r="K32" s="1370" t="s">
        <x:v>114</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t="str">
        <x:f t="shared" si="99"/>
        <x:v/>
      </x:c>
      <x:c r="U32" s="1262" t="str">
        <x:f t="shared" si="100"/>
        <x:v/>
      </x:c>
      <x:c r="V32" s="1261" t="str">
        <x:f t="shared" si="101"/>
        <x:v/>
      </x:c>
      <x:c r="W32" s="1262" t="str">
        <x:f t="shared" si="102"/>
        <x:v/>
      </x:c>
      <x:c r="X32" s="1329">
        <x:f t="shared" si="103"/>
        <x:v>0</x:v>
      </x:c>
      <x:c r="Y32" s="1377" t="str">
        <x:f t="shared" si="7"/>
        <x:v/>
      </x:c>
      <x:c r="Z32" s="1378" t="str">
        <x:f t="shared" si="8"/>
        <x:v/>
      </x:c>
      <x:c r="AA32" s="2159" t="s">
        <x:v>2255</x:v>
      </x:c>
      <x:c r="AC32" s="1226" t="b">
        <x:v>0</x:v>
      </x:c>
      <x:c r="AD32" s="525">
        <x:f t="shared" si="9"/>
        <x:v>0</x:v>
      </x:c>
      <x:c r="AE32" s="526">
        <x:f t="shared" si="10"/>
        <x:v>5</x:v>
      </x:c>
      <x:c r="AF32" s="526">
        <x:f t="shared" si="11"/>
        <x:v>0</x:v>
      </x:c>
      <x:c r="AG32" s="526">
        <x:f t="shared" si="12"/>
        <x:v>0</x:v>
      </x:c>
      <x:c r="AH32" s="527">
        <x:f t="shared" si="13"/>
        <x:v>0</x:v>
      </x:c>
      <x:c r="AI32" s="528" t="b">
        <x:v>0</x:v>
      </x:c>
      <x:c r="AJ32" s="284">
        <x:f t="shared" si="14"/>
        <x:v>36</x:v>
      </x:c>
      <x:c r="AK32" s="1063" t="str">
        <x:f t="shared" si="15"/>
        <x:v>LH</x:v>
      </x:c>
      <x:c r="AL32" s="1202" t="str">
        <x:f t="shared" si="16"/>
        <x:v/>
      </x:c>
      <x:c r="AM32" s="1063">
        <x:f t="shared" si="17"/>
        <x:v>270</x:v>
      </x:c>
      <x:c r="AN32" s="1063">
        <x:f t="shared" si="18"/>
        <x:v>120</x:v>
      </x:c>
      <x:c r="AO32" s="1063" t="str">
        <x:f t="shared" si="19"/>
        <x:v/>
      </x:c>
      <x:c r="AP32" s="1063" t="b">
        <x:f>IF(ISERROR(AJ32),FALSE,IF(OR(AJ32=0,ISERROR(AL32),ISERROR(AM32),ISERROR(AN32),ISERROR(AO32)),FALSE,IF(AL32&lt;&gt;"",IF(ISERROR(VLOOKUP(SUBSTITUTE(SUBSTITUTE(C32,"R",""),"A",""),TblJoistSize!$A:$A,1,FALSE)),FALSE,TRUE),TRUE)))</x:f>
        <x:v>1</x:v>
      </x:c>
      <x:c r="AQ32" s="1305">
        <x:f t="shared" si="20"/>
        <x:v>6</x:v>
      </x:c>
      <x:c r="AR32" s="1305" t="b">
        <x:f t="shared" si="21"/>
        <x:v>0</x:v>
      </x:c>
      <x:c r="AS32" s="1305">
        <x:f t="shared" si="22"/>
        <x:v>7.375</x:v>
      </x:c>
      <x:c r="AT32" s="1305" t="b">
        <x:f t="shared" si="23"/>
        <x:v>0</x:v>
      </x:c>
      <x:c r="AU32" s="1203" t="str">
        <x:f t="shared" si="24"/>
        <x:v>LH</x:v>
      </x:c>
      <x:c r="AV32" s="1063" t="str">
        <x:f t="shared" si="25"/>
        <x:v/>
      </x:c>
      <x:c r="AW32" s="1063" t="str">
        <x:f t="shared" si="26"/>
        <x:v>LH</x:v>
      </x:c>
      <x:c r="AX32" s="1063" t="str">
        <x:f t="shared" si="104"/>
        <x:v>J258</x:v>
      </x:c>
      <x:c r="AY32" s="1306" t="b">
        <x:f t="shared" si="27"/>
        <x:v>0</x:v>
      </x:c>
      <x:c r="AZ32" s="1090" t="b">
        <x:f t="shared" si="28"/>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29"/>
        <x:v/>
      </x:c>
      <x:c r="CE32" s="935" t="str">
        <x:f t="shared" si="30"/>
        <x:v/>
      </x:c>
      <x:c r="CF32" s="1149"/>
      <x:c r="CG32" s="1150"/>
      <x:c r="CH32" s="738" t="str">
        <x:f t="shared" si="31"/>
        <x:v/>
      </x:c>
      <x:c r="CI32" s="739" t="str">
        <x:f t="shared" si="32"/>
        <x:v/>
      </x:c>
      <x:c r="CJ32" s="740" t="str">
        <x:f t="shared" si="33"/>
        <x:v/>
      </x:c>
      <x:c r="CK32" s="741" t="str">
        <x:f t="shared" si="34"/>
        <x:v/>
      </x:c>
      <x:c r="CL32" s="742" t="str">
        <x:f t="shared" si="35"/>
        <x:v/>
      </x:c>
      <x:c r="CM32" s="743" t="str">
        <x:f t="shared" si="36"/>
        <x:v/>
      </x:c>
      <x:c r="CN32" s="744" t="str">
        <x:f t="shared" si="37"/>
        <x:v/>
      </x:c>
      <x:c r="CO32" s="745" t="str">
        <x:f t="shared" si="38"/>
        <x:v/>
      </x:c>
      <x:c r="CP32" s="762" t="str">
        <x:f t="shared" si="39"/>
        <x:v/>
      </x:c>
      <x:c r="CQ32" s="763" t="str">
        <x:f t="shared" si="40"/>
        <x:v/>
      </x:c>
      <x:c r="CR32" s="953">
        <x:f t="shared" si="41"/>
        <x:v>5</x:v>
      </x:c>
      <x:c r="CS32" s="954">
        <x:f t="shared" si="42"/>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3"/>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4"/>
        <x:v>0</x:v>
      </x:c>
      <x:c r="DO32" s="1049">
        <x:f t="shared" si="45"/>
        <x:v>0</x:v>
      </x:c>
      <x:c r="DP32" s="1053" t="str">
        <x:f t="shared" si="46"/>
        <x:v/>
      </x:c>
      <x:c r="DQ32" s="1053" t="str">
        <x:f t="shared" si="47"/>
        <x:v/>
      </x:c>
      <x:c r="DR32" s="1053" t="str">
        <x:f t="shared" si="48"/>
        <x:v/>
      </x:c>
      <x:c r="DS32" s="1052">
        <x:f t="shared" si="49"/>
        <x:v>0</x:v>
      </x:c>
      <x:c r="DT32" s="1052">
        <x:f t="shared" si="50"/>
        <x:v>0</x:v>
      </x:c>
      <x:c r="DU32" s="1052" t="str">
        <x:f t="shared" si="51"/>
        <x:v/>
      </x:c>
      <x:c r="DV32" s="1053" t="str">
        <x:f t="shared" si="52"/>
        <x:v/>
      </x:c>
      <x:c r="DW32" s="1053" t="str">
        <x:f t="shared" si="53"/>
        <x:v/>
      </x:c>
      <x:c r="DX32" s="1269">
        <x:f t="shared" si="54"/>
        <x:v>0</x:v>
      </x:c>
      <x:c r="DY32" s="1053">
        <x:f t="shared" si="55"/>
        <x:v>0</x:v>
      </x:c>
      <x:c r="DZ32" s="1052">
        <x:f t="shared" si="56"/>
        <x:v>0</x:v>
      </x:c>
      <x:c r="EA32" s="1052" t="str">
        <x:f t="shared" si="57"/>
        <x:v/>
      </x:c>
      <x:c r="EB32" s="1053" t="str">
        <x:f t="shared" si="58"/>
        <x:v/>
      </x:c>
      <x:c r="EC32" s="1053" t="str">
        <x:f t="shared" si="59"/>
        <x:v/>
      </x:c>
      <x:c r="ED32" s="1269">
        <x:f t="shared" si="60"/>
        <x:v>0</x:v>
      </x:c>
      <x:c r="EE32" s="1090" t="str">
        <x:f t="shared" si="61"/>
        <x:v/>
      </x:c>
      <x:c r="EF32" s="1053" t="str">
        <x:f t="shared" si="62"/>
        <x:v/>
      </x:c>
      <x:c r="EG32" s="1053" t="str">
        <x:f t="shared" si="63"/>
        <x:v/>
      </x:c>
      <x:c r="EH32" s="1053" t="str">
        <x:f t="shared" si="64"/>
        <x:v>ERR</x:v>
      </x:c>
      <x:c r="EI32" s="1053" t="str">
        <x:f t="shared" si="65"/>
        <x:v>ERR</x:v>
      </x:c>
      <x:c r="EJ32" s="1053" t="str">
        <x:f t="shared" si="66"/>
        <x:v/>
      </x:c>
      <x:c r="EK32" s="1053" t="str">
        <x:f t="shared" si="66"/>
        <x:v/>
      </x:c>
      <x:c r="EL32" s="1090" t="str">
        <x:f t="shared" si="67"/>
        <x:v/>
      </x:c>
      <x:c r="EM32" s="1053" t="str">
        <x:f t="shared" si="68"/>
        <x:v/>
      </x:c>
      <x:c r="EN32" s="1053" t="str">
        <x:f t="shared" si="69"/>
        <x:v/>
      </x:c>
      <x:c r="EO32" s="1053" t="str">
        <x:f t="shared" si="70"/>
        <x:v>ERR</x:v>
      </x:c>
      <x:c r="EP32" s="1053" t="str">
        <x:f t="shared" si="71"/>
        <x:v>ERR</x:v>
      </x:c>
      <x:c r="EQ32" s="1053" t="str">
        <x:f t="shared" si="72"/>
        <x:v/>
      </x:c>
      <x:c r="ER32" s="1053" t="str">
        <x:f t="shared" si="72"/>
        <x:v/>
      </x:c>
      <x:c r="ES32" s="1053" t="str">
        <x:f t="shared" si="73"/>
        <x:v/>
      </x:c>
      <x:c r="ET32" s="1053" t="str">
        <x:f t="shared" si="74"/>
        <x:v/>
      </x:c>
      <x:c r="EU32" s="1061">
        <x:f t="shared" si="75"/>
        <x:v>4</x:v>
      </x:c>
      <x:c r="EV32" s="1055" t="str">
        <x:f t="shared" si="76"/>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7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78"/>
        <x:v/>
      </x:c>
      <x:c r="FD32" s="1052">
        <x:f t="shared" si="105"/>
        <x:v>0</x:v>
      </x:c>
      <x:c r="FE32" s="1052">
        <x:f t="shared" si="79"/>
        <x:v>0</x:v>
      </x:c>
      <x:c r="FF32" s="1052">
        <x:f t="shared" si="80"/>
        <x:v>0</x:v>
      </x:c>
      <x:c r="FG32" s="1052" t="str">
        <x:f t="shared" si="81"/>
        <x:v/>
      </x:c>
      <x:c r="FH32" s="1053" t="str">
        <x:f t="shared" si="82"/>
        <x:v/>
      </x:c>
      <x:c r="FI32" s="1052">
        <x:f t="shared" si="106"/>
        <x:v>0</x:v>
      </x:c>
      <x:c r="FJ32" s="1052">
        <x:f t="shared" si="83"/>
        <x:v>0</x:v>
      </x:c>
      <x:c r="FK32" s="1052">
        <x:f t="shared" si="84"/>
        <x:v>0</x:v>
      </x:c>
      <x:c r="FL32" s="1052" t="str">
        <x:f t="shared" si="85"/>
        <x:v/>
      </x:c>
      <x:c r="FM32" s="1053" t="str">
        <x:f t="shared" si="86"/>
        <x:v/>
      </x:c>
      <x:c r="FN32" s="1053" t="e">
        <x:f t="shared" si="87"/>
        <x:v>#VALUE!</x:v>
      </x:c>
      <x:c r="FO32" s="1062" t="e">
        <x:f t="shared" si="88"/>
        <x:v>#VALUE!</x:v>
      </x:c>
      <x:c r="FP32" s="1062" t="e">
        <x:f t="shared" si="89"/>
        <x:v>#VALUE!</x:v>
      </x:c>
      <x:c r="FQ32" s="1063" t="e">
        <x:f t="shared" si="90"/>
        <x:v>#VALUE!</x:v>
      </x:c>
      <x:c r="FR32" s="1064" t="e">
        <x:f t="shared" si="91"/>
        <x:v>#VALUE!</x:v>
      </x:c>
      <x:c r="FS32" s="1065" t="str">
        <x:f t="shared" si="92"/>
        <x:v/>
      </x:c>
      <x:c r="FT32" s="1066" t="str">
        <x:f t="shared" si="93"/>
        <x:v/>
      </x:c>
      <x:c r="FU32" s="1105">
        <x:f t="shared" si="94"/>
        <x:v>0</x:v>
      </x:c>
      <x:c r="FV32" s="1106">
        <x:f t="shared" si="95"/>
        <x:v>0</x:v>
      </x:c>
      <x:c r="GA32" s="1975">
        <x:v>59</x:v>
      </x:c>
      <x:c r="GB32" s="1976">
        <x:v>2.75</x:v>
      </x:c>
      <x:c r="GC32" s="1977">
        <x:v>-1.875</x:v>
      </x:c>
      <x:c r="GD32" s="1978">
        <x:v>-0.25</x:v>
      </x:c>
      <x:c r="GE32" s="1979">
        <x:v>0.26169539219134702</x:v>
      </x:c>
      <x:c r="GF32" s="1980" t="str">
        <x:f t="shared" si="96"/>
        <x:v>J258</x:v>
      </x:c>
      <x:c r="GG32" s="1453"/>
      <x:c r="GH32" s="1454"/>
      <x:c r="GI32" s="1453"/>
      <x:c r="GJ32" s="1454"/>
      <x:c r="GK32" s="533">
        <x:f t="shared" si="97"/>
        <x:v>708.625</x:v>
      </x:c>
      <x:c r="GL32" s="534">
        <x:f t="shared" si="98"/>
        <x:v>708.79348626656247</x:v>
      </x:c>
      <x:c r="GM32" s="535">
        <x:f>IF(ABS(GK32-GL32)&gt;='Job Info.'!$L$22,ABS(GK32-GL32),0)</x:f>
        <x:v>0</x:v>
      </x:c>
      <x:c r="HA32" s="1658" t="s">
        <x:v>1582</x:v>
      </x:c>
      <x:c r="HB32" s="1659">
        <x:v>5</x:v>
      </x:c>
      <x:c r="HC32" s="1659" t="s">
        <x:v>1978</x:v>
      </x:c>
      <x:c r="HD32" s="1660">
        <x:v>59</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2255</x:v>
      </x:c>
      <x:c r="IB32" s="1661"/>
      <x:c r="IC32" s="1661"/>
      <x:c r="ID32" s="1661"/>
      <x:c r="IE32" s="1661"/>
      <x:c r="IF32" s="1663"/>
    </x:row>
    <x:row r="33" spans="1:240" ht="12.6" customHeight="1" x14ac:dyDescent="0.25">
      <x:c r="A33" s="1264" t="s">
        <x:v>1583</x:v>
      </x:c>
      <x:c r="B33" s="1265">
        <x:v>2</x:v>
      </x:c>
      <x:c r="C33" s="1265" t="s">
        <x:v>1978</x:v>
      </x:c>
      <x:c r="D33" s="1261">
        <x:v>59</x:v>
      </x:c>
      <x:c r="E33" s="1366">
        <x:v>0.625</x:v>
      </x:c>
      <x:c r="F33" s="1328" t="str">
        <x:f t="shared" si="107"/>
        <x:v/>
      </x:c>
      <x:c r="G33" s="1262" t="str">
        <x:f t="shared" si="108"/>
        <x:v/>
      </x:c>
      <x:c r="H33" s="1266" t="str">
        <x:f t="shared" si="109"/>
        <x:v/>
      </x:c>
      <x:c r="I33" s="1261">
        <x:v>0</x:v>
      </x:c>
      <x:c r="J33" s="1262">
        <x:v>1.375</x:v>
      </x:c>
      <x:c r="K33" s="1370" t="s">
        <x:v>114</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x:v>0</x:v>
      </x:c>
      <x:c r="U33" s="1262">
        <x:v>1.125</x:v>
      </x:c>
      <x:c r="V33" s="1261">
        <x:v>0</x:v>
      </x:c>
      <x:c r="W33" s="1262">
        <x:v>2.25</x:v>
      </x:c>
      <x:c r="X33" s="1329">
        <x:v>4</x:v>
      </x:c>
      <x:c r="Y33" s="1377" t="str">
        <x:f t="shared" si="7"/>
        <x:v/>
      </x:c>
      <x:c r="Z33" s="1378" t="str">
        <x:f t="shared" si="8"/>
        <x:v/>
      </x:c>
      <x:c r="AA33" s="2159" t="s">
        <x:v>2255</x:v>
      </x:c>
      <x:c r="AC33" s="1226" t="b">
        <x:v>0</x:v>
      </x:c>
      <x:c r="AD33" s="525">
        <x:f t="shared" si="9"/>
        <x:v>0</x:v>
      </x:c>
      <x:c r="AE33" s="526">
        <x:f t="shared" si="10"/>
        <x:v>2</x:v>
      </x:c>
      <x:c r="AF33" s="526">
        <x:f t="shared" si="11"/>
        <x:v>0</x:v>
      </x:c>
      <x:c r="AG33" s="526">
        <x:f t="shared" si="12"/>
        <x:v>0</x:v>
      </x:c>
      <x:c r="AH33" s="527">
        <x:f t="shared" si="13"/>
        <x:v>0</x:v>
      </x:c>
      <x:c r="AI33" s="528" t="b">
        <x:v>0</x:v>
      </x:c>
      <x:c r="AJ33" s="284">
        <x:f t="shared" si="14"/>
        <x:v>36</x:v>
      </x:c>
      <x:c r="AK33" s="1063" t="str">
        <x:f t="shared" si="15"/>
        <x:v>LH</x:v>
      </x:c>
      <x:c r="AL33" s="1202" t="str">
        <x:f t="shared" si="16"/>
        <x:v/>
      </x:c>
      <x:c r="AM33" s="1063">
        <x:f t="shared" si="17"/>
        <x:v>270</x:v>
      </x:c>
      <x:c r="AN33" s="1063">
        <x:f t="shared" si="18"/>
        <x:v>120</x:v>
      </x:c>
      <x:c r="AO33" s="1063" t="str">
        <x:f t="shared" si="19"/>
        <x:v/>
      </x:c>
      <x:c r="AP33" s="1063" t="b">
        <x:f>IF(ISERROR(AJ33),FALSE,IF(OR(AJ33=0,ISERROR(AL33),ISERROR(AM33),ISERROR(AN33),ISERROR(AO33)),FALSE,IF(AL33&lt;&gt;"",IF(ISERROR(VLOOKUP(SUBSTITUTE(SUBSTITUTE(C33,"R",""),"A",""),TblJoistSize!$A:$A,1,FALSE)),FALSE,TRUE),TRUE)))</x:f>
        <x:v>1</x:v>
      </x:c>
      <x:c r="AQ33" s="1305">
        <x:f t="shared" si="20"/>
        <x:v>6</x:v>
      </x:c>
      <x:c r="AR33" s="1305" t="b">
        <x:f t="shared" si="21"/>
        <x:v>1</x:v>
      </x:c>
      <x:c r="AS33" s="1305">
        <x:f t="shared" si="22"/>
        <x:v>7.375</x:v>
      </x:c>
      <x:c r="AT33" s="1305" t="b">
        <x:f t="shared" si="23"/>
        <x:v>1</x:v>
      </x:c>
      <x:c r="AU33" s="1203" t="str">
        <x:f t="shared" si="24"/>
        <x:v>LH</x:v>
      </x:c>
      <x:c r="AV33" s="1063" t="str">
        <x:f t="shared" si="25"/>
        <x:v/>
      </x:c>
      <x:c r="AW33" s="1063" t="str">
        <x:f t="shared" si="26"/>
        <x:v>LH</x:v>
      </x:c>
      <x:c r="AX33" s="1063" t="str">
        <x:f t="shared" si="104"/>
        <x:v>TJ259</x:v>
      </x:c>
      <x:c r="AY33" s="1306" t="b">
        <x:f t="shared" si="27"/>
        <x:v>0</x:v>
      </x:c>
      <x:c r="AZ33" s="1090" t="b">
        <x:f t="shared" si="28"/>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29"/>
        <x:v/>
      </x:c>
      <x:c r="CE33" s="935" t="str">
        <x:f t="shared" si="30"/>
        <x:v/>
      </x:c>
      <x:c r="CF33" s="1149"/>
      <x:c r="CG33" s="1150"/>
      <x:c r="CH33" s="738" t="str">
        <x:f t="shared" si="31"/>
        <x:v/>
      </x:c>
      <x:c r="CI33" s="739" t="str">
        <x:f t="shared" si="32"/>
        <x:v/>
      </x:c>
      <x:c r="CJ33" s="740" t="str">
        <x:f t="shared" si="33"/>
        <x:v/>
      </x:c>
      <x:c r="CK33" s="741" t="str">
        <x:f t="shared" si="34"/>
        <x:v/>
      </x:c>
      <x:c r="CL33" s="742" t="str">
        <x:f t="shared" si="35"/>
        <x:v/>
      </x:c>
      <x:c r="CM33" s="743" t="str">
        <x:f t="shared" si="36"/>
        <x:v/>
      </x:c>
      <x:c r="CN33" s="744" t="str">
        <x:f t="shared" si="37"/>
        <x:v/>
      </x:c>
      <x:c r="CO33" s="745" t="str">
        <x:f t="shared" si="38"/>
        <x:v/>
      </x:c>
      <x:c r="CP33" s="762" t="str">
        <x:f t="shared" si="39"/>
        <x:v/>
      </x:c>
      <x:c r="CQ33" s="763" t="str">
        <x:f t="shared" si="40"/>
        <x:v/>
      </x:c>
      <x:c r="CR33" s="953">
        <x:f t="shared" si="41"/>
        <x:v>5</x:v>
      </x:c>
      <x:c r="CS33" s="954">
        <x:f t="shared" si="42"/>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3"/>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4"/>
        <x:v>0</x:v>
      </x:c>
      <x:c r="DO33" s="1049">
        <x:f t="shared" si="45"/>
        <x:v>0</x:v>
      </x:c>
      <x:c r="DP33" s="1053" t="str">
        <x:f t="shared" si="46"/>
        <x:v/>
      </x:c>
      <x:c r="DQ33" s="1053" t="str">
        <x:f t="shared" si="47"/>
        <x:v/>
      </x:c>
      <x:c r="DR33" s="1053" t="str">
        <x:f t="shared" si="48"/>
        <x:v/>
      </x:c>
      <x:c r="DS33" s="1052">
        <x:f t="shared" si="49"/>
        <x:v>0</x:v>
      </x:c>
      <x:c r="DT33" s="1052">
        <x:f t="shared" si="50"/>
        <x:v>0</x:v>
      </x:c>
      <x:c r="DU33" s="1052" t="str">
        <x:f t="shared" si="51"/>
        <x:v/>
      </x:c>
      <x:c r="DV33" s="1053" t="str">
        <x:f t="shared" si="52"/>
        <x:v/>
      </x:c>
      <x:c r="DW33" s="1053" t="str">
        <x:f t="shared" si="53"/>
        <x:v/>
      </x:c>
      <x:c r="DX33" s="1269">
        <x:f t="shared" si="54"/>
        <x:v>0</x:v>
      </x:c>
      <x:c r="DY33" s="1053">
        <x:f t="shared" si="55"/>
        <x:v>0</x:v>
      </x:c>
      <x:c r="DZ33" s="1052">
        <x:f t="shared" si="56"/>
        <x:v>0</x:v>
      </x:c>
      <x:c r="EA33" s="1052" t="str">
        <x:f t="shared" si="57"/>
        <x:v/>
      </x:c>
      <x:c r="EB33" s="1053" t="str">
        <x:f t="shared" si="58"/>
        <x:v/>
      </x:c>
      <x:c r="EC33" s="1053" t="str">
        <x:f t="shared" si="59"/>
        <x:v/>
      </x:c>
      <x:c r="ED33" s="1269">
        <x:f t="shared" si="60"/>
        <x:v>0</x:v>
      </x:c>
      <x:c r="EE33" s="1090" t="str">
        <x:f t="shared" si="61"/>
        <x:v/>
      </x:c>
      <x:c r="EF33" s="1053" t="str">
        <x:f t="shared" si="62"/>
        <x:v/>
      </x:c>
      <x:c r="EG33" s="1053" t="str">
        <x:f t="shared" si="63"/>
        <x:v/>
      </x:c>
      <x:c r="EH33" s="1053" t="str">
        <x:f t="shared" si="64"/>
        <x:v>ERR</x:v>
      </x:c>
      <x:c r="EI33" s="1053" t="str">
        <x:f t="shared" si="65"/>
        <x:v>ERR</x:v>
      </x:c>
      <x:c r="EJ33" s="1053" t="str">
        <x:f t="shared" si="66"/>
        <x:v/>
      </x:c>
      <x:c r="EK33" s="1053" t="str">
        <x:f t="shared" si="66"/>
        <x:v/>
      </x:c>
      <x:c r="EL33" s="1090" t="str">
        <x:f t="shared" si="67"/>
        <x:v/>
      </x:c>
      <x:c r="EM33" s="1053" t="str">
        <x:f t="shared" si="68"/>
        <x:v/>
      </x:c>
      <x:c r="EN33" s="1053" t="str">
        <x:f t="shared" si="69"/>
        <x:v/>
      </x:c>
      <x:c r="EO33" s="1053" t="str">
        <x:f t="shared" si="70"/>
        <x:v>ERR</x:v>
      </x:c>
      <x:c r="EP33" s="1053" t="str">
        <x:f t="shared" si="71"/>
        <x:v>ERR</x:v>
      </x:c>
      <x:c r="EQ33" s="1053" t="str">
        <x:f t="shared" si="72"/>
        <x:v/>
      </x:c>
      <x:c r="ER33" s="1053" t="str">
        <x:f t="shared" si="72"/>
        <x:v/>
      </x:c>
      <x:c r="ES33" s="1053" t="str">
        <x:f t="shared" si="73"/>
        <x:v/>
      </x:c>
      <x:c r="ET33" s="1053" t="str">
        <x:f t="shared" si="74"/>
        <x:v/>
      </x:c>
      <x:c r="EU33" s="1061">
        <x:f t="shared" si="75"/>
        <x:v>4</x:v>
      </x:c>
      <x:c r="EV33" s="1055" t="str">
        <x:f t="shared" si="76"/>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7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78"/>
        <x:v/>
      </x:c>
      <x:c r="FD33" s="1052">
        <x:f t="shared" si="105"/>
        <x:v>0</x:v>
      </x:c>
      <x:c r="FE33" s="1052">
        <x:f t="shared" si="79"/>
        <x:v>0</x:v>
      </x:c>
      <x:c r="FF33" s="1052">
        <x:f t="shared" si="80"/>
        <x:v>0</x:v>
      </x:c>
      <x:c r="FG33" s="1052" t="str">
        <x:f t="shared" si="81"/>
        <x:v/>
      </x:c>
      <x:c r="FH33" s="1053" t="str">
        <x:f t="shared" si="82"/>
        <x:v/>
      </x:c>
      <x:c r="FI33" s="1052">
        <x:f t="shared" si="106"/>
        <x:v>0</x:v>
      </x:c>
      <x:c r="FJ33" s="1052">
        <x:f t="shared" si="83"/>
        <x:v>0</x:v>
      </x:c>
      <x:c r="FK33" s="1052">
        <x:f t="shared" si="84"/>
        <x:v>0</x:v>
      </x:c>
      <x:c r="FL33" s="1052" t="str">
        <x:f t="shared" si="85"/>
        <x:v/>
      </x:c>
      <x:c r="FM33" s="1053" t="str">
        <x:f t="shared" si="86"/>
        <x:v/>
      </x:c>
      <x:c r="FN33" s="1053" t="e">
        <x:f t="shared" si="87"/>
        <x:v>#VALUE!</x:v>
      </x:c>
      <x:c r="FO33" s="1062" t="e">
        <x:f t="shared" si="88"/>
        <x:v>#VALUE!</x:v>
      </x:c>
      <x:c r="FP33" s="1062" t="e">
        <x:f t="shared" si="89"/>
        <x:v>#VALUE!</x:v>
      </x:c>
      <x:c r="FQ33" s="1063" t="e">
        <x:f t="shared" si="90"/>
        <x:v>#VALUE!</x:v>
      </x:c>
      <x:c r="FR33" s="1064" t="e">
        <x:f t="shared" si="91"/>
        <x:v>#VALUE!</x:v>
      </x:c>
      <x:c r="FS33" s="1065" t="str">
        <x:f t="shared" si="92"/>
        <x:v/>
      </x:c>
      <x:c r="FT33" s="1066" t="str">
        <x:f t="shared" si="93"/>
        <x:v/>
      </x:c>
      <x:c r="FU33" s="1105">
        <x:f t="shared" si="94"/>
        <x:v>0</x:v>
      </x:c>
      <x:c r="FV33" s="1106">
        <x:f t="shared" si="95"/>
        <x:v>0</x:v>
      </x:c>
      <x:c r="GA33" s="1975">
        <x:v>59</x:v>
      </x:c>
      <x:c r="GB33" s="1976">
        <x:v>2.75</x:v>
      </x:c>
      <x:c r="GC33" s="1977">
        <x:v>-1.875</x:v>
      </x:c>
      <x:c r="GD33" s="1978">
        <x:v>-0.25</x:v>
      </x:c>
      <x:c r="GE33" s="1979">
        <x:v>0.26169539219134702</x:v>
      </x:c>
      <x:c r="GF33" s="1980" t="str">
        <x:f t="shared" si="96"/>
        <x:v>TJ259</x:v>
      </x:c>
      <x:c r="GG33" s="1453"/>
      <x:c r="GH33" s="1454"/>
      <x:c r="GI33" s="1453"/>
      <x:c r="GJ33" s="1454"/>
      <x:c r="GK33" s="533">
        <x:f t="shared" si="97"/>
        <x:v>708.625</x:v>
      </x:c>
      <x:c r="GL33" s="534">
        <x:f t="shared" si="98"/>
        <x:v>708.79348626656247</x:v>
      </x:c>
      <x:c r="GM33" s="535">
        <x:f>IF(ABS(GK33-GL33)&gt;='Job Info.'!$L$22,ABS(GK33-GL33),0)</x:f>
        <x:v>0</x:v>
      </x:c>
      <x:c r="HA33" s="1658" t="s">
        <x:v>1583</x:v>
      </x:c>
      <x:c r="HB33" s="1659">
        <x:v>2</x:v>
      </x:c>
      <x:c r="HC33" s="1659" t="s">
        <x:v>1978</x:v>
      </x:c>
      <x:c r="HD33" s="1660">
        <x:v>59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x:v>0</x:v>
      </x:c>
      <x:c r="HU33" s="1659">
        <x:v>1.125</x:v>
      </x:c>
      <x:c r="HV33" s="1659">
        <x:v>0</x:v>
      </x:c>
      <x:c r="HW33" s="1661">
        <x:v>2.25</x:v>
      </x:c>
      <x:c r="HX33" s="1661">
        <x:v>4</x:v>
      </x:c>
      <x:c r="HY33" s="1661" t="s">
        <x:v>117</x:v>
      </x:c>
      <x:c r="HZ33" s="1661" t="s">
        <x:v>117</x:v>
      </x:c>
      <x:c r="IA33" s="1661" t="s">
        <x:v>2255</x:v>
      </x:c>
      <x:c r="IB33" s="1661"/>
      <x:c r="IC33" s="1661"/>
      <x:c r="ID33" s="1661"/>
      <x:c r="IE33" s="1661"/>
      <x:c r="IF33" s="1663"/>
    </x:row>
    <x:row r="34" spans="1:240" ht="12.6" customHeight="1" x14ac:dyDescent="0.25">
      <x:c r="A34" s="1264" t="s">
        <x:v>1584</x:v>
      </x:c>
      <x:c r="B34" s="1265">
        <x:v>1</x:v>
      </x:c>
      <x:c r="C34" s="1265" t="s">
        <x:v>1978</x:v>
      </x:c>
      <x:c r="D34" s="1261">
        <x:v>59</x:v>
      </x:c>
      <x:c r="E34" s="1366">
        <x:v>0.625</x:v>
      </x:c>
      <x:c r="F34" s="1328" t="str">
        <x:f t="shared" si="107"/>
        <x:v/>
      </x:c>
      <x:c r="G34" s="1262" t="str">
        <x:f t="shared" si="108"/>
        <x:v/>
      </x:c>
      <x:c r="H34" s="1266" t="str">
        <x:f t="shared" si="109"/>
        <x:v/>
      </x:c>
      <x:c r="I34" s="1261">
        <x:v>0</x:v>
      </x:c>
      <x:c r="J34" s="1262">
        <x:v>1.375</x:v>
      </x:c>
      <x:c r="K34" s="1370" t="s">
        <x:v>114</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t="str">
        <x:f t="shared" si="99"/>
        <x:v/>
      </x:c>
      <x:c r="U34" s="1262" t="str">
        <x:f t="shared" si="100"/>
        <x:v/>
      </x:c>
      <x:c r="V34" s="1261" t="str">
        <x:f t="shared" si="101"/>
        <x:v/>
      </x:c>
      <x:c r="W34" s="1262" t="str">
        <x:f t="shared" si="102"/>
        <x:v/>
      </x:c>
      <x:c r="X34" s="1329">
        <x:f t="shared" si="103"/>
        <x:v>0</x:v>
      </x:c>
      <x:c r="Y34" s="1377" t="str">
        <x:f t="shared" si="7"/>
        <x:v/>
      </x:c>
      <x:c r="Z34" s="1378" t="str">
        <x:f t="shared" si="8"/>
        <x:v/>
      </x:c>
      <x:c r="AA34" s="2159" t="s">
        <x:v>2256</x:v>
      </x:c>
      <x:c r="AC34" s="1226" t="b">
        <x:v>0</x:v>
      </x:c>
      <x:c r="AD34" s="525">
        <x:f t="shared" si="9"/>
        <x:v>0</x:v>
      </x:c>
      <x:c r="AE34" s="526">
        <x:f t="shared" si="10"/>
        <x:v>1</x:v>
      </x:c>
      <x:c r="AF34" s="526">
        <x:f t="shared" si="11"/>
        <x:v>0</x:v>
      </x:c>
      <x:c r="AG34" s="526">
        <x:f t="shared" si="12"/>
        <x:v>0</x:v>
      </x:c>
      <x:c r="AH34" s="527">
        <x:f t="shared" si="13"/>
        <x:v>0</x:v>
      </x:c>
      <x:c r="AI34" s="528" t="b">
        <x:v>0</x:v>
      </x:c>
      <x:c r="AJ34" s="284">
        <x:f t="shared" si="14"/>
        <x:v>36</x:v>
      </x:c>
      <x:c r="AK34" s="1063" t="str">
        <x:f t="shared" si="15"/>
        <x:v>LH</x:v>
      </x:c>
      <x:c r="AL34" s="1202" t="str">
        <x:f t="shared" si="16"/>
        <x:v/>
      </x:c>
      <x:c r="AM34" s="1063">
        <x:f t="shared" si="17"/>
        <x:v>270</x:v>
      </x:c>
      <x:c r="AN34" s="1063">
        <x:f t="shared" si="18"/>
        <x:v>120</x:v>
      </x:c>
      <x:c r="AO34" s="1063" t="str">
        <x:f t="shared" si="19"/>
        <x:v/>
      </x:c>
      <x:c r="AP34" s="1063" t="b">
        <x:f>IF(ISERROR(AJ34),FALSE,IF(OR(AJ34=0,ISERROR(AL34),ISERROR(AM34),ISERROR(AN34),ISERROR(AO34)),FALSE,IF(AL34&lt;&gt;"",IF(ISERROR(VLOOKUP(SUBSTITUTE(SUBSTITUTE(C34,"R",""),"A",""),TblJoistSize!$A:$A,1,FALSE)),FALSE,TRUE),TRUE)))</x:f>
        <x:v>1</x:v>
      </x:c>
      <x:c r="AQ34" s="1305">
        <x:f t="shared" si="20"/>
        <x:v>6</x:v>
      </x:c>
      <x:c r="AR34" s="1305" t="b">
        <x:f t="shared" si="21"/>
        <x:v>0</x:v>
      </x:c>
      <x:c r="AS34" s="1305">
        <x:f t="shared" si="22"/>
        <x:v>7.375</x:v>
      </x:c>
      <x:c r="AT34" s="1305" t="b">
        <x:f t="shared" si="23"/>
        <x:v>0</x:v>
      </x:c>
      <x:c r="AU34" s="1203" t="str">
        <x:f t="shared" si="24"/>
        <x:v>LH</x:v>
      </x:c>
      <x:c r="AV34" s="1063" t="str">
        <x:f t="shared" si="25"/>
        <x:v/>
      </x:c>
      <x:c r="AW34" s="1063" t="str">
        <x:f t="shared" si="26"/>
        <x:v>LH</x:v>
      </x:c>
      <x:c r="AX34" s="1063" t="str">
        <x:f t="shared" si="104"/>
        <x:v>J260</x:v>
      </x:c>
      <x:c r="AY34" s="1306" t="b">
        <x:f t="shared" si="27"/>
        <x:v>0</x:v>
      </x:c>
      <x:c r="AZ34" s="1090" t="b">
        <x:f t="shared" si="28"/>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29"/>
        <x:v/>
      </x:c>
      <x:c r="CE34" s="935" t="str">
        <x:f t="shared" si="30"/>
        <x:v/>
      </x:c>
      <x:c r="CF34" s="1149"/>
      <x:c r="CG34" s="1150"/>
      <x:c r="CH34" s="738" t="str">
        <x:f t="shared" si="31"/>
        <x:v/>
      </x:c>
      <x:c r="CI34" s="739" t="str">
        <x:f t="shared" si="32"/>
        <x:v/>
      </x:c>
      <x:c r="CJ34" s="740" t="str">
        <x:f t="shared" si="33"/>
        <x:v/>
      </x:c>
      <x:c r="CK34" s="741" t="str">
        <x:f t="shared" si="34"/>
        <x:v/>
      </x:c>
      <x:c r="CL34" s="742" t="str">
        <x:f t="shared" si="35"/>
        <x:v/>
      </x:c>
      <x:c r="CM34" s="743" t="str">
        <x:f t="shared" si="36"/>
        <x:v/>
      </x:c>
      <x:c r="CN34" s="744" t="str">
        <x:f t="shared" si="37"/>
        <x:v/>
      </x:c>
      <x:c r="CO34" s="745" t="str">
        <x:f t="shared" si="38"/>
        <x:v/>
      </x:c>
      <x:c r="CP34" s="762" t="str">
        <x:f t="shared" si="39"/>
        <x:v/>
      </x:c>
      <x:c r="CQ34" s="763" t="str">
        <x:f t="shared" si="40"/>
        <x:v/>
      </x:c>
      <x:c r="CR34" s="953">
        <x:f t="shared" si="41"/>
        <x:v>5</x:v>
      </x:c>
      <x:c r="CS34" s="954">
        <x:f t="shared" si="42"/>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3"/>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4"/>
        <x:v>0</x:v>
      </x:c>
      <x:c r="DO34" s="1049">
        <x:f t="shared" si="45"/>
        <x:v>0</x:v>
      </x:c>
      <x:c r="DP34" s="1053" t="str">
        <x:f t="shared" si="46"/>
        <x:v/>
      </x:c>
      <x:c r="DQ34" s="1053" t="str">
        <x:f t="shared" si="47"/>
        <x:v/>
      </x:c>
      <x:c r="DR34" s="1053" t="str">
        <x:f t="shared" si="48"/>
        <x:v/>
      </x:c>
      <x:c r="DS34" s="1052">
        <x:f t="shared" si="49"/>
        <x:v>0</x:v>
      </x:c>
      <x:c r="DT34" s="1052">
        <x:f t="shared" si="50"/>
        <x:v>0</x:v>
      </x:c>
      <x:c r="DU34" s="1052" t="str">
        <x:f t="shared" si="51"/>
        <x:v/>
      </x:c>
      <x:c r="DV34" s="1053" t="str">
        <x:f t="shared" si="52"/>
        <x:v/>
      </x:c>
      <x:c r="DW34" s="1053" t="str">
        <x:f t="shared" si="53"/>
        <x:v/>
      </x:c>
      <x:c r="DX34" s="1269">
        <x:f t="shared" si="54"/>
        <x:v>0</x:v>
      </x:c>
      <x:c r="DY34" s="1053">
        <x:f t="shared" si="55"/>
        <x:v>0</x:v>
      </x:c>
      <x:c r="DZ34" s="1052">
        <x:f t="shared" si="56"/>
        <x:v>0</x:v>
      </x:c>
      <x:c r="EA34" s="1052" t="str">
        <x:f t="shared" si="57"/>
        <x:v/>
      </x:c>
      <x:c r="EB34" s="1053" t="str">
        <x:f t="shared" si="58"/>
        <x:v/>
      </x:c>
      <x:c r="EC34" s="1053" t="str">
        <x:f t="shared" si="59"/>
        <x:v/>
      </x:c>
      <x:c r="ED34" s="1269">
        <x:f t="shared" si="60"/>
        <x:v>0</x:v>
      </x:c>
      <x:c r="EE34" s="1090" t="str">
        <x:f t="shared" si="61"/>
        <x:v/>
      </x:c>
      <x:c r="EF34" s="1053" t="str">
        <x:f t="shared" si="62"/>
        <x:v/>
      </x:c>
      <x:c r="EG34" s="1053" t="str">
        <x:f t="shared" si="63"/>
        <x:v/>
      </x:c>
      <x:c r="EH34" s="1053" t="str">
        <x:f t="shared" si="64"/>
        <x:v>ERR</x:v>
      </x:c>
      <x:c r="EI34" s="1053" t="str">
        <x:f t="shared" si="65"/>
        <x:v>ERR</x:v>
      </x:c>
      <x:c r="EJ34" s="1053" t="str">
        <x:f t="shared" si="66"/>
        <x:v/>
      </x:c>
      <x:c r="EK34" s="1053" t="str">
        <x:f t="shared" si="66"/>
        <x:v/>
      </x:c>
      <x:c r="EL34" s="1090" t="str">
        <x:f t="shared" si="67"/>
        <x:v/>
      </x:c>
      <x:c r="EM34" s="1053" t="str">
        <x:f t="shared" si="68"/>
        <x:v/>
      </x:c>
      <x:c r="EN34" s="1053" t="str">
        <x:f t="shared" si="69"/>
        <x:v/>
      </x:c>
      <x:c r="EO34" s="1053" t="str">
        <x:f t="shared" si="70"/>
        <x:v>ERR</x:v>
      </x:c>
      <x:c r="EP34" s="1053" t="str">
        <x:f t="shared" si="71"/>
        <x:v>ERR</x:v>
      </x:c>
      <x:c r="EQ34" s="1053" t="str">
        <x:f t="shared" si="72"/>
        <x:v/>
      </x:c>
      <x:c r="ER34" s="1053" t="str">
        <x:f t="shared" si="72"/>
        <x:v/>
      </x:c>
      <x:c r="ES34" s="1053" t="str">
        <x:f t="shared" si="73"/>
        <x:v/>
      </x:c>
      <x:c r="ET34" s="1053" t="str">
        <x:f t="shared" si="74"/>
        <x:v/>
      </x:c>
      <x:c r="EU34" s="1061">
        <x:f t="shared" si="75"/>
        <x:v>4</x:v>
      </x:c>
      <x:c r="EV34" s="1055" t="str">
        <x:f t="shared" si="76"/>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7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78"/>
        <x:v/>
      </x:c>
      <x:c r="FD34" s="1052">
        <x:f t="shared" si="105"/>
        <x:v>0</x:v>
      </x:c>
      <x:c r="FE34" s="1052">
        <x:f t="shared" si="79"/>
        <x:v>0</x:v>
      </x:c>
      <x:c r="FF34" s="1052">
        <x:f t="shared" si="80"/>
        <x:v>0</x:v>
      </x:c>
      <x:c r="FG34" s="1052" t="str">
        <x:f t="shared" si="81"/>
        <x:v/>
      </x:c>
      <x:c r="FH34" s="1053" t="str">
        <x:f t="shared" si="82"/>
        <x:v/>
      </x:c>
      <x:c r="FI34" s="1052">
        <x:f t="shared" si="106"/>
        <x:v>0</x:v>
      </x:c>
      <x:c r="FJ34" s="1052">
        <x:f t="shared" si="83"/>
        <x:v>0</x:v>
      </x:c>
      <x:c r="FK34" s="1052">
        <x:f t="shared" si="84"/>
        <x:v>0</x:v>
      </x:c>
      <x:c r="FL34" s="1052" t="str">
        <x:f t="shared" si="85"/>
        <x:v/>
      </x:c>
      <x:c r="FM34" s="1053" t="str">
        <x:f t="shared" si="86"/>
        <x:v/>
      </x:c>
      <x:c r="FN34" s="1053" t="e">
        <x:f t="shared" si="87"/>
        <x:v>#VALUE!</x:v>
      </x:c>
      <x:c r="FO34" s="1062" t="e">
        <x:f t="shared" si="88"/>
        <x:v>#VALUE!</x:v>
      </x:c>
      <x:c r="FP34" s="1062" t="e">
        <x:f t="shared" si="89"/>
        <x:v>#VALUE!</x:v>
      </x:c>
      <x:c r="FQ34" s="1063" t="e">
        <x:f t="shared" si="90"/>
        <x:v>#VALUE!</x:v>
      </x:c>
      <x:c r="FR34" s="1064" t="e">
        <x:f t="shared" si="91"/>
        <x:v>#VALUE!</x:v>
      </x:c>
      <x:c r="FS34" s="1065" t="str">
        <x:f t="shared" si="92"/>
        <x:v/>
      </x:c>
      <x:c r="FT34" s="1066" t="str">
        <x:f t="shared" si="93"/>
        <x:v/>
      </x:c>
      <x:c r="FU34" s="1105">
        <x:f t="shared" si="94"/>
        <x:v>0</x:v>
      </x:c>
      <x:c r="FV34" s="1106">
        <x:f t="shared" si="95"/>
        <x:v>0</x:v>
      </x:c>
      <x:c r="GA34" s="1975">
        <x:v>59</x:v>
      </x:c>
      <x:c r="GB34" s="1976">
        <x:v>2.75</x:v>
      </x:c>
      <x:c r="GC34" s="1977">
        <x:v>-1.875</x:v>
      </x:c>
      <x:c r="GD34" s="1978">
        <x:v>-0.25</x:v>
      </x:c>
      <x:c r="GE34" s="1979">
        <x:v>0.26169539219134702</x:v>
      </x:c>
      <x:c r="GF34" s="1980" t="str">
        <x:f t="shared" si="96"/>
        <x:v>J260</x:v>
      </x:c>
      <x:c r="GG34" s="1453"/>
      <x:c r="GH34" s="1454"/>
      <x:c r="GI34" s="1453"/>
      <x:c r="GJ34" s="1454"/>
      <x:c r="GK34" s="533">
        <x:f t="shared" si="97"/>
        <x:v>708.625</x:v>
      </x:c>
      <x:c r="GL34" s="534">
        <x:f t="shared" si="98"/>
        <x:v>708.79348626656247</x:v>
      </x:c>
      <x:c r="GM34" s="535">
        <x:f>IF(ABS(GK34-GL34)&gt;='Job Info.'!$L$22,ABS(GK34-GL34),0)</x:f>
        <x:v>0</x:v>
      </x:c>
      <x:c r="HA34" s="1658" t="s">
        <x:v>1584</x:v>
      </x:c>
      <x:c r="HB34" s="1659">
        <x:v>1</x:v>
      </x:c>
      <x:c r="HC34" s="1659" t="s">
        <x:v>1978</x:v>
      </x:c>
      <x:c r="HD34" s="1660">
        <x:v>59</x:v>
      </x:c>
      <x:c r="HE34" s="1661">
        <x:v>0.625</x:v>
      </x:c>
      <x:c r="HF34" s="1659" t="s">
        <x:v>117</x:v>
      </x:c>
      <x:c r="HG34" s="1659" t="s">
        <x:v>117</x:v>
      </x:c>
      <x:c r="HH34" s="1659" t="s">
        <x:v>117</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2256</x:v>
      </x:c>
      <x:c r="IB34" s="1661"/>
      <x:c r="IC34" s="1661"/>
      <x:c r="ID34" s="1661"/>
      <x:c r="IE34" s="1661"/>
      <x:c r="IF34" s="1663"/>
    </x:row>
    <x:row r="35" spans="1:240" ht="12.6" customHeight="1" x14ac:dyDescent="0.25">
      <x:c r="A35" s="1264" t="s">
        <x:v>1585</x:v>
      </x:c>
      <x:c r="B35" s="1265">
        <x:v>1</x:v>
      </x:c>
      <x:c r="C35" s="1265" t="s">
        <x:v>1978</x:v>
      </x:c>
      <x:c r="D35" s="1261">
        <x:v>59</x:v>
      </x:c>
      <x:c r="E35" s="1366">
        <x:v>0.625</x:v>
      </x:c>
      <x:c r="F35" s="1328" t="str">
        <x:f t="shared" si="107"/>
        <x:v/>
      </x:c>
      <x:c r="G35" s="1262" t="str">
        <x:f t="shared" si="108"/>
        <x:v/>
      </x:c>
      <x:c r="H35" s="1266" t="str">
        <x:f t="shared" si="109"/>
        <x:v/>
      </x:c>
      <x:c r="I35" s="1261">
        <x:v>0</x:v>
      </x:c>
      <x:c r="J35" s="1262">
        <x:v>1.375</x:v>
      </x:c>
      <x:c r="K35" s="1370" t="s">
        <x:v>114</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99"/>
        <x:v/>
      </x:c>
      <x:c r="U35" s="1262" t="str">
        <x:f t="shared" si="100"/>
        <x:v/>
      </x:c>
      <x:c r="V35" s="1261" t="str">
        <x:f t="shared" si="101"/>
        <x:v/>
      </x:c>
      <x:c r="W35" s="1262" t="str">
        <x:f t="shared" si="102"/>
        <x:v/>
      </x:c>
      <x:c r="X35" s="1329">
        <x:f t="shared" si="103"/>
        <x:v>0</x:v>
      </x:c>
      <x:c r="Y35" s="1377" t="str">
        <x:f t="shared" si="7"/>
        <x:v/>
      </x:c>
      <x:c r="Z35" s="1378" t="str">
        <x:f t="shared" si="8"/>
        <x:v/>
      </x:c>
      <x:c r="AA35" s="2159" t="s">
        <x:v>2257</x:v>
      </x:c>
      <x:c r="AC35" s="1226" t="b">
        <x:v>0</x:v>
      </x:c>
      <x:c r="AD35" s="525">
        <x:f t="shared" si="9"/>
        <x:v>0</x:v>
      </x:c>
      <x:c r="AE35" s="526">
        <x:f t="shared" si="10"/>
        <x:v>1</x:v>
      </x:c>
      <x:c r="AF35" s="526">
        <x:f t="shared" si="11"/>
        <x:v>0</x:v>
      </x:c>
      <x:c r="AG35" s="526">
        <x:f t="shared" si="12"/>
        <x:v>0</x:v>
      </x:c>
      <x:c r="AH35" s="527">
        <x:f t="shared" si="13"/>
        <x:v>0</x:v>
      </x:c>
      <x:c r="AI35" s="528" t="b">
        <x:v>0</x:v>
      </x:c>
      <x:c r="AJ35" s="284">
        <x:f t="shared" si="14"/>
        <x:v>36</x:v>
      </x:c>
      <x:c r="AK35" s="1063" t="str">
        <x:f t="shared" si="15"/>
        <x:v>LH</x:v>
      </x:c>
      <x:c r="AL35" s="1202" t="str">
        <x:f t="shared" si="16"/>
        <x:v/>
      </x:c>
      <x:c r="AM35" s="1063">
        <x:f t="shared" si="17"/>
        <x:v>270</x:v>
      </x:c>
      <x:c r="AN35" s="1063">
        <x:f t="shared" si="18"/>
        <x:v>120</x:v>
      </x:c>
      <x:c r="AO35" s="1063" t="str">
        <x:f t="shared" si="19"/>
        <x:v/>
      </x:c>
      <x:c r="AP35" s="1063" t="b">
        <x:f>IF(ISERROR(AJ35),FALSE,IF(OR(AJ35=0,ISERROR(AL35),ISERROR(AM35),ISERROR(AN35),ISERROR(AO35)),FALSE,IF(AL35&lt;&gt;"",IF(ISERROR(VLOOKUP(SUBSTITUTE(SUBSTITUTE(C35,"R",""),"A",""),TblJoistSize!$A:$A,1,FALSE)),FALSE,TRUE),TRUE)))</x:f>
        <x:v>1</x:v>
      </x:c>
      <x:c r="AQ35" s="1305">
        <x:f t="shared" si="20"/>
        <x:v>6</x:v>
      </x:c>
      <x:c r="AR35" s="1305" t="b">
        <x:f t="shared" si="21"/>
        <x:v>0</x:v>
      </x:c>
      <x:c r="AS35" s="1305">
        <x:f t="shared" si="22"/>
        <x:v>7.375</x:v>
      </x:c>
      <x:c r="AT35" s="1305" t="b">
        <x:f t="shared" si="23"/>
        <x:v>0</x:v>
      </x:c>
      <x:c r="AU35" s="1203" t="str">
        <x:f t="shared" si="24"/>
        <x:v>LH</x:v>
      </x:c>
      <x:c r="AV35" s="1063" t="str">
        <x:f t="shared" si="25"/>
        <x:v/>
      </x:c>
      <x:c r="AW35" s="1063" t="str">
        <x:f t="shared" si="26"/>
        <x:v>LH</x:v>
      </x:c>
      <x:c r="AX35" s="1063" t="str">
        <x:f t="shared" si="104"/>
        <x:v>J261</x:v>
      </x:c>
      <x:c r="AY35" s="1306" t="b">
        <x:f t="shared" si="27"/>
        <x:v>0</x:v>
      </x:c>
      <x:c r="AZ35" s="1090" t="b">
        <x:f t="shared" si="28"/>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29"/>
        <x:v/>
      </x:c>
      <x:c r="CE35" s="935" t="str">
        <x:f t="shared" si="30"/>
        <x:v/>
      </x:c>
      <x:c r="CF35" s="1149"/>
      <x:c r="CG35" s="1150"/>
      <x:c r="CH35" s="738" t="str">
        <x:f t="shared" si="31"/>
        <x:v/>
      </x:c>
      <x:c r="CI35" s="739" t="str">
        <x:f t="shared" si="32"/>
        <x:v/>
      </x:c>
      <x:c r="CJ35" s="740" t="str">
        <x:f t="shared" si="33"/>
        <x:v/>
      </x:c>
      <x:c r="CK35" s="741" t="str">
        <x:f t="shared" si="34"/>
        <x:v/>
      </x:c>
      <x:c r="CL35" s="742" t="str">
        <x:f t="shared" si="35"/>
        <x:v/>
      </x:c>
      <x:c r="CM35" s="743" t="str">
        <x:f t="shared" si="36"/>
        <x:v/>
      </x:c>
      <x:c r="CN35" s="744" t="str">
        <x:f t="shared" si="37"/>
        <x:v/>
      </x:c>
      <x:c r="CO35" s="745" t="str">
        <x:f t="shared" si="38"/>
        <x:v/>
      </x:c>
      <x:c r="CP35" s="762" t="str">
        <x:f t="shared" si="39"/>
        <x:v/>
      </x:c>
      <x:c r="CQ35" s="763" t="str">
        <x:f t="shared" si="40"/>
        <x:v/>
      </x:c>
      <x:c r="CR35" s="953">
        <x:f t="shared" si="41"/>
        <x:v>5</x:v>
      </x:c>
      <x:c r="CS35" s="954">
        <x:f t="shared" si="42"/>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3"/>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4"/>
        <x:v>0</x:v>
      </x:c>
      <x:c r="DO35" s="1049">
        <x:f t="shared" si="45"/>
        <x:v>0</x:v>
      </x:c>
      <x:c r="DP35" s="1053" t="str">
        <x:f t="shared" si="46"/>
        <x:v/>
      </x:c>
      <x:c r="DQ35" s="1053" t="str">
        <x:f t="shared" si="47"/>
        <x:v/>
      </x:c>
      <x:c r="DR35" s="1053" t="str">
        <x:f t="shared" si="48"/>
        <x:v/>
      </x:c>
      <x:c r="DS35" s="1052">
        <x:f t="shared" si="49"/>
        <x:v>0</x:v>
      </x:c>
      <x:c r="DT35" s="1052">
        <x:f t="shared" si="50"/>
        <x:v>0</x:v>
      </x:c>
      <x:c r="DU35" s="1052" t="str">
        <x:f t="shared" si="51"/>
        <x:v/>
      </x:c>
      <x:c r="DV35" s="1053" t="str">
        <x:f t="shared" si="52"/>
        <x:v/>
      </x:c>
      <x:c r="DW35" s="1053" t="str">
        <x:f t="shared" si="53"/>
        <x:v/>
      </x:c>
      <x:c r="DX35" s="1269">
        <x:f t="shared" si="54"/>
        <x:v>0</x:v>
      </x:c>
      <x:c r="DY35" s="1053">
        <x:f t="shared" si="55"/>
        <x:v>0</x:v>
      </x:c>
      <x:c r="DZ35" s="1052">
        <x:f t="shared" si="56"/>
        <x:v>0</x:v>
      </x:c>
      <x:c r="EA35" s="1052" t="str">
        <x:f t="shared" si="57"/>
        <x:v/>
      </x:c>
      <x:c r="EB35" s="1053" t="str">
        <x:f t="shared" si="58"/>
        <x:v/>
      </x:c>
      <x:c r="EC35" s="1053" t="str">
        <x:f t="shared" si="59"/>
        <x:v/>
      </x:c>
      <x:c r="ED35" s="1269">
        <x:f t="shared" si="60"/>
        <x:v>0</x:v>
      </x:c>
      <x:c r="EE35" s="1090" t="str">
        <x:f t="shared" si="61"/>
        <x:v/>
      </x:c>
      <x:c r="EF35" s="1053" t="str">
        <x:f t="shared" si="62"/>
        <x:v/>
      </x:c>
      <x:c r="EG35" s="1053" t="str">
        <x:f t="shared" si="63"/>
        <x:v/>
      </x:c>
      <x:c r="EH35" s="1053" t="str">
        <x:f t="shared" si="64"/>
        <x:v>ERR</x:v>
      </x:c>
      <x:c r="EI35" s="1053" t="str">
        <x:f t="shared" si="65"/>
        <x:v>ERR</x:v>
      </x:c>
      <x:c r="EJ35" s="1053" t="str">
        <x:f t="shared" si="66"/>
        <x:v/>
      </x:c>
      <x:c r="EK35" s="1053" t="str">
        <x:f t="shared" si="66"/>
        <x:v/>
      </x:c>
      <x:c r="EL35" s="1090" t="str">
        <x:f t="shared" si="67"/>
        <x:v/>
      </x:c>
      <x:c r="EM35" s="1053" t="str">
        <x:f t="shared" si="68"/>
        <x:v/>
      </x:c>
      <x:c r="EN35" s="1053" t="str">
        <x:f t="shared" si="69"/>
        <x:v/>
      </x:c>
      <x:c r="EO35" s="1053" t="str">
        <x:f t="shared" si="70"/>
        <x:v>ERR</x:v>
      </x:c>
      <x:c r="EP35" s="1053" t="str">
        <x:f t="shared" si="71"/>
        <x:v>ERR</x:v>
      </x:c>
      <x:c r="EQ35" s="1053" t="str">
        <x:f t="shared" si="72"/>
        <x:v/>
      </x:c>
      <x:c r="ER35" s="1053" t="str">
        <x:f t="shared" si="72"/>
        <x:v/>
      </x:c>
      <x:c r="ES35" s="1053" t="str">
        <x:f t="shared" si="73"/>
        <x:v/>
      </x:c>
      <x:c r="ET35" s="1053" t="str">
        <x:f t="shared" si="74"/>
        <x:v/>
      </x:c>
      <x:c r="EU35" s="1061">
        <x:f t="shared" si="75"/>
        <x:v>4</x:v>
      </x:c>
      <x:c r="EV35" s="1055" t="str">
        <x:f t="shared" si="76"/>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7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78"/>
        <x:v/>
      </x:c>
      <x:c r="FD35" s="1052">
        <x:f t="shared" si="105"/>
        <x:v>0</x:v>
      </x:c>
      <x:c r="FE35" s="1052">
        <x:f t="shared" si="79"/>
        <x:v>0</x:v>
      </x:c>
      <x:c r="FF35" s="1052">
        <x:f t="shared" si="80"/>
        <x:v>0</x:v>
      </x:c>
      <x:c r="FG35" s="1052" t="str">
        <x:f t="shared" si="81"/>
        <x:v/>
      </x:c>
      <x:c r="FH35" s="1053" t="str">
        <x:f t="shared" si="82"/>
        <x:v/>
      </x:c>
      <x:c r="FI35" s="1052">
        <x:f t="shared" si="106"/>
        <x:v>0</x:v>
      </x:c>
      <x:c r="FJ35" s="1052">
        <x:f t="shared" si="83"/>
        <x:v>0</x:v>
      </x:c>
      <x:c r="FK35" s="1052">
        <x:f t="shared" si="84"/>
        <x:v>0</x:v>
      </x:c>
      <x:c r="FL35" s="1052" t="str">
        <x:f t="shared" si="85"/>
        <x:v/>
      </x:c>
      <x:c r="FM35" s="1053" t="str">
        <x:f t="shared" si="86"/>
        <x:v/>
      </x:c>
      <x:c r="FN35" s="1053" t="e">
        <x:f t="shared" si="87"/>
        <x:v>#VALUE!</x:v>
      </x:c>
      <x:c r="FO35" s="1062" t="e">
        <x:f t="shared" si="88"/>
        <x:v>#VALUE!</x:v>
      </x:c>
      <x:c r="FP35" s="1062" t="e">
        <x:f t="shared" si="89"/>
        <x:v>#VALUE!</x:v>
      </x:c>
      <x:c r="FQ35" s="1063" t="e">
        <x:f t="shared" si="90"/>
        <x:v>#VALUE!</x:v>
      </x:c>
      <x:c r="FR35" s="1064" t="e">
        <x:f t="shared" si="91"/>
        <x:v>#VALUE!</x:v>
      </x:c>
      <x:c r="FS35" s="1065" t="str">
        <x:f t="shared" si="92"/>
        <x:v/>
      </x:c>
      <x:c r="FT35" s="1066" t="str">
        <x:f t="shared" si="93"/>
        <x:v/>
      </x:c>
      <x:c r="FU35" s="1105">
        <x:f t="shared" si="94"/>
        <x:v>0</x:v>
      </x:c>
      <x:c r="FV35" s="1106">
        <x:f t="shared" si="95"/>
        <x:v>0</x:v>
      </x:c>
      <x:c r="GA35" s="1975">
        <x:v>59</x:v>
      </x:c>
      <x:c r="GB35" s="1976">
        <x:v>2.75</x:v>
      </x:c>
      <x:c r="GC35" s="1977">
        <x:v>-1.875</x:v>
      </x:c>
      <x:c r="GD35" s="1978">
        <x:v>-0.25</x:v>
      </x:c>
      <x:c r="GE35" s="1979">
        <x:v>0.26169539219134702</x:v>
      </x:c>
      <x:c r="GF35" s="1980" t="str">
        <x:f t="shared" si="96"/>
        <x:v>J261</x:v>
      </x:c>
      <x:c r="GG35" s="1453"/>
      <x:c r="GH35" s="1454"/>
      <x:c r="GI35" s="1453"/>
      <x:c r="GJ35" s="1454"/>
      <x:c r="GK35" s="533">
        <x:f t="shared" si="97"/>
        <x:v>708.625</x:v>
      </x:c>
      <x:c r="GL35" s="534">
        <x:f t="shared" si="98"/>
        <x:v>708.79348626656247</x:v>
      </x:c>
      <x:c r="GM35" s="535">
        <x:f>IF(ABS(GK35-GL35)&gt;='Job Info.'!$L$22,ABS(GK35-GL35),0)</x:f>
        <x:v>0</x:v>
      </x:c>
      <x:c r="HA35" s="1658" t="s">
        <x:v>1585</x:v>
      </x:c>
      <x:c r="HB35" s="1659">
        <x:v>1</x:v>
      </x:c>
      <x:c r="HC35" s="1659" t="s">
        <x:v>1978</x:v>
      </x:c>
      <x:c r="HD35" s="1660">
        <x:v>59</x:v>
      </x:c>
      <x:c r="HE35" s="1661">
        <x:v>0.625</x:v>
      </x:c>
      <x:c r="HF35" s="1659" t="s">
        <x:v>117</x:v>
      </x:c>
      <x:c r="HG35" s="1659" t="s">
        <x:v>117</x:v>
      </x:c>
      <x:c r="HH35" s="1659" t="s">
        <x:v>117</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2257</x:v>
      </x:c>
      <x:c r="IB35" s="1661"/>
      <x:c r="IC35" s="1661"/>
      <x:c r="ID35" s="1661"/>
      <x:c r="IE35" s="1661"/>
      <x:c r="IF35" s="1663"/>
    </x:row>
    <x:row r="36" spans="1:240" ht="12.6" customHeight="1" x14ac:dyDescent="0.25">
      <x:c r="A36" s="1264" t="s">
        <x:v>1586</x:v>
      </x:c>
      <x:c r="B36" s="1265">
        <x:v>12</x:v>
      </x:c>
      <x:c r="C36" s="1265" t="s">
        <x:v>1978</x:v>
      </x:c>
      <x:c r="D36" s="1261">
        <x:v>59</x:v>
      </x:c>
      <x:c r="E36" s="1366">
        <x:v>0.625</x:v>
      </x:c>
      <x:c r="F36" s="1328" t="str">
        <x:f t="shared" si="107"/>
        <x:v/>
      </x:c>
      <x:c r="G36" s="1262" t="str">
        <x:f t="shared" si="108"/>
        <x:v/>
      </x:c>
      <x:c r="H36" s="1266" t="str">
        <x:f t="shared" si="109"/>
        <x:v/>
      </x:c>
      <x:c r="I36" s="1261">
        <x:v>0</x:v>
      </x:c>
      <x:c r="J36" s="1262">
        <x:v>1.375</x:v>
      </x:c>
      <x:c r="K36" s="1370" t="s">
        <x:v>114</x:v>
      </x:c>
      <x:c r="L36" s="1327">
        <x:v>3</x:v>
      </x:c>
      <x:c r="M36" s="1329">
        <x:v>3</x:v>
      </x:c>
      <x:c r="N36" s="1263" t="str">
        <x:f t="shared" si="1"/>
        <x:v/>
      </x:c>
      <x:c r="O36" s="1262" t="str">
        <x:f t="shared" si="2"/>
        <x:v/>
      </x:c>
      <x:c r="P36" s="1260" t="str">
        <x:f t="shared" si="3"/>
        <x:v/>
      </x:c>
      <x:c r="Q36" s="1261" t="str">
        <x:f t="shared" si="4"/>
        <x:v/>
      </x:c>
      <x:c r="R36" s="1262" t="str">
        <x:f t="shared" si="5"/>
        <x:v/>
      </x:c>
      <x:c r="S36" s="1375" t="str">
        <x:f t="shared" si="6"/>
        <x:v/>
      </x:c>
      <x:c r="T36" s="1328" t="str">
        <x:f t="shared" si="99"/>
        <x:v/>
      </x:c>
      <x:c r="U36" s="1262" t="str">
        <x:f t="shared" si="100"/>
        <x:v/>
      </x:c>
      <x:c r="V36" s="1261" t="str">
        <x:f t="shared" si="101"/>
        <x:v/>
      </x:c>
      <x:c r="W36" s="1262" t="str">
        <x:f t="shared" si="102"/>
        <x:v/>
      </x:c>
      <x:c r="X36" s="1329">
        <x:f t="shared" si="103"/>
        <x:v>0</x:v>
      </x:c>
      <x:c r="Y36" s="1377" t="str">
        <x:f t="shared" si="7"/>
        <x:v/>
      </x:c>
      <x:c r="Z36" s="1378" t="str">
        <x:f t="shared" si="8"/>
        <x:v/>
      </x:c>
      <x:c r="AA36" s="2159" t="s">
        <x:v>2258</x:v>
      </x:c>
      <x:c r="AC36" s="1226" t="b">
        <x:v>0</x:v>
      </x:c>
      <x:c r="AD36" s="525">
        <x:f t="shared" si="9"/>
        <x:v>0</x:v>
      </x:c>
      <x:c r="AE36" s="526">
        <x:f t="shared" si="10"/>
        <x:v>12</x:v>
      </x:c>
      <x:c r="AF36" s="526">
        <x:f t="shared" si="11"/>
        <x:v>0</x:v>
      </x:c>
      <x:c r="AG36" s="526">
        <x:f t="shared" si="12"/>
        <x:v>0</x:v>
      </x:c>
      <x:c r="AH36" s="527">
        <x:f t="shared" si="13"/>
        <x:v>0</x:v>
      </x:c>
      <x:c r="AI36" s="528" t="b">
        <x:v>0</x:v>
      </x:c>
      <x:c r="AJ36" s="284">
        <x:f t="shared" si="14"/>
        <x:v>36</x:v>
      </x:c>
      <x:c r="AK36" s="1063" t="str">
        <x:f t="shared" si="15"/>
        <x:v>LH</x:v>
      </x:c>
      <x:c r="AL36" s="1202" t="str">
        <x:f t="shared" si="16"/>
        <x:v/>
      </x:c>
      <x:c r="AM36" s="1063">
        <x:f t="shared" si="17"/>
        <x:v>270</x:v>
      </x:c>
      <x:c r="AN36" s="1063">
        <x:f t="shared" si="18"/>
        <x:v>120</x:v>
      </x:c>
      <x:c r="AO36" s="1063" t="str">
        <x:f t="shared" si="19"/>
        <x:v/>
      </x:c>
      <x:c r="AP36" s="1063" t="b">
        <x:f>IF(ISERROR(AJ36),FALSE,IF(OR(AJ36=0,ISERROR(AL36),ISERROR(AM36),ISERROR(AN36),ISERROR(AO36)),FALSE,IF(AL36&lt;&gt;"",IF(ISERROR(VLOOKUP(SUBSTITUTE(SUBSTITUTE(C36,"R",""),"A",""),TblJoistSize!$A:$A,1,FALSE)),FALSE,TRUE),TRUE)))</x:f>
        <x:v>1</x:v>
      </x:c>
      <x:c r="AQ36" s="1305">
        <x:f t="shared" si="20"/>
        <x:v>6</x:v>
      </x:c>
      <x:c r="AR36" s="1305" t="b">
        <x:f t="shared" si="21"/>
        <x:v>0</x:v>
      </x:c>
      <x:c r="AS36" s="1305">
        <x:f t="shared" si="22"/>
        <x:v>7.375</x:v>
      </x:c>
      <x:c r="AT36" s="1305" t="b">
        <x:f t="shared" si="23"/>
        <x:v>0</x:v>
      </x:c>
      <x:c r="AU36" s="1203" t="str">
        <x:f t="shared" si="24"/>
        <x:v>LH</x:v>
      </x:c>
      <x:c r="AV36" s="1063" t="str">
        <x:f t="shared" si="25"/>
        <x:v/>
      </x:c>
      <x:c r="AW36" s="1063" t="str">
        <x:f t="shared" si="26"/>
        <x:v>LH</x:v>
      </x:c>
      <x:c r="AX36" s="1063" t="str">
        <x:f t="shared" si="104"/>
        <x:v>J262</x:v>
      </x:c>
      <x:c r="AY36" s="1306" t="b">
        <x:f t="shared" si="27"/>
        <x:v>0</x:v>
      </x:c>
      <x:c r="AZ36" s="1090" t="b">
        <x:f t="shared" si="28"/>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29"/>
        <x:v/>
      </x:c>
      <x:c r="CE36" s="935" t="str">
        <x:f t="shared" si="30"/>
        <x:v/>
      </x:c>
      <x:c r="CF36" s="1149"/>
      <x:c r="CG36" s="1150"/>
      <x:c r="CH36" s="738" t="str">
        <x:f t="shared" si="31"/>
        <x:v/>
      </x:c>
      <x:c r="CI36" s="739" t="str">
        <x:f t="shared" si="32"/>
        <x:v/>
      </x:c>
      <x:c r="CJ36" s="740" t="str">
        <x:f t="shared" si="33"/>
        <x:v/>
      </x:c>
      <x:c r="CK36" s="741" t="str">
        <x:f t="shared" si="34"/>
        <x:v/>
      </x:c>
      <x:c r="CL36" s="742" t="str">
        <x:f t="shared" si="35"/>
        <x:v/>
      </x:c>
      <x:c r="CM36" s="743" t="str">
        <x:f t="shared" si="36"/>
        <x:v/>
      </x:c>
      <x:c r="CN36" s="744" t="str">
        <x:f t="shared" si="37"/>
        <x:v/>
      </x:c>
      <x:c r="CO36" s="745" t="str">
        <x:f t="shared" si="38"/>
        <x:v/>
      </x:c>
      <x:c r="CP36" s="762" t="str">
        <x:f t="shared" si="39"/>
        <x:v/>
      </x:c>
      <x:c r="CQ36" s="763" t="str">
        <x:f t="shared" si="40"/>
        <x:v/>
      </x:c>
      <x:c r="CR36" s="953">
        <x:f t="shared" si="41"/>
        <x:v>5</x:v>
      </x:c>
      <x:c r="CS36" s="954">
        <x:f t="shared" si="42"/>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3"/>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4"/>
        <x:v>0</x:v>
      </x:c>
      <x:c r="DO36" s="1049">
        <x:f t="shared" si="45"/>
        <x:v>0</x:v>
      </x:c>
      <x:c r="DP36" s="1053" t="str">
        <x:f t="shared" si="46"/>
        <x:v/>
      </x:c>
      <x:c r="DQ36" s="1053" t="str">
        <x:f t="shared" si="47"/>
        <x:v/>
      </x:c>
      <x:c r="DR36" s="1053" t="str">
        <x:f t="shared" si="48"/>
        <x:v/>
      </x:c>
      <x:c r="DS36" s="1052">
        <x:f t="shared" si="49"/>
        <x:v>0</x:v>
      </x:c>
      <x:c r="DT36" s="1052">
        <x:f t="shared" si="50"/>
        <x:v>0</x:v>
      </x:c>
      <x:c r="DU36" s="1052" t="str">
        <x:f t="shared" si="51"/>
        <x:v/>
      </x:c>
      <x:c r="DV36" s="1053" t="str">
        <x:f t="shared" si="52"/>
        <x:v/>
      </x:c>
      <x:c r="DW36" s="1053" t="str">
        <x:f t="shared" si="53"/>
        <x:v/>
      </x:c>
      <x:c r="DX36" s="1269">
        <x:f t="shared" si="54"/>
        <x:v>0</x:v>
      </x:c>
      <x:c r="DY36" s="1053">
        <x:f t="shared" si="55"/>
        <x:v>0</x:v>
      </x:c>
      <x:c r="DZ36" s="1052">
        <x:f t="shared" si="56"/>
        <x:v>0</x:v>
      </x:c>
      <x:c r="EA36" s="1052" t="str">
        <x:f t="shared" si="57"/>
        <x:v/>
      </x:c>
      <x:c r="EB36" s="1053" t="str">
        <x:f t="shared" si="58"/>
        <x:v/>
      </x:c>
      <x:c r="EC36" s="1053" t="str">
        <x:f t="shared" si="59"/>
        <x:v/>
      </x:c>
      <x:c r="ED36" s="1269">
        <x:f t="shared" si="60"/>
        <x:v>0</x:v>
      </x:c>
      <x:c r="EE36" s="1090" t="str">
        <x:f t="shared" si="61"/>
        <x:v/>
      </x:c>
      <x:c r="EF36" s="1053" t="str">
        <x:f t="shared" si="62"/>
        <x:v/>
      </x:c>
      <x:c r="EG36" s="1053" t="str">
        <x:f t="shared" si="63"/>
        <x:v/>
      </x:c>
      <x:c r="EH36" s="1053" t="str">
        <x:f t="shared" si="64"/>
        <x:v>ERR</x:v>
      </x:c>
      <x:c r="EI36" s="1053" t="str">
        <x:f t="shared" si="65"/>
        <x:v>ERR</x:v>
      </x:c>
      <x:c r="EJ36" s="1053" t="str">
        <x:f t="shared" si="66"/>
        <x:v/>
      </x:c>
      <x:c r="EK36" s="1053" t="str">
        <x:f t="shared" si="66"/>
        <x:v/>
      </x:c>
      <x:c r="EL36" s="1090" t="str">
        <x:f t="shared" si="67"/>
        <x:v/>
      </x:c>
      <x:c r="EM36" s="1053" t="str">
        <x:f t="shared" si="68"/>
        <x:v/>
      </x:c>
      <x:c r="EN36" s="1053" t="str">
        <x:f t="shared" si="69"/>
        <x:v/>
      </x:c>
      <x:c r="EO36" s="1053" t="str">
        <x:f t="shared" si="70"/>
        <x:v>ERR</x:v>
      </x:c>
      <x:c r="EP36" s="1053" t="str">
        <x:f t="shared" si="71"/>
        <x:v>ERR</x:v>
      </x:c>
      <x:c r="EQ36" s="1053" t="str">
        <x:f t="shared" si="72"/>
        <x:v/>
      </x:c>
      <x:c r="ER36" s="1053" t="str">
        <x:f t="shared" si="72"/>
        <x:v/>
      </x:c>
      <x:c r="ES36" s="1053" t="str">
        <x:f t="shared" si="73"/>
        <x:v/>
      </x:c>
      <x:c r="ET36" s="1053" t="str">
        <x:f t="shared" si="74"/>
        <x:v/>
      </x:c>
      <x:c r="EU36" s="1061">
        <x:f t="shared" si="75"/>
        <x:v>4</x:v>
      </x:c>
      <x:c r="EV36" s="1055" t="str">
        <x:f t="shared" si="76"/>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7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78"/>
        <x:v/>
      </x:c>
      <x:c r="FD36" s="1052">
        <x:f t="shared" si="105"/>
        <x:v>0</x:v>
      </x:c>
      <x:c r="FE36" s="1052">
        <x:f t="shared" si="79"/>
        <x:v>0</x:v>
      </x:c>
      <x:c r="FF36" s="1052">
        <x:f t="shared" si="80"/>
        <x:v>0</x:v>
      </x:c>
      <x:c r="FG36" s="1052" t="str">
        <x:f t="shared" si="81"/>
        <x:v/>
      </x:c>
      <x:c r="FH36" s="1053" t="str">
        <x:f t="shared" si="82"/>
        <x:v/>
      </x:c>
      <x:c r="FI36" s="1052">
        <x:f t="shared" si="106"/>
        <x:v>0</x:v>
      </x:c>
      <x:c r="FJ36" s="1052">
        <x:f t="shared" si="83"/>
        <x:v>0</x:v>
      </x:c>
      <x:c r="FK36" s="1052">
        <x:f t="shared" si="84"/>
        <x:v>0</x:v>
      </x:c>
      <x:c r="FL36" s="1052" t="str">
        <x:f t="shared" si="85"/>
        <x:v/>
      </x:c>
      <x:c r="FM36" s="1053" t="str">
        <x:f t="shared" si="86"/>
        <x:v/>
      </x:c>
      <x:c r="FN36" s="1053" t="e">
        <x:f t="shared" si="87"/>
        <x:v>#VALUE!</x:v>
      </x:c>
      <x:c r="FO36" s="1062" t="e">
        <x:f t="shared" si="88"/>
        <x:v>#VALUE!</x:v>
      </x:c>
      <x:c r="FP36" s="1062" t="e">
        <x:f t="shared" si="89"/>
        <x:v>#VALUE!</x:v>
      </x:c>
      <x:c r="FQ36" s="1063" t="e">
        <x:f t="shared" si="90"/>
        <x:v>#VALUE!</x:v>
      </x:c>
      <x:c r="FR36" s="1064" t="e">
        <x:f t="shared" si="91"/>
        <x:v>#VALUE!</x:v>
      </x:c>
      <x:c r="FS36" s="1065" t="str">
        <x:f t="shared" si="92"/>
        <x:v/>
      </x:c>
      <x:c r="FT36" s="1066" t="str">
        <x:f t="shared" si="93"/>
        <x:v/>
      </x:c>
      <x:c r="FU36" s="1105">
        <x:f t="shared" si="94"/>
        <x:v>0</x:v>
      </x:c>
      <x:c r="FV36" s="1106">
        <x:f t="shared" si="95"/>
        <x:v>0</x:v>
      </x:c>
      <x:c r="GA36" s="1975">
        <x:v>59</x:v>
      </x:c>
      <x:c r="GB36" s="1976">
        <x:v>2.75</x:v>
      </x:c>
      <x:c r="GC36" s="1977">
        <x:v>-1.875</x:v>
      </x:c>
      <x:c r="GD36" s="1978">
        <x:v>-0.25</x:v>
      </x:c>
      <x:c r="GE36" s="1979">
        <x:v>0.26169539219134702</x:v>
      </x:c>
      <x:c r="GF36" s="1980" t="str">
        <x:f t="shared" si="96"/>
        <x:v>J262</x:v>
      </x:c>
      <x:c r="GG36" s="1453"/>
      <x:c r="GH36" s="1454"/>
      <x:c r="GI36" s="1453"/>
      <x:c r="GJ36" s="1454"/>
      <x:c r="GK36" s="533">
        <x:f t="shared" si="97"/>
        <x:v>708.625</x:v>
      </x:c>
      <x:c r="GL36" s="534">
        <x:f t="shared" si="98"/>
        <x:v>708.79348626656247</x:v>
      </x:c>
      <x:c r="GM36" s="535">
        <x:f>IF(ABS(GK36-GL36)&gt;='Job Info.'!$L$22,ABS(GK36-GL36),0)</x:f>
        <x:v>0</x:v>
      </x:c>
      <x:c r="HA36" s="1658" t="s">
        <x:v>1586</x:v>
      </x:c>
      <x:c r="HB36" s="1659">
        <x:v>12</x:v>
      </x:c>
      <x:c r="HC36" s="1659" t="s">
        <x:v>1978</x:v>
      </x:c>
      <x:c r="HD36" s="1660">
        <x:v>59</x:v>
      </x:c>
      <x:c r="HE36" s="1661">
        <x:v>0.625</x:v>
      </x:c>
      <x:c r="HF36" s="1659" t="s">
        <x:v>117</x:v>
      </x:c>
      <x:c r="HG36" s="1659" t="s">
        <x:v>117</x:v>
      </x:c>
      <x:c r="HH36" s="1659" t="s">
        <x:v>117</x:v>
      </x:c>
      <x:c r="HI36" s="1662">
        <x:v>0</x:v>
      </x:c>
      <x:c r="HJ36" s="1659">
        <x:v>1.375</x:v>
      </x:c>
      <x:c r="HK36" s="1659" t="s">
        <x:v>114</x:v>
      </x:c>
      <x:c r="HL36" s="1659">
        <x:v>3</x:v>
      </x:c>
      <x:c r="HM36" s="1659">
        <x:v>3</x:v>
      </x:c>
      <x:c r="HN36" s="1659" t="s">
        <x:v>117</x:v>
      </x:c>
      <x:c r="HO36" s="1659" t="s">
        <x:v>117</x:v>
      </x:c>
      <x:c r="HP36" s="1659" t="s">
        <x:v>117</x:v>
      </x:c>
      <x:c r="HQ36" s="1662" t="s">
        <x:v>117</x:v>
      </x:c>
      <x:c r="HR36" s="1659" t="s">
        <x:v>117</x:v>
      </x:c>
      <x:c r="HS36" s="1659" t="s">
        <x:v>117</x:v>
      </x:c>
      <x:c r="HT36" s="1659" t="s">
        <x:v>117</x:v>
      </x:c>
      <x:c r="HU36" s="1659" t="s">
        <x:v>117</x:v>
      </x:c>
      <x:c r="HV36" s="1659" t="s">
        <x:v>117</x:v>
      </x:c>
      <x:c r="HW36" s="1661" t="s">
        <x:v>117</x:v>
      </x:c>
      <x:c r="HX36" s="1661">
        <x:v>0</x:v>
      </x:c>
      <x:c r="HY36" s="1661" t="s">
        <x:v>117</x:v>
      </x:c>
      <x:c r="HZ36" s="1661" t="s">
        <x:v>117</x:v>
      </x:c>
      <x:c r="IA36" s="1661" t="s">
        <x:v>2258</x:v>
      </x:c>
      <x:c r="IB36" s="1661"/>
      <x:c r="IC36" s="1661"/>
      <x:c r="ID36" s="1661"/>
      <x:c r="IE36" s="1661"/>
      <x:c r="IF36" s="1663"/>
    </x:row>
    <x:row r="37" spans="1:240" ht="12.6" customHeight="1" x14ac:dyDescent="0.25">
      <x:c r="A37" s="1264" t="s">
        <x:v>1587</x:v>
      </x:c>
      <x:c r="B37" s="1265">
        <x:v>1</x:v>
      </x:c>
      <x:c r="C37" s="1265" t="s">
        <x:v>1978</x:v>
      </x:c>
      <x:c r="D37" s="1261">
        <x:v>58</x:v>
      </x:c>
      <x:c r="E37" s="1366">
        <x:v>11.875</x:v>
      </x:c>
      <x:c r="F37" s="1328" t="str">
        <x:f t="shared" si="107"/>
        <x:v/>
      </x:c>
      <x:c r="G37" s="1262" t="str">
        <x:f t="shared" si="108"/>
        <x:v/>
      </x:c>
      <x:c r="H37" s="1266" t="str">
        <x:f t="shared" si="109"/>
        <x:v/>
      </x:c>
      <x:c r="I37" s="1261">
        <x:v>0</x:v>
      </x:c>
      <x:c r="J37" s="1262">
        <x:v>0.625</x:v>
      </x:c>
      <x:c r="K37" s="1370" t="s">
        <x:v>114</x:v>
      </x:c>
      <x:c r="L37" s="1327">
        <x:v>3</x:v>
      </x:c>
      <x:c r="M37" s="1329">
        <x:v>3</x:v>
      </x:c>
      <x:c r="N37" s="1263" t="str">
        <x:f t="shared" si="1"/>
        <x:v/>
      </x:c>
      <x:c r="O37" s="1262" t="str">
        <x:f t="shared" si="2"/>
        <x:v/>
      </x:c>
      <x:c r="P37" s="1260" t="str">
        <x:f t="shared" si="3"/>
        <x:v/>
      </x:c>
      <x:c r="Q37" s="1261">
        <x:v>0</x:v>
      </x:c>
      <x:c r="R37" s="1262">
        <x:v>6.75</x:v>
      </x:c>
      <x:c r="S37" s="1375">
        <x:v>2</x:v>
      </x:c>
      <x:c r="T37" s="1328">
        <x:v>0</x:v>
      </x:c>
      <x:c r="U37" s="1262">
        <x:v>1.125</x:v>
      </x:c>
      <x:c r="V37" s="1261">
        <x:v>0</x:v>
      </x:c>
      <x:c r="W37" s="1262">
        <x:v>1.5</x:v>
      </x:c>
      <x:c r="X37" s="1329">
        <x:v>4</x:v>
      </x:c>
      <x:c r="Y37" s="1377" t="str">
        <x:f t="shared" si="7"/>
        <x:v/>
      </x:c>
      <x:c r="Z37" s="1378" t="str">
        <x:f t="shared" si="8"/>
        <x:v/>
      </x:c>
      <x:c r="AA37" s="2159" t="s">
        <x:v>2259</x:v>
      </x:c>
      <x:c r="AC37" s="1226" t="b">
        <x:v>0</x:v>
      </x:c>
      <x:c r="AD37" s="525">
        <x:f t="shared" si="9"/>
        <x:v>0</x:v>
      </x:c>
      <x:c r="AE37" s="526">
        <x:f t="shared" si="10"/>
        <x:v>1</x:v>
      </x:c>
      <x:c r="AF37" s="526">
        <x:f t="shared" si="11"/>
        <x:v>0</x:v>
      </x:c>
      <x:c r="AG37" s="526">
        <x:f t="shared" si="12"/>
        <x:v>0</x:v>
      </x:c>
      <x:c r="AH37" s="527">
        <x:f t="shared" si="13"/>
        <x:v>0</x:v>
      </x:c>
      <x:c r="AI37" s="528" t="b">
        <x:v>0</x:v>
      </x:c>
      <x:c r="AJ37" s="284">
        <x:f t="shared" si="14"/>
        <x:v>36</x:v>
      </x:c>
      <x:c r="AK37" s="1063" t="str">
        <x:f t="shared" si="15"/>
        <x:v>LH</x:v>
      </x:c>
      <x:c r="AL37" s="1202" t="str">
        <x:f t="shared" si="16"/>
        <x:v/>
      </x:c>
      <x:c r="AM37" s="1063">
        <x:f t="shared" si="17"/>
        <x:v>270</x:v>
      </x:c>
      <x:c r="AN37" s="1063">
        <x:f t="shared" si="18"/>
        <x:v>120</x:v>
      </x:c>
      <x:c r="AO37" s="1063" t="str">
        <x:f t="shared" si="19"/>
        <x:v/>
      </x:c>
      <x:c r="AP37" s="1063" t="b">
        <x:f>IF(ISERROR(AJ37),FALSE,IF(OR(AJ37=0,ISERROR(AL37),ISERROR(AM37),ISERROR(AN37),ISERROR(AO37)),FALSE,IF(AL37&lt;&gt;"",IF(ISERROR(VLOOKUP(SUBSTITUTE(SUBSTITUTE(C37,"R",""),"A",""),TblJoistSize!$A:$A,1,FALSE)),FALSE,TRUE),TRUE)))</x:f>
        <x:v>1</x:v>
      </x:c>
      <x:c r="AQ37" s="1305">
        <x:f t="shared" si="20"/>
        <x:v>6</x:v>
      </x:c>
      <x:c r="AR37" s="1305" t="b">
        <x:f t="shared" si="21"/>
        <x:v>1</x:v>
      </x:c>
      <x:c r="AS37" s="1305">
        <x:f t="shared" si="22"/>
        <x:v>6.625</x:v>
      </x:c>
      <x:c r="AT37" s="1305" t="b">
        <x:f t="shared" si="23"/>
        <x:v>1</x:v>
      </x:c>
      <x:c r="AU37" s="1203" t="str">
        <x:f t="shared" si="24"/>
        <x:v>LH</x:v>
      </x:c>
      <x:c r="AV37" s="1063" t="str">
        <x:f t="shared" si="25"/>
        <x:v/>
      </x:c>
      <x:c r="AW37" s="1063" t="str">
        <x:f t="shared" si="26"/>
        <x:v>LH</x:v>
      </x:c>
      <x:c r="AX37" s="1063" t="str">
        <x:f t="shared" si="104"/>
        <x:v>TJ263</x:v>
      </x:c>
      <x:c r="AY37" s="1306" t="b">
        <x:f t="shared" si="27"/>
        <x:v>0</x:v>
      </x:c>
      <x:c r="AZ37" s="1090" t="b">
        <x:f t="shared" si="28"/>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29"/>
        <x:v/>
      </x:c>
      <x:c r="CE37" s="935" t="str">
        <x:f t="shared" si="30"/>
        <x:v/>
      </x:c>
      <x:c r="CF37" s="1149"/>
      <x:c r="CG37" s="1150"/>
      <x:c r="CH37" s="738" t="str">
        <x:f t="shared" si="31"/>
        <x:v/>
      </x:c>
      <x:c r="CI37" s="739" t="str">
        <x:f t="shared" si="32"/>
        <x:v/>
      </x:c>
      <x:c r="CJ37" s="740" t="str">
        <x:f t="shared" si="33"/>
        <x:v/>
      </x:c>
      <x:c r="CK37" s="741" t="str">
        <x:f t="shared" si="34"/>
        <x:v/>
      </x:c>
      <x:c r="CL37" s="742" t="str">
        <x:f t="shared" si="35"/>
        <x:v/>
      </x:c>
      <x:c r="CM37" s="743" t="str">
        <x:f t="shared" si="36"/>
        <x:v/>
      </x:c>
      <x:c r="CN37" s="744" t="str">
        <x:f t="shared" si="37"/>
        <x:v/>
      </x:c>
      <x:c r="CO37" s="745" t="str">
        <x:f t="shared" si="38"/>
        <x:v/>
      </x:c>
      <x:c r="CP37" s="762" t="str">
        <x:f t="shared" si="39"/>
        <x:v/>
      </x:c>
      <x:c r="CQ37" s="763" t="str">
        <x:f t="shared" si="40"/>
        <x:v/>
      </x:c>
      <x:c r="CR37" s="953">
        <x:f t="shared" si="41"/>
        <x:v>5</x:v>
      </x:c>
      <x:c r="CS37" s="954">
        <x:f t="shared" si="42"/>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3"/>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4"/>
        <x:v>0</x:v>
      </x:c>
      <x:c r="DO37" s="1049">
        <x:f t="shared" si="45"/>
        <x:v>0</x:v>
      </x:c>
      <x:c r="DP37" s="1053" t="str">
        <x:f t="shared" si="46"/>
        <x:v/>
      </x:c>
      <x:c r="DQ37" s="1053" t="str">
        <x:f t="shared" si="47"/>
        <x:v/>
      </x:c>
      <x:c r="DR37" s="1053" t="str">
        <x:f t="shared" si="48"/>
        <x:v/>
      </x:c>
      <x:c r="DS37" s="1052">
        <x:f t="shared" si="49"/>
        <x:v>0</x:v>
      </x:c>
      <x:c r="DT37" s="1052">
        <x:f t="shared" si="50"/>
        <x:v>0</x:v>
      </x:c>
      <x:c r="DU37" s="1052" t="str">
        <x:f t="shared" si="51"/>
        <x:v/>
      </x:c>
      <x:c r="DV37" s="1053" t="str">
        <x:f t="shared" si="52"/>
        <x:v/>
      </x:c>
      <x:c r="DW37" s="1053" t="str">
        <x:f t="shared" si="53"/>
        <x:v/>
      </x:c>
      <x:c r="DX37" s="1269">
        <x:f t="shared" si="54"/>
        <x:v>0</x:v>
      </x:c>
      <x:c r="DY37" s="1053">
        <x:f t="shared" si="55"/>
        <x:v>0</x:v>
      </x:c>
      <x:c r="DZ37" s="1052">
        <x:f t="shared" si="56"/>
        <x:v>0</x:v>
      </x:c>
      <x:c r="EA37" s="1052" t="str">
        <x:f t="shared" si="57"/>
        <x:v/>
      </x:c>
      <x:c r="EB37" s="1053" t="str">
        <x:f t="shared" si="58"/>
        <x:v/>
      </x:c>
      <x:c r="EC37" s="1053" t="str">
        <x:f t="shared" si="59"/>
        <x:v/>
      </x:c>
      <x:c r="ED37" s="1269">
        <x:f t="shared" si="60"/>
        <x:v>0</x:v>
      </x:c>
      <x:c r="EE37" s="1090" t="str">
        <x:f t="shared" si="61"/>
        <x:v/>
      </x:c>
      <x:c r="EF37" s="1053" t="str">
        <x:f t="shared" si="62"/>
        <x:v/>
      </x:c>
      <x:c r="EG37" s="1053" t="str">
        <x:f t="shared" si="63"/>
        <x:v/>
      </x:c>
      <x:c r="EH37" s="1053" t="str">
        <x:f t="shared" si="64"/>
        <x:v>ERR</x:v>
      </x:c>
      <x:c r="EI37" s="1053" t="str">
        <x:f t="shared" si="65"/>
        <x:v>ERR</x:v>
      </x:c>
      <x:c r="EJ37" s="1053" t="str">
        <x:f t="shared" si="66"/>
        <x:v/>
      </x:c>
      <x:c r="EK37" s="1053" t="str">
        <x:f t="shared" si="66"/>
        <x:v/>
      </x:c>
      <x:c r="EL37" s="1090" t="str">
        <x:f t="shared" si="67"/>
        <x:v/>
      </x:c>
      <x:c r="EM37" s="1053" t="str">
        <x:f t="shared" si="68"/>
        <x:v/>
      </x:c>
      <x:c r="EN37" s="1053" t="str">
        <x:f t="shared" si="69"/>
        <x:v/>
      </x:c>
      <x:c r="EO37" s="1053" t="str">
        <x:f t="shared" si="70"/>
        <x:v>ERR</x:v>
      </x:c>
      <x:c r="EP37" s="1053" t="str">
        <x:f t="shared" si="71"/>
        <x:v>ERR</x:v>
      </x:c>
      <x:c r="EQ37" s="1053" t="str">
        <x:f t="shared" si="72"/>
        <x:v/>
      </x:c>
      <x:c r="ER37" s="1053" t="str">
        <x:f t="shared" si="72"/>
        <x:v/>
      </x:c>
      <x:c r="ES37" s="1053" t="str">
        <x:f t="shared" si="73"/>
        <x:v/>
      </x:c>
      <x:c r="ET37" s="1053" t="str">
        <x:f t="shared" si="74"/>
        <x:v/>
      </x:c>
      <x:c r="EU37" s="1061">
        <x:f t="shared" si="75"/>
        <x:v>4</x:v>
      </x:c>
      <x:c r="EV37" s="1055" t="str">
        <x:f t="shared" si="76"/>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7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78"/>
        <x:v/>
      </x:c>
      <x:c r="FD37" s="1052">
        <x:f t="shared" si="105"/>
        <x:v>0</x:v>
      </x:c>
      <x:c r="FE37" s="1052">
        <x:f t="shared" si="79"/>
        <x:v>0</x:v>
      </x:c>
      <x:c r="FF37" s="1052">
        <x:f t="shared" si="80"/>
        <x:v>0</x:v>
      </x:c>
      <x:c r="FG37" s="1052" t="str">
        <x:f t="shared" si="81"/>
        <x:v/>
      </x:c>
      <x:c r="FH37" s="1053" t="str">
        <x:f t="shared" si="82"/>
        <x:v/>
      </x:c>
      <x:c r="FI37" s="1052">
        <x:f t="shared" si="106"/>
        <x:v>0</x:v>
      </x:c>
      <x:c r="FJ37" s="1052">
        <x:f t="shared" si="83"/>
        <x:v>0</x:v>
      </x:c>
      <x:c r="FK37" s="1052">
        <x:f t="shared" si="84"/>
        <x:v>0</x:v>
      </x:c>
      <x:c r="FL37" s="1052" t="str">
        <x:f t="shared" si="85"/>
        <x:v/>
      </x:c>
      <x:c r="FM37" s="1053" t="str">
        <x:f t="shared" si="86"/>
        <x:v/>
      </x:c>
      <x:c r="FN37" s="1053" t="e">
        <x:f t="shared" si="87"/>
        <x:v>#VALUE!</x:v>
      </x:c>
      <x:c r="FO37" s="1062" t="e">
        <x:f t="shared" si="88"/>
        <x:v>#VALUE!</x:v>
      </x:c>
      <x:c r="FP37" s="1062" t="e">
        <x:f t="shared" si="89"/>
        <x:v>#VALUE!</x:v>
      </x:c>
      <x:c r="FQ37" s="1063" t="e">
        <x:f t="shared" si="90"/>
        <x:v>#VALUE!</x:v>
      </x:c>
      <x:c r="FR37" s="1064" t="e">
        <x:f t="shared" si="91"/>
        <x:v>#VALUE!</x:v>
      </x:c>
      <x:c r="FS37" s="1065" t="str">
        <x:f t="shared" si="92"/>
        <x:v/>
      </x:c>
      <x:c r="FT37" s="1066" t="str">
        <x:f t="shared" si="93"/>
        <x:v/>
      </x:c>
      <x:c r="FU37" s="1105">
        <x:f t="shared" si="94"/>
        <x:v>0</x:v>
      </x:c>
      <x:c r="FV37" s="1106">
        <x:f t="shared" si="95"/>
        <x:v>0</x:v>
      </x:c>
      <x:c r="GA37" s="1975">
        <x:v>59</x:v>
      </x:c>
      <x:c r="GB37" s="1976">
        <x:v>2.75</x:v>
      </x:c>
      <x:c r="GC37" s="1977">
        <x:v>-1.875</x:v>
      </x:c>
      <x:c r="GD37" s="1978">
        <x:v>-1</x:v>
      </x:c>
      <x:c r="GE37" s="1979">
        <x:v>0.26169539219134702</x:v>
      </x:c>
      <x:c r="GF37" s="1980" t="str">
        <x:f t="shared" si="96"/>
        <x:v>TJ263</x:v>
      </x:c>
      <x:c r="GG37" s="1453"/>
      <x:c r="GH37" s="1454"/>
      <x:c r="GI37" s="1453"/>
      <x:c r="GJ37" s="1454"/>
      <x:c r="GK37" s="533">
        <x:f t="shared" si="97"/>
        <x:v>707.875</x:v>
      </x:c>
      <x:c r="GL37" s="534">
        <x:f t="shared" si="98"/>
        <x:v>708.04330794276643</x:v>
      </x:c>
      <x:c r="GM37" s="535">
        <x:f>IF(ABS(GK37-GL37)&gt;='Job Info.'!$L$22,ABS(GK37-GL37),0)</x:f>
        <x:v>0</x:v>
      </x:c>
      <x:c r="HA37" s="1658" t="s">
        <x:v>1587</x:v>
      </x:c>
      <x:c r="HB37" s="1659">
        <x:v>1</x:v>
      </x:c>
      <x:c r="HC37" s="1659" t="s">
        <x:v>1978</x:v>
      </x:c>
      <x:c r="HD37" s="1660">
        <x:v>58</x:v>
      </x:c>
      <x:c r="HE37" s="1661">
        <x:v>11.875</x:v>
      </x:c>
      <x:c r="HF37" s="1659" t="s">
        <x:v>117</x:v>
      </x:c>
      <x:c r="HG37" s="1659" t="s">
        <x:v>117</x:v>
      </x:c>
      <x:c r="HH37" s="1659" t="s">
        <x:v>117</x:v>
      </x:c>
      <x:c r="HI37" s="1662">
        <x:v>0</x:v>
      </x:c>
      <x:c r="HJ37" s="1659">
        <x:v>0.625</x:v>
      </x:c>
      <x:c r="HK37" s="1659" t="s">
        <x:v>114</x:v>
      </x:c>
      <x:c r="HL37" s="1659">
        <x:v>3</x:v>
      </x:c>
      <x:c r="HM37" s="1659">
        <x:v>3</x:v>
      </x:c>
      <x:c r="HN37" s="1659" t="s">
        <x:v>117</x:v>
      </x:c>
      <x:c r="HO37" s="1659" t="s">
        <x:v>117</x:v>
      </x:c>
      <x:c r="HP37" s="1659" t="s">
        <x:v>117</x:v>
      </x:c>
      <x:c r="HQ37" s="1662">
        <x:v>0</x:v>
      </x:c>
      <x:c r="HR37" s="1659">
        <x:v>6.75</x:v>
      </x:c>
      <x:c r="HS37" s="1659">
        <x:v>2</x:v>
      </x:c>
      <x:c r="HT37" s="1659">
        <x:v>0</x:v>
      </x:c>
      <x:c r="HU37" s="1659">
        <x:v>1.125</x:v>
      </x:c>
      <x:c r="HV37" s="1659">
        <x:v>0</x:v>
      </x:c>
      <x:c r="HW37" s="1661">
        <x:v>1.5</x:v>
      </x:c>
      <x:c r="HX37" s="1661">
        <x:v>4</x:v>
      </x:c>
      <x:c r="HY37" s="1661" t="s">
        <x:v>117</x:v>
      </x:c>
      <x:c r="HZ37" s="1661" t="s">
        <x:v>117</x:v>
      </x:c>
      <x:c r="IA37" s="1661" t="s">
        <x:v>2259</x:v>
      </x:c>
      <x:c r="IB37" s="1661"/>
      <x:c r="IC37" s="1661"/>
      <x:c r="ID37" s="1661"/>
      <x:c r="IE37" s="1661"/>
      <x:c r="IF37" s="1663"/>
    </x:row>
    <x:row r="38" spans="1:240" ht="12.6" customHeight="1" x14ac:dyDescent="0.25">
      <x:c r="A38" s="1264" t="s">
        <x:v>1588</x:v>
      </x:c>
      <x:c r="B38" s="1265">
        <x:v>1</x:v>
      </x:c>
      <x:c r="C38" s="1265" t="s">
        <x:v>1978</x:v>
      </x:c>
      <x:c r="D38" s="1261">
        <x:v>59</x:v>
      </x:c>
      <x:c r="E38" s="1366">
        <x:v>0.625</x:v>
      </x:c>
      <x:c r="F38" s="1328" t="str">
        <x:f t="shared" si="107"/>
        <x:v/>
      </x:c>
      <x:c r="G38" s="1262" t="str">
        <x:f t="shared" si="108"/>
        <x:v/>
      </x:c>
      <x:c r="H38" s="1266" t="str">
        <x:f t="shared" si="109"/>
        <x:v/>
      </x:c>
      <x:c r="I38" s="1261">
        <x:v>0</x:v>
      </x:c>
      <x:c r="J38" s="1262">
        <x:v>1.375</x:v>
      </x:c>
      <x:c r="K38" s="1370" t="s">
        <x:v>114</x:v>
      </x:c>
      <x:c r="L38" s="1327">
        <x:v>3</x:v>
      </x:c>
      <x:c r="M38" s="1329">
        <x:v>3</x:v>
      </x:c>
      <x:c r="N38" s="1263" t="str">
        <x:f t="shared" si="1"/>
        <x:v/>
      </x:c>
      <x:c r="O38" s="1262" t="str">
        <x:f t="shared" si="2"/>
        <x:v/>
      </x:c>
      <x:c r="P38" s="1260" t="str">
        <x:f t="shared" si="3"/>
        <x:v/>
      </x:c>
      <x:c r="Q38" s="1261" t="str">
        <x:f t="shared" si="4"/>
        <x:v/>
      </x:c>
      <x:c r="R38" s="1262" t="str">
        <x:f t="shared" si="5"/>
        <x:v/>
      </x:c>
      <x:c r="S38" s="1375" t="str">
        <x:f t="shared" si="6"/>
        <x:v/>
      </x:c>
      <x:c r="T38" s="1328" t="str">
        <x:f t="shared" si="99"/>
        <x:v/>
      </x:c>
      <x:c r="U38" s="1262" t="str">
        <x:f t="shared" si="100"/>
        <x:v/>
      </x:c>
      <x:c r="V38" s="1261" t="str">
        <x:f t="shared" si="101"/>
        <x:v/>
      </x:c>
      <x:c r="W38" s="1262" t="str">
        <x:f t="shared" si="102"/>
        <x:v/>
      </x:c>
      <x:c r="X38" s="1329">
        <x:f t="shared" si="103"/>
        <x:v>0</x:v>
      </x:c>
      <x:c r="Y38" s="1377" t="str">
        <x:f t="shared" si="7"/>
        <x:v/>
      </x:c>
      <x:c r="Z38" s="1378" t="str">
        <x:f t="shared" si="8"/>
        <x:v/>
      </x:c>
      <x:c r="AA38" s="2159" t="s">
        <x:v>2259</x:v>
      </x:c>
      <x:c r="AC38" s="1226" t="b">
        <x:v>0</x:v>
      </x:c>
      <x:c r="AD38" s="525">
        <x:f t="shared" si="9"/>
        <x:v>0</x:v>
      </x:c>
      <x:c r="AE38" s="526">
        <x:f t="shared" si="10"/>
        <x:v>1</x:v>
      </x:c>
      <x:c r="AF38" s="526">
        <x:f t="shared" si="11"/>
        <x:v>0</x:v>
      </x:c>
      <x:c r="AG38" s="526">
        <x:f t="shared" si="12"/>
        <x:v>0</x:v>
      </x:c>
      <x:c r="AH38" s="527">
        <x:f t="shared" si="13"/>
        <x:v>0</x:v>
      </x:c>
      <x:c r="AI38" s="528" t="b">
        <x:v>0</x:v>
      </x:c>
      <x:c r="AJ38" s="284">
        <x:f t="shared" si="14"/>
        <x:v>36</x:v>
      </x:c>
      <x:c r="AK38" s="1063" t="str">
        <x:f t="shared" si="15"/>
        <x:v>LH</x:v>
      </x:c>
      <x:c r="AL38" s="1202" t="str">
        <x:f t="shared" si="16"/>
        <x:v/>
      </x:c>
      <x:c r="AM38" s="1063">
        <x:f t="shared" si="17"/>
        <x:v>270</x:v>
      </x:c>
      <x:c r="AN38" s="1063">
        <x:f t="shared" si="18"/>
        <x:v>120</x:v>
      </x:c>
      <x:c r="AO38" s="1063" t="str">
        <x:f t="shared" si="19"/>
        <x:v/>
      </x:c>
      <x:c r="AP38" s="1063" t="b">
        <x:f>IF(ISERROR(AJ38),FALSE,IF(OR(AJ38=0,ISERROR(AL38),ISERROR(AM38),ISERROR(AN38),ISERROR(AO38)),FALSE,IF(AL38&lt;&gt;"",IF(ISERROR(VLOOKUP(SUBSTITUTE(SUBSTITUTE(C38,"R",""),"A",""),TblJoistSize!$A:$A,1,FALSE)),FALSE,TRUE),TRUE)))</x:f>
        <x:v>1</x:v>
      </x:c>
      <x:c r="AQ38" s="1305">
        <x:f t="shared" si="20"/>
        <x:v>6</x:v>
      </x:c>
      <x:c r="AR38" s="1305" t="b">
        <x:f t="shared" si="21"/>
        <x:v>0</x:v>
      </x:c>
      <x:c r="AS38" s="1305">
        <x:f t="shared" si="22"/>
        <x:v>7.375</x:v>
      </x:c>
      <x:c r="AT38" s="1305" t="b">
        <x:f t="shared" si="23"/>
        <x:v>0</x:v>
      </x:c>
      <x:c r="AU38" s="1203" t="str">
        <x:f t="shared" si="24"/>
        <x:v>LH</x:v>
      </x:c>
      <x:c r="AV38" s="1063" t="str">
        <x:f t="shared" si="25"/>
        <x:v/>
      </x:c>
      <x:c r="AW38" s="1063" t="str">
        <x:f t="shared" si="26"/>
        <x:v>LH</x:v>
      </x:c>
      <x:c r="AX38" s="1063" t="str">
        <x:f t="shared" si="104"/>
        <x:v>J264</x:v>
      </x:c>
      <x:c r="AY38" s="1306" t="b">
        <x:f t="shared" si="27"/>
        <x:v>0</x:v>
      </x:c>
      <x:c r="AZ38" s="1090" t="b">
        <x:f t="shared" si="28"/>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29"/>
        <x:v/>
      </x:c>
      <x:c r="CE38" s="935" t="str">
        <x:f t="shared" si="30"/>
        <x:v/>
      </x:c>
      <x:c r="CF38" s="1149"/>
      <x:c r="CG38" s="1150"/>
      <x:c r="CH38" s="738" t="str">
        <x:f t="shared" si="31"/>
        <x:v/>
      </x:c>
      <x:c r="CI38" s="739" t="str">
        <x:f t="shared" si="32"/>
        <x:v/>
      </x:c>
      <x:c r="CJ38" s="740" t="str">
        <x:f t="shared" si="33"/>
        <x:v/>
      </x:c>
      <x:c r="CK38" s="741" t="str">
        <x:f t="shared" si="34"/>
        <x:v/>
      </x:c>
      <x:c r="CL38" s="742" t="str">
        <x:f t="shared" si="35"/>
        <x:v/>
      </x:c>
      <x:c r="CM38" s="743" t="str">
        <x:f t="shared" si="36"/>
        <x:v/>
      </x:c>
      <x:c r="CN38" s="744" t="str">
        <x:f t="shared" si="37"/>
        <x:v/>
      </x:c>
      <x:c r="CO38" s="745" t="str">
        <x:f t="shared" si="38"/>
        <x:v/>
      </x:c>
      <x:c r="CP38" s="762" t="str">
        <x:f t="shared" si="39"/>
        <x:v/>
      </x:c>
      <x:c r="CQ38" s="763" t="str">
        <x:f t="shared" si="40"/>
        <x:v/>
      </x:c>
      <x:c r="CR38" s="953">
        <x:f t="shared" si="41"/>
        <x:v>5</x:v>
      </x:c>
      <x:c r="CS38" s="954">
        <x:f t="shared" si="42"/>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3"/>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4"/>
        <x:v>0</x:v>
      </x:c>
      <x:c r="DO38" s="1049">
        <x:f t="shared" si="45"/>
        <x:v>0</x:v>
      </x:c>
      <x:c r="DP38" s="1053" t="str">
        <x:f t="shared" si="46"/>
        <x:v/>
      </x:c>
      <x:c r="DQ38" s="1053" t="str">
        <x:f t="shared" si="47"/>
        <x:v/>
      </x:c>
      <x:c r="DR38" s="1053" t="str">
        <x:f t="shared" si="48"/>
        <x:v/>
      </x:c>
      <x:c r="DS38" s="1052">
        <x:f t="shared" si="49"/>
        <x:v>0</x:v>
      </x:c>
      <x:c r="DT38" s="1052">
        <x:f t="shared" si="50"/>
        <x:v>0</x:v>
      </x:c>
      <x:c r="DU38" s="1052" t="str">
        <x:f t="shared" si="51"/>
        <x:v/>
      </x:c>
      <x:c r="DV38" s="1053" t="str">
        <x:f t="shared" si="52"/>
        <x:v/>
      </x:c>
      <x:c r="DW38" s="1053" t="str">
        <x:f t="shared" si="53"/>
        <x:v/>
      </x:c>
      <x:c r="DX38" s="1269">
        <x:f t="shared" si="54"/>
        <x:v>0</x:v>
      </x:c>
      <x:c r="DY38" s="1053">
        <x:f t="shared" si="55"/>
        <x:v>0</x:v>
      </x:c>
      <x:c r="DZ38" s="1052">
        <x:f t="shared" si="56"/>
        <x:v>0</x:v>
      </x:c>
      <x:c r="EA38" s="1052" t="str">
        <x:f t="shared" si="57"/>
        <x:v/>
      </x:c>
      <x:c r="EB38" s="1053" t="str">
        <x:f t="shared" si="58"/>
        <x:v/>
      </x:c>
      <x:c r="EC38" s="1053" t="str">
        <x:f t="shared" si="59"/>
        <x:v/>
      </x:c>
      <x:c r="ED38" s="1269">
        <x:f t="shared" si="60"/>
        <x:v>0</x:v>
      </x:c>
      <x:c r="EE38" s="1090" t="str">
        <x:f t="shared" si="61"/>
        <x:v/>
      </x:c>
      <x:c r="EF38" s="1053" t="str">
        <x:f t="shared" si="62"/>
        <x:v/>
      </x:c>
      <x:c r="EG38" s="1053" t="str">
        <x:f t="shared" si="63"/>
        <x:v/>
      </x:c>
      <x:c r="EH38" s="1053" t="str">
        <x:f t="shared" si="64"/>
        <x:v>ERR</x:v>
      </x:c>
      <x:c r="EI38" s="1053" t="str">
        <x:f t="shared" si="65"/>
        <x:v>ERR</x:v>
      </x:c>
      <x:c r="EJ38" s="1053" t="str">
        <x:f t="shared" si="66"/>
        <x:v/>
      </x:c>
      <x:c r="EK38" s="1053" t="str">
        <x:f t="shared" si="66"/>
        <x:v/>
      </x:c>
      <x:c r="EL38" s="1090" t="str">
        <x:f t="shared" si="67"/>
        <x:v/>
      </x:c>
      <x:c r="EM38" s="1053" t="str">
        <x:f t="shared" si="68"/>
        <x:v/>
      </x:c>
      <x:c r="EN38" s="1053" t="str">
        <x:f t="shared" si="69"/>
        <x:v/>
      </x:c>
      <x:c r="EO38" s="1053" t="str">
        <x:f t="shared" si="70"/>
        <x:v>ERR</x:v>
      </x:c>
      <x:c r="EP38" s="1053" t="str">
        <x:f t="shared" si="71"/>
        <x:v>ERR</x:v>
      </x:c>
      <x:c r="EQ38" s="1053" t="str">
        <x:f t="shared" si="72"/>
        <x:v/>
      </x:c>
      <x:c r="ER38" s="1053" t="str">
        <x:f t="shared" si="72"/>
        <x:v/>
      </x:c>
      <x:c r="ES38" s="1053" t="str">
        <x:f t="shared" si="73"/>
        <x:v/>
      </x:c>
      <x:c r="ET38" s="1053" t="str">
        <x:f t="shared" si="74"/>
        <x:v/>
      </x:c>
      <x:c r="EU38" s="1061">
        <x:f t="shared" si="75"/>
        <x:v>4</x:v>
      </x:c>
      <x:c r="EV38" s="1055" t="str">
        <x:f t="shared" si="76"/>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7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78"/>
        <x:v/>
      </x:c>
      <x:c r="FD38" s="1052">
        <x:f t="shared" si="105"/>
        <x:v>0</x:v>
      </x:c>
      <x:c r="FE38" s="1052">
        <x:f t="shared" si="79"/>
        <x:v>0</x:v>
      </x:c>
      <x:c r="FF38" s="1052">
        <x:f t="shared" si="80"/>
        <x:v>0</x:v>
      </x:c>
      <x:c r="FG38" s="1052" t="str">
        <x:f t="shared" si="81"/>
        <x:v/>
      </x:c>
      <x:c r="FH38" s="1053" t="str">
        <x:f t="shared" si="82"/>
        <x:v/>
      </x:c>
      <x:c r="FI38" s="1052">
        <x:f t="shared" si="106"/>
        <x:v>0</x:v>
      </x:c>
      <x:c r="FJ38" s="1052">
        <x:f t="shared" si="83"/>
        <x:v>0</x:v>
      </x:c>
      <x:c r="FK38" s="1052">
        <x:f t="shared" si="84"/>
        <x:v>0</x:v>
      </x:c>
      <x:c r="FL38" s="1052" t="str">
        <x:f t="shared" si="85"/>
        <x:v/>
      </x:c>
      <x:c r="FM38" s="1053" t="str">
        <x:f t="shared" si="86"/>
        <x:v/>
      </x:c>
      <x:c r="FN38" s="1053" t="e">
        <x:f t="shared" si="87"/>
        <x:v>#VALUE!</x:v>
      </x:c>
      <x:c r="FO38" s="1062" t="e">
        <x:f t="shared" si="88"/>
        <x:v>#VALUE!</x:v>
      </x:c>
      <x:c r="FP38" s="1062" t="e">
        <x:f t="shared" si="89"/>
        <x:v>#VALUE!</x:v>
      </x:c>
      <x:c r="FQ38" s="1063" t="e">
        <x:f t="shared" si="90"/>
        <x:v>#VALUE!</x:v>
      </x:c>
      <x:c r="FR38" s="1064" t="e">
        <x:f t="shared" si="91"/>
        <x:v>#VALUE!</x:v>
      </x:c>
      <x:c r="FS38" s="1065" t="str">
        <x:f t="shared" si="92"/>
        <x:v/>
      </x:c>
      <x:c r="FT38" s="1066" t="str">
        <x:f t="shared" si="93"/>
        <x:v/>
      </x:c>
      <x:c r="FU38" s="1105">
        <x:f t="shared" si="94"/>
        <x:v>0</x:v>
      </x:c>
      <x:c r="FV38" s="1106">
        <x:f t="shared" si="95"/>
        <x:v>0</x:v>
      </x:c>
      <x:c r="GA38" s="1975">
        <x:v>59</x:v>
      </x:c>
      <x:c r="GB38" s="1976">
        <x:v>2.75</x:v>
      </x:c>
      <x:c r="GC38" s="1977">
        <x:v>-1.875</x:v>
      </x:c>
      <x:c r="GD38" s="1978">
        <x:v>-0.25</x:v>
      </x:c>
      <x:c r="GE38" s="1979">
        <x:v>0.26169539219134702</x:v>
      </x:c>
      <x:c r="GF38" s="1980" t="str">
        <x:f t="shared" si="96"/>
        <x:v>J264</x:v>
      </x:c>
      <x:c r="GG38" s="1453"/>
      <x:c r="GH38" s="1454"/>
      <x:c r="GI38" s="1453"/>
      <x:c r="GJ38" s="1454"/>
      <x:c r="GK38" s="533">
        <x:f t="shared" si="97"/>
        <x:v>708.625</x:v>
      </x:c>
      <x:c r="GL38" s="534">
        <x:f t="shared" si="98"/>
        <x:v>708.79348626656247</x:v>
      </x:c>
      <x:c r="GM38" s="535">
        <x:f>IF(ABS(GK38-GL38)&gt;='Job Info.'!$L$22,ABS(GK38-GL38),0)</x:f>
        <x:v>0</x:v>
      </x:c>
      <x:c r="HA38" s="1658" t="s">
        <x:v>1588</x:v>
      </x:c>
      <x:c r="HB38" s="1659">
        <x:v>1</x:v>
      </x:c>
      <x:c r="HC38" s="1659" t="s">
        <x:v>1978</x:v>
      </x:c>
      <x:c r="HD38" s="1660">
        <x:v>59</x:v>
      </x:c>
      <x:c r="HE38" s="1661">
        <x:v>0.625</x:v>
      </x:c>
      <x:c r="HF38" s="1659" t="s">
        <x:v>117</x:v>
      </x:c>
      <x:c r="HG38" s="1659" t="s">
        <x:v>117</x:v>
      </x:c>
      <x:c r="HH38" s="1659" t="s">
        <x:v>117</x:v>
      </x:c>
      <x:c r="HI38" s="1662">
        <x:v>0</x:v>
      </x:c>
      <x:c r="HJ38" s="1659">
        <x:v>1.375</x:v>
      </x:c>
      <x:c r="HK38" s="1659" t="s">
        <x:v>114</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2259</x:v>
      </x:c>
      <x:c r="IB38" s="1661"/>
      <x:c r="IC38" s="1661"/>
      <x:c r="ID38" s="1661"/>
      <x:c r="IE38" s="1661"/>
      <x:c r="IF38" s="1663"/>
    </x:row>
    <x:row r="39" spans="1:240" ht="12.6" customHeight="1" x14ac:dyDescent="0.25">
      <x:c r="A39" s="1264" t="s">
        <x:v>1589</x:v>
      </x:c>
      <x:c r="B39" s="1265">
        <x:v>2</x:v>
      </x:c>
      <x:c r="C39" s="1265" t="s">
        <x:v>1978</x:v>
      </x:c>
      <x:c r="D39" s="1261">
        <x:v>59</x:v>
      </x:c>
      <x:c r="E39" s="1366">
        <x:v>0.625</x:v>
      </x:c>
      <x:c r="F39" s="1328" t="str">
        <x:f t="shared" si="107"/>
        <x:v/>
      </x:c>
      <x:c r="G39" s="1262" t="str">
        <x:f t="shared" si="108"/>
        <x:v/>
      </x:c>
      <x:c r="H39" s="1266" t="str">
        <x:f t="shared" si="109"/>
        <x:v/>
      </x:c>
      <x:c r="I39" s="1261">
        <x:v>0</x:v>
      </x:c>
      <x:c r="J39" s="1262">
        <x:v>1.375</x:v>
      </x:c>
      <x:c r="K39" s="1370" t="s">
        <x:v>114</x:v>
      </x:c>
      <x:c r="L39" s="1327">
        <x:v>3</x:v>
      </x:c>
      <x:c r="M39" s="1329">
        <x:v>3</x:v>
      </x:c>
      <x:c r="N39" s="1263" t="str">
        <x:f t="shared" si="1"/>
        <x:v/>
      </x:c>
      <x:c r="O39" s="1262" t="str">
        <x:f t="shared" si="2"/>
        <x:v/>
      </x:c>
      <x:c r="P39" s="1260" t="str">
        <x:f t="shared" si="3"/>
        <x:v/>
      </x:c>
      <x:c r="Q39" s="1261" t="str">
        <x:f t="shared" si="4"/>
        <x:v/>
      </x:c>
      <x:c r="R39" s="1262" t="str">
        <x:f t="shared" si="5"/>
        <x:v/>
      </x:c>
      <x:c r="S39" s="1375" t="str">
        <x:f t="shared" si="6"/>
        <x:v/>
      </x:c>
      <x:c r="T39" s="1328">
        <x:v>0</x:v>
      </x:c>
      <x:c r="U39" s="1262">
        <x:v>1.125</x:v>
      </x:c>
      <x:c r="V39" s="1261">
        <x:v>0</x:v>
      </x:c>
      <x:c r="W39" s="1262">
        <x:v>2.25</x:v>
      </x:c>
      <x:c r="X39" s="1329">
        <x:v>4</x:v>
      </x:c>
      <x:c r="Y39" s="1377" t="str">
        <x:f t="shared" si="7"/>
        <x:v/>
      </x:c>
      <x:c r="Z39" s="1378" t="str">
        <x:f t="shared" si="8"/>
        <x:v/>
      </x:c>
      <x:c r="AA39" s="2159" t="s">
        <x:v>2258</x:v>
      </x:c>
      <x:c r="AC39" s="1226" t="b">
        <x:v>0</x:v>
      </x:c>
      <x:c r="AD39" s="525">
        <x:f t="shared" si="9"/>
        <x:v>0</x:v>
      </x:c>
      <x:c r="AE39" s="526">
        <x:f t="shared" si="10"/>
        <x:v>2</x:v>
      </x:c>
      <x:c r="AF39" s="526">
        <x:f t="shared" si="11"/>
        <x:v>0</x:v>
      </x:c>
      <x:c r="AG39" s="526">
        <x:f t="shared" si="12"/>
        <x:v>0</x:v>
      </x:c>
      <x:c r="AH39" s="527">
        <x:f t="shared" si="13"/>
        <x:v>0</x:v>
      </x:c>
      <x:c r="AI39" s="528" t="b">
        <x:v>0</x:v>
      </x:c>
      <x:c r="AJ39" s="284">
        <x:f t="shared" si="14"/>
        <x:v>36</x:v>
      </x:c>
      <x:c r="AK39" s="1063" t="str">
        <x:f t="shared" si="15"/>
        <x:v>LH</x:v>
      </x:c>
      <x:c r="AL39" s="1202" t="str">
        <x:f t="shared" si="16"/>
        <x:v/>
      </x:c>
      <x:c r="AM39" s="1063">
        <x:f t="shared" si="17"/>
        <x:v>270</x:v>
      </x:c>
      <x:c r="AN39" s="1063">
        <x:f t="shared" si="18"/>
        <x:v>120</x:v>
      </x:c>
      <x:c r="AO39" s="1063" t="str">
        <x:f t="shared" si="19"/>
        <x:v/>
      </x:c>
      <x:c r="AP39" s="1063" t="b">
        <x:f>IF(ISERROR(AJ39),FALSE,IF(OR(AJ39=0,ISERROR(AL39),ISERROR(AM39),ISERROR(AN39),ISERROR(AO39)),FALSE,IF(AL39&lt;&gt;"",IF(ISERROR(VLOOKUP(SUBSTITUTE(SUBSTITUTE(C39,"R",""),"A",""),TblJoistSize!$A:$A,1,FALSE)),FALSE,TRUE),TRUE)))</x:f>
        <x:v>1</x:v>
      </x:c>
      <x:c r="AQ39" s="1305">
        <x:f t="shared" si="20"/>
        <x:v>6</x:v>
      </x:c>
      <x:c r="AR39" s="1305" t="b">
        <x:f t="shared" si="21"/>
        <x:v>1</x:v>
      </x:c>
      <x:c r="AS39" s="1305">
        <x:f t="shared" si="22"/>
        <x:v>7.375</x:v>
      </x:c>
      <x:c r="AT39" s="1305" t="b">
        <x:f t="shared" si="23"/>
        <x:v>1</x:v>
      </x:c>
      <x:c r="AU39" s="1203" t="str">
        <x:f t="shared" si="24"/>
        <x:v>LH</x:v>
      </x:c>
      <x:c r="AV39" s="1063" t="str">
        <x:f t="shared" si="25"/>
        <x:v/>
      </x:c>
      <x:c r="AW39" s="1063" t="str">
        <x:f t="shared" si="26"/>
        <x:v>LH</x:v>
      </x:c>
      <x:c r="AX39" s="1063" t="str">
        <x:f t="shared" si="104"/>
        <x:v>TJ265</x:v>
      </x:c>
      <x:c r="AY39" s="1306" t="b">
        <x:f t="shared" si="27"/>
        <x:v>0</x:v>
      </x:c>
      <x:c r="AZ39" s="1090" t="b">
        <x:f t="shared" si="28"/>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29"/>
        <x:v/>
      </x:c>
      <x:c r="CE39" s="935" t="str">
        <x:f t="shared" si="30"/>
        <x:v/>
      </x:c>
      <x:c r="CF39" s="1149"/>
      <x:c r="CG39" s="1150"/>
      <x:c r="CH39" s="738" t="str">
        <x:f t="shared" si="31"/>
        <x:v/>
      </x:c>
      <x:c r="CI39" s="739" t="str">
        <x:f t="shared" si="32"/>
        <x:v/>
      </x:c>
      <x:c r="CJ39" s="740" t="str">
        <x:f t="shared" si="33"/>
        <x:v/>
      </x:c>
      <x:c r="CK39" s="741" t="str">
        <x:f t="shared" si="34"/>
        <x:v/>
      </x:c>
      <x:c r="CL39" s="742" t="str">
        <x:f t="shared" si="35"/>
        <x:v/>
      </x:c>
      <x:c r="CM39" s="743" t="str">
        <x:f t="shared" si="36"/>
        <x:v/>
      </x:c>
      <x:c r="CN39" s="744" t="str">
        <x:f t="shared" si="37"/>
        <x:v/>
      </x:c>
      <x:c r="CO39" s="745" t="str">
        <x:f t="shared" si="38"/>
        <x:v/>
      </x:c>
      <x:c r="CP39" s="762" t="str">
        <x:f t="shared" si="39"/>
        <x:v/>
      </x:c>
      <x:c r="CQ39" s="763" t="str">
        <x:f t="shared" si="40"/>
        <x:v/>
      </x:c>
      <x:c r="CR39" s="953">
        <x:f t="shared" si="41"/>
        <x:v>5</x:v>
      </x:c>
      <x:c r="CS39" s="954">
        <x:f t="shared" si="42"/>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3"/>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4"/>
        <x:v>0</x:v>
      </x:c>
      <x:c r="DO39" s="1049">
        <x:f t="shared" si="45"/>
        <x:v>0</x:v>
      </x:c>
      <x:c r="DP39" s="1053" t="str">
        <x:f t="shared" si="46"/>
        <x:v/>
      </x:c>
      <x:c r="DQ39" s="1053" t="str">
        <x:f t="shared" si="47"/>
        <x:v/>
      </x:c>
      <x:c r="DR39" s="1053" t="str">
        <x:f t="shared" si="48"/>
        <x:v/>
      </x:c>
      <x:c r="DS39" s="1052">
        <x:f t="shared" si="49"/>
        <x:v>0</x:v>
      </x:c>
      <x:c r="DT39" s="1052">
        <x:f t="shared" si="50"/>
        <x:v>0</x:v>
      </x:c>
      <x:c r="DU39" s="1052" t="str">
        <x:f t="shared" si="51"/>
        <x:v/>
      </x:c>
      <x:c r="DV39" s="1053" t="str">
        <x:f t="shared" si="52"/>
        <x:v/>
      </x:c>
      <x:c r="DW39" s="1053" t="str">
        <x:f t="shared" si="53"/>
        <x:v/>
      </x:c>
      <x:c r="DX39" s="1269">
        <x:f t="shared" si="54"/>
        <x:v>0</x:v>
      </x:c>
      <x:c r="DY39" s="1053">
        <x:f t="shared" si="55"/>
        <x:v>0</x:v>
      </x:c>
      <x:c r="DZ39" s="1052">
        <x:f t="shared" si="56"/>
        <x:v>0</x:v>
      </x:c>
      <x:c r="EA39" s="1052" t="str">
        <x:f t="shared" si="57"/>
        <x:v/>
      </x:c>
      <x:c r="EB39" s="1053" t="str">
        <x:f t="shared" si="58"/>
        <x:v/>
      </x:c>
      <x:c r="EC39" s="1053" t="str">
        <x:f t="shared" si="59"/>
        <x:v/>
      </x:c>
      <x:c r="ED39" s="1269">
        <x:f t="shared" si="60"/>
        <x:v>0</x:v>
      </x:c>
      <x:c r="EE39" s="1090" t="str">
        <x:f t="shared" si="61"/>
        <x:v/>
      </x:c>
      <x:c r="EF39" s="1053" t="str">
        <x:f t="shared" si="62"/>
        <x:v/>
      </x:c>
      <x:c r="EG39" s="1053" t="str">
        <x:f t="shared" si="63"/>
        <x:v/>
      </x:c>
      <x:c r="EH39" s="1053" t="str">
        <x:f t="shared" si="64"/>
        <x:v>ERR</x:v>
      </x:c>
      <x:c r="EI39" s="1053" t="str">
        <x:f t="shared" si="65"/>
        <x:v>ERR</x:v>
      </x:c>
      <x:c r="EJ39" s="1053" t="str">
        <x:f t="shared" si="66"/>
        <x:v/>
      </x:c>
      <x:c r="EK39" s="1053" t="str">
        <x:f t="shared" si="66"/>
        <x:v/>
      </x:c>
      <x:c r="EL39" s="1090" t="str">
        <x:f t="shared" si="67"/>
        <x:v/>
      </x:c>
      <x:c r="EM39" s="1053" t="str">
        <x:f t="shared" si="68"/>
        <x:v/>
      </x:c>
      <x:c r="EN39" s="1053" t="str">
        <x:f t="shared" si="69"/>
        <x:v/>
      </x:c>
      <x:c r="EO39" s="1053" t="str">
        <x:f t="shared" si="70"/>
        <x:v>ERR</x:v>
      </x:c>
      <x:c r="EP39" s="1053" t="str">
        <x:f t="shared" si="71"/>
        <x:v>ERR</x:v>
      </x:c>
      <x:c r="EQ39" s="1053" t="str">
        <x:f t="shared" si="72"/>
        <x:v/>
      </x:c>
      <x:c r="ER39" s="1053" t="str">
        <x:f t="shared" si="72"/>
        <x:v/>
      </x:c>
      <x:c r="ES39" s="1053" t="str">
        <x:f t="shared" si="73"/>
        <x:v/>
      </x:c>
      <x:c r="ET39" s="1053" t="str">
        <x:f t="shared" si="74"/>
        <x:v/>
      </x:c>
      <x:c r="EU39" s="1061">
        <x:f t="shared" si="75"/>
        <x:v>4</x:v>
      </x:c>
      <x:c r="EV39" s="1055" t="str">
        <x:f t="shared" si="76"/>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7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78"/>
        <x:v/>
      </x:c>
      <x:c r="FD39" s="1052">
        <x:f t="shared" si="105"/>
        <x:v>0</x:v>
      </x:c>
      <x:c r="FE39" s="1052">
        <x:f t="shared" si="79"/>
        <x:v>0</x:v>
      </x:c>
      <x:c r="FF39" s="1052">
        <x:f t="shared" si="80"/>
        <x:v>0</x:v>
      </x:c>
      <x:c r="FG39" s="1052" t="str">
        <x:f t="shared" si="81"/>
        <x:v/>
      </x:c>
      <x:c r="FH39" s="1053" t="str">
        <x:f t="shared" si="82"/>
        <x:v/>
      </x:c>
      <x:c r="FI39" s="1052">
        <x:f t="shared" si="106"/>
        <x:v>0</x:v>
      </x:c>
      <x:c r="FJ39" s="1052">
        <x:f t="shared" si="83"/>
        <x:v>0</x:v>
      </x:c>
      <x:c r="FK39" s="1052">
        <x:f t="shared" si="84"/>
        <x:v>0</x:v>
      </x:c>
      <x:c r="FL39" s="1052" t="str">
        <x:f t="shared" si="85"/>
        <x:v/>
      </x:c>
      <x:c r="FM39" s="1053" t="str">
        <x:f t="shared" si="86"/>
        <x:v/>
      </x:c>
      <x:c r="FN39" s="1053" t="e">
        <x:f t="shared" si="87"/>
        <x:v>#VALUE!</x:v>
      </x:c>
      <x:c r="FO39" s="1062" t="e">
        <x:f t="shared" si="88"/>
        <x:v>#VALUE!</x:v>
      </x:c>
      <x:c r="FP39" s="1062" t="e">
        <x:f t="shared" si="89"/>
        <x:v>#VALUE!</x:v>
      </x:c>
      <x:c r="FQ39" s="1063" t="e">
        <x:f t="shared" si="90"/>
        <x:v>#VALUE!</x:v>
      </x:c>
      <x:c r="FR39" s="1064" t="e">
        <x:f t="shared" si="91"/>
        <x:v>#VALUE!</x:v>
      </x:c>
      <x:c r="FS39" s="1065" t="str">
        <x:f t="shared" si="92"/>
        <x:v/>
      </x:c>
      <x:c r="FT39" s="1066" t="str">
        <x:f t="shared" si="93"/>
        <x:v/>
      </x:c>
      <x:c r="FU39" s="1105">
        <x:f t="shared" si="94"/>
        <x:v>0</x:v>
      </x:c>
      <x:c r="FV39" s="1106">
        <x:f t="shared" si="95"/>
        <x:v>0</x:v>
      </x:c>
      <x:c r="GA39" s="1975">
        <x:v>59</x:v>
      </x:c>
      <x:c r="GB39" s="1976">
        <x:v>2.75</x:v>
      </x:c>
      <x:c r="GC39" s="1977">
        <x:v>-1.875</x:v>
      </x:c>
      <x:c r="GD39" s="1978">
        <x:v>-0.25</x:v>
      </x:c>
      <x:c r="GE39" s="1979">
        <x:v>0.26169539219134702</x:v>
      </x:c>
      <x:c r="GF39" s="1980" t="str">
        <x:f t="shared" si="96"/>
        <x:v>TJ265</x:v>
      </x:c>
      <x:c r="GG39" s="1453"/>
      <x:c r="GH39" s="1454"/>
      <x:c r="GI39" s="1453"/>
      <x:c r="GJ39" s="1454"/>
      <x:c r="GK39" s="533">
        <x:f t="shared" si="97"/>
        <x:v>708.625</x:v>
      </x:c>
      <x:c r="GL39" s="534">
        <x:f t="shared" si="98"/>
        <x:v>708.79348626656247</x:v>
      </x:c>
      <x:c r="GM39" s="535">
        <x:f>IF(ABS(GK39-GL39)&gt;='Job Info.'!$L$22,ABS(GK39-GL39),0)</x:f>
        <x:v>0</x:v>
      </x:c>
      <x:c r="HA39" s="1658" t="s">
        <x:v>1589</x:v>
      </x:c>
      <x:c r="HB39" s="1659">
        <x:v>2</x:v>
      </x:c>
      <x:c r="HC39" s="1659" t="s">
        <x:v>1978</x:v>
      </x:c>
      <x:c r="HD39" s="1660">
        <x:v>59</x:v>
      </x:c>
      <x:c r="HE39" s="1661">
        <x:v>0.625</x:v>
      </x:c>
      <x:c r="HF39" s="1659" t="s">
        <x:v>117</x:v>
      </x:c>
      <x:c r="HG39" s="1659" t="s">
        <x:v>117</x:v>
      </x:c>
      <x:c r="HH39" s="1659" t="s">
        <x:v>117</x:v>
      </x:c>
      <x:c r="HI39" s="1662">
        <x:v>0</x:v>
      </x:c>
      <x:c r="HJ39" s="1659">
        <x:v>1.375</x:v>
      </x:c>
      <x:c r="HK39" s="1659" t="s">
        <x:v>114</x:v>
      </x:c>
      <x:c r="HL39" s="1659">
        <x:v>3</x:v>
      </x:c>
      <x:c r="HM39" s="1659">
        <x:v>3</x:v>
      </x:c>
      <x:c r="HN39" s="1659" t="s">
        <x:v>117</x:v>
      </x:c>
      <x:c r="HO39" s="1659" t="s">
        <x:v>117</x:v>
      </x:c>
      <x:c r="HP39" s="1659" t="s">
        <x:v>117</x:v>
      </x:c>
      <x:c r="HQ39" s="1662" t="s">
        <x:v>117</x:v>
      </x:c>
      <x:c r="HR39" s="1659" t="s">
        <x:v>117</x:v>
      </x:c>
      <x:c r="HS39" s="1659" t="s">
        <x:v>117</x:v>
      </x:c>
      <x:c r="HT39" s="1659">
        <x:v>0</x:v>
      </x:c>
      <x:c r="HU39" s="1659">
        <x:v>1.125</x:v>
      </x:c>
      <x:c r="HV39" s="1659">
        <x:v>0</x:v>
      </x:c>
      <x:c r="HW39" s="1661">
        <x:v>2.25</x:v>
      </x:c>
      <x:c r="HX39" s="1661">
        <x:v>4</x:v>
      </x:c>
      <x:c r="HY39" s="1661" t="s">
        <x:v>117</x:v>
      </x:c>
      <x:c r="HZ39" s="1661" t="s">
        <x:v>117</x:v>
      </x:c>
      <x:c r="IA39" s="1661" t="s">
        <x:v>2258</x:v>
      </x:c>
      <x:c r="IB39" s="1661"/>
      <x:c r="IC39" s="1661"/>
      <x:c r="ID39" s="1661"/>
      <x:c r="IE39" s="1661"/>
      <x:c r="IF39" s="1663"/>
    </x:row>
    <x:row r="40" spans="1:240" ht="12.6" customHeight="1" x14ac:dyDescent="0.25">
      <x:c r="A40" s="1264" t="s">
        <x:v>1590</x:v>
      </x:c>
      <x:c r="B40" s="1265">
        <x:v>1</x:v>
      </x:c>
      <x:c r="C40" s="1265" t="s">
        <x:v>1978</x:v>
      </x:c>
      <x:c r="D40" s="1261">
        <x:v>58</x:v>
      </x:c>
      <x:c r="E40" s="1366">
        <x:v>11.875</x:v>
      </x:c>
      <x:c r="F40" s="1328" t="str">
        <x:f t="shared" si="107"/>
        <x:v/>
      </x:c>
      <x:c r="G40" s="1262" t="str">
        <x:f t="shared" si="108"/>
        <x:v/>
      </x:c>
      <x:c r="H40" s="1266" t="str">
        <x:f t="shared" si="109"/>
        <x:v/>
      </x:c>
      <x:c r="I40" s="1261">
        <x:v>0</x:v>
      </x:c>
      <x:c r="J40" s="1262">
        <x:v>0.625</x:v>
      </x:c>
      <x:c r="K40" s="1370" t="s">
        <x:v>114</x:v>
      </x:c>
      <x:c r="L40" s="1327">
        <x:v>3</x:v>
      </x:c>
      <x:c r="M40" s="1329">
        <x:v>3</x:v>
      </x:c>
      <x:c r="N40" s="1263" t="str">
        <x:f t="shared" si="1"/>
        <x:v/>
      </x:c>
      <x:c r="O40" s="1262" t="str">
        <x:f t="shared" si="2"/>
        <x:v/>
      </x:c>
      <x:c r="P40" s="1260" t="str">
        <x:f t="shared" si="3"/>
        <x:v/>
      </x:c>
      <x:c r="Q40" s="1261">
        <x:v>0</x:v>
      </x:c>
      <x:c r="R40" s="1262">
        <x:v>6.75</x:v>
      </x:c>
      <x:c r="S40" s="1375">
        <x:v>2</x:v>
      </x:c>
      <x:c r="T40" s="1328">
        <x:v>0</x:v>
      </x:c>
      <x:c r="U40" s="1262">
        <x:v>1.125</x:v>
      </x:c>
      <x:c r="V40" s="1261">
        <x:v>0</x:v>
      </x:c>
      <x:c r="W40" s="1262">
        <x:v>1.5</x:v>
      </x:c>
      <x:c r="X40" s="1329">
        <x:v>4</x:v>
      </x:c>
      <x:c r="Y40" s="1377" t="str">
        <x:f t="shared" si="7"/>
        <x:v/>
      </x:c>
      <x:c r="Z40" s="1378" t="str">
        <x:f t="shared" si="8"/>
        <x:v/>
      </x:c>
      <x:c r="AA40" s="2159" t="s">
        <x:v>2258</x:v>
      </x:c>
      <x:c r="AC40" s="1226" t="b">
        <x:v>0</x:v>
      </x:c>
      <x:c r="AD40" s="525">
        <x:f t="shared" si="9"/>
        <x:v>0</x:v>
      </x:c>
      <x:c r="AE40" s="526">
        <x:f t="shared" si="10"/>
        <x:v>1</x:v>
      </x:c>
      <x:c r="AF40" s="526">
        <x:f t="shared" si="11"/>
        <x:v>0</x:v>
      </x:c>
      <x:c r="AG40" s="526">
        <x:f t="shared" si="12"/>
        <x:v>0</x:v>
      </x:c>
      <x:c r="AH40" s="527">
        <x:f t="shared" si="13"/>
        <x:v>0</x:v>
      </x:c>
      <x:c r="AI40" s="528" t="b">
        <x:v>0</x:v>
      </x:c>
      <x:c r="AJ40" s="284">
        <x:f t="shared" si="14"/>
        <x:v>36</x:v>
      </x:c>
      <x:c r="AK40" s="1063" t="str">
        <x:f t="shared" si="15"/>
        <x:v>LH</x:v>
      </x:c>
      <x:c r="AL40" s="1202" t="str">
        <x:f t="shared" si="16"/>
        <x:v/>
      </x:c>
      <x:c r="AM40" s="1063">
        <x:f t="shared" si="17"/>
        <x:v>270</x:v>
      </x:c>
      <x:c r="AN40" s="1063">
        <x:f t="shared" si="18"/>
        <x:v>120</x:v>
      </x:c>
      <x:c r="AO40" s="1063" t="str">
        <x:f t="shared" si="19"/>
        <x:v/>
      </x:c>
      <x:c r="AP40" s="1063" t="b">
        <x:f>IF(ISERROR(AJ40),FALSE,IF(OR(AJ40=0,ISERROR(AL40),ISERROR(AM40),ISERROR(AN40),ISERROR(AO40)),FALSE,IF(AL40&lt;&gt;"",IF(ISERROR(VLOOKUP(SUBSTITUTE(SUBSTITUTE(C40,"R",""),"A",""),TblJoistSize!$A:$A,1,FALSE)),FALSE,TRUE),TRUE)))</x:f>
        <x:v>1</x:v>
      </x:c>
      <x:c r="AQ40" s="1305">
        <x:f t="shared" si="20"/>
        <x:v>6</x:v>
      </x:c>
      <x:c r="AR40" s="1305" t="b">
        <x:f t="shared" si="21"/>
        <x:v>1</x:v>
      </x:c>
      <x:c r="AS40" s="1305">
        <x:f t="shared" si="22"/>
        <x:v>6.625</x:v>
      </x:c>
      <x:c r="AT40" s="1305" t="b">
        <x:f t="shared" si="23"/>
        <x:v>1</x:v>
      </x:c>
      <x:c r="AU40" s="1203" t="str">
        <x:f t="shared" si="24"/>
        <x:v>LH</x:v>
      </x:c>
      <x:c r="AV40" s="1063" t="str">
        <x:f t="shared" si="25"/>
        <x:v/>
      </x:c>
      <x:c r="AW40" s="1063" t="str">
        <x:f t="shared" si="26"/>
        <x:v>LH</x:v>
      </x:c>
      <x:c r="AX40" s="1063" t="str">
        <x:f t="shared" si="104"/>
        <x:v>TJ266</x:v>
      </x:c>
      <x:c r="AY40" s="1306" t="b">
        <x:f t="shared" si="27"/>
        <x:v>0</x:v>
      </x:c>
      <x:c r="AZ40" s="1090" t="b">
        <x:f t="shared" si="28"/>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29"/>
        <x:v/>
      </x:c>
      <x:c r="CE40" s="935" t="str">
        <x:f t="shared" si="30"/>
        <x:v/>
      </x:c>
      <x:c r="CF40" s="1149"/>
      <x:c r="CG40" s="1150"/>
      <x:c r="CH40" s="738" t="str">
        <x:f t="shared" si="31"/>
        <x:v/>
      </x:c>
      <x:c r="CI40" s="739" t="str">
        <x:f t="shared" si="32"/>
        <x:v/>
      </x:c>
      <x:c r="CJ40" s="740" t="str">
        <x:f t="shared" si="33"/>
        <x:v/>
      </x:c>
      <x:c r="CK40" s="741" t="str">
        <x:f t="shared" si="34"/>
        <x:v/>
      </x:c>
      <x:c r="CL40" s="742" t="str">
        <x:f t="shared" si="35"/>
        <x:v/>
      </x:c>
      <x:c r="CM40" s="743" t="str">
        <x:f t="shared" si="36"/>
        <x:v/>
      </x:c>
      <x:c r="CN40" s="744" t="str">
        <x:f t="shared" si="37"/>
        <x:v/>
      </x:c>
      <x:c r="CO40" s="745" t="str">
        <x:f t="shared" si="38"/>
        <x:v/>
      </x:c>
      <x:c r="CP40" s="762" t="str">
        <x:f t="shared" si="39"/>
        <x:v/>
      </x:c>
      <x:c r="CQ40" s="763" t="str">
        <x:f t="shared" si="40"/>
        <x:v/>
      </x:c>
      <x:c r="CR40" s="953">
        <x:f t="shared" si="41"/>
        <x:v>5</x:v>
      </x:c>
      <x:c r="CS40" s="954">
        <x:f t="shared" si="42"/>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3"/>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4"/>
        <x:v>0</x:v>
      </x:c>
      <x:c r="DO40" s="1049">
        <x:f t="shared" si="45"/>
        <x:v>0</x:v>
      </x:c>
      <x:c r="DP40" s="1053" t="str">
        <x:f t="shared" si="46"/>
        <x:v/>
      </x:c>
      <x:c r="DQ40" s="1053" t="str">
        <x:f t="shared" si="47"/>
        <x:v/>
      </x:c>
      <x:c r="DR40" s="1053" t="str">
        <x:f t="shared" si="48"/>
        <x:v/>
      </x:c>
      <x:c r="DS40" s="1052">
        <x:f t="shared" si="49"/>
        <x:v>0</x:v>
      </x:c>
      <x:c r="DT40" s="1052">
        <x:f t="shared" si="50"/>
        <x:v>0</x:v>
      </x:c>
      <x:c r="DU40" s="1052" t="str">
        <x:f t="shared" si="51"/>
        <x:v/>
      </x:c>
      <x:c r="DV40" s="1053" t="str">
        <x:f t="shared" si="52"/>
        <x:v/>
      </x:c>
      <x:c r="DW40" s="1053" t="str">
        <x:f t="shared" si="53"/>
        <x:v/>
      </x:c>
      <x:c r="DX40" s="1269">
        <x:f t="shared" si="54"/>
        <x:v>0</x:v>
      </x:c>
      <x:c r="DY40" s="1053">
        <x:f t="shared" si="55"/>
        <x:v>0</x:v>
      </x:c>
      <x:c r="DZ40" s="1052">
        <x:f t="shared" si="56"/>
        <x:v>0</x:v>
      </x:c>
      <x:c r="EA40" s="1052" t="str">
        <x:f t="shared" si="57"/>
        <x:v/>
      </x:c>
      <x:c r="EB40" s="1053" t="str">
        <x:f t="shared" si="58"/>
        <x:v/>
      </x:c>
      <x:c r="EC40" s="1053" t="str">
        <x:f t="shared" si="59"/>
        <x:v/>
      </x:c>
      <x:c r="ED40" s="1269">
        <x:f t="shared" si="60"/>
        <x:v>0</x:v>
      </x:c>
      <x:c r="EE40" s="1090" t="str">
        <x:f t="shared" si="61"/>
        <x:v/>
      </x:c>
      <x:c r="EF40" s="1053" t="str">
        <x:f t="shared" si="62"/>
        <x:v/>
      </x:c>
      <x:c r="EG40" s="1053" t="str">
        <x:f t="shared" si="63"/>
        <x:v/>
      </x:c>
      <x:c r="EH40" s="1053" t="str">
        <x:f t="shared" si="64"/>
        <x:v>ERR</x:v>
      </x:c>
      <x:c r="EI40" s="1053" t="str">
        <x:f t="shared" si="65"/>
        <x:v>ERR</x:v>
      </x:c>
      <x:c r="EJ40" s="1053" t="str">
        <x:f t="shared" si="66"/>
        <x:v/>
      </x:c>
      <x:c r="EK40" s="1053" t="str">
        <x:f t="shared" si="66"/>
        <x:v/>
      </x:c>
      <x:c r="EL40" s="1090" t="str">
        <x:f t="shared" si="67"/>
        <x:v/>
      </x:c>
      <x:c r="EM40" s="1053" t="str">
        <x:f t="shared" si="68"/>
        <x:v/>
      </x:c>
      <x:c r="EN40" s="1053" t="str">
        <x:f t="shared" si="69"/>
        <x:v/>
      </x:c>
      <x:c r="EO40" s="1053" t="str">
        <x:f t="shared" si="70"/>
        <x:v>ERR</x:v>
      </x:c>
      <x:c r="EP40" s="1053" t="str">
        <x:f t="shared" si="71"/>
        <x:v>ERR</x:v>
      </x:c>
      <x:c r="EQ40" s="1053" t="str">
        <x:f t="shared" si="72"/>
        <x:v/>
      </x:c>
      <x:c r="ER40" s="1053" t="str">
        <x:f t="shared" si="72"/>
        <x:v/>
      </x:c>
      <x:c r="ES40" s="1053" t="str">
        <x:f t="shared" si="73"/>
        <x:v/>
      </x:c>
      <x:c r="ET40" s="1053" t="str">
        <x:f t="shared" si="74"/>
        <x:v/>
      </x:c>
      <x:c r="EU40" s="1061">
        <x:f t="shared" si="75"/>
        <x:v>4</x:v>
      </x:c>
      <x:c r="EV40" s="1055" t="str">
        <x:f t="shared" si="76"/>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77"/>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78"/>
        <x:v/>
      </x:c>
      <x:c r="FD40" s="1052">
        <x:f t="shared" si="105"/>
        <x:v>0</x:v>
      </x:c>
      <x:c r="FE40" s="1052">
        <x:f t="shared" si="79"/>
        <x:v>0</x:v>
      </x:c>
      <x:c r="FF40" s="1052">
        <x:f t="shared" si="80"/>
        <x:v>0</x:v>
      </x:c>
      <x:c r="FG40" s="1052" t="str">
        <x:f t="shared" si="81"/>
        <x:v/>
      </x:c>
      <x:c r="FH40" s="1053" t="str">
        <x:f t="shared" si="82"/>
        <x:v/>
      </x:c>
      <x:c r="FI40" s="1052">
        <x:f t="shared" si="106"/>
        <x:v>0</x:v>
      </x:c>
      <x:c r="FJ40" s="1052">
        <x:f t="shared" si="83"/>
        <x:v>0</x:v>
      </x:c>
      <x:c r="FK40" s="1052">
        <x:f t="shared" si="84"/>
        <x:v>0</x:v>
      </x:c>
      <x:c r="FL40" s="1052" t="str">
        <x:f t="shared" si="85"/>
        <x:v/>
      </x:c>
      <x:c r="FM40" s="1053" t="str">
        <x:f t="shared" si="86"/>
        <x:v/>
      </x:c>
      <x:c r="FN40" s="1053" t="e">
        <x:f t="shared" si="87"/>
        <x:v>#VALUE!</x:v>
      </x:c>
      <x:c r="FO40" s="1062" t="e">
        <x:f t="shared" si="88"/>
        <x:v>#VALUE!</x:v>
      </x:c>
      <x:c r="FP40" s="1062" t="e">
        <x:f t="shared" si="89"/>
        <x:v>#VALUE!</x:v>
      </x:c>
      <x:c r="FQ40" s="1063" t="e">
        <x:f t="shared" si="90"/>
        <x:v>#VALUE!</x:v>
      </x:c>
      <x:c r="FR40" s="1064" t="e">
        <x:f t="shared" si="91"/>
        <x:v>#VALUE!</x:v>
      </x:c>
      <x:c r="FS40" s="1065" t="str">
        <x:f t="shared" si="92"/>
        <x:v/>
      </x:c>
      <x:c r="FT40" s="1066" t="str">
        <x:f t="shared" si="93"/>
        <x:v/>
      </x:c>
      <x:c r="FU40" s="1105">
        <x:f t="shared" si="94"/>
        <x:v>0</x:v>
      </x:c>
      <x:c r="FV40" s="1106">
        <x:f t="shared" si="95"/>
        <x:v>0</x:v>
      </x:c>
      <x:c r="GA40" s="1975">
        <x:v>59</x:v>
      </x:c>
      <x:c r="GB40" s="1976">
        <x:v>2.75</x:v>
      </x:c>
      <x:c r="GC40" s="1977">
        <x:v>-1.875</x:v>
      </x:c>
      <x:c r="GD40" s="1978">
        <x:v>-1</x:v>
      </x:c>
      <x:c r="GE40" s="1979">
        <x:v>0.26169539219134702</x:v>
      </x:c>
      <x:c r="GF40" s="1980" t="str">
        <x:f t="shared" si="96"/>
        <x:v>TJ266</x:v>
      </x:c>
      <x:c r="GG40" s="1453"/>
      <x:c r="GH40" s="1454"/>
      <x:c r="GI40" s="1453"/>
      <x:c r="GJ40" s="1454"/>
      <x:c r="GK40" s="533">
        <x:f t="shared" si="97"/>
        <x:v>707.875</x:v>
      </x:c>
      <x:c r="GL40" s="534">
        <x:f t="shared" si="98"/>
        <x:v>708.04330794276643</x:v>
      </x:c>
      <x:c r="GM40" s="535">
        <x:f>IF(ABS(GK40-GL40)&gt;='Job Info.'!$L$22,ABS(GK40-GL40),0)</x:f>
        <x:v>0</x:v>
      </x:c>
      <x:c r="HA40" s="1658" t="s">
        <x:v>1590</x:v>
      </x:c>
      <x:c r="HB40" s="1659">
        <x:v>1</x:v>
      </x:c>
      <x:c r="HC40" s="1659" t="s">
        <x:v>1978</x:v>
      </x:c>
      <x:c r="HD40" s="1660">
        <x:v>58</x:v>
      </x:c>
      <x:c r="HE40" s="1661">
        <x:v>11.875</x:v>
      </x:c>
      <x:c r="HF40" s="1659" t="s">
        <x:v>117</x:v>
      </x:c>
      <x:c r="HG40" s="1659" t="s">
        <x:v>117</x:v>
      </x:c>
      <x:c r="HH40" s="1659" t="s">
        <x:v>117</x:v>
      </x:c>
      <x:c r="HI40" s="1662">
        <x:v>0</x:v>
      </x:c>
      <x:c r="HJ40" s="1659">
        <x:v>0.625</x:v>
      </x:c>
      <x:c r="HK40" s="1659" t="s">
        <x:v>114</x:v>
      </x:c>
      <x:c r="HL40" s="1659">
        <x:v>3</x:v>
      </x:c>
      <x:c r="HM40" s="1659">
        <x:v>3</x:v>
      </x:c>
      <x:c r="HN40" s="1659" t="s">
        <x:v>117</x:v>
      </x:c>
      <x:c r="HO40" s="1659" t="s">
        <x:v>117</x:v>
      </x:c>
      <x:c r="HP40" s="1659" t="s">
        <x:v>117</x:v>
      </x:c>
      <x:c r="HQ40" s="1662">
        <x:v>0</x:v>
      </x:c>
      <x:c r="HR40" s="1659">
        <x:v>6.75</x:v>
      </x:c>
      <x:c r="HS40" s="1659">
        <x:v>2</x:v>
      </x:c>
      <x:c r="HT40" s="1659">
        <x:v>0</x:v>
      </x:c>
      <x:c r="HU40" s="1659">
        <x:v>1.125</x:v>
      </x:c>
      <x:c r="HV40" s="1659">
        <x:v>0</x:v>
      </x:c>
      <x:c r="HW40" s="1661">
        <x:v>1.5</x:v>
      </x:c>
      <x:c r="HX40" s="1661">
        <x:v>4</x:v>
      </x:c>
      <x:c r="HY40" s="1661" t="s">
        <x:v>117</x:v>
      </x:c>
      <x:c r="HZ40" s="1661" t="s">
        <x:v>117</x:v>
      </x:c>
      <x:c r="IA40" s="1661" t="s">
        <x:v>2258</x:v>
      </x:c>
      <x:c r="IB40" s="1661"/>
      <x:c r="IC40" s="1661"/>
      <x:c r="ID40" s="1661"/>
      <x:c r="IE40" s="1661"/>
      <x:c r="IF40" s="1663"/>
    </x:row>
    <x:row r="41" spans="1:240" ht="12.6" customHeight="1" x14ac:dyDescent="0.25">
      <x:c r="A41" s="1264" t="str">
        <x:f t="shared" ref="A41:A44" si="110">IF(BB41="","",UPPER(BB41))</x:f>
        <x:v/>
      </x:c>
      <x:c r="B41" s="1265"/>
      <x:c r="C41" s="1265" t="str">
        <x:f t="shared" ref="C41:C44" si="111">IF(BD41="","",UPPER(BD41))</x:f>
        <x:v/>
      </x:c>
      <x:c r="D41" s="1261" t="str">
        <x:f t="shared" ref="D41:D44" si="112">IF(DP41="","",TRUNC(DP41/12))</x:f>
        <x:v/>
      </x:c>
      <x:c r="E41" s="1366" t="str">
        <x:f t="shared" ref="E41:E44" si="113">IF(DP41="","",DP41-(D41*12))</x:f>
        <x:v/>
      </x:c>
      <x:c r="F41" s="1328" t="str">
        <x:f t="shared" si="107"/>
        <x:v/>
      </x:c>
      <x:c r="G41" s="1262" t="str">
        <x:f t="shared" si="108"/>
        <x:v/>
      </x:c>
      <x:c r="H41" s="1266" t="str">
        <x:f t="shared" si="109"/>
        <x:v/>
      </x:c>
      <x:c r="I41" s="1261" t="str">
        <x:f t="shared" ref="I41:I44" si="114">IF(ED41=0,"",TRUNC(ED41/12))</x:f>
        <x:v/>
      </x:c>
      <x:c r="J41" s="1262" t="str">
        <x:f t="shared" ref="J41:J44" si="115">IF(ED41=0,"",ED41-(I41*12))</x:f>
        <x:v/>
      </x:c>
      <x:c r="K41" s="1370" t="str">
        <x:f t="shared" ref="K41:K44" si="116">IF(ED41=0,"",DG41)</x:f>
        <x:v/>
      </x:c>
      <x:c r="L41" s="1327" t="str">
        <x:f t="shared" ref="L41:M44" si="117">DQ41</x:f>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99"/>
        <x:v/>
      </x:c>
      <x:c r="U41" s="1262" t="str">
        <x:f t="shared" si="100"/>
        <x:v/>
      </x:c>
      <x:c r="V41" s="1261" t="str">
        <x:f t="shared" si="101"/>
        <x:v/>
      </x:c>
      <x:c r="W41" s="1262" t="str">
        <x:f t="shared" si="102"/>
        <x:v/>
      </x:c>
      <x:c r="X41" s="1329">
        <x:f t="shared" si="103"/>
        <x:v>0</x:v>
      </x:c>
      <x:c r="Y41" s="1377" t="str">
        <x:f t="shared" si="7"/>
        <x:v/>
      </x:c>
      <x:c r="Z41" s="1378" t="str">
        <x:f t="shared" si="8"/>
        <x:v/>
      </x:c>
      <x:c r="AA41" s="2159"/>
      <x:c r="AC41" s="1226" t="b">
        <x:v>0</x:v>
      </x:c>
      <x:c r="AD41" s="525">
        <x:f t="shared" si="9"/>
        <x:v>0</x:v>
      </x:c>
      <x:c r="AE41" s="526">
        <x:f t="shared" si="10"/>
        <x:v>0</x:v>
      </x:c>
      <x:c r="AF41" s="526">
        <x:f t="shared" si="11"/>
        <x:v>0</x:v>
      </x:c>
      <x:c r="AG41" s="526">
        <x:f t="shared" si="12"/>
        <x:v>0</x:v>
      </x:c>
      <x:c r="AH41" s="527">
        <x:f t="shared" si="13"/>
        <x:v>0</x:v>
      </x:c>
      <x:c r="AI41" s="528" t="b">
        <x:v>0</x:v>
      </x:c>
      <x:c r="AJ41" s="284">
        <x:f t="shared" si="14"/>
        <x:v>0</x:v>
      </x:c>
      <x:c r="AK41" s="1063" t="str">
        <x:f t="shared" si="15"/>
        <x:v/>
      </x:c>
      <x:c r="AL41" s="1202" t="str">
        <x:f t="shared" si="16"/>
        <x:v/>
      </x:c>
      <x:c r="AM41" s="1063" t="str">
        <x:f t="shared" si="17"/>
        <x:v/>
      </x:c>
      <x:c r="AN41" s="1063" t="str">
        <x:f t="shared" si="18"/>
        <x:v/>
      </x:c>
      <x:c r="AO41" s="1063" t="str">
        <x:f t="shared" si="19"/>
        <x:v/>
      </x:c>
      <x:c r="AP41" s="1063" t="b">
        <x:f>IF(ISERROR(AJ41),FALSE,IF(OR(AJ41=0,ISERROR(AL41),ISERROR(AM41),ISERROR(AN41),ISERROR(AO41)),FALSE,IF(AL41&lt;&gt;"",IF(ISERROR(VLOOKUP(SUBSTITUTE(SUBSTITUTE(C41,"R",""),"A",""),TblJoistSize!$A:$A,1,FALSE)),FALSE,TRUE),TRUE)))</x:f>
        <x:v>0</x:v>
      </x:c>
      <x:c r="AQ41" s="1305" t="e">
        <x:f t="shared" si="20"/>
        <x:v>#N/A</x:v>
      </x:c>
      <x:c r="AR41" s="1305" t="b">
        <x:f t="shared" si="21"/>
        <x:v>0</x:v>
      </x:c>
      <x:c r="AS41" s="1305" t="e">
        <x:f t="shared" si="22"/>
        <x:v>#N/A</x:v>
      </x:c>
      <x:c r="AT41" s="1305" t="b">
        <x:f t="shared" si="23"/>
        <x:v>0</x:v>
      </x:c>
      <x:c r="AU41" s="1203" t="str">
        <x:f t="shared" si="24"/>
        <x:v/>
      </x:c>
      <x:c r="AV41" s="1063" t="str">
        <x:f t="shared" si="25"/>
        <x:v/>
      </x:c>
      <x:c r="AW41" s="1063" t="str">
        <x:f t="shared" si="26"/>
        <x:v/>
      </x:c>
      <x:c r="AX41" s="1063" t="str">
        <x:f t="shared" si="104"/>
        <x:v/>
      </x:c>
      <x:c r="AY41" s="1306" t="b">
        <x:f t="shared" si="27"/>
        <x:v>0</x:v>
      </x:c>
      <x:c r="AZ41" s="1090" t="str">
        <x:f t="shared" si="28"/>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29"/>
        <x:v/>
      </x:c>
      <x:c r="CE41" s="935" t="str">
        <x:f t="shared" si="30"/>
        <x:v/>
      </x:c>
      <x:c r="CF41" s="1149"/>
      <x:c r="CG41" s="1150"/>
      <x:c r="CH41" s="738" t="str">
        <x:f t="shared" si="31"/>
        <x:v/>
      </x:c>
      <x:c r="CI41" s="739" t="str">
        <x:f t="shared" si="32"/>
        <x:v/>
      </x:c>
      <x:c r="CJ41" s="740" t="str">
        <x:f t="shared" si="33"/>
        <x:v/>
      </x:c>
      <x:c r="CK41" s="741" t="str">
        <x:f t="shared" si="34"/>
        <x:v/>
      </x:c>
      <x:c r="CL41" s="742" t="str">
        <x:f t="shared" si="35"/>
        <x:v/>
      </x:c>
      <x:c r="CM41" s="743" t="str">
        <x:f t="shared" si="36"/>
        <x:v/>
      </x:c>
      <x:c r="CN41" s="744" t="str">
        <x:f t="shared" si="37"/>
        <x:v/>
      </x:c>
      <x:c r="CO41" s="745" t="str">
        <x:f t="shared" si="38"/>
        <x:v/>
      </x:c>
      <x:c r="CP41" s="762" t="str">
        <x:f t="shared" si="39"/>
        <x:v/>
      </x:c>
      <x:c r="CQ41" s="763" t="str">
        <x:f t="shared" si="40"/>
        <x:v/>
      </x:c>
      <x:c r="CR41" s="953" t="str">
        <x:f t="shared" si="41"/>
        <x:v/>
      </x:c>
      <x:c r="CS41" s="954" t="str">
        <x:f t="shared" si="42"/>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3"/>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4"/>
        <x:v>0</x:v>
      </x:c>
      <x:c r="DO41" s="1049">
        <x:f t="shared" si="45"/>
        <x:v>0</x:v>
      </x:c>
      <x:c r="DP41" s="1053" t="str">
        <x:f t="shared" si="46"/>
        <x:v/>
      </x:c>
      <x:c r="DQ41" s="1053" t="str">
        <x:f t="shared" si="47"/>
        <x:v/>
      </x:c>
      <x:c r="DR41" s="1053" t="str">
        <x:f t="shared" si="48"/>
        <x:v/>
      </x:c>
      <x:c r="DS41" s="1052">
        <x:f t="shared" si="49"/>
        <x:v>0</x:v>
      </x:c>
      <x:c r="DT41" s="1052">
        <x:f t="shared" si="50"/>
        <x:v>0</x:v>
      </x:c>
      <x:c r="DU41" s="1052" t="str">
        <x:f t="shared" si="51"/>
        <x:v/>
      </x:c>
      <x:c r="DV41" s="1053" t="str">
        <x:f t="shared" si="52"/>
        <x:v/>
      </x:c>
      <x:c r="DW41" s="1053" t="str">
        <x:f t="shared" si="53"/>
        <x:v/>
      </x:c>
      <x:c r="DX41" s="1269">
        <x:f t="shared" si="54"/>
        <x:v>0</x:v>
      </x:c>
      <x:c r="DY41" s="1053">
        <x:f t="shared" si="55"/>
        <x:v>0</x:v>
      </x:c>
      <x:c r="DZ41" s="1052">
        <x:f t="shared" si="56"/>
        <x:v>0</x:v>
      </x:c>
      <x:c r="EA41" s="1052" t="str">
        <x:f t="shared" si="57"/>
        <x:v/>
      </x:c>
      <x:c r="EB41" s="1053" t="str">
        <x:f t="shared" si="58"/>
        <x:v/>
      </x:c>
      <x:c r="EC41" s="1053" t="str">
        <x:f t="shared" si="59"/>
        <x:v/>
      </x:c>
      <x:c r="ED41" s="1269">
        <x:f t="shared" si="60"/>
        <x:v>0</x:v>
      </x:c>
      <x:c r="EE41" s="1090" t="str">
        <x:f t="shared" si="61"/>
        <x:v/>
      </x:c>
      <x:c r="EF41" s="1053" t="str">
        <x:f t="shared" si="62"/>
        <x:v/>
      </x:c>
      <x:c r="EG41" s="1053" t="str">
        <x:f t="shared" si="63"/>
        <x:v/>
      </x:c>
      <x:c r="EH41" s="1053" t="e">
        <x:f t="shared" si="64"/>
        <x:v>#N/A</x:v>
      </x:c>
      <x:c r="EI41" s="1053" t="e">
        <x:f t="shared" si="65"/>
        <x:v>#N/A</x:v>
      </x:c>
      <x:c r="EJ41" s="1053" t="str">
        <x:f t="shared" si="66"/>
        <x:v/>
      </x:c>
      <x:c r="EK41" s="1053" t="str">
        <x:f t="shared" si="66"/>
        <x:v/>
      </x:c>
      <x:c r="EL41" s="1090" t="str">
        <x:f t="shared" si="67"/>
        <x:v/>
      </x:c>
      <x:c r="EM41" s="1053" t="str">
        <x:f t="shared" si="68"/>
        <x:v/>
      </x:c>
      <x:c r="EN41" s="1053" t="str">
        <x:f t="shared" si="69"/>
        <x:v/>
      </x:c>
      <x:c r="EO41" s="1053" t="e">
        <x:f t="shared" si="70"/>
        <x:v>#N/A</x:v>
      </x:c>
      <x:c r="EP41" s="1053" t="e">
        <x:f t="shared" si="71"/>
        <x:v>#N/A</x:v>
      </x:c>
      <x:c r="EQ41" s="1053" t="str">
        <x:f t="shared" si="72"/>
        <x:v/>
      </x:c>
      <x:c r="ER41" s="1053" t="str">
        <x:f t="shared" si="72"/>
        <x:v/>
      </x:c>
      <x:c r="ES41" s="1053" t="str">
        <x:f t="shared" si="73"/>
        <x:v/>
      </x:c>
      <x:c r="ET41" s="1053" t="str">
        <x:f t="shared" si="74"/>
        <x:v/>
      </x:c>
      <x:c r="EU41" s="1061" t="str">
        <x:f t="shared" si="75"/>
        <x:v/>
      </x:c>
      <x:c r="EV41" s="1055" t="str">
        <x:f t="shared" si="76"/>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77"/>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78"/>
        <x:v/>
      </x:c>
      <x:c r="FD41" s="1052">
        <x:f t="shared" si="105"/>
        <x:v>0</x:v>
      </x:c>
      <x:c r="FE41" s="1052">
        <x:f t="shared" si="79"/>
        <x:v>0</x:v>
      </x:c>
      <x:c r="FF41" s="1052">
        <x:f t="shared" si="80"/>
        <x:v>0</x:v>
      </x:c>
      <x:c r="FG41" s="1052" t="str">
        <x:f t="shared" si="81"/>
        <x:v/>
      </x:c>
      <x:c r="FH41" s="1053" t="str">
        <x:f t="shared" si="82"/>
        <x:v/>
      </x:c>
      <x:c r="FI41" s="1052">
        <x:f t="shared" si="106"/>
        <x:v>0</x:v>
      </x:c>
      <x:c r="FJ41" s="1052">
        <x:f t="shared" si="83"/>
        <x:v>0</x:v>
      </x:c>
      <x:c r="FK41" s="1052">
        <x:f t="shared" si="84"/>
        <x:v>0</x:v>
      </x:c>
      <x:c r="FL41" s="1052" t="str">
        <x:f t="shared" si="85"/>
        <x:v/>
      </x:c>
      <x:c r="FM41" s="1053" t="str">
        <x:f t="shared" si="86"/>
        <x:v/>
      </x:c>
      <x:c r="FN41" s="1053" t="e">
        <x:f t="shared" si="87"/>
        <x:v>#VALUE!</x:v>
      </x:c>
      <x:c r="FO41" s="1062" t="e">
        <x:f t="shared" si="88"/>
        <x:v>#VALUE!</x:v>
      </x:c>
      <x:c r="FP41" s="1062" t="e">
        <x:f t="shared" si="89"/>
        <x:v>#VALUE!</x:v>
      </x:c>
      <x:c r="FQ41" s="1063" t="e">
        <x:f t="shared" si="90"/>
        <x:v>#VALUE!</x:v>
      </x:c>
      <x:c r="FR41" s="1064" t="e">
        <x:f t="shared" si="91"/>
        <x:v>#VALUE!</x:v>
      </x:c>
      <x:c r="FS41" s="1065" t="str">
        <x:f t="shared" si="92"/>
        <x:v/>
      </x:c>
      <x:c r="FT41" s="1066" t="str">
        <x:f t="shared" si="93"/>
        <x:v/>
      </x:c>
      <x:c r="FU41" s="1105">
        <x:f t="shared" si="94"/>
        <x:v>0</x:v>
      </x:c>
      <x:c r="FV41" s="1106">
        <x:f t="shared" si="95"/>
        <x:v>0</x:v>
      </x:c>
      <x:c r="GA41" s="1975" t="str">
        <x:f t="shared" ref="GA41:GA45" si="118">IF(GF41="","",BE41)</x:f>
        <x:v/>
      </x:c>
      <x:c r="GB41" s="1976" t="str">
        <x:f t="shared" ref="GB41:GB45" si="119">IF(GF41="","",BF41)</x:f>
        <x:v/>
      </x:c>
      <x:c r="GC41" s="1977" t="str">
        <x:f t="shared" ref="GC41:GC45" si="120">IF(GF41="","",IF(CV41="",0,CV41))</x:f>
        <x:v/>
      </x:c>
      <x:c r="GD41" s="1978" t="str">
        <x:f t="shared" ref="GD41:GD45" si="121">IF(GF41="","",IF(DF41="",0,DF41))</x:f>
        <x:v/>
      </x:c>
      <x:c r="GE41" s="1979" t="str">
        <x:f t="shared" ref="GE41:GE45" si="122">IF(GF41="","",BW41)</x:f>
        <x:v/>
      </x:c>
      <x:c r="GF41" s="1980" t="str">
        <x:f t="shared" si="96"/>
        <x:v/>
      </x:c>
      <x:c r="GG41" s="1453"/>
      <x:c r="GH41" s="1454"/>
      <x:c r="GI41" s="1453"/>
      <x:c r="GJ41" s="1454"/>
      <x:c r="GK41" s="533">
        <x:f t="shared" si="97"/>
        <x:v>0</x:v>
      </x:c>
      <x:c r="GL41" s="534" t="e">
        <x:f t="shared" si="98"/>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07"/>
        <x:v/>
      </x:c>
      <x:c r="G42" s="1262" t="str">
        <x:f t="shared" si="108"/>
        <x:v/>
      </x:c>
      <x:c r="H42" s="1266" t="str">
        <x:f t="shared" si="109"/>
        <x:v/>
      </x:c>
      <x:c r="I42" s="1261" t="str">
        <x:f t="shared" si="114"/>
        <x:v/>
      </x:c>
      <x:c r="J42" s="1262" t="str">
        <x:f t="shared" si="115"/>
        <x:v/>
      </x:c>
      <x:c r="K42" s="1370" t="str">
        <x:f t="shared" si="116"/>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99"/>
        <x:v/>
      </x:c>
      <x:c r="U42" s="1262" t="str">
        <x:f t="shared" si="100"/>
        <x:v/>
      </x:c>
      <x:c r="V42" s="1261" t="str">
        <x:f t="shared" si="101"/>
        <x:v/>
      </x:c>
      <x:c r="W42" s="1262" t="str">
        <x:f t="shared" si="102"/>
        <x:v/>
      </x:c>
      <x:c r="X42" s="1329">
        <x:f t="shared" si="103"/>
        <x:v>0</x:v>
      </x:c>
      <x:c r="Y42" s="1377" t="str">
        <x:f t="shared" si="7"/>
        <x:v/>
      </x:c>
      <x:c r="Z42" s="1378" t="str">
        <x:f t="shared" si="8"/>
        <x:v/>
      </x:c>
      <x:c r="AA42" s="2159"/>
      <x:c r="AC42" s="1226" t="b">
        <x:v>0</x:v>
      </x:c>
      <x:c r="AD42" s="525">
        <x:f t="shared" si="9"/>
        <x:v>0</x:v>
      </x:c>
      <x:c r="AE42" s="526">
        <x:f t="shared" si="10"/>
        <x:v>0</x:v>
      </x:c>
      <x:c r="AF42" s="526">
        <x:f t="shared" si="11"/>
        <x:v>0</x:v>
      </x:c>
      <x:c r="AG42" s="526">
        <x:f t="shared" si="12"/>
        <x:v>0</x:v>
      </x:c>
      <x:c r="AH42" s="527">
        <x:f t="shared" si="13"/>
        <x:v>0</x:v>
      </x:c>
      <x:c r="AI42" s="528" t="b">
        <x:v>0</x:v>
      </x:c>
      <x:c r="AJ42" s="284">
        <x:f t="shared" si="14"/>
        <x:v>0</x:v>
      </x:c>
      <x:c r="AK42" s="1063" t="str">
        <x:f t="shared" si="15"/>
        <x:v/>
      </x:c>
      <x:c r="AL42" s="1202" t="str">
        <x:f t="shared" si="16"/>
        <x:v/>
      </x:c>
      <x:c r="AM42" s="1063" t="str">
        <x:f t="shared" si="17"/>
        <x:v/>
      </x:c>
      <x:c r="AN42" s="1063" t="str">
        <x:f t="shared" si="18"/>
        <x:v/>
      </x:c>
      <x:c r="AO42" s="1063" t="str">
        <x:f t="shared" si="19"/>
        <x:v/>
      </x:c>
      <x:c r="AP42" s="1063" t="b">
        <x:f>IF(ISERROR(AJ42),FALSE,IF(OR(AJ42=0,ISERROR(AL42),ISERROR(AM42),ISERROR(AN42),ISERROR(AO42)),FALSE,IF(AL42&lt;&gt;"",IF(ISERROR(VLOOKUP(SUBSTITUTE(SUBSTITUTE(C42,"R",""),"A",""),TblJoistSize!$A:$A,1,FALSE)),FALSE,TRUE),TRUE)))</x:f>
        <x:v>0</x:v>
      </x:c>
      <x:c r="AQ42" s="1305" t="e">
        <x:f t="shared" si="20"/>
        <x:v>#N/A</x:v>
      </x:c>
      <x:c r="AR42" s="1305" t="b">
        <x:f t="shared" si="21"/>
        <x:v>0</x:v>
      </x:c>
      <x:c r="AS42" s="1305" t="e">
        <x:f t="shared" si="22"/>
        <x:v>#N/A</x:v>
      </x:c>
      <x:c r="AT42" s="1305" t="b">
        <x:f t="shared" si="23"/>
        <x:v>0</x:v>
      </x:c>
      <x:c r="AU42" s="1203" t="str">
        <x:f t="shared" si="24"/>
        <x:v/>
      </x:c>
      <x:c r="AV42" s="1063" t="str">
        <x:f t="shared" si="25"/>
        <x:v/>
      </x:c>
      <x:c r="AW42" s="1063" t="str">
        <x:f t="shared" si="26"/>
        <x:v/>
      </x:c>
      <x:c r="AX42" s="1063" t="str">
        <x:f t="shared" si="104"/>
        <x:v/>
      </x:c>
      <x:c r="AY42" s="1306" t="b">
        <x:f t="shared" si="27"/>
        <x:v>0</x:v>
      </x:c>
      <x:c r="AZ42" s="1090" t="str">
        <x:f t="shared" si="28"/>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29"/>
        <x:v/>
      </x:c>
      <x:c r="CE42" s="935" t="str">
        <x:f t="shared" si="30"/>
        <x:v/>
      </x:c>
      <x:c r="CF42" s="1149"/>
      <x:c r="CG42" s="1150"/>
      <x:c r="CH42" s="738" t="str">
        <x:f t="shared" si="31"/>
        <x:v/>
      </x:c>
      <x:c r="CI42" s="739" t="str">
        <x:f t="shared" si="32"/>
        <x:v/>
      </x:c>
      <x:c r="CJ42" s="740" t="str">
        <x:f t="shared" si="33"/>
        <x:v/>
      </x:c>
      <x:c r="CK42" s="741" t="str">
        <x:f t="shared" si="34"/>
        <x:v/>
      </x:c>
      <x:c r="CL42" s="742" t="str">
        <x:f t="shared" si="35"/>
        <x:v/>
      </x:c>
      <x:c r="CM42" s="743" t="str">
        <x:f t="shared" si="36"/>
        <x:v/>
      </x:c>
      <x:c r="CN42" s="744" t="str">
        <x:f t="shared" si="37"/>
        <x:v/>
      </x:c>
      <x:c r="CO42" s="745" t="str">
        <x:f t="shared" si="38"/>
        <x:v/>
      </x:c>
      <x:c r="CP42" s="762" t="str">
        <x:f t="shared" si="39"/>
        <x:v/>
      </x:c>
      <x:c r="CQ42" s="763" t="str">
        <x:f t="shared" si="40"/>
        <x:v/>
      </x:c>
      <x:c r="CR42" s="953" t="str">
        <x:f t="shared" si="41"/>
        <x:v/>
      </x:c>
      <x:c r="CS42" s="954" t="str">
        <x:f t="shared" si="42"/>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3"/>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4"/>
        <x:v>0</x:v>
      </x:c>
      <x:c r="DO42" s="1049">
        <x:f t="shared" si="45"/>
        <x:v>0</x:v>
      </x:c>
      <x:c r="DP42" s="1053" t="str">
        <x:f t="shared" si="46"/>
        <x:v/>
      </x:c>
      <x:c r="DQ42" s="1053" t="str">
        <x:f t="shared" si="47"/>
        <x:v/>
      </x:c>
      <x:c r="DR42" s="1053" t="str">
        <x:f t="shared" si="48"/>
        <x:v/>
      </x:c>
      <x:c r="DS42" s="1052">
        <x:f t="shared" si="49"/>
        <x:v>0</x:v>
      </x:c>
      <x:c r="DT42" s="1052">
        <x:f t="shared" si="50"/>
        <x:v>0</x:v>
      </x:c>
      <x:c r="DU42" s="1052" t="str">
        <x:f t="shared" si="51"/>
        <x:v/>
      </x:c>
      <x:c r="DV42" s="1053" t="str">
        <x:f t="shared" si="52"/>
        <x:v/>
      </x:c>
      <x:c r="DW42" s="1053" t="str">
        <x:f t="shared" si="53"/>
        <x:v/>
      </x:c>
      <x:c r="DX42" s="1269">
        <x:f t="shared" si="54"/>
        <x:v>0</x:v>
      </x:c>
      <x:c r="DY42" s="1053">
        <x:f t="shared" si="55"/>
        <x:v>0</x:v>
      </x:c>
      <x:c r="DZ42" s="1052">
        <x:f t="shared" si="56"/>
        <x:v>0</x:v>
      </x:c>
      <x:c r="EA42" s="1052" t="str">
        <x:f t="shared" si="57"/>
        <x:v/>
      </x:c>
      <x:c r="EB42" s="1053" t="str">
        <x:f t="shared" si="58"/>
        <x:v/>
      </x:c>
      <x:c r="EC42" s="1053" t="str">
        <x:f t="shared" si="59"/>
        <x:v/>
      </x:c>
      <x:c r="ED42" s="1269">
        <x:f t="shared" si="60"/>
        <x:v>0</x:v>
      </x:c>
      <x:c r="EE42" s="1090" t="str">
        <x:f t="shared" si="61"/>
        <x:v/>
      </x:c>
      <x:c r="EF42" s="1053" t="str">
        <x:f t="shared" si="62"/>
        <x:v/>
      </x:c>
      <x:c r="EG42" s="1053" t="str">
        <x:f t="shared" si="63"/>
        <x:v/>
      </x:c>
      <x:c r="EH42" s="1053" t="e">
        <x:f t="shared" si="64"/>
        <x:v>#N/A</x:v>
      </x:c>
      <x:c r="EI42" s="1053" t="e">
        <x:f t="shared" si="65"/>
        <x:v>#N/A</x:v>
      </x:c>
      <x:c r="EJ42" s="1053" t="str">
        <x:f t="shared" si="66"/>
        <x:v/>
      </x:c>
      <x:c r="EK42" s="1053" t="str">
        <x:f t="shared" si="66"/>
        <x:v/>
      </x:c>
      <x:c r="EL42" s="1090" t="str">
        <x:f t="shared" si="67"/>
        <x:v/>
      </x:c>
      <x:c r="EM42" s="1053" t="str">
        <x:f t="shared" si="68"/>
        <x:v/>
      </x:c>
      <x:c r="EN42" s="1053" t="str">
        <x:f t="shared" si="69"/>
        <x:v/>
      </x:c>
      <x:c r="EO42" s="1053" t="e">
        <x:f t="shared" si="70"/>
        <x:v>#N/A</x:v>
      </x:c>
      <x:c r="EP42" s="1053" t="e">
        <x:f t="shared" si="71"/>
        <x:v>#N/A</x:v>
      </x:c>
      <x:c r="EQ42" s="1053" t="str">
        <x:f t="shared" si="72"/>
        <x:v/>
      </x:c>
      <x:c r="ER42" s="1053" t="str">
        <x:f t="shared" si="72"/>
        <x:v/>
      </x:c>
      <x:c r="ES42" s="1053" t="str">
        <x:f t="shared" si="73"/>
        <x:v/>
      </x:c>
      <x:c r="ET42" s="1053" t="str">
        <x:f t="shared" si="74"/>
        <x:v/>
      </x:c>
      <x:c r="EU42" s="1061" t="str">
        <x:f t="shared" si="75"/>
        <x:v/>
      </x:c>
      <x:c r="EV42" s="1055" t="str">
        <x:f t="shared" si="76"/>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77"/>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78"/>
        <x:v/>
      </x:c>
      <x:c r="FD42" s="1052">
        <x:f t="shared" si="105"/>
        <x:v>0</x:v>
      </x:c>
      <x:c r="FE42" s="1052">
        <x:f t="shared" si="79"/>
        <x:v>0</x:v>
      </x:c>
      <x:c r="FF42" s="1052">
        <x:f t="shared" si="80"/>
        <x:v>0</x:v>
      </x:c>
      <x:c r="FG42" s="1052" t="str">
        <x:f t="shared" si="81"/>
        <x:v/>
      </x:c>
      <x:c r="FH42" s="1053" t="str">
        <x:f t="shared" si="82"/>
        <x:v/>
      </x:c>
      <x:c r="FI42" s="1052">
        <x:f t="shared" si="106"/>
        <x:v>0</x:v>
      </x:c>
      <x:c r="FJ42" s="1052">
        <x:f t="shared" si="83"/>
        <x:v>0</x:v>
      </x:c>
      <x:c r="FK42" s="1052">
        <x:f t="shared" si="84"/>
        <x:v>0</x:v>
      </x:c>
      <x:c r="FL42" s="1052" t="str">
        <x:f t="shared" si="85"/>
        <x:v/>
      </x:c>
      <x:c r="FM42" s="1053" t="str">
        <x:f t="shared" si="86"/>
        <x:v/>
      </x:c>
      <x:c r="FN42" s="1053" t="e">
        <x:f t="shared" si="87"/>
        <x:v>#VALUE!</x:v>
      </x:c>
      <x:c r="FO42" s="1062" t="e">
        <x:f t="shared" si="88"/>
        <x:v>#VALUE!</x:v>
      </x:c>
      <x:c r="FP42" s="1062" t="e">
        <x:f t="shared" si="89"/>
        <x:v>#VALUE!</x:v>
      </x:c>
      <x:c r="FQ42" s="1063" t="e">
        <x:f t="shared" si="90"/>
        <x:v>#VALUE!</x:v>
      </x:c>
      <x:c r="FR42" s="1064" t="e">
        <x:f t="shared" si="91"/>
        <x:v>#VALUE!</x:v>
      </x:c>
      <x:c r="FS42" s="1065" t="str">
        <x:f t="shared" si="92"/>
        <x:v/>
      </x:c>
      <x:c r="FT42" s="1066" t="str">
        <x:f t="shared" si="93"/>
        <x:v/>
      </x:c>
      <x:c r="FU42" s="1105">
        <x:f t="shared" si="94"/>
        <x:v>0</x:v>
      </x:c>
      <x:c r="FV42" s="1106">
        <x:f t="shared" si="95"/>
        <x:v>0</x:v>
      </x:c>
      <x:c r="GA42" s="1975" t="str">
        <x:f t="shared" si="118"/>
        <x:v/>
      </x:c>
      <x:c r="GB42" s="1976" t="str">
        <x:f t="shared" si="119"/>
        <x:v/>
      </x:c>
      <x:c r="GC42" s="1977" t="str">
        <x:f t="shared" si="120"/>
        <x:v/>
      </x:c>
      <x:c r="GD42" s="1978" t="str">
        <x:f t="shared" si="121"/>
        <x:v/>
      </x:c>
      <x:c r="GE42" s="1979" t="str">
        <x:f t="shared" si="122"/>
        <x:v/>
      </x:c>
      <x:c r="GF42" s="1980" t="str">
        <x:f t="shared" si="96"/>
        <x:v/>
      </x:c>
      <x:c r="GG42" s="1453"/>
      <x:c r="GH42" s="1454"/>
      <x:c r="GI42" s="1453"/>
      <x:c r="GJ42" s="1454"/>
      <x:c r="GK42" s="533">
        <x:f t="shared" si="97"/>
        <x:v>0</x:v>
      </x:c>
      <x:c r="GL42" s="534" t="e">
        <x:f t="shared" si="98"/>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07"/>
        <x:v/>
      </x:c>
      <x:c r="G43" s="1262" t="str">
        <x:f t="shared" si="108"/>
        <x:v/>
      </x:c>
      <x:c r="H43" s="1266" t="str">
        <x:f t="shared" si="109"/>
        <x:v/>
      </x:c>
      <x:c r="I43" s="1261" t="str">
        <x:f t="shared" si="114"/>
        <x:v/>
      </x:c>
      <x:c r="J43" s="1262" t="str">
        <x:f t="shared" si="115"/>
        <x:v/>
      </x:c>
      <x:c r="K43" s="1370" t="str">
        <x:f t="shared" si="116"/>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99"/>
        <x:v/>
      </x:c>
      <x:c r="U43" s="1262" t="str">
        <x:f t="shared" si="100"/>
        <x:v/>
      </x:c>
      <x:c r="V43" s="1261" t="str">
        <x:f t="shared" si="101"/>
        <x:v/>
      </x:c>
      <x:c r="W43" s="1262" t="str">
        <x:f t="shared" si="102"/>
        <x:v/>
      </x:c>
      <x:c r="X43" s="1329">
        <x:f t="shared" si="103"/>
        <x:v>0</x:v>
      </x:c>
      <x:c r="Y43" s="1377" t="str">
        <x:f t="shared" si="7"/>
        <x:v/>
      </x:c>
      <x:c r="Z43" s="1378" t="str">
        <x:f t="shared" si="8"/>
        <x:v/>
      </x:c>
      <x:c r="AA43" s="2159"/>
      <x:c r="AC43" s="1226" t="b">
        <x:v>0</x:v>
      </x:c>
      <x:c r="AD43" s="525">
        <x:f t="shared" si="9"/>
        <x:v>0</x:v>
      </x:c>
      <x:c r="AE43" s="526">
        <x:f t="shared" si="10"/>
        <x:v>0</x:v>
      </x:c>
      <x:c r="AF43" s="526">
        <x:f t="shared" si="11"/>
        <x:v>0</x:v>
      </x:c>
      <x:c r="AG43" s="526">
        <x:f t="shared" si="12"/>
        <x:v>0</x:v>
      </x:c>
      <x:c r="AH43" s="527">
        <x:f t="shared" si="13"/>
        <x:v>0</x:v>
      </x:c>
      <x:c r="AI43" s="528" t="b">
        <x:v>0</x:v>
      </x:c>
      <x:c r="AJ43" s="284">
        <x:f t="shared" si="14"/>
        <x:v>0</x:v>
      </x:c>
      <x:c r="AK43" s="1063" t="str">
        <x:f t="shared" si="15"/>
        <x:v/>
      </x:c>
      <x:c r="AL43" s="1202" t="str">
        <x:f t="shared" si="16"/>
        <x:v/>
      </x:c>
      <x:c r="AM43" s="1063" t="str">
        <x:f t="shared" si="17"/>
        <x:v/>
      </x:c>
      <x:c r="AN43" s="1063" t="str">
        <x:f t="shared" si="18"/>
        <x:v/>
      </x:c>
      <x:c r="AO43" s="1063" t="str">
        <x:f t="shared" si="19"/>
        <x:v/>
      </x:c>
      <x:c r="AP43" s="1063" t="b">
        <x:f>IF(ISERROR(AJ43),FALSE,IF(OR(AJ43=0,ISERROR(AL43),ISERROR(AM43),ISERROR(AN43),ISERROR(AO43)),FALSE,IF(AL43&lt;&gt;"",IF(ISERROR(VLOOKUP(SUBSTITUTE(SUBSTITUTE(C43,"R",""),"A",""),TblJoistSize!$A:$A,1,FALSE)),FALSE,TRUE),TRUE)))</x:f>
        <x:v>0</x:v>
      </x:c>
      <x:c r="AQ43" s="1305" t="e">
        <x:f t="shared" si="20"/>
        <x:v>#N/A</x:v>
      </x:c>
      <x:c r="AR43" s="1305" t="b">
        <x:f t="shared" si="21"/>
        <x:v>0</x:v>
      </x:c>
      <x:c r="AS43" s="1305" t="e">
        <x:f t="shared" si="22"/>
        <x:v>#N/A</x:v>
      </x:c>
      <x:c r="AT43" s="1305" t="b">
        <x:f t="shared" si="23"/>
        <x:v>0</x:v>
      </x:c>
      <x:c r="AU43" s="1203" t="str">
        <x:f t="shared" si="24"/>
        <x:v/>
      </x:c>
      <x:c r="AV43" s="1063" t="str">
        <x:f t="shared" si="25"/>
        <x:v/>
      </x:c>
      <x:c r="AW43" s="1063" t="str">
        <x:f t="shared" si="26"/>
        <x:v/>
      </x:c>
      <x:c r="AX43" s="1063" t="str">
        <x:f t="shared" si="104"/>
        <x:v/>
      </x:c>
      <x:c r="AY43" s="1306" t="b">
        <x:f t="shared" si="27"/>
        <x:v>0</x:v>
      </x:c>
      <x:c r="AZ43" s="1090" t="str">
        <x:f t="shared" si="28"/>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29"/>
        <x:v/>
      </x:c>
      <x:c r="CE43" s="935" t="str">
        <x:f t="shared" si="30"/>
        <x:v/>
      </x:c>
      <x:c r="CF43" s="1149"/>
      <x:c r="CG43" s="1150"/>
      <x:c r="CH43" s="738" t="str">
        <x:f t="shared" si="31"/>
        <x:v/>
      </x:c>
      <x:c r="CI43" s="739" t="str">
        <x:f t="shared" si="32"/>
        <x:v/>
      </x:c>
      <x:c r="CJ43" s="740" t="str">
        <x:f t="shared" si="33"/>
        <x:v/>
      </x:c>
      <x:c r="CK43" s="741" t="str">
        <x:f t="shared" si="34"/>
        <x:v/>
      </x:c>
      <x:c r="CL43" s="742" t="str">
        <x:f t="shared" si="35"/>
        <x:v/>
      </x:c>
      <x:c r="CM43" s="743" t="str">
        <x:f t="shared" si="36"/>
        <x:v/>
      </x:c>
      <x:c r="CN43" s="744" t="str">
        <x:f t="shared" si="37"/>
        <x:v/>
      </x:c>
      <x:c r="CO43" s="745" t="str">
        <x:f t="shared" si="38"/>
        <x:v/>
      </x:c>
      <x:c r="CP43" s="762" t="str">
        <x:f t="shared" si="39"/>
        <x:v/>
      </x:c>
      <x:c r="CQ43" s="763" t="str">
        <x:f t="shared" si="40"/>
        <x:v/>
      </x:c>
      <x:c r="CR43" s="953" t="str">
        <x:f t="shared" si="41"/>
        <x:v/>
      </x:c>
      <x:c r="CS43" s="954" t="str">
        <x:f t="shared" si="42"/>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3"/>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4"/>
        <x:v>0</x:v>
      </x:c>
      <x:c r="DO43" s="1049">
        <x:f t="shared" si="45"/>
        <x:v>0</x:v>
      </x:c>
      <x:c r="DP43" s="1053" t="str">
        <x:f t="shared" si="46"/>
        <x:v/>
      </x:c>
      <x:c r="DQ43" s="1053" t="str">
        <x:f t="shared" si="47"/>
        <x:v/>
      </x:c>
      <x:c r="DR43" s="1053" t="str">
        <x:f t="shared" si="48"/>
        <x:v/>
      </x:c>
      <x:c r="DS43" s="1052">
        <x:f t="shared" si="49"/>
        <x:v>0</x:v>
      </x:c>
      <x:c r="DT43" s="1052">
        <x:f t="shared" si="50"/>
        <x:v>0</x:v>
      </x:c>
      <x:c r="DU43" s="1052" t="str">
        <x:f t="shared" si="51"/>
        <x:v/>
      </x:c>
      <x:c r="DV43" s="1053" t="str">
        <x:f t="shared" si="52"/>
        <x:v/>
      </x:c>
      <x:c r="DW43" s="1053" t="str">
        <x:f t="shared" si="53"/>
        <x:v/>
      </x:c>
      <x:c r="DX43" s="1269">
        <x:f t="shared" si="54"/>
        <x:v>0</x:v>
      </x:c>
      <x:c r="DY43" s="1053">
        <x:f t="shared" si="55"/>
        <x:v>0</x:v>
      </x:c>
      <x:c r="DZ43" s="1052">
        <x:f t="shared" si="56"/>
        <x:v>0</x:v>
      </x:c>
      <x:c r="EA43" s="1052" t="str">
        <x:f t="shared" si="57"/>
        <x:v/>
      </x:c>
      <x:c r="EB43" s="1053" t="str">
        <x:f t="shared" si="58"/>
        <x:v/>
      </x:c>
      <x:c r="EC43" s="1053" t="str">
        <x:f t="shared" si="59"/>
        <x:v/>
      </x:c>
      <x:c r="ED43" s="1269">
        <x:f t="shared" si="60"/>
        <x:v>0</x:v>
      </x:c>
      <x:c r="EE43" s="1090" t="str">
        <x:f t="shared" si="61"/>
        <x:v/>
      </x:c>
      <x:c r="EF43" s="1053" t="str">
        <x:f t="shared" si="62"/>
        <x:v/>
      </x:c>
      <x:c r="EG43" s="1053" t="str">
        <x:f t="shared" si="63"/>
        <x:v/>
      </x:c>
      <x:c r="EH43" s="1053" t="e">
        <x:f t="shared" si="64"/>
        <x:v>#N/A</x:v>
      </x:c>
      <x:c r="EI43" s="1053" t="e">
        <x:f t="shared" si="65"/>
        <x:v>#N/A</x:v>
      </x:c>
      <x:c r="EJ43" s="1053" t="str">
        <x:f t="shared" si="66"/>
        <x:v/>
      </x:c>
      <x:c r="EK43" s="1053" t="str">
        <x:f t="shared" si="66"/>
        <x:v/>
      </x:c>
      <x:c r="EL43" s="1090" t="str">
        <x:f t="shared" si="67"/>
        <x:v/>
      </x:c>
      <x:c r="EM43" s="1053" t="str">
        <x:f t="shared" si="68"/>
        <x:v/>
      </x:c>
      <x:c r="EN43" s="1053" t="str">
        <x:f t="shared" si="69"/>
        <x:v/>
      </x:c>
      <x:c r="EO43" s="1053" t="e">
        <x:f t="shared" si="70"/>
        <x:v>#N/A</x:v>
      </x:c>
      <x:c r="EP43" s="1053" t="e">
        <x:f t="shared" si="71"/>
        <x:v>#N/A</x:v>
      </x:c>
      <x:c r="EQ43" s="1053" t="str">
        <x:f t="shared" si="72"/>
        <x:v/>
      </x:c>
      <x:c r="ER43" s="1053" t="str">
        <x:f t="shared" si="72"/>
        <x:v/>
      </x:c>
      <x:c r="ES43" s="1053" t="str">
        <x:f t="shared" si="73"/>
        <x:v/>
      </x:c>
      <x:c r="ET43" s="1053" t="str">
        <x:f t="shared" si="74"/>
        <x:v/>
      </x:c>
      <x:c r="EU43" s="1061" t="str">
        <x:f t="shared" si="75"/>
        <x:v/>
      </x:c>
      <x:c r="EV43" s="1055" t="str">
        <x:f t="shared" si="76"/>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77"/>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78"/>
        <x:v/>
      </x:c>
      <x:c r="FD43" s="1052">
        <x:f t="shared" si="105"/>
        <x:v>0</x:v>
      </x:c>
      <x:c r="FE43" s="1052">
        <x:f t="shared" si="79"/>
        <x:v>0</x:v>
      </x:c>
      <x:c r="FF43" s="1052">
        <x:f t="shared" si="80"/>
        <x:v>0</x:v>
      </x:c>
      <x:c r="FG43" s="1052" t="str">
        <x:f t="shared" si="81"/>
        <x:v/>
      </x:c>
      <x:c r="FH43" s="1053" t="str">
        <x:f t="shared" si="82"/>
        <x:v/>
      </x:c>
      <x:c r="FI43" s="1052">
        <x:f t="shared" si="106"/>
        <x:v>0</x:v>
      </x:c>
      <x:c r="FJ43" s="1052">
        <x:f t="shared" si="83"/>
        <x:v>0</x:v>
      </x:c>
      <x:c r="FK43" s="1052">
        <x:f t="shared" si="84"/>
        <x:v>0</x:v>
      </x:c>
      <x:c r="FL43" s="1052" t="str">
        <x:f t="shared" si="85"/>
        <x:v/>
      </x:c>
      <x:c r="FM43" s="1053" t="str">
        <x:f t="shared" si="86"/>
        <x:v/>
      </x:c>
      <x:c r="FN43" s="1053" t="e">
        <x:f t="shared" si="87"/>
        <x:v>#VALUE!</x:v>
      </x:c>
      <x:c r="FO43" s="1062" t="e">
        <x:f t="shared" si="88"/>
        <x:v>#VALUE!</x:v>
      </x:c>
      <x:c r="FP43" s="1062" t="e">
        <x:f t="shared" si="89"/>
        <x:v>#VALUE!</x:v>
      </x:c>
      <x:c r="FQ43" s="1063" t="e">
        <x:f t="shared" si="90"/>
        <x:v>#VALUE!</x:v>
      </x:c>
      <x:c r="FR43" s="1064" t="e">
        <x:f t="shared" si="91"/>
        <x:v>#VALUE!</x:v>
      </x:c>
      <x:c r="FS43" s="1065" t="str">
        <x:f t="shared" si="92"/>
        <x:v/>
      </x:c>
      <x:c r="FT43" s="1066" t="str">
        <x:f t="shared" si="93"/>
        <x:v/>
      </x:c>
      <x:c r="FU43" s="1105">
        <x:f t="shared" si="94"/>
        <x:v>0</x:v>
      </x:c>
      <x:c r="FV43" s="1106">
        <x:f t="shared" si="95"/>
        <x:v>0</x:v>
      </x:c>
      <x:c r="GA43" s="1975" t="str">
        <x:f t="shared" si="118"/>
        <x:v/>
      </x:c>
      <x:c r="GB43" s="1976" t="str">
        <x:f t="shared" si="119"/>
        <x:v/>
      </x:c>
      <x:c r="GC43" s="1977" t="str">
        <x:f t="shared" si="120"/>
        <x:v/>
      </x:c>
      <x:c r="GD43" s="1978" t="str">
        <x:f t="shared" si="121"/>
        <x:v/>
      </x:c>
      <x:c r="GE43" s="1979" t="str">
        <x:f t="shared" si="122"/>
        <x:v/>
      </x:c>
      <x:c r="GF43" s="1980" t="str">
        <x:f t="shared" si="96"/>
        <x:v/>
      </x:c>
      <x:c r="GG43" s="1453"/>
      <x:c r="GH43" s="1454"/>
      <x:c r="GI43" s="1453"/>
      <x:c r="GJ43" s="1454"/>
      <x:c r="GK43" s="533">
        <x:f t="shared" si="97"/>
        <x:v>0</x:v>
      </x:c>
      <x:c r="GL43" s="534" t="e">
        <x:f t="shared" si="98"/>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07"/>
        <x:v/>
      </x:c>
      <x:c r="G44" s="1262" t="str">
        <x:f t="shared" si="108"/>
        <x:v/>
      </x:c>
      <x:c r="H44" s="1266" t="str">
        <x:f t="shared" si="109"/>
        <x:v/>
      </x:c>
      <x:c r="I44" s="1261" t="str">
        <x:f t="shared" si="114"/>
        <x:v/>
      </x:c>
      <x:c r="J44" s="1262" t="str">
        <x:f t="shared" si="115"/>
        <x:v/>
      </x:c>
      <x:c r="K44" s="1370" t="str">
        <x:f t="shared" si="116"/>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99"/>
        <x:v/>
      </x:c>
      <x:c r="U44" s="1262" t="str">
        <x:f t="shared" si="100"/>
        <x:v/>
      </x:c>
      <x:c r="V44" s="1261" t="str">
        <x:f t="shared" si="101"/>
        <x:v/>
      </x:c>
      <x:c r="W44" s="1262" t="str">
        <x:f t="shared" si="102"/>
        <x:v/>
      </x:c>
      <x:c r="X44" s="1329">
        <x:f t="shared" si="103"/>
        <x:v>0</x:v>
      </x:c>
      <x:c r="Y44" s="1377" t="str">
        <x:f t="shared" si="7"/>
        <x:v/>
      </x:c>
      <x:c r="Z44" s="1378" t="str">
        <x:f t="shared" si="8"/>
        <x:v/>
      </x:c>
      <x:c r="AA44" s="2159"/>
      <x:c r="AC44" s="1226" t="b">
        <x:v>0</x:v>
      </x:c>
      <x:c r="AD44" s="525">
        <x:f t="shared" si="9"/>
        <x:v>0</x:v>
      </x:c>
      <x:c r="AE44" s="526">
        <x:f t="shared" si="10"/>
        <x:v>0</x:v>
      </x:c>
      <x:c r="AF44" s="526">
        <x:f t="shared" si="11"/>
        <x:v>0</x:v>
      </x:c>
      <x:c r="AG44" s="526">
        <x:f t="shared" si="12"/>
        <x:v>0</x:v>
      </x:c>
      <x:c r="AH44" s="527">
        <x:f t="shared" si="13"/>
        <x:v>0</x:v>
      </x:c>
      <x:c r="AI44" s="528" t="b">
        <x:v>0</x:v>
      </x:c>
      <x:c r="AJ44" s="284">
        <x:f t="shared" si="14"/>
        <x:v>0</x:v>
      </x:c>
      <x:c r="AK44" s="1063" t="str">
        <x:f t="shared" si="15"/>
        <x:v/>
      </x:c>
      <x:c r="AL44" s="1202" t="str">
        <x:f t="shared" si="16"/>
        <x:v/>
      </x:c>
      <x:c r="AM44" s="1063" t="str">
        <x:f t="shared" si="17"/>
        <x:v/>
      </x:c>
      <x:c r="AN44" s="1063" t="str">
        <x:f t="shared" si="18"/>
        <x:v/>
      </x:c>
      <x:c r="AO44" s="1063" t="str">
        <x:f t="shared" si="19"/>
        <x:v/>
      </x:c>
      <x:c r="AP44" s="1063" t="b">
        <x:f>IF(ISERROR(AJ44),FALSE,IF(OR(AJ44=0,ISERROR(AL44),ISERROR(AM44),ISERROR(AN44),ISERROR(AO44)),FALSE,IF(AL44&lt;&gt;"",IF(ISERROR(VLOOKUP(SUBSTITUTE(SUBSTITUTE(C44,"R",""),"A",""),TblJoistSize!$A:$A,1,FALSE)),FALSE,TRUE),TRUE)))</x:f>
        <x:v>0</x:v>
      </x:c>
      <x:c r="AQ44" s="1305" t="e">
        <x:f t="shared" si="20"/>
        <x:v>#N/A</x:v>
      </x:c>
      <x:c r="AR44" s="1305" t="b">
        <x:f t="shared" si="21"/>
        <x:v>0</x:v>
      </x:c>
      <x:c r="AS44" s="1305" t="e">
        <x:f t="shared" si="22"/>
        <x:v>#N/A</x:v>
      </x:c>
      <x:c r="AT44" s="1305" t="b">
        <x:f t="shared" si="23"/>
        <x:v>0</x:v>
      </x:c>
      <x:c r="AU44" s="1203" t="str">
        <x:f t="shared" si="24"/>
        <x:v/>
      </x:c>
      <x:c r="AV44" s="1063" t="str">
        <x:f t="shared" si="25"/>
        <x:v/>
      </x:c>
      <x:c r="AW44" s="1063" t="str">
        <x:f t="shared" si="26"/>
        <x:v/>
      </x:c>
      <x:c r="AX44" s="1063" t="str">
        <x:f t="shared" si="104"/>
        <x:v/>
      </x:c>
      <x:c r="AY44" s="1306" t="b">
        <x:f t="shared" si="27"/>
        <x:v>0</x:v>
      </x:c>
      <x:c r="AZ44" s="1090" t="str">
        <x:f t="shared" si="28"/>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29"/>
        <x:v/>
      </x:c>
      <x:c r="CE44" s="935" t="str">
        <x:f t="shared" si="30"/>
        <x:v/>
      </x:c>
      <x:c r="CF44" s="1149"/>
      <x:c r="CG44" s="1150"/>
      <x:c r="CH44" s="738" t="str">
        <x:f t="shared" si="31"/>
        <x:v/>
      </x:c>
      <x:c r="CI44" s="739" t="str">
        <x:f t="shared" si="32"/>
        <x:v/>
      </x:c>
      <x:c r="CJ44" s="740" t="str">
        <x:f t="shared" si="33"/>
        <x:v/>
      </x:c>
      <x:c r="CK44" s="741" t="str">
        <x:f t="shared" si="34"/>
        <x:v/>
      </x:c>
      <x:c r="CL44" s="742" t="str">
        <x:f t="shared" si="35"/>
        <x:v/>
      </x:c>
      <x:c r="CM44" s="743" t="str">
        <x:f t="shared" si="36"/>
        <x:v/>
      </x:c>
      <x:c r="CN44" s="744" t="str">
        <x:f t="shared" si="37"/>
        <x:v/>
      </x:c>
      <x:c r="CO44" s="745" t="str">
        <x:f t="shared" si="38"/>
        <x:v/>
      </x:c>
      <x:c r="CP44" s="762" t="str">
        <x:f t="shared" si="39"/>
        <x:v/>
      </x:c>
      <x:c r="CQ44" s="763" t="str">
        <x:f t="shared" si="40"/>
        <x:v/>
      </x:c>
      <x:c r="CR44" s="953" t="str">
        <x:f t="shared" si="41"/>
        <x:v/>
      </x:c>
      <x:c r="CS44" s="954" t="str">
        <x:f t="shared" si="42"/>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3"/>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4"/>
        <x:v>0</x:v>
      </x:c>
      <x:c r="DO44" s="1049">
        <x:f t="shared" si="45"/>
        <x:v>0</x:v>
      </x:c>
      <x:c r="DP44" s="1053" t="str">
        <x:f t="shared" si="46"/>
        <x:v/>
      </x:c>
      <x:c r="DQ44" s="1053" t="str">
        <x:f t="shared" si="47"/>
        <x:v/>
      </x:c>
      <x:c r="DR44" s="1053" t="str">
        <x:f t="shared" si="48"/>
        <x:v/>
      </x:c>
      <x:c r="DS44" s="1052">
        <x:f t="shared" si="49"/>
        <x:v>0</x:v>
      </x:c>
      <x:c r="DT44" s="1052">
        <x:f t="shared" si="50"/>
        <x:v>0</x:v>
      </x:c>
      <x:c r="DU44" s="1052" t="str">
        <x:f t="shared" si="51"/>
        <x:v/>
      </x:c>
      <x:c r="DV44" s="1053" t="str">
        <x:f t="shared" si="52"/>
        <x:v/>
      </x:c>
      <x:c r="DW44" s="1053" t="str">
        <x:f t="shared" si="53"/>
        <x:v/>
      </x:c>
      <x:c r="DX44" s="1269">
        <x:f t="shared" si="54"/>
        <x:v>0</x:v>
      </x:c>
      <x:c r="DY44" s="1053">
        <x:f t="shared" si="55"/>
        <x:v>0</x:v>
      </x:c>
      <x:c r="DZ44" s="1052">
        <x:f t="shared" si="56"/>
        <x:v>0</x:v>
      </x:c>
      <x:c r="EA44" s="1052" t="str">
        <x:f t="shared" si="57"/>
        <x:v/>
      </x:c>
      <x:c r="EB44" s="1053" t="str">
        <x:f t="shared" si="58"/>
        <x:v/>
      </x:c>
      <x:c r="EC44" s="1053" t="str">
        <x:f t="shared" si="59"/>
        <x:v/>
      </x:c>
      <x:c r="ED44" s="1269">
        <x:f t="shared" si="60"/>
        <x:v>0</x:v>
      </x:c>
      <x:c r="EE44" s="1090" t="str">
        <x:f t="shared" si="61"/>
        <x:v/>
      </x:c>
      <x:c r="EF44" s="1053" t="str">
        <x:f t="shared" si="62"/>
        <x:v/>
      </x:c>
      <x:c r="EG44" s="1053" t="str">
        <x:f t="shared" si="63"/>
        <x:v/>
      </x:c>
      <x:c r="EH44" s="1053" t="e">
        <x:f t="shared" si="64"/>
        <x:v>#N/A</x:v>
      </x:c>
      <x:c r="EI44" s="1053" t="e">
        <x:f t="shared" si="65"/>
        <x:v>#N/A</x:v>
      </x:c>
      <x:c r="EJ44" s="1053" t="str">
        <x:f t="shared" si="66"/>
        <x:v/>
      </x:c>
      <x:c r="EK44" s="1053" t="str">
        <x:f t="shared" si="66"/>
        <x:v/>
      </x:c>
      <x:c r="EL44" s="1090" t="str">
        <x:f t="shared" si="67"/>
        <x:v/>
      </x:c>
      <x:c r="EM44" s="1053" t="str">
        <x:f t="shared" si="68"/>
        <x:v/>
      </x:c>
      <x:c r="EN44" s="1053" t="str">
        <x:f t="shared" si="69"/>
        <x:v/>
      </x:c>
      <x:c r="EO44" s="1053" t="e">
        <x:f t="shared" si="70"/>
        <x:v>#N/A</x:v>
      </x:c>
      <x:c r="EP44" s="1053" t="e">
        <x:f t="shared" si="71"/>
        <x:v>#N/A</x:v>
      </x:c>
      <x:c r="EQ44" s="1053" t="str">
        <x:f t="shared" si="72"/>
        <x:v/>
      </x:c>
      <x:c r="ER44" s="1053" t="str">
        <x:f t="shared" si="72"/>
        <x:v/>
      </x:c>
      <x:c r="ES44" s="1053" t="str">
        <x:f t="shared" si="73"/>
        <x:v/>
      </x:c>
      <x:c r="ET44" s="1053" t="str">
        <x:f t="shared" si="74"/>
        <x:v/>
      </x:c>
      <x:c r="EU44" s="1061" t="str">
        <x:f t="shared" si="75"/>
        <x:v/>
      </x:c>
      <x:c r="EV44" s="1055" t="str">
        <x:f t="shared" si="76"/>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77"/>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78"/>
        <x:v/>
      </x:c>
      <x:c r="FD44" s="1052">
        <x:f t="shared" si="105"/>
        <x:v>0</x:v>
      </x:c>
      <x:c r="FE44" s="1052">
        <x:f t="shared" si="79"/>
        <x:v>0</x:v>
      </x:c>
      <x:c r="FF44" s="1052">
        <x:f t="shared" si="80"/>
        <x:v>0</x:v>
      </x:c>
      <x:c r="FG44" s="1052" t="str">
        <x:f t="shared" si="81"/>
        <x:v/>
      </x:c>
      <x:c r="FH44" s="1053" t="str">
        <x:f t="shared" si="82"/>
        <x:v/>
      </x:c>
      <x:c r="FI44" s="1052">
        <x:f t="shared" si="106"/>
        <x:v>0</x:v>
      </x:c>
      <x:c r="FJ44" s="1052">
        <x:f t="shared" si="83"/>
        <x:v>0</x:v>
      </x:c>
      <x:c r="FK44" s="1052">
        <x:f t="shared" si="84"/>
        <x:v>0</x:v>
      </x:c>
      <x:c r="FL44" s="1052" t="str">
        <x:f t="shared" si="85"/>
        <x:v/>
      </x:c>
      <x:c r="FM44" s="1053" t="str">
        <x:f t="shared" si="86"/>
        <x:v/>
      </x:c>
      <x:c r="FN44" s="1053" t="e">
        <x:f t="shared" si="87"/>
        <x:v>#VALUE!</x:v>
      </x:c>
      <x:c r="FO44" s="1062" t="e">
        <x:f t="shared" si="88"/>
        <x:v>#VALUE!</x:v>
      </x:c>
      <x:c r="FP44" s="1062" t="e">
        <x:f t="shared" si="89"/>
        <x:v>#VALUE!</x:v>
      </x:c>
      <x:c r="FQ44" s="1063" t="e">
        <x:f t="shared" si="90"/>
        <x:v>#VALUE!</x:v>
      </x:c>
      <x:c r="FR44" s="1064" t="e">
        <x:f t="shared" si="91"/>
        <x:v>#VALUE!</x:v>
      </x:c>
      <x:c r="FS44" s="1065" t="str">
        <x:f t="shared" si="92"/>
        <x:v/>
      </x:c>
      <x:c r="FT44" s="1066" t="str">
        <x:f t="shared" si="93"/>
        <x:v/>
      </x:c>
      <x:c r="FU44" s="1105">
        <x:f t="shared" si="94"/>
        <x:v>0</x:v>
      </x:c>
      <x:c r="FV44" s="1106">
        <x:f t="shared" si="95"/>
        <x:v>0</x:v>
      </x:c>
      <x:c r="GA44" s="1975" t="str">
        <x:f t="shared" si="118"/>
        <x:v/>
      </x:c>
      <x:c r="GB44" s="1976" t="str">
        <x:f t="shared" si="119"/>
        <x:v/>
      </x:c>
      <x:c r="GC44" s="1977" t="str">
        <x:f t="shared" si="120"/>
        <x:v/>
      </x:c>
      <x:c r="GD44" s="1978" t="str">
        <x:f t="shared" si="121"/>
        <x:v/>
      </x:c>
      <x:c r="GE44" s="1979" t="str">
        <x:f t="shared" si="122"/>
        <x:v/>
      </x:c>
      <x:c r="GF44" s="1980" t="str">
        <x:f t="shared" si="96"/>
        <x:v/>
      </x:c>
      <x:c r="GG44" s="1453"/>
      <x:c r="GH44" s="1454"/>
      <x:c r="GI44" s="1453"/>
      <x:c r="GJ44" s="1454"/>
      <x:c r="GK44" s="533">
        <x:f t="shared" si="97"/>
        <x:v>0</x:v>
      </x:c>
      <x:c r="GL44" s="534" t="e">
        <x:f t="shared" si="98"/>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9"/>
        <x:v>0</x:v>
      </x:c>
      <x:c r="AE45" s="526">
        <x:f t="shared" si="10"/>
        <x:v>0</x:v>
      </x:c>
      <x:c r="AF45" s="526">
        <x:f t="shared" si="11"/>
        <x:v>0</x:v>
      </x:c>
      <x:c r="AG45" s="526">
        <x:f t="shared" si="12"/>
        <x:v>0</x:v>
      </x:c>
      <x:c r="AH45" s="527">
        <x:f t="shared" si="13"/>
        <x:v>0</x:v>
      </x:c>
      <x:c r="AI45" s="528" t="b">
        <x:v>0</x:v>
      </x:c>
      <x:c r="AJ45" s="284">
        <x:f t="shared" si="14"/>
        <x:v>0</x:v>
      </x:c>
      <x:c r="AK45" s="1063" t="str">
        <x:f t="shared" si="15"/>
        <x:v/>
      </x:c>
      <x:c r="AL45" s="1202" t="str">
        <x:f t="shared" si="16"/>
        <x:v/>
      </x:c>
      <x:c r="AM45" s="1063" t="str">
        <x:f t="shared" si="17"/>
        <x:v/>
      </x:c>
      <x:c r="AN45" s="1063" t="str">
        <x:f t="shared" si="18"/>
        <x:v/>
      </x:c>
      <x:c r="AO45" s="1063" t="str">
        <x:f t="shared" si="19"/>
        <x:v/>
      </x:c>
      <x:c r="AP45" s="1063" t="b">
        <x:f>IF(ISERROR(AJ45),FALSE,IF(OR(AJ45=0,ISERROR(AL45),ISERROR(AM45),ISERROR(AN45),ISERROR(AO45)),FALSE,IF(AL45&lt;&gt;"",IF(ISERROR(VLOOKUP(SUBSTITUTE(SUBSTITUTE(C45,"R",""),"A",""),TblJoistSize!$A:$A,1,FALSE)),FALSE,TRUE),TRUE)))</x:f>
        <x:v>0</x:v>
      </x:c>
      <x:c r="AQ45" s="1305" t="e">
        <x:f t="shared" si="20"/>
        <x:v>#N/A</x:v>
      </x:c>
      <x:c r="AR45" s="1305" t="b">
        <x:f t="shared" si="21"/>
        <x:v>0</x:v>
      </x:c>
      <x:c r="AS45" s="1305" t="e">
        <x:f t="shared" si="22"/>
        <x:v>#N/A</x:v>
      </x:c>
      <x:c r="AT45" s="1305" t="b">
        <x:f t="shared" si="23"/>
        <x:v>0</x:v>
      </x:c>
      <x:c r="AU45" s="1203" t="str">
        <x:f t="shared" si="24"/>
        <x:v/>
      </x:c>
      <x:c r="AV45" s="1063" t="str">
        <x:f t="shared" si="25"/>
        <x:v/>
      </x:c>
      <x:c r="AW45" s="1063" t="str">
        <x:f t="shared" si="26"/>
        <x:v/>
      </x:c>
      <x:c r="AX45" s="1063" t="str">
        <x:f t="shared" si="104"/>
        <x:v/>
      </x:c>
      <x:c r="AY45" s="1306" t="b">
        <x:f t="shared" si="27"/>
        <x:v>0</x:v>
      </x:c>
      <x:c r="AZ45" s="1090" t="str">
        <x:f t="shared" si="28"/>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29"/>
        <x:v/>
      </x:c>
      <x:c r="CE45" s="942" t="str">
        <x:f t="shared" si="30"/>
        <x:v/>
      </x:c>
      <x:c r="CF45" s="1151"/>
      <x:c r="CG45" s="1152"/>
      <x:c r="CH45" s="748" t="str">
        <x:f t="shared" si="31"/>
        <x:v/>
      </x:c>
      <x:c r="CI45" s="749" t="str">
        <x:f t="shared" si="32"/>
        <x:v/>
      </x:c>
      <x:c r="CJ45" s="750" t="str">
        <x:f t="shared" si="33"/>
        <x:v/>
      </x:c>
      <x:c r="CK45" s="751" t="str">
        <x:f t="shared" si="34"/>
        <x:v/>
      </x:c>
      <x:c r="CL45" s="752" t="str">
        <x:f t="shared" si="35"/>
        <x:v/>
      </x:c>
      <x:c r="CM45" s="753" t="str">
        <x:f t="shared" si="36"/>
        <x:v/>
      </x:c>
      <x:c r="CN45" s="754" t="str">
        <x:f t="shared" si="37"/>
        <x:v/>
      </x:c>
      <x:c r="CO45" s="755" t="str">
        <x:f t="shared" si="38"/>
        <x:v/>
      </x:c>
      <x:c r="CP45" s="764" t="str">
        <x:f t="shared" si="39"/>
        <x:v/>
      </x:c>
      <x:c r="CQ45" s="765" t="str">
        <x:f t="shared" si="40"/>
        <x:v/>
      </x:c>
      <x:c r="CR45" s="955" t="str">
        <x:f t="shared" si="41"/>
        <x:v/>
      </x:c>
      <x:c r="CS45" s="956" t="str">
        <x:f t="shared" si="42"/>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3"/>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4"/>
        <x:v>0</x:v>
      </x:c>
      <x:c r="DO45" s="1049">
        <x:f t="shared" si="45"/>
        <x:v>0</x:v>
      </x:c>
      <x:c r="DP45" s="1053" t="str">
        <x:f t="shared" si="46"/>
        <x:v/>
      </x:c>
      <x:c r="DQ45" s="1053" t="str">
        <x:f t="shared" si="47"/>
        <x:v/>
      </x:c>
      <x:c r="DR45" s="1053" t="str">
        <x:f t="shared" si="48"/>
        <x:v/>
      </x:c>
      <x:c r="DS45" s="1052">
        <x:f t="shared" si="49"/>
        <x:v>0</x:v>
      </x:c>
      <x:c r="DT45" s="1052">
        <x:f t="shared" si="50"/>
        <x:v>0</x:v>
      </x:c>
      <x:c r="DU45" s="1052" t="str">
        <x:f t="shared" si="51"/>
        <x:v/>
      </x:c>
      <x:c r="DV45" s="1053" t="str">
        <x:f t="shared" si="52"/>
        <x:v/>
      </x:c>
      <x:c r="DW45" s="1053" t="str">
        <x:f t="shared" si="53"/>
        <x:v/>
      </x:c>
      <x:c r="DX45" s="1269">
        <x:f t="shared" si="54"/>
        <x:v>0</x:v>
      </x:c>
      <x:c r="DY45" s="1053">
        <x:f t="shared" si="55"/>
        <x:v>0</x:v>
      </x:c>
      <x:c r="DZ45" s="1052">
        <x:f t="shared" si="56"/>
        <x:v>0</x:v>
      </x:c>
      <x:c r="EA45" s="1052" t="str">
        <x:f t="shared" si="57"/>
        <x:v/>
      </x:c>
      <x:c r="EB45" s="1053" t="str">
        <x:f t="shared" si="58"/>
        <x:v/>
      </x:c>
      <x:c r="EC45" s="1053" t="str">
        <x:f t="shared" si="59"/>
        <x:v/>
      </x:c>
      <x:c r="ED45" s="1269">
        <x:f t="shared" si="60"/>
        <x:v>0</x:v>
      </x:c>
      <x:c r="EE45" s="1090" t="str">
        <x:f t="shared" si="61"/>
        <x:v/>
      </x:c>
      <x:c r="EF45" s="1053" t="str">
        <x:f t="shared" si="62"/>
        <x:v/>
      </x:c>
      <x:c r="EG45" s="1053" t="str">
        <x:f t="shared" si="63"/>
        <x:v/>
      </x:c>
      <x:c r="EH45" s="1053" t="e">
        <x:f t="shared" si="64"/>
        <x:v>#N/A</x:v>
      </x:c>
      <x:c r="EI45" s="1053" t="e">
        <x:f t="shared" si="65"/>
        <x:v>#N/A</x:v>
      </x:c>
      <x:c r="EJ45" s="1053" t="str">
        <x:f t="shared" si="66"/>
        <x:v/>
      </x:c>
      <x:c r="EK45" s="1053" t="str">
        <x:f t="shared" si="66"/>
        <x:v/>
      </x:c>
      <x:c r="EL45" s="1090" t="str">
        <x:f t="shared" si="67"/>
        <x:v/>
      </x:c>
      <x:c r="EM45" s="1053" t="str">
        <x:f t="shared" si="68"/>
        <x:v/>
      </x:c>
      <x:c r="EN45" s="1053" t="str">
        <x:f t="shared" si="69"/>
        <x:v/>
      </x:c>
      <x:c r="EO45" s="1053" t="e">
        <x:f t="shared" si="70"/>
        <x:v>#N/A</x:v>
      </x:c>
      <x:c r="EP45" s="1053" t="e">
        <x:f t="shared" si="71"/>
        <x:v>#N/A</x:v>
      </x:c>
      <x:c r="EQ45" s="1053" t="str">
        <x:f t="shared" si="72"/>
        <x:v/>
      </x:c>
      <x:c r="ER45" s="1053" t="str">
        <x:f t="shared" si="72"/>
        <x:v/>
      </x:c>
      <x:c r="ES45" s="1053" t="str">
        <x:f t="shared" si="73"/>
        <x:v/>
      </x:c>
      <x:c r="ET45" s="1053" t="str">
        <x:f t="shared" si="74"/>
        <x:v/>
      </x:c>
      <x:c r="EU45" s="1061" t="str">
        <x:f t="shared" si="75"/>
        <x:v/>
      </x:c>
      <x:c r="EV45" s="1055" t="str">
        <x:f t="shared" si="76"/>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77"/>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78"/>
        <x:v/>
      </x:c>
      <x:c r="FD45" s="1052">
        <x:f t="shared" si="105"/>
        <x:v>0</x:v>
      </x:c>
      <x:c r="FE45" s="1052">
        <x:f t="shared" si="79"/>
        <x:v>0</x:v>
      </x:c>
      <x:c r="FF45" s="1052">
        <x:f t="shared" si="80"/>
        <x:v>0</x:v>
      </x:c>
      <x:c r="FG45" s="1052" t="str">
        <x:f t="shared" si="81"/>
        <x:v/>
      </x:c>
      <x:c r="FH45" s="1053" t="str">
        <x:f t="shared" si="82"/>
        <x:v/>
      </x:c>
      <x:c r="FI45" s="1052">
        <x:f t="shared" si="106"/>
        <x:v>0</x:v>
      </x:c>
      <x:c r="FJ45" s="1052">
        <x:f t="shared" si="83"/>
        <x:v>0</x:v>
      </x:c>
      <x:c r="FK45" s="1052">
        <x:f t="shared" si="84"/>
        <x:v>0</x:v>
      </x:c>
      <x:c r="FL45" s="1052" t="str">
        <x:f t="shared" si="85"/>
        <x:v/>
      </x:c>
      <x:c r="FM45" s="1053" t="str">
        <x:f t="shared" si="86"/>
        <x:v/>
      </x:c>
      <x:c r="FN45" s="1053" t="e">
        <x:f t="shared" si="87"/>
        <x:v>#VALUE!</x:v>
      </x:c>
      <x:c r="FO45" s="1062" t="e">
        <x:f t="shared" si="88"/>
        <x:v>#VALUE!</x:v>
      </x:c>
      <x:c r="FP45" s="1062" t="e">
        <x:f t="shared" si="89"/>
        <x:v>#VALUE!</x:v>
      </x:c>
      <x:c r="FQ45" s="1063" t="e">
        <x:f t="shared" si="90"/>
        <x:v>#VALUE!</x:v>
      </x:c>
      <x:c r="FR45" s="1064" t="e">
        <x:f t="shared" si="91"/>
        <x:v>#VALUE!</x:v>
      </x:c>
      <x:c r="FS45" s="1065" t="str">
        <x:f t="shared" si="92"/>
        <x:v/>
      </x:c>
      <x:c r="FT45" s="1066" t="str">
        <x:f t="shared" si="93"/>
        <x:v/>
      </x:c>
      <x:c r="FU45" s="1105">
        <x:f t="shared" si="94"/>
        <x:v>0</x:v>
      </x:c>
      <x:c r="FV45" s="1106">
        <x:f t="shared" si="95"/>
        <x:v>0</x:v>
      </x:c>
      <x:c r="GA45" s="1975" t="str">
        <x:f t="shared" si="118"/>
        <x:v/>
      </x:c>
      <x:c r="GB45" s="1976" t="str">
        <x:f t="shared" si="119"/>
        <x:v/>
      </x:c>
      <x:c r="GC45" s="1977" t="str">
        <x:f t="shared" si="120"/>
        <x:v/>
      </x:c>
      <x:c r="GD45" s="1978" t="str">
        <x:f t="shared" si="121"/>
        <x:v/>
      </x:c>
      <x:c r="GE45" s="1979" t="str">
        <x:f t="shared" si="122"/>
        <x:v/>
      </x:c>
      <x:c r="GF45" s="1980" t="str">
        <x:f t="shared" si="96"/>
        <x:v/>
      </x:c>
      <x:c r="GG45" s="1455"/>
      <x:c r="GH45" s="1456"/>
      <x:c r="GI45" s="1455"/>
      <x:c r="GJ45" s="1456"/>
      <x:c r="GK45" s="533">
        <x:f t="shared" si="97"/>
        <x:v>0</x:v>
      </x:c>
      <x:c r="GL45" s="534" t="e">
        <x:f t="shared" si="98"/>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8</x:v>
      </x:c>
      <x:c r="AE46" s="540">
        <x:f>SUM(AE16:AE45)</x:f>
        <x:v>40</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48</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2244</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7R7vnnCvPn3qa1nlkWWp//dxE9hH3J+rwaBDFmUdBXoZv5bDrJoudxFoOmVp8ksKhFKJrij+MomClTFUlE2FKQ==" saltValue="DWSlYAA4zPtLTAf6tx9oSw=="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248" priority="69" stopIfTrue="1">
      <x:formula>GM57&gt;=0.125</x:formula>
    </x:cfRule>
  </x:conditionalFormatting>
  <x:conditionalFormatting sqref="EF57">
    <x:cfRule type="cellIs" dxfId="247" priority="70" stopIfTrue="1" operator="notEqual">
      <x:formula>$EG57</x:formula>
    </x:cfRule>
  </x:conditionalFormatting>
  <x:conditionalFormatting sqref="EM57">
    <x:cfRule type="cellIs" dxfId="246" priority="71" stopIfTrue="1" operator="notEqual">
      <x:formula>$EN57</x:formula>
    </x:cfRule>
  </x:conditionalFormatting>
  <x:conditionalFormatting sqref="CD16:CD45">
    <x:cfRule type="expression" dxfId="245" priority="62">
      <x:formula>AND(CD16="X",CY16="")</x:formula>
    </x:cfRule>
    <x:cfRule type="expression" dxfId="244" priority="72">
      <x:formula>AND(CD16="",CY16&lt;&gt;"")</x:formula>
    </x:cfRule>
  </x:conditionalFormatting>
  <x:conditionalFormatting sqref="CE16:CE45">
    <x:cfRule type="expression" dxfId="243" priority="73">
      <x:formula>AND(CE16="X",DI16="")</x:formula>
    </x:cfRule>
    <x:cfRule type="expression" dxfId="242" priority="74">
      <x:formula>AND(CE16="",DI16&lt;&gt;"")</x:formula>
    </x:cfRule>
  </x:conditionalFormatting>
  <x:conditionalFormatting sqref="P2:S4">
    <x:cfRule type="cellIs" dxfId="241" priority="76" stopIfTrue="1" operator="equal">
      <x:formula>""</x:formula>
    </x:cfRule>
  </x:conditionalFormatting>
  <x:conditionalFormatting sqref="EF16:EF45">
    <x:cfRule type="cellIs" dxfId="240" priority="68" stopIfTrue="1" operator="notEqual">
      <x:formula>$EG16</x:formula>
    </x:cfRule>
  </x:conditionalFormatting>
  <x:conditionalFormatting sqref="EM16:EM45">
    <x:cfRule type="cellIs" dxfId="239" priority="67" stopIfTrue="1" operator="notEqual">
      <x:formula>$EN16</x:formula>
    </x:cfRule>
  </x:conditionalFormatting>
  <x:conditionalFormatting sqref="CC12">
    <x:cfRule type="expression" dxfId="238" priority="66" stopIfTrue="1">
      <x:formula>ISBLANK($CC$12)</x:formula>
    </x:cfRule>
  </x:conditionalFormatting>
  <x:conditionalFormatting sqref="CC11">
    <x:cfRule type="expression" dxfId="237" priority="65" stopIfTrue="1">
      <x:formula>ISBLANK($CC$11)</x:formula>
    </x:cfRule>
  </x:conditionalFormatting>
  <x:conditionalFormatting sqref="M7">
    <x:cfRule type="expression" dxfId="236" priority="63" stopIfTrue="1">
      <x:formula>OR(ISBLANK($M$7),$M$7="")</x:formula>
    </x:cfRule>
    <x:cfRule type="expression" dxfId="235" priority="64" stopIfTrue="1">
      <x:formula>AND(LOWER($M$7)&lt;&gt;"std gray primer: one shop coat",LOWER($M$7)&lt;&gt;"gray",$M$7&lt;&gt;"")</x:formula>
    </x:cfRule>
  </x:conditionalFormatting>
  <x:conditionalFormatting sqref="BV16:BV45">
    <x:cfRule type="expression" dxfId="234" priority="60">
      <x:formula>AND(NOT($AY16),AND(ISBLANK(BV16),AND(NOT(ISBLANK(BU16)),$BW16&lt;&gt;0)))</x:formula>
    </x:cfRule>
  </x:conditionalFormatting>
  <x:conditionalFormatting sqref="BD16:BD45">
    <x:cfRule type="expression" dxfId="233" priority="61">
      <x:formula>AND(NOT($AY16),NOT($AP16))</x:formula>
    </x:cfRule>
  </x:conditionalFormatting>
  <x:conditionalFormatting sqref="U16:U45">
    <x:cfRule type="expression" dxfId="232" priority="57">
      <x:formula>AND(NOT($AY16),NOT(AR16))</x:formula>
    </x:cfRule>
  </x:conditionalFormatting>
  <x:conditionalFormatting sqref="W16:W45">
    <x:cfRule type="expression" dxfId="231" priority="59">
      <x:formula>AND(NOT($AY16),NOT(AT16))</x:formula>
    </x:cfRule>
  </x:conditionalFormatting>
  <x:conditionalFormatting sqref="T16:T45">
    <x:cfRule type="expression" dxfId="230" priority="56">
      <x:formula>AND(NOT($AY16),NOT(AR16))</x:formula>
    </x:cfRule>
  </x:conditionalFormatting>
  <x:conditionalFormatting sqref="V16:V45">
    <x:cfRule type="expression" dxfId="229" priority="58">
      <x:formula>AND(NOT($AY16),NOT(AT16))</x:formula>
    </x:cfRule>
  </x:conditionalFormatting>
  <x:conditionalFormatting sqref="C16:C45">
    <x:cfRule type="expression" dxfId="228" priority="54">
      <x:formula>AND(NOT($AY16),NOT($AP16))</x:formula>
    </x:cfRule>
  </x:conditionalFormatting>
  <x:conditionalFormatting sqref="X16:X45">
    <x:cfRule type="expression" dxfId="227" priority="14">
      <x:formula>$X16=0</x:formula>
    </x:cfRule>
  </x:conditionalFormatting>
  <x:conditionalFormatting sqref="CB16:CB45">
    <x:cfRule type="expression" dxfId="226" priority="53">
      <x:formula>OR(CB16&gt;CV16,CB16&lt;0)</x:formula>
    </x:cfRule>
  </x:conditionalFormatting>
  <x:conditionalFormatting sqref="CC16:CC45">
    <x:cfRule type="expression" dxfId="225" priority="51">
      <x:formula>OR(CC16&gt;DF16,CC16&lt;0)</x:formula>
    </x:cfRule>
  </x:conditionalFormatting>
  <x:conditionalFormatting sqref="BY16:BY45">
    <x:cfRule type="expression" dxfId="224" priority="75">
      <x:formula>OR(CH16&lt;&gt;"",CI16&lt;&gt;"",CJ16&lt;&gt;"",CK16&lt;&gt;"",CL16&lt;&gt;"",CM16&lt;&gt;"")</x:formula>
    </x:cfRule>
  </x:conditionalFormatting>
  <x:conditionalFormatting sqref="BE16:BF45">
    <x:cfRule type="expression" dxfId="223" priority="77">
      <x:formula>AND(NOT($AY16),AND($AZ16,AND($AK16&lt;&gt;"HDR",$AK16&lt;&gt;"JS",$AJ16&gt;=8)))</x:formula>
    </x:cfRule>
  </x:conditionalFormatting>
  <x:conditionalFormatting sqref="D16:E45">
    <x:cfRule type="expression" dxfId="222" priority="55">
      <x:formula>AND(NOT($AY16),AND($AZ16,AND($AK16&lt;&gt;"HDR",$AK16&lt;&gt;"JS",$AJ16&gt;=8)))</x:formula>
    </x:cfRule>
  </x:conditionalFormatting>
  <x:conditionalFormatting sqref="AA12">
    <x:cfRule type="expression" dxfId="221" priority="52">
      <x:formula>OR(ISBLANK(AA12),AA12="")</x:formula>
    </x:cfRule>
  </x:conditionalFormatting>
  <x:conditionalFormatting sqref="A16:Z45 BB16:CG45">
    <x:cfRule type="expression" dxfId="220" priority="78">
      <x:formula>$AC16</x:formula>
    </x:cfRule>
  </x:conditionalFormatting>
  <x:conditionalFormatting sqref="BN16:BN45">
    <x:cfRule type="expression" dxfId="219" priority="17">
      <x:formula>AND(NOT($AY16),AND(ISBLANK(BN16),AND(NOT(ISBLANK(BM16)),$BW16&lt;&gt;0)))</x:formula>
    </x:cfRule>
  </x:conditionalFormatting>
  <x:conditionalFormatting sqref="BO16:BO45">
    <x:cfRule type="expression" dxfId="218" priority="16">
      <x:formula>AND(NOT($AY16),ISERROR(DE16))</x:formula>
    </x:cfRule>
    <x:cfRule type="expression" dxfId="217" priority="43">
      <x:formula>AND(NOT($AY16),OR(DE16="", CQ16&lt;&gt;""))</x:formula>
    </x:cfRule>
  </x:conditionalFormatting>
  <x:conditionalFormatting sqref="BG16:BG45">
    <x:cfRule type="expression" dxfId="216" priority="15">
      <x:formula>AND(NOT($AY16),ISERROR(CU16))</x:formula>
    </x:cfRule>
    <x:cfRule type="expression" dxfId="215" priority="42">
      <x:formula>AND(NOT($AY16),OR(CP16&lt;&gt;"", CU16=""))</x:formula>
    </x:cfRule>
  </x:conditionalFormatting>
  <x:conditionalFormatting sqref="BH16:BH45">
    <x:cfRule type="expression" dxfId="214" priority="30">
      <x:formula>AND(NOT($AY16),OR($CU16="M",$CU16="C",AND($CU16="B",$DC16&gt;0)))</x:formula>
    </x:cfRule>
    <x:cfRule type="expression" dxfId="213" priority="31">
      <x:formula>AND(NOT($AY16),AND(BH16="",BI16="",OR($CU16="B",$CU16="G")))</x:formula>
    </x:cfRule>
    <x:cfRule type="expression" dxfId="212" priority="32">
      <x:formula>AND(NOT($AY16),(BH16/2)/COS(RADIANS(BM16))+CV16-DW16&lt;VLOOKUP(AU16,$DF$2:$DJ$9,5,FALSE))</x:formula>
    </x:cfRule>
  </x:conditionalFormatting>
  <x:conditionalFormatting sqref="BI16:BI45">
    <x:cfRule type="expression" dxfId="211" priority="39">
      <x:formula>AND(NOT($AY16),OR($CU16="M",$CU16="C",AND($CU16="B",$DC16&gt;0)))</x:formula>
    </x:cfRule>
    <x:cfRule type="expression" dxfId="210" priority="40">
      <x:formula>AND(NOT($AY16),AND(BH16="",BI16="",OR($CU16="B",$CU16="G")))</x:formula>
    </x:cfRule>
    <x:cfRule type="expression" dxfId="209" priority="41">
      <x:formula>AND(NOT($AY16),(BI16/2)/COS(RADIANS(BM16))+CV16-DW16&lt;VLOOKUP(AU16,$DF$2:$DJ$9,5,FALSE))</x:formula>
    </x:cfRule>
  </x:conditionalFormatting>
  <x:conditionalFormatting sqref="BK16:BK45">
    <x:cfRule type="expression" dxfId="208" priority="18">
      <x:formula>AND(NOT($AY16),OR($CU16="M",$CU16="C",AND($CU16="B",$DA16&lt;&gt;"")))</x:formula>
    </x:cfRule>
    <x:cfRule type="expression" dxfId="207" priority="19">
      <x:formula>AND(NOT($AY16),AND(BJ16="X",BK16="",BL16=""))</x:formula>
    </x:cfRule>
    <x:cfRule type="expression" dxfId="206" priority="20">
      <x:formula>AND(NOT($AY16),EZ16="ERR")</x:formula>
    </x:cfRule>
  </x:conditionalFormatting>
  <x:conditionalFormatting sqref="BL16:BL45">
    <x:cfRule type="expression" dxfId="205" priority="21">
      <x:formula>AND(NOT($AY16),OR($CU16="M",$CU16="C",AND($CU16="B",$DA16&lt;&gt;"")))</x:formula>
    </x:cfRule>
    <x:cfRule type="expression" dxfId="204" priority="22">
      <x:formula>AND(NOT($AY16),AND(BJ16="X",BK16="",BL16=""))</x:formula>
    </x:cfRule>
    <x:cfRule type="expression" dxfId="203" priority="23">
      <x:formula>AND(NOT($AY16),EZ16="ERR")</x:formula>
    </x:cfRule>
  </x:conditionalFormatting>
  <x:conditionalFormatting sqref="BS16:BS45">
    <x:cfRule type="expression" dxfId="202" priority="24">
      <x:formula>AND(NOT($AY16),OR($DE16="M",$DE16="C",AND($DE16="B",$DK16&lt;&gt;"")))</x:formula>
    </x:cfRule>
    <x:cfRule type="expression" dxfId="201" priority="25">
      <x:formula>AND(NOT($AY16),AND(BR16="X",BS16="",BT16=""))</x:formula>
    </x:cfRule>
    <x:cfRule type="expression" dxfId="200" priority="26">
      <x:formula>AND(NOT($AY16),FC16="ERR")</x:formula>
    </x:cfRule>
  </x:conditionalFormatting>
  <x:conditionalFormatting sqref="BT16:BT45">
    <x:cfRule type="expression" dxfId="199" priority="27">
      <x:formula>AND(NOT($AY16),OR($DE16="M",$DE16="C",AND($DE16="B",$DK16&lt;&gt;"")))</x:formula>
    </x:cfRule>
    <x:cfRule type="expression" dxfId="198" priority="28">
      <x:formula>AND(NOT($AY16),AND(BR16="X",BS16="",BT16=""))</x:formula>
    </x:cfRule>
    <x:cfRule type="expression" dxfId="197" priority="29">
      <x:formula>AND(NOT($AY16),FC16="ERR")</x:formula>
    </x:cfRule>
  </x:conditionalFormatting>
  <x:conditionalFormatting sqref="BP16:BP45">
    <x:cfRule type="expression" dxfId="196" priority="33">
      <x:formula>AND(NOT($AY16),OR($DE16="M",$DE16="C",AND($DE16="B",$DM16&gt;0)))</x:formula>
    </x:cfRule>
    <x:cfRule type="expression" dxfId="195" priority="34">
      <x:formula>AND(NOT($AY16),AND(BP16="",BQ16="",OR($DE16="B",$DE16="G")))</x:formula>
    </x:cfRule>
    <x:cfRule type="expression" dxfId="194" priority="35">
      <x:formula>AND(NOT($AY16),(BP16/2)/COS(RADIANS(BU16))+DF16-EC16&lt;VLOOKUP(AU16,$DF$2:$DJ$9,5,FALSE))</x:formula>
    </x:cfRule>
  </x:conditionalFormatting>
  <x:conditionalFormatting sqref="BQ16:BQ45">
    <x:cfRule type="expression" dxfId="193" priority="36">
      <x:formula>AND(NOT($AY16),OR($DE16="M",$DE16="C",AND($DE16="B",$DM16&gt;0)))</x:formula>
    </x:cfRule>
    <x:cfRule type="expression" dxfId="192" priority="37">
      <x:formula>AND(NOT($AY16),AND(BP16="",BQ16="",OR($DE16="B",$DE16="G")))</x:formula>
    </x:cfRule>
    <x:cfRule type="expression" dxfId="191" priority="38">
      <x:formula>AND(NOT($AY16),(BQ16/2)/COS(RADIANS(BU16))+DF16-EC16&lt;VLOOKUP(AU16,$DF$2:$DJ$9,5,FALSE))</x:formula>
    </x:cfRule>
  </x:conditionalFormatting>
  <x:conditionalFormatting sqref="BJ16:BJ45">
    <x:cfRule type="expression" dxfId="190" priority="44">
      <x:formula>AND(NOT($AY16),OR($CU16="C",AND($CU16="M",$DA16&gt;0)))</x:formula>
    </x:cfRule>
    <x:cfRule type="expression" dxfId="189" priority="45">
      <x:formula>AND(NOT($AY16),OR(NOT(IF(AND(OR(MID($BB16,1,1)="T",($BE16+$BF16/12)/IF(ABS($BW16)&gt;$DQ$1,COS($DO16),1)&gt;=40),OR($CU16="B",$CU16="G")),"X","")="X"),$EZ16="ERR"))</x:formula>
    </x:cfRule>
    <x:cfRule type="expression" dxfId="188" priority="46">
      <x:formula>AND(NOT($AY16),$BJ16&lt;&gt;"X",$BJ16&lt;&gt;IF(AND(OR(MID(BB16,1,1)="T",($BE16+$BF16/12)/IF(ABS($BW16)&gt;$DQ$1,COS($DO16),1)&gt;=40),OR($CU16="B",$CU16="G")),"X",""))</x:formula>
    </x:cfRule>
  </x:conditionalFormatting>
  <x:conditionalFormatting sqref="BR16:BR45">
    <x:cfRule type="expression" dxfId="187" priority="47">
      <x:formula>AND(NOT($AY16),OR($DE16="C",AND($DE16="M",$DK16&gt;0)))</x:formula>
    </x:cfRule>
    <x:cfRule type="expression" dxfId="186" priority="48">
      <x:formula>AND(NOT($AY16),OR(NOT(IF(AND(OR(MID($BB16,1,1)="T",($BE16+$BF16/12)/IF(ABS($BW16)&gt;$DQ$1,COS($DO16),1)&gt;=40),OR($DE16="B",$DE16="G")),"X","")="X"),$FC16="ERR"))</x:formula>
    </x:cfRule>
    <x:cfRule type="expression" dxfId="185" priority="49">
      <x:formula>AND(NOT($AY16),$BR16&lt;&gt;"X",$BR16&lt;&gt;IF(AND(OR(MID(BB16,1,1)="T",($BE16+$BF16/12)/IF(ABS($BW16)&gt;$DQ$1,COS($DO16),1)&gt;=40),OR($DE16="B",$DE16="G")),"X",""))</x:formula>
    </x:cfRule>
  </x:conditionalFormatting>
  <x:conditionalFormatting sqref="A16:B45 BB16:BC45">
    <x:cfRule type="expression" dxfId="184" priority="50">
      <x:formula>AND(NOT($AE$1),$B16=0,$AD$1="M")</x:formula>
    </x:cfRule>
  </x:conditionalFormatting>
  <x:conditionalFormatting sqref="U57">
    <x:cfRule type="expression" dxfId="183" priority="11" stopIfTrue="1">
      <x:formula>AND(NOT($AY57),NOT(AR57))</x:formula>
    </x:cfRule>
  </x:conditionalFormatting>
  <x:conditionalFormatting sqref="W57">
    <x:cfRule type="expression" dxfId="182" priority="13" stopIfTrue="1">
      <x:formula>AND(NOT($AY57),NOT(AT57))</x:formula>
    </x:cfRule>
  </x:conditionalFormatting>
  <x:conditionalFormatting sqref="T57">
    <x:cfRule type="expression" dxfId="181" priority="10" stopIfTrue="1">
      <x:formula>AND(NOT($AY57),NOT(AR57))</x:formula>
    </x:cfRule>
  </x:conditionalFormatting>
  <x:conditionalFormatting sqref="V57">
    <x:cfRule type="expression" dxfId="180" priority="12" stopIfTrue="1">
      <x:formula>AND(NOT($AY57),NOT(AT57))</x:formula>
    </x:cfRule>
  </x:conditionalFormatting>
  <x:conditionalFormatting sqref="C57">
    <x:cfRule type="expression" dxfId="179" priority="8" stopIfTrue="1">
      <x:formula>AND(NOT($AY57),NOT($AP57))</x:formula>
    </x:cfRule>
  </x:conditionalFormatting>
  <x:conditionalFormatting sqref="X57">
    <x:cfRule type="expression" dxfId="178" priority="4">
      <x:formula>$X57=0</x:formula>
    </x:cfRule>
  </x:conditionalFormatting>
  <x:conditionalFormatting sqref="D57:E57">
    <x:cfRule type="expression" dxfId="177" priority="9" stopIfTrue="1">
      <x:formula>AND(NOT($AY57),AND($AZ57,AND($AK57&lt;&gt;"HDR",$AK57&lt;&gt;"JS",$AJ57&gt;=8)))</x:formula>
    </x:cfRule>
  </x:conditionalFormatting>
  <x:conditionalFormatting sqref="A57:AA57">
    <x:cfRule type="expression" dxfId="176" priority="5">
      <x:formula>$AC57</x:formula>
    </x:cfRule>
  </x:conditionalFormatting>
  <x:conditionalFormatting sqref="AA57">
    <x:cfRule type="expression" dxfId="175" priority="6" stopIfTrue="1">
      <x:formula>AND(NOT($AY57),LEN(AA57)&gt;31)</x:formula>
    </x:cfRule>
  </x:conditionalFormatting>
  <x:conditionalFormatting sqref="A57:B57">
    <x:cfRule type="expression" dxfId="174" priority="7">
      <x:formula>AND(NOT($AE$1),$B57=0,$AD$1="M")</x:formula>
    </x:cfRule>
  </x:conditionalFormatting>
  <x:conditionalFormatting sqref="AA16:AA45">
    <x:cfRule type="expression" dxfId="173" priority="2">
      <x:formula>$AC16</x:formula>
    </x:cfRule>
  </x:conditionalFormatting>
  <x:conditionalFormatting sqref="AA16:AA45">
    <x:cfRule type="expression" dxfId="172" priority="3" stopIfTrue="1">
      <x:formula>AND(NOT($AY16),LEN(AA16)&gt;31)</x:formula>
    </x:cfRule>
  </x:conditionalFormatting>
  <x:conditionalFormatting sqref="GA16:GB45">
    <x:cfRule type="expression" dxfId="171"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62.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7">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41 of 42</x:v>
      </x:c>
      <x:c r="Z7" s="822"/>
      <x:c r="AA7" s="444"/>
      <x:c r="AB7" s="449"/>
      <x:c r="AC7" s="1393">
        <x:v>41</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1591</x:v>
      </x:c>
      <x:c r="B16" s="1265">
        <x:v>1</x:v>
      </x:c>
      <x:c r="C16" s="1265" t="s">
        <x:v>1978</x:v>
      </x:c>
      <x:c r="D16" s="1261">
        <x:v>59</x:v>
      </x:c>
      <x:c r="E16" s="1366">
        <x:v>0.625</x:v>
      </x:c>
      <x:c r="F16" s="1328" t="str">
        <x:f t="shared" ref="F16:F44" si="1">IF(DX16=0,"",TRUNC(DX16/12))</x:f>
        <x:v/>
      </x:c>
      <x:c r="G16" s="1262" t="str">
        <x:f t="shared" ref="G16:G44" si="2">IF(DX16=0,"",DX16-(F16*12))</x:f>
        <x:v/>
      </x:c>
      <x:c r="H16" s="1266" t="str">
        <x:f t="shared" ref="H16:H44" si="3">IF(DX16=0,"",CW16)</x:f>
        <x:v/>
      </x:c>
      <x:c r="I16" s="1261">
        <x:v>0</x:v>
      </x:c>
      <x:c r="J16" s="1262">
        <x:v>1.375</x:v>
      </x:c>
      <x:c r="K16" s="1370" t="s">
        <x:v>114</x:v>
      </x:c>
      <x:c r="L16" s="1327">
        <x:v>3</x:v>
      </x:c>
      <x:c r="M16" s="1329">
        <x:v>3</x:v>
      </x:c>
      <x:c r="N16" s="1263" t="str">
        <x:f t="shared" ref="N16:N44" si="4">IF(ES16="","",IF(AND(ES16&lt;0,ES16&gt;-12),TRUNC(ES16/12)-0.0000001,TRUNC(ES16/12)))</x:f>
        <x:v/>
      </x:c>
      <x:c r="O16" s="1262" t="str">
        <x:f t="shared" ref="O16:O44" si="5">IF(ES16="","",IF(AND(ES16-(N16*12)=0,ES16&lt;0),-0.000001,ES16-(N16*12)))</x:f>
        <x:v/>
      </x:c>
      <x:c r="P16" s="1260" t="str">
        <x:f t="shared" ref="P16:P44" si="6">IF(ES16="","",CZ16)</x:f>
        <x:v/>
      </x:c>
      <x:c r="Q16" s="1261" t="str">
        <x:f t="shared" ref="Q16:Q44" si="7">IF(ET16="","",IF(AND(ET16&lt;0,ET16&gt;-12),TRUNC(ET16/12)-0.0000001,TRUNC(ET16/12)))</x:f>
        <x:v/>
      </x:c>
      <x:c r="R16" s="1262" t="str">
        <x:f t="shared" ref="R16:R44" si="8">IF(ET16="","",IF(AND(ET16-(Q16*12)=0,ET16&lt;0),-0.000001,ET16-(Q16*12)))</x:f>
        <x:v/>
      </x:c>
      <x:c r="S16" s="1375" t="str">
        <x:f t="shared" ref="S16:S44" si="9">IF(ET16="","",DJ16)</x:f>
        <x:v/>
      </x:c>
      <x:c r="T16" s="1328" t="str">
        <x:f t="shared" ref="T16:T44" si="10">IF(CH16="ERR","",IF(EK16="","",IF(EK16="ERR",TRUNC(EJ16/12),TRUNC(EK16/12))))</x:f>
        <x:v/>
      </x:c>
      <x:c r="U16" s="1262" t="str">
        <x:f t="shared" ref="U16:U44" si="11">IF(CH16="ERR","",IF(EK16="","",IF(EK16="ERR",EJ16-(T16*12),EK16-(T16*12))))</x:f>
        <x:v/>
      </x:c>
      <x:c r="V16" s="1261" t="str">
        <x:f t="shared" ref="V16:V44" si="12">IF(CI16="ERR","",IF(ER16="","",IF(ER16="ERR",TRUNC(EQ16/12),TRUNC(ER16/12))))</x:f>
        <x:v/>
      </x:c>
      <x:c r="W16" s="1262" t="str">
        <x:f t="shared" ref="W16:W44" si="13">IF(CI16="ERR","",IF(ER16="","",IF(ER16="ERR",EQ16-(V16*12),ER16-(V16*12))))</x:f>
        <x:v/>
      </x:c>
      <x:c r="X16" s="1329">
        <x:f t="shared" ref="X16:X44" si="14">IF(EV16="",0,EV16)</x:f>
        <x:v>0</x:v>
      </x:c>
      <x:c r="Y16" s="1377" t="str">
        <x:f t="shared" ref="Y16:Y44" si="15">FG16</x:f>
        <x:v/>
      </x:c>
      <x:c r="Z16" s="1378" t="str">
        <x:f t="shared" ref="Z16:Z44" si="16">FL16</x:f>
        <x:v/>
      </x:c>
      <x:c r="AA16" s="2159" t="s">
        <x:v>2261</x:v>
      </x:c>
      <x:c r="AC16" s="1226" t="b">
        <x:v>0</x:v>
      </x:c>
      <x:c r="AD16" s="525">
        <x:f t="shared" ref="AD16:AD45" si="17">IF($C16="",0,IF(SUM(AE16:AG16)&gt;0,0,IF(ISERROR(SEARCH("K",$C16,1))=TRUE,0,$B16)))</x:f>
        <x:v>0</x:v>
      </x:c>
      <x:c r="AE16" s="526">
        <x:f t="shared" ref="AE16:AE45" si="18">IF(ISERROR(SEARCH("LH",$C16,1))=TRUE,0,$B16)</x:f>
        <x:v>1</x:v>
      </x:c>
      <x:c r="AF16" s="526">
        <x:f t="shared" ref="AF16:AF45" si="19">IF(ISERROR(SEARCH("JS",$C16))=TRUE,IF(ISERROR(SEARCH("2.5K",$C16))=TRUE,0,$B16),$B16)</x:f>
        <x:v>0</x:v>
      </x:c>
      <x:c r="AG16" s="526">
        <x:f t="shared" ref="AG16:AG45" si="20">IF(ISERROR(SEARCH("HDR",$C16,1))=TRUE,0,$B16)</x:f>
        <x:v>0</x:v>
      </x:c>
      <x:c r="AH16" s="527">
        <x:f t="shared" ref="AH16:AH45" si="21">IF(ISERROR(SEARCH("CJ",$C16,1))=TRUE,0,$B16)</x:f>
        <x:v>0</x:v>
      </x:c>
      <x:c r="AI16" s="528" t="b">
        <x:v>0</x:v>
      </x:c>
      <x:c r="AJ16" s="284">
        <x:f t="shared" ref="AJ16:AJ45" si="22">IF(OR(ISERROR(VALUE(LEFT(C16,SEARCH(AK16,C16)-1))),AK16=""),0,VALUE(LEFT(C16,SEARCH(AK16,C16)-1)))</x:f>
        <x:v>36</x:v>
      </x:c>
      <x:c r="AK16" s="1063" t="str">
        <x:f t="shared" ref="AK16:AK45" si="23">IF(AV16="",AW16,AV16)</x:f>
        <x:v>LH</x:v>
      </x:c>
      <x:c r="AL16" s="1202" t="str">
        <x:f t="shared" ref="AL16:AL45" si="24">IF(AK16="","",IF(ISERROR(SEARCH("/",C16)),IF(VALUE(MID(C16,SEARCH(AK16,C16)+LEN(AK16),LEN(C16)))&gt;25,"",VALUE(MID(C16,SEARCH(AK16,C16)+LEN(AK16),LEN(C16)))),""))</x:f>
        <x:v/>
      </x:c>
      <x:c r="AM16" s="1063">
        <x:f t="shared" ref="AM16:AM45" si="25">IF(AK16="","",IF(ISERROR(SEARCH("/",C16)),IF(VALUE(MID(C16,SEARCH(AK16,C16)+LEN(AK16),LEN(C16)))&lt;26,"",VALUE(MID(C16,SEARCH(AK16,C16)+LEN(AK16),LEN(C16)))),VALUE(MID(C16,SEARCH(AK16,C16)+LEN(AK16),SEARCH("/",C16)-SEARCH(AK16,C16)-LEN(AK16)))))</x:f>
        <x:v>270</x:v>
      </x:c>
      <x:c r="AN16" s="1063">
        <x:f t="shared" ref="AN16:AN45" si="26">IF(AK16="","",IF(AK16="CJ",MID(MID(C16,SEARCH("/",C16)+1,LEN(C16)),1,SEARCH("/",MID(C16,SEARCH("/",C16)+1,LEN(C16)))-1),IF(ISERROR(SEARCH("/",C16)),"",VALUE(MID(C16,SEARCH("/",C16)+1,LEN(C16))))))</x:f>
        <x:v>120</x:v>
      </x:c>
      <x:c r="AO16" s="1063" t="str">
        <x:f t="shared" ref="AO16:AO45" si="27">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8">VLOOKUP(AK16,$DF$2:$DN$9,4,FALSE)+IF(LEFT(H16,1)="R",IF(ISNUMBER(F16),F16*12,0)+IF(ISNUMBER(G16),G16,0),0)</x:f>
        <x:v>6</x:v>
      </x:c>
      <x:c r="AR16" s="1305" t="b">
        <x:f t="shared" ref="AR16:AR45" si="29">IF(IF(ISNUMBER(T16),T16*12,0)+IF(ISNUMBER(U16),U16,0)&gt;0,IF(AND((IF(ISNUMBER(T16),T16*12,0)+IF(ISNUMBER(U16),U16,0))&gt;=1,(IF(ISNUMBER(T16),T16*12,0)+IF(ISNUMBER(U16),U16,0))&lt;=(AQ16-1)+IF(H16="X",2,0)),TRUE,FALSE),FALSE)</x:f>
        <x:v>0</x:v>
      </x:c>
      <x:c r="AS16" s="1305">
        <x:f t="shared" ref="AS16:AS45" si="30">VLOOKUP(AK16,$DF$2:$DN$9,4,FALSE)+IF(LEFT(K16,1)="R",(IF(ISNUMBER(I16),I16*12,0)+IF(ISNUMBER(J16),J16,0)),0)</x:f>
        <x:v>7.375</x:v>
      </x:c>
      <x:c r="AT16" s="1305" t="b">
        <x:f t="shared" ref="AT16:AT45" si="31">IF(IF(ISNUMBER(V16),V16*12,0)+IF(ISNUMBER(W16),W16,0)&gt;0,IF(AND((IF(ISNUMBER(V16),V16*12,0)+IF(ISNUMBER(W16),W16,0))&gt;=1,(IF(ISNUMBER(V16),V16*12,0)+IF(ISNUMBER(W16),W16,0))&lt;=(AS16-1)+IF(K16="X",2,0)),TRUE,FALSE),FALSE)</x:f>
        <x:v>0</x:v>
      </x:c>
      <x:c r="AU16" s="1203" t="str">
        <x: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33">IF(NOT(ISERROR(SEARCH("KCSR",C16))),"KCSR",IF(NOT(ISERROR(SEARCH("KCSA",C16))),"KCSA",IF(NOT(ISERROR(SEARCH("KCS",C16))),"KCS",IF(NOT(ISERROR(SEARCH("KR",C16))),"KR",IF(NOT(ISERROR(SEARCH("KA",C16))),"KA",IF(NOT(ISERROR(SEARCH("K",C16))),"K",IF(NOT(ISERROR(SEARCH("CJ",C16))),"CJ","")))))))</x:f>
        <x:v/>
      </x:c>
      <x:c r="AW16" s="1063" t="str">
        <x:f t="shared" ref="AW16:AW45" si="34">IF(NOT(ISERROR(SEARCH("HDR",C16))),"HDR",IF(NOT(ISERROR(SEARCH("JS",C16))),"JS",IF(NOT(ISERROR(SEARCH("SLH",C16))),"SLH",IF(NOT(ISERROR(SEARCH("DLH",C16))),"DLH",IF(NOT(ISERROR(SEARCH("LH",C16))),"LH","")))))</x:f>
        <x:v>LH</x:v>
      </x:c>
      <x:c r="AX16" s="1063" t="str">
        <x:f>IF(OR(ISBLANK(A16),A16=""),"",A16)</x:f>
        <x:v>J267</x:v>
      </x:c>
      <x:c r="AY16" s="1306" t="b">
        <x:f t="shared" ref="AY16:AY45" si="35">IF($AE$1,IF(AX16=AX15,AY15,IF(AND(AX16&lt;&gt;"",OR(B16=0,B16="")),TRUE,FALSE)),FALSE)</x:f>
        <x:v>0</x:v>
      </x:c>
      <x:c r="AZ16" s="1090" t="b">
        <x:f t="shared" ref="AZ16:AZ45" si="36">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37">IF(CY16="","","X")</x:f>
        <x:v/>
      </x:c>
      <x:c r="CE16" s="925" t="str">
        <x:f t="shared" ref="CE16:CE45" si="38">IF(DI16="","","X")</x:f>
        <x:v/>
      </x:c>
      <x:c r="CF16" s="1147"/>
      <x:c r="CG16" s="1148"/>
      <x:c r="CH16" s="730" t="str">
        <x:f t="shared" ref="CH16:CH45" si="39">IF(EJ16=EK16,IF(EK16="ERR","ERR",""),CONCATENATE(IF(BM16&lt;0,"NS ","FS "),IF(EK16="ERR","Slot Only",CONCATENATE("Slot @ ",EJ16))))</x:f>
        <x:v/>
      </x:c>
      <x:c r="CI16" s="731" t="str">
        <x:f t="shared" ref="CI16:CI45" si="40">IF(EQ16=ER16,IF(ER16="ERR","ERR",""),CONCATENATE(IF(BU16&lt;0,"FS ","NS "),IF(ER16="ERR","Slot Only",CONCATENATE("Slot @ ",EQ16))))</x:f>
        <x:v/>
      </x:c>
      <x:c r="CJ16" s="732" t="str">
        <x:f t="shared" ref="CJ16:CJ45" si="41">IF(EV16="","",IF(AND(DB16&lt;&gt;EV16,OR(NOT(ISBLANK(BJ16)),CU16="C")),CONCATENATE("LE slots @ ",DB16," Ga."),IF(AND(DL16&lt;&gt;EV16,OR(NOT(ISBLANK(BR16)),DE16="C")),CONCATENATE("RE slots @ ",DL16," Ga."),"")))</x:f>
        <x:v/>
      </x:c>
      <x:c r="CK16" s="733" t="str">
        <x:f t="shared" ref="CK16:CK45" si="42">IF(AND(CP16&lt;&gt;"",BM16&lt;&gt;"",CQ16&lt;&gt;"",BU16&lt;&gt;""),"BE",IF(AND(CP16&lt;&gt;"",BM16&lt;&gt;""),"LE",IF(AND(CQ16&lt;&gt;"",BU16&lt;&gt;""),"RE","")))</x:f>
        <x:v/>
      </x:c>
      <x:c r="CL16" s="734" t="str">
        <x:f t="shared" ref="CL16:CL45" si="43">IF(ISBLANK(CB16),"",CEILING(DV16,0.125))</x:f>
        <x:v/>
      </x:c>
      <x:c r="CM16" s="735" t="str">
        <x:f t="shared" ref="CM16:CM45" si="44">IF(ISBLANK(CC16),"",CEILING(EB16,0.125))</x:f>
        <x:v/>
      </x:c>
      <x:c r="CN16" s="736" t="str">
        <x:f t="shared" ref="CN16:CN45" si="45">IF(AND(BW16&lt;&gt;0,BM16&lt;&gt;0),BW16*COS(RADIANS(90-BM16))/(1/COS(RADIANS(90-BM16)))*-1,"")</x:f>
        <x:v/>
      </x:c>
      <x:c r="CO16" s="737" t="str">
        <x:f t="shared" ref="CO16:CO45" si="46">IF(AND(BW16&lt;&gt;0,BU16&lt;&gt;0),BW16*COS(RADIANS(90-BU16))/(1/COS(RADIANS(90-BU16))),"")</x:f>
        <x:v/>
      </x:c>
      <x:c r="CP16" s="760" t="str">
        <x:f t="shared" ref="CP16:CP45" si="47">IF(BG16="","",IF(AU16="JS","",IF(VLOOKUP(AU16,$DF$2:$DN$9,5,FALSE)&gt;FO16,IF(FO16&gt;=0.0625,CEILING(FO16-0.0625,0.125),FO16),"")))</x:f>
        <x:v/>
      </x:c>
      <x:c r="CQ16" s="761" t="str">
        <x:f t="shared" ref="CQ16:CQ45" si="48">IF(BO16="","",IF(AU16="JS","",IF(VLOOKUP(AU16,$DF$2:$DN$9,5,FALSE)&gt;FP16,IF(FP16&gt;=0.0625,CEILING(FP16-0.0625,0.125),FP16),"")))</x:f>
        <x:v/>
      </x:c>
      <x:c r="CR16" s="951">
        <x:f t="shared" ref="CR16:CR45" si="49">IF(AU16="","",IF(ABS(FF16)&lt;ABS($CX$2),VLOOKUP(AU16,$DF$2:$DN$9,3,FALSE),CEILING(VLOOKUP(AU16,$DF$2:$DN$9,3,FALSE)/COS(FE16)+0.375+IF(CU16="M",IF(FE16&gt;0,(DV16-DW16)/12,0),IF(FE16&gt;0,0,(DV16-CV16)/12))*ABS(FF16),0.125)))</x:f>
        <x:v>5</x:v>
      </x:c>
      <x:c r="CS16" s="952">
        <x:f t="shared" ref="CS16:CS45" si="50">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51">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52">BV16*-1</x:f>
        <x:v>0</x:v>
      </x:c>
      <x:c r="DO16" s="1094">
        <x:f t="shared" ref="DO16:DO45" si="53">IF(BW16="",0,ATAN(BW16/12))</x:f>
        <x:v>0</x:v>
      </x:c>
      <x:c r="DP16" s="1095" t="str">
        <x:f t="shared" ref="DP16:DP45" si="54">IF(OR(CV16="",BE16="",DF16=""),"",CEILING(IF(AND(BE16="",BF16=""),"",((BE16*12+BF16)+CV16+DF16)/COS(FN16))-0.0625,0.125))</x:f>
        <x:v/>
      </x:c>
      <x:c r="DQ16" s="1095" t="str">
        <x:f t="shared" ref="DQ16:DQ45" si="55">IF(AU16="","",IF(ABS(FF16)&lt;ABS($CX$2),CX16,IF(FF16=0,CX16,CEILING((CX16+((DW16-CV16)/12)*FF16)-0.0625,0.125))))</x:f>
        <x:v/>
      </x:c>
      <x:c r="DR16" s="1095" t="str">
        <x:f t="shared" ref="DR16:DR45" si="56">IF(AU16="","",IF(ABS(FK16)&lt;ABS($CX$2),DH16,IF(FK16=0,DH16,CEILING((DH16+((EC16-DF16)/12)*FK16)-0.0625,0.125))))</x:f>
        <x:v/>
      </x:c>
      <x:c r="DS16" s="1096">
        <x:f t="shared" ref="DS16:DS45" si="57">IF(BM16="",0,RADIANS(ABS(BM16)))</x:f>
        <x:v>0</x:v>
      </x:c>
      <x:c r="DT16" s="1052">
        <x:f t="shared" ref="DT16:DT45" si="58">MIN(IF(BH16&gt;0,BH16/2,MAX(BI16/2,DC16)),IF(BI16&gt;0,BI16/2,MAX(BH16/2,DC16)),IF(DC16&gt;0,DC16,MAX(BI16/2,BH16/2)))/IF(OR(CU16="C",AND(CU16="M",$DD$1="N")),1,COS(DS16))</x:f>
        <x:v>0</x:v>
      </x:c>
      <x:c r="DU16" s="1052" t="str">
        <x:f t="shared" ref="DU16:DU45" si="59">IF(CV16="","",IF(DC16&gt;=0,MAX(BH16/2,BI16/2,DC16),DC16)/IF(OR(CU16="C",AND(CU16="M",$DD$1="N")),1,COS(DS16)))</x:f>
        <x:v/>
      </x:c>
      <x:c r="DV16" s="1095" t="str">
        <x:f t="shared" ref="DV16:DV45" si="60">IF(CV16="","",(CV16+DU16+(VLOOKUP(IF(AU16="HDR","K",AU16),$DF$2:$DN$9,2,FALSE))*TAN(DS16))/COS(FD16)-FH16)</x:f>
        <x:v/>
      </x:c>
      <x:c r="DW16" s="1095" t="str">
        <x:f t="shared" ref="DW16:DW45" si="61">IF(CV16="","",MAX(0,IF(NOT(ISBLANK(CB16)),CV16-CB16,DV16-VLOOKUP(IF(AU16="HDR","K",AU16),$DF$2:$DN$9,4,FALSE))))</x:f>
        <x:v/>
      </x:c>
      <x:c r="DX16" s="1451">
        <x:f t="shared" ref="DX16:DX45" si="62">IF(CV16="",0,IF(DW16/COS(FN16-FD16)&lt;0.0625,0,CEILING(DW16/COS(FN16-FD16)-0.03125,0.125)))</x:f>
        <x:v>0</x:v>
      </x:c>
      <x:c r="DY16" s="1095">
        <x:f t="shared" ref="DY16:DY45" si="63">RADIANS(ABS(BU16))</x:f>
        <x:v>0</x:v>
      </x:c>
      <x:c r="DZ16" s="1052">
        <x:f t="shared" ref="DZ16:DZ45" si="64">MIN(IF(BP16&gt;0,BP16/2,MAX(BQ16/2,DM16)),IF(BQ16&gt;0,BQ16/2,MAX(BP16/2,DM16)),IF(DM16&gt;0,DM16,MAX(BQ16/2,BP16/2)))/IF(OR(DE16="C",AND(DE16="M",$DD$1="N")),1,COS(DY16))</x:f>
        <x:v>0</x:v>
      </x:c>
      <x:c r="EA16" s="1052" t="str">
        <x:f t="shared" ref="EA16:EA45" si="65">IF(DF16="","",IF(DM16&gt;=0,MAX(BP16/2,BQ16/2,DM16),DM16)/IF(OR(DE16="C",AND(DE16="M",$DD$1="N")),1,COS(DY16)))</x:f>
        <x:v/>
      </x:c>
      <x:c r="EB16" s="1095" t="str">
        <x:f t="shared" ref="EB16:EB45" si="66">IF(DF16="","",(DF16+EA16+(VLOOKUP(IF(AU16="HDR","K",AU16),$DF$2:$DN$9,2,FALSE))*TAN(DY16))/COS(FI16)-FM16)</x:f>
        <x:v/>
      </x:c>
      <x:c r="EC16" s="1095" t="str">
        <x:f t="shared" ref="EC16:EC45" si="67">IF(DF16="","",MAX(0,IF(NOT(ISBLANK(CC16)),DF16-CC16,EB16-VLOOKUP(IF(AU16="HDR","K",AU16),$DF$2:$DN$9,4,FALSE))))</x:f>
        <x:v/>
      </x:c>
      <x:c r="ED16" s="1451">
        <x:f t="shared" ref="ED16:ED45" si="68">IF(DF16="",0,IF(EC16/COS(FN16+FI16)&lt;0.0625,0,CEILING(EC16/COS(FN16+FI16)-0.03125,0.125)))</x:f>
        <x:v>0</x:v>
      </x:c>
      <x:c r="EE16" s="1107" t="str">
        <x:f t="shared" ref="EE16:EE45" si="69">IF(AND(EZ16="",DA16=""),"",IF(EZ16="ERR","ERR",IF(CU16="C",DA16,IF(BJ16="","",IF(DA16="",(EZ16/2)*-1,DA16)))))</x:f>
        <x:v/>
      </x:c>
      <x:c r="EF16" s="1095" t="str">
        <x:f t="shared" ref="EF16:EF45" si="70">IF(EE16="ERR","ERR",IF(EE16="","",IF(DB16*TAN(DS16)&lt;=(VLOOKUP(AU16,$DF$2:$DN$9,8,FALSE)-(VLOOKUP(AU16,$DF$2:$DN$9,7,FALSE)-0.0625)),CV16-(EE16-FH16)/IF(OR(CU16="C",AND(CU16="M",$DD$1="N")),1,COS(DS16))-IF(MID(CW16,1,1)="R",0,DW16),(ABS(EE16-FH16)/IF(OR(CU16="C",AND(CU16="M",$DD$1="N")),1,COS(DS16))+CV16)-((DB16/2)*TAN(DS16))-IF(MID(CW16,1,1)="R",0,DW16))))</x:f>
        <x:v/>
      </x:c>
      <x:c r="EG16" s="1095" t="str">
        <x:f t="shared" ref="EG16:EG45" si="71">IF(EE16="ERR","ERR",IF(EE16="","",IF(DB16*TAN(DS16)&lt;=(VLOOKUP(AU16,$DF$2:$DN$9,8,FALSE)-(VLOOKUP(AU16,$DF$2:$DN$9,7,FALSE)-0.0625)),CV16-(EE16-FH16)/IF(OR(CU16="C",AND(CU16="M",$DD$1="N")),1,COS(DS16))-IF(MID(CW16,1,1)="R",0,DW16),(ABS(EE16-FH16)/IF(OR(CU16="C",AND(CU16="M",$DD$1="N")),1,COS(DS16))+CV16)+((DB16/2)*TAN(DS16))-IF(MID(CW16,1,1)="R",0,DW16))))</x:f>
        <x:v/>
      </x:c>
      <x:c r="EH16" s="1095" t="str">
        <x:f t="shared" ref="EH16:EH45" si="7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7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74">IF(ISERROR(EF16),"ERR",IF(EF16="","",IF(EH16="ERR","ERR",CEILING(EH16-0.0625,0.125))))</x:f>
        <x:v/>
      </x:c>
      <x:c r="EK16" s="1095" t="str">
        <x:f t="shared" si="74"/>
        <x:v/>
      </x:c>
      <x:c r="EL16" s="1107" t="str">
        <x:f t="shared" ref="EL16:EL45" si="75">IF(AND(FC16="",DK16=""),"",IF(FC16="ERR","ERR",IF(DE16="C",DK16,IF(BR16="","",IF(DK16="",(FC16/2)*-1,DK16)))))</x:f>
        <x:v/>
      </x:c>
      <x:c r="EM16" s="1095" t="str">
        <x:f t="shared" ref="EM16:EM45" si="76">IF(EL16="ERR","ERR",IF(EL16="","",IF(DL16*TAN(DY16)&lt;=(VLOOKUP(AU16,$DF$2:$DN$9,8,FALSE)-(VLOOKUP(AU16,$DF$2:$DN$9,7,FALSE)-0.0625)),DF16-(EL16-FM16)/IF(OR(DE16="C",AND(DE16="M",$DD$1="N")),1,COS(DY16))-IF(MID(DG16,1,1)="R",0,EC16),(ABS(EL16-FM16)/IF(OR(DE16="C",AND(DE16="M",$DD$1="N")),1,COS(DY16))+DF16)-((DL16/2)*TAN(DY16))-IF(MID(DG16,1,1)="R",0,EC16))))</x:f>
        <x:v/>
      </x:c>
      <x:c r="EN16" s="1095" t="str">
        <x:f t="shared" ref="EN16:EN45" si="77">IF(EL16="ERR","ERR",IF(EL16="","",IF(DL16*TAN(DY16)&lt;=(VLOOKUP(AU16,$DF$2:$DN$9,8,FALSE)-(VLOOKUP(AU16,$DF$2:$DN$9,7,FALSE)-0.0625)),DF16-(EL16-FM16)/IF(OR(DE16="C",AND(DE16="M",$DD$1="N")),1,COS(DY16))-IF(MID(DG16,1,1)="R",0,EC16),(ABS(EL16-FM16)/IF(OR(DE16="C",AND(DE16="M",$DD$1="N")),1,COS(DY16))+DF16)+((DL16/2)*TAN(DY16))-IF(MID(DG16,1,1)="R",0,EC16))))</x:f>
        <x:v/>
      </x:c>
      <x:c r="EO16" s="1095" t="str">
        <x:f t="shared" ref="EO16:EO45" si="7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80">IF(ISERROR(EM16),"ERR",IF(EM16="","",IF(EO16="ERR","ERR",CEILING(EO16-0.0625,0.125))))</x:f>
        <x:v/>
      </x:c>
      <x:c r="ER16" s="1095" t="str">
        <x:f t="shared" si="80"/>
        <x:v/>
      </x:c>
      <x:c r="ES16" s="1053" t="str">
        <x:f t="shared" ref="ES16:ES45" si="81">IF(OR(CY16="",AU16="JS",AU16="HDR",CD16=""),"",IF((CV16-CY16)/COS(DO16)-FS16&lt;=-0.0625,CEILING((CV16-CY16)/COS(DO16)-FS16+0.0625,-0.125),IF((CV16-CY16)/COS(DO16)-FS16&gt;=0.0625,CEILING((CV16-CY16)/COS(DO16)-FS16-0.0625,0.125),0)))</x:f>
        <x:v/>
      </x:c>
      <x:c r="ET16" s="1053" t="str">
        <x:f t="shared" ref="ET16:ET45" si="82">IF(OR(DI16="",AU16="JS",AU16="HDR",CE16=""),"",IF((DF16-DI16)/COS(DO16)-FT16&lt;=-0.0625,CEILING((DF16-DI16)/COS(DO16)-FT16+0.0625,-0.125),IF((DF16-DI16)/COS(DO16)-FT16&gt;=0.0625,CEILING((DF16-DI16)/COS(DO16)-FT16-0.0625,0.125),0)))</x:f>
        <x:v/>
      </x:c>
      <x:c r="EU16" s="1097">
        <x:f t="shared" ref="EU16:EU45" si="83">IF(AU16="","",VLOOKUP(AU16,$DF$2:$DN$9,6,FALSE))</x:f>
        <x:v>4</x:v>
      </x:c>
      <x:c r="EV16" s="1055" t="str">
        <x:f t="shared" ref="EV16:EV45" si="84">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85">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86">IF(BR16="X",IF(OR(DE16="M",DE16="C"),"",IF((FB16-FA16)/2&lt;=(VLOOKUP(AU16,$DF$2:$DN$9,8,FALSE)-(VLOOKUP(AU16,$DF$2:$DN$9,7,FALSE)-0.0625)),(FA16+FB16)/2,"ERR")),"")</x:f>
        <x:v/>
      </x:c>
      <x:c r="FD16" s="1096">
        <x:f>IF(DD16="",0,ATAN(DD16/12))</x:f>
        <x:v>0</x:v>
      </x:c>
      <x:c r="FE16" s="1096">
        <x:f t="shared" ref="FE16:FE45" si="87">DO16-FD16</x:f>
        <x:v>0</x:v>
      </x:c>
      <x:c r="FF16" s="1096">
        <x:f t="shared" ref="FF16:FF45" si="88">TAN(FE16)*12</x:f>
        <x:v>0</x:v>
      </x:c>
      <x:c r="FG16" s="1096" t="str">
        <x:f t="shared" ref="FG16:FG45" si="89">IF(FF16=0,"",IF(ABS(FF16)&lt;$CX$2,IF(AND(ABS(MIN(DV16,FQ16)/12*FF16)&gt;$DD$2,FF16&gt;0),IF(FF16&gt;0,CEILING(FF16-0.0625,0.125),CEILING(FF16+0.0625,-0.125)),""),IF(FF16&gt;0,CEILING(FF16-0.0625,0.125),CEILING(FF16+0.0625,-0.125))))</x:f>
        <x:v/>
      </x:c>
      <x:c r="FH16" s="1095" t="str">
        <x:f t="shared" ref="FH16:FH45" si="90">IF(CX16="","",CX16*TAN(FD16))</x:f>
        <x:v/>
      </x:c>
      <x:c r="FI16" s="1096">
        <x:f>IF(DN16="",0,ATAN(DN16/12))</x:f>
        <x:v>0</x:v>
      </x:c>
      <x:c r="FJ16" s="1096">
        <x:f t="shared" ref="FJ16:FJ45" si="91">DO16+FI16</x:f>
        <x:v>0</x:v>
      </x:c>
      <x:c r="FK16" s="1096">
        <x:f t="shared" ref="FK16:FK45" si="92">TAN(FJ16)*-12</x:f>
        <x:v>0</x:v>
      </x:c>
      <x:c r="FL16" s="1096" t="str">
        <x:f t="shared" ref="FL16:FL45" si="93">IF(FK16=0,"",IF(ABS(FK16)&lt;$CX$2,IF(AND(ABS(MIN(EB16,FR16)/12*FK16)&gt;$DD$2,FK16&gt;0),IF(FK16&gt;0,CEILING(FK16-0.0625,0.125),CEILING(FK16+0.0625,-0.125)),""),IF(FK16&gt;0,CEILING(FK16-0.0625,0.125),CEILING(FK16+0.0625,-0.125))))</x:f>
        <x:v/>
      </x:c>
      <x:c r="FM16" s="1095" t="str">
        <x:f t="shared" ref="FM16:FM45" si="94">IF(DH16="","",DH16*TAN(FI16))</x:f>
        <x:v/>
      </x:c>
      <x:c r="FN16" s="1095" t="e">
        <x:f t="shared" ref="FN16:FN45" si="95">IF(((BE16*12+BF16)+CV16+DF16)/COS(DO16)-((BE16*12+BF16)+CV16+DF16)&lt;$DB$2,0,DO16)</x:f>
        <x:v>#VALUE!</x:v>
      </x:c>
      <x:c r="FO16" s="1098" t="e">
        <x:f t="shared" ref="FO16:FO45" si="96">MIN(IF(BH16&gt;0,BH16/2,MAX(BI16/2,DC16)),IF(BI16&gt;0,BI16/2,MAX(BH16/2,DC16)),IF(DC16&gt;0,DC16,MAX(BI16/2,BH16/2)))/COS(DS16)+CV16-DW16</x:f>
        <x:v>#VALUE!</x:v>
      </x:c>
      <x:c r="FP16" s="1098" t="e">
        <x:f t="shared" ref="FP16:FP45" si="97">MIN(IF(BP16&gt;0,BP16/2,MAX(BQ16/2,DM16)),IF(BQ16&gt;0,BQ16/2,MAX(BP16/2,DM16)),IF(DM16&gt;0,DM16,MAX(BQ16/2,BP16/2)))/COS(DY16)+DF16-EC16</x:f>
        <x:v>#VALUE!</x:v>
      </x:c>
      <x:c r="FQ16" s="1099" t="e">
        <x:f t="shared" ref="FQ16:FQ45" si="98">IF(OR(CU16="M", CU16="B",CU16="G"),MAX(BH16,BI16),DC16+CV16)</x:f>
        <x:v>#VALUE!</x:v>
      </x:c>
      <x:c r="FR16" s="1100" t="e">
        <x:f t="shared" ref="FR16:FR45" si="99">IF(OR(DE16="M", DE16="B",DE16="G"),MAX(BP16,BQ16),DM16+DF16)</x:f>
        <x:v>#VALUE!</x:v>
      </x:c>
      <x:c r="FS16" s="1101" t="str">
        <x:f t="shared" ref="FS16:FS45" si="100">IF(CY16="","",IF(ABS(BW16*((AJ16-IF(BW16&gt;0,VLOOKUP(AU16,$DF$2:$DN$9,9,FALSE),0))/12))&gt;$CZ$2,BW16*((AJ16-IF(BW16&gt;0,VLOOKUP(AU16,$DF$2:$DN$9,9,FALSE),0))/12),0))</x:f>
        <x:v/>
      </x:c>
      <x:c r="FT16" s="1102" t="str">
        <x:f t="shared" ref="FT16:FT45" si="101">IF(DI16="","",IF(ABS(BW16*((AJ16-IF(BW16&lt;0,VLOOKUP(AU16,$DF$2:$DN$9,9,FALSE),0))/12))&gt;$CZ$2,BW16*((AJ16-IF(BW16&lt;0,VLOOKUP(AU16,$DF$2:$DN$9,9,FALSE),0))/12)*-1,0))</x:f>
        <x:v/>
      </x:c>
      <x:c r="FU16" s="1103">
        <x:f t="shared" ref="FU16:FU45" si="102">IF(CX16="",0,MAX(0,MIN(DV16-VLOOKUP(AU16,DF$2:DN$9,4,FALSE),(MAX(0,CX16-VLOOKUP(AU16,DF$2:DN$9,3,FALSE))+VLOOKUP(AU16,DF$2:DN$9,4,FALSE))*COS(DO16)+((MAX(0,CX16-VLOOKUP(AU16,DF$2:DN$9,3,FALSE))+VLOOKUP(AU16,DF$2:DN$9,4,FALSE))*COS(PI()/2-DO16))/TAN(PI()/2-(DO16+PI()/4))-VLOOKUP(AU16,DF$2:DN$9,4,FALSE))))</x:f>
        <x:v>0</x:v>
      </x:c>
      <x:c r="FV16" s="1104">
        <x:f t="shared" ref="FV16:FV45" si="103">IF(DH16="",0,MAX(0,MIN(EB16-VLOOKUP(AU16,DF$2:DN$9,4,FALSE),(MAX(0,DH16-VLOOKUP(AU16,DF$2:DN$9,3,FALSE))+VLOOKUP(AU16,DF$2:DN$9,4,FALSE))*COS(DO16)+((MAX(0,DH16-VLOOKUP(AU16,DF$2:DN$9,3,FALSE))+VLOOKUP(AU16,DF$2:DN$9,4,FALSE))*COS(PI()/2-DO16))/TAN(PI()/2-(DO16+PI()/4))-VLOOKUP(AU16,DF$2:DN$9,4,FALSE))))</x:f>
        <x:v>0</x:v>
      </x:c>
      <x:c r="GA16" s="1975">
        <x:v>59</x:v>
      </x:c>
      <x:c r="GB16" s="1976">
        <x:v>2.75</x:v>
      </x:c>
      <x:c r="GC16" s="1977">
        <x:v>-1.875</x:v>
      </x:c>
      <x:c r="GD16" s="1978">
        <x:v>-0.25</x:v>
      </x:c>
      <x:c r="GE16" s="1979">
        <x:v>0.26169539219134702</x:v>
      </x:c>
      <x:c r="GF16" s="1980" t="str">
        <x:f t="shared" ref="GF16:GF45" si="104">IF(A16=0,"",A16)</x:f>
        <x:v>J267</x:v>
      </x:c>
      <x:c r="GG16" s="1453"/>
      <x:c r="GH16" s="1454"/>
      <x:c r="GI16" s="1453"/>
      <x:c r="GJ16" s="1454"/>
      <x:c r="GK16" s="533">
        <x:f t="shared" ref="GK16:GK45" si="105">IF(D16="",0,D16*12+E16)</x:f>
        <x:v>708.625</x:v>
      </x:c>
      <x:c r="GL16" s="534">
        <x:f t="shared" ref="GL16:GL45" si="106">(GA16*12+GB16+GC16+GD16)/COS(ATAN(ABS(GE16/12)))</x:f>
        <x:v>708.79348626656247</x:v>
      </x:c>
      <x:c r="GM16" s="535">
        <x:f>IF(ABS(GK16-GL16)&gt;='Job Info.'!$L$22,ABS(GK16-GL16),0)</x:f>
        <x:v>0</x:v>
      </x:c>
      <x:c r="HA16" s="1652" t="s">
        <x:v>1591</x:v>
      </x:c>
      <x:c r="HB16" s="1653">
        <x:v>1</x:v>
      </x:c>
      <x:c r="HC16" s="1653" t="s">
        <x:v>1978</x:v>
      </x:c>
      <x:c r="HD16" s="1654">
        <x:v>59</x:v>
      </x:c>
      <x:c r="HE16" s="1655">
        <x:v>0.625</x:v>
      </x:c>
      <x:c r="HF16" s="1653" t="s">
        <x:v>117</x:v>
      </x:c>
      <x:c r="HG16" s="1653" t="s">
        <x:v>117</x:v>
      </x:c>
      <x:c r="HH16" s="1653" t="s">
        <x:v>117</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t="s">
        <x:v>117</x:v>
      </x:c>
      <x:c r="HU16" s="1653" t="s">
        <x:v>117</x:v>
      </x:c>
      <x:c r="HV16" s="1653" t="s">
        <x:v>117</x:v>
      </x:c>
      <x:c r="HW16" s="1655" t="s">
        <x:v>117</x:v>
      </x:c>
      <x:c r="HX16" s="1655">
        <x:v>0</x:v>
      </x:c>
      <x:c r="HY16" s="1655" t="s">
        <x:v>117</x:v>
      </x:c>
      <x:c r="HZ16" s="1655" t="s">
        <x:v>117</x:v>
      </x:c>
      <x:c r="IA16" s="1655" t="s">
        <x:v>2261</x:v>
      </x:c>
      <x:c r="IB16" s="1655"/>
      <x:c r="IC16" s="1655"/>
      <x:c r="ID16" s="1655"/>
      <x:c r="IE16" s="1655"/>
      <x:c r="IF16" s="1657"/>
    </x:row>
    <x:row r="17" spans="1:240" ht="12.6" customHeight="1" x14ac:dyDescent="0.25">
      <x:c r="A17" s="1264" t="s">
        <x:v>1592</x:v>
      </x:c>
      <x:c r="B17" s="1265">
        <x:v>1</x:v>
      </x:c>
      <x:c r="C17" s="1265" t="s">
        <x:v>1978</x:v>
      </x:c>
      <x:c r="D17" s="1261">
        <x:v>59</x:v>
      </x:c>
      <x:c r="E17" s="1366">
        <x:v>0.625</x:v>
      </x:c>
      <x:c r="F17" s="1328" t="str">
        <x:f t="shared" si="1"/>
        <x:v/>
      </x:c>
      <x:c r="G17" s="1262" t="str">
        <x:f t="shared" si="2"/>
        <x:v/>
      </x:c>
      <x:c r="H17" s="1266" t="str">
        <x:f t="shared" si="3"/>
        <x:v/>
      </x:c>
      <x:c r="I17" s="1261">
        <x:v>0</x:v>
      </x:c>
      <x:c r="J17" s="1262">
        <x:v>1.375</x:v>
      </x:c>
      <x:c r="K17" s="1370" t="s">
        <x:v>114</x:v>
      </x:c>
      <x:c r="L17" s="1327">
        <x:v>3</x:v>
      </x:c>
      <x:c r="M17" s="1329">
        <x:v>3</x:v>
      </x:c>
      <x:c r="N17" s="1263" t="str">
        <x:f t="shared" si="4"/>
        <x:v/>
      </x:c>
      <x:c r="O17" s="1262" t="str">
        <x:f t="shared" si="5"/>
        <x:v/>
      </x:c>
      <x:c r="P17" s="1260" t="str">
        <x:f t="shared" si="6"/>
        <x:v/>
      </x:c>
      <x:c r="Q17" s="1261" t="str">
        <x:f t="shared" si="7"/>
        <x:v/>
      </x:c>
      <x:c r="R17" s="1262" t="str">
        <x:f t="shared" si="8"/>
        <x:v/>
      </x:c>
      <x:c r="S17" s="1375" t="str">
        <x:f t="shared" si="9"/>
        <x:v/>
      </x:c>
      <x:c r="T17" s="1328" t="str">
        <x:f t="shared" si="10"/>
        <x:v/>
      </x:c>
      <x:c r="U17" s="1262" t="str">
        <x:f t="shared" si="11"/>
        <x:v/>
      </x:c>
      <x:c r="V17" s="1261" t="str">
        <x:f t="shared" si="12"/>
        <x:v/>
      </x:c>
      <x:c r="W17" s="1262" t="str">
        <x:f t="shared" si="13"/>
        <x:v/>
      </x:c>
      <x:c r="X17" s="1329">
        <x:f t="shared" si="14"/>
        <x:v>0</x:v>
      </x:c>
      <x:c r="Y17" s="1377" t="str">
        <x:f t="shared" si="15"/>
        <x:v/>
      </x:c>
      <x:c r="Z17" s="1378" t="str">
        <x:f t="shared" si="16"/>
        <x:v/>
      </x:c>
      <x:c r="AA17" s="2159" t="s">
        <x:v>2262</x:v>
      </x:c>
      <x:c r="AC17" s="1226" t="b">
        <x:v>0</x:v>
      </x:c>
      <x:c r="AD17" s="525">
        <x:f t="shared" si="17"/>
        <x:v>0</x:v>
      </x:c>
      <x:c r="AE17" s="526">
        <x:f t="shared" si="18"/>
        <x:v>1</x:v>
      </x:c>
      <x:c r="AF17" s="526">
        <x:f t="shared" si="19"/>
        <x:v>0</x:v>
      </x:c>
      <x:c r="AG17" s="526">
        <x:f t="shared" si="20"/>
        <x:v>0</x:v>
      </x:c>
      <x:c r="AH17" s="527">
        <x:f t="shared" si="21"/>
        <x:v>0</x:v>
      </x:c>
      <x:c r="AI17" s="528" t="b">
        <x:v>0</x:v>
      </x:c>
      <x:c r="AJ17" s="284">
        <x:f t="shared" si="22"/>
        <x:v>36</x:v>
      </x:c>
      <x:c r="AK17" s="1063" t="str">
        <x:f t="shared" si="23"/>
        <x:v>LH</x:v>
      </x:c>
      <x:c r="AL17" s="1202" t="str">
        <x:f t="shared" si="24"/>
        <x:v/>
      </x:c>
      <x:c r="AM17" s="1063">
        <x:f t="shared" si="25"/>
        <x:v>270</x:v>
      </x:c>
      <x:c r="AN17" s="1063">
        <x:f t="shared" si="26"/>
        <x:v>120</x:v>
      </x:c>
      <x:c r="AO17" s="1063" t="str">
        <x:f t="shared" si="27"/>
        <x:v/>
      </x:c>
      <x:c r="AP17" s="1063" t="b">
        <x:f>IF(ISERROR(AJ17),FALSE,IF(OR(AJ17=0,ISERROR(AL17),ISERROR(AM17),ISERROR(AN17),ISERROR(AO17)),FALSE,IF(AL17&lt;&gt;"",IF(ISERROR(VLOOKUP(SUBSTITUTE(SUBSTITUTE(C17,"R",""),"A",""),TblJoistSize!$A:$A,1,FALSE)),FALSE,TRUE),TRUE)))</x:f>
        <x:v>1</x:v>
      </x:c>
      <x:c r="AQ17" s="1305">
        <x:f t="shared" si="28"/>
        <x:v>6</x:v>
      </x:c>
      <x:c r="AR17" s="1305" t="b">
        <x:f t="shared" si="29"/>
        <x:v>0</x:v>
      </x:c>
      <x:c r="AS17" s="1305">
        <x:f t="shared" si="30"/>
        <x:v>7.375</x:v>
      </x:c>
      <x:c r="AT17" s="1305" t="b">
        <x:f t="shared" si="31"/>
        <x:v>0</x:v>
      </x:c>
      <x:c r="AU17" s="1203" t="str">
        <x:f t="shared" si="32"/>
        <x:v>LH</x:v>
      </x:c>
      <x:c r="AV17" s="1063" t="str">
        <x:f t="shared" si="33"/>
        <x:v/>
      </x:c>
      <x:c r="AW17" s="1063" t="str">
        <x:f t="shared" si="34"/>
        <x:v>LH</x:v>
      </x:c>
      <x:c r="AX17" s="1063" t="str">
        <x:f t="shared" ref="AX17:AX45" si="107">IF(AND(OR(ISBLANK(A17),A17=""),AA17&lt;&gt;""),AX16,IF(OR(ISBLANK(A17),A17=""),"",A17))</x:f>
        <x:v>J268</x:v>
      </x:c>
      <x:c r="AY17" s="1306" t="b">
        <x:f t="shared" si="35"/>
        <x:v>0</x:v>
      </x:c>
      <x:c r="AZ17" s="1090" t="b">
        <x:f t="shared" si="36"/>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37"/>
        <x:v/>
      </x:c>
      <x:c r="CE17" s="935" t="str">
        <x:f t="shared" si="38"/>
        <x:v/>
      </x:c>
      <x:c r="CF17" s="1149"/>
      <x:c r="CG17" s="1150"/>
      <x:c r="CH17" s="738" t="str">
        <x:f t="shared" si="39"/>
        <x:v/>
      </x:c>
      <x:c r="CI17" s="739" t="str">
        <x:f t="shared" si="40"/>
        <x:v/>
      </x:c>
      <x:c r="CJ17" s="740" t="str">
        <x:f t="shared" si="41"/>
        <x:v/>
      </x:c>
      <x:c r="CK17" s="741" t="str">
        <x:f t="shared" si="42"/>
        <x:v/>
      </x:c>
      <x:c r="CL17" s="742" t="str">
        <x:f t="shared" si="43"/>
        <x:v/>
      </x:c>
      <x:c r="CM17" s="743" t="str">
        <x:f t="shared" si="44"/>
        <x:v/>
      </x:c>
      <x:c r="CN17" s="744" t="str">
        <x:f t="shared" si="45"/>
        <x:v/>
      </x:c>
      <x:c r="CO17" s="745" t="str">
        <x:f t="shared" si="46"/>
        <x:v/>
      </x:c>
      <x:c r="CP17" s="762" t="str">
        <x:f t="shared" si="47"/>
        <x:v/>
      </x:c>
      <x:c r="CQ17" s="763" t="str">
        <x:f t="shared" si="48"/>
        <x:v/>
      </x:c>
      <x:c r="CR17" s="953">
        <x:f t="shared" si="49"/>
        <x:v>5</x:v>
      </x:c>
      <x:c r="CS17" s="954">
        <x:f t="shared" si="50"/>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51"/>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52"/>
        <x:v>0</x:v>
      </x:c>
      <x:c r="DO17" s="1049">
        <x:f t="shared" si="53"/>
        <x:v>0</x:v>
      </x:c>
      <x:c r="DP17" s="1053" t="str">
        <x:f t="shared" si="54"/>
        <x:v/>
      </x:c>
      <x:c r="DQ17" s="1053" t="str">
        <x:f t="shared" si="55"/>
        <x:v/>
      </x:c>
      <x:c r="DR17" s="1053" t="str">
        <x:f t="shared" si="56"/>
        <x:v/>
      </x:c>
      <x:c r="DS17" s="1052">
        <x:f t="shared" si="57"/>
        <x:v>0</x:v>
      </x:c>
      <x:c r="DT17" s="1052">
        <x:f t="shared" si="58"/>
        <x:v>0</x:v>
      </x:c>
      <x:c r="DU17" s="1052" t="str">
        <x:f t="shared" si="59"/>
        <x:v/>
      </x:c>
      <x:c r="DV17" s="1053" t="str">
        <x:f t="shared" si="60"/>
        <x:v/>
      </x:c>
      <x:c r="DW17" s="1053" t="str">
        <x:f t="shared" si="61"/>
        <x:v/>
      </x:c>
      <x:c r="DX17" s="1269">
        <x:f t="shared" si="62"/>
        <x:v>0</x:v>
      </x:c>
      <x:c r="DY17" s="1053">
        <x:f t="shared" si="63"/>
        <x:v>0</x:v>
      </x:c>
      <x:c r="DZ17" s="1052">
        <x:f t="shared" si="64"/>
        <x:v>0</x:v>
      </x:c>
      <x:c r="EA17" s="1052" t="str">
        <x:f t="shared" si="65"/>
        <x:v/>
      </x:c>
      <x:c r="EB17" s="1053" t="str">
        <x:f t="shared" si="66"/>
        <x:v/>
      </x:c>
      <x:c r="EC17" s="1053" t="str">
        <x:f t="shared" si="67"/>
        <x:v/>
      </x:c>
      <x:c r="ED17" s="1269">
        <x:f t="shared" si="68"/>
        <x:v>0</x:v>
      </x:c>
      <x:c r="EE17" s="1090" t="str">
        <x:f t="shared" si="69"/>
        <x:v/>
      </x:c>
      <x:c r="EF17" s="1053" t="str">
        <x:f t="shared" si="70"/>
        <x:v/>
      </x:c>
      <x:c r="EG17" s="1053" t="str">
        <x:f t="shared" si="71"/>
        <x:v/>
      </x:c>
      <x:c r="EH17" s="1053" t="str">
        <x:f t="shared" si="72"/>
        <x:v>ERR</x:v>
      </x:c>
      <x:c r="EI17" s="1053" t="str">
        <x:f t="shared" si="73"/>
        <x:v>ERR</x:v>
      </x:c>
      <x:c r="EJ17" s="1053" t="str">
        <x:f t="shared" si="74"/>
        <x:v/>
      </x:c>
      <x:c r="EK17" s="1053" t="str">
        <x:f t="shared" si="74"/>
        <x:v/>
      </x:c>
      <x:c r="EL17" s="1090" t="str">
        <x:f t="shared" si="75"/>
        <x:v/>
      </x:c>
      <x:c r="EM17" s="1053" t="str">
        <x:f t="shared" si="76"/>
        <x:v/>
      </x:c>
      <x:c r="EN17" s="1053" t="str">
        <x:f t="shared" si="77"/>
        <x:v/>
      </x:c>
      <x:c r="EO17" s="1053" t="str">
        <x:f t="shared" si="78"/>
        <x:v>ERR</x:v>
      </x:c>
      <x:c r="EP17" s="1053" t="str">
        <x:f t="shared" si="79"/>
        <x:v>ERR</x:v>
      </x:c>
      <x:c r="EQ17" s="1053" t="str">
        <x:f t="shared" si="80"/>
        <x:v/>
      </x:c>
      <x:c r="ER17" s="1053" t="str">
        <x:f t="shared" si="80"/>
        <x:v/>
      </x:c>
      <x:c r="ES17" s="1053" t="str">
        <x:f t="shared" si="81"/>
        <x:v/>
      </x:c>
      <x:c r="ET17" s="1053" t="str">
        <x:f t="shared" si="82"/>
        <x:v/>
      </x:c>
      <x:c r="EU17" s="1061">
        <x:f t="shared" si="83"/>
        <x:v>4</x:v>
      </x:c>
      <x:c r="EV17" s="1055" t="str">
        <x:f t="shared" si="84"/>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85"/>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86"/>
        <x:v/>
      </x:c>
      <x:c r="FD17" s="1052">
        <x:f t="shared" ref="FD17:FD45" si="108">IF(DD17="",0,ATAN(DD17/12))</x:f>
        <x:v>0</x:v>
      </x:c>
      <x:c r="FE17" s="1052">
        <x:f t="shared" si="87"/>
        <x:v>0</x:v>
      </x:c>
      <x:c r="FF17" s="1052">
        <x:f t="shared" si="88"/>
        <x:v>0</x:v>
      </x:c>
      <x:c r="FG17" s="1052" t="str">
        <x:f t="shared" si="89"/>
        <x:v/>
      </x:c>
      <x:c r="FH17" s="1053" t="str">
        <x:f t="shared" si="90"/>
        <x:v/>
      </x:c>
      <x:c r="FI17" s="1052">
        <x:f t="shared" ref="FI17:FI45" si="109">IF(DN17="",0,ATAN(DN17/12))</x:f>
        <x:v>0</x:v>
      </x:c>
      <x:c r="FJ17" s="1052">
        <x:f t="shared" si="91"/>
        <x:v>0</x:v>
      </x:c>
      <x:c r="FK17" s="1052">
        <x:f t="shared" si="92"/>
        <x:v>0</x:v>
      </x:c>
      <x:c r="FL17" s="1052" t="str">
        <x:f t="shared" si="93"/>
        <x:v/>
      </x:c>
      <x:c r="FM17" s="1053" t="str">
        <x:f t="shared" si="94"/>
        <x:v/>
      </x:c>
      <x:c r="FN17" s="1053" t="e">
        <x:f t="shared" si="95"/>
        <x:v>#VALUE!</x:v>
      </x:c>
      <x:c r="FO17" s="1062" t="e">
        <x:f t="shared" si="96"/>
        <x:v>#VALUE!</x:v>
      </x:c>
      <x:c r="FP17" s="1062" t="e">
        <x:f t="shared" si="97"/>
        <x:v>#VALUE!</x:v>
      </x:c>
      <x:c r="FQ17" s="1063" t="e">
        <x:f t="shared" si="98"/>
        <x:v>#VALUE!</x:v>
      </x:c>
      <x:c r="FR17" s="1064" t="e">
        <x:f t="shared" si="99"/>
        <x:v>#VALUE!</x:v>
      </x:c>
      <x:c r="FS17" s="1065" t="str">
        <x:f t="shared" si="100"/>
        <x:v/>
      </x:c>
      <x:c r="FT17" s="1066" t="str">
        <x:f t="shared" si="101"/>
        <x:v/>
      </x:c>
      <x:c r="FU17" s="1105">
        <x:f t="shared" si="102"/>
        <x:v>0</x:v>
      </x:c>
      <x:c r="FV17" s="1106">
        <x:f t="shared" si="103"/>
        <x:v>0</x:v>
      </x:c>
      <x:c r="GA17" s="1975">
        <x:v>59</x:v>
      </x:c>
      <x:c r="GB17" s="1976">
        <x:v>2.75</x:v>
      </x:c>
      <x:c r="GC17" s="1977">
        <x:v>-1.875</x:v>
      </x:c>
      <x:c r="GD17" s="1978">
        <x:v>-0.25</x:v>
      </x:c>
      <x:c r="GE17" s="1979">
        <x:v>0.26169539219134702</x:v>
      </x:c>
      <x:c r="GF17" s="1980" t="str">
        <x:f t="shared" si="104"/>
        <x:v>J268</x:v>
      </x:c>
      <x:c r="GG17" s="1453"/>
      <x:c r="GH17" s="1454"/>
      <x:c r="GI17" s="1453"/>
      <x:c r="GJ17" s="1454"/>
      <x:c r="GK17" s="533">
        <x:f t="shared" si="105"/>
        <x:v>708.625</x:v>
      </x:c>
      <x:c r="GL17" s="534">
        <x:f t="shared" si="106"/>
        <x:v>708.79348626656247</x:v>
      </x:c>
      <x:c r="GM17" s="535">
        <x:f>IF(ABS(GK17-GL17)&gt;='Job Info.'!$L$22,ABS(GK17-GL17),0)</x:f>
        <x:v>0</x:v>
      </x:c>
      <x:c r="HA17" s="1658" t="s">
        <x:v>1592</x:v>
      </x:c>
      <x:c r="HB17" s="1659">
        <x:v>1</x:v>
      </x:c>
      <x:c r="HC17" s="1659" t="s">
        <x:v>1978</x:v>
      </x:c>
      <x:c r="HD17" s="1660">
        <x:v>59</x:v>
      </x:c>
      <x:c r="HE17" s="1661">
        <x:v>0.625</x:v>
      </x:c>
      <x:c r="HF17" s="1659" t="s">
        <x:v>117</x:v>
      </x:c>
      <x:c r="HG17" s="1659" t="s">
        <x:v>117</x:v>
      </x:c>
      <x:c r="HH17" s="1659" t="s">
        <x:v>117</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t="s">
        <x:v>117</x:v>
      </x:c>
      <x:c r="HU17" s="1659" t="s">
        <x:v>117</x:v>
      </x:c>
      <x:c r="HV17" s="1659" t="s">
        <x:v>117</x:v>
      </x:c>
      <x:c r="HW17" s="1661" t="s">
        <x:v>117</x:v>
      </x:c>
      <x:c r="HX17" s="1661">
        <x:v>0</x:v>
      </x:c>
      <x:c r="HY17" s="1661" t="s">
        <x:v>117</x:v>
      </x:c>
      <x:c r="HZ17" s="1661" t="s">
        <x:v>117</x:v>
      </x:c>
      <x:c r="IA17" s="1661" t="s">
        <x:v>2262</x:v>
      </x:c>
      <x:c r="IB17" s="1661"/>
      <x:c r="IC17" s="1661"/>
      <x:c r="ID17" s="1661"/>
      <x:c r="IE17" s="1661"/>
      <x:c r="IF17" s="1663"/>
    </x:row>
    <x:row r="18" spans="1:240" ht="12.6" customHeight="1" x14ac:dyDescent="0.25">
      <x:c r="A18" s="1264" t="s">
        <x:v>1593</x:v>
      </x:c>
      <x:c r="B18" s="1265">
        <x:v>1</x:v>
      </x:c>
      <x:c r="C18" s="1265" t="s">
        <x:v>1978</x:v>
      </x:c>
      <x:c r="D18" s="1261">
        <x:v>59</x:v>
      </x:c>
      <x:c r="E18" s="1366">
        <x:v>0.625</x:v>
      </x:c>
      <x:c r="F18" s="1328" t="str">
        <x:f t="shared" si="1"/>
        <x:v/>
      </x:c>
      <x:c r="G18" s="1262" t="str">
        <x:f t="shared" si="2"/>
        <x:v/>
      </x:c>
      <x:c r="H18" s="1266" t="str">
        <x:f t="shared" si="3"/>
        <x:v/>
      </x:c>
      <x:c r="I18" s="1261">
        <x:v>0</x:v>
      </x:c>
      <x:c r="J18" s="1262">
        <x:v>1.375</x:v>
      </x:c>
      <x:c r="K18" s="1370" t="s">
        <x:v>114</x:v>
      </x:c>
      <x:c r="L18" s="1327">
        <x:v>3</x:v>
      </x:c>
      <x:c r="M18" s="1329">
        <x:v>3</x:v>
      </x:c>
      <x:c r="N18" s="1263" t="str">
        <x:f t="shared" si="4"/>
        <x:v/>
      </x:c>
      <x:c r="O18" s="1262" t="str">
        <x:f t="shared" si="5"/>
        <x:v/>
      </x:c>
      <x:c r="P18" s="1260" t="str">
        <x:f t="shared" si="6"/>
        <x:v/>
      </x:c>
      <x:c r="Q18" s="1261" t="str">
        <x:f t="shared" si="7"/>
        <x:v/>
      </x:c>
      <x:c r="R18" s="1262" t="str">
        <x:f t="shared" si="8"/>
        <x:v/>
      </x:c>
      <x:c r="S18" s="1375" t="str">
        <x:f t="shared" si="9"/>
        <x:v/>
      </x:c>
      <x:c r="T18" s="1328" t="str">
        <x:f t="shared" si="10"/>
        <x:v/>
      </x:c>
      <x:c r="U18" s="1262" t="str">
        <x:f t="shared" si="11"/>
        <x:v/>
      </x:c>
      <x:c r="V18" s="1261" t="str">
        <x:f t="shared" si="12"/>
        <x:v/>
      </x:c>
      <x:c r="W18" s="1262" t="str">
        <x:f t="shared" si="13"/>
        <x:v/>
      </x:c>
      <x:c r="X18" s="1329">
        <x:f t="shared" si="14"/>
        <x:v>0</x:v>
      </x:c>
      <x:c r="Y18" s="1377" t="str">
        <x:f t="shared" si="15"/>
        <x:v/>
      </x:c>
      <x:c r="Z18" s="1378" t="str">
        <x:f t="shared" si="16"/>
        <x:v/>
      </x:c>
      <x:c r="AA18" s="2159" t="s">
        <x:v>2263</x:v>
      </x:c>
      <x:c r="AC18" s="1226" t="b">
        <x:v>0</x:v>
      </x:c>
      <x:c r="AD18" s="525">
        <x:f t="shared" si="17"/>
        <x:v>0</x:v>
      </x:c>
      <x:c r="AE18" s="526">
        <x:f t="shared" si="18"/>
        <x:v>1</x:v>
      </x:c>
      <x:c r="AF18" s="526">
        <x:f t="shared" si="19"/>
        <x:v>0</x:v>
      </x:c>
      <x:c r="AG18" s="526">
        <x:f t="shared" si="20"/>
        <x:v>0</x:v>
      </x:c>
      <x:c r="AH18" s="527">
        <x:f t="shared" si="21"/>
        <x:v>0</x:v>
      </x:c>
      <x:c r="AI18" s="528" t="b">
        <x:v>0</x:v>
      </x:c>
      <x:c r="AJ18" s="284">
        <x:f t="shared" si="22"/>
        <x:v>36</x:v>
      </x:c>
      <x:c r="AK18" s="1063" t="str">
        <x:f t="shared" si="23"/>
        <x:v>LH</x:v>
      </x:c>
      <x:c r="AL18" s="1202" t="str">
        <x:f t="shared" si="24"/>
        <x:v/>
      </x:c>
      <x:c r="AM18" s="1063">
        <x:f t="shared" si="25"/>
        <x:v>270</x:v>
      </x:c>
      <x:c r="AN18" s="1063">
        <x:f t="shared" si="26"/>
        <x:v>120</x:v>
      </x:c>
      <x:c r="AO18" s="1063" t="str">
        <x:f t="shared" si="27"/>
        <x:v/>
      </x:c>
      <x:c r="AP18" s="1063" t="b">
        <x:f>IF(ISERROR(AJ18),FALSE,IF(OR(AJ18=0,ISERROR(AL18),ISERROR(AM18),ISERROR(AN18),ISERROR(AO18)),FALSE,IF(AL18&lt;&gt;"",IF(ISERROR(VLOOKUP(SUBSTITUTE(SUBSTITUTE(C18,"R",""),"A",""),TblJoistSize!$A:$A,1,FALSE)),FALSE,TRUE),TRUE)))</x:f>
        <x:v>1</x:v>
      </x:c>
      <x:c r="AQ18" s="1305">
        <x:f t="shared" si="28"/>
        <x:v>6</x:v>
      </x:c>
      <x:c r="AR18" s="1305" t="b">
        <x:f t="shared" si="29"/>
        <x:v>0</x:v>
      </x:c>
      <x:c r="AS18" s="1305">
        <x:f t="shared" si="30"/>
        <x:v>7.375</x:v>
      </x:c>
      <x:c r="AT18" s="1305" t="b">
        <x:f t="shared" si="31"/>
        <x:v>0</x:v>
      </x:c>
      <x:c r="AU18" s="1203" t="str">
        <x:f t="shared" si="32"/>
        <x:v>LH</x:v>
      </x:c>
      <x:c r="AV18" s="1063" t="str">
        <x:f t="shared" si="33"/>
        <x:v/>
      </x:c>
      <x:c r="AW18" s="1063" t="str">
        <x:f t="shared" si="34"/>
        <x:v>LH</x:v>
      </x:c>
      <x:c r="AX18" s="1063" t="str">
        <x:f t="shared" si="107"/>
        <x:v>J269</x:v>
      </x:c>
      <x:c r="AY18" s="1306" t="b">
        <x:f t="shared" si="35"/>
        <x:v>0</x:v>
      </x:c>
      <x:c r="AZ18" s="1090" t="b">
        <x:f t="shared" si="36"/>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37"/>
        <x:v/>
      </x:c>
      <x:c r="CE18" s="935" t="str">
        <x:f t="shared" si="38"/>
        <x:v/>
      </x:c>
      <x:c r="CF18" s="1149"/>
      <x:c r="CG18" s="1150"/>
      <x:c r="CH18" s="738" t="str">
        <x:f t="shared" si="39"/>
        <x:v/>
      </x:c>
      <x:c r="CI18" s="739" t="str">
        <x:f t="shared" si="40"/>
        <x:v/>
      </x:c>
      <x:c r="CJ18" s="740" t="str">
        <x:f t="shared" si="41"/>
        <x:v/>
      </x:c>
      <x:c r="CK18" s="741" t="str">
        <x:f t="shared" si="42"/>
        <x:v/>
      </x:c>
      <x:c r="CL18" s="742" t="str">
        <x:f t="shared" si="43"/>
        <x:v/>
      </x:c>
      <x:c r="CM18" s="743" t="str">
        <x:f t="shared" si="44"/>
        <x:v/>
      </x:c>
      <x:c r="CN18" s="744" t="str">
        <x:f t="shared" si="45"/>
        <x:v/>
      </x:c>
      <x:c r="CO18" s="745" t="str">
        <x:f t="shared" si="46"/>
        <x:v/>
      </x:c>
      <x:c r="CP18" s="762" t="str">
        <x:f t="shared" si="47"/>
        <x:v/>
      </x:c>
      <x:c r="CQ18" s="763" t="str">
        <x:f t="shared" si="48"/>
        <x:v/>
      </x:c>
      <x:c r="CR18" s="953">
        <x:f t="shared" si="49"/>
        <x:v>5</x:v>
      </x:c>
      <x:c r="CS18" s="954">
        <x:f t="shared" si="50"/>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51"/>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52"/>
        <x:v>0</x:v>
      </x:c>
      <x:c r="DO18" s="1049">
        <x:f t="shared" si="53"/>
        <x:v>0</x:v>
      </x:c>
      <x:c r="DP18" s="1053" t="str">
        <x:f t="shared" si="54"/>
        <x:v/>
      </x:c>
      <x:c r="DQ18" s="1053" t="str">
        <x:f t="shared" si="55"/>
        <x:v/>
      </x:c>
      <x:c r="DR18" s="1053" t="str">
        <x:f t="shared" si="56"/>
        <x:v/>
      </x:c>
      <x:c r="DS18" s="1052">
        <x:f t="shared" si="57"/>
        <x:v>0</x:v>
      </x:c>
      <x:c r="DT18" s="1052">
        <x:f t="shared" si="58"/>
        <x:v>0</x:v>
      </x:c>
      <x:c r="DU18" s="1052" t="str">
        <x:f t="shared" si="59"/>
        <x:v/>
      </x:c>
      <x:c r="DV18" s="1053" t="str">
        <x:f t="shared" si="60"/>
        <x:v/>
      </x:c>
      <x:c r="DW18" s="1053" t="str">
        <x:f t="shared" si="61"/>
        <x:v/>
      </x:c>
      <x:c r="DX18" s="1269">
        <x:f t="shared" si="62"/>
        <x:v>0</x:v>
      </x:c>
      <x:c r="DY18" s="1053">
        <x:f t="shared" si="63"/>
        <x:v>0</x:v>
      </x:c>
      <x:c r="DZ18" s="1052">
        <x:f t="shared" si="64"/>
        <x:v>0</x:v>
      </x:c>
      <x:c r="EA18" s="1052" t="str">
        <x:f t="shared" si="65"/>
        <x:v/>
      </x:c>
      <x:c r="EB18" s="1053" t="str">
        <x:f t="shared" si="66"/>
        <x:v/>
      </x:c>
      <x:c r="EC18" s="1053" t="str">
        <x:f t="shared" si="67"/>
        <x:v/>
      </x:c>
      <x:c r="ED18" s="1269">
        <x:f t="shared" si="68"/>
        <x:v>0</x:v>
      </x:c>
      <x:c r="EE18" s="1090" t="str">
        <x:f t="shared" si="69"/>
        <x:v/>
      </x:c>
      <x:c r="EF18" s="1053" t="str">
        <x:f t="shared" si="70"/>
        <x:v/>
      </x:c>
      <x:c r="EG18" s="1053" t="str">
        <x:f t="shared" si="71"/>
        <x:v/>
      </x:c>
      <x:c r="EH18" s="1053" t="str">
        <x:f t="shared" si="72"/>
        <x:v>ERR</x:v>
      </x:c>
      <x:c r="EI18" s="1053" t="str">
        <x:f t="shared" si="73"/>
        <x:v>ERR</x:v>
      </x:c>
      <x:c r="EJ18" s="1053" t="str">
        <x:f t="shared" si="74"/>
        <x:v/>
      </x:c>
      <x:c r="EK18" s="1053" t="str">
        <x:f t="shared" si="74"/>
        <x:v/>
      </x:c>
      <x:c r="EL18" s="1090" t="str">
        <x:f t="shared" si="75"/>
        <x:v/>
      </x:c>
      <x:c r="EM18" s="1053" t="str">
        <x:f t="shared" si="76"/>
        <x:v/>
      </x:c>
      <x:c r="EN18" s="1053" t="str">
        <x:f t="shared" si="77"/>
        <x:v/>
      </x:c>
      <x:c r="EO18" s="1053" t="str">
        <x:f t="shared" si="78"/>
        <x:v>ERR</x:v>
      </x:c>
      <x:c r="EP18" s="1053" t="str">
        <x:f t="shared" si="79"/>
        <x:v>ERR</x:v>
      </x:c>
      <x:c r="EQ18" s="1053" t="str">
        <x:f t="shared" si="80"/>
        <x:v/>
      </x:c>
      <x:c r="ER18" s="1053" t="str">
        <x:f t="shared" si="80"/>
        <x:v/>
      </x:c>
      <x:c r="ES18" s="1053" t="str">
        <x:f t="shared" si="81"/>
        <x:v/>
      </x:c>
      <x:c r="ET18" s="1053" t="str">
        <x:f t="shared" si="82"/>
        <x:v/>
      </x:c>
      <x:c r="EU18" s="1061">
        <x:f t="shared" si="83"/>
        <x:v>4</x:v>
      </x:c>
      <x:c r="EV18" s="1055" t="str">
        <x:f t="shared" si="84"/>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85"/>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86"/>
        <x:v/>
      </x:c>
      <x:c r="FD18" s="1052">
        <x:f t="shared" si="108"/>
        <x:v>0</x:v>
      </x:c>
      <x:c r="FE18" s="1052">
        <x:f t="shared" si="87"/>
        <x:v>0</x:v>
      </x:c>
      <x:c r="FF18" s="1052">
        <x:f t="shared" si="88"/>
        <x:v>0</x:v>
      </x:c>
      <x:c r="FG18" s="1052" t="str">
        <x:f t="shared" si="89"/>
        <x:v/>
      </x:c>
      <x:c r="FH18" s="1053" t="str">
        <x:f t="shared" si="90"/>
        <x:v/>
      </x:c>
      <x:c r="FI18" s="1052">
        <x:f t="shared" si="109"/>
        <x:v>0</x:v>
      </x:c>
      <x:c r="FJ18" s="1052">
        <x:f t="shared" si="91"/>
        <x:v>0</x:v>
      </x:c>
      <x:c r="FK18" s="1052">
        <x:f t="shared" si="92"/>
        <x:v>0</x:v>
      </x:c>
      <x:c r="FL18" s="1052" t="str">
        <x:f t="shared" si="93"/>
        <x:v/>
      </x:c>
      <x:c r="FM18" s="1053" t="str">
        <x:f t="shared" si="94"/>
        <x:v/>
      </x:c>
      <x:c r="FN18" s="1053" t="e">
        <x:f t="shared" si="95"/>
        <x:v>#VALUE!</x:v>
      </x:c>
      <x:c r="FO18" s="1062" t="e">
        <x:f t="shared" si="96"/>
        <x:v>#VALUE!</x:v>
      </x:c>
      <x:c r="FP18" s="1062" t="e">
        <x:f t="shared" si="97"/>
        <x:v>#VALUE!</x:v>
      </x:c>
      <x:c r="FQ18" s="1063" t="e">
        <x:f t="shared" si="98"/>
        <x:v>#VALUE!</x:v>
      </x:c>
      <x:c r="FR18" s="1064" t="e">
        <x:f t="shared" si="99"/>
        <x:v>#VALUE!</x:v>
      </x:c>
      <x:c r="FS18" s="1065" t="str">
        <x:f t="shared" si="100"/>
        <x:v/>
      </x:c>
      <x:c r="FT18" s="1066" t="str">
        <x:f t="shared" si="101"/>
        <x:v/>
      </x:c>
      <x:c r="FU18" s="1105">
        <x:f t="shared" si="102"/>
        <x:v>0</x:v>
      </x:c>
      <x:c r="FV18" s="1106">
        <x:f t="shared" si="103"/>
        <x:v>0</x:v>
      </x:c>
      <x:c r="GA18" s="1975">
        <x:v>59</x:v>
      </x:c>
      <x:c r="GB18" s="1976">
        <x:v>2.75</x:v>
      </x:c>
      <x:c r="GC18" s="1977">
        <x:v>-1.875</x:v>
      </x:c>
      <x:c r="GD18" s="1978">
        <x:v>-0.25</x:v>
      </x:c>
      <x:c r="GE18" s="1979">
        <x:v>0.26169539219134702</x:v>
      </x:c>
      <x:c r="GF18" s="1980" t="str">
        <x:f t="shared" si="104"/>
        <x:v>J269</x:v>
      </x:c>
      <x:c r="GG18" s="1453"/>
      <x:c r="GH18" s="1454"/>
      <x:c r="GI18" s="1453"/>
      <x:c r="GJ18" s="1454"/>
      <x:c r="GK18" s="533">
        <x:f t="shared" si="105"/>
        <x:v>708.625</x:v>
      </x:c>
      <x:c r="GL18" s="534">
        <x:f t="shared" si="106"/>
        <x:v>708.79348626656247</x:v>
      </x:c>
      <x:c r="GM18" s="535">
        <x:f>IF(ABS(GK18-GL18)&gt;='Job Info.'!$L$22,ABS(GK18-GL18),0)</x:f>
        <x:v>0</x:v>
      </x:c>
      <x:c r="HA18" s="1658" t="s">
        <x:v>1593</x:v>
      </x:c>
      <x:c r="HB18" s="1659">
        <x:v>1</x:v>
      </x:c>
      <x:c r="HC18" s="1659" t="s">
        <x:v>1978</x:v>
      </x:c>
      <x:c r="HD18" s="1660">
        <x:v>59</x:v>
      </x:c>
      <x:c r="HE18" s="1661">
        <x:v>0.625</x:v>
      </x:c>
      <x:c r="HF18" s="1659" t="s">
        <x:v>117</x:v>
      </x:c>
      <x:c r="HG18" s="1659" t="s">
        <x:v>117</x:v>
      </x:c>
      <x:c r="HH18" s="1659" t="s">
        <x:v>117</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t="s">
        <x:v>117</x:v>
      </x:c>
      <x:c r="HU18" s="1659" t="s">
        <x:v>117</x:v>
      </x:c>
      <x:c r="HV18" s="1659" t="s">
        <x:v>117</x:v>
      </x:c>
      <x:c r="HW18" s="1661" t="s">
        <x:v>117</x:v>
      </x:c>
      <x:c r="HX18" s="1661">
        <x:v>0</x:v>
      </x:c>
      <x:c r="HY18" s="1661" t="s">
        <x:v>117</x:v>
      </x:c>
      <x:c r="HZ18" s="1661" t="s">
        <x:v>117</x:v>
      </x:c>
      <x:c r="IA18" s="1661" t="s">
        <x:v>2263</x:v>
      </x:c>
      <x:c r="IB18" s="1661"/>
      <x:c r="IC18" s="1661"/>
      <x:c r="ID18" s="1661"/>
      <x:c r="IE18" s="1661"/>
      <x:c r="IF18" s="1663"/>
    </x:row>
    <x:row r="19" spans="1:240" ht="12.6" customHeight="1" x14ac:dyDescent="0.25">
      <x:c r="A19" s="1264" t="s">
        <x:v>1594</x:v>
      </x:c>
      <x:c r="B19" s="1265">
        <x:v>2</x:v>
      </x:c>
      <x:c r="C19" s="1265" t="s">
        <x:v>1978</x:v>
      </x:c>
      <x:c r="D19" s="1261">
        <x:v>59</x:v>
      </x:c>
      <x:c r="E19" s="1366">
        <x:v>0.625</x:v>
      </x:c>
      <x:c r="F19" s="1328" t="str">
        <x:f t="shared" si="1"/>
        <x:v/>
      </x:c>
      <x:c r="G19" s="1262" t="str">
        <x:f t="shared" si="2"/>
        <x:v/>
      </x:c>
      <x:c r="H19" s="1266" t="str">
        <x:f t="shared" si="3"/>
        <x:v/>
      </x:c>
      <x:c r="I19" s="1261">
        <x:v>0</x:v>
      </x:c>
      <x:c r="J19" s="1262">
        <x:v>1.375</x:v>
      </x:c>
      <x:c r="K19" s="1370" t="s">
        <x:v>114</x:v>
      </x:c>
      <x:c r="L19" s="1327">
        <x:v>3</x:v>
      </x:c>
      <x:c r="M19" s="1329">
        <x:v>3</x:v>
      </x:c>
      <x:c r="N19" s="1263" t="str">
        <x:f t="shared" si="4"/>
        <x:v/>
      </x:c>
      <x:c r="O19" s="1262" t="str">
        <x:f t="shared" si="5"/>
        <x:v/>
      </x:c>
      <x:c r="P19" s="1260" t="str">
        <x:f t="shared" si="6"/>
        <x:v/>
      </x:c>
      <x:c r="Q19" s="1261" t="str">
        <x:f t="shared" si="7"/>
        <x:v/>
      </x:c>
      <x:c r="R19" s="1262" t="str">
        <x:f t="shared" si="8"/>
        <x:v/>
      </x:c>
      <x:c r="S19" s="1375" t="str">
        <x:f t="shared" si="9"/>
        <x:v/>
      </x:c>
      <x:c r="T19" s="1328" t="str">
        <x:f t="shared" si="10"/>
        <x:v/>
      </x:c>
      <x:c r="U19" s="1262" t="str">
        <x:f t="shared" si="11"/>
        <x:v/>
      </x:c>
      <x:c r="V19" s="1261" t="str">
        <x:f t="shared" si="12"/>
        <x:v/>
      </x:c>
      <x:c r="W19" s="1262" t="str">
        <x:f t="shared" si="13"/>
        <x:v/>
      </x:c>
      <x:c r="X19" s="1329">
        <x:f t="shared" si="14"/>
        <x:v>0</x:v>
      </x:c>
      <x:c r="Y19" s="1377" t="str">
        <x:f t="shared" si="15"/>
        <x:v/>
      </x:c>
      <x:c r="Z19" s="1378" t="str">
        <x:f t="shared" si="16"/>
        <x:v/>
      </x:c>
      <x:c r="AA19" s="2159" t="s">
        <x:v>2264</x:v>
      </x:c>
      <x:c r="AC19" s="1226" t="b">
        <x:v>0</x:v>
      </x:c>
      <x:c r="AD19" s="525">
        <x:f t="shared" si="17"/>
        <x:v>0</x:v>
      </x:c>
      <x:c r="AE19" s="526">
        <x:f t="shared" si="18"/>
        <x:v>2</x:v>
      </x:c>
      <x:c r="AF19" s="526">
        <x:f t="shared" si="19"/>
        <x:v>0</x:v>
      </x:c>
      <x:c r="AG19" s="526">
        <x:f t="shared" si="20"/>
        <x:v>0</x:v>
      </x:c>
      <x:c r="AH19" s="527">
        <x:f t="shared" si="21"/>
        <x:v>0</x:v>
      </x:c>
      <x:c r="AI19" s="528" t="b">
        <x:v>0</x:v>
      </x:c>
      <x:c r="AJ19" s="284">
        <x:f t="shared" si="22"/>
        <x:v>36</x:v>
      </x:c>
      <x:c r="AK19" s="1063" t="str">
        <x:f t="shared" si="23"/>
        <x:v>LH</x:v>
      </x:c>
      <x:c r="AL19" s="1202" t="str">
        <x:f t="shared" si="24"/>
        <x:v/>
      </x:c>
      <x:c r="AM19" s="1063">
        <x:f t="shared" si="25"/>
        <x:v>270</x:v>
      </x:c>
      <x:c r="AN19" s="1063">
        <x:f t="shared" si="26"/>
        <x:v>120</x:v>
      </x:c>
      <x:c r="AO19" s="1063" t="str">
        <x:f t="shared" si="27"/>
        <x:v/>
      </x:c>
      <x:c r="AP19" s="1063" t="b">
        <x:f>IF(ISERROR(AJ19),FALSE,IF(OR(AJ19=0,ISERROR(AL19),ISERROR(AM19),ISERROR(AN19),ISERROR(AO19)),FALSE,IF(AL19&lt;&gt;"",IF(ISERROR(VLOOKUP(SUBSTITUTE(SUBSTITUTE(C19,"R",""),"A",""),TblJoistSize!$A:$A,1,FALSE)),FALSE,TRUE),TRUE)))</x:f>
        <x:v>1</x:v>
      </x:c>
      <x:c r="AQ19" s="1305">
        <x:f t="shared" si="28"/>
        <x:v>6</x:v>
      </x:c>
      <x:c r="AR19" s="1305" t="b">
        <x:f t="shared" si="29"/>
        <x:v>0</x:v>
      </x:c>
      <x:c r="AS19" s="1305">
        <x:f t="shared" si="30"/>
        <x:v>7.375</x:v>
      </x:c>
      <x:c r="AT19" s="1305" t="b">
        <x:f t="shared" si="31"/>
        <x:v>0</x:v>
      </x:c>
      <x:c r="AU19" s="1203" t="str">
        <x:f t="shared" si="32"/>
        <x:v>LH</x:v>
      </x:c>
      <x:c r="AV19" s="1063" t="str">
        <x:f t="shared" si="33"/>
        <x:v/>
      </x:c>
      <x:c r="AW19" s="1063" t="str">
        <x:f t="shared" si="34"/>
        <x:v>LH</x:v>
      </x:c>
      <x:c r="AX19" s="1063" t="str">
        <x:f t="shared" si="107"/>
        <x:v>J270</x:v>
      </x:c>
      <x:c r="AY19" s="1306" t="b">
        <x:f t="shared" si="35"/>
        <x:v>0</x:v>
      </x:c>
      <x:c r="AZ19" s="1090" t="b">
        <x:f t="shared" si="36"/>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37"/>
        <x:v/>
      </x:c>
      <x:c r="CE19" s="935" t="str">
        <x:f t="shared" si="38"/>
        <x:v/>
      </x:c>
      <x:c r="CF19" s="1149"/>
      <x:c r="CG19" s="1150"/>
      <x:c r="CH19" s="738" t="str">
        <x:f t="shared" si="39"/>
        <x:v/>
      </x:c>
      <x:c r="CI19" s="739" t="str">
        <x:f t="shared" si="40"/>
        <x:v/>
      </x:c>
      <x:c r="CJ19" s="740" t="str">
        <x:f t="shared" si="41"/>
        <x:v/>
      </x:c>
      <x:c r="CK19" s="741" t="str">
        <x:f t="shared" si="42"/>
        <x:v/>
      </x:c>
      <x:c r="CL19" s="742" t="str">
        <x:f t="shared" si="43"/>
        <x:v/>
      </x:c>
      <x:c r="CM19" s="743" t="str">
        <x:f t="shared" si="44"/>
        <x:v/>
      </x:c>
      <x:c r="CN19" s="744" t="str">
        <x:f t="shared" si="45"/>
        <x:v/>
      </x:c>
      <x:c r="CO19" s="745" t="str">
        <x:f t="shared" si="46"/>
        <x:v/>
      </x:c>
      <x:c r="CP19" s="762" t="str">
        <x:f t="shared" si="47"/>
        <x:v/>
      </x:c>
      <x:c r="CQ19" s="763" t="str">
        <x:f t="shared" si="48"/>
        <x:v/>
      </x:c>
      <x:c r="CR19" s="953">
        <x:f t="shared" si="49"/>
        <x:v>5</x:v>
      </x:c>
      <x:c r="CS19" s="954">
        <x:f t="shared" si="50"/>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51"/>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52"/>
        <x:v>0</x:v>
      </x:c>
      <x:c r="DO19" s="1049">
        <x:f t="shared" si="53"/>
        <x:v>0</x:v>
      </x:c>
      <x:c r="DP19" s="1053" t="str">
        <x:f t="shared" si="54"/>
        <x:v/>
      </x:c>
      <x:c r="DQ19" s="1053" t="str">
        <x:f t="shared" si="55"/>
        <x:v/>
      </x:c>
      <x:c r="DR19" s="1053" t="str">
        <x:f t="shared" si="56"/>
        <x:v/>
      </x:c>
      <x:c r="DS19" s="1052">
        <x:f t="shared" si="57"/>
        <x:v>0</x:v>
      </x:c>
      <x:c r="DT19" s="1052">
        <x:f t="shared" si="58"/>
        <x:v>0</x:v>
      </x:c>
      <x:c r="DU19" s="1052" t="str">
        <x:f t="shared" si="59"/>
        <x:v/>
      </x:c>
      <x:c r="DV19" s="1053" t="str">
        <x:f t="shared" si="60"/>
        <x:v/>
      </x:c>
      <x:c r="DW19" s="1053" t="str">
        <x:f t="shared" si="61"/>
        <x:v/>
      </x:c>
      <x:c r="DX19" s="1269">
        <x:f t="shared" si="62"/>
        <x:v>0</x:v>
      </x:c>
      <x:c r="DY19" s="1053">
        <x:f t="shared" si="63"/>
        <x:v>0</x:v>
      </x:c>
      <x:c r="DZ19" s="1052">
        <x:f t="shared" si="64"/>
        <x:v>0</x:v>
      </x:c>
      <x:c r="EA19" s="1052" t="str">
        <x:f t="shared" si="65"/>
        <x:v/>
      </x:c>
      <x:c r="EB19" s="1053" t="str">
        <x:f t="shared" si="66"/>
        <x:v/>
      </x:c>
      <x:c r="EC19" s="1053" t="str">
        <x:f t="shared" si="67"/>
        <x:v/>
      </x:c>
      <x:c r="ED19" s="1269">
        <x:f t="shared" si="68"/>
        <x:v>0</x:v>
      </x:c>
      <x:c r="EE19" s="1090" t="str">
        <x:f t="shared" si="69"/>
        <x:v/>
      </x:c>
      <x:c r="EF19" s="1053" t="str">
        <x:f t="shared" si="70"/>
        <x:v/>
      </x:c>
      <x:c r="EG19" s="1053" t="str">
        <x:f t="shared" si="71"/>
        <x:v/>
      </x:c>
      <x:c r="EH19" s="1053" t="str">
        <x:f t="shared" si="72"/>
        <x:v>ERR</x:v>
      </x:c>
      <x:c r="EI19" s="1053" t="str">
        <x:f t="shared" si="73"/>
        <x:v>ERR</x:v>
      </x:c>
      <x:c r="EJ19" s="1053" t="str">
        <x:f t="shared" si="74"/>
        <x:v/>
      </x:c>
      <x:c r="EK19" s="1053" t="str">
        <x:f t="shared" si="74"/>
        <x:v/>
      </x:c>
      <x:c r="EL19" s="1090" t="str">
        <x:f t="shared" si="75"/>
        <x:v/>
      </x:c>
      <x:c r="EM19" s="1053" t="str">
        <x:f t="shared" si="76"/>
        <x:v/>
      </x:c>
      <x:c r="EN19" s="1053" t="str">
        <x:f t="shared" si="77"/>
        <x:v/>
      </x:c>
      <x:c r="EO19" s="1053" t="str">
        <x:f t="shared" si="78"/>
        <x:v>ERR</x:v>
      </x:c>
      <x:c r="EP19" s="1053" t="str">
        <x:f t="shared" si="79"/>
        <x:v>ERR</x:v>
      </x:c>
      <x:c r="EQ19" s="1053" t="str">
        <x:f t="shared" si="80"/>
        <x:v/>
      </x:c>
      <x:c r="ER19" s="1053" t="str">
        <x:f t="shared" si="80"/>
        <x:v/>
      </x:c>
      <x:c r="ES19" s="1053" t="str">
        <x:f t="shared" si="81"/>
        <x:v/>
      </x:c>
      <x:c r="ET19" s="1053" t="str">
        <x:f t="shared" si="82"/>
        <x:v/>
      </x:c>
      <x:c r="EU19" s="1061">
        <x:f t="shared" si="83"/>
        <x:v>4</x:v>
      </x:c>
      <x:c r="EV19" s="1055" t="str">
        <x:f t="shared" si="84"/>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85"/>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86"/>
        <x:v/>
      </x:c>
      <x:c r="FD19" s="1052">
        <x:f t="shared" si="108"/>
        <x:v>0</x:v>
      </x:c>
      <x:c r="FE19" s="1052">
        <x:f t="shared" si="87"/>
        <x:v>0</x:v>
      </x:c>
      <x:c r="FF19" s="1052">
        <x:f t="shared" si="88"/>
        <x:v>0</x:v>
      </x:c>
      <x:c r="FG19" s="1052" t="str">
        <x:f t="shared" si="89"/>
        <x:v/>
      </x:c>
      <x:c r="FH19" s="1053" t="str">
        <x:f t="shared" si="90"/>
        <x:v/>
      </x:c>
      <x:c r="FI19" s="1052">
        <x:f t="shared" si="109"/>
        <x:v>0</x:v>
      </x:c>
      <x:c r="FJ19" s="1052">
        <x:f t="shared" si="91"/>
        <x:v>0</x:v>
      </x:c>
      <x:c r="FK19" s="1052">
        <x:f t="shared" si="92"/>
        <x:v>0</x:v>
      </x:c>
      <x:c r="FL19" s="1052" t="str">
        <x:f t="shared" si="93"/>
        <x:v/>
      </x:c>
      <x:c r="FM19" s="1053" t="str">
        <x:f t="shared" si="94"/>
        <x:v/>
      </x:c>
      <x:c r="FN19" s="1053" t="e">
        <x:f t="shared" si="95"/>
        <x:v>#VALUE!</x:v>
      </x:c>
      <x:c r="FO19" s="1062" t="e">
        <x:f t="shared" si="96"/>
        <x:v>#VALUE!</x:v>
      </x:c>
      <x:c r="FP19" s="1062" t="e">
        <x:f t="shared" si="97"/>
        <x:v>#VALUE!</x:v>
      </x:c>
      <x:c r="FQ19" s="1063" t="e">
        <x:f t="shared" si="98"/>
        <x:v>#VALUE!</x:v>
      </x:c>
      <x:c r="FR19" s="1064" t="e">
        <x:f t="shared" si="99"/>
        <x:v>#VALUE!</x:v>
      </x:c>
      <x:c r="FS19" s="1065" t="str">
        <x:f t="shared" si="100"/>
        <x:v/>
      </x:c>
      <x:c r="FT19" s="1066" t="str">
        <x:f t="shared" si="101"/>
        <x:v/>
      </x:c>
      <x:c r="FU19" s="1105">
        <x:f t="shared" si="102"/>
        <x:v>0</x:v>
      </x:c>
      <x:c r="FV19" s="1106">
        <x:f t="shared" si="103"/>
        <x:v>0</x:v>
      </x:c>
      <x:c r="GA19" s="1975">
        <x:v>59</x:v>
      </x:c>
      <x:c r="GB19" s="1976">
        <x:v>2.75</x:v>
      </x:c>
      <x:c r="GC19" s="1977">
        <x:v>-1.875</x:v>
      </x:c>
      <x:c r="GD19" s="1978">
        <x:v>-0.25</x:v>
      </x:c>
      <x:c r="GE19" s="1979">
        <x:v>0.26169539219134702</x:v>
      </x:c>
      <x:c r="GF19" s="1980" t="str">
        <x:f t="shared" si="104"/>
        <x:v>J270</x:v>
      </x:c>
      <x:c r="GG19" s="1453"/>
      <x:c r="GH19" s="1454"/>
      <x:c r="GI19" s="1453"/>
      <x:c r="GJ19" s="1454"/>
      <x:c r="GK19" s="533">
        <x:f t="shared" si="105"/>
        <x:v>708.625</x:v>
      </x:c>
      <x:c r="GL19" s="534">
        <x:f t="shared" si="106"/>
        <x:v>708.79348626656247</x:v>
      </x:c>
      <x:c r="GM19" s="535">
        <x:f>IF(ABS(GK19-GL19)&gt;='Job Info.'!$L$22,ABS(GK19-GL19),0)</x:f>
        <x:v>0</x:v>
      </x:c>
      <x:c r="HA19" s="1658" t="s">
        <x:v>1594</x:v>
      </x:c>
      <x:c r="HB19" s="1659">
        <x:v>2</x:v>
      </x:c>
      <x:c r="HC19" s="1659" t="s">
        <x:v>1978</x:v>
      </x:c>
      <x:c r="HD19" s="1660">
        <x:v>59</x:v>
      </x:c>
      <x:c r="HE19" s="1661">
        <x:v>0.625</x:v>
      </x:c>
      <x:c r="HF19" s="1659" t="s">
        <x:v>117</x:v>
      </x:c>
      <x:c r="HG19" s="1659" t="s">
        <x:v>117</x:v>
      </x:c>
      <x:c r="HH19" s="1659" t="s">
        <x:v>117</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2264</x:v>
      </x:c>
      <x:c r="IB19" s="1661"/>
      <x:c r="IC19" s="1661"/>
      <x:c r="ID19" s="1661"/>
      <x:c r="IE19" s="1661"/>
      <x:c r="IF19" s="1663"/>
    </x:row>
    <x:row r="20" spans="1:240" ht="12.6" customHeight="1" x14ac:dyDescent="0.25">
      <x:c r="A20" s="1264" t="s">
        <x:v>1595</x:v>
      </x:c>
      <x:c r="B20" s="1265">
        <x:v>1</x:v>
      </x:c>
      <x:c r="C20" s="1265" t="s">
        <x:v>1978</x:v>
      </x:c>
      <x:c r="D20" s="1261">
        <x:v>59</x:v>
      </x:c>
      <x:c r="E20" s="1366">
        <x:v>0.625</x:v>
      </x:c>
      <x:c r="F20" s="1328" t="str">
        <x:f t="shared" si="1"/>
        <x:v/>
      </x:c>
      <x:c r="G20" s="1262" t="str">
        <x:f t="shared" si="2"/>
        <x:v/>
      </x:c>
      <x:c r="H20" s="1266" t="str">
        <x:f t="shared" si="3"/>
        <x:v/>
      </x:c>
      <x:c r="I20" s="1261">
        <x:v>0</x:v>
      </x:c>
      <x:c r="J20" s="1262">
        <x:v>1.375</x:v>
      </x:c>
      <x:c r="K20" s="1370" t="s">
        <x:v>114</x:v>
      </x:c>
      <x:c r="L20" s="1327">
        <x:v>3</x:v>
      </x:c>
      <x:c r="M20" s="1329">
        <x:v>3</x:v>
      </x:c>
      <x:c r="N20" s="1263" t="str">
        <x:f t="shared" si="4"/>
        <x:v/>
      </x:c>
      <x:c r="O20" s="1262" t="str">
        <x:f t="shared" si="5"/>
        <x:v/>
      </x:c>
      <x:c r="P20" s="1260" t="str">
        <x:f t="shared" si="6"/>
        <x:v/>
      </x:c>
      <x:c r="Q20" s="1261" t="str">
        <x:f t="shared" si="7"/>
        <x:v/>
      </x:c>
      <x:c r="R20" s="1262" t="str">
        <x:f t="shared" si="8"/>
        <x:v/>
      </x:c>
      <x:c r="S20" s="1375" t="str">
        <x:f t="shared" si="9"/>
        <x:v/>
      </x:c>
      <x:c r="T20" s="1328">
        <x:v>0</x:v>
      </x:c>
      <x:c r="U20" s="1262">
        <x:v>1.125</x:v>
      </x:c>
      <x:c r="V20" s="1261">
        <x:v>0</x:v>
      </x:c>
      <x:c r="W20" s="1262">
        <x:v>2.25</x:v>
      </x:c>
      <x:c r="X20" s="1329">
        <x:v>4</x:v>
      </x:c>
      <x:c r="Y20" s="1377" t="str">
        <x:f t="shared" si="15"/>
        <x:v/>
      </x:c>
      <x:c r="Z20" s="1378" t="str">
        <x:f t="shared" si="16"/>
        <x:v/>
      </x:c>
      <x:c r="AA20" s="2159" t="s">
        <x:v>2264</x:v>
      </x:c>
      <x:c r="AC20" s="1226" t="b">
        <x:v>0</x:v>
      </x:c>
      <x:c r="AD20" s="525">
        <x:f t="shared" si="17"/>
        <x:v>0</x:v>
      </x:c>
      <x:c r="AE20" s="526">
        <x:f t="shared" si="18"/>
        <x:v>1</x:v>
      </x:c>
      <x:c r="AF20" s="526">
        <x:f t="shared" si="19"/>
        <x:v>0</x:v>
      </x:c>
      <x:c r="AG20" s="526">
        <x:f t="shared" si="20"/>
        <x:v>0</x:v>
      </x:c>
      <x:c r="AH20" s="527">
        <x:f t="shared" si="21"/>
        <x:v>0</x:v>
      </x:c>
      <x:c r="AI20" s="528" t="b">
        <x:v>0</x:v>
      </x:c>
      <x:c r="AJ20" s="284">
        <x:f t="shared" si="22"/>
        <x:v>36</x:v>
      </x:c>
      <x:c r="AK20" s="1063" t="str">
        <x:f t="shared" si="23"/>
        <x:v>LH</x:v>
      </x:c>
      <x:c r="AL20" s="1202" t="str">
        <x:f t="shared" si="24"/>
        <x:v/>
      </x:c>
      <x:c r="AM20" s="1063">
        <x:f t="shared" si="25"/>
        <x:v>270</x:v>
      </x:c>
      <x:c r="AN20" s="1063">
        <x:f t="shared" si="26"/>
        <x:v>120</x:v>
      </x:c>
      <x:c r="AO20" s="1063" t="str">
        <x:f t="shared" si="27"/>
        <x:v/>
      </x:c>
      <x:c r="AP20" s="1063" t="b">
        <x:f>IF(ISERROR(AJ20),FALSE,IF(OR(AJ20=0,ISERROR(AL20),ISERROR(AM20),ISERROR(AN20),ISERROR(AO20)),FALSE,IF(AL20&lt;&gt;"",IF(ISERROR(VLOOKUP(SUBSTITUTE(SUBSTITUTE(C20,"R",""),"A",""),TblJoistSize!$A:$A,1,FALSE)),FALSE,TRUE),TRUE)))</x:f>
        <x:v>1</x:v>
      </x:c>
      <x:c r="AQ20" s="1305">
        <x:f t="shared" si="28"/>
        <x:v>6</x:v>
      </x:c>
      <x:c r="AR20" s="1305" t="b">
        <x:f t="shared" si="29"/>
        <x:v>1</x:v>
      </x:c>
      <x:c r="AS20" s="1305">
        <x:f t="shared" si="30"/>
        <x:v>7.375</x:v>
      </x:c>
      <x:c r="AT20" s="1305" t="b">
        <x:f t="shared" si="31"/>
        <x:v>1</x:v>
      </x:c>
      <x:c r="AU20" s="1203" t="str">
        <x:f t="shared" si="32"/>
        <x:v>LH</x:v>
      </x:c>
      <x:c r="AV20" s="1063" t="str">
        <x:f t="shared" si="33"/>
        <x:v/>
      </x:c>
      <x:c r="AW20" s="1063" t="str">
        <x:f t="shared" si="34"/>
        <x:v>LH</x:v>
      </x:c>
      <x:c r="AX20" s="1063" t="str">
        <x:f t="shared" si="107"/>
        <x:v>TJ271</x:v>
      </x:c>
      <x:c r="AY20" s="1306" t="b">
        <x:f t="shared" si="35"/>
        <x:v>0</x:v>
      </x:c>
      <x:c r="AZ20" s="1090" t="b">
        <x:f t="shared" si="36"/>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37"/>
        <x:v/>
      </x:c>
      <x:c r="CE20" s="935" t="str">
        <x:f t="shared" si="38"/>
        <x:v/>
      </x:c>
      <x:c r="CF20" s="1149"/>
      <x:c r="CG20" s="1150"/>
      <x:c r="CH20" s="738" t="str">
        <x:f t="shared" si="39"/>
        <x:v/>
      </x:c>
      <x:c r="CI20" s="739" t="str">
        <x:f t="shared" si="40"/>
        <x:v/>
      </x:c>
      <x:c r="CJ20" s="740" t="str">
        <x:f t="shared" si="41"/>
        <x:v/>
      </x:c>
      <x:c r="CK20" s="741" t="str">
        <x:f t="shared" si="42"/>
        <x:v/>
      </x:c>
      <x:c r="CL20" s="742" t="str">
        <x:f t="shared" si="43"/>
        <x:v/>
      </x:c>
      <x:c r="CM20" s="743" t="str">
        <x:f t="shared" si="44"/>
        <x:v/>
      </x:c>
      <x:c r="CN20" s="744" t="str">
        <x:f t="shared" si="45"/>
        <x:v/>
      </x:c>
      <x:c r="CO20" s="745" t="str">
        <x:f t="shared" si="46"/>
        <x:v/>
      </x:c>
      <x:c r="CP20" s="762" t="str">
        <x:f t="shared" si="47"/>
        <x:v/>
      </x:c>
      <x:c r="CQ20" s="763" t="str">
        <x:f t="shared" si="48"/>
        <x:v/>
      </x:c>
      <x:c r="CR20" s="953">
        <x:f t="shared" si="49"/>
        <x:v>5</x:v>
      </x:c>
      <x:c r="CS20" s="954">
        <x:f t="shared" si="50"/>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51"/>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52"/>
        <x:v>0</x:v>
      </x:c>
      <x:c r="DO20" s="1049">
        <x:f t="shared" si="53"/>
        <x:v>0</x:v>
      </x:c>
      <x:c r="DP20" s="1053" t="str">
        <x:f t="shared" si="54"/>
        <x:v/>
      </x:c>
      <x:c r="DQ20" s="1053" t="str">
        <x:f t="shared" si="55"/>
        <x:v/>
      </x:c>
      <x:c r="DR20" s="1053" t="str">
        <x:f t="shared" si="56"/>
        <x:v/>
      </x:c>
      <x:c r="DS20" s="1052">
        <x:f t="shared" si="57"/>
        <x:v>0</x:v>
      </x:c>
      <x:c r="DT20" s="1052">
        <x:f t="shared" si="58"/>
        <x:v>0</x:v>
      </x:c>
      <x:c r="DU20" s="1052" t="str">
        <x:f t="shared" si="59"/>
        <x:v/>
      </x:c>
      <x:c r="DV20" s="1053" t="str">
        <x:f t="shared" si="60"/>
        <x:v/>
      </x:c>
      <x:c r="DW20" s="1053" t="str">
        <x:f t="shared" si="61"/>
        <x:v/>
      </x:c>
      <x:c r="DX20" s="1269">
        <x:f t="shared" si="62"/>
        <x:v>0</x:v>
      </x:c>
      <x:c r="DY20" s="1053">
        <x:f t="shared" si="63"/>
        <x:v>0</x:v>
      </x:c>
      <x:c r="DZ20" s="1052">
        <x:f t="shared" si="64"/>
        <x:v>0</x:v>
      </x:c>
      <x:c r="EA20" s="1052" t="str">
        <x:f t="shared" si="65"/>
        <x:v/>
      </x:c>
      <x:c r="EB20" s="1053" t="str">
        <x:f t="shared" si="66"/>
        <x:v/>
      </x:c>
      <x:c r="EC20" s="1053" t="str">
        <x:f t="shared" si="67"/>
        <x:v/>
      </x:c>
      <x:c r="ED20" s="1269">
        <x:f t="shared" si="68"/>
        <x:v>0</x:v>
      </x:c>
      <x:c r="EE20" s="1090" t="str">
        <x:f t="shared" si="69"/>
        <x:v/>
      </x:c>
      <x:c r="EF20" s="1053" t="str">
        <x:f t="shared" si="70"/>
        <x:v/>
      </x:c>
      <x:c r="EG20" s="1053" t="str">
        <x:f t="shared" si="71"/>
        <x:v/>
      </x:c>
      <x:c r="EH20" s="1053" t="str">
        <x:f t="shared" si="72"/>
        <x:v>ERR</x:v>
      </x:c>
      <x:c r="EI20" s="1053" t="str">
        <x:f t="shared" si="73"/>
        <x:v>ERR</x:v>
      </x:c>
      <x:c r="EJ20" s="1053" t="str">
        <x:f t="shared" si="74"/>
        <x:v/>
      </x:c>
      <x:c r="EK20" s="1053" t="str">
        <x:f t="shared" si="74"/>
        <x:v/>
      </x:c>
      <x:c r="EL20" s="1090" t="str">
        <x:f t="shared" si="75"/>
        <x:v/>
      </x:c>
      <x:c r="EM20" s="1053" t="str">
        <x:f t="shared" si="76"/>
        <x:v/>
      </x:c>
      <x:c r="EN20" s="1053" t="str">
        <x:f t="shared" si="77"/>
        <x:v/>
      </x:c>
      <x:c r="EO20" s="1053" t="str">
        <x:f t="shared" si="78"/>
        <x:v>ERR</x:v>
      </x:c>
      <x:c r="EP20" s="1053" t="str">
        <x:f t="shared" si="79"/>
        <x:v>ERR</x:v>
      </x:c>
      <x:c r="EQ20" s="1053" t="str">
        <x:f t="shared" si="80"/>
        <x:v/>
      </x:c>
      <x:c r="ER20" s="1053" t="str">
        <x:f t="shared" si="80"/>
        <x:v/>
      </x:c>
      <x:c r="ES20" s="1053" t="str">
        <x:f t="shared" si="81"/>
        <x:v/>
      </x:c>
      <x:c r="ET20" s="1053" t="str">
        <x:f t="shared" si="82"/>
        <x:v/>
      </x:c>
      <x:c r="EU20" s="1061">
        <x:f t="shared" si="83"/>
        <x:v>4</x:v>
      </x:c>
      <x:c r="EV20" s="1055" t="str">
        <x:f t="shared" si="84"/>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85"/>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86"/>
        <x:v/>
      </x:c>
      <x:c r="FD20" s="1052">
        <x:f t="shared" si="108"/>
        <x:v>0</x:v>
      </x:c>
      <x:c r="FE20" s="1052">
        <x:f t="shared" si="87"/>
        <x:v>0</x:v>
      </x:c>
      <x:c r="FF20" s="1052">
        <x:f t="shared" si="88"/>
        <x:v>0</x:v>
      </x:c>
      <x:c r="FG20" s="1052" t="str">
        <x:f t="shared" si="89"/>
        <x:v/>
      </x:c>
      <x:c r="FH20" s="1053" t="str">
        <x:f t="shared" si="90"/>
        <x:v/>
      </x:c>
      <x:c r="FI20" s="1052">
        <x:f t="shared" si="109"/>
        <x:v>0</x:v>
      </x:c>
      <x:c r="FJ20" s="1052">
        <x:f t="shared" si="91"/>
        <x:v>0</x:v>
      </x:c>
      <x:c r="FK20" s="1052">
        <x:f t="shared" si="92"/>
        <x:v>0</x:v>
      </x:c>
      <x:c r="FL20" s="1052" t="str">
        <x:f t="shared" si="93"/>
        <x:v/>
      </x:c>
      <x:c r="FM20" s="1053" t="str">
        <x:f t="shared" si="94"/>
        <x:v/>
      </x:c>
      <x:c r="FN20" s="1053" t="e">
        <x:f t="shared" si="95"/>
        <x:v>#VALUE!</x:v>
      </x:c>
      <x:c r="FO20" s="1062" t="e">
        <x:f t="shared" si="96"/>
        <x:v>#VALUE!</x:v>
      </x:c>
      <x:c r="FP20" s="1062" t="e">
        <x:f t="shared" si="97"/>
        <x:v>#VALUE!</x:v>
      </x:c>
      <x:c r="FQ20" s="1063" t="e">
        <x:f t="shared" si="98"/>
        <x:v>#VALUE!</x:v>
      </x:c>
      <x:c r="FR20" s="1064" t="e">
        <x:f t="shared" si="99"/>
        <x:v>#VALUE!</x:v>
      </x:c>
      <x:c r="FS20" s="1065" t="str">
        <x:f t="shared" si="100"/>
        <x:v/>
      </x:c>
      <x:c r="FT20" s="1066" t="str">
        <x:f t="shared" si="101"/>
        <x:v/>
      </x:c>
      <x:c r="FU20" s="1105">
        <x:f t="shared" si="102"/>
        <x:v>0</x:v>
      </x:c>
      <x:c r="FV20" s="1106">
        <x:f t="shared" si="103"/>
        <x:v>0</x:v>
      </x:c>
      <x:c r="GA20" s="1975">
        <x:v>59</x:v>
      </x:c>
      <x:c r="GB20" s="1976">
        <x:v>2.75</x:v>
      </x:c>
      <x:c r="GC20" s="1977">
        <x:v>-1.875</x:v>
      </x:c>
      <x:c r="GD20" s="1978">
        <x:v>-0.25</x:v>
      </x:c>
      <x:c r="GE20" s="1979">
        <x:v>0.26169539219134702</x:v>
      </x:c>
      <x:c r="GF20" s="1980" t="str">
        <x:f t="shared" si="104"/>
        <x:v>TJ271</x:v>
      </x:c>
      <x:c r="GG20" s="1453"/>
      <x:c r="GH20" s="1454"/>
      <x:c r="GI20" s="1453"/>
      <x:c r="GJ20" s="1454"/>
      <x:c r="GK20" s="533">
        <x:f t="shared" si="105"/>
        <x:v>708.625</x:v>
      </x:c>
      <x:c r="GL20" s="534">
        <x:f t="shared" si="106"/>
        <x:v>708.79348626656247</x:v>
      </x:c>
      <x:c r="GM20" s="535">
        <x:f>IF(ABS(GK20-GL20)&gt;='Job Info.'!$L$22,ABS(GK20-GL20),0)</x:f>
        <x:v>0</x:v>
      </x:c>
      <x:c r="HA20" s="1658" t="s">
        <x:v>1595</x:v>
      </x:c>
      <x:c r="HB20" s="1659">
        <x:v>1</x:v>
      </x:c>
      <x:c r="HC20" s="1659" t="s">
        <x:v>1978</x:v>
      </x:c>
      <x:c r="HD20" s="1660">
        <x:v>59</x:v>
      </x:c>
      <x:c r="HE20" s="1661">
        <x:v>0.625</x:v>
      </x:c>
      <x:c r="HF20" s="1659" t="s">
        <x:v>117</x:v>
      </x:c>
      <x:c r="HG20" s="1659" t="s">
        <x:v>117</x:v>
      </x:c>
      <x:c r="HH20" s="1659" t="s">
        <x:v>117</x:v>
      </x:c>
      <x:c r="HI20" s="1662">
        <x:v>0</x:v>
      </x:c>
      <x:c r="HJ20" s="1659">
        <x:v>1.375</x:v>
      </x:c>
      <x:c r="HK20" s="1659" t="s">
        <x:v>114</x:v>
      </x:c>
      <x:c r="HL20" s="1659">
        <x:v>3</x:v>
      </x:c>
      <x:c r="HM20" s="1659">
        <x:v>3</x:v>
      </x:c>
      <x:c r="HN20" s="1659" t="s">
        <x:v>117</x:v>
      </x:c>
      <x:c r="HO20" s="1659" t="s">
        <x:v>117</x:v>
      </x:c>
      <x:c r="HP20" s="1659" t="s">
        <x:v>117</x:v>
      </x:c>
      <x:c r="HQ20" s="1662" t="s">
        <x:v>117</x:v>
      </x:c>
      <x:c r="HR20" s="1659" t="s">
        <x:v>117</x:v>
      </x:c>
      <x:c r="HS20" s="1659" t="s">
        <x:v>117</x:v>
      </x:c>
      <x:c r="HT20" s="1659">
        <x:v>0</x:v>
      </x:c>
      <x:c r="HU20" s="1659">
        <x:v>1.125</x:v>
      </x:c>
      <x:c r="HV20" s="1659">
        <x:v>0</x:v>
      </x:c>
      <x:c r="HW20" s="1661">
        <x:v>2.25</x:v>
      </x:c>
      <x:c r="HX20" s="1661">
        <x:v>4</x:v>
      </x:c>
      <x:c r="HY20" s="1661" t="s">
        <x:v>117</x:v>
      </x:c>
      <x:c r="HZ20" s="1661" t="s">
        <x:v>117</x:v>
      </x:c>
      <x:c r="IA20" s="1661" t="s">
        <x:v>2264</x:v>
      </x:c>
      <x:c r="IB20" s="1661"/>
      <x:c r="IC20" s="1661"/>
      <x:c r="ID20" s="1661"/>
      <x:c r="IE20" s="1661"/>
      <x:c r="IF20" s="1663"/>
    </x:row>
    <x:row r="21" spans="1:240" ht="12.6" customHeight="1" x14ac:dyDescent="0.25">
      <x:c r="A21" s="1264" t="s">
        <x:v>1596</x:v>
      </x:c>
      <x:c r="B21" s="1265">
        <x:v>1</x:v>
      </x:c>
      <x:c r="C21" s="1265" t="s">
        <x:v>1978</x:v>
      </x:c>
      <x:c r="D21" s="1261">
        <x:v>59</x:v>
      </x:c>
      <x:c r="E21" s="1366">
        <x:v>0.625</x:v>
      </x:c>
      <x:c r="F21" s="1328" t="str">
        <x:f t="shared" si="1"/>
        <x:v/>
      </x:c>
      <x:c r="G21" s="1262" t="str">
        <x:f t="shared" si="2"/>
        <x:v/>
      </x:c>
      <x:c r="H21" s="1266" t="str">
        <x:f t="shared" si="3"/>
        <x:v/>
      </x:c>
      <x:c r="I21" s="1261">
        <x:v>0</x:v>
      </x:c>
      <x:c r="J21" s="1262">
        <x:v>1.375</x:v>
      </x:c>
      <x:c r="K21" s="1370" t="s">
        <x:v>114</x:v>
      </x:c>
      <x:c r="L21" s="1327">
        <x:v>3</x:v>
      </x:c>
      <x:c r="M21" s="1329">
        <x:v>3</x:v>
      </x:c>
      <x:c r="N21" s="1263" t="str">
        <x:f t="shared" si="4"/>
        <x:v/>
      </x:c>
      <x:c r="O21" s="1262" t="str">
        <x:f t="shared" si="5"/>
        <x:v/>
      </x:c>
      <x:c r="P21" s="1260" t="str">
        <x:f t="shared" si="6"/>
        <x:v/>
      </x:c>
      <x:c r="Q21" s="1261" t="str">
        <x:f t="shared" si="7"/>
        <x:v/>
      </x:c>
      <x:c r="R21" s="1262" t="str">
        <x:f t="shared" si="8"/>
        <x:v/>
      </x:c>
      <x:c r="S21" s="1375" t="str">
        <x:f t="shared" si="9"/>
        <x:v/>
      </x:c>
      <x:c r="T21" s="1328">
        <x:v>0</x:v>
      </x:c>
      <x:c r="U21" s="1262">
        <x:v>1.125</x:v>
      </x:c>
      <x:c r="V21" s="1261">
        <x:v>0</x:v>
      </x:c>
      <x:c r="W21" s="1262">
        <x:v>2.25</x:v>
      </x:c>
      <x:c r="X21" s="1329">
        <x:v>4</x:v>
      </x:c>
      <x:c r="Y21" s="1377" t="str">
        <x:f t="shared" si="15"/>
        <x:v/>
      </x:c>
      <x:c r="Z21" s="1378" t="str">
        <x:f t="shared" si="16"/>
        <x:v/>
      </x:c>
      <x:c r="AA21" s="2159" t="s">
        <x:v>2265</x:v>
      </x:c>
      <x:c r="AC21" s="1226" t="b">
        <x:v>0</x:v>
      </x:c>
      <x:c r="AD21" s="525">
        <x:f t="shared" si="17"/>
        <x:v>0</x:v>
      </x:c>
      <x:c r="AE21" s="526">
        <x:f t="shared" si="18"/>
        <x:v>1</x:v>
      </x:c>
      <x:c r="AF21" s="526">
        <x:f t="shared" si="19"/>
        <x:v>0</x:v>
      </x:c>
      <x:c r="AG21" s="526">
        <x:f t="shared" si="20"/>
        <x:v>0</x:v>
      </x:c>
      <x:c r="AH21" s="527">
        <x:f t="shared" si="21"/>
        <x:v>0</x:v>
      </x:c>
      <x:c r="AI21" s="528" t="b">
        <x:v>0</x:v>
      </x:c>
      <x:c r="AJ21" s="284">
        <x:f t="shared" si="22"/>
        <x:v>36</x:v>
      </x:c>
      <x:c r="AK21" s="1063" t="str">
        <x:f t="shared" si="23"/>
        <x:v>LH</x:v>
      </x:c>
      <x:c r="AL21" s="1202" t="str">
        <x:f t="shared" si="24"/>
        <x:v/>
      </x:c>
      <x:c r="AM21" s="1063">
        <x:f t="shared" si="25"/>
        <x:v>270</x:v>
      </x:c>
      <x:c r="AN21" s="1063">
        <x:f t="shared" si="26"/>
        <x:v>120</x:v>
      </x:c>
      <x:c r="AO21" s="1063" t="str">
        <x:f t="shared" si="27"/>
        <x:v/>
      </x:c>
      <x:c r="AP21" s="1063" t="b">
        <x:f>IF(ISERROR(AJ21),FALSE,IF(OR(AJ21=0,ISERROR(AL21),ISERROR(AM21),ISERROR(AN21),ISERROR(AO21)),FALSE,IF(AL21&lt;&gt;"",IF(ISERROR(VLOOKUP(SUBSTITUTE(SUBSTITUTE(C21,"R",""),"A",""),TblJoistSize!$A:$A,1,FALSE)),FALSE,TRUE),TRUE)))</x:f>
        <x:v>1</x:v>
      </x:c>
      <x:c r="AQ21" s="1305">
        <x:f t="shared" si="28"/>
        <x:v>6</x:v>
      </x:c>
      <x:c r="AR21" s="1305" t="b">
        <x:f t="shared" si="29"/>
        <x:v>1</x:v>
      </x:c>
      <x:c r="AS21" s="1305">
        <x:f t="shared" si="30"/>
        <x:v>7.375</x:v>
      </x:c>
      <x:c r="AT21" s="1305" t="b">
        <x:f t="shared" si="31"/>
        <x:v>1</x:v>
      </x:c>
      <x:c r="AU21" s="1203" t="str">
        <x:f t="shared" si="32"/>
        <x:v>LH</x:v>
      </x:c>
      <x:c r="AV21" s="1063" t="str">
        <x:f t="shared" si="33"/>
        <x:v/>
      </x:c>
      <x:c r="AW21" s="1063" t="str">
        <x:f t="shared" si="34"/>
        <x:v>LH</x:v>
      </x:c>
      <x:c r="AX21" s="1063" t="str">
        <x:f t="shared" si="107"/>
        <x:v>TJ272</x:v>
      </x:c>
      <x:c r="AY21" s="1306" t="b">
        <x:f t="shared" si="35"/>
        <x:v>0</x:v>
      </x:c>
      <x:c r="AZ21" s="1090" t="b">
        <x:f t="shared" si="36"/>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37"/>
        <x:v/>
      </x:c>
      <x:c r="CE21" s="1812" t="str">
        <x:f t="shared" si="38"/>
        <x:v/>
      </x:c>
      <x:c r="CF21" s="1813"/>
      <x:c r="CG21" s="1814"/>
      <x:c r="CH21" s="738" t="str">
        <x:f t="shared" si="39"/>
        <x:v/>
      </x:c>
      <x:c r="CI21" s="739" t="str">
        <x:f t="shared" si="40"/>
        <x:v/>
      </x:c>
      <x:c r="CJ21" s="740" t="str">
        <x:f t="shared" si="41"/>
        <x:v/>
      </x:c>
      <x:c r="CK21" s="741" t="str">
        <x:f t="shared" si="42"/>
        <x:v/>
      </x:c>
      <x:c r="CL21" s="742" t="str">
        <x:f t="shared" si="43"/>
        <x:v/>
      </x:c>
      <x:c r="CM21" s="743" t="str">
        <x:f t="shared" si="44"/>
        <x:v/>
      </x:c>
      <x:c r="CN21" s="744" t="str">
        <x:f t="shared" si="45"/>
        <x:v/>
      </x:c>
      <x:c r="CO21" s="745" t="str">
        <x:f t="shared" si="46"/>
        <x:v/>
      </x:c>
      <x:c r="CP21" s="762" t="str">
        <x:f t="shared" si="47"/>
        <x:v/>
      </x:c>
      <x:c r="CQ21" s="763" t="str">
        <x:f t="shared" si="48"/>
        <x:v/>
      </x:c>
      <x:c r="CR21" s="953">
        <x:f t="shared" si="49"/>
        <x:v>5</x:v>
      </x:c>
      <x:c r="CS21" s="954">
        <x:f t="shared" si="50"/>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51"/>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52"/>
        <x:v>0</x:v>
      </x:c>
      <x:c r="DO21" s="1049">
        <x:f t="shared" si="53"/>
        <x:v>0</x:v>
      </x:c>
      <x:c r="DP21" s="1053" t="str">
        <x:f t="shared" si="54"/>
        <x:v/>
      </x:c>
      <x:c r="DQ21" s="1053" t="str">
        <x:f t="shared" si="55"/>
        <x:v/>
      </x:c>
      <x:c r="DR21" s="1053" t="str">
        <x:f t="shared" si="56"/>
        <x:v/>
      </x:c>
      <x:c r="DS21" s="1052">
        <x:f t="shared" si="57"/>
        <x:v>0</x:v>
      </x:c>
      <x:c r="DT21" s="1052">
        <x:f t="shared" si="58"/>
        <x:v>0</x:v>
      </x:c>
      <x:c r="DU21" s="1052" t="str">
        <x:f t="shared" si="59"/>
        <x:v/>
      </x:c>
      <x:c r="DV21" s="1053" t="str">
        <x:f t="shared" si="60"/>
        <x:v/>
      </x:c>
      <x:c r="DW21" s="1053" t="str">
        <x:f t="shared" si="61"/>
        <x:v/>
      </x:c>
      <x:c r="DX21" s="1269">
        <x:f t="shared" si="62"/>
        <x:v>0</x:v>
      </x:c>
      <x:c r="DY21" s="1053">
        <x:f t="shared" si="63"/>
        <x:v>0</x:v>
      </x:c>
      <x:c r="DZ21" s="1052">
        <x:f t="shared" si="64"/>
        <x:v>0</x:v>
      </x:c>
      <x:c r="EA21" s="1052" t="str">
        <x:f t="shared" si="65"/>
        <x:v/>
      </x:c>
      <x:c r="EB21" s="1053" t="str">
        <x:f t="shared" si="66"/>
        <x:v/>
      </x:c>
      <x:c r="EC21" s="1053" t="str">
        <x:f t="shared" si="67"/>
        <x:v/>
      </x:c>
      <x:c r="ED21" s="1269">
        <x:f t="shared" si="68"/>
        <x:v>0</x:v>
      </x:c>
      <x:c r="EE21" s="1090" t="str">
        <x:f t="shared" si="69"/>
        <x:v/>
      </x:c>
      <x:c r="EF21" s="1053" t="str">
        <x:f t="shared" si="70"/>
        <x:v/>
      </x:c>
      <x:c r="EG21" s="1053" t="str">
        <x:f t="shared" si="71"/>
        <x:v/>
      </x:c>
      <x:c r="EH21" s="1053" t="str">
        <x:f t="shared" si="72"/>
        <x:v>ERR</x:v>
      </x:c>
      <x:c r="EI21" s="1053" t="str">
        <x:f t="shared" si="73"/>
        <x:v>ERR</x:v>
      </x:c>
      <x:c r="EJ21" s="1053" t="str">
        <x:f t="shared" si="74"/>
        <x:v/>
      </x:c>
      <x:c r="EK21" s="1053" t="str">
        <x:f t="shared" si="74"/>
        <x:v/>
      </x:c>
      <x:c r="EL21" s="1090" t="str">
        <x:f t="shared" si="75"/>
        <x:v/>
      </x:c>
      <x:c r="EM21" s="1053" t="str">
        <x:f t="shared" si="76"/>
        <x:v/>
      </x:c>
      <x:c r="EN21" s="1053" t="str">
        <x:f t="shared" si="77"/>
        <x:v/>
      </x:c>
      <x:c r="EO21" s="1053" t="str">
        <x:f t="shared" si="78"/>
        <x:v>ERR</x:v>
      </x:c>
      <x:c r="EP21" s="1053" t="str">
        <x:f t="shared" si="79"/>
        <x:v>ERR</x:v>
      </x:c>
      <x:c r="EQ21" s="1053" t="str">
        <x:f t="shared" si="80"/>
        <x:v/>
      </x:c>
      <x:c r="ER21" s="1053" t="str">
        <x:f t="shared" si="80"/>
        <x:v/>
      </x:c>
      <x:c r="ES21" s="1053" t="str">
        <x:f t="shared" si="81"/>
        <x:v/>
      </x:c>
      <x:c r="ET21" s="1053" t="str">
        <x:f t="shared" si="82"/>
        <x:v/>
      </x:c>
      <x:c r="EU21" s="1061">
        <x:f t="shared" si="83"/>
        <x:v>4</x:v>
      </x:c>
      <x:c r="EV21" s="1055" t="str">
        <x:f t="shared" si="84"/>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85"/>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86"/>
        <x:v/>
      </x:c>
      <x:c r="FD21" s="1052">
        <x:f t="shared" si="108"/>
        <x:v>0</x:v>
      </x:c>
      <x:c r="FE21" s="1052">
        <x:f t="shared" si="87"/>
        <x:v>0</x:v>
      </x:c>
      <x:c r="FF21" s="1052">
        <x:f t="shared" si="88"/>
        <x:v>0</x:v>
      </x:c>
      <x:c r="FG21" s="1052" t="str">
        <x:f t="shared" si="89"/>
        <x:v/>
      </x:c>
      <x:c r="FH21" s="1053" t="str">
        <x:f t="shared" si="90"/>
        <x:v/>
      </x:c>
      <x:c r="FI21" s="1052">
        <x:f t="shared" si="109"/>
        <x:v>0</x:v>
      </x:c>
      <x:c r="FJ21" s="1052">
        <x:f t="shared" si="91"/>
        <x:v>0</x:v>
      </x:c>
      <x:c r="FK21" s="1052">
        <x:f t="shared" si="92"/>
        <x:v>0</x:v>
      </x:c>
      <x:c r="FL21" s="1052" t="str">
        <x:f t="shared" si="93"/>
        <x:v/>
      </x:c>
      <x:c r="FM21" s="1053" t="str">
        <x:f t="shared" si="94"/>
        <x:v/>
      </x:c>
      <x:c r="FN21" s="1053" t="e">
        <x:f t="shared" si="95"/>
        <x:v>#VALUE!</x:v>
      </x:c>
      <x:c r="FO21" s="1062" t="e">
        <x:f t="shared" si="96"/>
        <x:v>#VALUE!</x:v>
      </x:c>
      <x:c r="FP21" s="1062" t="e">
        <x:f t="shared" si="97"/>
        <x:v>#VALUE!</x:v>
      </x:c>
      <x:c r="FQ21" s="1063" t="e">
        <x:f t="shared" si="98"/>
        <x:v>#VALUE!</x:v>
      </x:c>
      <x:c r="FR21" s="1064" t="e">
        <x:f t="shared" si="99"/>
        <x:v>#VALUE!</x:v>
      </x:c>
      <x:c r="FS21" s="1065" t="str">
        <x:f t="shared" si="100"/>
        <x:v/>
      </x:c>
      <x:c r="FT21" s="1066" t="str">
        <x:f t="shared" si="101"/>
        <x:v/>
      </x:c>
      <x:c r="FU21" s="1105">
        <x:f t="shared" si="102"/>
        <x:v>0</x:v>
      </x:c>
      <x:c r="FV21" s="1106">
        <x:f t="shared" si="103"/>
        <x:v>0</x:v>
      </x:c>
      <x:c r="GA21" s="1975">
        <x:v>59</x:v>
      </x:c>
      <x:c r="GB21" s="1976">
        <x:v>2.75</x:v>
      </x:c>
      <x:c r="GC21" s="1977">
        <x:v>-1.875</x:v>
      </x:c>
      <x:c r="GD21" s="1978">
        <x:v>-0.25</x:v>
      </x:c>
      <x:c r="GE21" s="1979">
        <x:v>0.26169539219134702</x:v>
      </x:c>
      <x:c r="GF21" s="1980" t="str">
        <x:f t="shared" si="104"/>
        <x:v>TJ272</x:v>
      </x:c>
      <x:c r="GG21" s="1453"/>
      <x:c r="GH21" s="1454"/>
      <x:c r="GI21" s="1453"/>
      <x:c r="GJ21" s="1454"/>
      <x:c r="GK21" s="533">
        <x:f t="shared" si="105"/>
        <x:v>708.625</x:v>
      </x:c>
      <x:c r="GL21" s="534">
        <x:f t="shared" si="106"/>
        <x:v>708.79348626656247</x:v>
      </x:c>
      <x:c r="GM21" s="535">
        <x:f>IF(ABS(GK21-GL21)&gt;='Job Info.'!$L$22,ABS(GK21-GL21),0)</x:f>
        <x:v>0</x:v>
      </x:c>
      <x:c r="HA21" s="1658" t="s">
        <x:v>1596</x:v>
      </x:c>
      <x:c r="HB21" s="1659">
        <x:v>1</x:v>
      </x:c>
      <x:c r="HC21" s="1659" t="s">
        <x:v>1978</x:v>
      </x:c>
      <x:c r="HD21" s="1660">
        <x:v>59</x:v>
      </x:c>
      <x:c r="HE21" s="1661">
        <x:v>0.625</x:v>
      </x:c>
      <x:c r="HF21" s="1659" t="s">
        <x:v>117</x:v>
      </x:c>
      <x:c r="HG21" s="1659" t="s">
        <x:v>117</x:v>
      </x:c>
      <x:c r="HH21" s="1659" t="s">
        <x:v>117</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x:v>0</x:v>
      </x:c>
      <x:c r="HU21" s="1659">
        <x:v>1.125</x:v>
      </x:c>
      <x:c r="HV21" s="1659">
        <x:v>0</x:v>
      </x:c>
      <x:c r="HW21" s="1661">
        <x:v>2.25</x:v>
      </x:c>
      <x:c r="HX21" s="1661">
        <x:v>4</x:v>
      </x:c>
      <x:c r="HY21" s="1661" t="s">
        <x:v>117</x:v>
      </x:c>
      <x:c r="HZ21" s="1661" t="s">
        <x:v>117</x:v>
      </x:c>
      <x:c r="IA21" s="1661" t="s">
        <x:v>2265</x:v>
      </x:c>
      <x:c r="IB21" s="1661"/>
      <x:c r="IC21" s="1661"/>
      <x:c r="ID21" s="1661"/>
      <x:c r="IE21" s="1661"/>
      <x:c r="IF21" s="1663"/>
    </x:row>
    <x:row r="22" spans="1:240" ht="12.6" customHeight="1" x14ac:dyDescent="0.25">
      <x:c r="A22" s="1264" t="s">
        <x:v>1597</x:v>
      </x:c>
      <x:c r="B22" s="1265">
        <x:v>2</x:v>
      </x:c>
      <x:c r="C22" s="1265" t="s">
        <x:v>1978</x:v>
      </x:c>
      <x:c r="D22" s="1261">
        <x:v>59</x:v>
      </x:c>
      <x:c r="E22" s="1366">
        <x:v>0.625</x:v>
      </x:c>
      <x:c r="F22" s="1328" t="str">
        <x:f t="shared" si="1"/>
        <x:v/>
      </x:c>
      <x:c r="G22" s="1262" t="str">
        <x:f t="shared" si="2"/>
        <x:v/>
      </x:c>
      <x:c r="H22" s="1266" t="str">
        <x:f t="shared" si="3"/>
        <x:v/>
      </x:c>
      <x:c r="I22" s="1261">
        <x:v>0</x:v>
      </x:c>
      <x:c r="J22" s="1262">
        <x:v>1.375</x:v>
      </x:c>
      <x:c r="K22" s="1370" t="s">
        <x:v>114</x:v>
      </x:c>
      <x:c r="L22" s="1327">
        <x:v>3</x:v>
      </x:c>
      <x:c r="M22" s="1329">
        <x:v>3</x:v>
      </x:c>
      <x:c r="N22" s="1263" t="str">
        <x:f t="shared" si="4"/>
        <x:v/>
      </x:c>
      <x:c r="O22" s="1262" t="str">
        <x:f t="shared" si="5"/>
        <x:v/>
      </x:c>
      <x:c r="P22" s="1260" t="str">
        <x:f t="shared" si="6"/>
        <x:v/>
      </x:c>
      <x:c r="Q22" s="1261" t="str">
        <x:f t="shared" si="7"/>
        <x:v/>
      </x:c>
      <x:c r="R22" s="1262" t="str">
        <x:f t="shared" si="8"/>
        <x:v/>
      </x:c>
      <x:c r="S22" s="1375" t="str">
        <x:f t="shared" si="9"/>
        <x:v/>
      </x:c>
      <x:c r="T22" s="1328" t="str">
        <x:f t="shared" si="10"/>
        <x:v/>
      </x:c>
      <x:c r="U22" s="1262" t="str">
        <x:f t="shared" si="11"/>
        <x:v/>
      </x:c>
      <x:c r="V22" s="1261" t="str">
        <x:f t="shared" si="12"/>
        <x:v/>
      </x:c>
      <x:c r="W22" s="1262" t="str">
        <x:f t="shared" si="13"/>
        <x:v/>
      </x:c>
      <x:c r="X22" s="1329">
        <x:f t="shared" si="14"/>
        <x:v>0</x:v>
      </x:c>
      <x:c r="Y22" s="1377" t="str">
        <x:f t="shared" si="15"/>
        <x:v/>
      </x:c>
      <x:c r="Z22" s="1378" t="str">
        <x:f t="shared" si="16"/>
        <x:v/>
      </x:c>
      <x:c r="AA22" s="2159" t="s">
        <x:v>2266</x:v>
      </x:c>
      <x:c r="AC22" s="1226" t="b">
        <x:v>0</x:v>
      </x:c>
      <x:c r="AD22" s="525">
        <x:f t="shared" si="17"/>
        <x:v>0</x:v>
      </x:c>
      <x:c r="AE22" s="526">
        <x:f t="shared" si="18"/>
        <x:v>2</x:v>
      </x:c>
      <x:c r="AF22" s="526">
        <x:f t="shared" si="19"/>
        <x:v>0</x:v>
      </x:c>
      <x:c r="AG22" s="526">
        <x:f t="shared" si="20"/>
        <x:v>0</x:v>
      </x:c>
      <x:c r="AH22" s="527">
        <x:f t="shared" si="21"/>
        <x:v>0</x:v>
      </x:c>
      <x:c r="AI22" s="528" t="b">
        <x:v>0</x:v>
      </x:c>
      <x:c r="AJ22" s="284">
        <x:f t="shared" si="22"/>
        <x:v>36</x:v>
      </x:c>
      <x:c r="AK22" s="1063" t="str">
        <x:f t="shared" si="23"/>
        <x:v>LH</x:v>
      </x:c>
      <x:c r="AL22" s="1202" t="str">
        <x:f t="shared" si="24"/>
        <x:v/>
      </x:c>
      <x:c r="AM22" s="1063">
        <x:f t="shared" si="25"/>
        <x:v>270</x:v>
      </x:c>
      <x:c r="AN22" s="1063">
        <x:f t="shared" si="26"/>
        <x:v>120</x:v>
      </x:c>
      <x:c r="AO22" s="1063" t="str">
        <x:f t="shared" si="27"/>
        <x:v/>
      </x:c>
      <x:c r="AP22" s="1063" t="b">
        <x:f>IF(ISERROR(AJ22),FALSE,IF(OR(AJ22=0,ISERROR(AL22),ISERROR(AM22),ISERROR(AN22),ISERROR(AO22)),FALSE,IF(AL22&lt;&gt;"",IF(ISERROR(VLOOKUP(SUBSTITUTE(SUBSTITUTE(C22,"R",""),"A",""),TblJoistSize!$A:$A,1,FALSE)),FALSE,TRUE),TRUE)))</x:f>
        <x:v>1</x:v>
      </x:c>
      <x:c r="AQ22" s="1305">
        <x:f t="shared" si="28"/>
        <x:v>6</x:v>
      </x:c>
      <x:c r="AR22" s="1305" t="b">
        <x:f t="shared" si="29"/>
        <x:v>0</x:v>
      </x:c>
      <x:c r="AS22" s="1305">
        <x:f t="shared" si="30"/>
        <x:v>7.375</x:v>
      </x:c>
      <x:c r="AT22" s="1305" t="b">
        <x:f t="shared" si="31"/>
        <x:v>0</x:v>
      </x:c>
      <x:c r="AU22" s="1203" t="str">
        <x:f t="shared" si="32"/>
        <x:v>LH</x:v>
      </x:c>
      <x:c r="AV22" s="1063" t="str">
        <x:f t="shared" si="33"/>
        <x:v/>
      </x:c>
      <x:c r="AW22" s="1063" t="str">
        <x:f t="shared" si="34"/>
        <x:v>LH</x:v>
      </x:c>
      <x:c r="AX22" s="1063" t="str">
        <x:f t="shared" si="107"/>
        <x:v>J273</x:v>
      </x:c>
      <x:c r="AY22" s="1306" t="b">
        <x:f t="shared" si="35"/>
        <x:v>0</x:v>
      </x:c>
      <x:c r="AZ22" s="1090" t="b">
        <x:f t="shared" si="36"/>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37"/>
        <x:v/>
      </x:c>
      <x:c r="CE22" s="935" t="str">
        <x:f t="shared" si="38"/>
        <x:v/>
      </x:c>
      <x:c r="CF22" s="1149"/>
      <x:c r="CG22" s="1150"/>
      <x:c r="CH22" s="738" t="str">
        <x:f t="shared" si="39"/>
        <x:v/>
      </x:c>
      <x:c r="CI22" s="739" t="str">
        <x:f t="shared" si="40"/>
        <x:v/>
      </x:c>
      <x:c r="CJ22" s="740" t="str">
        <x:f t="shared" si="41"/>
        <x:v/>
      </x:c>
      <x:c r="CK22" s="741" t="str">
        <x:f t="shared" si="42"/>
        <x:v/>
      </x:c>
      <x:c r="CL22" s="742" t="str">
        <x:f t="shared" si="43"/>
        <x:v/>
      </x:c>
      <x:c r="CM22" s="743" t="str">
        <x:f t="shared" si="44"/>
        <x:v/>
      </x:c>
      <x:c r="CN22" s="744" t="str">
        <x:f t="shared" si="45"/>
        <x:v/>
      </x:c>
      <x:c r="CO22" s="745" t="str">
        <x:f t="shared" si="46"/>
        <x:v/>
      </x:c>
      <x:c r="CP22" s="762" t="str">
        <x:f t="shared" si="47"/>
        <x:v/>
      </x:c>
      <x:c r="CQ22" s="763" t="str">
        <x:f t="shared" si="48"/>
        <x:v/>
      </x:c>
      <x:c r="CR22" s="953">
        <x:f t="shared" si="49"/>
        <x:v>5</x:v>
      </x:c>
      <x:c r="CS22" s="954">
        <x:f t="shared" si="50"/>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51"/>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52"/>
        <x:v>0</x:v>
      </x:c>
      <x:c r="DO22" s="1049">
        <x:f t="shared" si="53"/>
        <x:v>0</x:v>
      </x:c>
      <x:c r="DP22" s="1053" t="str">
        <x:f t="shared" si="54"/>
        <x:v/>
      </x:c>
      <x:c r="DQ22" s="1053" t="str">
        <x:f t="shared" si="55"/>
        <x:v/>
      </x:c>
      <x:c r="DR22" s="1053" t="str">
        <x:f t="shared" si="56"/>
        <x:v/>
      </x:c>
      <x:c r="DS22" s="1052">
        <x:f t="shared" si="57"/>
        <x:v>0</x:v>
      </x:c>
      <x:c r="DT22" s="1052">
        <x:f t="shared" si="58"/>
        <x:v>0</x:v>
      </x:c>
      <x:c r="DU22" s="1052" t="str">
        <x:f t="shared" si="59"/>
        <x:v/>
      </x:c>
      <x:c r="DV22" s="1053" t="str">
        <x:f t="shared" si="60"/>
        <x:v/>
      </x:c>
      <x:c r="DW22" s="1053" t="str">
        <x:f t="shared" si="61"/>
        <x:v/>
      </x:c>
      <x:c r="DX22" s="1269">
        <x:f t="shared" si="62"/>
        <x:v>0</x:v>
      </x:c>
      <x:c r="DY22" s="1053">
        <x:f t="shared" si="63"/>
        <x:v>0</x:v>
      </x:c>
      <x:c r="DZ22" s="1052">
        <x:f t="shared" si="64"/>
        <x:v>0</x:v>
      </x:c>
      <x:c r="EA22" s="1052" t="str">
        <x:f t="shared" si="65"/>
        <x:v/>
      </x:c>
      <x:c r="EB22" s="1053" t="str">
        <x:f t="shared" si="66"/>
        <x:v/>
      </x:c>
      <x:c r="EC22" s="1053" t="str">
        <x:f t="shared" si="67"/>
        <x:v/>
      </x:c>
      <x:c r="ED22" s="1269">
        <x:f t="shared" si="68"/>
        <x:v>0</x:v>
      </x:c>
      <x:c r="EE22" s="1090" t="str">
        <x:f t="shared" si="69"/>
        <x:v/>
      </x:c>
      <x:c r="EF22" s="1053" t="str">
        <x:f t="shared" si="70"/>
        <x:v/>
      </x:c>
      <x:c r="EG22" s="1053" t="str">
        <x:f t="shared" si="71"/>
        <x:v/>
      </x:c>
      <x:c r="EH22" s="1053" t="str">
        <x:f t="shared" si="72"/>
        <x:v>ERR</x:v>
      </x:c>
      <x:c r="EI22" s="1053" t="str">
        <x:f t="shared" si="73"/>
        <x:v>ERR</x:v>
      </x:c>
      <x:c r="EJ22" s="1053" t="str">
        <x:f t="shared" si="74"/>
        <x:v/>
      </x:c>
      <x:c r="EK22" s="1053" t="str">
        <x:f t="shared" si="74"/>
        <x:v/>
      </x:c>
      <x:c r="EL22" s="1090" t="str">
        <x:f t="shared" si="75"/>
        <x:v/>
      </x:c>
      <x:c r="EM22" s="1053" t="str">
        <x:f t="shared" si="76"/>
        <x:v/>
      </x:c>
      <x:c r="EN22" s="1053" t="str">
        <x:f t="shared" si="77"/>
        <x:v/>
      </x:c>
      <x:c r="EO22" s="1053" t="str">
        <x:f t="shared" si="78"/>
        <x:v>ERR</x:v>
      </x:c>
      <x:c r="EP22" s="1053" t="str">
        <x:f t="shared" si="79"/>
        <x:v>ERR</x:v>
      </x:c>
      <x:c r="EQ22" s="1053" t="str">
        <x:f t="shared" si="80"/>
        <x:v/>
      </x:c>
      <x:c r="ER22" s="1053" t="str">
        <x:f t="shared" si="80"/>
        <x:v/>
      </x:c>
      <x:c r="ES22" s="1053" t="str">
        <x:f t="shared" si="81"/>
        <x:v/>
      </x:c>
      <x:c r="ET22" s="1053" t="str">
        <x:f t="shared" si="82"/>
        <x:v/>
      </x:c>
      <x:c r="EU22" s="1061">
        <x:f t="shared" si="83"/>
        <x:v>4</x:v>
      </x:c>
      <x:c r="EV22" s="1055" t="str">
        <x:f t="shared" si="84"/>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85"/>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86"/>
        <x:v/>
      </x:c>
      <x:c r="FD22" s="1052">
        <x:f t="shared" si="108"/>
        <x:v>0</x:v>
      </x:c>
      <x:c r="FE22" s="1052">
        <x:f t="shared" si="87"/>
        <x:v>0</x:v>
      </x:c>
      <x:c r="FF22" s="1052">
        <x:f t="shared" si="88"/>
        <x:v>0</x:v>
      </x:c>
      <x:c r="FG22" s="1052" t="str">
        <x:f t="shared" si="89"/>
        <x:v/>
      </x:c>
      <x:c r="FH22" s="1053" t="str">
        <x:f t="shared" si="90"/>
        <x:v/>
      </x:c>
      <x:c r="FI22" s="1052">
        <x:f t="shared" si="109"/>
        <x:v>0</x:v>
      </x:c>
      <x:c r="FJ22" s="1052">
        <x:f t="shared" si="91"/>
        <x:v>0</x:v>
      </x:c>
      <x:c r="FK22" s="1052">
        <x:f t="shared" si="92"/>
        <x:v>0</x:v>
      </x:c>
      <x:c r="FL22" s="1052" t="str">
        <x:f t="shared" si="93"/>
        <x:v/>
      </x:c>
      <x:c r="FM22" s="1053" t="str">
        <x:f t="shared" si="94"/>
        <x:v/>
      </x:c>
      <x:c r="FN22" s="1053" t="e">
        <x:f t="shared" si="95"/>
        <x:v>#VALUE!</x:v>
      </x:c>
      <x:c r="FO22" s="1062" t="e">
        <x:f t="shared" si="96"/>
        <x:v>#VALUE!</x:v>
      </x:c>
      <x:c r="FP22" s="1062" t="e">
        <x:f t="shared" si="97"/>
        <x:v>#VALUE!</x:v>
      </x:c>
      <x:c r="FQ22" s="1063" t="e">
        <x:f t="shared" si="98"/>
        <x:v>#VALUE!</x:v>
      </x:c>
      <x:c r="FR22" s="1064" t="e">
        <x:f t="shared" si="99"/>
        <x:v>#VALUE!</x:v>
      </x:c>
      <x:c r="FS22" s="1065" t="str">
        <x:f t="shared" si="100"/>
        <x:v/>
      </x:c>
      <x:c r="FT22" s="1066" t="str">
        <x:f t="shared" si="101"/>
        <x:v/>
      </x:c>
      <x:c r="FU22" s="1105">
        <x:f t="shared" si="102"/>
        <x:v>0</x:v>
      </x:c>
      <x:c r="FV22" s="1106">
        <x:f t="shared" si="103"/>
        <x:v>0</x:v>
      </x:c>
      <x:c r="GA22" s="1975">
        <x:v>59</x:v>
      </x:c>
      <x:c r="GB22" s="1976">
        <x:v>2.75</x:v>
      </x:c>
      <x:c r="GC22" s="1977">
        <x:v>-1.875</x:v>
      </x:c>
      <x:c r="GD22" s="1978">
        <x:v>-0.25</x:v>
      </x:c>
      <x:c r="GE22" s="1979">
        <x:v>0.26169539219134702</x:v>
      </x:c>
      <x:c r="GF22" s="1980" t="str">
        <x:f t="shared" si="104"/>
        <x:v>J273</x:v>
      </x:c>
      <x:c r="GG22" s="1453"/>
      <x:c r="GH22" s="1454"/>
      <x:c r="GI22" s="1453"/>
      <x:c r="GJ22" s="1454"/>
      <x:c r="GK22" s="533">
        <x:f t="shared" si="105"/>
        <x:v>708.625</x:v>
      </x:c>
      <x:c r="GL22" s="534">
        <x:f t="shared" si="106"/>
        <x:v>708.79348626656247</x:v>
      </x:c>
      <x:c r="GM22" s="535">
        <x:f>IF(ABS(GK22-GL22)&gt;='Job Info.'!$L$22,ABS(GK22-GL22),0)</x:f>
        <x:v>0</x:v>
      </x:c>
      <x:c r="HA22" s="1658" t="s">
        <x:v>1597</x:v>
      </x:c>
      <x:c r="HB22" s="1659">
        <x:v>2</x:v>
      </x:c>
      <x:c r="HC22" s="1659" t="s">
        <x:v>1978</x:v>
      </x:c>
      <x:c r="HD22" s="1660">
        <x:v>59</x:v>
      </x:c>
      <x:c r="HE22" s="1661">
        <x:v>0.625</x:v>
      </x:c>
      <x:c r="HF22" s="1659" t="s">
        <x:v>117</x:v>
      </x:c>
      <x:c r="HG22" s="1659" t="s">
        <x:v>117</x:v>
      </x:c>
      <x:c r="HH22" s="1659" t="s">
        <x:v>117</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t="s">
        <x:v>117</x:v>
      </x:c>
      <x:c r="HZ22" s="1661" t="s">
        <x:v>117</x:v>
      </x:c>
      <x:c r="IA22" s="1661" t="s">
        <x:v>2266</x:v>
      </x:c>
      <x:c r="IB22" s="1661"/>
      <x:c r="IC22" s="1661"/>
      <x:c r="ID22" s="1661"/>
      <x:c r="IE22" s="1661"/>
      <x:c r="IF22" s="1663"/>
    </x:row>
    <x:row r="23" spans="1:240" ht="12.6" customHeight="1" x14ac:dyDescent="0.25">
      <x:c r="A23" s="1264" t="s">
        <x:v>1598</x:v>
      </x:c>
      <x:c r="B23" s="1265">
        <x:v>32</x:v>
      </x:c>
      <x:c r="C23" s="1265" t="s">
        <x:v>1978</x:v>
      </x:c>
      <x:c r="D23" s="1261">
        <x:v>59</x:v>
      </x:c>
      <x:c r="E23" s="1366">
        <x:v>0.625</x:v>
      </x:c>
      <x:c r="F23" s="1328" t="str">
        <x:f t="shared" si="1"/>
        <x:v/>
      </x:c>
      <x:c r="G23" s="1262" t="str">
        <x:f t="shared" si="2"/>
        <x:v/>
      </x:c>
      <x:c r="H23" s="1266" t="str">
        <x:f t="shared" si="3"/>
        <x:v/>
      </x:c>
      <x:c r="I23" s="1261">
        <x:v>0</x:v>
      </x:c>
      <x:c r="J23" s="1262">
        <x:v>1.375</x:v>
      </x:c>
      <x:c r="K23" s="1370" t="s">
        <x:v>114</x:v>
      </x:c>
      <x:c r="L23" s="1327">
        <x:v>3</x:v>
      </x:c>
      <x:c r="M23" s="1329">
        <x:v>3</x:v>
      </x:c>
      <x:c r="N23" s="1263" t="str">
        <x:f t="shared" si="4"/>
        <x:v/>
      </x:c>
      <x:c r="O23" s="1262" t="str">
        <x:f t="shared" si="5"/>
        <x:v/>
      </x:c>
      <x:c r="P23" s="1260" t="str">
        <x:f t="shared" si="6"/>
        <x:v/>
      </x:c>
      <x:c r="Q23" s="1261" t="str">
        <x:f t="shared" si="7"/>
        <x:v/>
      </x:c>
      <x:c r="R23" s="1262" t="str">
        <x:f t="shared" si="8"/>
        <x:v/>
      </x:c>
      <x:c r="S23" s="1375" t="str">
        <x:f t="shared" si="9"/>
        <x:v/>
      </x:c>
      <x:c r="T23" s="1328" t="str">
        <x:f t="shared" si="10"/>
        <x:v/>
      </x:c>
      <x:c r="U23" s="1262" t="str">
        <x:f t="shared" si="11"/>
        <x:v/>
      </x:c>
      <x:c r="V23" s="1261" t="str">
        <x:f t="shared" si="12"/>
        <x:v/>
      </x:c>
      <x:c r="W23" s="1262" t="str">
        <x:f t="shared" si="13"/>
        <x:v/>
      </x:c>
      <x:c r="X23" s="1329">
        <x:f t="shared" si="14"/>
        <x:v>0</x:v>
      </x:c>
      <x:c r="Y23" s="1377" t="str">
        <x:f t="shared" si="15"/>
        <x:v/>
      </x:c>
      <x:c r="Z23" s="1378" t="str">
        <x:f t="shared" si="16"/>
        <x:v/>
      </x:c>
      <x:c r="AA23" s="2159" t="s">
        <x:v>2267</x:v>
      </x:c>
      <x:c r="AC23" s="1226" t="b">
        <x:v>0</x:v>
      </x:c>
      <x:c r="AD23" s="525">
        <x:f t="shared" si="17"/>
        <x:v>0</x:v>
      </x:c>
      <x:c r="AE23" s="526">
        <x:f t="shared" si="18"/>
        <x:v>32</x:v>
      </x:c>
      <x:c r="AF23" s="526">
        <x:f t="shared" si="19"/>
        <x:v>0</x:v>
      </x:c>
      <x:c r="AG23" s="526">
        <x:f t="shared" si="20"/>
        <x:v>0</x:v>
      </x:c>
      <x:c r="AH23" s="527">
        <x:f t="shared" si="21"/>
        <x:v>0</x:v>
      </x:c>
      <x:c r="AI23" s="528" t="b">
        <x:v>0</x:v>
      </x:c>
      <x:c r="AJ23" s="284">
        <x:f t="shared" si="22"/>
        <x:v>36</x:v>
      </x:c>
      <x:c r="AK23" s="1063" t="str">
        <x:f t="shared" si="23"/>
        <x:v>LH</x:v>
      </x:c>
      <x:c r="AL23" s="1202" t="str">
        <x:f t="shared" si="24"/>
        <x:v/>
      </x:c>
      <x:c r="AM23" s="1063">
        <x:f t="shared" si="25"/>
        <x:v>270</x:v>
      </x:c>
      <x:c r="AN23" s="1063">
        <x:f t="shared" si="26"/>
        <x:v>120</x:v>
      </x:c>
      <x:c r="AO23" s="1063" t="str">
        <x:f t="shared" si="27"/>
        <x:v/>
      </x:c>
      <x:c r="AP23" s="1063" t="b">
        <x:f>IF(ISERROR(AJ23),FALSE,IF(OR(AJ23=0,ISERROR(AL23),ISERROR(AM23),ISERROR(AN23),ISERROR(AO23)),FALSE,IF(AL23&lt;&gt;"",IF(ISERROR(VLOOKUP(SUBSTITUTE(SUBSTITUTE(C23,"R",""),"A",""),TblJoistSize!$A:$A,1,FALSE)),FALSE,TRUE),TRUE)))</x:f>
        <x:v>1</x:v>
      </x:c>
      <x:c r="AQ23" s="1305">
        <x:f t="shared" si="28"/>
        <x:v>6</x:v>
      </x:c>
      <x:c r="AR23" s="1305" t="b">
        <x:f t="shared" si="29"/>
        <x:v>0</x:v>
      </x:c>
      <x:c r="AS23" s="1305">
        <x:f t="shared" si="30"/>
        <x:v>7.375</x:v>
      </x:c>
      <x:c r="AT23" s="1305" t="b">
        <x:f t="shared" si="31"/>
        <x:v>0</x:v>
      </x:c>
      <x:c r="AU23" s="1203" t="str">
        <x:f t="shared" si="32"/>
        <x:v>LH</x:v>
      </x:c>
      <x:c r="AV23" s="1063" t="str">
        <x:f t="shared" si="33"/>
        <x:v/>
      </x:c>
      <x:c r="AW23" s="1063" t="str">
        <x:f t="shared" si="34"/>
        <x:v>LH</x:v>
      </x:c>
      <x:c r="AX23" s="1063" t="str">
        <x:f t="shared" si="107"/>
        <x:v>J274</x:v>
      </x:c>
      <x:c r="AY23" s="1306" t="b">
        <x:f t="shared" si="35"/>
        <x:v>0</x:v>
      </x:c>
      <x:c r="AZ23" s="1090" t="b">
        <x:f t="shared" si="36"/>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37"/>
        <x:v/>
      </x:c>
      <x:c r="CE23" s="935" t="str">
        <x:f t="shared" si="38"/>
        <x:v/>
      </x:c>
      <x:c r="CF23" s="1149"/>
      <x:c r="CG23" s="1150"/>
      <x:c r="CH23" s="738" t="str">
        <x:f t="shared" si="39"/>
        <x:v/>
      </x:c>
      <x:c r="CI23" s="739" t="str">
        <x:f t="shared" si="40"/>
        <x:v/>
      </x:c>
      <x:c r="CJ23" s="740" t="str">
        <x:f t="shared" si="41"/>
        <x:v/>
      </x:c>
      <x:c r="CK23" s="741" t="str">
        <x:f t="shared" si="42"/>
        <x:v/>
      </x:c>
      <x:c r="CL23" s="742" t="str">
        <x:f t="shared" si="43"/>
        <x:v/>
      </x:c>
      <x:c r="CM23" s="743" t="str">
        <x:f t="shared" si="44"/>
        <x:v/>
      </x:c>
      <x:c r="CN23" s="744" t="str">
        <x:f t="shared" si="45"/>
        <x:v/>
      </x:c>
      <x:c r="CO23" s="745" t="str">
        <x:f t="shared" si="46"/>
        <x:v/>
      </x:c>
      <x:c r="CP23" s="762" t="str">
        <x:f t="shared" si="47"/>
        <x:v/>
      </x:c>
      <x:c r="CQ23" s="763" t="str">
        <x:f t="shared" si="48"/>
        <x:v/>
      </x:c>
      <x:c r="CR23" s="953">
        <x:f t="shared" si="49"/>
        <x:v>5</x:v>
      </x:c>
      <x:c r="CS23" s="954">
        <x:f t="shared" si="50"/>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51"/>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52"/>
        <x:v>0</x:v>
      </x:c>
      <x:c r="DO23" s="1049">
        <x:f t="shared" si="53"/>
        <x:v>0</x:v>
      </x:c>
      <x:c r="DP23" s="1053" t="str">
        <x:f t="shared" si="54"/>
        <x:v/>
      </x:c>
      <x:c r="DQ23" s="1053" t="str">
        <x:f t="shared" si="55"/>
        <x:v/>
      </x:c>
      <x:c r="DR23" s="1053" t="str">
        <x:f t="shared" si="56"/>
        <x:v/>
      </x:c>
      <x:c r="DS23" s="1052">
        <x:f t="shared" si="57"/>
        <x:v>0</x:v>
      </x:c>
      <x:c r="DT23" s="1052">
        <x:f t="shared" si="58"/>
        <x:v>0</x:v>
      </x:c>
      <x:c r="DU23" s="1052" t="str">
        <x:f t="shared" si="59"/>
        <x:v/>
      </x:c>
      <x:c r="DV23" s="1053" t="str">
        <x:f t="shared" si="60"/>
        <x:v/>
      </x:c>
      <x:c r="DW23" s="1053" t="str">
        <x:f t="shared" si="61"/>
        <x:v/>
      </x:c>
      <x:c r="DX23" s="1269">
        <x:f t="shared" si="62"/>
        <x:v>0</x:v>
      </x:c>
      <x:c r="DY23" s="1053">
        <x:f t="shared" si="63"/>
        <x:v>0</x:v>
      </x:c>
      <x:c r="DZ23" s="1052">
        <x:f t="shared" si="64"/>
        <x:v>0</x:v>
      </x:c>
      <x:c r="EA23" s="1052" t="str">
        <x:f t="shared" si="65"/>
        <x:v/>
      </x:c>
      <x:c r="EB23" s="1053" t="str">
        <x:f t="shared" si="66"/>
        <x:v/>
      </x:c>
      <x:c r="EC23" s="1053" t="str">
        <x:f t="shared" si="67"/>
        <x:v/>
      </x:c>
      <x:c r="ED23" s="1269">
        <x:f t="shared" si="68"/>
        <x:v>0</x:v>
      </x:c>
      <x:c r="EE23" s="1090" t="str">
        <x:f t="shared" si="69"/>
        <x:v/>
      </x:c>
      <x:c r="EF23" s="1053" t="str">
        <x:f t="shared" si="70"/>
        <x:v/>
      </x:c>
      <x:c r="EG23" s="1053" t="str">
        <x:f t="shared" si="71"/>
        <x:v/>
      </x:c>
      <x:c r="EH23" s="1053" t="str">
        <x:f t="shared" si="72"/>
        <x:v>ERR</x:v>
      </x:c>
      <x:c r="EI23" s="1053" t="str">
        <x:f t="shared" si="73"/>
        <x:v>ERR</x:v>
      </x:c>
      <x:c r="EJ23" s="1053" t="str">
        <x:f t="shared" si="74"/>
        <x:v/>
      </x:c>
      <x:c r="EK23" s="1053" t="str">
        <x:f t="shared" si="74"/>
        <x:v/>
      </x:c>
      <x:c r="EL23" s="1090" t="str">
        <x:f t="shared" si="75"/>
        <x:v/>
      </x:c>
      <x:c r="EM23" s="1053" t="str">
        <x:f t="shared" si="76"/>
        <x:v/>
      </x:c>
      <x:c r="EN23" s="1053" t="str">
        <x:f t="shared" si="77"/>
        <x:v/>
      </x:c>
      <x:c r="EO23" s="1053" t="str">
        <x:f t="shared" si="78"/>
        <x:v>ERR</x:v>
      </x:c>
      <x:c r="EP23" s="1053" t="str">
        <x:f t="shared" si="79"/>
        <x:v>ERR</x:v>
      </x:c>
      <x:c r="EQ23" s="1053" t="str">
        <x:f t="shared" si="80"/>
        <x:v/>
      </x:c>
      <x:c r="ER23" s="1053" t="str">
        <x:f t="shared" si="80"/>
        <x:v/>
      </x:c>
      <x:c r="ES23" s="1053" t="str">
        <x:f t="shared" si="81"/>
        <x:v/>
      </x:c>
      <x:c r="ET23" s="1053" t="str">
        <x:f t="shared" si="82"/>
        <x:v/>
      </x:c>
      <x:c r="EU23" s="1061">
        <x:f t="shared" si="83"/>
        <x:v>4</x:v>
      </x:c>
      <x:c r="EV23" s="1055" t="str">
        <x:f t="shared" si="84"/>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85"/>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86"/>
        <x:v/>
      </x:c>
      <x:c r="FD23" s="1052">
        <x:f t="shared" si="108"/>
        <x:v>0</x:v>
      </x:c>
      <x:c r="FE23" s="1052">
        <x:f t="shared" si="87"/>
        <x:v>0</x:v>
      </x:c>
      <x:c r="FF23" s="1052">
        <x:f t="shared" si="88"/>
        <x:v>0</x:v>
      </x:c>
      <x:c r="FG23" s="1052" t="str">
        <x:f t="shared" si="89"/>
        <x:v/>
      </x:c>
      <x:c r="FH23" s="1053" t="str">
        <x:f t="shared" si="90"/>
        <x:v/>
      </x:c>
      <x:c r="FI23" s="1052">
        <x:f t="shared" si="109"/>
        <x:v>0</x:v>
      </x:c>
      <x:c r="FJ23" s="1052">
        <x:f t="shared" si="91"/>
        <x:v>0</x:v>
      </x:c>
      <x:c r="FK23" s="1052">
        <x:f t="shared" si="92"/>
        <x:v>0</x:v>
      </x:c>
      <x:c r="FL23" s="1052" t="str">
        <x:f t="shared" si="93"/>
        <x:v/>
      </x:c>
      <x:c r="FM23" s="1053" t="str">
        <x:f t="shared" si="94"/>
        <x:v/>
      </x:c>
      <x:c r="FN23" s="1053" t="e">
        <x:f t="shared" si="95"/>
        <x:v>#VALUE!</x:v>
      </x:c>
      <x:c r="FO23" s="1062" t="e">
        <x:f t="shared" si="96"/>
        <x:v>#VALUE!</x:v>
      </x:c>
      <x:c r="FP23" s="1062" t="e">
        <x:f t="shared" si="97"/>
        <x:v>#VALUE!</x:v>
      </x:c>
      <x:c r="FQ23" s="1063" t="e">
        <x:f t="shared" si="98"/>
        <x:v>#VALUE!</x:v>
      </x:c>
      <x:c r="FR23" s="1064" t="e">
        <x:f t="shared" si="99"/>
        <x:v>#VALUE!</x:v>
      </x:c>
      <x:c r="FS23" s="1065" t="str">
        <x:f t="shared" si="100"/>
        <x:v/>
      </x:c>
      <x:c r="FT23" s="1066" t="str">
        <x:f t="shared" si="101"/>
        <x:v/>
      </x:c>
      <x:c r="FU23" s="1105">
        <x:f t="shared" si="102"/>
        <x:v>0</x:v>
      </x:c>
      <x:c r="FV23" s="1106">
        <x:f t="shared" si="103"/>
        <x:v>0</x:v>
      </x:c>
      <x:c r="GA23" s="1975">
        <x:v>59</x:v>
      </x:c>
      <x:c r="GB23" s="1976">
        <x:v>2.75</x:v>
      </x:c>
      <x:c r="GC23" s="1977">
        <x:v>-1.875</x:v>
      </x:c>
      <x:c r="GD23" s="1978">
        <x:v>-0.25</x:v>
      </x:c>
      <x:c r="GE23" s="1979">
        <x:v>0.26169539219134702</x:v>
      </x:c>
      <x:c r="GF23" s="1980" t="str">
        <x:f t="shared" si="104"/>
        <x:v>J274</x:v>
      </x:c>
      <x:c r="GG23" s="1453"/>
      <x:c r="GH23" s="1454"/>
      <x:c r="GI23" s="1453"/>
      <x:c r="GJ23" s="1454"/>
      <x:c r="GK23" s="533">
        <x:f t="shared" si="105"/>
        <x:v>708.625</x:v>
      </x:c>
      <x:c r="GL23" s="534">
        <x:f t="shared" si="106"/>
        <x:v>708.79348626656247</x:v>
      </x:c>
      <x:c r="GM23" s="535">
        <x:f>IF(ABS(GK23-GL23)&gt;='Job Info.'!$L$22,ABS(GK23-GL23),0)</x:f>
        <x:v>0</x:v>
      </x:c>
      <x:c r="HA23" s="1658" t="s">
        <x:v>1598</x:v>
      </x:c>
      <x:c r="HB23" s="1659">
        <x:v>32</x:v>
      </x:c>
      <x:c r="HC23" s="1659" t="s">
        <x:v>1978</x:v>
      </x:c>
      <x:c r="HD23" s="1660">
        <x:v>59</x:v>
      </x:c>
      <x:c r="HE23" s="1661">
        <x:v>0.625</x:v>
      </x:c>
      <x:c r="HF23" s="1659" t="s">
        <x:v>117</x:v>
      </x:c>
      <x:c r="HG23" s="1659" t="s">
        <x:v>117</x:v>
      </x:c>
      <x:c r="HH23" s="1659" t="s">
        <x:v>117</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2267</x:v>
      </x:c>
      <x:c r="IB23" s="1661"/>
      <x:c r="IC23" s="1661"/>
      <x:c r="ID23" s="1661"/>
      <x:c r="IE23" s="1661"/>
      <x:c r="IF23" s="1663"/>
    </x:row>
    <x:row r="24" spans="1:240" ht="12.6" customHeight="1" x14ac:dyDescent="0.25">
      <x:c r="A24" s="1264" t="s">
        <x:v>1599</x:v>
      </x:c>
      <x:c r="B24" s="1265">
        <x:v>4</x:v>
      </x:c>
      <x:c r="C24" s="1265" t="s">
        <x:v>1978</x:v>
      </x:c>
      <x:c r="D24" s="1261">
        <x:v>58</x:v>
      </x:c>
      <x:c r="E24" s="1366">
        <x:v>11.875</x:v>
      </x:c>
      <x:c r="F24" s="1328" t="str">
        <x:f t="shared" si="1"/>
        <x:v/>
      </x:c>
      <x:c r="G24" s="1262" t="str">
        <x:f t="shared" si="2"/>
        <x:v/>
      </x:c>
      <x:c r="H24" s="1266" t="str">
        <x:f t="shared" si="3"/>
        <x:v/>
      </x:c>
      <x:c r="I24" s="1261">
        <x:v>0</x:v>
      </x:c>
      <x:c r="J24" s="1262">
        <x:v>0.625</x:v>
      </x:c>
      <x:c r="K24" s="1370" t="s">
        <x:v>114</x:v>
      </x:c>
      <x:c r="L24" s="1327">
        <x:v>3</x:v>
      </x:c>
      <x:c r="M24" s="1329">
        <x:v>3</x:v>
      </x:c>
      <x:c r="N24" s="1263" t="str">
        <x:f t="shared" si="4"/>
        <x:v/>
      </x:c>
      <x:c r="O24" s="1262" t="str">
        <x:f t="shared" si="5"/>
        <x:v/>
      </x:c>
      <x:c r="P24" s="1260" t="str">
        <x:f t="shared" si="6"/>
        <x:v/>
      </x:c>
      <x:c r="Q24" s="1261">
        <x:v>0</x:v>
      </x:c>
      <x:c r="R24" s="1262">
        <x:v>6.75</x:v>
      </x:c>
      <x:c r="S24" s="1375">
        <x:v>2</x:v>
      </x:c>
      <x:c r="T24" s="1328">
        <x:v>0</x:v>
      </x:c>
      <x:c r="U24" s="1262">
        <x:v>1.125</x:v>
      </x:c>
      <x:c r="V24" s="1261">
        <x:v>0</x:v>
      </x:c>
      <x:c r="W24" s="1262">
        <x:v>1.5</x:v>
      </x:c>
      <x:c r="X24" s="1329">
        <x:v>4</x:v>
      </x:c>
      <x:c r="Y24" s="1377" t="str">
        <x:f t="shared" si="15"/>
        <x:v/>
      </x:c>
      <x:c r="Z24" s="1378" t="str">
        <x:f t="shared" si="16"/>
        <x:v/>
      </x:c>
      <x:c r="AA24" s="2159" t="s">
        <x:v>2267</x:v>
      </x:c>
      <x:c r="AC24" s="1226" t="b">
        <x:v>0</x:v>
      </x:c>
      <x:c r="AD24" s="525">
        <x:f t="shared" si="17"/>
        <x:v>0</x:v>
      </x:c>
      <x:c r="AE24" s="526">
        <x:f t="shared" si="18"/>
        <x:v>4</x:v>
      </x:c>
      <x:c r="AF24" s="526">
        <x:f t="shared" si="19"/>
        <x:v>0</x:v>
      </x:c>
      <x:c r="AG24" s="526">
        <x:f t="shared" si="20"/>
        <x:v>0</x:v>
      </x:c>
      <x:c r="AH24" s="527">
        <x:f t="shared" si="21"/>
        <x:v>0</x:v>
      </x:c>
      <x:c r="AI24" s="528" t="b">
        <x:v>0</x:v>
      </x:c>
      <x:c r="AJ24" s="284">
        <x:f t="shared" si="22"/>
        <x:v>36</x:v>
      </x:c>
      <x:c r="AK24" s="1063" t="str">
        <x:f t="shared" si="23"/>
        <x:v>LH</x:v>
      </x:c>
      <x:c r="AL24" s="1202" t="str">
        <x:f t="shared" si="24"/>
        <x:v/>
      </x:c>
      <x:c r="AM24" s="1063">
        <x:f t="shared" si="25"/>
        <x:v>270</x:v>
      </x:c>
      <x:c r="AN24" s="1063">
        <x:f t="shared" si="26"/>
        <x:v>120</x:v>
      </x:c>
      <x:c r="AO24" s="1063" t="str">
        <x:f t="shared" si="27"/>
        <x:v/>
      </x:c>
      <x:c r="AP24" s="1063" t="b">
        <x:f>IF(ISERROR(AJ24),FALSE,IF(OR(AJ24=0,ISERROR(AL24),ISERROR(AM24),ISERROR(AN24),ISERROR(AO24)),FALSE,IF(AL24&lt;&gt;"",IF(ISERROR(VLOOKUP(SUBSTITUTE(SUBSTITUTE(C24,"R",""),"A",""),TblJoistSize!$A:$A,1,FALSE)),FALSE,TRUE),TRUE)))</x:f>
        <x:v>1</x:v>
      </x:c>
      <x:c r="AQ24" s="1305">
        <x:f t="shared" si="28"/>
        <x:v>6</x:v>
      </x:c>
      <x:c r="AR24" s="1305" t="b">
        <x:f t="shared" si="29"/>
        <x:v>1</x:v>
      </x:c>
      <x:c r="AS24" s="1305">
        <x:f t="shared" si="30"/>
        <x:v>6.625</x:v>
      </x:c>
      <x:c r="AT24" s="1305" t="b">
        <x:f t="shared" si="31"/>
        <x:v>1</x:v>
      </x:c>
      <x:c r="AU24" s="1203" t="str">
        <x:f t="shared" si="32"/>
        <x:v>LH</x:v>
      </x:c>
      <x:c r="AV24" s="1063" t="str">
        <x:f t="shared" si="33"/>
        <x:v/>
      </x:c>
      <x:c r="AW24" s="1063" t="str">
        <x:f t="shared" si="34"/>
        <x:v>LH</x:v>
      </x:c>
      <x:c r="AX24" s="1063" t="str">
        <x:f t="shared" si="107"/>
        <x:v>TJ275</x:v>
      </x:c>
      <x:c r="AY24" s="1306" t="b">
        <x:f t="shared" si="35"/>
        <x:v>0</x:v>
      </x:c>
      <x:c r="AZ24" s="1090" t="b">
        <x:f t="shared" si="36"/>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37"/>
        <x:v/>
      </x:c>
      <x:c r="CE24" s="935" t="str">
        <x:f t="shared" si="38"/>
        <x:v/>
      </x:c>
      <x:c r="CF24" s="1149"/>
      <x:c r="CG24" s="1150"/>
      <x:c r="CH24" s="738" t="str">
        <x:f t="shared" si="39"/>
        <x:v/>
      </x:c>
      <x:c r="CI24" s="739" t="str">
        <x:f t="shared" si="40"/>
        <x:v/>
      </x:c>
      <x:c r="CJ24" s="740" t="str">
        <x:f t="shared" si="41"/>
        <x:v/>
      </x:c>
      <x:c r="CK24" s="741" t="str">
        <x:f t="shared" si="42"/>
        <x:v/>
      </x:c>
      <x:c r="CL24" s="742" t="str">
        <x:f t="shared" si="43"/>
        <x:v/>
      </x:c>
      <x:c r="CM24" s="743" t="str">
        <x:f t="shared" si="44"/>
        <x:v/>
      </x:c>
      <x:c r="CN24" s="744" t="str">
        <x:f t="shared" si="45"/>
        <x:v/>
      </x:c>
      <x:c r="CO24" s="745" t="str">
        <x:f t="shared" si="46"/>
        <x:v/>
      </x:c>
      <x:c r="CP24" s="762" t="str">
        <x:f t="shared" si="47"/>
        <x:v/>
      </x:c>
      <x:c r="CQ24" s="763" t="str">
        <x:f t="shared" si="48"/>
        <x:v/>
      </x:c>
      <x:c r="CR24" s="953">
        <x:f t="shared" si="49"/>
        <x:v>5</x:v>
      </x:c>
      <x:c r="CS24" s="954">
        <x:f t="shared" si="50"/>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51"/>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52"/>
        <x:v>0</x:v>
      </x:c>
      <x:c r="DO24" s="1049">
        <x:f t="shared" si="53"/>
        <x:v>0</x:v>
      </x:c>
      <x:c r="DP24" s="1053" t="str">
        <x:f t="shared" si="54"/>
        <x:v/>
      </x:c>
      <x:c r="DQ24" s="1053" t="str">
        <x:f t="shared" si="55"/>
        <x:v/>
      </x:c>
      <x:c r="DR24" s="1053" t="str">
        <x:f t="shared" si="56"/>
        <x:v/>
      </x:c>
      <x:c r="DS24" s="1052">
        <x:f t="shared" si="57"/>
        <x:v>0</x:v>
      </x:c>
      <x:c r="DT24" s="1052">
        <x:f t="shared" si="58"/>
        <x:v>0</x:v>
      </x:c>
      <x:c r="DU24" s="1052" t="str">
        <x:f t="shared" si="59"/>
        <x:v/>
      </x:c>
      <x:c r="DV24" s="1053" t="str">
        <x:f t="shared" si="60"/>
        <x:v/>
      </x:c>
      <x:c r="DW24" s="1053" t="str">
        <x:f t="shared" si="61"/>
        <x:v/>
      </x:c>
      <x:c r="DX24" s="1269">
        <x:f t="shared" si="62"/>
        <x:v>0</x:v>
      </x:c>
      <x:c r="DY24" s="1053">
        <x:f t="shared" si="63"/>
        <x:v>0</x:v>
      </x:c>
      <x:c r="DZ24" s="1052">
        <x:f t="shared" si="64"/>
        <x:v>0</x:v>
      </x:c>
      <x:c r="EA24" s="1052" t="str">
        <x:f t="shared" si="65"/>
        <x:v/>
      </x:c>
      <x:c r="EB24" s="1053" t="str">
        <x:f t="shared" si="66"/>
        <x:v/>
      </x:c>
      <x:c r="EC24" s="1053" t="str">
        <x:f t="shared" si="67"/>
        <x:v/>
      </x:c>
      <x:c r="ED24" s="1269">
        <x:f t="shared" si="68"/>
        <x:v>0</x:v>
      </x:c>
      <x:c r="EE24" s="1090" t="str">
        <x:f t="shared" si="69"/>
        <x:v/>
      </x:c>
      <x:c r="EF24" s="1053" t="str">
        <x:f t="shared" si="70"/>
        <x:v/>
      </x:c>
      <x:c r="EG24" s="1053" t="str">
        <x:f t="shared" si="71"/>
        <x:v/>
      </x:c>
      <x:c r="EH24" s="1053" t="str">
        <x:f t="shared" si="72"/>
        <x:v>ERR</x:v>
      </x:c>
      <x:c r="EI24" s="1053" t="str">
        <x:f t="shared" si="73"/>
        <x:v>ERR</x:v>
      </x:c>
      <x:c r="EJ24" s="1053" t="str">
        <x:f t="shared" si="74"/>
        <x:v/>
      </x:c>
      <x:c r="EK24" s="1053" t="str">
        <x:f t="shared" si="74"/>
        <x:v/>
      </x:c>
      <x:c r="EL24" s="1090" t="str">
        <x:f t="shared" si="75"/>
        <x:v/>
      </x:c>
      <x:c r="EM24" s="1053" t="str">
        <x:f t="shared" si="76"/>
        <x:v/>
      </x:c>
      <x:c r="EN24" s="1053" t="str">
        <x:f t="shared" si="77"/>
        <x:v/>
      </x:c>
      <x:c r="EO24" s="1053" t="str">
        <x:f t="shared" si="78"/>
        <x:v>ERR</x:v>
      </x:c>
      <x:c r="EP24" s="1053" t="str">
        <x:f t="shared" si="79"/>
        <x:v>ERR</x:v>
      </x:c>
      <x:c r="EQ24" s="1053" t="str">
        <x:f t="shared" si="80"/>
        <x:v/>
      </x:c>
      <x:c r="ER24" s="1053" t="str">
        <x:f t="shared" si="80"/>
        <x:v/>
      </x:c>
      <x:c r="ES24" s="1053" t="str">
        <x:f t="shared" si="81"/>
        <x:v/>
      </x:c>
      <x:c r="ET24" s="1053" t="str">
        <x:f t="shared" si="82"/>
        <x:v/>
      </x:c>
      <x:c r="EU24" s="1061">
        <x:f t="shared" si="83"/>
        <x:v>4</x:v>
      </x:c>
      <x:c r="EV24" s="1055" t="str">
        <x:f t="shared" si="84"/>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85"/>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86"/>
        <x:v/>
      </x:c>
      <x:c r="FD24" s="1052">
        <x:f t="shared" si="108"/>
        <x:v>0</x:v>
      </x:c>
      <x:c r="FE24" s="1052">
        <x:f t="shared" si="87"/>
        <x:v>0</x:v>
      </x:c>
      <x:c r="FF24" s="1052">
        <x:f t="shared" si="88"/>
        <x:v>0</x:v>
      </x:c>
      <x:c r="FG24" s="1052" t="str">
        <x:f t="shared" si="89"/>
        <x:v/>
      </x:c>
      <x:c r="FH24" s="1053" t="str">
        <x:f t="shared" si="90"/>
        <x:v/>
      </x:c>
      <x:c r="FI24" s="1052">
        <x:f t="shared" si="109"/>
        <x:v>0</x:v>
      </x:c>
      <x:c r="FJ24" s="1052">
        <x:f t="shared" si="91"/>
        <x:v>0</x:v>
      </x:c>
      <x:c r="FK24" s="1052">
        <x:f t="shared" si="92"/>
        <x:v>0</x:v>
      </x:c>
      <x:c r="FL24" s="1052" t="str">
        <x:f t="shared" si="93"/>
        <x:v/>
      </x:c>
      <x:c r="FM24" s="1053" t="str">
        <x:f t="shared" si="94"/>
        <x:v/>
      </x:c>
      <x:c r="FN24" s="1053" t="e">
        <x:f t="shared" si="95"/>
        <x:v>#VALUE!</x:v>
      </x:c>
      <x:c r="FO24" s="1062" t="e">
        <x:f t="shared" si="96"/>
        <x:v>#VALUE!</x:v>
      </x:c>
      <x:c r="FP24" s="1062" t="e">
        <x:f t="shared" si="97"/>
        <x:v>#VALUE!</x:v>
      </x:c>
      <x:c r="FQ24" s="1063" t="e">
        <x:f t="shared" si="98"/>
        <x:v>#VALUE!</x:v>
      </x:c>
      <x:c r="FR24" s="1064" t="e">
        <x:f t="shared" si="99"/>
        <x:v>#VALUE!</x:v>
      </x:c>
      <x:c r="FS24" s="1065" t="str">
        <x:f t="shared" si="100"/>
        <x:v/>
      </x:c>
      <x:c r="FT24" s="1066" t="str">
        <x:f t="shared" si="101"/>
        <x:v/>
      </x:c>
      <x:c r="FU24" s="1105">
        <x:f t="shared" si="102"/>
        <x:v>0</x:v>
      </x:c>
      <x:c r="FV24" s="1106">
        <x:f t="shared" si="103"/>
        <x:v>0</x:v>
      </x:c>
      <x:c r="GA24" s="1975">
        <x:v>59</x:v>
      </x:c>
      <x:c r="GB24" s="1976">
        <x:v>2.75</x:v>
      </x:c>
      <x:c r="GC24" s="1977">
        <x:v>-1.875</x:v>
      </x:c>
      <x:c r="GD24" s="1978">
        <x:v>-1</x:v>
      </x:c>
      <x:c r="GE24" s="1979">
        <x:v>0.26169539219134702</x:v>
      </x:c>
      <x:c r="GF24" s="1980" t="str">
        <x:f t="shared" si="104"/>
        <x:v>TJ275</x:v>
      </x:c>
      <x:c r="GG24" s="1453"/>
      <x:c r="GH24" s="1454"/>
      <x:c r="GI24" s="1453"/>
      <x:c r="GJ24" s="1454"/>
      <x:c r="GK24" s="533">
        <x:f t="shared" si="105"/>
        <x:v>707.875</x:v>
      </x:c>
      <x:c r="GL24" s="534">
        <x:f t="shared" si="106"/>
        <x:v>708.04330794276643</x:v>
      </x:c>
      <x:c r="GM24" s="535">
        <x:f>IF(ABS(GK24-GL24)&gt;='Job Info.'!$L$22,ABS(GK24-GL24),0)</x:f>
        <x:v>0</x:v>
      </x:c>
      <x:c r="HA24" s="1658" t="s">
        <x:v>1599</x:v>
      </x:c>
      <x:c r="HB24" s="1659">
        <x:v>4</x:v>
      </x:c>
      <x:c r="HC24" s="1659" t="s">
        <x:v>1978</x:v>
      </x:c>
      <x:c r="HD24" s="1660">
        <x:v>58</x:v>
      </x:c>
      <x:c r="HE24" s="1661">
        <x:v>11.875</x:v>
      </x:c>
      <x:c r="HF24" s="1659" t="s">
        <x:v>117</x:v>
      </x:c>
      <x:c r="HG24" s="1659" t="s">
        <x:v>117</x:v>
      </x:c>
      <x:c r="HH24" s="1659" t="s">
        <x:v>117</x:v>
      </x:c>
      <x:c r="HI24" s="1662">
        <x:v>0</x:v>
      </x:c>
      <x:c r="HJ24" s="1659">
        <x:v>0.625</x:v>
      </x:c>
      <x:c r="HK24" s="1659" t="s">
        <x:v>114</x:v>
      </x:c>
      <x:c r="HL24" s="1659">
        <x:v>3</x:v>
      </x:c>
      <x:c r="HM24" s="1659">
        <x:v>3</x:v>
      </x:c>
      <x:c r="HN24" s="1659" t="s">
        <x:v>117</x:v>
      </x:c>
      <x:c r="HO24" s="1659" t="s">
        <x:v>117</x:v>
      </x:c>
      <x:c r="HP24" s="1659" t="s">
        <x:v>117</x:v>
      </x:c>
      <x:c r="HQ24" s="1662">
        <x:v>0</x:v>
      </x:c>
      <x:c r="HR24" s="1659">
        <x:v>6.75</x:v>
      </x:c>
      <x:c r="HS24" s="1659">
        <x:v>2</x:v>
      </x:c>
      <x:c r="HT24" s="1659">
        <x:v>0</x:v>
      </x:c>
      <x:c r="HU24" s="1659">
        <x:v>1.125</x:v>
      </x:c>
      <x:c r="HV24" s="1659">
        <x:v>0</x:v>
      </x:c>
      <x:c r="HW24" s="1661">
        <x:v>1.5</x:v>
      </x:c>
      <x:c r="HX24" s="1661">
        <x:v>4</x:v>
      </x:c>
      <x:c r="HY24" s="1661" t="s">
        <x:v>117</x:v>
      </x:c>
      <x:c r="HZ24" s="1661" t="s">
        <x:v>117</x:v>
      </x:c>
      <x:c r="IA24" s="1661" t="s">
        <x:v>2267</x:v>
      </x:c>
      <x:c r="IB24" s="1661"/>
      <x:c r="IC24" s="1661"/>
      <x:c r="ID24" s="1661"/>
      <x:c r="IE24" s="1661"/>
      <x:c r="IF24" s="1663"/>
    </x:row>
    <x:row r="25" spans="1:240" ht="12.6" customHeight="1" x14ac:dyDescent="0.25">
      <x:c r="A25" s="1264" t="s">
        <x:v>1600</x:v>
      </x:c>
      <x:c r="B25" s="1265">
        <x:v>4</x:v>
      </x:c>
      <x:c r="C25" s="1265" t="s">
        <x:v>1978</x:v>
      </x:c>
      <x:c r="D25" s="1261">
        <x:v>59</x:v>
      </x:c>
      <x:c r="E25" s="1366">
        <x:v>0.625</x:v>
      </x:c>
      <x:c r="F25" s="1328" t="str">
        <x:f t="shared" si="1"/>
        <x:v/>
      </x:c>
      <x:c r="G25" s="1262" t="str">
        <x:f t="shared" si="2"/>
        <x:v/>
      </x:c>
      <x:c r="H25" s="1266" t="str">
        <x:f t="shared" si="3"/>
        <x:v/>
      </x:c>
      <x:c r="I25" s="1261">
        <x:v>0</x:v>
      </x:c>
      <x:c r="J25" s="1262">
        <x:v>1.375</x:v>
      </x:c>
      <x:c r="K25" s="1370" t="s">
        <x:v>114</x:v>
      </x:c>
      <x:c r="L25" s="1327">
        <x:v>3</x:v>
      </x:c>
      <x:c r="M25" s="1329">
        <x:v>3</x:v>
      </x:c>
      <x:c r="N25" s="1263" t="str">
        <x:f t="shared" si="4"/>
        <x:v/>
      </x:c>
      <x:c r="O25" s="1262" t="str">
        <x:f t="shared" si="5"/>
        <x:v/>
      </x:c>
      <x:c r="P25" s="1260" t="str">
        <x:f t="shared" si="6"/>
        <x:v/>
      </x:c>
      <x:c r="Q25" s="1261" t="str">
        <x:f t="shared" si="7"/>
        <x:v/>
      </x:c>
      <x:c r="R25" s="1262" t="str">
        <x:f t="shared" si="8"/>
        <x:v/>
      </x:c>
      <x:c r="S25" s="1375" t="str">
        <x:f t="shared" si="9"/>
        <x:v/>
      </x:c>
      <x:c r="T25" s="1328">
        <x:v>0</x:v>
      </x:c>
      <x:c r="U25" s="1262">
        <x:v>1.125</x:v>
      </x:c>
      <x:c r="V25" s="1261">
        <x:v>0</x:v>
      </x:c>
      <x:c r="W25" s="1262">
        <x:v>2.25</x:v>
      </x:c>
      <x:c r="X25" s="1329">
        <x:v>4</x:v>
      </x:c>
      <x:c r="Y25" s="1377" t="str">
        <x:f t="shared" si="15"/>
        <x:v/>
      </x:c>
      <x:c r="Z25" s="1378" t="str">
        <x:f t="shared" si="16"/>
        <x:v/>
      </x:c>
      <x:c r="AA25" s="2159" t="s">
        <x:v>2267</x:v>
      </x:c>
      <x:c r="AC25" s="1226" t="b">
        <x:v>0</x:v>
      </x:c>
      <x:c r="AD25" s="525">
        <x:f t="shared" si="17"/>
        <x:v>0</x:v>
      </x:c>
      <x:c r="AE25" s="526">
        <x:f t="shared" si="18"/>
        <x:v>4</x:v>
      </x:c>
      <x:c r="AF25" s="526">
        <x:f t="shared" si="19"/>
        <x:v>0</x:v>
      </x:c>
      <x:c r="AG25" s="526">
        <x:f t="shared" si="20"/>
        <x:v>0</x:v>
      </x:c>
      <x:c r="AH25" s="527">
        <x:f t="shared" si="21"/>
        <x:v>0</x:v>
      </x:c>
      <x:c r="AI25" s="528" t="b">
        <x:v>0</x:v>
      </x:c>
      <x:c r="AJ25" s="284">
        <x:f t="shared" si="22"/>
        <x:v>36</x:v>
      </x:c>
      <x:c r="AK25" s="1063" t="str">
        <x:f t="shared" si="23"/>
        <x:v>LH</x:v>
      </x:c>
      <x:c r="AL25" s="1202" t="str">
        <x:f t="shared" si="24"/>
        <x:v/>
      </x:c>
      <x:c r="AM25" s="1063">
        <x:f t="shared" si="25"/>
        <x:v>270</x:v>
      </x:c>
      <x:c r="AN25" s="1063">
        <x:f t="shared" si="26"/>
        <x:v>120</x:v>
      </x:c>
      <x:c r="AO25" s="1063" t="str">
        <x:f t="shared" si="27"/>
        <x:v/>
      </x:c>
      <x:c r="AP25" s="1063" t="b">
        <x:f>IF(ISERROR(AJ25),FALSE,IF(OR(AJ25=0,ISERROR(AL25),ISERROR(AM25),ISERROR(AN25),ISERROR(AO25)),FALSE,IF(AL25&lt;&gt;"",IF(ISERROR(VLOOKUP(SUBSTITUTE(SUBSTITUTE(C25,"R",""),"A",""),TblJoistSize!$A:$A,1,FALSE)),FALSE,TRUE),TRUE)))</x:f>
        <x:v>1</x:v>
      </x:c>
      <x:c r="AQ25" s="1305">
        <x:f t="shared" si="28"/>
        <x:v>6</x:v>
      </x:c>
      <x:c r="AR25" s="1305" t="b">
        <x:f t="shared" si="29"/>
        <x:v>1</x:v>
      </x:c>
      <x:c r="AS25" s="1305">
        <x:f t="shared" si="30"/>
        <x:v>7.375</x:v>
      </x:c>
      <x:c r="AT25" s="1305" t="b">
        <x:f t="shared" si="31"/>
        <x:v>1</x:v>
      </x:c>
      <x:c r="AU25" s="1203" t="str">
        <x:f t="shared" si="32"/>
        <x:v>LH</x:v>
      </x:c>
      <x:c r="AV25" s="1063" t="str">
        <x:f t="shared" si="33"/>
        <x:v/>
      </x:c>
      <x:c r="AW25" s="1063" t="str">
        <x:f t="shared" si="34"/>
        <x:v>LH</x:v>
      </x:c>
      <x:c r="AX25" s="1063" t="str">
        <x:f t="shared" si="107"/>
        <x:v>TJ276</x:v>
      </x:c>
      <x:c r="AY25" s="1306" t="b">
        <x:f t="shared" si="35"/>
        <x:v>0</x:v>
      </x:c>
      <x:c r="AZ25" s="1090" t="b">
        <x:f t="shared" si="36"/>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37"/>
        <x:v/>
      </x:c>
      <x:c r="CE25" s="935" t="str">
        <x:f t="shared" si="38"/>
        <x:v/>
      </x:c>
      <x:c r="CF25" s="1149"/>
      <x:c r="CG25" s="1150"/>
      <x:c r="CH25" s="738" t="str">
        <x:f t="shared" si="39"/>
        <x:v/>
      </x:c>
      <x:c r="CI25" s="739" t="str">
        <x:f t="shared" si="40"/>
        <x:v/>
      </x:c>
      <x:c r="CJ25" s="740" t="str">
        <x:f t="shared" si="41"/>
        <x:v/>
      </x:c>
      <x:c r="CK25" s="741" t="str">
        <x:f t="shared" si="42"/>
        <x:v/>
      </x:c>
      <x:c r="CL25" s="742" t="str">
        <x:f t="shared" si="43"/>
        <x:v/>
      </x:c>
      <x:c r="CM25" s="743" t="str">
        <x:f t="shared" si="44"/>
        <x:v/>
      </x:c>
      <x:c r="CN25" s="744" t="str">
        <x:f t="shared" si="45"/>
        <x:v/>
      </x:c>
      <x:c r="CO25" s="745" t="str">
        <x:f t="shared" si="46"/>
        <x:v/>
      </x:c>
      <x:c r="CP25" s="762" t="str">
        <x:f t="shared" si="47"/>
        <x:v/>
      </x:c>
      <x:c r="CQ25" s="763" t="str">
        <x:f t="shared" si="48"/>
        <x:v/>
      </x:c>
      <x:c r="CR25" s="953">
        <x:f t="shared" si="49"/>
        <x:v>5</x:v>
      </x:c>
      <x:c r="CS25" s="954">
        <x:f t="shared" si="50"/>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51"/>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52"/>
        <x:v>0</x:v>
      </x:c>
      <x:c r="DO25" s="1049">
        <x:f t="shared" si="53"/>
        <x:v>0</x:v>
      </x:c>
      <x:c r="DP25" s="1053" t="str">
        <x:f t="shared" si="54"/>
        <x:v/>
      </x:c>
      <x:c r="DQ25" s="1053" t="str">
        <x:f t="shared" si="55"/>
        <x:v/>
      </x:c>
      <x:c r="DR25" s="1053" t="str">
        <x:f t="shared" si="56"/>
        <x:v/>
      </x:c>
      <x:c r="DS25" s="1052">
        <x:f t="shared" si="57"/>
        <x:v>0</x:v>
      </x:c>
      <x:c r="DT25" s="1052">
        <x:f t="shared" si="58"/>
        <x:v>0</x:v>
      </x:c>
      <x:c r="DU25" s="1052" t="str">
        <x:f t="shared" si="59"/>
        <x:v/>
      </x:c>
      <x:c r="DV25" s="1053" t="str">
        <x:f t="shared" si="60"/>
        <x:v/>
      </x:c>
      <x:c r="DW25" s="1053" t="str">
        <x:f t="shared" si="61"/>
        <x:v/>
      </x:c>
      <x:c r="DX25" s="1269">
        <x:f t="shared" si="62"/>
        <x:v>0</x:v>
      </x:c>
      <x:c r="DY25" s="1053">
        <x:f t="shared" si="63"/>
        <x:v>0</x:v>
      </x:c>
      <x:c r="DZ25" s="1052">
        <x:f t="shared" si="64"/>
        <x:v>0</x:v>
      </x:c>
      <x:c r="EA25" s="1052" t="str">
        <x:f t="shared" si="65"/>
        <x:v/>
      </x:c>
      <x:c r="EB25" s="1053" t="str">
        <x:f t="shared" si="66"/>
        <x:v/>
      </x:c>
      <x:c r="EC25" s="1053" t="str">
        <x:f t="shared" si="67"/>
        <x:v/>
      </x:c>
      <x:c r="ED25" s="1269">
        <x:f t="shared" si="68"/>
        <x:v>0</x:v>
      </x:c>
      <x:c r="EE25" s="1090" t="str">
        <x:f t="shared" si="69"/>
        <x:v/>
      </x:c>
      <x:c r="EF25" s="1053" t="str">
        <x:f t="shared" si="70"/>
        <x:v/>
      </x:c>
      <x:c r="EG25" s="1053" t="str">
        <x:f t="shared" si="71"/>
        <x:v/>
      </x:c>
      <x:c r="EH25" s="1053" t="str">
        <x:f t="shared" si="72"/>
        <x:v>ERR</x:v>
      </x:c>
      <x:c r="EI25" s="1053" t="str">
        <x:f t="shared" si="73"/>
        <x:v>ERR</x:v>
      </x:c>
      <x:c r="EJ25" s="1053" t="str">
        <x:f t="shared" si="74"/>
        <x:v/>
      </x:c>
      <x:c r="EK25" s="1053" t="str">
        <x:f t="shared" si="74"/>
        <x:v/>
      </x:c>
      <x:c r="EL25" s="1090" t="str">
        <x:f t="shared" si="75"/>
        <x:v/>
      </x:c>
      <x:c r="EM25" s="1053" t="str">
        <x:f t="shared" si="76"/>
        <x:v/>
      </x:c>
      <x:c r="EN25" s="1053" t="str">
        <x:f t="shared" si="77"/>
        <x:v/>
      </x:c>
      <x:c r="EO25" s="1053" t="str">
        <x:f t="shared" si="78"/>
        <x:v>ERR</x:v>
      </x:c>
      <x:c r="EP25" s="1053" t="str">
        <x:f t="shared" si="79"/>
        <x:v>ERR</x:v>
      </x:c>
      <x:c r="EQ25" s="1053" t="str">
        <x:f t="shared" si="80"/>
        <x:v/>
      </x:c>
      <x:c r="ER25" s="1053" t="str">
        <x:f t="shared" si="80"/>
        <x:v/>
      </x:c>
      <x:c r="ES25" s="1053" t="str">
        <x:f t="shared" si="81"/>
        <x:v/>
      </x:c>
      <x:c r="ET25" s="1053" t="str">
        <x:f t="shared" si="82"/>
        <x:v/>
      </x:c>
      <x:c r="EU25" s="1061">
        <x:f t="shared" si="83"/>
        <x:v>4</x:v>
      </x:c>
      <x:c r="EV25" s="1055" t="str">
        <x:f t="shared" si="84"/>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85"/>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86"/>
        <x:v/>
      </x:c>
      <x:c r="FD25" s="1052">
        <x:f t="shared" si="108"/>
        <x:v>0</x:v>
      </x:c>
      <x:c r="FE25" s="1052">
        <x:f t="shared" si="87"/>
        <x:v>0</x:v>
      </x:c>
      <x:c r="FF25" s="1052">
        <x:f t="shared" si="88"/>
        <x:v>0</x:v>
      </x:c>
      <x:c r="FG25" s="1052" t="str">
        <x:f t="shared" si="89"/>
        <x:v/>
      </x:c>
      <x:c r="FH25" s="1053" t="str">
        <x:f t="shared" si="90"/>
        <x:v/>
      </x:c>
      <x:c r="FI25" s="1052">
        <x:f t="shared" si="109"/>
        <x:v>0</x:v>
      </x:c>
      <x:c r="FJ25" s="1052">
        <x:f t="shared" si="91"/>
        <x:v>0</x:v>
      </x:c>
      <x:c r="FK25" s="1052">
        <x:f t="shared" si="92"/>
        <x:v>0</x:v>
      </x:c>
      <x:c r="FL25" s="1052" t="str">
        <x:f t="shared" si="93"/>
        <x:v/>
      </x:c>
      <x:c r="FM25" s="1053" t="str">
        <x:f t="shared" si="94"/>
        <x:v/>
      </x:c>
      <x:c r="FN25" s="1053" t="e">
        <x:f t="shared" si="95"/>
        <x:v>#VALUE!</x:v>
      </x:c>
      <x:c r="FO25" s="1062" t="e">
        <x:f t="shared" si="96"/>
        <x:v>#VALUE!</x:v>
      </x:c>
      <x:c r="FP25" s="1062" t="e">
        <x:f t="shared" si="97"/>
        <x:v>#VALUE!</x:v>
      </x:c>
      <x:c r="FQ25" s="1063" t="e">
        <x:f t="shared" si="98"/>
        <x:v>#VALUE!</x:v>
      </x:c>
      <x:c r="FR25" s="1064" t="e">
        <x:f t="shared" si="99"/>
        <x:v>#VALUE!</x:v>
      </x:c>
      <x:c r="FS25" s="1065" t="str">
        <x:f t="shared" si="100"/>
        <x:v/>
      </x:c>
      <x:c r="FT25" s="1066" t="str">
        <x:f t="shared" si="101"/>
        <x:v/>
      </x:c>
      <x:c r="FU25" s="1105">
        <x:f t="shared" si="102"/>
        <x:v>0</x:v>
      </x:c>
      <x:c r="FV25" s="1106">
        <x:f t="shared" si="103"/>
        <x:v>0</x:v>
      </x:c>
      <x:c r="GA25" s="1975">
        <x:v>59</x:v>
      </x:c>
      <x:c r="GB25" s="1976">
        <x:v>2.75</x:v>
      </x:c>
      <x:c r="GC25" s="1977">
        <x:v>-1.875</x:v>
      </x:c>
      <x:c r="GD25" s="1978">
        <x:v>-0.25</x:v>
      </x:c>
      <x:c r="GE25" s="1979">
        <x:v>0.26169539219134702</x:v>
      </x:c>
      <x:c r="GF25" s="1980" t="str">
        <x:f t="shared" si="104"/>
        <x:v>TJ276</x:v>
      </x:c>
      <x:c r="GG25" s="1453"/>
      <x:c r="GH25" s="1454"/>
      <x:c r="GI25" s="1453"/>
      <x:c r="GJ25" s="1454"/>
      <x:c r="GK25" s="533">
        <x:f t="shared" si="105"/>
        <x:v>708.625</x:v>
      </x:c>
      <x:c r="GL25" s="534">
        <x:f t="shared" si="106"/>
        <x:v>708.79348626656247</x:v>
      </x:c>
      <x:c r="GM25" s="535">
        <x:f>IF(ABS(GK25-GL25)&gt;='Job Info.'!$L$22,ABS(GK25-GL25),0)</x:f>
        <x:v>0</x:v>
      </x:c>
      <x:c r="HA25" s="1658" t="s">
        <x:v>1600</x:v>
      </x:c>
      <x:c r="HB25" s="1659">
        <x:v>4</x:v>
      </x:c>
      <x:c r="HC25" s="1659" t="s">
        <x:v>1978</x:v>
      </x:c>
      <x:c r="HD25" s="1660">
        <x:v>59</x:v>
      </x:c>
      <x:c r="HE25" s="1661">
        <x:v>0.625</x:v>
      </x:c>
      <x:c r="HF25" s="1659" t="s">
        <x:v>117</x:v>
      </x:c>
      <x:c r="HG25" s="1659" t="s">
        <x:v>117</x:v>
      </x:c>
      <x:c r="HH25" s="1659" t="s">
        <x:v>117</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x:v>0</x:v>
      </x:c>
      <x:c r="HU25" s="1659">
        <x:v>1.125</x:v>
      </x:c>
      <x:c r="HV25" s="1659">
        <x:v>0</x:v>
      </x:c>
      <x:c r="HW25" s="1661">
        <x:v>2.25</x:v>
      </x:c>
      <x:c r="HX25" s="1661">
        <x:v>4</x:v>
      </x:c>
      <x:c r="HY25" s="1661" t="s">
        <x:v>117</x:v>
      </x:c>
      <x:c r="HZ25" s="1661" t="s">
        <x:v>117</x:v>
      </x:c>
      <x:c r="IA25" s="1661" t="s">
        <x:v>2267</x:v>
      </x:c>
      <x:c r="IB25" s="1661"/>
      <x:c r="IC25" s="1661"/>
      <x:c r="ID25" s="1661"/>
      <x:c r="IE25" s="1661"/>
      <x:c r="IF25" s="1663"/>
    </x:row>
    <x:row r="26" spans="1:240" ht="12.6" customHeight="1" x14ac:dyDescent="0.25">
      <x:c r="A26" s="1264" t="s">
        <x:v>1601</x:v>
      </x:c>
      <x:c r="B26" s="1265">
        <x:v>5</x:v>
      </x:c>
      <x:c r="C26" s="1265" t="s">
        <x:v>1978</x:v>
      </x:c>
      <x:c r="D26" s="1261">
        <x:v>59</x:v>
      </x:c>
      <x:c r="E26" s="1366">
        <x:v>0.625</x:v>
      </x:c>
      <x:c r="F26" s="1328" t="str">
        <x:f t="shared" si="1"/>
        <x:v/>
      </x:c>
      <x:c r="G26" s="1262" t="str">
        <x:f t="shared" si="2"/>
        <x:v/>
      </x:c>
      <x:c r="H26" s="1266" t="str">
        <x:f t="shared" si="3"/>
        <x:v/>
      </x:c>
      <x:c r="I26" s="1261">
        <x:v>0</x:v>
      </x:c>
      <x:c r="J26" s="1262">
        <x:v>1.375</x:v>
      </x:c>
      <x:c r="K26" s="1370" t="s">
        <x:v>114</x:v>
      </x:c>
      <x:c r="L26" s="1327">
        <x:v>3</x:v>
      </x:c>
      <x:c r="M26" s="1329">
        <x:v>3</x:v>
      </x:c>
      <x:c r="N26" s="1263" t="str">
        <x:f t="shared" si="4"/>
        <x:v/>
      </x:c>
      <x:c r="O26" s="1262" t="str">
        <x:f t="shared" si="5"/>
        <x:v/>
      </x:c>
      <x:c r="P26" s="1260" t="str">
        <x:f t="shared" si="6"/>
        <x:v/>
      </x:c>
      <x:c r="Q26" s="1261" t="str">
        <x:f t="shared" si="7"/>
        <x:v/>
      </x:c>
      <x:c r="R26" s="1262" t="str">
        <x:f t="shared" si="8"/>
        <x:v/>
      </x:c>
      <x:c r="S26" s="1375" t="str">
        <x:f t="shared" si="9"/>
        <x:v/>
      </x:c>
      <x:c r="T26" s="1328" t="str">
        <x:f t="shared" si="10"/>
        <x:v/>
      </x:c>
      <x:c r="U26" s="1262" t="str">
        <x:f t="shared" si="11"/>
        <x:v/>
      </x:c>
      <x:c r="V26" s="1261" t="str">
        <x:f t="shared" si="12"/>
        <x:v/>
      </x:c>
      <x:c r="W26" s="1262" t="str">
        <x:f t="shared" si="13"/>
        <x:v/>
      </x:c>
      <x:c r="X26" s="1329">
        <x:f t="shared" si="14"/>
        <x:v>0</x:v>
      </x:c>
      <x:c r="Y26" s="1377" t="str">
        <x:f t="shared" si="15"/>
        <x:v/>
      </x:c>
      <x:c r="Z26" s="1378" t="str">
        <x:f t="shared" si="16"/>
        <x:v/>
      </x:c>
      <x:c r="AA26" s="2159" t="s">
        <x:v>2268</x:v>
      </x:c>
      <x:c r="AC26" s="1226" t="b">
        <x:v>0</x:v>
      </x:c>
      <x:c r="AD26" s="525">
        <x:f t="shared" si="17"/>
        <x:v>0</x:v>
      </x:c>
      <x:c r="AE26" s="526">
        <x:f t="shared" si="18"/>
        <x:v>5</x:v>
      </x:c>
      <x:c r="AF26" s="526">
        <x:f t="shared" si="19"/>
        <x:v>0</x:v>
      </x:c>
      <x:c r="AG26" s="526">
        <x:f t="shared" si="20"/>
        <x:v>0</x:v>
      </x:c>
      <x:c r="AH26" s="527">
        <x:f t="shared" si="21"/>
        <x:v>0</x:v>
      </x:c>
      <x:c r="AI26" s="528" t="b">
        <x:v>0</x:v>
      </x:c>
      <x:c r="AJ26" s="284">
        <x:f t="shared" si="22"/>
        <x:v>36</x:v>
      </x:c>
      <x:c r="AK26" s="1063" t="str">
        <x:f t="shared" si="23"/>
        <x:v>LH</x:v>
      </x:c>
      <x:c r="AL26" s="1202" t="str">
        <x:f t="shared" si="24"/>
        <x:v/>
      </x:c>
      <x:c r="AM26" s="1063">
        <x:f t="shared" si="25"/>
        <x:v>270</x:v>
      </x:c>
      <x:c r="AN26" s="1063">
        <x:f t="shared" si="26"/>
        <x:v>120</x:v>
      </x:c>
      <x:c r="AO26" s="1063" t="str">
        <x:f t="shared" si="27"/>
        <x:v/>
      </x:c>
      <x:c r="AP26" s="1063" t="b">
        <x:f>IF(ISERROR(AJ26),FALSE,IF(OR(AJ26=0,ISERROR(AL26),ISERROR(AM26),ISERROR(AN26),ISERROR(AO26)),FALSE,IF(AL26&lt;&gt;"",IF(ISERROR(VLOOKUP(SUBSTITUTE(SUBSTITUTE(C26,"R",""),"A",""),TblJoistSize!$A:$A,1,FALSE)),FALSE,TRUE),TRUE)))</x:f>
        <x:v>1</x:v>
      </x:c>
      <x:c r="AQ26" s="1305">
        <x:f t="shared" si="28"/>
        <x:v>6</x:v>
      </x:c>
      <x:c r="AR26" s="1305" t="b">
        <x:f t="shared" si="29"/>
        <x:v>0</x:v>
      </x:c>
      <x:c r="AS26" s="1305">
        <x:f t="shared" si="30"/>
        <x:v>7.375</x:v>
      </x:c>
      <x:c r="AT26" s="1305" t="b">
        <x:f t="shared" si="31"/>
        <x:v>0</x:v>
      </x:c>
      <x:c r="AU26" s="1203" t="str">
        <x:f t="shared" si="32"/>
        <x:v>LH</x:v>
      </x:c>
      <x:c r="AV26" s="1063" t="str">
        <x:f t="shared" si="33"/>
        <x:v/>
      </x:c>
      <x:c r="AW26" s="1063" t="str">
        <x:f t="shared" si="34"/>
        <x:v>LH</x:v>
      </x:c>
      <x:c r="AX26" s="1063" t="str">
        <x:f t="shared" si="107"/>
        <x:v>J277</x:v>
      </x:c>
      <x:c r="AY26" s="1306" t="b">
        <x:f t="shared" si="35"/>
        <x:v>0</x:v>
      </x:c>
      <x:c r="AZ26" s="1090" t="b">
        <x:f t="shared" si="36"/>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37"/>
        <x:v/>
      </x:c>
      <x:c r="CE26" s="935" t="str">
        <x:f t="shared" si="38"/>
        <x:v/>
      </x:c>
      <x:c r="CF26" s="1149"/>
      <x:c r="CG26" s="1150"/>
      <x:c r="CH26" s="738" t="str">
        <x:f t="shared" si="39"/>
        <x:v/>
      </x:c>
      <x:c r="CI26" s="739" t="str">
        <x:f t="shared" si="40"/>
        <x:v/>
      </x:c>
      <x:c r="CJ26" s="740" t="str">
        <x:f t="shared" si="41"/>
        <x:v/>
      </x:c>
      <x:c r="CK26" s="741" t="str">
        <x:f t="shared" si="42"/>
        <x:v/>
      </x:c>
      <x:c r="CL26" s="742" t="str">
        <x:f t="shared" si="43"/>
        <x:v/>
      </x:c>
      <x:c r="CM26" s="743" t="str">
        <x:f t="shared" si="44"/>
        <x:v/>
      </x:c>
      <x:c r="CN26" s="744" t="str">
        <x:f t="shared" si="45"/>
        <x:v/>
      </x:c>
      <x:c r="CO26" s="745" t="str">
        <x:f t="shared" si="46"/>
        <x:v/>
      </x:c>
      <x:c r="CP26" s="762" t="str">
        <x:f t="shared" si="47"/>
        <x:v/>
      </x:c>
      <x:c r="CQ26" s="763" t="str">
        <x:f t="shared" si="48"/>
        <x:v/>
      </x:c>
      <x:c r="CR26" s="953">
        <x:f t="shared" si="49"/>
        <x:v>5</x:v>
      </x:c>
      <x:c r="CS26" s="954">
        <x:f t="shared" si="50"/>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51"/>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52"/>
        <x:v>0</x:v>
      </x:c>
      <x:c r="DO26" s="1049">
        <x:f t="shared" si="53"/>
        <x:v>0</x:v>
      </x:c>
      <x:c r="DP26" s="1053" t="str">
        <x:f t="shared" si="54"/>
        <x:v/>
      </x:c>
      <x:c r="DQ26" s="1053" t="str">
        <x:f t="shared" si="55"/>
        <x:v/>
      </x:c>
      <x:c r="DR26" s="1053" t="str">
        <x:f t="shared" si="56"/>
        <x:v/>
      </x:c>
      <x:c r="DS26" s="1052">
        <x:f t="shared" si="57"/>
        <x:v>0</x:v>
      </x:c>
      <x:c r="DT26" s="1052">
        <x:f t="shared" si="58"/>
        <x:v>0</x:v>
      </x:c>
      <x:c r="DU26" s="1052" t="str">
        <x:f t="shared" si="59"/>
        <x:v/>
      </x:c>
      <x:c r="DV26" s="1053" t="str">
        <x:f t="shared" si="60"/>
        <x:v/>
      </x:c>
      <x:c r="DW26" s="1053" t="str">
        <x:f t="shared" si="61"/>
        <x:v/>
      </x:c>
      <x:c r="DX26" s="1269">
        <x:f t="shared" si="62"/>
        <x:v>0</x:v>
      </x:c>
      <x:c r="DY26" s="1053">
        <x:f t="shared" si="63"/>
        <x:v>0</x:v>
      </x:c>
      <x:c r="DZ26" s="1052">
        <x:f t="shared" si="64"/>
        <x:v>0</x:v>
      </x:c>
      <x:c r="EA26" s="1052" t="str">
        <x:f t="shared" si="65"/>
        <x:v/>
      </x:c>
      <x:c r="EB26" s="1053" t="str">
        <x:f t="shared" si="66"/>
        <x:v/>
      </x:c>
      <x:c r="EC26" s="1053" t="str">
        <x:f t="shared" si="67"/>
        <x:v/>
      </x:c>
      <x:c r="ED26" s="1269">
        <x:f t="shared" si="68"/>
        <x:v>0</x:v>
      </x:c>
      <x:c r="EE26" s="1090" t="str">
        <x:f t="shared" si="69"/>
        <x:v/>
      </x:c>
      <x:c r="EF26" s="1053" t="str">
        <x:f t="shared" si="70"/>
        <x:v/>
      </x:c>
      <x:c r="EG26" s="1053" t="str">
        <x:f t="shared" si="71"/>
        <x:v/>
      </x:c>
      <x:c r="EH26" s="1053" t="str">
        <x:f t="shared" si="72"/>
        <x:v>ERR</x:v>
      </x:c>
      <x:c r="EI26" s="1053" t="str">
        <x:f t="shared" si="73"/>
        <x:v>ERR</x:v>
      </x:c>
      <x:c r="EJ26" s="1053" t="str">
        <x:f t="shared" si="74"/>
        <x:v/>
      </x:c>
      <x:c r="EK26" s="1053" t="str">
        <x:f t="shared" si="74"/>
        <x:v/>
      </x:c>
      <x:c r="EL26" s="1090" t="str">
        <x:f t="shared" si="75"/>
        <x:v/>
      </x:c>
      <x:c r="EM26" s="1053" t="str">
        <x:f t="shared" si="76"/>
        <x:v/>
      </x:c>
      <x:c r="EN26" s="1053" t="str">
        <x:f t="shared" si="77"/>
        <x:v/>
      </x:c>
      <x:c r="EO26" s="1053" t="str">
        <x:f t="shared" si="78"/>
        <x:v>ERR</x:v>
      </x:c>
      <x:c r="EP26" s="1053" t="str">
        <x:f t="shared" si="79"/>
        <x:v>ERR</x:v>
      </x:c>
      <x:c r="EQ26" s="1053" t="str">
        <x:f t="shared" si="80"/>
        <x:v/>
      </x:c>
      <x:c r="ER26" s="1053" t="str">
        <x:f t="shared" si="80"/>
        <x:v/>
      </x:c>
      <x:c r="ES26" s="1053" t="str">
        <x:f t="shared" si="81"/>
        <x:v/>
      </x:c>
      <x:c r="ET26" s="1053" t="str">
        <x:f t="shared" si="82"/>
        <x:v/>
      </x:c>
      <x:c r="EU26" s="1061">
        <x:f t="shared" si="83"/>
        <x:v>4</x:v>
      </x:c>
      <x:c r="EV26" s="1055" t="str">
        <x:f t="shared" si="84"/>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85"/>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86"/>
        <x:v/>
      </x:c>
      <x:c r="FD26" s="1052">
        <x:f t="shared" si="108"/>
        <x:v>0</x:v>
      </x:c>
      <x:c r="FE26" s="1052">
        <x:f t="shared" si="87"/>
        <x:v>0</x:v>
      </x:c>
      <x:c r="FF26" s="1052">
        <x:f t="shared" si="88"/>
        <x:v>0</x:v>
      </x:c>
      <x:c r="FG26" s="1052" t="str">
        <x:f t="shared" si="89"/>
        <x:v/>
      </x:c>
      <x:c r="FH26" s="1053" t="str">
        <x:f t="shared" si="90"/>
        <x:v/>
      </x:c>
      <x:c r="FI26" s="1052">
        <x:f t="shared" si="109"/>
        <x:v>0</x:v>
      </x:c>
      <x:c r="FJ26" s="1052">
        <x:f t="shared" si="91"/>
        <x:v>0</x:v>
      </x:c>
      <x:c r="FK26" s="1052">
        <x:f t="shared" si="92"/>
        <x:v>0</x:v>
      </x:c>
      <x:c r="FL26" s="1052" t="str">
        <x:f t="shared" si="93"/>
        <x:v/>
      </x:c>
      <x:c r="FM26" s="1053" t="str">
        <x:f t="shared" si="94"/>
        <x:v/>
      </x:c>
      <x:c r="FN26" s="1053" t="e">
        <x:f t="shared" si="95"/>
        <x:v>#VALUE!</x:v>
      </x:c>
      <x:c r="FO26" s="1062" t="e">
        <x:f t="shared" si="96"/>
        <x:v>#VALUE!</x:v>
      </x:c>
      <x:c r="FP26" s="1062" t="e">
        <x:f t="shared" si="97"/>
        <x:v>#VALUE!</x:v>
      </x:c>
      <x:c r="FQ26" s="1063" t="e">
        <x:f t="shared" si="98"/>
        <x:v>#VALUE!</x:v>
      </x:c>
      <x:c r="FR26" s="1064" t="e">
        <x:f t="shared" si="99"/>
        <x:v>#VALUE!</x:v>
      </x:c>
      <x:c r="FS26" s="1065" t="str">
        <x:f t="shared" si="100"/>
        <x:v/>
      </x:c>
      <x:c r="FT26" s="1066" t="str">
        <x:f t="shared" si="101"/>
        <x:v/>
      </x:c>
      <x:c r="FU26" s="1105">
        <x:f t="shared" si="102"/>
        <x:v>0</x:v>
      </x:c>
      <x:c r="FV26" s="1106">
        <x:f t="shared" si="103"/>
        <x:v>0</x:v>
      </x:c>
      <x:c r="GA26" s="1975">
        <x:v>59</x:v>
      </x:c>
      <x:c r="GB26" s="1976">
        <x:v>2.75</x:v>
      </x:c>
      <x:c r="GC26" s="1977">
        <x:v>-1.875</x:v>
      </x:c>
      <x:c r="GD26" s="1978">
        <x:v>-0.25</x:v>
      </x:c>
      <x:c r="GE26" s="1979">
        <x:v>0.26169539219134702</x:v>
      </x:c>
      <x:c r="GF26" s="1980" t="str">
        <x:f t="shared" si="104"/>
        <x:v>J277</x:v>
      </x:c>
      <x:c r="GG26" s="1453"/>
      <x:c r="GH26" s="1454"/>
      <x:c r="GI26" s="1453"/>
      <x:c r="GJ26" s="1454"/>
      <x:c r="GK26" s="533">
        <x:f t="shared" si="105"/>
        <x:v>708.625</x:v>
      </x:c>
      <x:c r="GL26" s="534">
        <x:f t="shared" si="106"/>
        <x:v>708.79348626656247</x:v>
      </x:c>
      <x:c r="GM26" s="535">
        <x:f>IF(ABS(GK26-GL26)&gt;='Job Info.'!$L$22,ABS(GK26-GL26),0)</x:f>
        <x:v>0</x:v>
      </x:c>
      <x:c r="HA26" s="1658" t="s">
        <x:v>1601</x:v>
      </x:c>
      <x:c r="HB26" s="1659">
        <x:v>5</x:v>
      </x:c>
      <x:c r="HC26" s="1659" t="s">
        <x:v>1978</x:v>
      </x:c>
      <x:c r="HD26" s="1660">
        <x:v>59</x:v>
      </x:c>
      <x:c r="HE26" s="1661">
        <x:v>0.625</x:v>
      </x:c>
      <x:c r="HF26" s="1659" t="s">
        <x:v>117</x:v>
      </x:c>
      <x:c r="HG26" s="1659" t="s">
        <x:v>117</x:v>
      </x:c>
      <x:c r="HH26" s="1659" t="s">
        <x:v>117</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2268</x:v>
      </x:c>
      <x:c r="IB26" s="1661"/>
      <x:c r="IC26" s="1661"/>
      <x:c r="ID26" s="1661"/>
      <x:c r="IE26" s="1661"/>
      <x:c r="IF26" s="1663"/>
    </x:row>
    <x:row r="27" spans="1:240" ht="12.6" customHeight="1" x14ac:dyDescent="0.25">
      <x:c r="A27" s="1264" t="s">
        <x:v>1602</x:v>
      </x:c>
      <x:c r="B27" s="1265">
        <x:v>1</x:v>
      </x:c>
      <x:c r="C27" s="1265" t="s">
        <x:v>1978</x:v>
      </x:c>
      <x:c r="D27" s="1261">
        <x:v>58</x:v>
      </x:c>
      <x:c r="E27" s="1366">
        <x:v>11.875</x:v>
      </x:c>
      <x:c r="F27" s="1328" t="str">
        <x:f t="shared" si="1"/>
        <x:v/>
      </x:c>
      <x:c r="G27" s="1262" t="str">
        <x:f t="shared" si="2"/>
        <x:v/>
      </x:c>
      <x:c r="H27" s="1266" t="str">
        <x:f t="shared" si="3"/>
        <x:v/>
      </x:c>
      <x:c r="I27" s="1261">
        <x:v>0</x:v>
      </x:c>
      <x:c r="J27" s="1262">
        <x:v>0.625</x:v>
      </x:c>
      <x:c r="K27" s="1370" t="s">
        <x:v>114</x:v>
      </x:c>
      <x:c r="L27" s="1327">
        <x:v>3</x:v>
      </x:c>
      <x:c r="M27" s="1329">
        <x:v>3</x:v>
      </x:c>
      <x:c r="N27" s="1263" t="str">
        <x:f t="shared" si="4"/>
        <x:v/>
      </x:c>
      <x:c r="O27" s="1262" t="str">
        <x:f t="shared" si="5"/>
        <x:v/>
      </x:c>
      <x:c r="P27" s="1260" t="str">
        <x:f t="shared" si="6"/>
        <x:v/>
      </x:c>
      <x:c r="Q27" s="1261">
        <x:v>0</x:v>
      </x:c>
      <x:c r="R27" s="1262">
        <x:v>6.75</x:v>
      </x:c>
      <x:c r="S27" s="1375">
        <x:v>2</x:v>
      </x:c>
      <x:c r="T27" s="1328">
        <x:v>0</x:v>
      </x:c>
      <x:c r="U27" s="1262">
        <x:v>1.125</x:v>
      </x:c>
      <x:c r="V27" s="1261">
        <x:v>0</x:v>
      </x:c>
      <x:c r="W27" s="1262">
        <x:v>1.5</x:v>
      </x:c>
      <x:c r="X27" s="1329">
        <x:v>4</x:v>
      </x:c>
      <x:c r="Y27" s="1377" t="str">
        <x:f t="shared" si="15"/>
        <x:v/>
      </x:c>
      <x:c r="Z27" s="1378" t="str">
        <x:f t="shared" si="16"/>
        <x:v/>
      </x:c>
      <x:c r="AA27" s="2159" t="s">
        <x:v>2268</x:v>
      </x:c>
      <x:c r="AC27" s="1226" t="b">
        <x:v>0</x:v>
      </x:c>
      <x:c r="AD27" s="525">
        <x:f t="shared" si="17"/>
        <x:v>0</x:v>
      </x:c>
      <x:c r="AE27" s="526">
        <x:f t="shared" si="18"/>
        <x:v>1</x:v>
      </x:c>
      <x:c r="AF27" s="526">
        <x:f t="shared" si="19"/>
        <x:v>0</x:v>
      </x:c>
      <x:c r="AG27" s="526">
        <x:f t="shared" si="20"/>
        <x:v>0</x:v>
      </x:c>
      <x:c r="AH27" s="527">
        <x:f t="shared" si="21"/>
        <x:v>0</x:v>
      </x:c>
      <x:c r="AI27" s="528" t="b">
        <x:v>0</x:v>
      </x:c>
      <x:c r="AJ27" s="284">
        <x:f t="shared" si="22"/>
        <x:v>36</x:v>
      </x:c>
      <x:c r="AK27" s="1063" t="str">
        <x:f t="shared" si="23"/>
        <x:v>LH</x:v>
      </x:c>
      <x:c r="AL27" s="1202" t="str">
        <x:f t="shared" si="24"/>
        <x:v/>
      </x:c>
      <x:c r="AM27" s="1063">
        <x:f t="shared" si="25"/>
        <x:v>270</x:v>
      </x:c>
      <x:c r="AN27" s="1063">
        <x:f t="shared" si="26"/>
        <x:v>120</x:v>
      </x:c>
      <x:c r="AO27" s="1063" t="str">
        <x:f t="shared" si="27"/>
        <x:v/>
      </x:c>
      <x:c r="AP27" s="1063" t="b">
        <x:f>IF(ISERROR(AJ27),FALSE,IF(OR(AJ27=0,ISERROR(AL27),ISERROR(AM27),ISERROR(AN27),ISERROR(AO27)),FALSE,IF(AL27&lt;&gt;"",IF(ISERROR(VLOOKUP(SUBSTITUTE(SUBSTITUTE(C27,"R",""),"A",""),TblJoistSize!$A:$A,1,FALSE)),FALSE,TRUE),TRUE)))</x:f>
        <x:v>1</x:v>
      </x:c>
      <x:c r="AQ27" s="1305">
        <x:f t="shared" si="28"/>
        <x:v>6</x:v>
      </x:c>
      <x:c r="AR27" s="1305" t="b">
        <x:f t="shared" si="29"/>
        <x:v>1</x:v>
      </x:c>
      <x:c r="AS27" s="1305">
        <x:f t="shared" si="30"/>
        <x:v>6.625</x:v>
      </x:c>
      <x:c r="AT27" s="1305" t="b">
        <x:f t="shared" si="31"/>
        <x:v>1</x:v>
      </x:c>
      <x:c r="AU27" s="1203" t="str">
        <x:f t="shared" si="32"/>
        <x:v>LH</x:v>
      </x:c>
      <x:c r="AV27" s="1063" t="str">
        <x:f t="shared" si="33"/>
        <x:v/>
      </x:c>
      <x:c r="AW27" s="1063" t="str">
        <x:f t="shared" si="34"/>
        <x:v>LH</x:v>
      </x:c>
      <x:c r="AX27" s="1063" t="str">
        <x:f t="shared" si="107"/>
        <x:v>TJ278</x:v>
      </x:c>
      <x:c r="AY27" s="1306" t="b">
        <x:f t="shared" si="35"/>
        <x:v>0</x:v>
      </x:c>
      <x:c r="AZ27" s="1090" t="b">
        <x:f t="shared" si="36"/>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37"/>
        <x:v/>
      </x:c>
      <x:c r="CE27" s="935" t="str">
        <x:f t="shared" si="38"/>
        <x:v/>
      </x:c>
      <x:c r="CF27" s="1149"/>
      <x:c r="CG27" s="1150"/>
      <x:c r="CH27" s="738" t="str">
        <x:f t="shared" si="39"/>
        <x:v/>
      </x:c>
      <x:c r="CI27" s="739" t="str">
        <x:f t="shared" si="40"/>
        <x:v/>
      </x:c>
      <x:c r="CJ27" s="740" t="str">
        <x:f t="shared" si="41"/>
        <x:v/>
      </x:c>
      <x:c r="CK27" s="741" t="str">
        <x:f t="shared" si="42"/>
        <x:v/>
      </x:c>
      <x:c r="CL27" s="742" t="str">
        <x:f t="shared" si="43"/>
        <x:v/>
      </x:c>
      <x:c r="CM27" s="743" t="str">
        <x:f t="shared" si="44"/>
        <x:v/>
      </x:c>
      <x:c r="CN27" s="744" t="str">
        <x:f t="shared" si="45"/>
        <x:v/>
      </x:c>
      <x:c r="CO27" s="745" t="str">
        <x:f t="shared" si="46"/>
        <x:v/>
      </x:c>
      <x:c r="CP27" s="762" t="str">
        <x:f t="shared" si="47"/>
        <x:v/>
      </x:c>
      <x:c r="CQ27" s="763" t="str">
        <x:f t="shared" si="48"/>
        <x:v/>
      </x:c>
      <x:c r="CR27" s="953">
        <x:f t="shared" si="49"/>
        <x:v>5</x:v>
      </x:c>
      <x:c r="CS27" s="954">
        <x:f t="shared" si="50"/>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51"/>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52"/>
        <x:v>0</x:v>
      </x:c>
      <x:c r="DO27" s="1049">
        <x:f t="shared" si="53"/>
        <x:v>0</x:v>
      </x:c>
      <x:c r="DP27" s="1053" t="str">
        <x:f t="shared" si="54"/>
        <x:v/>
      </x:c>
      <x:c r="DQ27" s="1053" t="str">
        <x:f t="shared" si="55"/>
        <x:v/>
      </x:c>
      <x:c r="DR27" s="1053" t="str">
        <x:f t="shared" si="56"/>
        <x:v/>
      </x:c>
      <x:c r="DS27" s="1052">
        <x:f t="shared" si="57"/>
        <x:v>0</x:v>
      </x:c>
      <x:c r="DT27" s="1052">
        <x:f t="shared" si="58"/>
        <x:v>0</x:v>
      </x:c>
      <x:c r="DU27" s="1052" t="str">
        <x:f t="shared" si="59"/>
        <x:v/>
      </x:c>
      <x:c r="DV27" s="1053" t="str">
        <x:f t="shared" si="60"/>
        <x:v/>
      </x:c>
      <x:c r="DW27" s="1053" t="str">
        <x:f t="shared" si="61"/>
        <x:v/>
      </x:c>
      <x:c r="DX27" s="1269">
        <x:f t="shared" si="62"/>
        <x:v>0</x:v>
      </x:c>
      <x:c r="DY27" s="1053">
        <x:f t="shared" si="63"/>
        <x:v>0</x:v>
      </x:c>
      <x:c r="DZ27" s="1052">
        <x:f t="shared" si="64"/>
        <x:v>0</x:v>
      </x:c>
      <x:c r="EA27" s="1052" t="str">
        <x:f t="shared" si="65"/>
        <x:v/>
      </x:c>
      <x:c r="EB27" s="1053" t="str">
        <x:f t="shared" si="66"/>
        <x:v/>
      </x:c>
      <x:c r="EC27" s="1053" t="str">
        <x:f t="shared" si="67"/>
        <x:v/>
      </x:c>
      <x:c r="ED27" s="1269">
        <x:f t="shared" si="68"/>
        <x:v>0</x:v>
      </x:c>
      <x:c r="EE27" s="1090" t="str">
        <x:f t="shared" si="69"/>
        <x:v/>
      </x:c>
      <x:c r="EF27" s="1053" t="str">
        <x:f t="shared" si="70"/>
        <x:v/>
      </x:c>
      <x:c r="EG27" s="1053" t="str">
        <x:f t="shared" si="71"/>
        <x:v/>
      </x:c>
      <x:c r="EH27" s="1053" t="str">
        <x:f t="shared" si="72"/>
        <x:v>ERR</x:v>
      </x:c>
      <x:c r="EI27" s="1053" t="str">
        <x:f t="shared" si="73"/>
        <x:v>ERR</x:v>
      </x:c>
      <x:c r="EJ27" s="1053" t="str">
        <x:f t="shared" si="74"/>
        <x:v/>
      </x:c>
      <x:c r="EK27" s="1053" t="str">
        <x:f t="shared" si="74"/>
        <x:v/>
      </x:c>
      <x:c r="EL27" s="1090" t="str">
        <x:f t="shared" si="75"/>
        <x:v/>
      </x:c>
      <x:c r="EM27" s="1053" t="str">
        <x:f t="shared" si="76"/>
        <x:v/>
      </x:c>
      <x:c r="EN27" s="1053" t="str">
        <x:f t="shared" si="77"/>
        <x:v/>
      </x:c>
      <x:c r="EO27" s="1053" t="str">
        <x:f t="shared" si="78"/>
        <x:v>ERR</x:v>
      </x:c>
      <x:c r="EP27" s="1053" t="str">
        <x:f t="shared" si="79"/>
        <x:v>ERR</x:v>
      </x:c>
      <x:c r="EQ27" s="1053" t="str">
        <x:f t="shared" si="80"/>
        <x:v/>
      </x:c>
      <x:c r="ER27" s="1053" t="str">
        <x:f t="shared" si="80"/>
        <x:v/>
      </x:c>
      <x:c r="ES27" s="1053" t="str">
        <x:f t="shared" si="81"/>
        <x:v/>
      </x:c>
      <x:c r="ET27" s="1053" t="str">
        <x:f t="shared" si="82"/>
        <x:v/>
      </x:c>
      <x:c r="EU27" s="1061">
        <x:f t="shared" si="83"/>
        <x:v>4</x:v>
      </x:c>
      <x:c r="EV27" s="1055" t="str">
        <x:f t="shared" si="84"/>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85"/>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86"/>
        <x:v/>
      </x:c>
      <x:c r="FD27" s="1052">
        <x:f t="shared" si="108"/>
        <x:v>0</x:v>
      </x:c>
      <x:c r="FE27" s="1052">
        <x:f t="shared" si="87"/>
        <x:v>0</x:v>
      </x:c>
      <x:c r="FF27" s="1052">
        <x:f t="shared" si="88"/>
        <x:v>0</x:v>
      </x:c>
      <x:c r="FG27" s="1052" t="str">
        <x:f t="shared" si="89"/>
        <x:v/>
      </x:c>
      <x:c r="FH27" s="1053" t="str">
        <x:f t="shared" si="90"/>
        <x:v/>
      </x:c>
      <x:c r="FI27" s="1052">
        <x:f t="shared" si="109"/>
        <x:v>0</x:v>
      </x:c>
      <x:c r="FJ27" s="1052">
        <x:f t="shared" si="91"/>
        <x:v>0</x:v>
      </x:c>
      <x:c r="FK27" s="1052">
        <x:f t="shared" si="92"/>
        <x:v>0</x:v>
      </x:c>
      <x:c r="FL27" s="1052" t="str">
        <x:f t="shared" si="93"/>
        <x:v/>
      </x:c>
      <x:c r="FM27" s="1053" t="str">
        <x:f t="shared" si="94"/>
        <x:v/>
      </x:c>
      <x:c r="FN27" s="1053" t="e">
        <x:f t="shared" si="95"/>
        <x:v>#VALUE!</x:v>
      </x:c>
      <x:c r="FO27" s="1062" t="e">
        <x:f t="shared" si="96"/>
        <x:v>#VALUE!</x:v>
      </x:c>
      <x:c r="FP27" s="1062" t="e">
        <x:f t="shared" si="97"/>
        <x:v>#VALUE!</x:v>
      </x:c>
      <x:c r="FQ27" s="1063" t="e">
        <x:f t="shared" si="98"/>
        <x:v>#VALUE!</x:v>
      </x:c>
      <x:c r="FR27" s="1064" t="e">
        <x:f t="shared" si="99"/>
        <x:v>#VALUE!</x:v>
      </x:c>
      <x:c r="FS27" s="1065" t="str">
        <x:f t="shared" si="100"/>
        <x:v/>
      </x:c>
      <x:c r="FT27" s="1066" t="str">
        <x:f t="shared" si="101"/>
        <x:v/>
      </x:c>
      <x:c r="FU27" s="1105">
        <x:f t="shared" si="102"/>
        <x:v>0</x:v>
      </x:c>
      <x:c r="FV27" s="1106">
        <x:f t="shared" si="103"/>
        <x:v>0</x:v>
      </x:c>
      <x:c r="GA27" s="1975">
        <x:v>59</x:v>
      </x:c>
      <x:c r="GB27" s="1976">
        <x:v>2.75</x:v>
      </x:c>
      <x:c r="GC27" s="1977">
        <x:v>-1.875</x:v>
      </x:c>
      <x:c r="GD27" s="1978">
        <x:v>-1</x:v>
      </x:c>
      <x:c r="GE27" s="1979">
        <x:v>0.26169539219134702</x:v>
      </x:c>
      <x:c r="GF27" s="1980" t="str">
        <x:f t="shared" si="104"/>
        <x:v>TJ278</x:v>
      </x:c>
      <x:c r="GG27" s="1453"/>
      <x:c r="GH27" s="1454"/>
      <x:c r="GI27" s="1453"/>
      <x:c r="GJ27" s="1454"/>
      <x:c r="GK27" s="533">
        <x:f t="shared" si="105"/>
        <x:v>707.875</x:v>
      </x:c>
      <x:c r="GL27" s="534">
        <x:f t="shared" si="106"/>
        <x:v>708.04330794276643</x:v>
      </x:c>
      <x:c r="GM27" s="535">
        <x:f>IF(ABS(GK27-GL27)&gt;='Job Info.'!$L$22,ABS(GK27-GL27),0)</x:f>
        <x:v>0</x:v>
      </x:c>
      <x:c r="HA27" s="1658" t="s">
        <x:v>1602</x:v>
      </x:c>
      <x:c r="HB27" s="1659">
        <x:v>1</x:v>
      </x:c>
      <x:c r="HC27" s="1659" t="s">
        <x:v>1978</x:v>
      </x:c>
      <x:c r="HD27" s="1660">
        <x:v>58</x:v>
      </x:c>
      <x:c r="HE27" s="1661">
        <x:v>11.875</x:v>
      </x:c>
      <x:c r="HF27" s="1659" t="s">
        <x:v>117</x:v>
      </x:c>
      <x:c r="HG27" s="1659" t="s">
        <x:v>117</x:v>
      </x:c>
      <x:c r="HH27" s="1659" t="s">
        <x:v>117</x:v>
      </x:c>
      <x:c r="HI27" s="1662">
        <x:v>0</x:v>
      </x:c>
      <x:c r="HJ27" s="1659">
        <x:v>0.625</x:v>
      </x:c>
      <x:c r="HK27" s="1659" t="s">
        <x:v>114</x:v>
      </x:c>
      <x:c r="HL27" s="1659">
        <x:v>3</x:v>
      </x:c>
      <x:c r="HM27" s="1659">
        <x:v>3</x:v>
      </x:c>
      <x:c r="HN27" s="1659" t="s">
        <x:v>117</x:v>
      </x:c>
      <x:c r="HO27" s="1659" t="s">
        <x:v>117</x:v>
      </x:c>
      <x:c r="HP27" s="1659" t="s">
        <x:v>117</x:v>
      </x:c>
      <x:c r="HQ27" s="1662">
        <x:v>0</x:v>
      </x:c>
      <x:c r="HR27" s="1659">
        <x:v>6.75</x:v>
      </x:c>
      <x:c r="HS27" s="1659">
        <x:v>2</x:v>
      </x:c>
      <x:c r="HT27" s="1659">
        <x:v>0</x:v>
      </x:c>
      <x:c r="HU27" s="1659">
        <x:v>1.125</x:v>
      </x:c>
      <x:c r="HV27" s="1659">
        <x:v>0</x:v>
      </x:c>
      <x:c r="HW27" s="1661">
        <x:v>1.5</x:v>
      </x:c>
      <x:c r="HX27" s="1661">
        <x:v>4</x:v>
      </x:c>
      <x:c r="HY27" s="1661" t="s">
        <x:v>117</x:v>
      </x:c>
      <x:c r="HZ27" s="1661" t="s">
        <x:v>117</x:v>
      </x:c>
      <x:c r="IA27" s="1661" t="s">
        <x:v>2268</x:v>
      </x:c>
      <x:c r="IB27" s="1661"/>
      <x:c r="IC27" s="1661"/>
      <x:c r="ID27" s="1661"/>
      <x:c r="IE27" s="1661"/>
      <x:c r="IF27" s="1663"/>
    </x:row>
    <x:row r="28" spans="1:240" ht="12.6" customHeight="1" x14ac:dyDescent="0.25">
      <x:c r="A28" s="1264" t="s">
        <x:v>1603</x:v>
      </x:c>
      <x:c r="B28" s="1265">
        <x:v>7</x:v>
      </x:c>
      <x:c r="C28" s="1265" t="s">
        <x:v>1978</x:v>
      </x:c>
      <x:c r="D28" s="1261">
        <x:v>59</x:v>
      </x:c>
      <x:c r="E28" s="1366">
        <x:v>2</x:v>
      </x:c>
      <x:c r="F28" s="1328" t="str">
        <x:f t="shared" si="1"/>
        <x:v/>
      </x:c>
      <x:c r="G28" s="1262" t="str">
        <x:f t="shared" si="2"/>
        <x:v/>
      </x:c>
      <x:c r="H28" s="1266" t="str">
        <x:f t="shared" si="3"/>
        <x:v/>
      </x:c>
      <x:c r="I28" s="1261">
        <x:v>0</x:v>
      </x:c>
      <x:c r="J28" s="1262">
        <x:v>1.375</x:v>
      </x:c>
      <x:c r="K28" s="1370" t="s">
        <x:v>114</x:v>
      </x:c>
      <x:c r="L28" s="1327">
        <x:v>3</x:v>
      </x:c>
      <x:c r="M28" s="1329">
        <x:v>3</x:v>
      </x:c>
      <x:c r="N28" s="1263" t="str">
        <x:f t="shared" si="4"/>
        <x:v/>
      </x:c>
      <x:c r="O28" s="1262" t="str">
        <x:f t="shared" si="5"/>
        <x:v/>
      </x:c>
      <x:c r="P28" s="1260" t="str">
        <x:f t="shared" si="6"/>
        <x:v/>
      </x:c>
      <x:c r="Q28" s="1261" t="str">
        <x:f t="shared" si="7"/>
        <x:v/>
      </x:c>
      <x:c r="R28" s="1262" t="str">
        <x:f t="shared" si="8"/>
        <x:v/>
      </x:c>
      <x:c r="S28" s="1375" t="str">
        <x:f t="shared" si="9"/>
        <x:v/>
      </x:c>
      <x:c r="T28" s="1328" t="str">
        <x:f t="shared" si="10"/>
        <x:v/>
      </x:c>
      <x:c r="U28" s="1262" t="str">
        <x:f t="shared" si="11"/>
        <x:v/>
      </x:c>
      <x:c r="V28" s="1261" t="str">
        <x:f t="shared" si="12"/>
        <x:v/>
      </x:c>
      <x:c r="W28" s="1262" t="str">
        <x:f t="shared" si="13"/>
        <x:v/>
      </x:c>
      <x:c r="X28" s="1329">
        <x:f t="shared" si="14"/>
        <x:v>0</x:v>
      </x:c>
      <x:c r="Y28" s="1377" t="str">
        <x:f t="shared" si="15"/>
        <x:v/>
      </x:c>
      <x:c r="Z28" s="1378" t="str">
        <x:f t="shared" si="16"/>
        <x:v/>
      </x:c>
      <x:c r="AA28" s="2159" t="s">
        <x:v>2181</x:v>
      </x:c>
      <x:c r="AC28" s="1226" t="b">
        <x:v>0</x:v>
      </x:c>
      <x:c r="AD28" s="525">
        <x:f t="shared" si="17"/>
        <x:v>0</x:v>
      </x:c>
      <x:c r="AE28" s="526">
        <x:f t="shared" si="18"/>
        <x:v>7</x:v>
      </x:c>
      <x:c r="AF28" s="526">
        <x:f t="shared" si="19"/>
        <x:v>0</x:v>
      </x:c>
      <x:c r="AG28" s="526">
        <x:f t="shared" si="20"/>
        <x:v>0</x:v>
      </x:c>
      <x:c r="AH28" s="527">
        <x:f t="shared" si="21"/>
        <x:v>0</x:v>
      </x:c>
      <x:c r="AI28" s="528" t="b">
        <x:v>0</x:v>
      </x:c>
      <x:c r="AJ28" s="284">
        <x:f t="shared" si="22"/>
        <x:v>36</x:v>
      </x:c>
      <x:c r="AK28" s="1063" t="str">
        <x:f t="shared" si="23"/>
        <x:v>LH</x:v>
      </x:c>
      <x:c r="AL28" s="1202" t="str">
        <x:f t="shared" si="24"/>
        <x:v/>
      </x:c>
      <x:c r="AM28" s="1063">
        <x:f t="shared" si="25"/>
        <x:v>270</x:v>
      </x:c>
      <x:c r="AN28" s="1063">
        <x:f t="shared" si="26"/>
        <x:v>120</x:v>
      </x:c>
      <x:c r="AO28" s="1063" t="str">
        <x:f t="shared" si="27"/>
        <x:v/>
      </x:c>
      <x:c r="AP28" s="1063" t="b">
        <x:f>IF(ISERROR(AJ28),FALSE,IF(OR(AJ28=0,ISERROR(AL28),ISERROR(AM28),ISERROR(AN28),ISERROR(AO28)),FALSE,IF(AL28&lt;&gt;"",IF(ISERROR(VLOOKUP(SUBSTITUTE(SUBSTITUTE(C28,"R",""),"A",""),TblJoistSize!$A:$A,1,FALSE)),FALSE,TRUE),TRUE)))</x:f>
        <x:v>1</x:v>
      </x:c>
      <x:c r="AQ28" s="1305">
        <x:f t="shared" si="28"/>
        <x:v>6</x:v>
      </x:c>
      <x:c r="AR28" s="1305" t="b">
        <x:f t="shared" si="29"/>
        <x:v>0</x:v>
      </x:c>
      <x:c r="AS28" s="1305">
        <x:f t="shared" si="30"/>
        <x:v>7.375</x:v>
      </x:c>
      <x:c r="AT28" s="1305" t="b">
        <x:f t="shared" si="31"/>
        <x:v>0</x:v>
      </x:c>
      <x:c r="AU28" s="1203" t="str">
        <x:f t="shared" si="32"/>
        <x:v>LH</x:v>
      </x:c>
      <x:c r="AV28" s="1063" t="str">
        <x:f t="shared" si="33"/>
        <x:v/>
      </x:c>
      <x:c r="AW28" s="1063" t="str">
        <x:f t="shared" si="34"/>
        <x:v>LH</x:v>
      </x:c>
      <x:c r="AX28" s="1063" t="str">
        <x:f t="shared" si="107"/>
        <x:v>J279</x:v>
      </x:c>
      <x:c r="AY28" s="1306" t="b">
        <x:f t="shared" si="35"/>
        <x:v>0</x:v>
      </x:c>
      <x:c r="AZ28" s="1090" t="b">
        <x:f t="shared" si="36"/>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37"/>
        <x:v/>
      </x:c>
      <x:c r="CE28" s="935" t="str">
        <x:f t="shared" si="38"/>
        <x:v/>
      </x:c>
      <x:c r="CF28" s="1149"/>
      <x:c r="CG28" s="1150"/>
      <x:c r="CH28" s="738" t="str">
        <x:f t="shared" si="39"/>
        <x:v/>
      </x:c>
      <x:c r="CI28" s="739" t="str">
        <x:f t="shared" si="40"/>
        <x:v/>
      </x:c>
      <x:c r="CJ28" s="740" t="str">
        <x:f t="shared" si="41"/>
        <x:v/>
      </x:c>
      <x:c r="CK28" s="741" t="str">
        <x:f t="shared" si="42"/>
        <x:v/>
      </x:c>
      <x:c r="CL28" s="742" t="str">
        <x:f t="shared" si="43"/>
        <x:v/>
      </x:c>
      <x:c r="CM28" s="743" t="str">
        <x:f t="shared" si="44"/>
        <x:v/>
      </x:c>
      <x:c r="CN28" s="744" t="str">
        <x:f t="shared" si="45"/>
        <x:v/>
      </x:c>
      <x:c r="CO28" s="745" t="str">
        <x:f t="shared" si="46"/>
        <x:v/>
      </x:c>
      <x:c r="CP28" s="762" t="str">
        <x:f t="shared" si="47"/>
        <x:v/>
      </x:c>
      <x:c r="CQ28" s="763" t="str">
        <x:f t="shared" si="48"/>
        <x:v/>
      </x:c>
      <x:c r="CR28" s="953">
        <x:f t="shared" si="49"/>
        <x:v>5</x:v>
      </x:c>
      <x:c r="CS28" s="954">
        <x:f t="shared" si="50"/>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51"/>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52"/>
        <x:v>0</x:v>
      </x:c>
      <x:c r="DO28" s="1049">
        <x:f t="shared" si="53"/>
        <x:v>0</x:v>
      </x:c>
      <x:c r="DP28" s="1053" t="str">
        <x:f t="shared" si="54"/>
        <x:v/>
      </x:c>
      <x:c r="DQ28" s="1053" t="str">
        <x:f t="shared" si="55"/>
        <x:v/>
      </x:c>
      <x:c r="DR28" s="1053" t="str">
        <x:f t="shared" si="56"/>
        <x:v/>
      </x:c>
      <x:c r="DS28" s="1052">
        <x:f t="shared" si="57"/>
        <x:v>0</x:v>
      </x:c>
      <x:c r="DT28" s="1052">
        <x:f t="shared" si="58"/>
        <x:v>0</x:v>
      </x:c>
      <x:c r="DU28" s="1052" t="str">
        <x:f t="shared" si="59"/>
        <x:v/>
      </x:c>
      <x:c r="DV28" s="1053" t="str">
        <x:f t="shared" si="60"/>
        <x:v/>
      </x:c>
      <x:c r="DW28" s="1053" t="str">
        <x:f t="shared" si="61"/>
        <x:v/>
      </x:c>
      <x:c r="DX28" s="1269">
        <x:f t="shared" si="62"/>
        <x:v>0</x:v>
      </x:c>
      <x:c r="DY28" s="1053">
        <x:f t="shared" si="63"/>
        <x:v>0</x:v>
      </x:c>
      <x:c r="DZ28" s="1052">
        <x:f t="shared" si="64"/>
        <x:v>0</x:v>
      </x:c>
      <x:c r="EA28" s="1052" t="str">
        <x:f t="shared" si="65"/>
        <x:v/>
      </x:c>
      <x:c r="EB28" s="1053" t="str">
        <x:f t="shared" si="66"/>
        <x:v/>
      </x:c>
      <x:c r="EC28" s="1053" t="str">
        <x:f t="shared" si="67"/>
        <x:v/>
      </x:c>
      <x:c r="ED28" s="1269">
        <x:f t="shared" si="68"/>
        <x:v>0</x:v>
      </x:c>
      <x:c r="EE28" s="1090" t="str">
        <x:f t="shared" si="69"/>
        <x:v/>
      </x:c>
      <x:c r="EF28" s="1053" t="str">
        <x:f t="shared" si="70"/>
        <x:v/>
      </x:c>
      <x:c r="EG28" s="1053" t="str">
        <x:f t="shared" si="71"/>
        <x:v/>
      </x:c>
      <x:c r="EH28" s="1053" t="str">
        <x:f t="shared" si="72"/>
        <x:v>ERR</x:v>
      </x:c>
      <x:c r="EI28" s="1053" t="str">
        <x:f t="shared" si="73"/>
        <x:v>ERR</x:v>
      </x:c>
      <x:c r="EJ28" s="1053" t="str">
        <x:f t="shared" si="74"/>
        <x:v/>
      </x:c>
      <x:c r="EK28" s="1053" t="str">
        <x:f t="shared" si="74"/>
        <x:v/>
      </x:c>
      <x:c r="EL28" s="1090" t="str">
        <x:f t="shared" si="75"/>
        <x:v/>
      </x:c>
      <x:c r="EM28" s="1053" t="str">
        <x:f t="shared" si="76"/>
        <x:v/>
      </x:c>
      <x:c r="EN28" s="1053" t="str">
        <x:f t="shared" si="77"/>
        <x:v/>
      </x:c>
      <x:c r="EO28" s="1053" t="str">
        <x:f t="shared" si="78"/>
        <x:v>ERR</x:v>
      </x:c>
      <x:c r="EP28" s="1053" t="str">
        <x:f t="shared" si="79"/>
        <x:v>ERR</x:v>
      </x:c>
      <x:c r="EQ28" s="1053" t="str">
        <x:f t="shared" si="80"/>
        <x:v/>
      </x:c>
      <x:c r="ER28" s="1053" t="str">
        <x:f t="shared" si="80"/>
        <x:v/>
      </x:c>
      <x:c r="ES28" s="1053" t="str">
        <x:f t="shared" si="81"/>
        <x:v/>
      </x:c>
      <x:c r="ET28" s="1053" t="str">
        <x:f t="shared" si="82"/>
        <x:v/>
      </x:c>
      <x:c r="EU28" s="1061">
        <x:f t="shared" si="83"/>
        <x:v>4</x:v>
      </x:c>
      <x:c r="EV28" s="1055" t="str">
        <x:f t="shared" si="84"/>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85"/>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86"/>
        <x:v/>
      </x:c>
      <x:c r="FD28" s="1052">
        <x:f t="shared" si="108"/>
        <x:v>0</x:v>
      </x:c>
      <x:c r="FE28" s="1052">
        <x:f t="shared" si="87"/>
        <x:v>0</x:v>
      </x:c>
      <x:c r="FF28" s="1052">
        <x:f t="shared" si="88"/>
        <x:v>0</x:v>
      </x:c>
      <x:c r="FG28" s="1052" t="str">
        <x:f t="shared" si="89"/>
        <x:v/>
      </x:c>
      <x:c r="FH28" s="1053" t="str">
        <x:f t="shared" si="90"/>
        <x:v/>
      </x:c>
      <x:c r="FI28" s="1052">
        <x:f t="shared" si="109"/>
        <x:v>0</x:v>
      </x:c>
      <x:c r="FJ28" s="1052">
        <x:f t="shared" si="91"/>
        <x:v>0</x:v>
      </x:c>
      <x:c r="FK28" s="1052">
        <x:f t="shared" si="92"/>
        <x:v>0</x:v>
      </x:c>
      <x:c r="FL28" s="1052" t="str">
        <x:f t="shared" si="93"/>
        <x:v/>
      </x:c>
      <x:c r="FM28" s="1053" t="str">
        <x:f t="shared" si="94"/>
        <x:v/>
      </x:c>
      <x:c r="FN28" s="1053" t="e">
        <x:f t="shared" si="95"/>
        <x:v>#VALUE!</x:v>
      </x:c>
      <x:c r="FO28" s="1062" t="e">
        <x:f t="shared" si="96"/>
        <x:v>#VALUE!</x:v>
      </x:c>
      <x:c r="FP28" s="1062" t="e">
        <x:f t="shared" si="97"/>
        <x:v>#VALUE!</x:v>
      </x:c>
      <x:c r="FQ28" s="1063" t="e">
        <x:f t="shared" si="98"/>
        <x:v>#VALUE!</x:v>
      </x:c>
      <x:c r="FR28" s="1064" t="e">
        <x:f t="shared" si="99"/>
        <x:v>#VALUE!</x:v>
      </x:c>
      <x:c r="FS28" s="1065" t="str">
        <x:f t="shared" si="100"/>
        <x:v/>
      </x:c>
      <x:c r="FT28" s="1066" t="str">
        <x:f t="shared" si="101"/>
        <x:v/>
      </x:c>
      <x:c r="FU28" s="1105">
        <x:f t="shared" si="102"/>
        <x:v>0</x:v>
      </x:c>
      <x:c r="FV28" s="1106">
        <x:f t="shared" si="103"/>
        <x:v>0</x:v>
      </x:c>
      <x:c r="GA28" s="1975">
        <x:v>59</x:v>
      </x:c>
      <x:c r="GB28" s="1976">
        <x:v>2.75</x:v>
      </x:c>
      <x:c r="GC28" s="1977">
        <x:v>-0.5</x:v>
      </x:c>
      <x:c r="GD28" s="1978">
        <x:v>-0.25</x:v>
      </x:c>
      <x:c r="GE28" s="1979">
        <x:v>0.2280001171735645</x:v>
      </x:c>
      <x:c r="GF28" s="1980" t="str">
        <x:f t="shared" si="104"/>
        <x:v>J279</x:v>
      </x:c>
      <x:c r="GG28" s="1453"/>
      <x:c r="GH28" s="1454"/>
      <x:c r="GI28" s="1453"/>
      <x:c r="GJ28" s="1454"/>
      <x:c r="GK28" s="533">
        <x:f t="shared" si="105"/>
        <x:v>710</x:v>
      </x:c>
      <x:c r="GL28" s="534">
        <x:f t="shared" si="106"/>
        <x:v>710.12814356779734</x:v>
      </x:c>
      <x:c r="GM28" s="535">
        <x:f>IF(ABS(GK28-GL28)&gt;='Job Info.'!$L$22,ABS(GK28-GL28),0)</x:f>
        <x:v>0</x:v>
      </x:c>
      <x:c r="HA28" s="1658" t="s">
        <x:v>1603</x:v>
      </x:c>
      <x:c r="HB28" s="1659">
        <x:v>7</x:v>
      </x:c>
      <x:c r="HC28" s="1659" t="s">
        <x:v>1978</x:v>
      </x:c>
      <x:c r="HD28" s="1660">
        <x:v>59</x:v>
      </x:c>
      <x:c r="HE28" s="1661">
        <x:v>2</x:v>
      </x:c>
      <x:c r="HF28" s="1659" t="s">
        <x:v>117</x:v>
      </x:c>
      <x:c r="HG28" s="1659" t="s">
        <x:v>117</x:v>
      </x:c>
      <x:c r="HH28" s="1659" t="s">
        <x:v>117</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2181</x:v>
      </x:c>
      <x:c r="IB28" s="1661"/>
      <x:c r="IC28" s="1661"/>
      <x:c r="ID28" s="1661"/>
      <x:c r="IE28" s="1661"/>
      <x:c r="IF28" s="1663"/>
    </x:row>
    <x:row r="29" spans="1:240" ht="12.6" customHeight="1" x14ac:dyDescent="0.25">
      <x:c r="A29" s="1264" t="s">
        <x:v>1604</x:v>
      </x:c>
      <x:c r="B29" s="1265">
        <x:v>2</x:v>
      </x:c>
      <x:c r="C29" s="1265" t="s">
        <x:v>1978</x:v>
      </x:c>
      <x:c r="D29" s="1261">
        <x:v>59</x:v>
      </x:c>
      <x:c r="E29" s="1366">
        <x:v>2</x:v>
      </x:c>
      <x:c r="F29" s="1328" t="str">
        <x:f t="shared" si="1"/>
        <x:v/>
      </x:c>
      <x:c r="G29" s="1262" t="str">
        <x:f t="shared" si="2"/>
        <x:v/>
      </x:c>
      <x:c r="H29" s="1266" t="str">
        <x:f t="shared" si="3"/>
        <x:v/>
      </x:c>
      <x:c r="I29" s="1261">
        <x:v>0</x:v>
      </x:c>
      <x:c r="J29" s="1262">
        <x:v>1.375</x:v>
      </x:c>
      <x:c r="K29" s="1370" t="s">
        <x:v>114</x:v>
      </x:c>
      <x:c r="L29" s="1327">
        <x:v>3</x:v>
      </x:c>
      <x:c r="M29" s="1329">
        <x:v>3</x:v>
      </x:c>
      <x:c r="N29" s="1263" t="str">
        <x:f t="shared" si="4"/>
        <x:v/>
      </x:c>
      <x:c r="O29" s="1262" t="str">
        <x:f t="shared" si="5"/>
        <x:v/>
      </x:c>
      <x:c r="P29" s="1260" t="str">
        <x:f t="shared" si="6"/>
        <x:v/>
      </x:c>
      <x:c r="Q29" s="1261" t="str">
        <x:f t="shared" si="7"/>
        <x:v/>
      </x:c>
      <x:c r="R29" s="1262" t="str">
        <x:f t="shared" si="8"/>
        <x:v/>
      </x:c>
      <x:c r="S29" s="1375" t="str">
        <x:f t="shared" si="9"/>
        <x:v/>
      </x:c>
      <x:c r="T29" s="1328" t="str">
        <x:f t="shared" si="10"/>
        <x:v/>
      </x:c>
      <x:c r="U29" s="1262" t="str">
        <x:f t="shared" si="11"/>
        <x:v/>
      </x:c>
      <x:c r="V29" s="1261" t="str">
        <x:f t="shared" si="12"/>
        <x:v/>
      </x:c>
      <x:c r="W29" s="1262" t="str">
        <x:f t="shared" si="13"/>
        <x:v/>
      </x:c>
      <x:c r="X29" s="1329">
        <x:f t="shared" si="14"/>
        <x:v>0</x:v>
      </x:c>
      <x:c r="Y29" s="1377" t="str">
        <x:f t="shared" si="15"/>
        <x:v/>
      </x:c>
      <x:c r="Z29" s="1378" t="str">
        <x:f t="shared" si="16"/>
        <x:v/>
      </x:c>
      <x:c r="AA29" s="2159" t="s">
        <x:v>2269</x:v>
      </x:c>
      <x:c r="AC29" s="1226" t="b">
        <x:v>0</x:v>
      </x:c>
      <x:c r="AD29" s="525">
        <x:f t="shared" si="17"/>
        <x:v>0</x:v>
      </x:c>
      <x:c r="AE29" s="526">
        <x:f t="shared" si="18"/>
        <x:v>2</x:v>
      </x:c>
      <x:c r="AF29" s="526">
        <x:f t="shared" si="19"/>
        <x:v>0</x:v>
      </x:c>
      <x:c r="AG29" s="526">
        <x:f t="shared" si="20"/>
        <x:v>0</x:v>
      </x:c>
      <x:c r="AH29" s="527">
        <x:f t="shared" si="21"/>
        <x:v>0</x:v>
      </x:c>
      <x:c r="AI29" s="528" t="b">
        <x:v>0</x:v>
      </x:c>
      <x:c r="AJ29" s="284">
        <x:f t="shared" si="22"/>
        <x:v>36</x:v>
      </x:c>
      <x:c r="AK29" s="1063" t="str">
        <x:f t="shared" si="23"/>
        <x:v>LH</x:v>
      </x:c>
      <x:c r="AL29" s="1202" t="str">
        <x:f t="shared" si="24"/>
        <x:v/>
      </x:c>
      <x:c r="AM29" s="1063">
        <x:f t="shared" si="25"/>
        <x:v>270</x:v>
      </x:c>
      <x:c r="AN29" s="1063">
        <x:f t="shared" si="26"/>
        <x:v>120</x:v>
      </x:c>
      <x:c r="AO29" s="1063" t="str">
        <x:f t="shared" si="27"/>
        <x:v/>
      </x:c>
      <x:c r="AP29" s="1063" t="b">
        <x:f>IF(ISERROR(AJ29),FALSE,IF(OR(AJ29=0,ISERROR(AL29),ISERROR(AM29),ISERROR(AN29),ISERROR(AO29)),FALSE,IF(AL29&lt;&gt;"",IF(ISERROR(VLOOKUP(SUBSTITUTE(SUBSTITUTE(C29,"R",""),"A",""),TblJoistSize!$A:$A,1,FALSE)),FALSE,TRUE),TRUE)))</x:f>
        <x:v>1</x:v>
      </x:c>
      <x:c r="AQ29" s="1305">
        <x:f t="shared" si="28"/>
        <x:v>6</x:v>
      </x:c>
      <x:c r="AR29" s="1305" t="b">
        <x:f t="shared" si="29"/>
        <x:v>0</x:v>
      </x:c>
      <x:c r="AS29" s="1305">
        <x:f t="shared" si="30"/>
        <x:v>7.375</x:v>
      </x:c>
      <x:c r="AT29" s="1305" t="b">
        <x:f t="shared" si="31"/>
        <x:v>0</x:v>
      </x:c>
      <x:c r="AU29" s="1203" t="str">
        <x:f t="shared" si="32"/>
        <x:v>LH</x:v>
      </x:c>
      <x:c r="AV29" s="1063" t="str">
        <x:f t="shared" si="33"/>
        <x:v/>
      </x:c>
      <x:c r="AW29" s="1063" t="str">
        <x:f t="shared" si="34"/>
        <x:v>LH</x:v>
      </x:c>
      <x:c r="AX29" s="1063" t="str">
        <x:f t="shared" si="107"/>
        <x:v>J280</x:v>
      </x:c>
      <x:c r="AY29" s="1306" t="b">
        <x:f t="shared" si="35"/>
        <x:v>0</x:v>
      </x:c>
      <x:c r="AZ29" s="1090" t="b">
        <x:f t="shared" si="36"/>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37"/>
        <x:v/>
      </x:c>
      <x:c r="CE29" s="935" t="str">
        <x:f t="shared" si="38"/>
        <x:v/>
      </x:c>
      <x:c r="CF29" s="1149"/>
      <x:c r="CG29" s="1150"/>
      <x:c r="CH29" s="738" t="str">
        <x:f t="shared" si="39"/>
        <x:v/>
      </x:c>
      <x:c r="CI29" s="739" t="str">
        <x:f t="shared" si="40"/>
        <x:v/>
      </x:c>
      <x:c r="CJ29" s="740" t="str">
        <x:f t="shared" si="41"/>
        <x:v/>
      </x:c>
      <x:c r="CK29" s="741" t="str">
        <x:f t="shared" si="42"/>
        <x:v/>
      </x:c>
      <x:c r="CL29" s="742" t="str">
        <x:f t="shared" si="43"/>
        <x:v/>
      </x:c>
      <x:c r="CM29" s="743" t="str">
        <x:f t="shared" si="44"/>
        <x:v/>
      </x:c>
      <x:c r="CN29" s="744" t="str">
        <x:f t="shared" si="45"/>
        <x:v/>
      </x:c>
      <x:c r="CO29" s="745" t="str">
        <x:f t="shared" si="46"/>
        <x:v/>
      </x:c>
      <x:c r="CP29" s="762" t="str">
        <x:f t="shared" si="47"/>
        <x:v/>
      </x:c>
      <x:c r="CQ29" s="763" t="str">
        <x:f t="shared" si="48"/>
        <x:v/>
      </x:c>
      <x:c r="CR29" s="953">
        <x:f t="shared" si="49"/>
        <x:v>5</x:v>
      </x:c>
      <x:c r="CS29" s="954">
        <x:f t="shared" si="50"/>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51"/>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52"/>
        <x:v>0</x:v>
      </x:c>
      <x:c r="DO29" s="1049">
        <x:f t="shared" si="53"/>
        <x:v>0</x:v>
      </x:c>
      <x:c r="DP29" s="1053" t="str">
        <x:f t="shared" si="54"/>
        <x:v/>
      </x:c>
      <x:c r="DQ29" s="1053" t="str">
        <x:f t="shared" si="55"/>
        <x:v/>
      </x:c>
      <x:c r="DR29" s="1053" t="str">
        <x:f t="shared" si="56"/>
        <x:v/>
      </x:c>
      <x:c r="DS29" s="1052">
        <x:f t="shared" si="57"/>
        <x:v>0</x:v>
      </x:c>
      <x:c r="DT29" s="1052">
        <x:f t="shared" si="58"/>
        <x:v>0</x:v>
      </x:c>
      <x:c r="DU29" s="1052" t="str">
        <x:f t="shared" si="59"/>
        <x:v/>
      </x:c>
      <x:c r="DV29" s="1053" t="str">
        <x:f t="shared" si="60"/>
        <x:v/>
      </x:c>
      <x:c r="DW29" s="1053" t="str">
        <x:f t="shared" si="61"/>
        <x:v/>
      </x:c>
      <x:c r="DX29" s="1269">
        <x:f t="shared" si="62"/>
        <x:v>0</x:v>
      </x:c>
      <x:c r="DY29" s="1053">
        <x:f t="shared" si="63"/>
        <x:v>0</x:v>
      </x:c>
      <x:c r="DZ29" s="1052">
        <x:f t="shared" si="64"/>
        <x:v>0</x:v>
      </x:c>
      <x:c r="EA29" s="1052" t="str">
        <x:f t="shared" si="65"/>
        <x:v/>
      </x:c>
      <x:c r="EB29" s="1053" t="str">
        <x:f t="shared" si="66"/>
        <x:v/>
      </x:c>
      <x:c r="EC29" s="1053" t="str">
        <x:f t="shared" si="67"/>
        <x:v/>
      </x:c>
      <x:c r="ED29" s="1269">
        <x:f t="shared" si="68"/>
        <x:v>0</x:v>
      </x:c>
      <x:c r="EE29" s="1090" t="str">
        <x:f t="shared" si="69"/>
        <x:v/>
      </x:c>
      <x:c r="EF29" s="1053" t="str">
        <x:f t="shared" si="70"/>
        <x:v/>
      </x:c>
      <x:c r="EG29" s="1053" t="str">
        <x:f t="shared" si="71"/>
        <x:v/>
      </x:c>
      <x:c r="EH29" s="1053" t="str">
        <x:f t="shared" si="72"/>
        <x:v>ERR</x:v>
      </x:c>
      <x:c r="EI29" s="1053" t="str">
        <x:f t="shared" si="73"/>
        <x:v>ERR</x:v>
      </x:c>
      <x:c r="EJ29" s="1053" t="str">
        <x:f t="shared" si="74"/>
        <x:v/>
      </x:c>
      <x:c r="EK29" s="1053" t="str">
        <x:f t="shared" si="74"/>
        <x:v/>
      </x:c>
      <x:c r="EL29" s="1090" t="str">
        <x:f t="shared" si="75"/>
        <x:v/>
      </x:c>
      <x:c r="EM29" s="1053" t="str">
        <x:f t="shared" si="76"/>
        <x:v/>
      </x:c>
      <x:c r="EN29" s="1053" t="str">
        <x:f t="shared" si="77"/>
        <x:v/>
      </x:c>
      <x:c r="EO29" s="1053" t="str">
        <x:f t="shared" si="78"/>
        <x:v>ERR</x:v>
      </x:c>
      <x:c r="EP29" s="1053" t="str">
        <x:f t="shared" si="79"/>
        <x:v>ERR</x:v>
      </x:c>
      <x:c r="EQ29" s="1053" t="str">
        <x:f t="shared" si="80"/>
        <x:v/>
      </x:c>
      <x:c r="ER29" s="1053" t="str">
        <x:f t="shared" si="80"/>
        <x:v/>
      </x:c>
      <x:c r="ES29" s="1053" t="str">
        <x:f t="shared" si="81"/>
        <x:v/>
      </x:c>
      <x:c r="ET29" s="1053" t="str">
        <x:f t="shared" si="82"/>
        <x:v/>
      </x:c>
      <x:c r="EU29" s="1061">
        <x:f t="shared" si="83"/>
        <x:v>4</x:v>
      </x:c>
      <x:c r="EV29" s="1055" t="str">
        <x:f t="shared" si="84"/>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85"/>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86"/>
        <x:v/>
      </x:c>
      <x:c r="FD29" s="1052">
        <x:f t="shared" si="108"/>
        <x:v>0</x:v>
      </x:c>
      <x:c r="FE29" s="1052">
        <x:f t="shared" si="87"/>
        <x:v>0</x:v>
      </x:c>
      <x:c r="FF29" s="1052">
        <x:f t="shared" si="88"/>
        <x:v>0</x:v>
      </x:c>
      <x:c r="FG29" s="1052" t="str">
        <x:f t="shared" si="89"/>
        <x:v/>
      </x:c>
      <x:c r="FH29" s="1053" t="str">
        <x:f t="shared" si="90"/>
        <x:v/>
      </x:c>
      <x:c r="FI29" s="1052">
        <x:f t="shared" si="109"/>
        <x:v>0</x:v>
      </x:c>
      <x:c r="FJ29" s="1052">
        <x:f t="shared" si="91"/>
        <x:v>0</x:v>
      </x:c>
      <x:c r="FK29" s="1052">
        <x:f t="shared" si="92"/>
        <x:v>0</x:v>
      </x:c>
      <x:c r="FL29" s="1052" t="str">
        <x:f t="shared" si="93"/>
        <x:v/>
      </x:c>
      <x:c r="FM29" s="1053" t="str">
        <x:f t="shared" si="94"/>
        <x:v/>
      </x:c>
      <x:c r="FN29" s="1053" t="e">
        <x:f t="shared" si="95"/>
        <x:v>#VALUE!</x:v>
      </x:c>
      <x:c r="FO29" s="1062" t="e">
        <x:f t="shared" si="96"/>
        <x:v>#VALUE!</x:v>
      </x:c>
      <x:c r="FP29" s="1062" t="e">
        <x:f t="shared" si="97"/>
        <x:v>#VALUE!</x:v>
      </x:c>
      <x:c r="FQ29" s="1063" t="e">
        <x:f t="shared" si="98"/>
        <x:v>#VALUE!</x:v>
      </x:c>
      <x:c r="FR29" s="1064" t="e">
        <x:f t="shared" si="99"/>
        <x:v>#VALUE!</x:v>
      </x:c>
      <x:c r="FS29" s="1065" t="str">
        <x:f t="shared" si="100"/>
        <x:v/>
      </x:c>
      <x:c r="FT29" s="1066" t="str">
        <x:f t="shared" si="101"/>
        <x:v/>
      </x:c>
      <x:c r="FU29" s="1105">
        <x:f t="shared" si="102"/>
        <x:v>0</x:v>
      </x:c>
      <x:c r="FV29" s="1106">
        <x:f t="shared" si="103"/>
        <x:v>0</x:v>
      </x:c>
      <x:c r="GA29" s="1975">
        <x:v>59</x:v>
      </x:c>
      <x:c r="GB29" s="1976">
        <x:v>2.75</x:v>
      </x:c>
      <x:c r="GC29" s="1977">
        <x:v>-0.5</x:v>
      </x:c>
      <x:c r="GD29" s="1978">
        <x:v>-0.25</x:v>
      </x:c>
      <x:c r="GE29" s="1979">
        <x:v>0.24047066747547752</x:v>
      </x:c>
      <x:c r="GF29" s="1980" t="str">
        <x:f t="shared" si="104"/>
        <x:v>J280</x:v>
      </x:c>
      <x:c r="GG29" s="1453"/>
      <x:c r="GH29" s="1454"/>
      <x:c r="GI29" s="1453"/>
      <x:c r="GJ29" s="1454"/>
      <x:c r="GK29" s="533">
        <x:f t="shared" si="105"/>
        <x:v>710</x:v>
      </x:c>
      <x:c r="GL29" s="534">
        <x:f t="shared" si="106"/>
        <x:v>710.14254319379381</x:v>
      </x:c>
      <x:c r="GM29" s="535">
        <x:f>IF(ABS(GK29-GL29)&gt;='Job Info.'!$L$22,ABS(GK29-GL29),0)</x:f>
        <x:v>0</x:v>
      </x:c>
      <x:c r="HA29" s="1658" t="s">
        <x:v>1604</x:v>
      </x:c>
      <x:c r="HB29" s="1659">
        <x:v>2</x:v>
      </x:c>
      <x:c r="HC29" s="1659" t="s">
        <x:v>1978</x:v>
      </x:c>
      <x:c r="HD29" s="1660">
        <x:v>59</x:v>
      </x:c>
      <x:c r="HE29" s="1661">
        <x:v>2</x:v>
      </x:c>
      <x:c r="HF29" s="1659" t="s">
        <x:v>117</x:v>
      </x:c>
      <x:c r="HG29" s="1659" t="s">
        <x:v>117</x:v>
      </x:c>
      <x:c r="HH29" s="1659" t="s">
        <x:v>117</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t="s">
        <x:v>117</x:v>
      </x:c>
      <x:c r="HU29" s="1659" t="s">
        <x:v>117</x:v>
      </x:c>
      <x:c r="HV29" s="1659" t="s">
        <x:v>117</x:v>
      </x:c>
      <x:c r="HW29" s="1661" t="s">
        <x:v>117</x:v>
      </x:c>
      <x:c r="HX29" s="1661">
        <x:v>0</x:v>
      </x:c>
      <x:c r="HY29" s="1661" t="s">
        <x:v>117</x:v>
      </x:c>
      <x:c r="HZ29" s="1661" t="s">
        <x:v>117</x:v>
      </x:c>
      <x:c r="IA29" s="1661" t="s">
        <x:v>2269</x:v>
      </x:c>
      <x:c r="IB29" s="1661"/>
      <x:c r="IC29" s="1661"/>
      <x:c r="ID29" s="1661"/>
      <x:c r="IE29" s="1661"/>
      <x:c r="IF29" s="1663"/>
    </x:row>
    <x:row r="30" spans="1:240" ht="12.6" customHeight="1" x14ac:dyDescent="0.25">
      <x:c r="A30" s="1264" t="s">
        <x:v>1605</x:v>
      </x:c>
      <x:c r="B30" s="1265">
        <x:v>2</x:v>
      </x:c>
      <x:c r="C30" s="1265" t="s">
        <x:v>1978</x:v>
      </x:c>
      <x:c r="D30" s="1261">
        <x:v>59</x:v>
      </x:c>
      <x:c r="E30" s="1366">
        <x:v>2</x:v>
      </x:c>
      <x:c r="F30" s="1328" t="str">
        <x:f t="shared" si="1"/>
        <x:v/>
      </x:c>
      <x:c r="G30" s="1262" t="str">
        <x:f t="shared" si="2"/>
        <x:v/>
      </x:c>
      <x:c r="H30" s="1266" t="str">
        <x:f t="shared" si="3"/>
        <x:v/>
      </x:c>
      <x:c r="I30" s="1261">
        <x:v>0</x:v>
      </x:c>
      <x:c r="J30" s="1262">
        <x:v>1.375</x:v>
      </x:c>
      <x:c r="K30" s="1370" t="s">
        <x:v>114</x:v>
      </x:c>
      <x:c r="L30" s="1327">
        <x:v>3</x:v>
      </x:c>
      <x:c r="M30" s="1329">
        <x:v>3</x:v>
      </x:c>
      <x:c r="N30" s="1263" t="str">
        <x:f t="shared" si="4"/>
        <x:v/>
      </x:c>
      <x:c r="O30" s="1262" t="str">
        <x:f t="shared" si="5"/>
        <x:v/>
      </x:c>
      <x:c r="P30" s="1260" t="str">
        <x:f t="shared" si="6"/>
        <x:v/>
      </x:c>
      <x:c r="Q30" s="1261" t="str">
        <x:f t="shared" si="7"/>
        <x:v/>
      </x:c>
      <x:c r="R30" s="1262" t="str">
        <x:f t="shared" si="8"/>
        <x:v/>
      </x:c>
      <x:c r="S30" s="1375" t="str">
        <x:f t="shared" si="9"/>
        <x:v/>
      </x:c>
      <x:c r="T30" s="1328" t="str">
        <x:f t="shared" si="10"/>
        <x:v/>
      </x:c>
      <x:c r="U30" s="1262" t="str">
        <x:f t="shared" si="11"/>
        <x:v/>
      </x:c>
      <x:c r="V30" s="1261" t="str">
        <x:f t="shared" si="12"/>
        <x:v/>
      </x:c>
      <x:c r="W30" s="1262" t="str">
        <x:f t="shared" si="13"/>
        <x:v/>
      </x:c>
      <x:c r="X30" s="1329">
        <x:f t="shared" si="14"/>
        <x:v>0</x:v>
      </x:c>
      <x:c r="Y30" s="1377" t="str">
        <x:f t="shared" si="15"/>
        <x:v/>
      </x:c>
      <x:c r="Z30" s="1378" t="str">
        <x:f t="shared" si="16"/>
        <x:v/>
      </x:c>
      <x:c r="AA30" s="2159" t="s">
        <x:v>2182</x:v>
      </x:c>
      <x:c r="AC30" s="1226" t="b">
        <x:v>0</x:v>
      </x:c>
      <x:c r="AD30" s="525">
        <x:f t="shared" si="17"/>
        <x:v>0</x:v>
      </x:c>
      <x:c r="AE30" s="526">
        <x:f t="shared" si="18"/>
        <x:v>2</x:v>
      </x:c>
      <x:c r="AF30" s="526">
        <x:f t="shared" si="19"/>
        <x:v>0</x:v>
      </x:c>
      <x:c r="AG30" s="526">
        <x:f t="shared" si="20"/>
        <x:v>0</x:v>
      </x:c>
      <x:c r="AH30" s="527">
        <x:f t="shared" si="21"/>
        <x:v>0</x:v>
      </x:c>
      <x:c r="AI30" s="528" t="b">
        <x:v>0</x:v>
      </x:c>
      <x:c r="AJ30" s="284">
        <x:f t="shared" si="22"/>
        <x:v>36</x:v>
      </x:c>
      <x:c r="AK30" s="1063" t="str">
        <x:f t="shared" si="23"/>
        <x:v>LH</x:v>
      </x:c>
      <x:c r="AL30" s="1202" t="str">
        <x:f t="shared" si="24"/>
        <x:v/>
      </x:c>
      <x:c r="AM30" s="1063">
        <x:f t="shared" si="25"/>
        <x:v>270</x:v>
      </x:c>
      <x:c r="AN30" s="1063">
        <x:f t="shared" si="26"/>
        <x:v>120</x:v>
      </x:c>
      <x:c r="AO30" s="1063" t="str">
        <x:f t="shared" si="27"/>
        <x:v/>
      </x:c>
      <x:c r="AP30" s="1063" t="b">
        <x:f>IF(ISERROR(AJ30),FALSE,IF(OR(AJ30=0,ISERROR(AL30),ISERROR(AM30),ISERROR(AN30),ISERROR(AO30)),FALSE,IF(AL30&lt;&gt;"",IF(ISERROR(VLOOKUP(SUBSTITUTE(SUBSTITUTE(C30,"R",""),"A",""),TblJoistSize!$A:$A,1,FALSE)),FALSE,TRUE),TRUE)))</x:f>
        <x:v>1</x:v>
      </x:c>
      <x:c r="AQ30" s="1305">
        <x:f t="shared" si="28"/>
        <x:v>6</x:v>
      </x:c>
      <x:c r="AR30" s="1305" t="b">
        <x:f t="shared" si="29"/>
        <x:v>0</x:v>
      </x:c>
      <x:c r="AS30" s="1305">
        <x:f t="shared" si="30"/>
        <x:v>7.375</x:v>
      </x:c>
      <x:c r="AT30" s="1305" t="b">
        <x:f t="shared" si="31"/>
        <x:v>0</x:v>
      </x:c>
      <x:c r="AU30" s="1203" t="str">
        <x:f t="shared" si="32"/>
        <x:v>LH</x:v>
      </x:c>
      <x:c r="AV30" s="1063" t="str">
        <x:f t="shared" si="33"/>
        <x:v/>
      </x:c>
      <x:c r="AW30" s="1063" t="str">
        <x:f t="shared" si="34"/>
        <x:v>LH</x:v>
      </x:c>
      <x:c r="AX30" s="1063" t="str">
        <x:f t="shared" si="107"/>
        <x:v>J281</x:v>
      </x:c>
      <x:c r="AY30" s="1306" t="b">
        <x:f t="shared" si="35"/>
        <x:v>0</x:v>
      </x:c>
      <x:c r="AZ30" s="1090" t="b">
        <x:f t="shared" si="36"/>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37"/>
        <x:v/>
      </x:c>
      <x:c r="CE30" s="935" t="str">
        <x:f t="shared" si="38"/>
        <x:v/>
      </x:c>
      <x:c r="CF30" s="1149"/>
      <x:c r="CG30" s="1150"/>
      <x:c r="CH30" s="738" t="str">
        <x:f t="shared" si="39"/>
        <x:v/>
      </x:c>
      <x:c r="CI30" s="739" t="str">
        <x:f t="shared" si="40"/>
        <x:v/>
      </x:c>
      <x:c r="CJ30" s="740" t="str">
        <x:f t="shared" si="41"/>
        <x:v/>
      </x:c>
      <x:c r="CK30" s="741" t="str">
        <x:f t="shared" si="42"/>
        <x:v/>
      </x:c>
      <x:c r="CL30" s="742" t="str">
        <x:f t="shared" si="43"/>
        <x:v/>
      </x:c>
      <x:c r="CM30" s="743" t="str">
        <x:f t="shared" si="44"/>
        <x:v/>
      </x:c>
      <x:c r="CN30" s="744" t="str">
        <x:f t="shared" si="45"/>
        <x:v/>
      </x:c>
      <x:c r="CO30" s="745" t="str">
        <x:f t="shared" si="46"/>
        <x:v/>
      </x:c>
      <x:c r="CP30" s="762" t="str">
        <x:f t="shared" si="47"/>
        <x:v/>
      </x:c>
      <x:c r="CQ30" s="763" t="str">
        <x:f t="shared" si="48"/>
        <x:v/>
      </x:c>
      <x:c r="CR30" s="953">
        <x:f t="shared" si="49"/>
        <x:v>5</x:v>
      </x:c>
      <x:c r="CS30" s="954">
        <x:f t="shared" si="50"/>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51"/>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52"/>
        <x:v>0</x:v>
      </x:c>
      <x:c r="DO30" s="1049">
        <x:f t="shared" si="53"/>
        <x:v>0</x:v>
      </x:c>
      <x:c r="DP30" s="1053" t="str">
        <x:f t="shared" si="54"/>
        <x:v/>
      </x:c>
      <x:c r="DQ30" s="1053" t="str">
        <x:f t="shared" si="55"/>
        <x:v/>
      </x:c>
      <x:c r="DR30" s="1053" t="str">
        <x:f t="shared" si="56"/>
        <x:v/>
      </x:c>
      <x:c r="DS30" s="1052">
        <x:f t="shared" si="57"/>
        <x:v>0</x:v>
      </x:c>
      <x:c r="DT30" s="1052">
        <x:f t="shared" si="58"/>
        <x:v>0</x:v>
      </x:c>
      <x:c r="DU30" s="1052" t="str">
        <x:f t="shared" si="59"/>
        <x:v/>
      </x:c>
      <x:c r="DV30" s="1053" t="str">
        <x:f t="shared" si="60"/>
        <x:v/>
      </x:c>
      <x:c r="DW30" s="1053" t="str">
        <x:f t="shared" si="61"/>
        <x:v/>
      </x:c>
      <x:c r="DX30" s="1269">
        <x:f t="shared" si="62"/>
        <x:v>0</x:v>
      </x:c>
      <x:c r="DY30" s="1053">
        <x:f t="shared" si="63"/>
        <x:v>0</x:v>
      </x:c>
      <x:c r="DZ30" s="1052">
        <x:f t="shared" si="64"/>
        <x:v>0</x:v>
      </x:c>
      <x:c r="EA30" s="1052" t="str">
        <x:f t="shared" si="65"/>
        <x:v/>
      </x:c>
      <x:c r="EB30" s="1053" t="str">
        <x:f t="shared" si="66"/>
        <x:v/>
      </x:c>
      <x:c r="EC30" s="1053" t="str">
        <x:f t="shared" si="67"/>
        <x:v/>
      </x:c>
      <x:c r="ED30" s="1269">
        <x:f t="shared" si="68"/>
        <x:v>0</x:v>
      </x:c>
      <x:c r="EE30" s="1090" t="str">
        <x:f t="shared" si="69"/>
        <x:v/>
      </x:c>
      <x:c r="EF30" s="1053" t="str">
        <x:f t="shared" si="70"/>
        <x:v/>
      </x:c>
      <x:c r="EG30" s="1053" t="str">
        <x:f t="shared" si="71"/>
        <x:v/>
      </x:c>
      <x:c r="EH30" s="1053" t="str">
        <x:f t="shared" si="72"/>
        <x:v>ERR</x:v>
      </x:c>
      <x:c r="EI30" s="1053" t="str">
        <x:f t="shared" si="73"/>
        <x:v>ERR</x:v>
      </x:c>
      <x:c r="EJ30" s="1053" t="str">
        <x:f t="shared" si="74"/>
        <x:v/>
      </x:c>
      <x:c r="EK30" s="1053" t="str">
        <x:f t="shared" si="74"/>
        <x:v/>
      </x:c>
      <x:c r="EL30" s="1090" t="str">
        <x:f t="shared" si="75"/>
        <x:v/>
      </x:c>
      <x:c r="EM30" s="1053" t="str">
        <x:f t="shared" si="76"/>
        <x:v/>
      </x:c>
      <x:c r="EN30" s="1053" t="str">
        <x:f t="shared" si="77"/>
        <x:v/>
      </x:c>
      <x:c r="EO30" s="1053" t="str">
        <x:f t="shared" si="78"/>
        <x:v>ERR</x:v>
      </x:c>
      <x:c r="EP30" s="1053" t="str">
        <x:f t="shared" si="79"/>
        <x:v>ERR</x:v>
      </x:c>
      <x:c r="EQ30" s="1053" t="str">
        <x:f t="shared" si="80"/>
        <x:v/>
      </x:c>
      <x:c r="ER30" s="1053" t="str">
        <x:f t="shared" si="80"/>
        <x:v/>
      </x:c>
      <x:c r="ES30" s="1053" t="str">
        <x:f t="shared" si="81"/>
        <x:v/>
      </x:c>
      <x:c r="ET30" s="1053" t="str">
        <x:f t="shared" si="82"/>
        <x:v/>
      </x:c>
      <x:c r="EU30" s="1061">
        <x:f t="shared" si="83"/>
        <x:v>4</x:v>
      </x:c>
      <x:c r="EV30" s="1055" t="str">
        <x:f t="shared" si="84"/>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85"/>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86"/>
        <x:v/>
      </x:c>
      <x:c r="FD30" s="1052">
        <x:f t="shared" si="108"/>
        <x:v>0</x:v>
      </x:c>
      <x:c r="FE30" s="1052">
        <x:f t="shared" si="87"/>
        <x:v>0</x:v>
      </x:c>
      <x:c r="FF30" s="1052">
        <x:f t="shared" si="88"/>
        <x:v>0</x:v>
      </x:c>
      <x:c r="FG30" s="1052" t="str">
        <x:f t="shared" si="89"/>
        <x:v/>
      </x:c>
      <x:c r="FH30" s="1053" t="str">
        <x:f t="shared" si="90"/>
        <x:v/>
      </x:c>
      <x:c r="FI30" s="1052">
        <x:f t="shared" si="109"/>
        <x:v>0</x:v>
      </x:c>
      <x:c r="FJ30" s="1052">
        <x:f t="shared" si="91"/>
        <x:v>0</x:v>
      </x:c>
      <x:c r="FK30" s="1052">
        <x:f t="shared" si="92"/>
        <x:v>0</x:v>
      </x:c>
      <x:c r="FL30" s="1052" t="str">
        <x:f t="shared" si="93"/>
        <x:v/>
      </x:c>
      <x:c r="FM30" s="1053" t="str">
        <x:f t="shared" si="94"/>
        <x:v/>
      </x:c>
      <x:c r="FN30" s="1053" t="e">
        <x:f t="shared" si="95"/>
        <x:v>#VALUE!</x:v>
      </x:c>
      <x:c r="FO30" s="1062" t="e">
        <x:f t="shared" si="96"/>
        <x:v>#VALUE!</x:v>
      </x:c>
      <x:c r="FP30" s="1062" t="e">
        <x:f t="shared" si="97"/>
        <x:v>#VALUE!</x:v>
      </x:c>
      <x:c r="FQ30" s="1063" t="e">
        <x:f t="shared" si="98"/>
        <x:v>#VALUE!</x:v>
      </x:c>
      <x:c r="FR30" s="1064" t="e">
        <x:f t="shared" si="99"/>
        <x:v>#VALUE!</x:v>
      </x:c>
      <x:c r="FS30" s="1065" t="str">
        <x:f t="shared" si="100"/>
        <x:v/>
      </x:c>
      <x:c r="FT30" s="1066" t="str">
        <x:f t="shared" si="101"/>
        <x:v/>
      </x:c>
      <x:c r="FU30" s="1105">
        <x:f t="shared" si="102"/>
        <x:v>0</x:v>
      </x:c>
      <x:c r="FV30" s="1106">
        <x:f t="shared" si="103"/>
        <x:v>0</x:v>
      </x:c>
      <x:c r="GA30" s="1975">
        <x:v>59</x:v>
      </x:c>
      <x:c r="GB30" s="1976">
        <x:v>2.75</x:v>
      </x:c>
      <x:c r="GC30" s="1977">
        <x:v>-0.5</x:v>
      </x:c>
      <x:c r="GD30" s="1978">
        <x:v>-0.25</x:v>
      </x:c>
      <x:c r="GE30" s="1979">
        <x:v>0.228712349093835</x:v>
      </x:c>
      <x:c r="GF30" s="1980" t="str">
        <x:f t="shared" si="104"/>
        <x:v>J281</x:v>
      </x:c>
      <x:c r="GG30" s="1453"/>
      <x:c r="GH30" s="1454"/>
      <x:c r="GI30" s="1453"/>
      <x:c r="GJ30" s="1454"/>
      <x:c r="GK30" s="533">
        <x:f t="shared" si="105"/>
        <x:v>710</x:v>
      </x:c>
      <x:c r="GL30" s="534">
        <x:f t="shared" si="106"/>
        <x:v>710.12894534100474</x:v>
      </x:c>
      <x:c r="GM30" s="535">
        <x:f>IF(ABS(GK30-GL30)&gt;='Job Info.'!$L$22,ABS(GK30-GL30),0)</x:f>
        <x:v>0</x:v>
      </x:c>
      <x:c r="HA30" s="1658" t="s">
        <x:v>1605</x:v>
      </x:c>
      <x:c r="HB30" s="1659">
        <x:v>2</x:v>
      </x:c>
      <x:c r="HC30" s="1659" t="s">
        <x:v>1978</x:v>
      </x:c>
      <x:c r="HD30" s="1660">
        <x:v>59</x:v>
      </x:c>
      <x:c r="HE30" s="1661">
        <x:v>2</x:v>
      </x:c>
      <x:c r="HF30" s="1659" t="s">
        <x:v>117</x:v>
      </x:c>
      <x:c r="HG30" s="1659" t="s">
        <x:v>117</x:v>
      </x:c>
      <x:c r="HH30" s="1659" t="s">
        <x:v>117</x:v>
      </x:c>
      <x:c r="HI30" s="1662">
        <x:v>0</x:v>
      </x:c>
      <x:c r="HJ30" s="1659">
        <x:v>1.375</x:v>
      </x:c>
      <x:c r="HK30" s="1659" t="s">
        <x:v>114</x:v>
      </x:c>
      <x:c r="HL30" s="1659">
        <x:v>3</x:v>
      </x:c>
      <x:c r="HM30" s="1659">
        <x:v>3</x:v>
      </x:c>
      <x:c r="HN30" s="1659" t="s">
        <x:v>117</x:v>
      </x:c>
      <x:c r="HO30" s="1659" t="s">
        <x:v>117</x:v>
      </x:c>
      <x:c r="HP30" s="1659" t="s">
        <x:v>117</x:v>
      </x:c>
      <x:c r="HQ30" s="1662" t="s">
        <x:v>117</x:v>
      </x:c>
      <x:c r="HR30" s="1659" t="s">
        <x:v>117</x:v>
      </x:c>
      <x:c r="HS30" s="1659" t="s">
        <x:v>117</x:v>
      </x:c>
      <x:c r="HT30" s="1659" t="s">
        <x:v>117</x:v>
      </x:c>
      <x:c r="HU30" s="1659" t="s">
        <x:v>117</x:v>
      </x:c>
      <x:c r="HV30" s="1659" t="s">
        <x:v>117</x:v>
      </x:c>
      <x:c r="HW30" s="1661" t="s">
        <x:v>117</x:v>
      </x:c>
      <x:c r="HX30" s="1661">
        <x:v>0</x:v>
      </x:c>
      <x:c r="HY30" s="1661" t="s">
        <x:v>117</x:v>
      </x:c>
      <x:c r="HZ30" s="1661" t="s">
        <x:v>117</x:v>
      </x:c>
      <x:c r="IA30" s="1661" t="s">
        <x:v>2182</x:v>
      </x:c>
      <x:c r="IB30" s="1661"/>
      <x:c r="IC30" s="1661"/>
      <x:c r="ID30" s="1661"/>
      <x:c r="IE30" s="1661"/>
      <x:c r="IF30" s="1663"/>
    </x:row>
    <x:row r="31" spans="1:240" ht="12.6" customHeight="1" x14ac:dyDescent="0.25">
      <x:c r="A31" s="1264" t="s">
        <x:v>1606</x:v>
      </x:c>
      <x:c r="B31" s="1265">
        <x:v>1</x:v>
      </x:c>
      <x:c r="C31" s="1265" t="s">
        <x:v>1978</x:v>
      </x:c>
      <x:c r="D31" s="1261">
        <x:v>59</x:v>
      </x:c>
      <x:c r="E31" s="1366">
        <x:v>1.25</x:v>
      </x:c>
      <x:c r="F31" s="1328" t="str">
        <x:f t="shared" si="1"/>
        <x:v/>
      </x:c>
      <x:c r="G31" s="1262" t="str">
        <x:f t="shared" si="2"/>
        <x:v/>
      </x:c>
      <x:c r="H31" s="1266" t="str">
        <x:f t="shared" si="3"/>
        <x:v/>
      </x:c>
      <x:c r="I31" s="1261">
        <x:v>0</x:v>
      </x:c>
      <x:c r="J31" s="1262">
        <x:v>0.625</x:v>
      </x:c>
      <x:c r="K31" s="1370" t="s">
        <x:v>114</x:v>
      </x:c>
      <x:c r="L31" s="1327">
        <x:v>3</x:v>
      </x:c>
      <x:c r="M31" s="1329">
        <x:v>3</x:v>
      </x:c>
      <x:c r="N31" s="1263" t="str">
        <x:f t="shared" si="4"/>
        <x:v/>
      </x:c>
      <x:c r="O31" s="1262" t="str">
        <x:f t="shared" si="5"/>
        <x:v/>
      </x:c>
      <x:c r="P31" s="1260" t="str">
        <x:f t="shared" si="6"/>
        <x:v/>
      </x:c>
      <x:c r="Q31" s="1261">
        <x:v>0</x:v>
      </x:c>
      <x:c r="R31" s="1262">
        <x:v>6.625</x:v>
      </x:c>
      <x:c r="S31" s="1375">
        <x:v>2</x:v>
      </x:c>
      <x:c r="T31" s="1328">
        <x:v>0</x:v>
      </x:c>
      <x:c r="U31" s="1262">
        <x:v>2</x:v>
      </x:c>
      <x:c r="V31" s="1261">
        <x:v>0</x:v>
      </x:c>
      <x:c r="W31" s="1262">
        <x:v>1.5</x:v>
      </x:c>
      <x:c r="X31" s="1329">
        <x:v>4</x:v>
      </x:c>
      <x:c r="Y31" s="1377" t="str">
        <x:f t="shared" si="15"/>
        <x:v/>
      </x:c>
      <x:c r="Z31" s="1378" t="str">
        <x:f t="shared" si="16"/>
        <x:v/>
      </x:c>
      <x:c r="AA31" s="2159" t="s">
        <x:v>2181</x:v>
      </x:c>
      <x:c r="AC31" s="1226" t="b">
        <x:v>0</x:v>
      </x:c>
      <x:c r="AD31" s="525">
        <x:f t="shared" si="17"/>
        <x:v>0</x:v>
      </x:c>
      <x:c r="AE31" s="526">
        <x:f t="shared" si="18"/>
        <x:v>1</x:v>
      </x:c>
      <x:c r="AF31" s="526">
        <x:f t="shared" si="19"/>
        <x:v>0</x:v>
      </x:c>
      <x:c r="AG31" s="526">
        <x:f t="shared" si="20"/>
        <x:v>0</x:v>
      </x:c>
      <x:c r="AH31" s="527">
        <x:f t="shared" si="21"/>
        <x:v>0</x:v>
      </x:c>
      <x:c r="AI31" s="528" t="b">
        <x:v>0</x:v>
      </x:c>
      <x:c r="AJ31" s="284">
        <x:f t="shared" si="22"/>
        <x:v>36</x:v>
      </x:c>
      <x:c r="AK31" s="1063" t="str">
        <x:f t="shared" si="23"/>
        <x:v>LH</x:v>
      </x:c>
      <x:c r="AL31" s="1202" t="str">
        <x:f t="shared" si="24"/>
        <x:v/>
      </x:c>
      <x:c r="AM31" s="1063">
        <x:f t="shared" si="25"/>
        <x:v>270</x:v>
      </x:c>
      <x:c r="AN31" s="1063">
        <x:f t="shared" si="26"/>
        <x:v>120</x:v>
      </x:c>
      <x:c r="AO31" s="1063" t="str">
        <x:f t="shared" si="27"/>
        <x:v/>
      </x:c>
      <x:c r="AP31" s="1063" t="b">
        <x:f>IF(ISERROR(AJ31),FALSE,IF(OR(AJ31=0,ISERROR(AL31),ISERROR(AM31),ISERROR(AN31),ISERROR(AO31)),FALSE,IF(AL31&lt;&gt;"",IF(ISERROR(VLOOKUP(SUBSTITUTE(SUBSTITUTE(C31,"R",""),"A",""),TblJoistSize!$A:$A,1,FALSE)),FALSE,TRUE),TRUE)))</x:f>
        <x:v>1</x:v>
      </x:c>
      <x:c r="AQ31" s="1305">
        <x:f t="shared" si="28"/>
        <x:v>6</x:v>
      </x:c>
      <x:c r="AR31" s="1305" t="b">
        <x:f t="shared" si="29"/>
        <x:v>1</x:v>
      </x:c>
      <x:c r="AS31" s="1305">
        <x:f t="shared" si="30"/>
        <x:v>6.625</x:v>
      </x:c>
      <x:c r="AT31" s="1305" t="b">
        <x:f t="shared" si="31"/>
        <x:v>1</x:v>
      </x:c>
      <x:c r="AU31" s="1203" t="str">
        <x:f t="shared" si="32"/>
        <x:v>LH</x:v>
      </x:c>
      <x:c r="AV31" s="1063" t="str">
        <x:f t="shared" si="33"/>
        <x:v/>
      </x:c>
      <x:c r="AW31" s="1063" t="str">
        <x:f t="shared" si="34"/>
        <x:v>LH</x:v>
      </x:c>
      <x:c r="AX31" s="1063" t="str">
        <x:f t="shared" si="107"/>
        <x:v>TJ282</x:v>
      </x:c>
      <x:c r="AY31" s="1306" t="b">
        <x:f t="shared" si="35"/>
        <x:v>0</x:v>
      </x:c>
      <x:c r="AZ31" s="1090" t="b">
        <x:f t="shared" si="36"/>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37"/>
        <x:v/>
      </x:c>
      <x:c r="CE31" s="935" t="str">
        <x:f t="shared" si="38"/>
        <x:v/>
      </x:c>
      <x:c r="CF31" s="1149"/>
      <x:c r="CG31" s="1150"/>
      <x:c r="CH31" s="738" t="str">
        <x:f t="shared" si="39"/>
        <x:v/>
      </x:c>
      <x:c r="CI31" s="739" t="str">
        <x:f t="shared" si="40"/>
        <x:v/>
      </x:c>
      <x:c r="CJ31" s="740" t="str">
        <x:f t="shared" si="41"/>
        <x:v/>
      </x:c>
      <x:c r="CK31" s="741" t="str">
        <x:f t="shared" si="42"/>
        <x:v/>
      </x:c>
      <x:c r="CL31" s="742" t="str">
        <x:f t="shared" si="43"/>
        <x:v/>
      </x:c>
      <x:c r="CM31" s="743" t="str">
        <x:f t="shared" si="44"/>
        <x:v/>
      </x:c>
      <x:c r="CN31" s="744" t="str">
        <x:f t="shared" si="45"/>
        <x:v/>
      </x:c>
      <x:c r="CO31" s="745" t="str">
        <x:f t="shared" si="46"/>
        <x:v/>
      </x:c>
      <x:c r="CP31" s="762" t="str">
        <x:f t="shared" si="47"/>
        <x:v/>
      </x:c>
      <x:c r="CQ31" s="763" t="str">
        <x:f t="shared" si="48"/>
        <x:v/>
      </x:c>
      <x:c r="CR31" s="953">
        <x:f t="shared" si="49"/>
        <x:v>5</x:v>
      </x:c>
      <x:c r="CS31" s="954">
        <x:f t="shared" si="50"/>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51"/>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52"/>
        <x:v>0</x:v>
      </x:c>
      <x:c r="DO31" s="1049">
        <x:f t="shared" si="53"/>
        <x:v>0</x:v>
      </x:c>
      <x:c r="DP31" s="1053" t="str">
        <x:f t="shared" si="54"/>
        <x:v/>
      </x:c>
      <x:c r="DQ31" s="1053" t="str">
        <x:f t="shared" si="55"/>
        <x:v/>
      </x:c>
      <x:c r="DR31" s="1053" t="str">
        <x:f t="shared" si="56"/>
        <x:v/>
      </x:c>
      <x:c r="DS31" s="1052">
        <x:f t="shared" si="57"/>
        <x:v>0</x:v>
      </x:c>
      <x:c r="DT31" s="1052">
        <x:f t="shared" si="58"/>
        <x:v>0</x:v>
      </x:c>
      <x:c r="DU31" s="1052" t="str">
        <x:f t="shared" si="59"/>
        <x:v/>
      </x:c>
      <x:c r="DV31" s="1053" t="str">
        <x:f t="shared" si="60"/>
        <x:v/>
      </x:c>
      <x:c r="DW31" s="1053" t="str">
        <x:f t="shared" si="61"/>
        <x:v/>
      </x:c>
      <x:c r="DX31" s="1269">
        <x:f t="shared" si="62"/>
        <x:v>0</x:v>
      </x:c>
      <x:c r="DY31" s="1053">
        <x:f t="shared" si="63"/>
        <x:v>0</x:v>
      </x:c>
      <x:c r="DZ31" s="1052">
        <x:f t="shared" si="64"/>
        <x:v>0</x:v>
      </x:c>
      <x:c r="EA31" s="1052" t="str">
        <x:f t="shared" si="65"/>
        <x:v/>
      </x:c>
      <x:c r="EB31" s="1053" t="str">
        <x:f t="shared" si="66"/>
        <x:v/>
      </x:c>
      <x:c r="EC31" s="1053" t="str">
        <x:f t="shared" si="67"/>
        <x:v/>
      </x:c>
      <x:c r="ED31" s="1269">
        <x:f t="shared" si="68"/>
        <x:v>0</x:v>
      </x:c>
      <x:c r="EE31" s="1090" t="str">
        <x:f t="shared" si="69"/>
        <x:v/>
      </x:c>
      <x:c r="EF31" s="1053" t="str">
        <x:f t="shared" si="70"/>
        <x:v/>
      </x:c>
      <x:c r="EG31" s="1053" t="str">
        <x:f t="shared" si="71"/>
        <x:v/>
      </x:c>
      <x:c r="EH31" s="1053" t="str">
        <x:f t="shared" si="72"/>
        <x:v>ERR</x:v>
      </x:c>
      <x:c r="EI31" s="1053" t="str">
        <x:f t="shared" si="73"/>
        <x:v>ERR</x:v>
      </x:c>
      <x:c r="EJ31" s="1053" t="str">
        <x:f t="shared" si="74"/>
        <x:v/>
      </x:c>
      <x:c r="EK31" s="1053" t="str">
        <x:f t="shared" si="74"/>
        <x:v/>
      </x:c>
      <x:c r="EL31" s="1090" t="str">
        <x:f t="shared" si="75"/>
        <x:v/>
      </x:c>
      <x:c r="EM31" s="1053" t="str">
        <x:f t="shared" si="76"/>
        <x:v/>
      </x:c>
      <x:c r="EN31" s="1053" t="str">
        <x:f t="shared" si="77"/>
        <x:v/>
      </x:c>
      <x:c r="EO31" s="1053" t="str">
        <x:f t="shared" si="78"/>
        <x:v>ERR</x:v>
      </x:c>
      <x:c r="EP31" s="1053" t="str">
        <x:f t="shared" si="79"/>
        <x:v>ERR</x:v>
      </x:c>
      <x:c r="EQ31" s="1053" t="str">
        <x:f t="shared" si="80"/>
        <x:v/>
      </x:c>
      <x:c r="ER31" s="1053" t="str">
        <x:f t="shared" si="80"/>
        <x:v/>
      </x:c>
      <x:c r="ES31" s="1053" t="str">
        <x:f t="shared" si="81"/>
        <x:v/>
      </x:c>
      <x:c r="ET31" s="1053" t="str">
        <x:f t="shared" si="82"/>
        <x:v/>
      </x:c>
      <x:c r="EU31" s="1061">
        <x:f t="shared" si="83"/>
        <x:v>4</x:v>
      </x:c>
      <x:c r="EV31" s="1055" t="str">
        <x:f t="shared" si="84"/>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85"/>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86"/>
        <x:v/>
      </x:c>
      <x:c r="FD31" s="1052">
        <x:f t="shared" si="108"/>
        <x:v>0</x:v>
      </x:c>
      <x:c r="FE31" s="1052">
        <x:f t="shared" si="87"/>
        <x:v>0</x:v>
      </x:c>
      <x:c r="FF31" s="1052">
        <x:f t="shared" si="88"/>
        <x:v>0</x:v>
      </x:c>
      <x:c r="FG31" s="1052" t="str">
        <x:f t="shared" si="89"/>
        <x:v/>
      </x:c>
      <x:c r="FH31" s="1053" t="str">
        <x:f t="shared" si="90"/>
        <x:v/>
      </x:c>
      <x:c r="FI31" s="1052">
        <x:f t="shared" si="109"/>
        <x:v>0</x:v>
      </x:c>
      <x:c r="FJ31" s="1052">
        <x:f t="shared" si="91"/>
        <x:v>0</x:v>
      </x:c>
      <x:c r="FK31" s="1052">
        <x:f t="shared" si="92"/>
        <x:v>0</x:v>
      </x:c>
      <x:c r="FL31" s="1052" t="str">
        <x:f t="shared" si="93"/>
        <x:v/>
      </x:c>
      <x:c r="FM31" s="1053" t="str">
        <x:f t="shared" si="94"/>
        <x:v/>
      </x:c>
      <x:c r="FN31" s="1053" t="e">
        <x:f t="shared" si="95"/>
        <x:v>#VALUE!</x:v>
      </x:c>
      <x:c r="FO31" s="1062" t="e">
        <x:f t="shared" si="96"/>
        <x:v>#VALUE!</x:v>
      </x:c>
      <x:c r="FP31" s="1062" t="e">
        <x:f t="shared" si="97"/>
        <x:v>#VALUE!</x:v>
      </x:c>
      <x:c r="FQ31" s="1063" t="e">
        <x:f t="shared" si="98"/>
        <x:v>#VALUE!</x:v>
      </x:c>
      <x:c r="FR31" s="1064" t="e">
        <x:f t="shared" si="99"/>
        <x:v>#VALUE!</x:v>
      </x:c>
      <x:c r="FS31" s="1065" t="str">
        <x:f t="shared" si="100"/>
        <x:v/>
      </x:c>
      <x:c r="FT31" s="1066" t="str">
        <x:f t="shared" si="101"/>
        <x:v/>
      </x:c>
      <x:c r="FU31" s="1105">
        <x:f t="shared" si="102"/>
        <x:v>0</x:v>
      </x:c>
      <x:c r="FV31" s="1106">
        <x:f t="shared" si="103"/>
        <x:v>0</x:v>
      </x:c>
      <x:c r="GA31" s="1975">
        <x:v>59</x:v>
      </x:c>
      <x:c r="GB31" s="1976">
        <x:v>2.75</x:v>
      </x:c>
      <x:c r="GC31" s="1977">
        <x:v>-0.5</x:v>
      </x:c>
      <x:c r="GD31" s="1978">
        <x:v>-1</x:v>
      </x:c>
      <x:c r="GE31" s="1979">
        <x:v>0.227928244811819</x:v>
      </x:c>
      <x:c r="GF31" s="1980" t="str">
        <x:f t="shared" si="104"/>
        <x:v>TJ282</x:v>
      </x:c>
      <x:c r="GG31" s="1453"/>
      <x:c r="GH31" s="1454"/>
      <x:c r="GI31" s="1453"/>
      <x:c r="GJ31" s="1454"/>
      <x:c r="GK31" s="533">
        <x:f t="shared" si="105"/>
        <x:v>709.25</x:v>
      </x:c>
      <x:c r="GL31" s="534">
        <x:f t="shared" si="106"/>
        <x:v>709.37792752094606</x:v>
      </x:c>
      <x:c r="GM31" s="535">
        <x:f>IF(ABS(GK31-GL31)&gt;='Job Info.'!$L$22,ABS(GK31-GL31),0)</x:f>
        <x:v>0</x:v>
      </x:c>
      <x:c r="HA31" s="1658" t="s">
        <x:v>1606</x:v>
      </x:c>
      <x:c r="HB31" s="1659">
        <x:v>1</x:v>
      </x:c>
      <x:c r="HC31" s="1659" t="s">
        <x:v>1978</x:v>
      </x:c>
      <x:c r="HD31" s="1660">
        <x:v>59</x:v>
      </x:c>
      <x:c r="HE31" s="1661">
        <x:v>1.25</x:v>
      </x:c>
      <x:c r="HF31" s="1659" t="s">
        <x:v>117</x:v>
      </x:c>
      <x:c r="HG31" s="1659" t="s">
        <x:v>117</x:v>
      </x:c>
      <x:c r="HH31" s="1659" t="s">
        <x:v>117</x:v>
      </x:c>
      <x:c r="HI31" s="1662">
        <x:v>0</x:v>
      </x:c>
      <x:c r="HJ31" s="1659">
        <x:v>0.625</x:v>
      </x:c>
      <x:c r="HK31" s="1659" t="s">
        <x:v>114</x:v>
      </x:c>
      <x:c r="HL31" s="1659">
        <x:v>3</x:v>
      </x:c>
      <x:c r="HM31" s="1659">
        <x:v>3</x:v>
      </x:c>
      <x:c r="HN31" s="1659" t="s">
        <x:v>117</x:v>
      </x:c>
      <x:c r="HO31" s="1659" t="s">
        <x:v>117</x:v>
      </x:c>
      <x:c r="HP31" s="1659" t="s">
        <x:v>117</x:v>
      </x:c>
      <x:c r="HQ31" s="1662">
        <x:v>0</x:v>
      </x:c>
      <x:c r="HR31" s="1659">
        <x:v>6.625</x:v>
      </x:c>
      <x:c r="HS31" s="1659">
        <x:v>2</x:v>
      </x:c>
      <x:c r="HT31" s="1659">
        <x:v>0</x:v>
      </x:c>
      <x:c r="HU31" s="1659">
        <x:v>2</x:v>
      </x:c>
      <x:c r="HV31" s="1659">
        <x:v>0</x:v>
      </x:c>
      <x:c r="HW31" s="1661">
        <x:v>1.5</x:v>
      </x:c>
      <x:c r="HX31" s="1661">
        <x:v>4</x:v>
      </x:c>
      <x:c r="HY31" s="1661" t="s">
        <x:v>117</x:v>
      </x:c>
      <x:c r="HZ31" s="1661" t="s">
        <x:v>117</x:v>
      </x:c>
      <x:c r="IA31" s="1661" t="s">
        <x:v>2181</x:v>
      </x:c>
      <x:c r="IB31" s="1661"/>
      <x:c r="IC31" s="1661"/>
      <x:c r="ID31" s="1661"/>
      <x:c r="IE31" s="1661"/>
      <x:c r="IF31" s="1663"/>
    </x:row>
    <x:row r="32" spans="1:240" ht="12.6" customHeight="1" x14ac:dyDescent="0.25">
      <x:c r="A32" s="1264" t="s">
        <x:v>1607</x:v>
      </x:c>
      <x:c r="B32" s="1265">
        <x:v>2</x:v>
      </x:c>
      <x:c r="C32" s="1265" t="s">
        <x:v>1978</x:v>
      </x:c>
      <x:c r="D32" s="1261">
        <x:v>59</x:v>
      </x:c>
      <x:c r="E32" s="1366">
        <x:v>2</x:v>
      </x:c>
      <x:c r="F32" s="1328" t="str">
        <x:f t="shared" si="1"/>
        <x:v/>
      </x:c>
      <x:c r="G32" s="1262" t="str">
        <x:f t="shared" si="2"/>
        <x:v/>
      </x:c>
      <x:c r="H32" s="1266" t="str">
        <x:f t="shared" si="3"/>
        <x:v/>
      </x:c>
      <x:c r="I32" s="1261">
        <x:v>0</x:v>
      </x:c>
      <x:c r="J32" s="1262">
        <x:v>1.375</x:v>
      </x:c>
      <x:c r="K32" s="1370" t="s">
        <x:v>114</x:v>
      </x:c>
      <x:c r="L32" s="1327">
        <x:v>3</x:v>
      </x:c>
      <x:c r="M32" s="1329">
        <x:v>3</x:v>
      </x:c>
      <x:c r="N32" s="1263" t="str">
        <x:f t="shared" si="4"/>
        <x:v/>
      </x:c>
      <x:c r="O32" s="1262" t="str">
        <x:f t="shared" si="5"/>
        <x:v/>
      </x:c>
      <x:c r="P32" s="1260" t="str">
        <x:f t="shared" si="6"/>
        <x:v/>
      </x:c>
      <x:c r="Q32" s="1261" t="str">
        <x:f t="shared" si="7"/>
        <x:v/>
      </x:c>
      <x:c r="R32" s="1262" t="str">
        <x:f t="shared" si="8"/>
        <x:v/>
      </x:c>
      <x:c r="S32" s="1375" t="str">
        <x:f t="shared" si="9"/>
        <x:v/>
      </x:c>
      <x:c r="T32" s="1328" t="str">
        <x:f t="shared" si="10"/>
        <x:v/>
      </x:c>
      <x:c r="U32" s="1262" t="str">
        <x:f t="shared" si="11"/>
        <x:v/>
      </x:c>
      <x:c r="V32" s="1261" t="str">
        <x:f t="shared" si="12"/>
        <x:v/>
      </x:c>
      <x:c r="W32" s="1262" t="str">
        <x:f t="shared" si="13"/>
        <x:v/>
      </x:c>
      <x:c r="X32" s="1329">
        <x:f t="shared" si="14"/>
        <x:v>0</x:v>
      </x:c>
      <x:c r="Y32" s="1377" t="str">
        <x:f t="shared" si="15"/>
        <x:v/>
      </x:c>
      <x:c r="Z32" s="1378" t="str">
        <x:f t="shared" si="16"/>
        <x:v/>
      </x:c>
      <x:c r="AA32" s="2159" t="s">
        <x:v>2184</x:v>
      </x:c>
      <x:c r="AC32" s="1226" t="b">
        <x:v>0</x:v>
      </x:c>
      <x:c r="AD32" s="525">
        <x:f t="shared" si="17"/>
        <x:v>0</x:v>
      </x:c>
      <x:c r="AE32" s="526">
        <x:f t="shared" si="18"/>
        <x:v>2</x:v>
      </x:c>
      <x:c r="AF32" s="526">
        <x:f t="shared" si="19"/>
        <x:v>0</x:v>
      </x:c>
      <x:c r="AG32" s="526">
        <x:f t="shared" si="20"/>
        <x:v>0</x:v>
      </x:c>
      <x:c r="AH32" s="527">
        <x:f t="shared" si="21"/>
        <x:v>0</x:v>
      </x:c>
      <x:c r="AI32" s="528" t="b">
        <x:v>0</x:v>
      </x:c>
      <x:c r="AJ32" s="284">
        <x:f t="shared" si="22"/>
        <x:v>36</x:v>
      </x:c>
      <x:c r="AK32" s="1063" t="str">
        <x:f t="shared" si="23"/>
        <x:v>LH</x:v>
      </x:c>
      <x:c r="AL32" s="1202" t="str">
        <x:f t="shared" si="24"/>
        <x:v/>
      </x:c>
      <x:c r="AM32" s="1063">
        <x:f t="shared" si="25"/>
        <x:v>270</x:v>
      </x:c>
      <x:c r="AN32" s="1063">
        <x:f t="shared" si="26"/>
        <x:v>120</x:v>
      </x:c>
      <x:c r="AO32" s="1063" t="str">
        <x:f t="shared" si="27"/>
        <x:v/>
      </x:c>
      <x:c r="AP32" s="1063" t="b">
        <x:f>IF(ISERROR(AJ32),FALSE,IF(OR(AJ32=0,ISERROR(AL32),ISERROR(AM32),ISERROR(AN32),ISERROR(AO32)),FALSE,IF(AL32&lt;&gt;"",IF(ISERROR(VLOOKUP(SUBSTITUTE(SUBSTITUTE(C32,"R",""),"A",""),TblJoistSize!$A:$A,1,FALSE)),FALSE,TRUE),TRUE)))</x:f>
        <x:v>1</x:v>
      </x:c>
      <x:c r="AQ32" s="1305">
        <x:f t="shared" si="28"/>
        <x:v>6</x:v>
      </x:c>
      <x:c r="AR32" s="1305" t="b">
        <x:f t="shared" si="29"/>
        <x:v>0</x:v>
      </x:c>
      <x:c r="AS32" s="1305">
        <x:f t="shared" si="30"/>
        <x:v>7.375</x:v>
      </x:c>
      <x:c r="AT32" s="1305" t="b">
        <x:f t="shared" si="31"/>
        <x:v>0</x:v>
      </x:c>
      <x:c r="AU32" s="1203" t="str">
        <x:f t="shared" si="32"/>
        <x:v>LH</x:v>
      </x:c>
      <x:c r="AV32" s="1063" t="str">
        <x:f t="shared" si="33"/>
        <x:v/>
      </x:c>
      <x:c r="AW32" s="1063" t="str">
        <x:f t="shared" si="34"/>
        <x:v>LH</x:v>
      </x:c>
      <x:c r="AX32" s="1063" t="str">
        <x:f t="shared" si="107"/>
        <x:v>J283</x:v>
      </x:c>
      <x:c r="AY32" s="1306" t="b">
        <x:f t="shared" si="35"/>
        <x:v>0</x:v>
      </x:c>
      <x:c r="AZ32" s="1090" t="b">
        <x:f t="shared" si="36"/>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37"/>
        <x:v/>
      </x:c>
      <x:c r="CE32" s="935" t="str">
        <x:f t="shared" si="38"/>
        <x:v/>
      </x:c>
      <x:c r="CF32" s="1149"/>
      <x:c r="CG32" s="1150"/>
      <x:c r="CH32" s="738" t="str">
        <x:f t="shared" si="39"/>
        <x:v/>
      </x:c>
      <x:c r="CI32" s="739" t="str">
        <x:f t="shared" si="40"/>
        <x:v/>
      </x:c>
      <x:c r="CJ32" s="740" t="str">
        <x:f t="shared" si="41"/>
        <x:v/>
      </x:c>
      <x:c r="CK32" s="741" t="str">
        <x:f t="shared" si="42"/>
        <x:v/>
      </x:c>
      <x:c r="CL32" s="742" t="str">
        <x:f t="shared" si="43"/>
        <x:v/>
      </x:c>
      <x:c r="CM32" s="743" t="str">
        <x:f t="shared" si="44"/>
        <x:v/>
      </x:c>
      <x:c r="CN32" s="744" t="str">
        <x:f t="shared" si="45"/>
        <x:v/>
      </x:c>
      <x:c r="CO32" s="745" t="str">
        <x:f t="shared" si="46"/>
        <x:v/>
      </x:c>
      <x:c r="CP32" s="762" t="str">
        <x:f t="shared" si="47"/>
        <x:v/>
      </x:c>
      <x:c r="CQ32" s="763" t="str">
        <x:f t="shared" si="48"/>
        <x:v/>
      </x:c>
      <x:c r="CR32" s="953">
        <x:f t="shared" si="49"/>
        <x:v>5</x:v>
      </x:c>
      <x:c r="CS32" s="954">
        <x:f t="shared" si="50"/>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51"/>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52"/>
        <x:v>0</x:v>
      </x:c>
      <x:c r="DO32" s="1049">
        <x:f t="shared" si="53"/>
        <x:v>0</x:v>
      </x:c>
      <x:c r="DP32" s="1053" t="str">
        <x:f t="shared" si="54"/>
        <x:v/>
      </x:c>
      <x:c r="DQ32" s="1053" t="str">
        <x:f t="shared" si="55"/>
        <x:v/>
      </x:c>
      <x:c r="DR32" s="1053" t="str">
        <x:f t="shared" si="56"/>
        <x:v/>
      </x:c>
      <x:c r="DS32" s="1052">
        <x:f t="shared" si="57"/>
        <x:v>0</x:v>
      </x:c>
      <x:c r="DT32" s="1052">
        <x:f t="shared" si="58"/>
        <x:v>0</x:v>
      </x:c>
      <x:c r="DU32" s="1052" t="str">
        <x:f t="shared" si="59"/>
        <x:v/>
      </x:c>
      <x:c r="DV32" s="1053" t="str">
        <x:f t="shared" si="60"/>
        <x:v/>
      </x:c>
      <x:c r="DW32" s="1053" t="str">
        <x:f t="shared" si="61"/>
        <x:v/>
      </x:c>
      <x:c r="DX32" s="1269">
        <x:f t="shared" si="62"/>
        <x:v>0</x:v>
      </x:c>
      <x:c r="DY32" s="1053">
        <x:f t="shared" si="63"/>
        <x:v>0</x:v>
      </x:c>
      <x:c r="DZ32" s="1052">
        <x:f t="shared" si="64"/>
        <x:v>0</x:v>
      </x:c>
      <x:c r="EA32" s="1052" t="str">
        <x:f t="shared" si="65"/>
        <x:v/>
      </x:c>
      <x:c r="EB32" s="1053" t="str">
        <x:f t="shared" si="66"/>
        <x:v/>
      </x:c>
      <x:c r="EC32" s="1053" t="str">
        <x:f t="shared" si="67"/>
        <x:v/>
      </x:c>
      <x:c r="ED32" s="1269">
        <x:f t="shared" si="68"/>
        <x:v>0</x:v>
      </x:c>
      <x:c r="EE32" s="1090" t="str">
        <x:f t="shared" si="69"/>
        <x:v/>
      </x:c>
      <x:c r="EF32" s="1053" t="str">
        <x:f t="shared" si="70"/>
        <x:v/>
      </x:c>
      <x:c r="EG32" s="1053" t="str">
        <x:f t="shared" si="71"/>
        <x:v/>
      </x:c>
      <x:c r="EH32" s="1053" t="str">
        <x:f t="shared" si="72"/>
        <x:v>ERR</x:v>
      </x:c>
      <x:c r="EI32" s="1053" t="str">
        <x:f t="shared" si="73"/>
        <x:v>ERR</x:v>
      </x:c>
      <x:c r="EJ32" s="1053" t="str">
        <x:f t="shared" si="74"/>
        <x:v/>
      </x:c>
      <x:c r="EK32" s="1053" t="str">
        <x:f t="shared" si="74"/>
        <x:v/>
      </x:c>
      <x:c r="EL32" s="1090" t="str">
        <x:f t="shared" si="75"/>
        <x:v/>
      </x:c>
      <x:c r="EM32" s="1053" t="str">
        <x:f t="shared" si="76"/>
        <x:v/>
      </x:c>
      <x:c r="EN32" s="1053" t="str">
        <x:f t="shared" si="77"/>
        <x:v/>
      </x:c>
      <x:c r="EO32" s="1053" t="str">
        <x:f t="shared" si="78"/>
        <x:v>ERR</x:v>
      </x:c>
      <x:c r="EP32" s="1053" t="str">
        <x:f t="shared" si="79"/>
        <x:v>ERR</x:v>
      </x:c>
      <x:c r="EQ32" s="1053" t="str">
        <x:f t="shared" si="80"/>
        <x:v/>
      </x:c>
      <x:c r="ER32" s="1053" t="str">
        <x:f t="shared" si="80"/>
        <x:v/>
      </x:c>
      <x:c r="ES32" s="1053" t="str">
        <x:f t="shared" si="81"/>
        <x:v/>
      </x:c>
      <x:c r="ET32" s="1053" t="str">
        <x:f t="shared" si="82"/>
        <x:v/>
      </x:c>
      <x:c r="EU32" s="1061">
        <x:f t="shared" si="83"/>
        <x:v>4</x:v>
      </x:c>
      <x:c r="EV32" s="1055" t="str">
        <x:f t="shared" si="84"/>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85"/>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86"/>
        <x:v/>
      </x:c>
      <x:c r="FD32" s="1052">
        <x:f t="shared" si="108"/>
        <x:v>0</x:v>
      </x:c>
      <x:c r="FE32" s="1052">
        <x:f t="shared" si="87"/>
        <x:v>0</x:v>
      </x:c>
      <x:c r="FF32" s="1052">
        <x:f t="shared" si="88"/>
        <x:v>0</x:v>
      </x:c>
      <x:c r="FG32" s="1052" t="str">
        <x:f t="shared" si="89"/>
        <x:v/>
      </x:c>
      <x:c r="FH32" s="1053" t="str">
        <x:f t="shared" si="90"/>
        <x:v/>
      </x:c>
      <x:c r="FI32" s="1052">
        <x:f t="shared" si="109"/>
        <x:v>0</x:v>
      </x:c>
      <x:c r="FJ32" s="1052">
        <x:f t="shared" si="91"/>
        <x:v>0</x:v>
      </x:c>
      <x:c r="FK32" s="1052">
        <x:f t="shared" si="92"/>
        <x:v>0</x:v>
      </x:c>
      <x:c r="FL32" s="1052" t="str">
        <x:f t="shared" si="93"/>
        <x:v/>
      </x:c>
      <x:c r="FM32" s="1053" t="str">
        <x:f t="shared" si="94"/>
        <x:v/>
      </x:c>
      <x:c r="FN32" s="1053" t="e">
        <x:f t="shared" si="95"/>
        <x:v>#VALUE!</x:v>
      </x:c>
      <x:c r="FO32" s="1062" t="e">
        <x:f t="shared" si="96"/>
        <x:v>#VALUE!</x:v>
      </x:c>
      <x:c r="FP32" s="1062" t="e">
        <x:f t="shared" si="97"/>
        <x:v>#VALUE!</x:v>
      </x:c>
      <x:c r="FQ32" s="1063" t="e">
        <x:f t="shared" si="98"/>
        <x:v>#VALUE!</x:v>
      </x:c>
      <x:c r="FR32" s="1064" t="e">
        <x:f t="shared" si="99"/>
        <x:v>#VALUE!</x:v>
      </x:c>
      <x:c r="FS32" s="1065" t="str">
        <x:f t="shared" si="100"/>
        <x:v/>
      </x:c>
      <x:c r="FT32" s="1066" t="str">
        <x:f t="shared" si="101"/>
        <x:v/>
      </x:c>
      <x:c r="FU32" s="1105">
        <x:f t="shared" si="102"/>
        <x:v>0</x:v>
      </x:c>
      <x:c r="FV32" s="1106">
        <x:f t="shared" si="103"/>
        <x:v>0</x:v>
      </x:c>
      <x:c r="GA32" s="1975">
        <x:v>59</x:v>
      </x:c>
      <x:c r="GB32" s="1976">
        <x:v>2.75</x:v>
      </x:c>
      <x:c r="GC32" s="1977">
        <x:v>-0.5</x:v>
      </x:c>
      <x:c r="GD32" s="1978">
        <x:v>-0.25</x:v>
      </x:c>
      <x:c r="GE32" s="1979">
        <x:v>0.2160637408118545</x:v>
      </x:c>
      <x:c r="GF32" s="1980" t="str">
        <x:f t="shared" si="104"/>
        <x:v>J283</x:v>
      </x:c>
      <x:c r="GG32" s="1453"/>
      <x:c r="GH32" s="1454"/>
      <x:c r="GI32" s="1453"/>
      <x:c r="GJ32" s="1454"/>
      <x:c r="GK32" s="533">
        <x:f t="shared" si="105"/>
        <x:v>710</x:v>
      </x:c>
      <x:c r="GL32" s="534">
        <x:f t="shared" si="106"/>
        <x:v>710.11507856787034</x:v>
      </x:c>
      <x:c r="GM32" s="535">
        <x:f>IF(ABS(GK32-GL32)&gt;='Job Info.'!$L$22,ABS(GK32-GL32),0)</x:f>
        <x:v>0</x:v>
      </x:c>
      <x:c r="HA32" s="1658" t="s">
        <x:v>1607</x:v>
      </x:c>
      <x:c r="HB32" s="1659">
        <x:v>2</x:v>
      </x:c>
      <x:c r="HC32" s="1659" t="s">
        <x:v>1978</x:v>
      </x:c>
      <x:c r="HD32" s="1660">
        <x:v>59</x:v>
      </x:c>
      <x:c r="HE32" s="1661">
        <x:v>2</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t="s">
        <x:v>117</x:v>
      </x:c>
      <x:c r="HU32" s="1659" t="s">
        <x:v>117</x:v>
      </x:c>
      <x:c r="HV32" s="1659" t="s">
        <x:v>117</x:v>
      </x:c>
      <x:c r="HW32" s="1661" t="s">
        <x:v>117</x:v>
      </x:c>
      <x:c r="HX32" s="1661">
        <x:v>0</x:v>
      </x:c>
      <x:c r="HY32" s="1661" t="s">
        <x:v>117</x:v>
      </x:c>
      <x:c r="HZ32" s="1661" t="s">
        <x:v>117</x:v>
      </x:c>
      <x:c r="IA32" s="1661" t="s">
        <x:v>2184</x:v>
      </x:c>
      <x:c r="IB32" s="1661"/>
      <x:c r="IC32" s="1661"/>
      <x:c r="ID32" s="1661"/>
      <x:c r="IE32" s="1661"/>
      <x:c r="IF32" s="1663"/>
    </x:row>
    <x:row r="33" spans="1:240" ht="12.6" customHeight="1" x14ac:dyDescent="0.25">
      <x:c r="A33" s="1264" t="s">
        <x:v>1608</x:v>
      </x:c>
      <x:c r="B33" s="1265">
        <x:v>22</x:v>
      </x:c>
      <x:c r="C33" s="1265" t="s">
        <x:v>1978</x:v>
      </x:c>
      <x:c r="D33" s="1261">
        <x:v>59</x:v>
      </x:c>
      <x:c r="E33" s="1366">
        <x:v>4.25</x:v>
      </x:c>
      <x:c r="F33" s="1328" t="str">
        <x:f t="shared" si="1"/>
        <x:v/>
      </x:c>
      <x:c r="G33" s="1262" t="str">
        <x:f t="shared" si="2"/>
        <x:v/>
      </x:c>
      <x:c r="H33" s="1266" t="str">
        <x:f t="shared" si="3"/>
        <x:v/>
      </x:c>
      <x:c r="I33" s="1261">
        <x:v>0</x:v>
      </x:c>
      <x:c r="J33" s="1262">
        <x:v>3.625</x:v>
      </x:c>
      <x:c r="K33" s="1370" t="s">
        <x:v>114</x:v>
      </x:c>
      <x:c r="L33" s="1327">
        <x:v>3</x:v>
      </x:c>
      <x:c r="M33" s="1329">
        <x:v>3</x:v>
      </x:c>
      <x:c r="N33" s="1263" t="str">
        <x:f t="shared" si="4"/>
        <x:v/>
      </x:c>
      <x:c r="O33" s="1262" t="str">
        <x:f t="shared" si="5"/>
        <x:v/>
      </x:c>
      <x:c r="P33" s="1260" t="str">
        <x:f t="shared" si="6"/>
        <x:v/>
      </x:c>
      <x:c r="Q33" s="1261" t="str">
        <x:f t="shared" si="7"/>
        <x:v/>
      </x:c>
      <x:c r="R33" s="1262" t="str">
        <x:f t="shared" si="8"/>
        <x:v/>
      </x:c>
      <x:c r="S33" s="1375" t="str">
        <x:f t="shared" si="9"/>
        <x:v/>
      </x:c>
      <x:c r="T33" s="1328" t="str">
        <x:f t="shared" si="10"/>
        <x:v/>
      </x:c>
      <x:c r="U33" s="1262" t="str">
        <x:f t="shared" si="11"/>
        <x:v/>
      </x:c>
      <x:c r="V33" s="1261" t="str">
        <x:f t="shared" si="12"/>
        <x:v/>
      </x:c>
      <x:c r="W33" s="1262" t="str">
        <x:f t="shared" si="13"/>
        <x:v/>
      </x:c>
      <x:c r="X33" s="1329">
        <x:f t="shared" si="14"/>
        <x:v>0</x:v>
      </x:c>
      <x:c r="Y33" s="1377" t="str">
        <x:f t="shared" si="15"/>
        <x:v/>
      </x:c>
      <x:c r="Z33" s="1378" t="str">
        <x:f t="shared" si="16"/>
        <x:v/>
      </x:c>
      <x:c r="AA33" s="2159" t="s">
        <x:v>2270</x:v>
      </x:c>
      <x:c r="AC33" s="1226" t="b">
        <x:v>0</x:v>
      </x:c>
      <x:c r="AD33" s="525">
        <x:f t="shared" si="17"/>
        <x:v>0</x:v>
      </x:c>
      <x:c r="AE33" s="526">
        <x:f t="shared" si="18"/>
        <x:v>22</x:v>
      </x:c>
      <x:c r="AF33" s="526">
        <x:f t="shared" si="19"/>
        <x:v>0</x:v>
      </x:c>
      <x:c r="AG33" s="526">
        <x:f t="shared" si="20"/>
        <x:v>0</x:v>
      </x:c>
      <x:c r="AH33" s="527">
        <x:f t="shared" si="21"/>
        <x:v>0</x:v>
      </x:c>
      <x:c r="AI33" s="528" t="b">
        <x:v>0</x:v>
      </x:c>
      <x:c r="AJ33" s="284">
        <x:f t="shared" si="22"/>
        <x:v>36</x:v>
      </x:c>
      <x:c r="AK33" s="1063" t="str">
        <x:f t="shared" si="23"/>
        <x:v>LH</x:v>
      </x:c>
      <x:c r="AL33" s="1202" t="str">
        <x:f t="shared" si="24"/>
        <x:v/>
      </x:c>
      <x:c r="AM33" s="1063">
        <x:f t="shared" si="25"/>
        <x:v>270</x:v>
      </x:c>
      <x:c r="AN33" s="1063">
        <x:f t="shared" si="26"/>
        <x:v>120</x:v>
      </x:c>
      <x:c r="AO33" s="1063" t="str">
        <x:f t="shared" si="27"/>
        <x:v/>
      </x:c>
      <x:c r="AP33" s="1063" t="b">
        <x:f>IF(ISERROR(AJ33),FALSE,IF(OR(AJ33=0,ISERROR(AL33),ISERROR(AM33),ISERROR(AN33),ISERROR(AO33)),FALSE,IF(AL33&lt;&gt;"",IF(ISERROR(VLOOKUP(SUBSTITUTE(SUBSTITUTE(C33,"R",""),"A",""),TblJoistSize!$A:$A,1,FALSE)),FALSE,TRUE),TRUE)))</x:f>
        <x:v>1</x:v>
      </x:c>
      <x:c r="AQ33" s="1305">
        <x:f t="shared" si="28"/>
        <x:v>6</x:v>
      </x:c>
      <x:c r="AR33" s="1305" t="b">
        <x:f t="shared" si="29"/>
        <x:v>0</x:v>
      </x:c>
      <x:c r="AS33" s="1305">
        <x:f t="shared" si="30"/>
        <x:v>9.625</x:v>
      </x:c>
      <x:c r="AT33" s="1305" t="b">
        <x:f t="shared" si="31"/>
        <x:v>0</x:v>
      </x:c>
      <x:c r="AU33" s="1203" t="str">
        <x:f t="shared" si="32"/>
        <x:v>LH</x:v>
      </x:c>
      <x:c r="AV33" s="1063" t="str">
        <x:f t="shared" si="33"/>
        <x:v/>
      </x:c>
      <x:c r="AW33" s="1063" t="str">
        <x:f t="shared" si="34"/>
        <x:v>LH</x:v>
      </x:c>
      <x:c r="AX33" s="1063" t="str">
        <x:f t="shared" si="107"/>
        <x:v>J284</x:v>
      </x:c>
      <x:c r="AY33" s="1306" t="b">
        <x:f t="shared" si="35"/>
        <x:v>0</x:v>
      </x:c>
      <x:c r="AZ33" s="1090" t="b">
        <x:f t="shared" si="36"/>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37"/>
        <x:v/>
      </x:c>
      <x:c r="CE33" s="935" t="str">
        <x:f t="shared" si="38"/>
        <x:v/>
      </x:c>
      <x:c r="CF33" s="1149"/>
      <x:c r="CG33" s="1150"/>
      <x:c r="CH33" s="738" t="str">
        <x:f t="shared" si="39"/>
        <x:v/>
      </x:c>
      <x:c r="CI33" s="739" t="str">
        <x:f t="shared" si="40"/>
        <x:v/>
      </x:c>
      <x:c r="CJ33" s="740" t="str">
        <x:f t="shared" si="41"/>
        <x:v/>
      </x:c>
      <x:c r="CK33" s="741" t="str">
        <x:f t="shared" si="42"/>
        <x:v/>
      </x:c>
      <x:c r="CL33" s="742" t="str">
        <x:f t="shared" si="43"/>
        <x:v/>
      </x:c>
      <x:c r="CM33" s="743" t="str">
        <x:f t="shared" si="44"/>
        <x:v/>
      </x:c>
      <x:c r="CN33" s="744" t="str">
        <x:f t="shared" si="45"/>
        <x:v/>
      </x:c>
      <x:c r="CO33" s="745" t="str">
        <x:f t="shared" si="46"/>
        <x:v/>
      </x:c>
      <x:c r="CP33" s="762" t="str">
        <x:f t="shared" si="47"/>
        <x:v/>
      </x:c>
      <x:c r="CQ33" s="763" t="str">
        <x:f t="shared" si="48"/>
        <x:v/>
      </x:c>
      <x:c r="CR33" s="953">
        <x:f t="shared" si="49"/>
        <x:v>5</x:v>
      </x:c>
      <x:c r="CS33" s="954">
        <x:f t="shared" si="50"/>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51"/>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52"/>
        <x:v>0</x:v>
      </x:c>
      <x:c r="DO33" s="1049">
        <x:f t="shared" si="53"/>
        <x:v>0</x:v>
      </x:c>
      <x:c r="DP33" s="1053" t="str">
        <x:f t="shared" si="54"/>
        <x:v/>
      </x:c>
      <x:c r="DQ33" s="1053" t="str">
        <x:f t="shared" si="55"/>
        <x:v/>
      </x:c>
      <x:c r="DR33" s="1053" t="str">
        <x:f t="shared" si="56"/>
        <x:v/>
      </x:c>
      <x:c r="DS33" s="1052">
        <x:f t="shared" si="57"/>
        <x:v>0</x:v>
      </x:c>
      <x:c r="DT33" s="1052">
        <x:f t="shared" si="58"/>
        <x:v>0</x:v>
      </x:c>
      <x:c r="DU33" s="1052" t="str">
        <x:f t="shared" si="59"/>
        <x:v/>
      </x:c>
      <x:c r="DV33" s="1053" t="str">
        <x:f t="shared" si="60"/>
        <x:v/>
      </x:c>
      <x:c r="DW33" s="1053" t="str">
        <x:f t="shared" si="61"/>
        <x:v/>
      </x:c>
      <x:c r="DX33" s="1269">
        <x:f t="shared" si="62"/>
        <x:v>0</x:v>
      </x:c>
      <x:c r="DY33" s="1053">
        <x:f t="shared" si="63"/>
        <x:v>0</x:v>
      </x:c>
      <x:c r="DZ33" s="1052">
        <x:f t="shared" si="64"/>
        <x:v>0</x:v>
      </x:c>
      <x:c r="EA33" s="1052" t="str">
        <x:f t="shared" si="65"/>
        <x:v/>
      </x:c>
      <x:c r="EB33" s="1053" t="str">
        <x:f t="shared" si="66"/>
        <x:v/>
      </x:c>
      <x:c r="EC33" s="1053" t="str">
        <x:f t="shared" si="67"/>
        <x:v/>
      </x:c>
      <x:c r="ED33" s="1269">
        <x:f t="shared" si="68"/>
        <x:v>0</x:v>
      </x:c>
      <x:c r="EE33" s="1090" t="str">
        <x:f t="shared" si="69"/>
        <x:v/>
      </x:c>
      <x:c r="EF33" s="1053" t="str">
        <x:f t="shared" si="70"/>
        <x:v/>
      </x:c>
      <x:c r="EG33" s="1053" t="str">
        <x:f t="shared" si="71"/>
        <x:v/>
      </x:c>
      <x:c r="EH33" s="1053" t="str">
        <x:f t="shared" si="72"/>
        <x:v>ERR</x:v>
      </x:c>
      <x:c r="EI33" s="1053" t="str">
        <x:f t="shared" si="73"/>
        <x:v>ERR</x:v>
      </x:c>
      <x:c r="EJ33" s="1053" t="str">
        <x:f t="shared" si="74"/>
        <x:v/>
      </x:c>
      <x:c r="EK33" s="1053" t="str">
        <x:f t="shared" si="74"/>
        <x:v/>
      </x:c>
      <x:c r="EL33" s="1090" t="str">
        <x:f t="shared" si="75"/>
        <x:v/>
      </x:c>
      <x:c r="EM33" s="1053" t="str">
        <x:f t="shared" si="76"/>
        <x:v/>
      </x:c>
      <x:c r="EN33" s="1053" t="str">
        <x:f t="shared" si="77"/>
        <x:v/>
      </x:c>
      <x:c r="EO33" s="1053" t="str">
        <x:f t="shared" si="78"/>
        <x:v>ERR</x:v>
      </x:c>
      <x:c r="EP33" s="1053" t="str">
        <x:f t="shared" si="79"/>
        <x:v>ERR</x:v>
      </x:c>
      <x:c r="EQ33" s="1053" t="str">
        <x:f t="shared" si="80"/>
        <x:v/>
      </x:c>
      <x:c r="ER33" s="1053" t="str">
        <x:f t="shared" si="80"/>
        <x:v/>
      </x:c>
      <x:c r="ES33" s="1053" t="str">
        <x:f t="shared" si="81"/>
        <x:v/>
      </x:c>
      <x:c r="ET33" s="1053" t="str">
        <x:f t="shared" si="82"/>
        <x:v/>
      </x:c>
      <x:c r="EU33" s="1061">
        <x:f t="shared" si="83"/>
        <x:v>4</x:v>
      </x:c>
      <x:c r="EV33" s="1055" t="str">
        <x:f t="shared" si="84"/>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85"/>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86"/>
        <x:v/>
      </x:c>
      <x:c r="FD33" s="1052">
        <x:f t="shared" si="108"/>
        <x:v>0</x:v>
      </x:c>
      <x:c r="FE33" s="1052">
        <x:f t="shared" si="87"/>
        <x:v>0</x:v>
      </x:c>
      <x:c r="FF33" s="1052">
        <x:f t="shared" si="88"/>
        <x:v>0</x:v>
      </x:c>
      <x:c r="FG33" s="1052" t="str">
        <x:f t="shared" si="89"/>
        <x:v/>
      </x:c>
      <x:c r="FH33" s="1053" t="str">
        <x:f t="shared" si="90"/>
        <x:v/>
      </x:c>
      <x:c r="FI33" s="1052">
        <x:f t="shared" si="109"/>
        <x:v>0</x:v>
      </x:c>
      <x:c r="FJ33" s="1052">
        <x:f t="shared" si="91"/>
        <x:v>0</x:v>
      </x:c>
      <x:c r="FK33" s="1052">
        <x:f t="shared" si="92"/>
        <x:v>0</x:v>
      </x:c>
      <x:c r="FL33" s="1052" t="str">
        <x:f t="shared" si="93"/>
        <x:v/>
      </x:c>
      <x:c r="FM33" s="1053" t="str">
        <x:f t="shared" si="94"/>
        <x:v/>
      </x:c>
      <x:c r="FN33" s="1053" t="e">
        <x:f t="shared" si="95"/>
        <x:v>#VALUE!</x:v>
      </x:c>
      <x:c r="FO33" s="1062" t="e">
        <x:f t="shared" si="96"/>
        <x:v>#VALUE!</x:v>
      </x:c>
      <x:c r="FP33" s="1062" t="e">
        <x:f t="shared" si="97"/>
        <x:v>#VALUE!</x:v>
      </x:c>
      <x:c r="FQ33" s="1063" t="e">
        <x:f t="shared" si="98"/>
        <x:v>#VALUE!</x:v>
      </x:c>
      <x:c r="FR33" s="1064" t="e">
        <x:f t="shared" si="99"/>
        <x:v>#VALUE!</x:v>
      </x:c>
      <x:c r="FS33" s="1065" t="str">
        <x:f t="shared" si="100"/>
        <x:v/>
      </x:c>
      <x:c r="FT33" s="1066" t="str">
        <x:f t="shared" si="101"/>
        <x:v/>
      </x:c>
      <x:c r="FU33" s="1105">
        <x:f t="shared" si="102"/>
        <x:v>0</x:v>
      </x:c>
      <x:c r="FV33" s="1106">
        <x:f t="shared" si="103"/>
        <x:v>0</x:v>
      </x:c>
      <x:c r="GA33" s="1975">
        <x:v>59</x:v>
      </x:c>
      <x:c r="GB33" s="1976">
        <x:v>2.75</x:v>
      </x:c>
      <x:c r="GC33" s="1977">
        <x:v>-0.5</x:v>
      </x:c>
      <x:c r="GD33" s="1978">
        <x:v>2</x:v>
      </x:c>
      <x:c r="GE33" s="1979">
        <x:v>-3.9907708475278011E-2</x:v>
      </x:c>
      <x:c r="GF33" s="1980" t="str">
        <x:f t="shared" si="104"/>
        <x:v>J284</x:v>
      </x:c>
      <x:c r="GG33" s="1453"/>
      <x:c r="GH33" s="1454"/>
      <x:c r="GI33" s="1453"/>
      <x:c r="GJ33" s="1454"/>
      <x:c r="GK33" s="533">
        <x:f t="shared" si="105"/>
        <x:v>712.25</x:v>
      </x:c>
      <x:c r="GL33" s="534">
        <x:f t="shared" si="106"/>
        <x:v>712.25393869499737</x:v>
      </x:c>
      <x:c r="GM33" s="535">
        <x:f>IF(ABS(GK33-GL33)&gt;='Job Info.'!$L$22,ABS(GK33-GL33),0)</x:f>
        <x:v>0</x:v>
      </x:c>
      <x:c r="HA33" s="1658" t="s">
        <x:v>1608</x:v>
      </x:c>
      <x:c r="HB33" s="1659">
        <x:v>22</x:v>
      </x:c>
      <x:c r="HC33" s="1659" t="s">
        <x:v>1978</x:v>
      </x:c>
      <x:c r="HD33" s="1660">
        <x:v>59</x:v>
      </x:c>
      <x:c r="HE33" s="1661">
        <x:v>4.25</x:v>
      </x:c>
      <x:c r="HF33" s="1659" t="s">
        <x:v>117</x:v>
      </x:c>
      <x:c r="HG33" s="1659" t="s">
        <x:v>117</x:v>
      </x:c>
      <x:c r="HH33" s="1659" t="s">
        <x:v>117</x:v>
      </x:c>
      <x:c r="HI33" s="1662">
        <x:v>0</x:v>
      </x:c>
      <x:c r="HJ33" s="1659">
        <x:v>3.625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2270</x:v>
      </x:c>
      <x:c r="IB33" s="1661"/>
      <x:c r="IC33" s="1661"/>
      <x:c r="ID33" s="1661"/>
      <x:c r="IE33" s="1661"/>
      <x:c r="IF33" s="1663"/>
    </x:row>
    <x:row r="34" spans="1:240" ht="12.6" customHeight="1" x14ac:dyDescent="0.25">
      <x:c r="A34" s="1264" t="s">
        <x:v>1609</x:v>
      </x:c>
      <x:c r="B34" s="1265">
        <x:v>4</x:v>
      </x:c>
      <x:c r="C34" s="1265" t="s">
        <x:v>1978</x:v>
      </x:c>
      <x:c r="D34" s="1261">
        <x:v>59</x:v>
      </x:c>
      <x:c r="E34" s="1366">
        <x:v>4.25</x:v>
      </x:c>
      <x:c r="F34" s="1328" t="str">
        <x:f t="shared" si="1"/>
        <x:v/>
      </x:c>
      <x:c r="G34" s="1262" t="str">
        <x:f t="shared" si="2"/>
        <x:v/>
      </x:c>
      <x:c r="H34" s="1266" t="str">
        <x:f t="shared" si="3"/>
        <x:v/>
      </x:c>
      <x:c r="I34" s="1261">
        <x:v>0</x:v>
      </x:c>
      <x:c r="J34" s="1262">
        <x:v>3.625</x:v>
      </x:c>
      <x:c r="K34" s="1370" t="s">
        <x:v>114</x:v>
      </x:c>
      <x:c r="L34" s="1327">
        <x:v>3</x:v>
      </x:c>
      <x:c r="M34" s="1329">
        <x:v>3</x:v>
      </x:c>
      <x:c r="N34" s="1263" t="str">
        <x:f t="shared" si="4"/>
        <x:v/>
      </x:c>
      <x:c r="O34" s="1262" t="str">
        <x:f t="shared" si="5"/>
        <x:v/>
      </x:c>
      <x:c r="P34" s="1260" t="str">
        <x:f t="shared" si="6"/>
        <x:v/>
      </x:c>
      <x:c r="Q34" s="1261" t="str">
        <x:f t="shared" si="7"/>
        <x:v/>
      </x:c>
      <x:c r="R34" s="1262" t="str">
        <x:f t="shared" si="8"/>
        <x:v/>
      </x:c>
      <x:c r="S34" s="1375" t="str">
        <x:f t="shared" si="9"/>
        <x:v/>
      </x:c>
      <x:c r="T34" s="1328" t="str">
        <x:f t="shared" si="10"/>
        <x:v/>
      </x:c>
      <x:c r="U34" s="1262" t="str">
        <x:f t="shared" si="11"/>
        <x:v/>
      </x:c>
      <x:c r="V34" s="1261" t="str">
        <x:f t="shared" si="12"/>
        <x:v/>
      </x:c>
      <x:c r="W34" s="1262" t="str">
        <x:f t="shared" si="13"/>
        <x:v/>
      </x:c>
      <x:c r="X34" s="1329">
        <x:f t="shared" si="14"/>
        <x:v>0</x:v>
      </x:c>
      <x:c r="Y34" s="1377" t="str">
        <x:f t="shared" si="15"/>
        <x:v/>
      </x:c>
      <x:c r="Z34" s="1378" t="str">
        <x:f t="shared" si="16"/>
        <x:v/>
      </x:c>
      <x:c r="AA34" s="2159" t="s">
        <x:v>2271</x:v>
      </x:c>
      <x:c r="AC34" s="1226" t="b">
        <x:v>0</x:v>
      </x:c>
      <x:c r="AD34" s="525">
        <x:f t="shared" si="17"/>
        <x:v>0</x:v>
      </x:c>
      <x:c r="AE34" s="526">
        <x:f t="shared" si="18"/>
        <x:v>4</x:v>
      </x:c>
      <x:c r="AF34" s="526">
        <x:f t="shared" si="19"/>
        <x:v>0</x:v>
      </x:c>
      <x:c r="AG34" s="526">
        <x:f t="shared" si="20"/>
        <x:v>0</x:v>
      </x:c>
      <x:c r="AH34" s="527">
        <x:f t="shared" si="21"/>
        <x:v>0</x:v>
      </x:c>
      <x:c r="AI34" s="528" t="b">
        <x:v>0</x:v>
      </x:c>
      <x:c r="AJ34" s="284">
        <x:f t="shared" si="22"/>
        <x:v>36</x:v>
      </x:c>
      <x:c r="AK34" s="1063" t="str">
        <x:f t="shared" si="23"/>
        <x:v>LH</x:v>
      </x:c>
      <x:c r="AL34" s="1202" t="str">
        <x:f t="shared" si="24"/>
        <x:v/>
      </x:c>
      <x:c r="AM34" s="1063">
        <x:f t="shared" si="25"/>
        <x:v>270</x:v>
      </x:c>
      <x:c r="AN34" s="1063">
        <x:f t="shared" si="26"/>
        <x:v>120</x:v>
      </x:c>
      <x:c r="AO34" s="1063" t="str">
        <x:f t="shared" si="27"/>
        <x:v/>
      </x:c>
      <x:c r="AP34" s="1063" t="b">
        <x:f>IF(ISERROR(AJ34),FALSE,IF(OR(AJ34=0,ISERROR(AL34),ISERROR(AM34),ISERROR(AN34),ISERROR(AO34)),FALSE,IF(AL34&lt;&gt;"",IF(ISERROR(VLOOKUP(SUBSTITUTE(SUBSTITUTE(C34,"R",""),"A",""),TblJoistSize!$A:$A,1,FALSE)),FALSE,TRUE),TRUE)))</x:f>
        <x:v>1</x:v>
      </x:c>
      <x:c r="AQ34" s="1305">
        <x:f t="shared" si="28"/>
        <x:v>6</x:v>
      </x:c>
      <x:c r="AR34" s="1305" t="b">
        <x:f t="shared" si="29"/>
        <x:v>0</x:v>
      </x:c>
      <x:c r="AS34" s="1305">
        <x:f t="shared" si="30"/>
        <x:v>9.625</x:v>
      </x:c>
      <x:c r="AT34" s="1305" t="b">
        <x:f t="shared" si="31"/>
        <x:v>0</x:v>
      </x:c>
      <x:c r="AU34" s="1203" t="str">
        <x:f t="shared" si="32"/>
        <x:v>LH</x:v>
      </x:c>
      <x:c r="AV34" s="1063" t="str">
        <x:f t="shared" si="33"/>
        <x:v/>
      </x:c>
      <x:c r="AW34" s="1063" t="str">
        <x:f t="shared" si="34"/>
        <x:v>LH</x:v>
      </x:c>
      <x:c r="AX34" s="1063" t="str">
        <x:f t="shared" si="107"/>
        <x:v>J285</x:v>
      </x:c>
      <x:c r="AY34" s="1306" t="b">
        <x:f t="shared" si="35"/>
        <x:v>0</x:v>
      </x:c>
      <x:c r="AZ34" s="1090" t="b">
        <x:f t="shared" si="36"/>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37"/>
        <x:v/>
      </x:c>
      <x:c r="CE34" s="935" t="str">
        <x:f t="shared" si="38"/>
        <x:v/>
      </x:c>
      <x:c r="CF34" s="1149"/>
      <x:c r="CG34" s="1150"/>
      <x:c r="CH34" s="738" t="str">
        <x:f t="shared" si="39"/>
        <x:v/>
      </x:c>
      <x:c r="CI34" s="739" t="str">
        <x:f t="shared" si="40"/>
        <x:v/>
      </x:c>
      <x:c r="CJ34" s="740" t="str">
        <x:f t="shared" si="41"/>
        <x:v/>
      </x:c>
      <x:c r="CK34" s="741" t="str">
        <x:f t="shared" si="42"/>
        <x:v/>
      </x:c>
      <x:c r="CL34" s="742" t="str">
        <x:f t="shared" si="43"/>
        <x:v/>
      </x:c>
      <x:c r="CM34" s="743" t="str">
        <x:f t="shared" si="44"/>
        <x:v/>
      </x:c>
      <x:c r="CN34" s="744" t="str">
        <x:f t="shared" si="45"/>
        <x:v/>
      </x:c>
      <x:c r="CO34" s="745" t="str">
        <x:f t="shared" si="46"/>
        <x:v/>
      </x:c>
      <x:c r="CP34" s="762" t="str">
        <x:f t="shared" si="47"/>
        <x:v/>
      </x:c>
      <x:c r="CQ34" s="763" t="str">
        <x:f t="shared" si="48"/>
        <x:v/>
      </x:c>
      <x:c r="CR34" s="953">
        <x:f t="shared" si="49"/>
        <x:v>5</x:v>
      </x:c>
      <x:c r="CS34" s="954">
        <x:f t="shared" si="50"/>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51"/>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52"/>
        <x:v>0</x:v>
      </x:c>
      <x:c r="DO34" s="1049">
        <x:f t="shared" si="53"/>
        <x:v>0</x:v>
      </x:c>
      <x:c r="DP34" s="1053" t="str">
        <x:f t="shared" si="54"/>
        <x:v/>
      </x:c>
      <x:c r="DQ34" s="1053" t="str">
        <x:f t="shared" si="55"/>
        <x:v/>
      </x:c>
      <x:c r="DR34" s="1053" t="str">
        <x:f t="shared" si="56"/>
        <x:v/>
      </x:c>
      <x:c r="DS34" s="1052">
        <x:f t="shared" si="57"/>
        <x:v>0</x:v>
      </x:c>
      <x:c r="DT34" s="1052">
        <x:f t="shared" si="58"/>
        <x:v>0</x:v>
      </x:c>
      <x:c r="DU34" s="1052" t="str">
        <x:f t="shared" si="59"/>
        <x:v/>
      </x:c>
      <x:c r="DV34" s="1053" t="str">
        <x:f t="shared" si="60"/>
        <x:v/>
      </x:c>
      <x:c r="DW34" s="1053" t="str">
        <x:f t="shared" si="61"/>
        <x:v/>
      </x:c>
      <x:c r="DX34" s="1269">
        <x:f t="shared" si="62"/>
        <x:v>0</x:v>
      </x:c>
      <x:c r="DY34" s="1053">
        <x:f t="shared" si="63"/>
        <x:v>0</x:v>
      </x:c>
      <x:c r="DZ34" s="1052">
        <x:f t="shared" si="64"/>
        <x:v>0</x:v>
      </x:c>
      <x:c r="EA34" s="1052" t="str">
        <x:f t="shared" si="65"/>
        <x:v/>
      </x:c>
      <x:c r="EB34" s="1053" t="str">
        <x:f t="shared" si="66"/>
        <x:v/>
      </x:c>
      <x:c r="EC34" s="1053" t="str">
        <x:f t="shared" si="67"/>
        <x:v/>
      </x:c>
      <x:c r="ED34" s="1269">
        <x:f t="shared" si="68"/>
        <x:v>0</x:v>
      </x:c>
      <x:c r="EE34" s="1090" t="str">
        <x:f t="shared" si="69"/>
        <x:v/>
      </x:c>
      <x:c r="EF34" s="1053" t="str">
        <x:f t="shared" si="70"/>
        <x:v/>
      </x:c>
      <x:c r="EG34" s="1053" t="str">
        <x:f t="shared" si="71"/>
        <x:v/>
      </x:c>
      <x:c r="EH34" s="1053" t="str">
        <x:f t="shared" si="72"/>
        <x:v>ERR</x:v>
      </x:c>
      <x:c r="EI34" s="1053" t="str">
        <x:f t="shared" si="73"/>
        <x:v>ERR</x:v>
      </x:c>
      <x:c r="EJ34" s="1053" t="str">
        <x:f t="shared" si="74"/>
        <x:v/>
      </x:c>
      <x:c r="EK34" s="1053" t="str">
        <x:f t="shared" si="74"/>
        <x:v/>
      </x:c>
      <x:c r="EL34" s="1090" t="str">
        <x:f t="shared" si="75"/>
        <x:v/>
      </x:c>
      <x:c r="EM34" s="1053" t="str">
        <x:f t="shared" si="76"/>
        <x:v/>
      </x:c>
      <x:c r="EN34" s="1053" t="str">
        <x:f t="shared" si="77"/>
        <x:v/>
      </x:c>
      <x:c r="EO34" s="1053" t="str">
        <x:f t="shared" si="78"/>
        <x:v>ERR</x:v>
      </x:c>
      <x:c r="EP34" s="1053" t="str">
        <x:f t="shared" si="79"/>
        <x:v>ERR</x:v>
      </x:c>
      <x:c r="EQ34" s="1053" t="str">
        <x:f t="shared" si="80"/>
        <x:v/>
      </x:c>
      <x:c r="ER34" s="1053" t="str">
        <x:f t="shared" si="80"/>
        <x:v/>
      </x:c>
      <x:c r="ES34" s="1053" t="str">
        <x:f t="shared" si="81"/>
        <x:v/>
      </x:c>
      <x:c r="ET34" s="1053" t="str">
        <x:f t="shared" si="82"/>
        <x:v/>
      </x:c>
      <x:c r="EU34" s="1061">
        <x:f t="shared" si="83"/>
        <x:v>4</x:v>
      </x:c>
      <x:c r="EV34" s="1055" t="str">
        <x:f t="shared" si="84"/>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85"/>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86"/>
        <x:v/>
      </x:c>
      <x:c r="FD34" s="1052">
        <x:f t="shared" si="108"/>
        <x:v>0</x:v>
      </x:c>
      <x:c r="FE34" s="1052">
        <x:f t="shared" si="87"/>
        <x:v>0</x:v>
      </x:c>
      <x:c r="FF34" s="1052">
        <x:f t="shared" si="88"/>
        <x:v>0</x:v>
      </x:c>
      <x:c r="FG34" s="1052" t="str">
        <x:f t="shared" si="89"/>
        <x:v/>
      </x:c>
      <x:c r="FH34" s="1053" t="str">
        <x:f t="shared" si="90"/>
        <x:v/>
      </x:c>
      <x:c r="FI34" s="1052">
        <x:f t="shared" si="109"/>
        <x:v>0</x:v>
      </x:c>
      <x:c r="FJ34" s="1052">
        <x:f t="shared" si="91"/>
        <x:v>0</x:v>
      </x:c>
      <x:c r="FK34" s="1052">
        <x:f t="shared" si="92"/>
        <x:v>0</x:v>
      </x:c>
      <x:c r="FL34" s="1052" t="str">
        <x:f t="shared" si="93"/>
        <x:v/>
      </x:c>
      <x:c r="FM34" s="1053" t="str">
        <x:f t="shared" si="94"/>
        <x:v/>
      </x:c>
      <x:c r="FN34" s="1053" t="e">
        <x:f t="shared" si="95"/>
        <x:v>#VALUE!</x:v>
      </x:c>
      <x:c r="FO34" s="1062" t="e">
        <x:f t="shared" si="96"/>
        <x:v>#VALUE!</x:v>
      </x:c>
      <x:c r="FP34" s="1062" t="e">
        <x:f t="shared" si="97"/>
        <x:v>#VALUE!</x:v>
      </x:c>
      <x:c r="FQ34" s="1063" t="e">
        <x:f t="shared" si="98"/>
        <x:v>#VALUE!</x:v>
      </x:c>
      <x:c r="FR34" s="1064" t="e">
        <x:f t="shared" si="99"/>
        <x:v>#VALUE!</x:v>
      </x:c>
      <x:c r="FS34" s="1065" t="str">
        <x:f t="shared" si="100"/>
        <x:v/>
      </x:c>
      <x:c r="FT34" s="1066" t="str">
        <x:f t="shared" si="101"/>
        <x:v/>
      </x:c>
      <x:c r="FU34" s="1105">
        <x:f t="shared" si="102"/>
        <x:v>0</x:v>
      </x:c>
      <x:c r="FV34" s="1106">
        <x:f t="shared" si="103"/>
        <x:v>0</x:v>
      </x:c>
      <x:c r="GA34" s="1975">
        <x:v>59</x:v>
      </x:c>
      <x:c r="GB34" s="1976">
        <x:v>2.75</x:v>
      </x:c>
      <x:c r="GC34" s="1977">
        <x:v>-0.5</x:v>
      </x:c>
      <x:c r="GD34" s="1978">
        <x:v>2</x:v>
      </x:c>
      <x:c r="GE34" s="1979">
        <x:v>-1.7103303632262506E-2</x:v>
      </x:c>
      <x:c r="GF34" s="1980" t="str">
        <x:f t="shared" si="104"/>
        <x:v>J285</x:v>
      </x:c>
      <x:c r="GG34" s="1453"/>
      <x:c r="GH34" s="1454"/>
      <x:c r="GI34" s="1453"/>
      <x:c r="GJ34" s="1454"/>
      <x:c r="GK34" s="533">
        <x:f t="shared" si="105"/>
        <x:v>712.25</x:v>
      </x:c>
      <x:c r="GL34" s="534">
        <x:f t="shared" si="106"/>
        <x:v>712.25072343540785</x:v>
      </x:c>
      <x:c r="GM34" s="535">
        <x:f>IF(ABS(GK34-GL34)&gt;='Job Info.'!$L$22,ABS(GK34-GL34),0)</x:f>
        <x:v>0</x:v>
      </x:c>
      <x:c r="HA34" s="1658" t="s">
        <x:v>1609</x:v>
      </x:c>
      <x:c r="HB34" s="1659">
        <x:v>4</x:v>
      </x:c>
      <x:c r="HC34" s="1659" t="s">
        <x:v>1978</x:v>
      </x:c>
      <x:c r="HD34" s="1660">
        <x:v>59</x:v>
      </x:c>
      <x:c r="HE34" s="1661">
        <x:v>4.25</x:v>
      </x:c>
      <x:c r="HF34" s="1659" t="s">
        <x:v>117</x:v>
      </x:c>
      <x:c r="HG34" s="1659" t="s">
        <x:v>117</x:v>
      </x:c>
      <x:c r="HH34" s="1659" t="s">
        <x:v>117</x:v>
      </x:c>
      <x:c r="HI34" s="1662">
        <x:v>0</x:v>
      </x:c>
      <x:c r="HJ34" s="1659">
        <x:v>3.625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2271</x:v>
      </x:c>
      <x:c r="IB34" s="1661"/>
      <x:c r="IC34" s="1661"/>
      <x:c r="ID34" s="1661"/>
      <x:c r="IE34" s="1661"/>
      <x:c r="IF34" s="1663"/>
    </x:row>
    <x:row r="35" spans="1:240" ht="12.6" customHeight="1" x14ac:dyDescent="0.25">
      <x:c r="A35" s="1264" t="s">
        <x:v>1610</x:v>
      </x:c>
      <x:c r="B35" s="1265">
        <x:v>2</x:v>
      </x:c>
      <x:c r="C35" s="1265" t="s">
        <x:v>1978</x:v>
      </x:c>
      <x:c r="D35" s="1261">
        <x:v>59</x:v>
      </x:c>
      <x:c r="E35" s="1366">
        <x:v>4.25</x:v>
      </x:c>
      <x:c r="F35" s="1328" t="str">
        <x:f t="shared" si="1"/>
        <x:v/>
      </x:c>
      <x:c r="G35" s="1262" t="str">
        <x:f t="shared" si="2"/>
        <x:v/>
      </x:c>
      <x:c r="H35" s="1266" t="str">
        <x:f t="shared" si="3"/>
        <x:v/>
      </x:c>
      <x:c r="I35" s="1261">
        <x:v>0</x:v>
      </x:c>
      <x:c r="J35" s="1262">
        <x:v>3.625</x:v>
      </x:c>
      <x:c r="K35" s="1370" t="s">
        <x:v>114</x:v>
      </x:c>
      <x:c r="L35" s="1327">
        <x:v>3</x:v>
      </x:c>
      <x:c r="M35" s="1329">
        <x:v>3</x:v>
      </x:c>
      <x:c r="N35" s="1263" t="str">
        <x:f t="shared" si="4"/>
        <x:v/>
      </x:c>
      <x:c r="O35" s="1262" t="str">
        <x:f t="shared" si="5"/>
        <x:v/>
      </x:c>
      <x:c r="P35" s="1260" t="str">
        <x:f t="shared" si="6"/>
        <x:v/>
      </x:c>
      <x:c r="Q35" s="1261" t="str">
        <x:f t="shared" si="7"/>
        <x:v/>
      </x:c>
      <x:c r="R35" s="1262" t="str">
        <x:f t="shared" si="8"/>
        <x:v/>
      </x:c>
      <x:c r="S35" s="1375" t="str">
        <x:f t="shared" si="9"/>
        <x:v/>
      </x:c>
      <x:c r="T35" s="1328" t="str">
        <x:f t="shared" si="10"/>
        <x:v/>
      </x:c>
      <x:c r="U35" s="1262" t="str">
        <x:f t="shared" si="11"/>
        <x:v/>
      </x:c>
      <x:c r="V35" s="1261" t="str">
        <x:f t="shared" si="12"/>
        <x:v/>
      </x:c>
      <x:c r="W35" s="1262" t="str">
        <x:f t="shared" si="13"/>
        <x:v/>
      </x:c>
      <x:c r="X35" s="1329">
        <x:f t="shared" si="14"/>
        <x:v>0</x:v>
      </x:c>
      <x:c r="Y35" s="1377" t="str">
        <x:f t="shared" si="15"/>
        <x:v/>
      </x:c>
      <x:c r="Z35" s="1378" t="str">
        <x:f t="shared" si="16"/>
        <x:v/>
      </x:c>
      <x:c r="AA35" s="2159" t="s">
        <x:v>2272</x:v>
      </x:c>
      <x:c r="AC35" s="1226" t="b">
        <x:v>0</x:v>
      </x:c>
      <x:c r="AD35" s="525">
        <x:f t="shared" si="17"/>
        <x:v>0</x:v>
      </x:c>
      <x:c r="AE35" s="526">
        <x:f t="shared" si="18"/>
        <x:v>2</x:v>
      </x:c>
      <x:c r="AF35" s="526">
        <x:f t="shared" si="19"/>
        <x:v>0</x:v>
      </x:c>
      <x:c r="AG35" s="526">
        <x:f t="shared" si="20"/>
        <x:v>0</x:v>
      </x:c>
      <x:c r="AH35" s="527">
        <x:f t="shared" si="21"/>
        <x:v>0</x:v>
      </x:c>
      <x:c r="AI35" s="528" t="b">
        <x:v>0</x:v>
      </x:c>
      <x:c r="AJ35" s="284">
        <x:f t="shared" si="22"/>
        <x:v>36</x:v>
      </x:c>
      <x:c r="AK35" s="1063" t="str">
        <x:f t="shared" si="23"/>
        <x:v>LH</x:v>
      </x:c>
      <x:c r="AL35" s="1202" t="str">
        <x:f t="shared" si="24"/>
        <x:v/>
      </x:c>
      <x:c r="AM35" s="1063">
        <x:f t="shared" si="25"/>
        <x:v>270</x:v>
      </x:c>
      <x:c r="AN35" s="1063">
        <x:f t="shared" si="26"/>
        <x:v>120</x:v>
      </x:c>
      <x:c r="AO35" s="1063" t="str">
        <x:f t="shared" si="27"/>
        <x:v/>
      </x:c>
      <x:c r="AP35" s="1063" t="b">
        <x:f>IF(ISERROR(AJ35),FALSE,IF(OR(AJ35=0,ISERROR(AL35),ISERROR(AM35),ISERROR(AN35),ISERROR(AO35)),FALSE,IF(AL35&lt;&gt;"",IF(ISERROR(VLOOKUP(SUBSTITUTE(SUBSTITUTE(C35,"R",""),"A",""),TblJoistSize!$A:$A,1,FALSE)),FALSE,TRUE),TRUE)))</x:f>
        <x:v>1</x:v>
      </x:c>
      <x:c r="AQ35" s="1305">
        <x:f t="shared" si="28"/>
        <x:v>6</x:v>
      </x:c>
      <x:c r="AR35" s="1305" t="b">
        <x:f t="shared" si="29"/>
        <x:v>0</x:v>
      </x:c>
      <x:c r="AS35" s="1305">
        <x:f t="shared" si="30"/>
        <x:v>9.625</x:v>
      </x:c>
      <x:c r="AT35" s="1305" t="b">
        <x:f t="shared" si="31"/>
        <x:v>0</x:v>
      </x:c>
      <x:c r="AU35" s="1203" t="str">
        <x:f t="shared" si="32"/>
        <x:v>LH</x:v>
      </x:c>
      <x:c r="AV35" s="1063" t="str">
        <x:f t="shared" si="33"/>
        <x:v/>
      </x:c>
      <x:c r="AW35" s="1063" t="str">
        <x:f t="shared" si="34"/>
        <x:v>LH</x:v>
      </x:c>
      <x:c r="AX35" s="1063" t="str">
        <x:f t="shared" si="107"/>
        <x:v>J286</x:v>
      </x:c>
      <x:c r="AY35" s="1306" t="b">
        <x:f t="shared" si="35"/>
        <x:v>0</x:v>
      </x:c>
      <x:c r="AZ35" s="1090" t="b">
        <x:f t="shared" si="36"/>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37"/>
        <x:v/>
      </x:c>
      <x:c r="CE35" s="935" t="str">
        <x:f t="shared" si="38"/>
        <x:v/>
      </x:c>
      <x:c r="CF35" s="1149"/>
      <x:c r="CG35" s="1150"/>
      <x:c r="CH35" s="738" t="str">
        <x:f t="shared" si="39"/>
        <x:v/>
      </x:c>
      <x:c r="CI35" s="739" t="str">
        <x:f t="shared" si="40"/>
        <x:v/>
      </x:c>
      <x:c r="CJ35" s="740" t="str">
        <x:f t="shared" si="41"/>
        <x:v/>
      </x:c>
      <x:c r="CK35" s="741" t="str">
        <x:f t="shared" si="42"/>
        <x:v/>
      </x:c>
      <x:c r="CL35" s="742" t="str">
        <x:f t="shared" si="43"/>
        <x:v/>
      </x:c>
      <x:c r="CM35" s="743" t="str">
        <x:f t="shared" si="44"/>
        <x:v/>
      </x:c>
      <x:c r="CN35" s="744" t="str">
        <x:f t="shared" si="45"/>
        <x:v/>
      </x:c>
      <x:c r="CO35" s="745" t="str">
        <x:f t="shared" si="46"/>
        <x:v/>
      </x:c>
      <x:c r="CP35" s="762" t="str">
        <x:f t="shared" si="47"/>
        <x:v/>
      </x:c>
      <x:c r="CQ35" s="763" t="str">
        <x:f t="shared" si="48"/>
        <x:v/>
      </x:c>
      <x:c r="CR35" s="953">
        <x:f t="shared" si="49"/>
        <x:v>5</x:v>
      </x:c>
      <x:c r="CS35" s="954">
        <x:f t="shared" si="50"/>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51"/>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52"/>
        <x:v>0</x:v>
      </x:c>
      <x:c r="DO35" s="1049">
        <x:f t="shared" si="53"/>
        <x:v>0</x:v>
      </x:c>
      <x:c r="DP35" s="1053" t="str">
        <x:f t="shared" si="54"/>
        <x:v/>
      </x:c>
      <x:c r="DQ35" s="1053" t="str">
        <x:f t="shared" si="55"/>
        <x:v/>
      </x:c>
      <x:c r="DR35" s="1053" t="str">
        <x:f t="shared" si="56"/>
        <x:v/>
      </x:c>
      <x:c r="DS35" s="1052">
        <x:f t="shared" si="57"/>
        <x:v>0</x:v>
      </x:c>
      <x:c r="DT35" s="1052">
        <x:f t="shared" si="58"/>
        <x:v>0</x:v>
      </x:c>
      <x:c r="DU35" s="1052" t="str">
        <x:f t="shared" si="59"/>
        <x:v/>
      </x:c>
      <x:c r="DV35" s="1053" t="str">
        <x:f t="shared" si="60"/>
        <x:v/>
      </x:c>
      <x:c r="DW35" s="1053" t="str">
        <x:f t="shared" si="61"/>
        <x:v/>
      </x:c>
      <x:c r="DX35" s="1269">
        <x:f t="shared" si="62"/>
        <x:v>0</x:v>
      </x:c>
      <x:c r="DY35" s="1053">
        <x:f t="shared" si="63"/>
        <x:v>0</x:v>
      </x:c>
      <x:c r="DZ35" s="1052">
        <x:f t="shared" si="64"/>
        <x:v>0</x:v>
      </x:c>
      <x:c r="EA35" s="1052" t="str">
        <x:f t="shared" si="65"/>
        <x:v/>
      </x:c>
      <x:c r="EB35" s="1053" t="str">
        <x:f t="shared" si="66"/>
        <x:v/>
      </x:c>
      <x:c r="EC35" s="1053" t="str">
        <x:f t="shared" si="67"/>
        <x:v/>
      </x:c>
      <x:c r="ED35" s="1269">
        <x:f t="shared" si="68"/>
        <x:v>0</x:v>
      </x:c>
      <x:c r="EE35" s="1090" t="str">
        <x:f t="shared" si="69"/>
        <x:v/>
      </x:c>
      <x:c r="EF35" s="1053" t="str">
        <x:f t="shared" si="70"/>
        <x:v/>
      </x:c>
      <x:c r="EG35" s="1053" t="str">
        <x:f t="shared" si="71"/>
        <x:v/>
      </x:c>
      <x:c r="EH35" s="1053" t="str">
        <x:f t="shared" si="72"/>
        <x:v>ERR</x:v>
      </x:c>
      <x:c r="EI35" s="1053" t="str">
        <x:f t="shared" si="73"/>
        <x:v>ERR</x:v>
      </x:c>
      <x:c r="EJ35" s="1053" t="str">
        <x:f t="shared" si="74"/>
        <x:v/>
      </x:c>
      <x:c r="EK35" s="1053" t="str">
        <x:f t="shared" si="74"/>
        <x:v/>
      </x:c>
      <x:c r="EL35" s="1090" t="str">
        <x:f t="shared" si="75"/>
        <x:v/>
      </x:c>
      <x:c r="EM35" s="1053" t="str">
        <x:f t="shared" si="76"/>
        <x:v/>
      </x:c>
      <x:c r="EN35" s="1053" t="str">
        <x:f t="shared" si="77"/>
        <x:v/>
      </x:c>
      <x:c r="EO35" s="1053" t="str">
        <x:f t="shared" si="78"/>
        <x:v>ERR</x:v>
      </x:c>
      <x:c r="EP35" s="1053" t="str">
        <x:f t="shared" si="79"/>
        <x:v>ERR</x:v>
      </x:c>
      <x:c r="EQ35" s="1053" t="str">
        <x:f t="shared" si="80"/>
        <x:v/>
      </x:c>
      <x:c r="ER35" s="1053" t="str">
        <x:f t="shared" si="80"/>
        <x:v/>
      </x:c>
      <x:c r="ES35" s="1053" t="str">
        <x:f t="shared" si="81"/>
        <x:v/>
      </x:c>
      <x:c r="ET35" s="1053" t="str">
        <x:f t="shared" si="82"/>
        <x:v/>
      </x:c>
      <x:c r="EU35" s="1061">
        <x:f t="shared" si="83"/>
        <x:v>4</x:v>
      </x:c>
      <x:c r="EV35" s="1055" t="str">
        <x:f t="shared" si="84"/>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85"/>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86"/>
        <x:v/>
      </x:c>
      <x:c r="FD35" s="1052">
        <x:f t="shared" si="108"/>
        <x:v>0</x:v>
      </x:c>
      <x:c r="FE35" s="1052">
        <x:f t="shared" si="87"/>
        <x:v>0</x:v>
      </x:c>
      <x:c r="FF35" s="1052">
        <x:f t="shared" si="88"/>
        <x:v>0</x:v>
      </x:c>
      <x:c r="FG35" s="1052" t="str">
        <x:f t="shared" si="89"/>
        <x:v/>
      </x:c>
      <x:c r="FH35" s="1053" t="str">
        <x:f t="shared" si="90"/>
        <x:v/>
      </x:c>
      <x:c r="FI35" s="1052">
        <x:f t="shared" si="109"/>
        <x:v>0</x:v>
      </x:c>
      <x:c r="FJ35" s="1052">
        <x:f t="shared" si="91"/>
        <x:v>0</x:v>
      </x:c>
      <x:c r="FK35" s="1052">
        <x:f t="shared" si="92"/>
        <x:v>0</x:v>
      </x:c>
      <x:c r="FL35" s="1052" t="str">
        <x:f t="shared" si="93"/>
        <x:v/>
      </x:c>
      <x:c r="FM35" s="1053" t="str">
        <x:f t="shared" si="94"/>
        <x:v/>
      </x:c>
      <x:c r="FN35" s="1053" t="e">
        <x:f t="shared" si="95"/>
        <x:v>#VALUE!</x:v>
      </x:c>
      <x:c r="FO35" s="1062" t="e">
        <x:f t="shared" si="96"/>
        <x:v>#VALUE!</x:v>
      </x:c>
      <x:c r="FP35" s="1062" t="e">
        <x:f t="shared" si="97"/>
        <x:v>#VALUE!</x:v>
      </x:c>
      <x:c r="FQ35" s="1063" t="e">
        <x:f t="shared" si="98"/>
        <x:v>#VALUE!</x:v>
      </x:c>
      <x:c r="FR35" s="1064" t="e">
        <x:f t="shared" si="99"/>
        <x:v>#VALUE!</x:v>
      </x:c>
      <x:c r="FS35" s="1065" t="str">
        <x:f t="shared" si="100"/>
        <x:v/>
      </x:c>
      <x:c r="FT35" s="1066" t="str">
        <x:f t="shared" si="101"/>
        <x:v/>
      </x:c>
      <x:c r="FU35" s="1105">
        <x:f t="shared" si="102"/>
        <x:v>0</x:v>
      </x:c>
      <x:c r="FV35" s="1106">
        <x:f t="shared" si="103"/>
        <x:v>0</x:v>
      </x:c>
      <x:c r="GA35" s="1975">
        <x:v>59</x:v>
      </x:c>
      <x:c r="GB35" s="1976">
        <x:v>2.75</x:v>
      </x:c>
      <x:c r="GC35" s="1977">
        <x:v>-0.5</x:v>
      </x:c>
      <x:c r="GD35" s="1978">
        <x:v>2</x:v>
      </x:c>
      <x:c r="GE35" s="1979">
        <x:v>-1.7103303632262153E-2</x:v>
      </x:c>
      <x:c r="GF35" s="1980" t="str">
        <x:f t="shared" si="104"/>
        <x:v>J286</x:v>
      </x:c>
      <x:c r="GG35" s="1453"/>
      <x:c r="GH35" s="1454"/>
      <x:c r="GI35" s="1453"/>
      <x:c r="GJ35" s="1454"/>
      <x:c r="GK35" s="533">
        <x:f t="shared" si="105"/>
        <x:v>712.25</x:v>
      </x:c>
      <x:c r="GL35" s="534">
        <x:f t="shared" si="106"/>
        <x:v>712.25072343540785</x:v>
      </x:c>
      <x:c r="GM35" s="535">
        <x:f>IF(ABS(GK35-GL35)&gt;='Job Info.'!$L$22,ABS(GK35-GL35),0)</x:f>
        <x:v>0</x:v>
      </x:c>
      <x:c r="HA35" s="1658" t="s">
        <x:v>1610</x:v>
      </x:c>
      <x:c r="HB35" s="1659">
        <x:v>2</x:v>
      </x:c>
      <x:c r="HC35" s="1659" t="s">
        <x:v>1978</x:v>
      </x:c>
      <x:c r="HD35" s="1660">
        <x:v>59</x:v>
      </x:c>
      <x:c r="HE35" s="1661">
        <x:v>4.25</x:v>
      </x:c>
      <x:c r="HF35" s="1659" t="s">
        <x:v>117</x:v>
      </x:c>
      <x:c r="HG35" s="1659" t="s">
        <x:v>117</x:v>
      </x:c>
      <x:c r="HH35" s="1659" t="s">
        <x:v>117</x:v>
      </x:c>
      <x:c r="HI35" s="1662">
        <x:v>0</x:v>
      </x:c>
      <x:c r="HJ35" s="1659">
        <x:v>3.625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2272</x:v>
      </x:c>
      <x:c r="IB35" s="1661"/>
      <x:c r="IC35" s="1661"/>
      <x:c r="ID35" s="1661"/>
      <x:c r="IE35" s="1661"/>
      <x:c r="IF35" s="1663"/>
    </x:row>
    <x:row r="36" spans="1:240" ht="12.6" customHeight="1" x14ac:dyDescent="0.25">
      <x:c r="A36" s="1264" t="s">
        <x:v>1611</x:v>
      </x:c>
      <x:c r="B36" s="1265">
        <x:v>3</x:v>
      </x:c>
      <x:c r="C36" s="1265" t="s">
        <x:v>1978</x:v>
      </x:c>
      <x:c r="D36" s="1261">
        <x:v>59</x:v>
      </x:c>
      <x:c r="E36" s="1366">
        <x:v>5.25</x:v>
      </x:c>
      <x:c r="F36" s="1328" t="str">
        <x:f t="shared" si="1"/>
        <x:v/>
      </x:c>
      <x:c r="G36" s="1262" t="str">
        <x:f t="shared" si="2"/>
        <x:v/>
      </x:c>
      <x:c r="H36" s="1266" t="str">
        <x:f t="shared" si="3"/>
        <x:v/>
      </x:c>
      <x:c r="I36" s="1261">
        <x:v>0</x:v>
      </x:c>
      <x:c r="J36" s="1262">
        <x:v>4.625</x:v>
      </x:c>
      <x:c r="K36" s="1370" t="s">
        <x:v>114</x:v>
      </x:c>
      <x:c r="L36" s="1327">
        <x:v>3</x:v>
      </x:c>
      <x:c r="M36" s="1329">
        <x:v>3</x:v>
      </x:c>
      <x:c r="N36" s="1263" t="str">
        <x:f t="shared" si="4"/>
        <x:v/>
      </x:c>
      <x:c r="O36" s="1262" t="str">
        <x:f t="shared" si="5"/>
        <x:v/>
      </x:c>
      <x:c r="P36" s="1260" t="str">
        <x:f t="shared" si="6"/>
        <x:v/>
      </x:c>
      <x:c r="Q36" s="1261">
        <x:v>0</x:v>
      </x:c>
      <x:c r="R36" s="1262">
        <x:v>10</x:v>
      </x:c>
      <x:c r="S36" s="1375">
        <x:v>2</x:v>
      </x:c>
      <x:c r="T36" s="1328">
        <x:v>0</x:v>
      </x:c>
      <x:c r="U36" s="1262">
        <x:v>2</x:v>
      </x:c>
      <x:c r="V36" s="1261">
        <x:v>0</x:v>
      </x:c>
      <x:c r="W36" s="1262">
        <x:v>5.5</x:v>
      </x:c>
      <x:c r="X36" s="1329">
        <x:v>4</x:v>
      </x:c>
      <x:c r="Y36" s="1377" t="str">
        <x:f t="shared" si="15"/>
        <x:v/>
      </x:c>
      <x:c r="Z36" s="1378" t="str">
        <x:f t="shared" si="16"/>
        <x:v/>
      </x:c>
      <x:c r="AA36" s="2159" t="s">
        <x:v>2064</x:v>
      </x:c>
      <x:c r="AC36" s="1226" t="b">
        <x:v>0</x:v>
      </x:c>
      <x:c r="AD36" s="525">
        <x:f t="shared" si="17"/>
        <x:v>0</x:v>
      </x:c>
      <x:c r="AE36" s="526">
        <x:f t="shared" si="18"/>
        <x:v>3</x:v>
      </x:c>
      <x:c r="AF36" s="526">
        <x:f t="shared" si="19"/>
        <x:v>0</x:v>
      </x:c>
      <x:c r="AG36" s="526">
        <x:f t="shared" si="20"/>
        <x:v>0</x:v>
      </x:c>
      <x:c r="AH36" s="527">
        <x:f t="shared" si="21"/>
        <x:v>0</x:v>
      </x:c>
      <x:c r="AI36" s="528" t="b">
        <x:v>0</x:v>
      </x:c>
      <x:c r="AJ36" s="284">
        <x:f t="shared" si="22"/>
        <x:v>36</x:v>
      </x:c>
      <x:c r="AK36" s="1063" t="str">
        <x:f t="shared" si="23"/>
        <x:v>LH</x:v>
      </x:c>
      <x:c r="AL36" s="1202" t="str">
        <x:f t="shared" si="24"/>
        <x:v/>
      </x:c>
      <x:c r="AM36" s="1063">
        <x:f t="shared" si="25"/>
        <x:v>270</x:v>
      </x:c>
      <x:c r="AN36" s="1063">
        <x:f t="shared" si="26"/>
        <x:v>120</x:v>
      </x:c>
      <x:c r="AO36" s="1063" t="str">
        <x:f t="shared" si="27"/>
        <x:v/>
      </x:c>
      <x:c r="AP36" s="1063" t="b">
        <x:f>IF(ISERROR(AJ36),FALSE,IF(OR(AJ36=0,ISERROR(AL36),ISERROR(AM36),ISERROR(AN36),ISERROR(AO36)),FALSE,IF(AL36&lt;&gt;"",IF(ISERROR(VLOOKUP(SUBSTITUTE(SUBSTITUTE(C36,"R",""),"A",""),TblJoistSize!$A:$A,1,FALSE)),FALSE,TRUE),TRUE)))</x:f>
        <x:v>1</x:v>
      </x:c>
      <x:c r="AQ36" s="1305">
        <x:f t="shared" si="28"/>
        <x:v>6</x:v>
      </x:c>
      <x:c r="AR36" s="1305" t="b">
        <x:f t="shared" si="29"/>
        <x:v>1</x:v>
      </x:c>
      <x:c r="AS36" s="1305">
        <x:f t="shared" si="30"/>
        <x:v>10.625</x:v>
      </x:c>
      <x:c r="AT36" s="1305" t="b">
        <x:f t="shared" si="31"/>
        <x:v>1</x:v>
      </x:c>
      <x:c r="AU36" s="1203" t="str">
        <x:f t="shared" si="32"/>
        <x:v>LH</x:v>
      </x:c>
      <x:c r="AV36" s="1063" t="str">
        <x:f t="shared" si="33"/>
        <x:v/>
      </x:c>
      <x:c r="AW36" s="1063" t="str">
        <x:f t="shared" si="34"/>
        <x:v>LH</x:v>
      </x:c>
      <x:c r="AX36" s="1063" t="str">
        <x:f t="shared" si="107"/>
        <x:v>TJ287</x:v>
      </x:c>
      <x:c r="AY36" s="1306" t="b">
        <x:f t="shared" si="35"/>
        <x:v>0</x:v>
      </x:c>
      <x:c r="AZ36" s="1090" t="b">
        <x:f t="shared" si="36"/>
        <x:v>0</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37"/>
        <x:v/>
      </x:c>
      <x:c r="CE36" s="935" t="str">
        <x:f t="shared" si="38"/>
        <x:v/>
      </x:c>
      <x:c r="CF36" s="1149"/>
      <x:c r="CG36" s="1150"/>
      <x:c r="CH36" s="738" t="str">
        <x:f t="shared" si="39"/>
        <x:v/>
      </x:c>
      <x:c r="CI36" s="739" t="str">
        <x:f t="shared" si="40"/>
        <x:v/>
      </x:c>
      <x:c r="CJ36" s="740" t="str">
        <x:f t="shared" si="41"/>
        <x:v/>
      </x:c>
      <x:c r="CK36" s="741" t="str">
        <x:f t="shared" si="42"/>
        <x:v/>
      </x:c>
      <x:c r="CL36" s="742" t="str">
        <x:f t="shared" si="43"/>
        <x:v/>
      </x:c>
      <x:c r="CM36" s="743" t="str">
        <x:f t="shared" si="44"/>
        <x:v/>
      </x:c>
      <x:c r="CN36" s="744" t="str">
        <x:f t="shared" si="45"/>
        <x:v/>
      </x:c>
      <x:c r="CO36" s="745" t="str">
        <x:f t="shared" si="46"/>
        <x:v/>
      </x:c>
      <x:c r="CP36" s="762" t="str">
        <x:f t="shared" si="47"/>
        <x:v/>
      </x:c>
      <x:c r="CQ36" s="763" t="str">
        <x:f t="shared" si="48"/>
        <x:v/>
      </x:c>
      <x:c r="CR36" s="953">
        <x:f t="shared" si="49"/>
        <x:v>5</x:v>
      </x:c>
      <x:c r="CS36" s="954">
        <x:f t="shared" si="50"/>
        <x:v>5</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51"/>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52"/>
        <x:v>0</x:v>
      </x:c>
      <x:c r="DO36" s="1049">
        <x:f t="shared" si="53"/>
        <x:v>0</x:v>
      </x:c>
      <x:c r="DP36" s="1053" t="str">
        <x:f t="shared" si="54"/>
        <x:v/>
      </x:c>
      <x:c r="DQ36" s="1053" t="str">
        <x:f t="shared" si="55"/>
        <x:v/>
      </x:c>
      <x:c r="DR36" s="1053" t="str">
        <x:f t="shared" si="56"/>
        <x:v/>
      </x:c>
      <x:c r="DS36" s="1052">
        <x:f t="shared" si="57"/>
        <x:v>0</x:v>
      </x:c>
      <x:c r="DT36" s="1052">
        <x:f t="shared" si="58"/>
        <x:v>0</x:v>
      </x:c>
      <x:c r="DU36" s="1052" t="str">
        <x:f t="shared" si="59"/>
        <x:v/>
      </x:c>
      <x:c r="DV36" s="1053" t="str">
        <x:f t="shared" si="60"/>
        <x:v/>
      </x:c>
      <x:c r="DW36" s="1053" t="str">
        <x:f t="shared" si="61"/>
        <x:v/>
      </x:c>
      <x:c r="DX36" s="1269">
        <x:f t="shared" si="62"/>
        <x:v>0</x:v>
      </x:c>
      <x:c r="DY36" s="1053">
        <x:f t="shared" si="63"/>
        <x:v>0</x:v>
      </x:c>
      <x:c r="DZ36" s="1052">
        <x:f t="shared" si="64"/>
        <x:v>0</x:v>
      </x:c>
      <x:c r="EA36" s="1052" t="str">
        <x:f t="shared" si="65"/>
        <x:v/>
      </x:c>
      <x:c r="EB36" s="1053" t="str">
        <x:f t="shared" si="66"/>
        <x:v/>
      </x:c>
      <x:c r="EC36" s="1053" t="str">
        <x:f t="shared" si="67"/>
        <x:v/>
      </x:c>
      <x:c r="ED36" s="1269">
        <x:f t="shared" si="68"/>
        <x:v>0</x:v>
      </x:c>
      <x:c r="EE36" s="1090" t="str">
        <x:f t="shared" si="69"/>
        <x:v/>
      </x:c>
      <x:c r="EF36" s="1053" t="str">
        <x:f t="shared" si="70"/>
        <x:v/>
      </x:c>
      <x:c r="EG36" s="1053" t="str">
        <x:f t="shared" si="71"/>
        <x:v/>
      </x:c>
      <x:c r="EH36" s="1053" t="str">
        <x:f t="shared" si="72"/>
        <x:v>ERR</x:v>
      </x:c>
      <x:c r="EI36" s="1053" t="str">
        <x:f t="shared" si="73"/>
        <x:v>ERR</x:v>
      </x:c>
      <x:c r="EJ36" s="1053" t="str">
        <x:f t="shared" si="74"/>
        <x:v/>
      </x:c>
      <x:c r="EK36" s="1053" t="str">
        <x:f t="shared" si="74"/>
        <x:v/>
      </x:c>
      <x:c r="EL36" s="1090" t="str">
        <x:f t="shared" si="75"/>
        <x:v/>
      </x:c>
      <x:c r="EM36" s="1053" t="str">
        <x:f t="shared" si="76"/>
        <x:v/>
      </x:c>
      <x:c r="EN36" s="1053" t="str">
        <x:f t="shared" si="77"/>
        <x:v/>
      </x:c>
      <x:c r="EO36" s="1053" t="str">
        <x:f t="shared" si="78"/>
        <x:v>ERR</x:v>
      </x:c>
      <x:c r="EP36" s="1053" t="str">
        <x:f t="shared" si="79"/>
        <x:v>ERR</x:v>
      </x:c>
      <x:c r="EQ36" s="1053" t="str">
        <x:f t="shared" si="80"/>
        <x:v/>
      </x:c>
      <x:c r="ER36" s="1053" t="str">
        <x:f t="shared" si="80"/>
        <x:v/>
      </x:c>
      <x:c r="ES36" s="1053" t="str">
        <x:f t="shared" si="81"/>
        <x:v/>
      </x:c>
      <x:c r="ET36" s="1053" t="str">
        <x:f t="shared" si="82"/>
        <x:v/>
      </x:c>
      <x:c r="EU36" s="1061">
        <x:f t="shared" si="83"/>
        <x:v>4</x:v>
      </x:c>
      <x:c r="EV36" s="1055" t="str">
        <x:f t="shared" si="84"/>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85"/>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86"/>
        <x:v/>
      </x:c>
      <x:c r="FD36" s="1052">
        <x:f t="shared" si="108"/>
        <x:v>0</x:v>
      </x:c>
      <x:c r="FE36" s="1052">
        <x:f t="shared" si="87"/>
        <x:v>0</x:v>
      </x:c>
      <x:c r="FF36" s="1052">
        <x:f t="shared" si="88"/>
        <x:v>0</x:v>
      </x:c>
      <x:c r="FG36" s="1052" t="str">
        <x:f t="shared" si="89"/>
        <x:v/>
      </x:c>
      <x:c r="FH36" s="1053" t="str">
        <x:f t="shared" si="90"/>
        <x:v/>
      </x:c>
      <x:c r="FI36" s="1052">
        <x:f t="shared" si="109"/>
        <x:v>0</x:v>
      </x:c>
      <x:c r="FJ36" s="1052">
        <x:f t="shared" si="91"/>
        <x:v>0</x:v>
      </x:c>
      <x:c r="FK36" s="1052">
        <x:f t="shared" si="92"/>
        <x:v>0</x:v>
      </x:c>
      <x:c r="FL36" s="1052" t="str">
        <x:f t="shared" si="93"/>
        <x:v/>
      </x:c>
      <x:c r="FM36" s="1053" t="str">
        <x:f t="shared" si="94"/>
        <x:v/>
      </x:c>
      <x:c r="FN36" s="1053" t="e">
        <x:f t="shared" si="95"/>
        <x:v>#VALUE!</x:v>
      </x:c>
      <x:c r="FO36" s="1062" t="e">
        <x:f t="shared" si="96"/>
        <x:v>#VALUE!</x:v>
      </x:c>
      <x:c r="FP36" s="1062" t="e">
        <x:f t="shared" si="97"/>
        <x:v>#VALUE!</x:v>
      </x:c>
      <x:c r="FQ36" s="1063" t="e">
        <x:f t="shared" si="98"/>
        <x:v>#VALUE!</x:v>
      </x:c>
      <x:c r="FR36" s="1064" t="e">
        <x:f t="shared" si="99"/>
        <x:v>#VALUE!</x:v>
      </x:c>
      <x:c r="FS36" s="1065" t="str">
        <x:f t="shared" si="100"/>
        <x:v/>
      </x:c>
      <x:c r="FT36" s="1066" t="str">
        <x:f t="shared" si="101"/>
        <x:v/>
      </x:c>
      <x:c r="FU36" s="1105">
        <x:f t="shared" si="102"/>
        <x:v>0</x:v>
      </x:c>
      <x:c r="FV36" s="1106">
        <x:f t="shared" si="103"/>
        <x:v>0</x:v>
      </x:c>
      <x:c r="GA36" s="1975">
        <x:v>59</x:v>
      </x:c>
      <x:c r="GB36" s="1976">
        <x:v>2.75</x:v>
      </x:c>
      <x:c r="GC36" s="1977">
        <x:v>-0.5</x:v>
      </x:c>
      <x:c r="GD36" s="1978">
        <x:v>3</x:v>
      </x:c>
      <x:c r="GE36" s="1979">
        <x:f t="shared" ref="GE36:GE45" si="110">IF(GF36="","",BW36)</x:f>
        <x:v>0</x:v>
      </x:c>
      <x:c r="GF36" s="1980" t="str">
        <x:f t="shared" si="104"/>
        <x:v>TJ287</x:v>
      </x:c>
      <x:c r="GG36" s="1453"/>
      <x:c r="GH36" s="1454"/>
      <x:c r="GI36" s="1453"/>
      <x:c r="GJ36" s="1454"/>
      <x:c r="GK36" s="533">
        <x:f t="shared" si="105"/>
        <x:v>713.25</x:v>
      </x:c>
      <x:c r="GL36" s="534">
        <x:f t="shared" si="106"/>
        <x:v>713.25</x:v>
      </x:c>
      <x:c r="GM36" s="535">
        <x:f>IF(ABS(GK36-GL36)&gt;='Job Info.'!$L$22,ABS(GK36-GL36),0)</x:f>
        <x:v>0</x:v>
      </x:c>
      <x:c r="HA36" s="1658" t="s">
        <x:v>1611</x:v>
      </x:c>
      <x:c r="HB36" s="1659">
        <x:v>3</x:v>
      </x:c>
      <x:c r="HC36" s="1659" t="s">
        <x:v>1978</x:v>
      </x:c>
      <x:c r="HD36" s="1660">
        <x:v>59</x:v>
      </x:c>
      <x:c r="HE36" s="1661">
        <x:v>5.25</x:v>
      </x:c>
      <x:c r="HF36" s="1659" t="s">
        <x:v>117</x:v>
      </x:c>
      <x:c r="HG36" s="1659" t="s">
        <x:v>117</x:v>
      </x:c>
      <x:c r="HH36" s="1659" t="s">
        <x:v>117</x:v>
      </x:c>
      <x:c r="HI36" s="1662">
        <x:v>0</x:v>
      </x:c>
      <x:c r="HJ36" s="1659">
        <x:v>4.625</x:v>
      </x:c>
      <x:c r="HK36" s="1659" t="s">
        <x:v>114</x:v>
      </x:c>
      <x:c r="HL36" s="1659">
        <x:v>3</x:v>
      </x:c>
      <x:c r="HM36" s="1659">
        <x:v>3</x:v>
      </x:c>
      <x:c r="HN36" s="1659" t="s">
        <x:v>117</x:v>
      </x:c>
      <x:c r="HO36" s="1659" t="s">
        <x:v>117</x:v>
      </x:c>
      <x:c r="HP36" s="1659" t="s">
        <x:v>117</x:v>
      </x:c>
      <x:c r="HQ36" s="1662">
        <x:v>0</x:v>
      </x:c>
      <x:c r="HR36" s="1659">
        <x:v>10</x:v>
      </x:c>
      <x:c r="HS36" s="1659">
        <x:v>2</x:v>
      </x:c>
      <x:c r="HT36" s="1659">
        <x:v>0</x:v>
      </x:c>
      <x:c r="HU36" s="1659">
        <x:v>2</x:v>
      </x:c>
      <x:c r="HV36" s="1659">
        <x:v>0</x:v>
      </x:c>
      <x:c r="HW36" s="1661">
        <x:v>5.5</x:v>
      </x:c>
      <x:c r="HX36" s="1661">
        <x:v>4</x:v>
      </x:c>
      <x:c r="HY36" s="1661" t="s">
        <x:v>117</x:v>
      </x:c>
      <x:c r="HZ36" s="1661" t="s">
        <x:v>117</x:v>
      </x:c>
      <x:c r="IA36" s="1661" t="s">
        <x:v>2064</x:v>
      </x:c>
      <x:c r="IB36" s="1661"/>
      <x:c r="IC36" s="1661"/>
      <x:c r="ID36" s="1661"/>
      <x:c r="IE36" s="1661"/>
      <x:c r="IF36" s="1663"/>
    </x:row>
    <x:row r="37" spans="1:240" ht="12.6" customHeight="1" x14ac:dyDescent="0.25">
      <x:c r="A37" s="1264" t="s">
        <x:v>1612</x:v>
      </x:c>
      <x:c r="B37" s="1265">
        <x:v>1</x:v>
      </x:c>
      <x:c r="C37" s="1265" t="s">
        <x:v>1978</x:v>
      </x:c>
      <x:c r="D37" s="1261">
        <x:v>59</x:v>
      </x:c>
      <x:c r="E37" s="1366">
        <x:v>0.625</x:v>
      </x:c>
      <x:c r="F37" s="1328">
        <x:v>0</x:v>
      </x:c>
      <x:c r="G37" s="1262">
        <x:v>1.375</x:v>
      </x:c>
      <x:c r="H37" s="1266" t="s">
        <x:v>114</x:v>
      </x:c>
      <x:c r="I37" s="1261" t="str">
        <x:f t="shared" ref="I37:I44" si="111">IF(ED37=0,"",TRUNC(ED37/12))</x:f>
        <x:v/>
      </x:c>
      <x:c r="J37" s="1262" t="str">
        <x:f t="shared" ref="J37:J44" si="112">IF(ED37=0,"",ED37-(I37*12))</x:f>
        <x:v/>
      </x:c>
      <x:c r="K37" s="1370" t="str">
        <x:f t="shared" ref="K37:K44" si="113">IF(ED37=0,"",DG37)</x:f>
        <x:v/>
      </x:c>
      <x:c r="L37" s="1327">
        <x:v>3</x:v>
      </x:c>
      <x:c r="M37" s="1329">
        <x:v>3</x:v>
      </x:c>
      <x:c r="N37" s="1263" t="str">
        <x:f t="shared" si="4"/>
        <x:v/>
      </x:c>
      <x:c r="O37" s="1262" t="str">
        <x:f t="shared" si="5"/>
        <x:v/>
      </x:c>
      <x:c r="P37" s="1260" t="str">
        <x:f t="shared" si="6"/>
        <x:v/>
      </x:c>
      <x:c r="Q37" s="1261" t="str">
        <x:f t="shared" si="7"/>
        <x:v/>
      </x:c>
      <x:c r="R37" s="1262" t="str">
        <x:f t="shared" si="8"/>
        <x:v/>
      </x:c>
      <x:c r="S37" s="1375" t="str">
        <x:f t="shared" si="9"/>
        <x:v/>
      </x:c>
      <x:c r="T37" s="1328">
        <x:v>0</x:v>
      </x:c>
      <x:c r="U37" s="1262">
        <x:v>2.25</x:v>
      </x:c>
      <x:c r="V37" s="1261">
        <x:v>0</x:v>
      </x:c>
      <x:c r="W37" s="1262">
        <x:v>1.125</x:v>
      </x:c>
      <x:c r="X37" s="1329">
        <x:v>4</x:v>
      </x:c>
      <x:c r="Y37" s="1377" t="str">
        <x:f t="shared" si="15"/>
        <x:v/>
      </x:c>
      <x:c r="Z37" s="1378" t="str">
        <x:f t="shared" si="16"/>
        <x:v/>
      </x:c>
      <x:c r="AA37" s="2159" t="s">
        <x:v>2233</x:v>
      </x:c>
      <x:c r="AC37" s="1226" t="b">
        <x:v>0</x:v>
      </x:c>
      <x:c r="AD37" s="525">
        <x:f t="shared" si="17"/>
        <x:v>0</x:v>
      </x:c>
      <x:c r="AE37" s="526">
        <x:f t="shared" si="18"/>
        <x:v>1</x:v>
      </x:c>
      <x:c r="AF37" s="526">
        <x:f t="shared" si="19"/>
        <x:v>0</x:v>
      </x:c>
      <x:c r="AG37" s="526">
        <x:f t="shared" si="20"/>
        <x:v>0</x:v>
      </x:c>
      <x:c r="AH37" s="527">
        <x:f t="shared" si="21"/>
        <x:v>0</x:v>
      </x:c>
      <x:c r="AI37" s="528" t="b">
        <x:v>0</x:v>
      </x:c>
      <x:c r="AJ37" s="284">
        <x:f t="shared" si="22"/>
        <x:v>36</x:v>
      </x:c>
      <x:c r="AK37" s="1063" t="str">
        <x:f t="shared" si="23"/>
        <x:v>LH</x:v>
      </x:c>
      <x:c r="AL37" s="1202" t="str">
        <x:f t="shared" si="24"/>
        <x:v/>
      </x:c>
      <x:c r="AM37" s="1063">
        <x:f t="shared" si="25"/>
        <x:v>270</x:v>
      </x:c>
      <x:c r="AN37" s="1063">
        <x:f t="shared" si="26"/>
        <x:v>120</x:v>
      </x:c>
      <x:c r="AO37" s="1063" t="str">
        <x:f t="shared" si="27"/>
        <x:v/>
      </x:c>
      <x:c r="AP37" s="1063" t="b">
        <x:f>IF(ISERROR(AJ37),FALSE,IF(OR(AJ37=0,ISERROR(AL37),ISERROR(AM37),ISERROR(AN37),ISERROR(AO37)),FALSE,IF(AL37&lt;&gt;"",IF(ISERROR(VLOOKUP(SUBSTITUTE(SUBSTITUTE(C37,"R",""),"A",""),TblJoistSize!$A:$A,1,FALSE)),FALSE,TRUE),TRUE)))</x:f>
        <x:v>1</x:v>
      </x:c>
      <x:c r="AQ37" s="1305">
        <x:f t="shared" si="28"/>
        <x:v>7.375</x:v>
      </x:c>
      <x:c r="AR37" s="1305" t="b">
        <x:f t="shared" si="29"/>
        <x:v>1</x:v>
      </x:c>
      <x:c r="AS37" s="1305">
        <x:f t="shared" si="30"/>
        <x:v>6</x:v>
      </x:c>
      <x:c r="AT37" s="1305" t="b">
        <x:f t="shared" si="31"/>
        <x:v>1</x:v>
      </x:c>
      <x:c r="AU37" s="1203" t="str">
        <x:f t="shared" si="32"/>
        <x:v>LH</x:v>
      </x:c>
      <x:c r="AV37" s="1063" t="str">
        <x:f t="shared" si="33"/>
        <x:v/>
      </x:c>
      <x:c r="AW37" s="1063" t="str">
        <x:f t="shared" si="34"/>
        <x:v>LH</x:v>
      </x:c>
      <x:c r="AX37" s="1063" t="str">
        <x:f t="shared" si="107"/>
        <x:v>TJ288</x:v>
      </x:c>
      <x:c r="AY37" s="1306" t="b">
        <x:f t="shared" si="35"/>
        <x:v>0</x:v>
      </x:c>
      <x:c r="AZ37" s="1090" t="b">
        <x:f t="shared" si="36"/>
        <x:v>0</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37"/>
        <x:v/>
      </x:c>
      <x:c r="CE37" s="935" t="str">
        <x:f t="shared" si="38"/>
        <x:v/>
      </x:c>
      <x:c r="CF37" s="1149"/>
      <x:c r="CG37" s="1150"/>
      <x:c r="CH37" s="738" t="str">
        <x:f t="shared" si="39"/>
        <x:v/>
      </x:c>
      <x:c r="CI37" s="739" t="str">
        <x:f t="shared" si="40"/>
        <x:v/>
      </x:c>
      <x:c r="CJ37" s="740" t="str">
        <x:f t="shared" si="41"/>
        <x:v/>
      </x:c>
      <x:c r="CK37" s="741" t="str">
        <x:f t="shared" si="42"/>
        <x:v/>
      </x:c>
      <x:c r="CL37" s="742" t="str">
        <x:f t="shared" si="43"/>
        <x:v/>
      </x:c>
      <x:c r="CM37" s="743" t="str">
        <x:f t="shared" si="44"/>
        <x:v/>
      </x:c>
      <x:c r="CN37" s="744" t="str">
        <x:f t="shared" si="45"/>
        <x:v/>
      </x:c>
      <x:c r="CO37" s="745" t="str">
        <x:f t="shared" si="46"/>
        <x:v/>
      </x:c>
      <x:c r="CP37" s="762" t="str">
        <x:f t="shared" si="47"/>
        <x:v/>
      </x:c>
      <x:c r="CQ37" s="763" t="str">
        <x:f t="shared" si="48"/>
        <x:v/>
      </x:c>
      <x:c r="CR37" s="953">
        <x:f t="shared" si="49"/>
        <x:v>5</x:v>
      </x:c>
      <x:c r="CS37" s="954">
        <x:f t="shared" si="50"/>
        <x:v>5</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51"/>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52"/>
        <x:v>0</x:v>
      </x:c>
      <x:c r="DO37" s="1049">
        <x:f t="shared" si="53"/>
        <x:v>0</x:v>
      </x:c>
      <x:c r="DP37" s="1053" t="str">
        <x:f t="shared" si="54"/>
        <x:v/>
      </x:c>
      <x:c r="DQ37" s="1053" t="str">
        <x:f t="shared" si="55"/>
        <x:v/>
      </x:c>
      <x:c r="DR37" s="1053" t="str">
        <x:f t="shared" si="56"/>
        <x:v/>
      </x:c>
      <x:c r="DS37" s="1052">
        <x:f t="shared" si="57"/>
        <x:v>0</x:v>
      </x:c>
      <x:c r="DT37" s="1052">
        <x:f t="shared" si="58"/>
        <x:v>0</x:v>
      </x:c>
      <x:c r="DU37" s="1052" t="str">
        <x:f t="shared" si="59"/>
        <x:v/>
      </x:c>
      <x:c r="DV37" s="1053" t="str">
        <x:f t="shared" si="60"/>
        <x:v/>
      </x:c>
      <x:c r="DW37" s="1053" t="str">
        <x:f t="shared" si="61"/>
        <x:v/>
      </x:c>
      <x:c r="DX37" s="1269">
        <x:f t="shared" si="62"/>
        <x:v>0</x:v>
      </x:c>
      <x:c r="DY37" s="1053">
        <x:f t="shared" si="63"/>
        <x:v>0</x:v>
      </x:c>
      <x:c r="DZ37" s="1052">
        <x:f t="shared" si="64"/>
        <x:v>0</x:v>
      </x:c>
      <x:c r="EA37" s="1052" t="str">
        <x:f t="shared" si="65"/>
        <x:v/>
      </x:c>
      <x:c r="EB37" s="1053" t="str">
        <x:f t="shared" si="66"/>
        <x:v/>
      </x:c>
      <x:c r="EC37" s="1053" t="str">
        <x:f t="shared" si="67"/>
        <x:v/>
      </x:c>
      <x:c r="ED37" s="1269">
        <x:f t="shared" si="68"/>
        <x:v>0</x:v>
      </x:c>
      <x:c r="EE37" s="1090" t="str">
        <x:f t="shared" si="69"/>
        <x:v/>
      </x:c>
      <x:c r="EF37" s="1053" t="str">
        <x:f t="shared" si="70"/>
        <x:v/>
      </x:c>
      <x:c r="EG37" s="1053" t="str">
        <x:f t="shared" si="71"/>
        <x:v/>
      </x:c>
      <x:c r="EH37" s="1053" t="str">
        <x:f t="shared" si="72"/>
        <x:v>ERR</x:v>
      </x:c>
      <x:c r="EI37" s="1053" t="str">
        <x:f t="shared" si="73"/>
        <x:v>ERR</x:v>
      </x:c>
      <x:c r="EJ37" s="1053" t="str">
        <x:f t="shared" si="74"/>
        <x:v/>
      </x:c>
      <x:c r="EK37" s="1053" t="str">
        <x:f t="shared" si="74"/>
        <x:v/>
      </x:c>
      <x:c r="EL37" s="1090" t="str">
        <x:f t="shared" si="75"/>
        <x:v/>
      </x:c>
      <x:c r="EM37" s="1053" t="str">
        <x:f t="shared" si="76"/>
        <x:v/>
      </x:c>
      <x:c r="EN37" s="1053" t="str">
        <x:f t="shared" si="77"/>
        <x:v/>
      </x:c>
      <x:c r="EO37" s="1053" t="str">
        <x:f t="shared" si="78"/>
        <x:v>ERR</x:v>
      </x:c>
      <x:c r="EP37" s="1053" t="str">
        <x:f t="shared" si="79"/>
        <x:v>ERR</x:v>
      </x:c>
      <x:c r="EQ37" s="1053" t="str">
        <x:f t="shared" si="80"/>
        <x:v/>
      </x:c>
      <x:c r="ER37" s="1053" t="str">
        <x:f t="shared" si="80"/>
        <x:v/>
      </x:c>
      <x:c r="ES37" s="1053" t="str">
        <x:f t="shared" si="81"/>
        <x:v/>
      </x:c>
      <x:c r="ET37" s="1053" t="str">
        <x:f t="shared" si="82"/>
        <x:v/>
      </x:c>
      <x:c r="EU37" s="1061">
        <x:f t="shared" si="83"/>
        <x:v>4</x:v>
      </x:c>
      <x:c r="EV37" s="1055" t="str">
        <x:f t="shared" si="84"/>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85"/>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86"/>
        <x:v/>
      </x:c>
      <x:c r="FD37" s="1052">
        <x:f t="shared" si="108"/>
        <x:v>0</x:v>
      </x:c>
      <x:c r="FE37" s="1052">
        <x:f t="shared" si="87"/>
        <x:v>0</x:v>
      </x:c>
      <x:c r="FF37" s="1052">
        <x:f t="shared" si="88"/>
        <x:v>0</x:v>
      </x:c>
      <x:c r="FG37" s="1052" t="str">
        <x:f t="shared" si="89"/>
        <x:v/>
      </x:c>
      <x:c r="FH37" s="1053" t="str">
        <x:f t="shared" si="90"/>
        <x:v/>
      </x:c>
      <x:c r="FI37" s="1052">
        <x:f t="shared" si="109"/>
        <x:v>0</x:v>
      </x:c>
      <x:c r="FJ37" s="1052">
        <x:f t="shared" si="91"/>
        <x:v>0</x:v>
      </x:c>
      <x:c r="FK37" s="1052">
        <x:f t="shared" si="92"/>
        <x:v>0</x:v>
      </x:c>
      <x:c r="FL37" s="1052" t="str">
        <x:f t="shared" si="93"/>
        <x:v/>
      </x:c>
      <x:c r="FM37" s="1053" t="str">
        <x:f t="shared" si="94"/>
        <x:v/>
      </x:c>
      <x:c r="FN37" s="1053" t="e">
        <x:f t="shared" si="95"/>
        <x:v>#VALUE!</x:v>
      </x:c>
      <x:c r="FO37" s="1062" t="e">
        <x:f t="shared" si="96"/>
        <x:v>#VALUE!</x:v>
      </x:c>
      <x:c r="FP37" s="1062" t="e">
        <x:f t="shared" si="97"/>
        <x:v>#VALUE!</x:v>
      </x:c>
      <x:c r="FQ37" s="1063" t="e">
        <x:f t="shared" si="98"/>
        <x:v>#VALUE!</x:v>
      </x:c>
      <x:c r="FR37" s="1064" t="e">
        <x:f t="shared" si="99"/>
        <x:v>#VALUE!</x:v>
      </x:c>
      <x:c r="FS37" s="1065" t="str">
        <x:f t="shared" si="100"/>
        <x:v/>
      </x:c>
      <x:c r="FT37" s="1066" t="str">
        <x:f t="shared" si="101"/>
        <x:v/>
      </x:c>
      <x:c r="FU37" s="1105">
        <x:f t="shared" si="102"/>
        <x:v>0</x:v>
      </x:c>
      <x:c r="FV37" s="1106">
        <x:f t="shared" si="103"/>
        <x:v>0</x:v>
      </x:c>
      <x:c r="GA37" s="1975">
        <x:v>59</x:v>
      </x:c>
      <x:c r="GB37" s="1976">
        <x:v>2.75</x:v>
      </x:c>
      <x:c r="GC37" s="1977">
        <x:v>-0.25</x:v>
      </x:c>
      <x:c r="GD37" s="1978">
        <x:v>-1.875</x:v>
      </x:c>
      <x:c r="GE37" s="1979">
        <x:v>-0.26169539219134702</x:v>
      </x:c>
      <x:c r="GF37" s="1980" t="str">
        <x:f t="shared" si="104"/>
        <x:v>TJ288</x:v>
      </x:c>
      <x:c r="GG37" s="1453"/>
      <x:c r="GH37" s="1454"/>
      <x:c r="GI37" s="1453"/>
      <x:c r="GJ37" s="1454"/>
      <x:c r="GK37" s="533">
        <x:f t="shared" si="105"/>
        <x:v>708.625</x:v>
      </x:c>
      <x:c r="GL37" s="534">
        <x:f t="shared" si="106"/>
        <x:v>708.79348626656247</x:v>
      </x:c>
      <x:c r="GM37" s="535">
        <x:f>IF(ABS(GK37-GL37)&gt;='Job Info.'!$L$22,ABS(GK37-GL37),0)</x:f>
        <x:v>0</x:v>
      </x:c>
      <x:c r="HA37" s="1658" t="s">
        <x:v>1612</x:v>
      </x:c>
      <x:c r="HB37" s="1659">
        <x:v>1</x:v>
      </x:c>
      <x:c r="HC37" s="1659" t="s">
        <x:v>1978</x:v>
      </x:c>
      <x:c r="HD37" s="1660">
        <x:v>59</x:v>
      </x:c>
      <x:c r="HE37" s="1661">
        <x:v>0.625</x:v>
      </x:c>
      <x:c r="HF37" s="1659">
        <x:v>0</x:v>
      </x:c>
      <x:c r="HG37" s="1659">
        <x:v>1.375</x:v>
      </x:c>
      <x:c r="HH37" s="1659" t="s">
        <x:v>114</x:v>
      </x:c>
      <x:c r="HI37" s="1662" t="s">
        <x:v>117</x:v>
      </x:c>
      <x:c r="HJ37" s="1659" t="s">
        <x:v>117</x:v>
      </x:c>
      <x:c r="HK37" s="1659" t="s">
        <x:v>117</x:v>
      </x:c>
      <x:c r="HL37" s="1659">
        <x:v>3</x:v>
      </x:c>
      <x:c r="HM37" s="1659">
        <x:v>3</x:v>
      </x:c>
      <x:c r="HN37" s="1659" t="s">
        <x:v>117</x:v>
      </x:c>
      <x:c r="HO37" s="1659" t="s">
        <x:v>117</x:v>
      </x:c>
      <x:c r="HP37" s="1659" t="s">
        <x:v>117</x:v>
      </x:c>
      <x:c r="HQ37" s="1662" t="s">
        <x:v>117</x:v>
      </x:c>
      <x:c r="HR37" s="1659" t="s">
        <x:v>117</x:v>
      </x:c>
      <x:c r="HS37" s="1659" t="s">
        <x:v>117</x:v>
      </x:c>
      <x:c r="HT37" s="1659">
        <x:v>0</x:v>
      </x:c>
      <x:c r="HU37" s="1659">
        <x:v>2.25</x:v>
      </x:c>
      <x:c r="HV37" s="1659">
        <x:v>0</x:v>
      </x:c>
      <x:c r="HW37" s="1661">
        <x:v>1.125</x:v>
      </x:c>
      <x:c r="HX37" s="1661">
        <x:v>4</x:v>
      </x:c>
      <x:c r="HY37" s="1661" t="s">
        <x:v>117</x:v>
      </x:c>
      <x:c r="HZ37" s="1661" t="s">
        <x:v>117</x:v>
      </x:c>
      <x:c r="IA37" s="1661" t="s">
        <x:v>2233</x:v>
      </x:c>
      <x:c r="IB37" s="1661"/>
      <x:c r="IC37" s="1661"/>
      <x:c r="ID37" s="1661"/>
      <x:c r="IE37" s="1661"/>
      <x:c r="IF37" s="1663"/>
    </x:row>
    <x:row r="38" spans="1:240" ht="12.6" customHeight="1" x14ac:dyDescent="0.25">
      <x:c r="A38" s="1264" t="s">
        <x:v>1613</x:v>
      </x:c>
      <x:c r="B38" s="1265">
        <x:v>1</x:v>
      </x:c>
      <x:c r="C38" s="1265" t="s">
        <x:v>1978</x:v>
      </x:c>
      <x:c r="D38" s="1261">
        <x:v>59</x:v>
      </x:c>
      <x:c r="E38" s="1366">
        <x:v>0.625</x:v>
      </x:c>
      <x:c r="F38" s="1328">
        <x:v>0</x:v>
      </x:c>
      <x:c r="G38" s="1262">
        <x:v>1.375</x:v>
      </x:c>
      <x:c r="H38" s="1266" t="s">
        <x:v>114</x:v>
      </x:c>
      <x:c r="I38" s="1261" t="str">
        <x:f t="shared" si="111"/>
        <x:v/>
      </x:c>
      <x:c r="J38" s="1262" t="str">
        <x:f t="shared" si="112"/>
        <x:v/>
      </x:c>
      <x:c r="K38" s="1370" t="str">
        <x:f t="shared" si="113"/>
        <x:v/>
      </x:c>
      <x:c r="L38" s="1327">
        <x:v>3</x:v>
      </x:c>
      <x:c r="M38" s="1329">
        <x:v>3</x:v>
      </x:c>
      <x:c r="N38" s="1263" t="str">
        <x:f t="shared" si="4"/>
        <x:v/>
      </x:c>
      <x:c r="O38" s="1262" t="str">
        <x:f t="shared" si="5"/>
        <x:v/>
      </x:c>
      <x:c r="P38" s="1260" t="str">
        <x:f t="shared" si="6"/>
        <x:v/>
      </x:c>
      <x:c r="Q38" s="1261" t="str">
        <x:f t="shared" si="7"/>
        <x:v/>
      </x:c>
      <x:c r="R38" s="1262" t="str">
        <x:f t="shared" si="8"/>
        <x:v/>
      </x:c>
      <x:c r="S38" s="1375" t="str">
        <x:f t="shared" si="9"/>
        <x:v/>
      </x:c>
      <x:c r="T38" s="1328" t="str">
        <x:f t="shared" si="10"/>
        <x:v/>
      </x:c>
      <x:c r="U38" s="1262" t="str">
        <x:f t="shared" si="11"/>
        <x:v/>
      </x:c>
      <x:c r="V38" s="1261" t="str">
        <x:f t="shared" si="12"/>
        <x:v/>
      </x:c>
      <x:c r="W38" s="1262" t="str">
        <x:f t="shared" si="13"/>
        <x:v/>
      </x:c>
      <x:c r="X38" s="1329">
        <x:f t="shared" si="14"/>
        <x:v>0</x:v>
      </x:c>
      <x:c r="Y38" s="1377" t="str">
        <x:f t="shared" si="15"/>
        <x:v/>
      </x:c>
      <x:c r="Z38" s="1378" t="str">
        <x:f t="shared" si="16"/>
        <x:v/>
      </x:c>
      <x:c r="AA38" s="2159" t="s">
        <x:v>2273</x:v>
      </x:c>
      <x:c r="AC38" s="1226" t="b">
        <x:v>0</x:v>
      </x:c>
      <x:c r="AD38" s="525">
        <x:f t="shared" si="17"/>
        <x:v>0</x:v>
      </x:c>
      <x:c r="AE38" s="526">
        <x:f t="shared" si="18"/>
        <x:v>1</x:v>
      </x:c>
      <x:c r="AF38" s="526">
        <x:f t="shared" si="19"/>
        <x:v>0</x:v>
      </x:c>
      <x:c r="AG38" s="526">
        <x:f t="shared" si="20"/>
        <x:v>0</x:v>
      </x:c>
      <x:c r="AH38" s="527">
        <x:f t="shared" si="21"/>
        <x:v>0</x:v>
      </x:c>
      <x:c r="AI38" s="528" t="b">
        <x:v>0</x:v>
      </x:c>
      <x:c r="AJ38" s="284">
        <x:f t="shared" si="22"/>
        <x:v>36</x:v>
      </x:c>
      <x:c r="AK38" s="1063" t="str">
        <x:f t="shared" si="23"/>
        <x:v>LH</x:v>
      </x:c>
      <x:c r="AL38" s="1202" t="str">
        <x:f t="shared" si="24"/>
        <x:v/>
      </x:c>
      <x:c r="AM38" s="1063">
        <x:f t="shared" si="25"/>
        <x:v>270</x:v>
      </x:c>
      <x:c r="AN38" s="1063">
        <x:f t="shared" si="26"/>
        <x:v>120</x:v>
      </x:c>
      <x:c r="AO38" s="1063" t="str">
        <x:f t="shared" si="27"/>
        <x:v/>
      </x:c>
      <x:c r="AP38" s="1063" t="b">
        <x:f>IF(ISERROR(AJ38),FALSE,IF(OR(AJ38=0,ISERROR(AL38),ISERROR(AM38),ISERROR(AN38),ISERROR(AO38)),FALSE,IF(AL38&lt;&gt;"",IF(ISERROR(VLOOKUP(SUBSTITUTE(SUBSTITUTE(C38,"R",""),"A",""),TblJoistSize!$A:$A,1,FALSE)),FALSE,TRUE),TRUE)))</x:f>
        <x:v>1</x:v>
      </x:c>
      <x:c r="AQ38" s="1305">
        <x:f t="shared" si="28"/>
        <x:v>7.375</x:v>
      </x:c>
      <x:c r="AR38" s="1305" t="b">
        <x:f t="shared" si="29"/>
        <x:v>0</x:v>
      </x:c>
      <x:c r="AS38" s="1305">
        <x:f t="shared" si="30"/>
        <x:v>6</x:v>
      </x:c>
      <x:c r="AT38" s="1305" t="b">
        <x:f t="shared" si="31"/>
        <x:v>0</x:v>
      </x:c>
      <x:c r="AU38" s="1203" t="str">
        <x:f t="shared" si="32"/>
        <x:v>LH</x:v>
      </x:c>
      <x:c r="AV38" s="1063" t="str">
        <x:f t="shared" si="33"/>
        <x:v/>
      </x:c>
      <x:c r="AW38" s="1063" t="str">
        <x:f t="shared" si="34"/>
        <x:v>LH</x:v>
      </x:c>
      <x:c r="AX38" s="1063" t="str">
        <x:f t="shared" si="107"/>
        <x:v>J289</x:v>
      </x:c>
      <x:c r="AY38" s="1306" t="b">
        <x:f t="shared" si="35"/>
        <x:v>0</x:v>
      </x:c>
      <x:c r="AZ38" s="1090" t="b">
        <x:f t="shared" si="36"/>
        <x:v>0</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37"/>
        <x:v/>
      </x:c>
      <x:c r="CE38" s="935" t="str">
        <x:f t="shared" si="38"/>
        <x:v/>
      </x:c>
      <x:c r="CF38" s="1149"/>
      <x:c r="CG38" s="1150"/>
      <x:c r="CH38" s="738" t="str">
        <x:f t="shared" si="39"/>
        <x:v/>
      </x:c>
      <x:c r="CI38" s="739" t="str">
        <x:f t="shared" si="40"/>
        <x:v/>
      </x:c>
      <x:c r="CJ38" s="740" t="str">
        <x:f t="shared" si="41"/>
        <x:v/>
      </x:c>
      <x:c r="CK38" s="741" t="str">
        <x:f t="shared" si="42"/>
        <x:v/>
      </x:c>
      <x:c r="CL38" s="742" t="str">
        <x:f t="shared" si="43"/>
        <x:v/>
      </x:c>
      <x:c r="CM38" s="743" t="str">
        <x:f t="shared" si="44"/>
        <x:v/>
      </x:c>
      <x:c r="CN38" s="744" t="str">
        <x:f t="shared" si="45"/>
        <x:v/>
      </x:c>
      <x:c r="CO38" s="745" t="str">
        <x:f t="shared" si="46"/>
        <x:v/>
      </x:c>
      <x:c r="CP38" s="762" t="str">
        <x:f t="shared" si="47"/>
        <x:v/>
      </x:c>
      <x:c r="CQ38" s="763" t="str">
        <x:f t="shared" si="48"/>
        <x:v/>
      </x:c>
      <x:c r="CR38" s="953">
        <x:f t="shared" si="49"/>
        <x:v>5</x:v>
      </x:c>
      <x:c r="CS38" s="954">
        <x:f t="shared" si="50"/>
        <x:v>5</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51"/>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52"/>
        <x:v>0</x:v>
      </x:c>
      <x:c r="DO38" s="1049">
        <x:f t="shared" si="53"/>
        <x:v>0</x:v>
      </x:c>
      <x:c r="DP38" s="1053" t="str">
        <x:f t="shared" si="54"/>
        <x:v/>
      </x:c>
      <x:c r="DQ38" s="1053" t="str">
        <x:f t="shared" si="55"/>
        <x:v/>
      </x:c>
      <x:c r="DR38" s="1053" t="str">
        <x:f t="shared" si="56"/>
        <x:v/>
      </x:c>
      <x:c r="DS38" s="1052">
        <x:f t="shared" si="57"/>
        <x:v>0</x:v>
      </x:c>
      <x:c r="DT38" s="1052">
        <x:f t="shared" si="58"/>
        <x:v>0</x:v>
      </x:c>
      <x:c r="DU38" s="1052" t="str">
        <x:f t="shared" si="59"/>
        <x:v/>
      </x:c>
      <x:c r="DV38" s="1053" t="str">
        <x:f t="shared" si="60"/>
        <x:v/>
      </x:c>
      <x:c r="DW38" s="1053" t="str">
        <x:f t="shared" si="61"/>
        <x:v/>
      </x:c>
      <x:c r="DX38" s="1269">
        <x:f t="shared" si="62"/>
        <x:v>0</x:v>
      </x:c>
      <x:c r="DY38" s="1053">
        <x:f t="shared" si="63"/>
        <x:v>0</x:v>
      </x:c>
      <x:c r="DZ38" s="1052">
        <x:f t="shared" si="64"/>
        <x:v>0</x:v>
      </x:c>
      <x:c r="EA38" s="1052" t="str">
        <x:f t="shared" si="65"/>
        <x:v/>
      </x:c>
      <x:c r="EB38" s="1053" t="str">
        <x:f t="shared" si="66"/>
        <x:v/>
      </x:c>
      <x:c r="EC38" s="1053" t="str">
        <x:f t="shared" si="67"/>
        <x:v/>
      </x:c>
      <x:c r="ED38" s="1269">
        <x:f t="shared" si="68"/>
        <x:v>0</x:v>
      </x:c>
      <x:c r="EE38" s="1090" t="str">
        <x:f t="shared" si="69"/>
        <x:v/>
      </x:c>
      <x:c r="EF38" s="1053" t="str">
        <x:f t="shared" si="70"/>
        <x:v/>
      </x:c>
      <x:c r="EG38" s="1053" t="str">
        <x:f t="shared" si="71"/>
        <x:v/>
      </x:c>
      <x:c r="EH38" s="1053" t="str">
        <x:f t="shared" si="72"/>
        <x:v>ERR</x:v>
      </x:c>
      <x:c r="EI38" s="1053" t="str">
        <x:f t="shared" si="73"/>
        <x:v>ERR</x:v>
      </x:c>
      <x:c r="EJ38" s="1053" t="str">
        <x:f t="shared" si="74"/>
        <x:v/>
      </x:c>
      <x:c r="EK38" s="1053" t="str">
        <x:f t="shared" si="74"/>
        <x:v/>
      </x:c>
      <x:c r="EL38" s="1090" t="str">
        <x:f t="shared" si="75"/>
        <x:v/>
      </x:c>
      <x:c r="EM38" s="1053" t="str">
        <x:f t="shared" si="76"/>
        <x:v/>
      </x:c>
      <x:c r="EN38" s="1053" t="str">
        <x:f t="shared" si="77"/>
        <x:v/>
      </x:c>
      <x:c r="EO38" s="1053" t="str">
        <x:f t="shared" si="78"/>
        <x:v>ERR</x:v>
      </x:c>
      <x:c r="EP38" s="1053" t="str">
        <x:f t="shared" si="79"/>
        <x:v>ERR</x:v>
      </x:c>
      <x:c r="EQ38" s="1053" t="str">
        <x:f t="shared" si="80"/>
        <x:v/>
      </x:c>
      <x:c r="ER38" s="1053" t="str">
        <x:f t="shared" si="80"/>
        <x:v/>
      </x:c>
      <x:c r="ES38" s="1053" t="str">
        <x:f t="shared" si="81"/>
        <x:v/>
      </x:c>
      <x:c r="ET38" s="1053" t="str">
        <x:f t="shared" si="82"/>
        <x:v/>
      </x:c>
      <x:c r="EU38" s="1061">
        <x:f t="shared" si="83"/>
        <x:v>4</x:v>
      </x:c>
      <x:c r="EV38" s="1055" t="str">
        <x:f t="shared" si="84"/>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85"/>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86"/>
        <x:v/>
      </x:c>
      <x:c r="FD38" s="1052">
        <x:f t="shared" si="108"/>
        <x:v>0</x:v>
      </x:c>
      <x:c r="FE38" s="1052">
        <x:f t="shared" si="87"/>
        <x:v>0</x:v>
      </x:c>
      <x:c r="FF38" s="1052">
        <x:f t="shared" si="88"/>
        <x:v>0</x:v>
      </x:c>
      <x:c r="FG38" s="1052" t="str">
        <x:f t="shared" si="89"/>
        <x:v/>
      </x:c>
      <x:c r="FH38" s="1053" t="str">
        <x:f t="shared" si="90"/>
        <x:v/>
      </x:c>
      <x:c r="FI38" s="1052">
        <x:f t="shared" si="109"/>
        <x:v>0</x:v>
      </x:c>
      <x:c r="FJ38" s="1052">
        <x:f t="shared" si="91"/>
        <x:v>0</x:v>
      </x:c>
      <x:c r="FK38" s="1052">
        <x:f t="shared" si="92"/>
        <x:v>0</x:v>
      </x:c>
      <x:c r="FL38" s="1052" t="str">
        <x:f t="shared" si="93"/>
        <x:v/>
      </x:c>
      <x:c r="FM38" s="1053" t="str">
        <x:f t="shared" si="94"/>
        <x:v/>
      </x:c>
      <x:c r="FN38" s="1053" t="e">
        <x:f t="shared" si="95"/>
        <x:v>#VALUE!</x:v>
      </x:c>
      <x:c r="FO38" s="1062" t="e">
        <x:f t="shared" si="96"/>
        <x:v>#VALUE!</x:v>
      </x:c>
      <x:c r="FP38" s="1062" t="e">
        <x:f t="shared" si="97"/>
        <x:v>#VALUE!</x:v>
      </x:c>
      <x:c r="FQ38" s="1063" t="e">
        <x:f t="shared" si="98"/>
        <x:v>#VALUE!</x:v>
      </x:c>
      <x:c r="FR38" s="1064" t="e">
        <x:f t="shared" si="99"/>
        <x:v>#VALUE!</x:v>
      </x:c>
      <x:c r="FS38" s="1065" t="str">
        <x:f t="shared" si="100"/>
        <x:v/>
      </x:c>
      <x:c r="FT38" s="1066" t="str">
        <x:f t="shared" si="101"/>
        <x:v/>
      </x:c>
      <x:c r="FU38" s="1105">
        <x:f t="shared" si="102"/>
        <x:v>0</x:v>
      </x:c>
      <x:c r="FV38" s="1106">
        <x:f t="shared" si="103"/>
        <x:v>0</x:v>
      </x:c>
      <x:c r="GA38" s="1975">
        <x:v>59</x:v>
      </x:c>
      <x:c r="GB38" s="1976">
        <x:v>2.75</x:v>
      </x:c>
      <x:c r="GC38" s="1977">
        <x:v>-0.25</x:v>
      </x:c>
      <x:c r="GD38" s="1978">
        <x:v>-1.875</x:v>
      </x:c>
      <x:c r="GE38" s="1979">
        <x:v>-0.26169539219134702</x:v>
      </x:c>
      <x:c r="GF38" s="1980" t="str">
        <x:f t="shared" si="104"/>
        <x:v>J289</x:v>
      </x:c>
      <x:c r="GG38" s="1453"/>
      <x:c r="GH38" s="1454"/>
      <x:c r="GI38" s="1453"/>
      <x:c r="GJ38" s="1454"/>
      <x:c r="GK38" s="533">
        <x:f t="shared" si="105"/>
        <x:v>708.625</x:v>
      </x:c>
      <x:c r="GL38" s="534">
        <x:f t="shared" si="106"/>
        <x:v>708.79348626656247</x:v>
      </x:c>
      <x:c r="GM38" s="535">
        <x:f>IF(ABS(GK38-GL38)&gt;='Job Info.'!$L$22,ABS(GK38-GL38),0)</x:f>
        <x:v>0</x:v>
      </x:c>
      <x:c r="HA38" s="1658" t="s">
        <x:v>1613</x:v>
      </x:c>
      <x:c r="HB38" s="1659">
        <x:v>1</x:v>
      </x:c>
      <x:c r="HC38" s="1659" t="s">
        <x:v>1978</x:v>
      </x:c>
      <x:c r="HD38" s="1660">
        <x:v>59</x:v>
      </x:c>
      <x:c r="HE38" s="1661">
        <x:v>0.625</x:v>
      </x:c>
      <x:c r="HF38" s="1659">
        <x:v>0</x:v>
      </x:c>
      <x:c r="HG38" s="1659">
        <x:v>1.375</x:v>
      </x:c>
      <x:c r="HH38" s="1659" t="s">
        <x:v>114</x:v>
      </x:c>
      <x:c r="HI38" s="1662" t="s">
        <x:v>117</x:v>
      </x:c>
      <x:c r="HJ38" s="1659" t="s">
        <x:v>117</x:v>
      </x:c>
      <x:c r="HK38" s="1659" t="s">
        <x:v>117</x:v>
      </x:c>
      <x:c r="HL38" s="1659">
        <x:v>3</x:v>
      </x:c>
      <x:c r="HM38" s="1659">
        <x:v>3</x:v>
      </x:c>
      <x:c r="HN38" s="1659" t="s">
        <x:v>117</x:v>
      </x:c>
      <x:c r="HO38" s="1659" t="s">
        <x:v>117</x:v>
      </x:c>
      <x:c r="HP38" s="1659" t="s">
        <x:v>117</x:v>
      </x:c>
      <x:c r="HQ38" s="1662" t="s">
        <x:v>117</x:v>
      </x:c>
      <x:c r="HR38" s="1659" t="s">
        <x:v>117</x:v>
      </x:c>
      <x:c r="HS38" s="1659" t="s">
        <x:v>117</x:v>
      </x:c>
      <x:c r="HT38" s="1659" t="s">
        <x:v>117</x:v>
      </x:c>
      <x:c r="HU38" s="1659" t="s">
        <x:v>117</x:v>
      </x:c>
      <x:c r="HV38" s="1659" t="s">
        <x:v>117</x:v>
      </x:c>
      <x:c r="HW38" s="1661" t="s">
        <x:v>117</x:v>
      </x:c>
      <x:c r="HX38" s="1661">
        <x:v>0</x:v>
      </x:c>
      <x:c r="HY38" s="1661" t="s">
        <x:v>117</x:v>
      </x:c>
      <x:c r="HZ38" s="1661" t="s">
        <x:v>117</x:v>
      </x:c>
      <x:c r="IA38" s="1661" t="s">
        <x:v>2273</x:v>
      </x:c>
      <x:c r="IB38" s="1661"/>
      <x:c r="IC38" s="1661"/>
      <x:c r="ID38" s="1661"/>
      <x:c r="IE38" s="1661"/>
      <x:c r="IF38" s="1663"/>
    </x:row>
    <x:row r="39" spans="1:240" ht="12.6" customHeight="1" x14ac:dyDescent="0.25">
      <x:c r="A39" s="1264" t="s">
        <x:v>1614</x:v>
      </x:c>
      <x:c r="B39" s="1265">
        <x:v>1</x:v>
      </x:c>
      <x:c r="C39" s="1265" t="s">
        <x:v>1978</x:v>
      </x:c>
      <x:c r="D39" s="1261">
        <x:v>59</x:v>
      </x:c>
      <x:c r="E39" s="1366">
        <x:v>0.625</x:v>
      </x:c>
      <x:c r="F39" s="1328">
        <x:v>0</x:v>
      </x:c>
      <x:c r="G39" s="1262">
        <x:v>1.375</x:v>
      </x:c>
      <x:c r="H39" s="1266" t="s">
        <x:v>114</x:v>
      </x:c>
      <x:c r="I39" s="1261" t="str">
        <x:f t="shared" si="111"/>
        <x:v/>
      </x:c>
      <x:c r="J39" s="1262" t="str">
        <x:f t="shared" si="112"/>
        <x:v/>
      </x:c>
      <x:c r="K39" s="1370" t="str">
        <x:f t="shared" si="113"/>
        <x:v/>
      </x:c>
      <x:c r="L39" s="1327">
        <x:v>3</x:v>
      </x:c>
      <x:c r="M39" s="1329">
        <x:v>3</x:v>
      </x:c>
      <x:c r="N39" s="1263" t="str">
        <x:f t="shared" si="4"/>
        <x:v/>
      </x:c>
      <x:c r="O39" s="1262" t="str">
        <x:f t="shared" si="5"/>
        <x:v/>
      </x:c>
      <x:c r="P39" s="1260" t="str">
        <x:f t="shared" si="6"/>
        <x:v/>
      </x:c>
      <x:c r="Q39" s="1261" t="str">
        <x:f t="shared" si="7"/>
        <x:v/>
      </x:c>
      <x:c r="R39" s="1262" t="str">
        <x:f t="shared" si="8"/>
        <x:v/>
      </x:c>
      <x:c r="S39" s="1375" t="str">
        <x:f t="shared" si="9"/>
        <x:v/>
      </x:c>
      <x:c r="T39" s="1328" t="str">
        <x:f t="shared" si="10"/>
        <x:v/>
      </x:c>
      <x:c r="U39" s="1262" t="str">
        <x:f t="shared" si="11"/>
        <x:v/>
      </x:c>
      <x:c r="V39" s="1261" t="str">
        <x:f t="shared" si="12"/>
        <x:v/>
      </x:c>
      <x:c r="W39" s="1262" t="str">
        <x:f t="shared" si="13"/>
        <x:v/>
      </x:c>
      <x:c r="X39" s="1329">
        <x:f t="shared" si="14"/>
        <x:v>0</x:v>
      </x:c>
      <x:c r="Y39" s="1377" t="str">
        <x:f t="shared" si="15"/>
        <x:v/>
      </x:c>
      <x:c r="Z39" s="1378" t="str">
        <x:f t="shared" si="16"/>
        <x:v/>
      </x:c>
      <x:c r="AA39" s="2159" t="s">
        <x:v>2274</x:v>
      </x:c>
      <x:c r="AC39" s="1226" t="b">
        <x:v>0</x:v>
      </x:c>
      <x:c r="AD39" s="525">
        <x:f t="shared" si="17"/>
        <x:v>0</x:v>
      </x:c>
      <x:c r="AE39" s="526">
        <x:f t="shared" si="18"/>
        <x:v>1</x:v>
      </x:c>
      <x:c r="AF39" s="526">
        <x:f t="shared" si="19"/>
        <x:v>0</x:v>
      </x:c>
      <x:c r="AG39" s="526">
        <x:f t="shared" si="20"/>
        <x:v>0</x:v>
      </x:c>
      <x:c r="AH39" s="527">
        <x:f t="shared" si="21"/>
        <x:v>0</x:v>
      </x:c>
      <x:c r="AI39" s="528" t="b">
        <x:v>0</x:v>
      </x:c>
      <x:c r="AJ39" s="284">
        <x:f t="shared" si="22"/>
        <x:v>36</x:v>
      </x:c>
      <x:c r="AK39" s="1063" t="str">
        <x:f t="shared" si="23"/>
        <x:v>LH</x:v>
      </x:c>
      <x:c r="AL39" s="1202" t="str">
        <x:f t="shared" si="24"/>
        <x:v/>
      </x:c>
      <x:c r="AM39" s="1063">
        <x:f t="shared" si="25"/>
        <x:v>270</x:v>
      </x:c>
      <x:c r="AN39" s="1063">
        <x:f t="shared" si="26"/>
        <x:v>120</x:v>
      </x:c>
      <x:c r="AO39" s="1063" t="str">
        <x:f t="shared" si="27"/>
        <x:v/>
      </x:c>
      <x:c r="AP39" s="1063" t="b">
        <x:f>IF(ISERROR(AJ39),FALSE,IF(OR(AJ39=0,ISERROR(AL39),ISERROR(AM39),ISERROR(AN39),ISERROR(AO39)),FALSE,IF(AL39&lt;&gt;"",IF(ISERROR(VLOOKUP(SUBSTITUTE(SUBSTITUTE(C39,"R",""),"A",""),TblJoistSize!$A:$A,1,FALSE)),FALSE,TRUE),TRUE)))</x:f>
        <x:v>1</x:v>
      </x:c>
      <x:c r="AQ39" s="1305">
        <x:f t="shared" si="28"/>
        <x:v>7.375</x:v>
      </x:c>
      <x:c r="AR39" s="1305" t="b">
        <x:f t="shared" si="29"/>
        <x:v>0</x:v>
      </x:c>
      <x:c r="AS39" s="1305">
        <x:f t="shared" si="30"/>
        <x:v>6</x:v>
      </x:c>
      <x:c r="AT39" s="1305" t="b">
        <x:f t="shared" si="31"/>
        <x:v>0</x:v>
      </x:c>
      <x:c r="AU39" s="1203" t="str">
        <x:f t="shared" si="32"/>
        <x:v>LH</x:v>
      </x:c>
      <x:c r="AV39" s="1063" t="str">
        <x:f t="shared" si="33"/>
        <x:v/>
      </x:c>
      <x:c r="AW39" s="1063" t="str">
        <x:f t="shared" si="34"/>
        <x:v>LH</x:v>
      </x:c>
      <x:c r="AX39" s="1063" t="str">
        <x:f t="shared" si="107"/>
        <x:v>J290</x:v>
      </x:c>
      <x:c r="AY39" s="1306" t="b">
        <x:f t="shared" si="35"/>
        <x:v>0</x:v>
      </x:c>
      <x:c r="AZ39" s="1090" t="b">
        <x:f t="shared" si="36"/>
        <x:v>0</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37"/>
        <x:v/>
      </x:c>
      <x:c r="CE39" s="935" t="str">
        <x:f t="shared" si="38"/>
        <x:v/>
      </x:c>
      <x:c r="CF39" s="1149"/>
      <x:c r="CG39" s="1150"/>
      <x:c r="CH39" s="738" t="str">
        <x:f t="shared" si="39"/>
        <x:v/>
      </x:c>
      <x:c r="CI39" s="739" t="str">
        <x:f t="shared" si="40"/>
        <x:v/>
      </x:c>
      <x:c r="CJ39" s="740" t="str">
        <x:f t="shared" si="41"/>
        <x:v/>
      </x:c>
      <x:c r="CK39" s="741" t="str">
        <x:f t="shared" si="42"/>
        <x:v/>
      </x:c>
      <x:c r="CL39" s="742" t="str">
        <x:f t="shared" si="43"/>
        <x:v/>
      </x:c>
      <x:c r="CM39" s="743" t="str">
        <x:f t="shared" si="44"/>
        <x:v/>
      </x:c>
      <x:c r="CN39" s="744" t="str">
        <x:f t="shared" si="45"/>
        <x:v/>
      </x:c>
      <x:c r="CO39" s="745" t="str">
        <x:f t="shared" si="46"/>
        <x:v/>
      </x:c>
      <x:c r="CP39" s="762" t="str">
        <x:f t="shared" si="47"/>
        <x:v/>
      </x:c>
      <x:c r="CQ39" s="763" t="str">
        <x:f t="shared" si="48"/>
        <x:v/>
      </x:c>
      <x:c r="CR39" s="953">
        <x:f t="shared" si="49"/>
        <x:v>5</x:v>
      </x:c>
      <x:c r="CS39" s="954">
        <x:f t="shared" si="50"/>
        <x:v>5</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51"/>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52"/>
        <x:v>0</x:v>
      </x:c>
      <x:c r="DO39" s="1049">
        <x:f t="shared" si="53"/>
        <x:v>0</x:v>
      </x:c>
      <x:c r="DP39" s="1053" t="str">
        <x:f t="shared" si="54"/>
        <x:v/>
      </x:c>
      <x:c r="DQ39" s="1053" t="str">
        <x:f t="shared" si="55"/>
        <x:v/>
      </x:c>
      <x:c r="DR39" s="1053" t="str">
        <x:f t="shared" si="56"/>
        <x:v/>
      </x:c>
      <x:c r="DS39" s="1052">
        <x:f t="shared" si="57"/>
        <x:v>0</x:v>
      </x:c>
      <x:c r="DT39" s="1052">
        <x:f t="shared" si="58"/>
        <x:v>0</x:v>
      </x:c>
      <x:c r="DU39" s="1052" t="str">
        <x:f t="shared" si="59"/>
        <x:v/>
      </x:c>
      <x:c r="DV39" s="1053" t="str">
        <x:f t="shared" si="60"/>
        <x:v/>
      </x:c>
      <x:c r="DW39" s="1053" t="str">
        <x:f t="shared" si="61"/>
        <x:v/>
      </x:c>
      <x:c r="DX39" s="1269">
        <x:f t="shared" si="62"/>
        <x:v>0</x:v>
      </x:c>
      <x:c r="DY39" s="1053">
        <x:f t="shared" si="63"/>
        <x:v>0</x:v>
      </x:c>
      <x:c r="DZ39" s="1052">
        <x:f t="shared" si="64"/>
        <x:v>0</x:v>
      </x:c>
      <x:c r="EA39" s="1052" t="str">
        <x:f t="shared" si="65"/>
        <x:v/>
      </x:c>
      <x:c r="EB39" s="1053" t="str">
        <x:f t="shared" si="66"/>
        <x:v/>
      </x:c>
      <x:c r="EC39" s="1053" t="str">
        <x:f t="shared" si="67"/>
        <x:v/>
      </x:c>
      <x:c r="ED39" s="1269">
        <x:f t="shared" si="68"/>
        <x:v>0</x:v>
      </x:c>
      <x:c r="EE39" s="1090" t="str">
        <x:f t="shared" si="69"/>
        <x:v/>
      </x:c>
      <x:c r="EF39" s="1053" t="str">
        <x:f t="shared" si="70"/>
        <x:v/>
      </x:c>
      <x:c r="EG39" s="1053" t="str">
        <x:f t="shared" si="71"/>
        <x:v/>
      </x:c>
      <x:c r="EH39" s="1053" t="str">
        <x:f t="shared" si="72"/>
        <x:v>ERR</x:v>
      </x:c>
      <x:c r="EI39" s="1053" t="str">
        <x:f t="shared" si="73"/>
        <x:v>ERR</x:v>
      </x:c>
      <x:c r="EJ39" s="1053" t="str">
        <x:f t="shared" si="74"/>
        <x:v/>
      </x:c>
      <x:c r="EK39" s="1053" t="str">
        <x:f t="shared" si="74"/>
        <x:v/>
      </x:c>
      <x:c r="EL39" s="1090" t="str">
        <x:f t="shared" si="75"/>
        <x:v/>
      </x:c>
      <x:c r="EM39" s="1053" t="str">
        <x:f t="shared" si="76"/>
        <x:v/>
      </x:c>
      <x:c r="EN39" s="1053" t="str">
        <x:f t="shared" si="77"/>
        <x:v/>
      </x:c>
      <x:c r="EO39" s="1053" t="str">
        <x:f t="shared" si="78"/>
        <x:v>ERR</x:v>
      </x:c>
      <x:c r="EP39" s="1053" t="str">
        <x:f t="shared" si="79"/>
        <x:v>ERR</x:v>
      </x:c>
      <x:c r="EQ39" s="1053" t="str">
        <x:f t="shared" si="80"/>
        <x:v/>
      </x:c>
      <x:c r="ER39" s="1053" t="str">
        <x:f t="shared" si="80"/>
        <x:v/>
      </x:c>
      <x:c r="ES39" s="1053" t="str">
        <x:f t="shared" si="81"/>
        <x:v/>
      </x:c>
      <x:c r="ET39" s="1053" t="str">
        <x:f t="shared" si="82"/>
        <x:v/>
      </x:c>
      <x:c r="EU39" s="1061">
        <x:f t="shared" si="83"/>
        <x:v>4</x:v>
      </x:c>
      <x:c r="EV39" s="1055" t="str">
        <x:f t="shared" si="84"/>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85"/>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86"/>
        <x:v/>
      </x:c>
      <x:c r="FD39" s="1052">
        <x:f t="shared" si="108"/>
        <x:v>0</x:v>
      </x:c>
      <x:c r="FE39" s="1052">
        <x:f t="shared" si="87"/>
        <x:v>0</x:v>
      </x:c>
      <x:c r="FF39" s="1052">
        <x:f t="shared" si="88"/>
        <x:v>0</x:v>
      </x:c>
      <x:c r="FG39" s="1052" t="str">
        <x:f t="shared" si="89"/>
        <x:v/>
      </x:c>
      <x:c r="FH39" s="1053" t="str">
        <x:f t="shared" si="90"/>
        <x:v/>
      </x:c>
      <x:c r="FI39" s="1052">
        <x:f t="shared" si="109"/>
        <x:v>0</x:v>
      </x:c>
      <x:c r="FJ39" s="1052">
        <x:f t="shared" si="91"/>
        <x:v>0</x:v>
      </x:c>
      <x:c r="FK39" s="1052">
        <x:f t="shared" si="92"/>
        <x:v>0</x:v>
      </x:c>
      <x:c r="FL39" s="1052" t="str">
        <x:f t="shared" si="93"/>
        <x:v/>
      </x:c>
      <x:c r="FM39" s="1053" t="str">
        <x:f t="shared" si="94"/>
        <x:v/>
      </x:c>
      <x:c r="FN39" s="1053" t="e">
        <x:f t="shared" si="95"/>
        <x:v>#VALUE!</x:v>
      </x:c>
      <x:c r="FO39" s="1062" t="e">
        <x:f t="shared" si="96"/>
        <x:v>#VALUE!</x:v>
      </x:c>
      <x:c r="FP39" s="1062" t="e">
        <x:f t="shared" si="97"/>
        <x:v>#VALUE!</x:v>
      </x:c>
      <x:c r="FQ39" s="1063" t="e">
        <x:f t="shared" si="98"/>
        <x:v>#VALUE!</x:v>
      </x:c>
      <x:c r="FR39" s="1064" t="e">
        <x:f t="shared" si="99"/>
        <x:v>#VALUE!</x:v>
      </x:c>
      <x:c r="FS39" s="1065" t="str">
        <x:f t="shared" si="100"/>
        <x:v/>
      </x:c>
      <x:c r="FT39" s="1066" t="str">
        <x:f t="shared" si="101"/>
        <x:v/>
      </x:c>
      <x:c r="FU39" s="1105">
        <x:f t="shared" si="102"/>
        <x:v>0</x:v>
      </x:c>
      <x:c r="FV39" s="1106">
        <x:f t="shared" si="103"/>
        <x:v>0</x:v>
      </x:c>
      <x:c r="GA39" s="1975">
        <x:v>59</x:v>
      </x:c>
      <x:c r="GB39" s="1976">
        <x:v>2.75</x:v>
      </x:c>
      <x:c r="GC39" s="1977">
        <x:v>-0.25</x:v>
      </x:c>
      <x:c r="GD39" s="1978">
        <x:v>-1.875</x:v>
      </x:c>
      <x:c r="GE39" s="1979">
        <x:v>-0.26169539219134702</x:v>
      </x:c>
      <x:c r="GF39" s="1980" t="str">
        <x:f t="shared" si="104"/>
        <x:v>J290</x:v>
      </x:c>
      <x:c r="GG39" s="1453"/>
      <x:c r="GH39" s="1454"/>
      <x:c r="GI39" s="1453"/>
      <x:c r="GJ39" s="1454"/>
      <x:c r="GK39" s="533">
        <x:f t="shared" si="105"/>
        <x:v>708.625</x:v>
      </x:c>
      <x:c r="GL39" s="534">
        <x:f t="shared" si="106"/>
        <x:v>708.79348626656247</x:v>
      </x:c>
      <x:c r="GM39" s="535">
        <x:f>IF(ABS(GK39-GL39)&gt;='Job Info.'!$L$22,ABS(GK39-GL39),0)</x:f>
        <x:v>0</x:v>
      </x:c>
      <x:c r="HA39" s="1658" t="s">
        <x:v>1614</x:v>
      </x:c>
      <x:c r="HB39" s="1659">
        <x:v>1</x:v>
      </x:c>
      <x:c r="HC39" s="1659" t="s">
        <x:v>1978</x:v>
      </x:c>
      <x:c r="HD39" s="1660">
        <x:v>59</x:v>
      </x:c>
      <x:c r="HE39" s="1661">
        <x:v>0.625</x:v>
      </x:c>
      <x:c r="HF39" s="1659">
        <x:v>0</x:v>
      </x:c>
      <x:c r="HG39" s="1659">
        <x:v>1.375</x:v>
      </x:c>
      <x:c r="HH39" s="1659" t="s">
        <x:v>114</x:v>
      </x:c>
      <x:c r="HI39" s="1662" t="s">
        <x:v>117</x:v>
      </x:c>
      <x:c r="HJ39" s="1659" t="s">
        <x:v>117</x:v>
      </x:c>
      <x:c r="HK39" s="1659" t="s">
        <x:v>117</x:v>
      </x:c>
      <x:c r="HL39" s="1659">
        <x:v>3</x:v>
      </x:c>
      <x:c r="HM39" s="1659">
        <x:v>3</x:v>
      </x:c>
      <x:c r="HN39" s="1659" t="s">
        <x:v>117</x:v>
      </x:c>
      <x:c r="HO39" s="1659" t="s">
        <x:v>117</x:v>
      </x:c>
      <x:c r="HP39" s="1659" t="s">
        <x:v>117</x:v>
      </x:c>
      <x:c r="HQ39" s="1662" t="s">
        <x:v>117</x:v>
      </x:c>
      <x:c r="HR39" s="1659" t="s">
        <x:v>117</x:v>
      </x:c>
      <x:c r="HS39" s="1659" t="s">
        <x:v>117</x:v>
      </x:c>
      <x:c r="HT39" s="1659" t="s">
        <x:v>117</x:v>
      </x:c>
      <x:c r="HU39" s="1659" t="s">
        <x:v>117</x:v>
      </x:c>
      <x:c r="HV39" s="1659" t="s">
        <x:v>117</x:v>
      </x:c>
      <x:c r="HW39" s="1661" t="s">
        <x:v>117</x:v>
      </x:c>
      <x:c r="HX39" s="1661">
        <x:v>0</x:v>
      </x:c>
      <x:c r="HY39" s="1661" t="s">
        <x:v>117</x:v>
      </x:c>
      <x:c r="HZ39" s="1661" t="s">
        <x:v>117</x:v>
      </x:c>
      <x:c r="IA39" s="1661" t="s">
        <x:v>2274</x:v>
      </x:c>
      <x:c r="IB39" s="1661"/>
      <x:c r="IC39" s="1661"/>
      <x:c r="ID39" s="1661"/>
      <x:c r="IE39" s="1661"/>
      <x:c r="IF39" s="1663"/>
    </x:row>
    <x:row r="40" spans="1:240" ht="12.6" customHeight="1" x14ac:dyDescent="0.25">
      <x:c r="A40" s="1264" t="s">
        <x:v>1615</x:v>
      </x:c>
      <x:c r="B40" s="1265">
        <x:v>1</x:v>
      </x:c>
      <x:c r="C40" s="1265" t="s">
        <x:v>1978</x:v>
      </x:c>
      <x:c r="D40" s="1261">
        <x:v>59</x:v>
      </x:c>
      <x:c r="E40" s="1366">
        <x:v>0.625</x:v>
      </x:c>
      <x:c r="F40" s="1328">
        <x:v>0</x:v>
      </x:c>
      <x:c r="G40" s="1262">
        <x:v>1.375</x:v>
      </x:c>
      <x:c r="H40" s="1266" t="s">
        <x:v>114</x:v>
      </x:c>
      <x:c r="I40" s="1261" t="str">
        <x:f t="shared" si="111"/>
        <x:v/>
      </x:c>
      <x:c r="J40" s="1262" t="str">
        <x:f t="shared" si="112"/>
        <x:v/>
      </x:c>
      <x:c r="K40" s="1370" t="str">
        <x:f t="shared" si="113"/>
        <x:v/>
      </x:c>
      <x:c r="L40" s="1327">
        <x:v>3</x:v>
      </x:c>
      <x:c r="M40" s="1329">
        <x:v>3</x:v>
      </x:c>
      <x:c r="N40" s="1263" t="str">
        <x:f t="shared" si="4"/>
        <x:v/>
      </x:c>
      <x:c r="O40" s="1262" t="str">
        <x:f t="shared" si="5"/>
        <x:v/>
      </x:c>
      <x:c r="P40" s="1260" t="str">
        <x:f t="shared" si="6"/>
        <x:v/>
      </x:c>
      <x:c r="Q40" s="1261" t="str">
        <x:f t="shared" si="7"/>
        <x:v/>
      </x:c>
      <x:c r="R40" s="1262" t="str">
        <x:f t="shared" si="8"/>
        <x:v/>
      </x:c>
      <x:c r="S40" s="1375" t="str">
        <x:f t="shared" si="9"/>
        <x:v/>
      </x:c>
      <x:c r="T40" s="1328" t="str">
        <x:f t="shared" si="10"/>
        <x:v/>
      </x:c>
      <x:c r="U40" s="1262" t="str">
        <x:f t="shared" si="11"/>
        <x:v/>
      </x:c>
      <x:c r="V40" s="1261" t="str">
        <x:f t="shared" si="12"/>
        <x:v/>
      </x:c>
      <x:c r="W40" s="1262" t="str">
        <x:f t="shared" si="13"/>
        <x:v/>
      </x:c>
      <x:c r="X40" s="1329">
        <x:f t="shared" si="14"/>
        <x:v>0</x:v>
      </x:c>
      <x:c r="Y40" s="1377" t="str">
        <x:f t="shared" si="15"/>
        <x:v/>
      </x:c>
      <x:c r="Z40" s="1378" t="str">
        <x:f t="shared" si="16"/>
        <x:v/>
      </x:c>
      <x:c r="AA40" s="2159" t="s">
        <x:v>2275</x:v>
      </x:c>
      <x:c r="AC40" s="1226" t="b">
        <x:v>0</x:v>
      </x:c>
      <x:c r="AD40" s="525">
        <x:f t="shared" si="17"/>
        <x:v>0</x:v>
      </x:c>
      <x:c r="AE40" s="526">
        <x:f t="shared" si="18"/>
        <x:v>1</x:v>
      </x:c>
      <x:c r="AF40" s="526">
        <x:f t="shared" si="19"/>
        <x:v>0</x:v>
      </x:c>
      <x:c r="AG40" s="526">
        <x:f t="shared" si="20"/>
        <x:v>0</x:v>
      </x:c>
      <x:c r="AH40" s="527">
        <x:f t="shared" si="21"/>
        <x:v>0</x:v>
      </x:c>
      <x:c r="AI40" s="528" t="b">
        <x:v>0</x:v>
      </x:c>
      <x:c r="AJ40" s="284">
        <x:f t="shared" si="22"/>
        <x:v>36</x:v>
      </x:c>
      <x:c r="AK40" s="1063" t="str">
        <x:f t="shared" si="23"/>
        <x:v>LH</x:v>
      </x:c>
      <x:c r="AL40" s="1202" t="str">
        <x:f t="shared" si="24"/>
        <x:v/>
      </x:c>
      <x:c r="AM40" s="1063">
        <x:f t="shared" si="25"/>
        <x:v>270</x:v>
      </x:c>
      <x:c r="AN40" s="1063">
        <x:f t="shared" si="26"/>
        <x:v>120</x:v>
      </x:c>
      <x:c r="AO40" s="1063" t="str">
        <x:f t="shared" si="27"/>
        <x:v/>
      </x:c>
      <x:c r="AP40" s="1063" t="b">
        <x:f>IF(ISERROR(AJ40),FALSE,IF(OR(AJ40=0,ISERROR(AL40),ISERROR(AM40),ISERROR(AN40),ISERROR(AO40)),FALSE,IF(AL40&lt;&gt;"",IF(ISERROR(VLOOKUP(SUBSTITUTE(SUBSTITUTE(C40,"R",""),"A",""),TblJoistSize!$A:$A,1,FALSE)),FALSE,TRUE),TRUE)))</x:f>
        <x:v>1</x:v>
      </x:c>
      <x:c r="AQ40" s="1305">
        <x:f t="shared" si="28"/>
        <x:v>7.375</x:v>
      </x:c>
      <x:c r="AR40" s="1305" t="b">
        <x:f t="shared" si="29"/>
        <x:v>0</x:v>
      </x:c>
      <x:c r="AS40" s="1305">
        <x:f t="shared" si="30"/>
        <x:v>6</x:v>
      </x:c>
      <x:c r="AT40" s="1305" t="b">
        <x:f t="shared" si="31"/>
        <x:v>0</x:v>
      </x:c>
      <x:c r="AU40" s="1203" t="str">
        <x:f t="shared" si="32"/>
        <x:v>LH</x:v>
      </x:c>
      <x:c r="AV40" s="1063" t="str">
        <x:f t="shared" si="33"/>
        <x:v/>
      </x:c>
      <x:c r="AW40" s="1063" t="str">
        <x:f t="shared" si="34"/>
        <x:v>LH</x:v>
      </x:c>
      <x:c r="AX40" s="1063" t="str">
        <x:f t="shared" si="107"/>
        <x:v>J291</x:v>
      </x:c>
      <x:c r="AY40" s="1306" t="b">
        <x:f t="shared" si="35"/>
        <x:v>0</x:v>
      </x:c>
      <x:c r="AZ40" s="1090" t="b">
        <x:f t="shared" si="36"/>
        <x:v>0</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37"/>
        <x:v/>
      </x:c>
      <x:c r="CE40" s="935" t="str">
        <x:f t="shared" si="38"/>
        <x:v/>
      </x:c>
      <x:c r="CF40" s="1149"/>
      <x:c r="CG40" s="1150"/>
      <x:c r="CH40" s="738" t="str">
        <x:f t="shared" si="39"/>
        <x:v/>
      </x:c>
      <x:c r="CI40" s="739" t="str">
        <x:f t="shared" si="40"/>
        <x:v/>
      </x:c>
      <x:c r="CJ40" s="740" t="str">
        <x:f t="shared" si="41"/>
        <x:v/>
      </x:c>
      <x:c r="CK40" s="741" t="str">
        <x:f t="shared" si="42"/>
        <x:v/>
      </x:c>
      <x:c r="CL40" s="742" t="str">
        <x:f t="shared" si="43"/>
        <x:v/>
      </x:c>
      <x:c r="CM40" s="743" t="str">
        <x:f t="shared" si="44"/>
        <x:v/>
      </x:c>
      <x:c r="CN40" s="744" t="str">
        <x:f t="shared" si="45"/>
        <x:v/>
      </x:c>
      <x:c r="CO40" s="745" t="str">
        <x:f t="shared" si="46"/>
        <x:v/>
      </x:c>
      <x:c r="CP40" s="762" t="str">
        <x:f t="shared" si="47"/>
        <x:v/>
      </x:c>
      <x:c r="CQ40" s="763" t="str">
        <x:f t="shared" si="48"/>
        <x:v/>
      </x:c>
      <x:c r="CR40" s="953">
        <x:f t="shared" si="49"/>
        <x:v>5</x:v>
      </x:c>
      <x:c r="CS40" s="954">
        <x:f t="shared" si="50"/>
        <x:v>5</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51"/>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52"/>
        <x:v>0</x:v>
      </x:c>
      <x:c r="DO40" s="1049">
        <x:f t="shared" si="53"/>
        <x:v>0</x:v>
      </x:c>
      <x:c r="DP40" s="1053" t="str">
        <x:f t="shared" si="54"/>
        <x:v/>
      </x:c>
      <x:c r="DQ40" s="1053" t="str">
        <x:f t="shared" si="55"/>
        <x:v/>
      </x:c>
      <x:c r="DR40" s="1053" t="str">
        <x:f t="shared" si="56"/>
        <x:v/>
      </x:c>
      <x:c r="DS40" s="1052">
        <x:f t="shared" si="57"/>
        <x:v>0</x:v>
      </x:c>
      <x:c r="DT40" s="1052">
        <x:f t="shared" si="58"/>
        <x:v>0</x:v>
      </x:c>
      <x:c r="DU40" s="1052" t="str">
        <x:f t="shared" si="59"/>
        <x:v/>
      </x:c>
      <x:c r="DV40" s="1053" t="str">
        <x:f t="shared" si="60"/>
        <x:v/>
      </x:c>
      <x:c r="DW40" s="1053" t="str">
        <x:f t="shared" si="61"/>
        <x:v/>
      </x:c>
      <x:c r="DX40" s="1269">
        <x:f t="shared" si="62"/>
        <x:v>0</x:v>
      </x:c>
      <x:c r="DY40" s="1053">
        <x:f t="shared" si="63"/>
        <x:v>0</x:v>
      </x:c>
      <x:c r="DZ40" s="1052">
        <x:f t="shared" si="64"/>
        <x:v>0</x:v>
      </x:c>
      <x:c r="EA40" s="1052" t="str">
        <x:f t="shared" si="65"/>
        <x:v/>
      </x:c>
      <x:c r="EB40" s="1053" t="str">
        <x:f t="shared" si="66"/>
        <x:v/>
      </x:c>
      <x:c r="EC40" s="1053" t="str">
        <x:f t="shared" si="67"/>
        <x:v/>
      </x:c>
      <x:c r="ED40" s="1269">
        <x:f t="shared" si="68"/>
        <x:v>0</x:v>
      </x:c>
      <x:c r="EE40" s="1090" t="str">
        <x:f t="shared" si="69"/>
        <x:v/>
      </x:c>
      <x:c r="EF40" s="1053" t="str">
        <x:f t="shared" si="70"/>
        <x:v/>
      </x:c>
      <x:c r="EG40" s="1053" t="str">
        <x:f t="shared" si="71"/>
        <x:v/>
      </x:c>
      <x:c r="EH40" s="1053" t="str">
        <x:f t="shared" si="72"/>
        <x:v>ERR</x:v>
      </x:c>
      <x:c r="EI40" s="1053" t="str">
        <x:f t="shared" si="73"/>
        <x:v>ERR</x:v>
      </x:c>
      <x:c r="EJ40" s="1053" t="str">
        <x:f t="shared" si="74"/>
        <x:v/>
      </x:c>
      <x:c r="EK40" s="1053" t="str">
        <x:f t="shared" si="74"/>
        <x:v/>
      </x:c>
      <x:c r="EL40" s="1090" t="str">
        <x:f t="shared" si="75"/>
        <x:v/>
      </x:c>
      <x:c r="EM40" s="1053" t="str">
        <x:f t="shared" si="76"/>
        <x:v/>
      </x:c>
      <x:c r="EN40" s="1053" t="str">
        <x:f t="shared" si="77"/>
        <x:v/>
      </x:c>
      <x:c r="EO40" s="1053" t="str">
        <x:f t="shared" si="78"/>
        <x:v>ERR</x:v>
      </x:c>
      <x:c r="EP40" s="1053" t="str">
        <x:f t="shared" si="79"/>
        <x:v>ERR</x:v>
      </x:c>
      <x:c r="EQ40" s="1053" t="str">
        <x:f t="shared" si="80"/>
        <x:v/>
      </x:c>
      <x:c r="ER40" s="1053" t="str">
        <x:f t="shared" si="80"/>
        <x:v/>
      </x:c>
      <x:c r="ES40" s="1053" t="str">
        <x:f t="shared" si="81"/>
        <x:v/>
      </x:c>
      <x:c r="ET40" s="1053" t="str">
        <x:f t="shared" si="82"/>
        <x:v/>
      </x:c>
      <x:c r="EU40" s="1061">
        <x:f t="shared" si="83"/>
        <x:v>4</x:v>
      </x:c>
      <x:c r="EV40" s="1055" t="str">
        <x:f t="shared" si="84"/>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85"/>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86"/>
        <x:v/>
      </x:c>
      <x:c r="FD40" s="1052">
        <x:f t="shared" si="108"/>
        <x:v>0</x:v>
      </x:c>
      <x:c r="FE40" s="1052">
        <x:f t="shared" si="87"/>
        <x:v>0</x:v>
      </x:c>
      <x:c r="FF40" s="1052">
        <x:f t="shared" si="88"/>
        <x:v>0</x:v>
      </x:c>
      <x:c r="FG40" s="1052" t="str">
        <x:f t="shared" si="89"/>
        <x:v/>
      </x:c>
      <x:c r="FH40" s="1053" t="str">
        <x:f t="shared" si="90"/>
        <x:v/>
      </x:c>
      <x:c r="FI40" s="1052">
        <x:f t="shared" si="109"/>
        <x:v>0</x:v>
      </x:c>
      <x:c r="FJ40" s="1052">
        <x:f t="shared" si="91"/>
        <x:v>0</x:v>
      </x:c>
      <x:c r="FK40" s="1052">
        <x:f t="shared" si="92"/>
        <x:v>0</x:v>
      </x:c>
      <x:c r="FL40" s="1052" t="str">
        <x:f t="shared" si="93"/>
        <x:v/>
      </x:c>
      <x:c r="FM40" s="1053" t="str">
        <x:f t="shared" si="94"/>
        <x:v/>
      </x:c>
      <x:c r="FN40" s="1053" t="e">
        <x:f t="shared" si="95"/>
        <x:v>#VALUE!</x:v>
      </x:c>
      <x:c r="FO40" s="1062" t="e">
        <x:f t="shared" si="96"/>
        <x:v>#VALUE!</x:v>
      </x:c>
      <x:c r="FP40" s="1062" t="e">
        <x:f t="shared" si="97"/>
        <x:v>#VALUE!</x:v>
      </x:c>
      <x:c r="FQ40" s="1063" t="e">
        <x:f t="shared" si="98"/>
        <x:v>#VALUE!</x:v>
      </x:c>
      <x:c r="FR40" s="1064" t="e">
        <x:f t="shared" si="99"/>
        <x:v>#VALUE!</x:v>
      </x:c>
      <x:c r="FS40" s="1065" t="str">
        <x:f t="shared" si="100"/>
        <x:v/>
      </x:c>
      <x:c r="FT40" s="1066" t="str">
        <x:f t="shared" si="101"/>
        <x:v/>
      </x:c>
      <x:c r="FU40" s="1105">
        <x:f t="shared" si="102"/>
        <x:v>0</x:v>
      </x:c>
      <x:c r="FV40" s="1106">
        <x:f t="shared" si="103"/>
        <x:v>0</x:v>
      </x:c>
      <x:c r="GA40" s="1975">
        <x:v>59</x:v>
      </x:c>
      <x:c r="GB40" s="1976">
        <x:v>2.75</x:v>
      </x:c>
      <x:c r="GC40" s="1977">
        <x:v>-0.25</x:v>
      </x:c>
      <x:c r="GD40" s="1978">
        <x:v>-1.875</x:v>
      </x:c>
      <x:c r="GE40" s="1979">
        <x:v>-0.26169539219134702</x:v>
      </x:c>
      <x:c r="GF40" s="1980" t="str">
        <x:f t="shared" si="104"/>
        <x:v>J291</x:v>
      </x:c>
      <x:c r="GG40" s="1453"/>
      <x:c r="GH40" s="1454"/>
      <x:c r="GI40" s="1453"/>
      <x:c r="GJ40" s="1454"/>
      <x:c r="GK40" s="533">
        <x:f t="shared" si="105"/>
        <x:v>708.625</x:v>
      </x:c>
      <x:c r="GL40" s="534">
        <x:f t="shared" si="106"/>
        <x:v>708.79348626656247</x:v>
      </x:c>
      <x:c r="GM40" s="535">
        <x:f>IF(ABS(GK40-GL40)&gt;='Job Info.'!$L$22,ABS(GK40-GL40),0)</x:f>
        <x:v>0</x:v>
      </x:c>
      <x:c r="HA40" s="1658" t="s">
        <x:v>1615</x:v>
      </x:c>
      <x:c r="HB40" s="1659">
        <x:v>1</x:v>
      </x:c>
      <x:c r="HC40" s="1659" t="s">
        <x:v>1978</x:v>
      </x:c>
      <x:c r="HD40" s="1660">
        <x:v>59</x:v>
      </x:c>
      <x:c r="HE40" s="1661">
        <x:v>0.625</x:v>
      </x:c>
      <x:c r="HF40" s="1659">
        <x:v>0</x:v>
      </x:c>
      <x:c r="HG40" s="1659">
        <x:v>1.375</x:v>
      </x:c>
      <x:c r="HH40" s="1659" t="s">
        <x:v>114</x:v>
      </x:c>
      <x:c r="HI40" s="1662" t="s">
        <x:v>117</x:v>
      </x:c>
      <x:c r="HJ40" s="1659" t="s">
        <x:v>117</x:v>
      </x:c>
      <x:c r="HK40" s="1659" t="s">
        <x:v>117</x:v>
      </x:c>
      <x:c r="HL40" s="1659">
        <x:v>3</x:v>
      </x:c>
      <x:c r="HM40" s="1659">
        <x:v>3</x:v>
      </x:c>
      <x:c r="HN40" s="1659" t="s">
        <x:v>117</x:v>
      </x:c>
      <x:c r="HO40" s="1659" t="s">
        <x:v>117</x:v>
      </x:c>
      <x:c r="HP40" s="1659" t="s">
        <x:v>117</x:v>
      </x:c>
      <x:c r="HQ40" s="1662" t="s">
        <x:v>117</x:v>
      </x:c>
      <x:c r="HR40" s="1659" t="s">
        <x:v>117</x:v>
      </x:c>
      <x:c r="HS40" s="1659" t="s">
        <x:v>117</x:v>
      </x:c>
      <x:c r="HT40" s="1659" t="s">
        <x:v>117</x:v>
      </x:c>
      <x:c r="HU40" s="1659" t="s">
        <x:v>117</x:v>
      </x:c>
      <x:c r="HV40" s="1659" t="s">
        <x:v>117</x:v>
      </x:c>
      <x:c r="HW40" s="1661" t="s">
        <x:v>117</x:v>
      </x:c>
      <x:c r="HX40" s="1661">
        <x:v>0</x:v>
      </x:c>
      <x:c r="HY40" s="1661" t="s">
        <x:v>117</x:v>
      </x:c>
      <x:c r="HZ40" s="1661" t="s">
        <x:v>117</x:v>
      </x:c>
      <x:c r="IA40" s="1661" t="s">
        <x:v>2275</x:v>
      </x:c>
      <x:c r="IB40" s="1661"/>
      <x:c r="IC40" s="1661"/>
      <x:c r="ID40" s="1661"/>
      <x:c r="IE40" s="1661"/>
      <x:c r="IF40" s="1663"/>
    </x:row>
    <x:row r="41" spans="1:240" ht="12.6" customHeight="1" x14ac:dyDescent="0.25">
      <x:c r="A41" s="1264" t="str">
        <x:f t="shared" ref="A41:A44" si="114">IF(BB41="","",UPPER(BB41))</x:f>
        <x:v/>
      </x:c>
      <x:c r="B41" s="1265"/>
      <x:c r="C41" s="1265" t="str">
        <x:f t="shared" ref="C41:C44" si="115">IF(BD41="","",UPPER(BD41))</x:f>
        <x:v/>
      </x:c>
      <x:c r="D41" s="1261" t="str">
        <x:f t="shared" ref="D41:D44" si="116">IF(DP41="","",TRUNC(DP41/12))</x:f>
        <x:v/>
      </x:c>
      <x:c r="E41" s="1366" t="str">
        <x:f t="shared" ref="E41:E44" si="117">IF(DP41="","",DP41-(D41*12))</x:f>
        <x:v/>
      </x:c>
      <x:c r="F41" s="1328" t="str">
        <x:f t="shared" si="1"/>
        <x:v/>
      </x:c>
      <x:c r="G41" s="1262" t="str">
        <x:f t="shared" si="2"/>
        <x:v/>
      </x:c>
      <x:c r="H41" s="1266" t="str">
        <x:f t="shared" si="3"/>
        <x:v/>
      </x:c>
      <x:c r="I41" s="1261" t="str">
        <x:f t="shared" si="111"/>
        <x:v/>
      </x:c>
      <x:c r="J41" s="1262" t="str">
        <x:f t="shared" si="112"/>
        <x:v/>
      </x:c>
      <x:c r="K41" s="1370" t="str">
        <x:f t="shared" si="113"/>
        <x:v/>
      </x:c>
      <x:c r="L41" s="1327" t="str">
        <x:f t="shared" ref="L41:M44" si="118">DQ41</x:f>
        <x:v/>
      </x:c>
      <x:c r="M41" s="1329" t="str">
        <x:f t="shared" si="118"/>
        <x:v/>
      </x:c>
      <x:c r="N41" s="1263" t="str">
        <x:f t="shared" si="4"/>
        <x:v/>
      </x:c>
      <x:c r="O41" s="1262" t="str">
        <x:f t="shared" si="5"/>
        <x:v/>
      </x:c>
      <x:c r="P41" s="1260" t="str">
        <x:f t="shared" si="6"/>
        <x:v/>
      </x:c>
      <x:c r="Q41" s="1261" t="str">
        <x:f t="shared" si="7"/>
        <x:v/>
      </x:c>
      <x:c r="R41" s="1262" t="str">
        <x:f t="shared" si="8"/>
        <x:v/>
      </x:c>
      <x:c r="S41" s="1375" t="str">
        <x:f t="shared" si="9"/>
        <x:v/>
      </x:c>
      <x:c r="T41" s="1328" t="str">
        <x:f t="shared" si="10"/>
        <x:v/>
      </x:c>
      <x:c r="U41" s="1262" t="str">
        <x:f t="shared" si="11"/>
        <x:v/>
      </x:c>
      <x:c r="V41" s="1261" t="str">
        <x:f t="shared" si="12"/>
        <x:v/>
      </x:c>
      <x:c r="W41" s="1262" t="str">
        <x:f t="shared" si="13"/>
        <x:v/>
      </x:c>
      <x:c r="X41" s="1329">
        <x:f t="shared" si="14"/>
        <x:v>0</x:v>
      </x:c>
      <x:c r="Y41" s="1377" t="str">
        <x:f t="shared" si="15"/>
        <x:v/>
      </x:c>
      <x:c r="Z41" s="1378" t="str">
        <x:f t="shared" si="16"/>
        <x:v/>
      </x:c>
      <x:c r="AA41" s="2159"/>
      <x:c r="AC41" s="1226" t="b">
        <x:v>0</x:v>
      </x:c>
      <x:c r="AD41" s="525">
        <x:f t="shared" si="17"/>
        <x:v>0</x:v>
      </x:c>
      <x:c r="AE41" s="526">
        <x:f t="shared" si="18"/>
        <x:v>0</x:v>
      </x:c>
      <x:c r="AF41" s="526">
        <x:f t="shared" si="19"/>
        <x:v>0</x:v>
      </x:c>
      <x:c r="AG41" s="526">
        <x:f t="shared" si="20"/>
        <x:v>0</x:v>
      </x:c>
      <x:c r="AH41" s="527">
        <x:f t="shared" si="21"/>
        <x:v>0</x:v>
      </x:c>
      <x:c r="AI41" s="528" t="b">
        <x:v>0</x:v>
      </x:c>
      <x:c r="AJ41" s="284">
        <x:f t="shared" si="22"/>
        <x:v>0</x:v>
      </x:c>
      <x:c r="AK41" s="1063" t="str">
        <x:f t="shared" si="23"/>
        <x:v/>
      </x:c>
      <x:c r="AL41" s="1202" t="str">
        <x:f t="shared" si="24"/>
        <x:v/>
      </x:c>
      <x:c r="AM41" s="1063" t="str">
        <x:f t="shared" si="25"/>
        <x:v/>
      </x:c>
      <x:c r="AN41" s="1063" t="str">
        <x:f t="shared" si="26"/>
        <x:v/>
      </x:c>
      <x:c r="AO41" s="1063" t="str">
        <x:f t="shared" si="27"/>
        <x:v/>
      </x:c>
      <x:c r="AP41" s="1063" t="b">
        <x:f>IF(ISERROR(AJ41),FALSE,IF(OR(AJ41=0,ISERROR(AL41),ISERROR(AM41),ISERROR(AN41),ISERROR(AO41)),FALSE,IF(AL41&lt;&gt;"",IF(ISERROR(VLOOKUP(SUBSTITUTE(SUBSTITUTE(C41,"R",""),"A",""),TblJoistSize!$A:$A,1,FALSE)),FALSE,TRUE),TRUE)))</x:f>
        <x:v>0</x:v>
      </x:c>
      <x:c r="AQ41" s="1305" t="e">
        <x:f t="shared" si="28"/>
        <x:v>#N/A</x:v>
      </x:c>
      <x:c r="AR41" s="1305" t="b">
        <x:f t="shared" si="29"/>
        <x:v>0</x:v>
      </x:c>
      <x:c r="AS41" s="1305" t="e">
        <x:f t="shared" si="30"/>
        <x:v>#N/A</x:v>
      </x:c>
      <x:c r="AT41" s="1305" t="b">
        <x:f t="shared" si="31"/>
        <x:v>0</x:v>
      </x:c>
      <x:c r="AU41" s="1203" t="str">
        <x:f t="shared" si="32"/>
        <x:v/>
      </x:c>
      <x:c r="AV41" s="1063" t="str">
        <x:f t="shared" si="33"/>
        <x:v/>
      </x:c>
      <x:c r="AW41" s="1063" t="str">
        <x:f t="shared" si="34"/>
        <x:v/>
      </x:c>
      <x:c r="AX41" s="1063" t="str">
        <x:f t="shared" si="107"/>
        <x:v/>
      </x:c>
      <x:c r="AY41" s="1306" t="b">
        <x:f t="shared" si="35"/>
        <x:v>0</x:v>
      </x:c>
      <x:c r="AZ41" s="1090" t="str">
        <x:f t="shared" si="36"/>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37"/>
        <x:v/>
      </x:c>
      <x:c r="CE41" s="935" t="str">
        <x:f t="shared" si="38"/>
        <x:v/>
      </x:c>
      <x:c r="CF41" s="1149"/>
      <x:c r="CG41" s="1150"/>
      <x:c r="CH41" s="738" t="str">
        <x:f t="shared" si="39"/>
        <x:v/>
      </x:c>
      <x:c r="CI41" s="739" t="str">
        <x:f t="shared" si="40"/>
        <x:v/>
      </x:c>
      <x:c r="CJ41" s="740" t="str">
        <x:f t="shared" si="41"/>
        <x:v/>
      </x:c>
      <x:c r="CK41" s="741" t="str">
        <x:f t="shared" si="42"/>
        <x:v/>
      </x:c>
      <x:c r="CL41" s="742" t="str">
        <x:f t="shared" si="43"/>
        <x:v/>
      </x:c>
      <x:c r="CM41" s="743" t="str">
        <x:f t="shared" si="44"/>
        <x:v/>
      </x:c>
      <x:c r="CN41" s="744" t="str">
        <x:f t="shared" si="45"/>
        <x:v/>
      </x:c>
      <x:c r="CO41" s="745" t="str">
        <x:f t="shared" si="46"/>
        <x:v/>
      </x:c>
      <x:c r="CP41" s="762" t="str">
        <x:f t="shared" si="47"/>
        <x:v/>
      </x:c>
      <x:c r="CQ41" s="763" t="str">
        <x:f t="shared" si="48"/>
        <x:v/>
      </x:c>
      <x:c r="CR41" s="953" t="str">
        <x:f t="shared" si="49"/>
        <x:v/>
      </x:c>
      <x:c r="CS41" s="954" t="str">
        <x:f t="shared" si="50"/>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51"/>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52"/>
        <x:v>0</x:v>
      </x:c>
      <x:c r="DO41" s="1049">
        <x:f t="shared" si="53"/>
        <x:v>0</x:v>
      </x:c>
      <x:c r="DP41" s="1053" t="str">
        <x:f t="shared" si="54"/>
        <x:v/>
      </x:c>
      <x:c r="DQ41" s="1053" t="str">
        <x:f t="shared" si="55"/>
        <x:v/>
      </x:c>
      <x:c r="DR41" s="1053" t="str">
        <x:f t="shared" si="56"/>
        <x:v/>
      </x:c>
      <x:c r="DS41" s="1052">
        <x:f t="shared" si="57"/>
        <x:v>0</x:v>
      </x:c>
      <x:c r="DT41" s="1052">
        <x:f t="shared" si="58"/>
        <x:v>0</x:v>
      </x:c>
      <x:c r="DU41" s="1052" t="str">
        <x:f t="shared" si="59"/>
        <x:v/>
      </x:c>
      <x:c r="DV41" s="1053" t="str">
        <x:f t="shared" si="60"/>
        <x:v/>
      </x:c>
      <x:c r="DW41" s="1053" t="str">
        <x:f t="shared" si="61"/>
        <x:v/>
      </x:c>
      <x:c r="DX41" s="1269">
        <x:f t="shared" si="62"/>
        <x:v>0</x:v>
      </x:c>
      <x:c r="DY41" s="1053">
        <x:f t="shared" si="63"/>
        <x:v>0</x:v>
      </x:c>
      <x:c r="DZ41" s="1052">
        <x:f t="shared" si="64"/>
        <x:v>0</x:v>
      </x:c>
      <x:c r="EA41" s="1052" t="str">
        <x:f t="shared" si="65"/>
        <x:v/>
      </x:c>
      <x:c r="EB41" s="1053" t="str">
        <x:f t="shared" si="66"/>
        <x:v/>
      </x:c>
      <x:c r="EC41" s="1053" t="str">
        <x:f t="shared" si="67"/>
        <x:v/>
      </x:c>
      <x:c r="ED41" s="1269">
        <x:f t="shared" si="68"/>
        <x:v>0</x:v>
      </x:c>
      <x:c r="EE41" s="1090" t="str">
        <x:f t="shared" si="69"/>
        <x:v/>
      </x:c>
      <x:c r="EF41" s="1053" t="str">
        <x:f t="shared" si="70"/>
        <x:v/>
      </x:c>
      <x:c r="EG41" s="1053" t="str">
        <x:f t="shared" si="71"/>
        <x:v/>
      </x:c>
      <x:c r="EH41" s="1053" t="e">
        <x:f t="shared" si="72"/>
        <x:v>#N/A</x:v>
      </x:c>
      <x:c r="EI41" s="1053" t="e">
        <x:f t="shared" si="73"/>
        <x:v>#N/A</x:v>
      </x:c>
      <x:c r="EJ41" s="1053" t="str">
        <x:f t="shared" si="74"/>
        <x:v/>
      </x:c>
      <x:c r="EK41" s="1053" t="str">
        <x:f t="shared" si="74"/>
        <x:v/>
      </x:c>
      <x:c r="EL41" s="1090" t="str">
        <x:f t="shared" si="75"/>
        <x:v/>
      </x:c>
      <x:c r="EM41" s="1053" t="str">
        <x:f t="shared" si="76"/>
        <x:v/>
      </x:c>
      <x:c r="EN41" s="1053" t="str">
        <x:f t="shared" si="77"/>
        <x:v/>
      </x:c>
      <x:c r="EO41" s="1053" t="e">
        <x:f t="shared" si="78"/>
        <x:v>#N/A</x:v>
      </x:c>
      <x:c r="EP41" s="1053" t="e">
        <x:f t="shared" si="79"/>
        <x:v>#N/A</x:v>
      </x:c>
      <x:c r="EQ41" s="1053" t="str">
        <x:f t="shared" si="80"/>
        <x:v/>
      </x:c>
      <x:c r="ER41" s="1053" t="str">
        <x:f t="shared" si="80"/>
        <x:v/>
      </x:c>
      <x:c r="ES41" s="1053" t="str">
        <x:f t="shared" si="81"/>
        <x:v/>
      </x:c>
      <x:c r="ET41" s="1053" t="str">
        <x:f t="shared" si="82"/>
        <x:v/>
      </x:c>
      <x:c r="EU41" s="1061" t="str">
        <x:f t="shared" si="83"/>
        <x:v/>
      </x:c>
      <x:c r="EV41" s="1055" t="str">
        <x:f t="shared" si="84"/>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85"/>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86"/>
        <x:v/>
      </x:c>
      <x:c r="FD41" s="1052">
        <x:f t="shared" si="108"/>
        <x:v>0</x:v>
      </x:c>
      <x:c r="FE41" s="1052">
        <x:f t="shared" si="87"/>
        <x:v>0</x:v>
      </x:c>
      <x:c r="FF41" s="1052">
        <x:f t="shared" si="88"/>
        <x:v>0</x:v>
      </x:c>
      <x:c r="FG41" s="1052" t="str">
        <x:f t="shared" si="89"/>
        <x:v/>
      </x:c>
      <x:c r="FH41" s="1053" t="str">
        <x:f t="shared" si="90"/>
        <x:v/>
      </x:c>
      <x:c r="FI41" s="1052">
        <x:f t="shared" si="109"/>
        <x:v>0</x:v>
      </x:c>
      <x:c r="FJ41" s="1052">
        <x:f t="shared" si="91"/>
        <x:v>0</x:v>
      </x:c>
      <x:c r="FK41" s="1052">
        <x:f t="shared" si="92"/>
        <x:v>0</x:v>
      </x:c>
      <x:c r="FL41" s="1052" t="str">
        <x:f t="shared" si="93"/>
        <x:v/>
      </x:c>
      <x:c r="FM41" s="1053" t="str">
        <x:f t="shared" si="94"/>
        <x:v/>
      </x:c>
      <x:c r="FN41" s="1053" t="e">
        <x:f t="shared" si="95"/>
        <x:v>#VALUE!</x:v>
      </x:c>
      <x:c r="FO41" s="1062" t="e">
        <x:f t="shared" si="96"/>
        <x:v>#VALUE!</x:v>
      </x:c>
      <x:c r="FP41" s="1062" t="e">
        <x:f t="shared" si="97"/>
        <x:v>#VALUE!</x:v>
      </x:c>
      <x:c r="FQ41" s="1063" t="e">
        <x:f t="shared" si="98"/>
        <x:v>#VALUE!</x:v>
      </x:c>
      <x:c r="FR41" s="1064" t="e">
        <x:f t="shared" si="99"/>
        <x:v>#VALUE!</x:v>
      </x:c>
      <x:c r="FS41" s="1065" t="str">
        <x:f t="shared" si="100"/>
        <x:v/>
      </x:c>
      <x:c r="FT41" s="1066" t="str">
        <x:f t="shared" si="101"/>
        <x:v/>
      </x:c>
      <x:c r="FU41" s="1105">
        <x:f t="shared" si="102"/>
        <x:v>0</x:v>
      </x:c>
      <x:c r="FV41" s="1106">
        <x:f t="shared" si="103"/>
        <x:v>0</x:v>
      </x:c>
      <x:c r="GA41" s="1975" t="str">
        <x:f t="shared" ref="GA41:GA45" si="119">IF(GF41="","",BE41)</x:f>
        <x:v/>
      </x:c>
      <x:c r="GB41" s="1976" t="str">
        <x:f t="shared" ref="GB41:GB45" si="120">IF(GF41="","",BF41)</x:f>
        <x:v/>
      </x:c>
      <x:c r="GC41" s="1977" t="str">
        <x:f t="shared" ref="GC41:GC45" si="121">IF(GF41="","",IF(CV41="",0,CV41))</x:f>
        <x:v/>
      </x:c>
      <x:c r="GD41" s="1978" t="str">
        <x:f t="shared" ref="GD41:GD45" si="122">IF(GF41="","",IF(DF41="",0,DF41))</x:f>
        <x:v/>
      </x:c>
      <x:c r="GE41" s="1979" t="str">
        <x:f t="shared" si="110"/>
        <x:v/>
      </x:c>
      <x:c r="GF41" s="1980" t="str">
        <x:f t="shared" si="104"/>
        <x:v/>
      </x:c>
      <x:c r="GG41" s="1453"/>
      <x:c r="GH41" s="1454"/>
      <x:c r="GI41" s="1453"/>
      <x:c r="GJ41" s="1454"/>
      <x:c r="GK41" s="533">
        <x:f t="shared" si="105"/>
        <x:v>0</x:v>
      </x:c>
      <x:c r="GL41" s="534" t="e">
        <x:f t="shared" si="106"/>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4"/>
        <x:v/>
      </x:c>
      <x:c r="B42" s="1265"/>
      <x:c r="C42" s="1265" t="str">
        <x:f t="shared" si="115"/>
        <x:v/>
      </x:c>
      <x:c r="D42" s="1261" t="str">
        <x:f t="shared" si="116"/>
        <x:v/>
      </x:c>
      <x:c r="E42" s="1366" t="str">
        <x:f t="shared" si="117"/>
        <x:v/>
      </x:c>
      <x:c r="F42" s="1328" t="str">
        <x:f t="shared" si="1"/>
        <x:v/>
      </x:c>
      <x:c r="G42" s="1262" t="str">
        <x:f t="shared" si="2"/>
        <x:v/>
      </x:c>
      <x:c r="H42" s="1266" t="str">
        <x:f t="shared" si="3"/>
        <x:v/>
      </x:c>
      <x:c r="I42" s="1261" t="str">
        <x:f t="shared" si="111"/>
        <x:v/>
      </x:c>
      <x:c r="J42" s="1262" t="str">
        <x:f t="shared" si="112"/>
        <x:v/>
      </x:c>
      <x:c r="K42" s="1370" t="str">
        <x:f t="shared" si="113"/>
        <x:v/>
      </x:c>
      <x:c r="L42" s="1327" t="str">
        <x:f t="shared" si="118"/>
        <x:v/>
      </x:c>
      <x:c r="M42" s="1329" t="str">
        <x:f t="shared" si="118"/>
        <x:v/>
      </x:c>
      <x:c r="N42" s="1263" t="str">
        <x:f t="shared" si="4"/>
        <x:v/>
      </x:c>
      <x:c r="O42" s="1262" t="str">
        <x:f t="shared" si="5"/>
        <x:v/>
      </x:c>
      <x:c r="P42" s="1260" t="str">
        <x:f t="shared" si="6"/>
        <x:v/>
      </x:c>
      <x:c r="Q42" s="1261" t="str">
        <x:f t="shared" si="7"/>
        <x:v/>
      </x:c>
      <x:c r="R42" s="1262" t="str">
        <x:f t="shared" si="8"/>
        <x:v/>
      </x:c>
      <x:c r="S42" s="1375" t="str">
        <x:f t="shared" si="9"/>
        <x:v/>
      </x:c>
      <x:c r="T42" s="1328" t="str">
        <x:f t="shared" si="10"/>
        <x:v/>
      </x:c>
      <x:c r="U42" s="1262" t="str">
        <x:f t="shared" si="11"/>
        <x:v/>
      </x:c>
      <x:c r="V42" s="1261" t="str">
        <x:f t="shared" si="12"/>
        <x:v/>
      </x:c>
      <x:c r="W42" s="1262" t="str">
        <x:f t="shared" si="13"/>
        <x:v/>
      </x:c>
      <x:c r="X42" s="1329">
        <x:f t="shared" si="14"/>
        <x:v>0</x:v>
      </x:c>
      <x:c r="Y42" s="1377" t="str">
        <x:f t="shared" si="15"/>
        <x:v/>
      </x:c>
      <x:c r="Z42" s="1378" t="str">
        <x:f t="shared" si="16"/>
        <x:v/>
      </x:c>
      <x:c r="AA42" s="2159"/>
      <x:c r="AC42" s="1226" t="b">
        <x:v>0</x:v>
      </x:c>
      <x:c r="AD42" s="525">
        <x:f t="shared" si="17"/>
        <x:v>0</x:v>
      </x:c>
      <x:c r="AE42" s="526">
        <x:f t="shared" si="18"/>
        <x:v>0</x:v>
      </x:c>
      <x:c r="AF42" s="526">
        <x:f t="shared" si="19"/>
        <x:v>0</x:v>
      </x:c>
      <x:c r="AG42" s="526">
        <x:f t="shared" si="20"/>
        <x:v>0</x:v>
      </x:c>
      <x:c r="AH42" s="527">
        <x:f t="shared" si="21"/>
        <x:v>0</x:v>
      </x:c>
      <x:c r="AI42" s="528" t="b">
        <x:v>0</x:v>
      </x:c>
      <x:c r="AJ42" s="284">
        <x:f t="shared" si="22"/>
        <x:v>0</x:v>
      </x:c>
      <x:c r="AK42" s="1063" t="str">
        <x:f t="shared" si="23"/>
        <x:v/>
      </x:c>
      <x:c r="AL42" s="1202" t="str">
        <x:f t="shared" si="24"/>
        <x:v/>
      </x:c>
      <x:c r="AM42" s="1063" t="str">
        <x:f t="shared" si="25"/>
        <x:v/>
      </x:c>
      <x:c r="AN42" s="1063" t="str">
        <x:f t="shared" si="26"/>
        <x:v/>
      </x:c>
      <x:c r="AO42" s="1063" t="str">
        <x:f t="shared" si="27"/>
        <x:v/>
      </x:c>
      <x:c r="AP42" s="1063" t="b">
        <x:f>IF(ISERROR(AJ42),FALSE,IF(OR(AJ42=0,ISERROR(AL42),ISERROR(AM42),ISERROR(AN42),ISERROR(AO42)),FALSE,IF(AL42&lt;&gt;"",IF(ISERROR(VLOOKUP(SUBSTITUTE(SUBSTITUTE(C42,"R",""),"A",""),TblJoistSize!$A:$A,1,FALSE)),FALSE,TRUE),TRUE)))</x:f>
        <x:v>0</x:v>
      </x:c>
      <x:c r="AQ42" s="1305" t="e">
        <x:f t="shared" si="28"/>
        <x:v>#N/A</x:v>
      </x:c>
      <x:c r="AR42" s="1305" t="b">
        <x:f t="shared" si="29"/>
        <x:v>0</x:v>
      </x:c>
      <x:c r="AS42" s="1305" t="e">
        <x:f t="shared" si="30"/>
        <x:v>#N/A</x:v>
      </x:c>
      <x:c r="AT42" s="1305" t="b">
        <x:f t="shared" si="31"/>
        <x:v>0</x:v>
      </x:c>
      <x:c r="AU42" s="1203" t="str">
        <x:f t="shared" si="32"/>
        <x:v/>
      </x:c>
      <x:c r="AV42" s="1063" t="str">
        <x:f t="shared" si="33"/>
        <x:v/>
      </x:c>
      <x:c r="AW42" s="1063" t="str">
        <x:f t="shared" si="34"/>
        <x:v/>
      </x:c>
      <x:c r="AX42" s="1063" t="str">
        <x:f t="shared" si="107"/>
        <x:v/>
      </x:c>
      <x:c r="AY42" s="1306" t="b">
        <x:f t="shared" si="35"/>
        <x:v>0</x:v>
      </x:c>
      <x:c r="AZ42" s="1090" t="str">
        <x:f t="shared" si="36"/>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37"/>
        <x:v/>
      </x:c>
      <x:c r="CE42" s="935" t="str">
        <x:f t="shared" si="38"/>
        <x:v/>
      </x:c>
      <x:c r="CF42" s="1149"/>
      <x:c r="CG42" s="1150"/>
      <x:c r="CH42" s="738" t="str">
        <x:f t="shared" si="39"/>
        <x:v/>
      </x:c>
      <x:c r="CI42" s="739" t="str">
        <x:f t="shared" si="40"/>
        <x:v/>
      </x:c>
      <x:c r="CJ42" s="740" t="str">
        <x:f t="shared" si="41"/>
        <x:v/>
      </x:c>
      <x:c r="CK42" s="741" t="str">
        <x:f t="shared" si="42"/>
        <x:v/>
      </x:c>
      <x:c r="CL42" s="742" t="str">
        <x:f t="shared" si="43"/>
        <x:v/>
      </x:c>
      <x:c r="CM42" s="743" t="str">
        <x:f t="shared" si="44"/>
        <x:v/>
      </x:c>
      <x:c r="CN42" s="744" t="str">
        <x:f t="shared" si="45"/>
        <x:v/>
      </x:c>
      <x:c r="CO42" s="745" t="str">
        <x:f t="shared" si="46"/>
        <x:v/>
      </x:c>
      <x:c r="CP42" s="762" t="str">
        <x:f t="shared" si="47"/>
        <x:v/>
      </x:c>
      <x:c r="CQ42" s="763" t="str">
        <x:f t="shared" si="48"/>
        <x:v/>
      </x:c>
      <x:c r="CR42" s="953" t="str">
        <x:f t="shared" si="49"/>
        <x:v/>
      </x:c>
      <x:c r="CS42" s="954" t="str">
        <x:f t="shared" si="50"/>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51"/>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52"/>
        <x:v>0</x:v>
      </x:c>
      <x:c r="DO42" s="1049">
        <x:f t="shared" si="53"/>
        <x:v>0</x:v>
      </x:c>
      <x:c r="DP42" s="1053" t="str">
        <x:f t="shared" si="54"/>
        <x:v/>
      </x:c>
      <x:c r="DQ42" s="1053" t="str">
        <x:f t="shared" si="55"/>
        <x:v/>
      </x:c>
      <x:c r="DR42" s="1053" t="str">
        <x:f t="shared" si="56"/>
        <x:v/>
      </x:c>
      <x:c r="DS42" s="1052">
        <x:f t="shared" si="57"/>
        <x:v>0</x:v>
      </x:c>
      <x:c r="DT42" s="1052">
        <x:f t="shared" si="58"/>
        <x:v>0</x:v>
      </x:c>
      <x:c r="DU42" s="1052" t="str">
        <x:f t="shared" si="59"/>
        <x:v/>
      </x:c>
      <x:c r="DV42" s="1053" t="str">
        <x:f t="shared" si="60"/>
        <x:v/>
      </x:c>
      <x:c r="DW42" s="1053" t="str">
        <x:f t="shared" si="61"/>
        <x:v/>
      </x:c>
      <x:c r="DX42" s="1269">
        <x:f t="shared" si="62"/>
        <x:v>0</x:v>
      </x:c>
      <x:c r="DY42" s="1053">
        <x:f t="shared" si="63"/>
        <x:v>0</x:v>
      </x:c>
      <x:c r="DZ42" s="1052">
        <x:f t="shared" si="64"/>
        <x:v>0</x:v>
      </x:c>
      <x:c r="EA42" s="1052" t="str">
        <x:f t="shared" si="65"/>
        <x:v/>
      </x:c>
      <x:c r="EB42" s="1053" t="str">
        <x:f t="shared" si="66"/>
        <x:v/>
      </x:c>
      <x:c r="EC42" s="1053" t="str">
        <x:f t="shared" si="67"/>
        <x:v/>
      </x:c>
      <x:c r="ED42" s="1269">
        <x:f t="shared" si="68"/>
        <x:v>0</x:v>
      </x:c>
      <x:c r="EE42" s="1090" t="str">
        <x:f t="shared" si="69"/>
        <x:v/>
      </x:c>
      <x:c r="EF42" s="1053" t="str">
        <x:f t="shared" si="70"/>
        <x:v/>
      </x:c>
      <x:c r="EG42" s="1053" t="str">
        <x:f t="shared" si="71"/>
        <x:v/>
      </x:c>
      <x:c r="EH42" s="1053" t="e">
        <x:f t="shared" si="72"/>
        <x:v>#N/A</x:v>
      </x:c>
      <x:c r="EI42" s="1053" t="e">
        <x:f t="shared" si="73"/>
        <x:v>#N/A</x:v>
      </x:c>
      <x:c r="EJ42" s="1053" t="str">
        <x:f t="shared" si="74"/>
        <x:v/>
      </x:c>
      <x:c r="EK42" s="1053" t="str">
        <x:f t="shared" si="74"/>
        <x:v/>
      </x:c>
      <x:c r="EL42" s="1090" t="str">
        <x:f t="shared" si="75"/>
        <x:v/>
      </x:c>
      <x:c r="EM42" s="1053" t="str">
        <x:f t="shared" si="76"/>
        <x:v/>
      </x:c>
      <x:c r="EN42" s="1053" t="str">
        <x:f t="shared" si="77"/>
        <x:v/>
      </x:c>
      <x:c r="EO42" s="1053" t="e">
        <x:f t="shared" si="78"/>
        <x:v>#N/A</x:v>
      </x:c>
      <x:c r="EP42" s="1053" t="e">
        <x:f t="shared" si="79"/>
        <x:v>#N/A</x:v>
      </x:c>
      <x:c r="EQ42" s="1053" t="str">
        <x:f t="shared" si="80"/>
        <x:v/>
      </x:c>
      <x:c r="ER42" s="1053" t="str">
        <x:f t="shared" si="80"/>
        <x:v/>
      </x:c>
      <x:c r="ES42" s="1053" t="str">
        <x:f t="shared" si="81"/>
        <x:v/>
      </x:c>
      <x:c r="ET42" s="1053" t="str">
        <x:f t="shared" si="82"/>
        <x:v/>
      </x:c>
      <x:c r="EU42" s="1061" t="str">
        <x:f t="shared" si="83"/>
        <x:v/>
      </x:c>
      <x:c r="EV42" s="1055" t="str">
        <x:f t="shared" si="84"/>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85"/>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86"/>
        <x:v/>
      </x:c>
      <x:c r="FD42" s="1052">
        <x:f t="shared" si="108"/>
        <x:v>0</x:v>
      </x:c>
      <x:c r="FE42" s="1052">
        <x:f t="shared" si="87"/>
        <x:v>0</x:v>
      </x:c>
      <x:c r="FF42" s="1052">
        <x:f t="shared" si="88"/>
        <x:v>0</x:v>
      </x:c>
      <x:c r="FG42" s="1052" t="str">
        <x:f t="shared" si="89"/>
        <x:v/>
      </x:c>
      <x:c r="FH42" s="1053" t="str">
        <x:f t="shared" si="90"/>
        <x:v/>
      </x:c>
      <x:c r="FI42" s="1052">
        <x:f t="shared" si="109"/>
        <x:v>0</x:v>
      </x:c>
      <x:c r="FJ42" s="1052">
        <x:f t="shared" si="91"/>
        <x:v>0</x:v>
      </x:c>
      <x:c r="FK42" s="1052">
        <x:f t="shared" si="92"/>
        <x:v>0</x:v>
      </x:c>
      <x:c r="FL42" s="1052" t="str">
        <x:f t="shared" si="93"/>
        <x:v/>
      </x:c>
      <x:c r="FM42" s="1053" t="str">
        <x:f t="shared" si="94"/>
        <x:v/>
      </x:c>
      <x:c r="FN42" s="1053" t="e">
        <x:f t="shared" si="95"/>
        <x:v>#VALUE!</x:v>
      </x:c>
      <x:c r="FO42" s="1062" t="e">
        <x:f t="shared" si="96"/>
        <x:v>#VALUE!</x:v>
      </x:c>
      <x:c r="FP42" s="1062" t="e">
        <x:f t="shared" si="97"/>
        <x:v>#VALUE!</x:v>
      </x:c>
      <x:c r="FQ42" s="1063" t="e">
        <x:f t="shared" si="98"/>
        <x:v>#VALUE!</x:v>
      </x:c>
      <x:c r="FR42" s="1064" t="e">
        <x:f t="shared" si="99"/>
        <x:v>#VALUE!</x:v>
      </x:c>
      <x:c r="FS42" s="1065" t="str">
        <x:f t="shared" si="100"/>
        <x:v/>
      </x:c>
      <x:c r="FT42" s="1066" t="str">
        <x:f t="shared" si="101"/>
        <x:v/>
      </x:c>
      <x:c r="FU42" s="1105">
        <x:f t="shared" si="102"/>
        <x:v>0</x:v>
      </x:c>
      <x:c r="FV42" s="1106">
        <x:f t="shared" si="103"/>
        <x:v>0</x:v>
      </x:c>
      <x:c r="GA42" s="1975" t="str">
        <x:f t="shared" si="119"/>
        <x:v/>
      </x:c>
      <x:c r="GB42" s="1976" t="str">
        <x:f t="shared" si="120"/>
        <x:v/>
      </x:c>
      <x:c r="GC42" s="1977" t="str">
        <x:f t="shared" si="121"/>
        <x:v/>
      </x:c>
      <x:c r="GD42" s="1978" t="str">
        <x:f t="shared" si="122"/>
        <x:v/>
      </x:c>
      <x:c r="GE42" s="1979" t="str">
        <x:f t="shared" si="110"/>
        <x:v/>
      </x:c>
      <x:c r="GF42" s="1980" t="str">
        <x:f t="shared" si="104"/>
        <x:v/>
      </x:c>
      <x:c r="GG42" s="1453"/>
      <x:c r="GH42" s="1454"/>
      <x:c r="GI42" s="1453"/>
      <x:c r="GJ42" s="1454"/>
      <x:c r="GK42" s="533">
        <x:f t="shared" si="105"/>
        <x:v>0</x:v>
      </x:c>
      <x:c r="GL42" s="534" t="e">
        <x:f t="shared" si="106"/>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4"/>
        <x:v/>
      </x:c>
      <x:c r="B43" s="1265"/>
      <x:c r="C43" s="1265" t="str">
        <x:f t="shared" si="115"/>
        <x:v/>
      </x:c>
      <x:c r="D43" s="1261" t="str">
        <x:f t="shared" si="116"/>
        <x:v/>
      </x:c>
      <x:c r="E43" s="1366" t="str">
        <x:f t="shared" si="117"/>
        <x:v/>
      </x:c>
      <x:c r="F43" s="1328" t="str">
        <x:f t="shared" si="1"/>
        <x:v/>
      </x:c>
      <x:c r="G43" s="1262" t="str">
        <x:f t="shared" si="2"/>
        <x:v/>
      </x:c>
      <x:c r="H43" s="1266" t="str">
        <x:f t="shared" si="3"/>
        <x:v/>
      </x:c>
      <x:c r="I43" s="1261" t="str">
        <x:f t="shared" si="111"/>
        <x:v/>
      </x:c>
      <x:c r="J43" s="1262" t="str">
        <x:f t="shared" si="112"/>
        <x:v/>
      </x:c>
      <x:c r="K43" s="1370" t="str">
        <x:f t="shared" si="113"/>
        <x:v/>
      </x:c>
      <x:c r="L43" s="1327" t="str">
        <x:f t="shared" si="118"/>
        <x:v/>
      </x:c>
      <x:c r="M43" s="1329" t="str">
        <x:f t="shared" si="118"/>
        <x:v/>
      </x:c>
      <x:c r="N43" s="1263" t="str">
        <x:f t="shared" si="4"/>
        <x:v/>
      </x:c>
      <x:c r="O43" s="1262" t="str">
        <x:f t="shared" si="5"/>
        <x:v/>
      </x:c>
      <x:c r="P43" s="1260" t="str">
        <x:f t="shared" si="6"/>
        <x:v/>
      </x:c>
      <x:c r="Q43" s="1261" t="str">
        <x:f t="shared" si="7"/>
        <x:v/>
      </x:c>
      <x:c r="R43" s="1262" t="str">
        <x:f t="shared" si="8"/>
        <x:v/>
      </x:c>
      <x:c r="S43" s="1375" t="str">
        <x:f t="shared" si="9"/>
        <x:v/>
      </x:c>
      <x:c r="T43" s="1328" t="str">
        <x:f t="shared" si="10"/>
        <x:v/>
      </x:c>
      <x:c r="U43" s="1262" t="str">
        <x:f t="shared" si="11"/>
        <x:v/>
      </x:c>
      <x:c r="V43" s="1261" t="str">
        <x:f t="shared" si="12"/>
        <x:v/>
      </x:c>
      <x:c r="W43" s="1262" t="str">
        <x:f t="shared" si="13"/>
        <x:v/>
      </x:c>
      <x:c r="X43" s="1329">
        <x:f t="shared" si="14"/>
        <x:v>0</x:v>
      </x:c>
      <x:c r="Y43" s="1377" t="str">
        <x:f t="shared" si="15"/>
        <x:v/>
      </x:c>
      <x:c r="Z43" s="1378" t="str">
        <x:f t="shared" si="16"/>
        <x:v/>
      </x:c>
      <x:c r="AA43" s="2159"/>
      <x:c r="AC43" s="1226" t="b">
        <x:v>0</x:v>
      </x:c>
      <x:c r="AD43" s="525">
        <x:f t="shared" si="17"/>
        <x:v>0</x:v>
      </x:c>
      <x:c r="AE43" s="526">
        <x:f t="shared" si="18"/>
        <x:v>0</x:v>
      </x:c>
      <x:c r="AF43" s="526">
        <x:f t="shared" si="19"/>
        <x:v>0</x:v>
      </x:c>
      <x:c r="AG43" s="526">
        <x:f t="shared" si="20"/>
        <x:v>0</x:v>
      </x:c>
      <x:c r="AH43" s="527">
        <x:f t="shared" si="21"/>
        <x:v>0</x:v>
      </x:c>
      <x:c r="AI43" s="528" t="b">
        <x:v>0</x:v>
      </x:c>
      <x:c r="AJ43" s="284">
        <x:f t="shared" si="22"/>
        <x:v>0</x:v>
      </x:c>
      <x:c r="AK43" s="1063" t="str">
        <x:f t="shared" si="23"/>
        <x:v/>
      </x:c>
      <x:c r="AL43" s="1202" t="str">
        <x:f t="shared" si="24"/>
        <x:v/>
      </x:c>
      <x:c r="AM43" s="1063" t="str">
        <x:f t="shared" si="25"/>
        <x:v/>
      </x:c>
      <x:c r="AN43" s="1063" t="str">
        <x:f t="shared" si="26"/>
        <x:v/>
      </x:c>
      <x:c r="AO43" s="1063" t="str">
        <x:f t="shared" si="27"/>
        <x:v/>
      </x:c>
      <x:c r="AP43" s="1063" t="b">
        <x:f>IF(ISERROR(AJ43),FALSE,IF(OR(AJ43=0,ISERROR(AL43),ISERROR(AM43),ISERROR(AN43),ISERROR(AO43)),FALSE,IF(AL43&lt;&gt;"",IF(ISERROR(VLOOKUP(SUBSTITUTE(SUBSTITUTE(C43,"R",""),"A",""),TblJoistSize!$A:$A,1,FALSE)),FALSE,TRUE),TRUE)))</x:f>
        <x:v>0</x:v>
      </x:c>
      <x:c r="AQ43" s="1305" t="e">
        <x:f t="shared" si="28"/>
        <x:v>#N/A</x:v>
      </x:c>
      <x:c r="AR43" s="1305" t="b">
        <x:f t="shared" si="29"/>
        <x:v>0</x:v>
      </x:c>
      <x:c r="AS43" s="1305" t="e">
        <x:f t="shared" si="30"/>
        <x:v>#N/A</x:v>
      </x:c>
      <x:c r="AT43" s="1305" t="b">
        <x:f t="shared" si="31"/>
        <x:v>0</x:v>
      </x:c>
      <x:c r="AU43" s="1203" t="str">
        <x:f t="shared" si="32"/>
        <x:v/>
      </x:c>
      <x:c r="AV43" s="1063" t="str">
        <x:f t="shared" si="33"/>
        <x:v/>
      </x:c>
      <x:c r="AW43" s="1063" t="str">
        <x:f t="shared" si="34"/>
        <x:v/>
      </x:c>
      <x:c r="AX43" s="1063" t="str">
        <x:f t="shared" si="107"/>
        <x:v/>
      </x:c>
      <x:c r="AY43" s="1306" t="b">
        <x:f t="shared" si="35"/>
        <x:v>0</x:v>
      </x:c>
      <x:c r="AZ43" s="1090" t="str">
        <x:f t="shared" si="36"/>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37"/>
        <x:v/>
      </x:c>
      <x:c r="CE43" s="935" t="str">
        <x:f t="shared" si="38"/>
        <x:v/>
      </x:c>
      <x:c r="CF43" s="1149"/>
      <x:c r="CG43" s="1150"/>
      <x:c r="CH43" s="738" t="str">
        <x:f t="shared" si="39"/>
        <x:v/>
      </x:c>
      <x:c r="CI43" s="739" t="str">
        <x:f t="shared" si="40"/>
        <x:v/>
      </x:c>
      <x:c r="CJ43" s="740" t="str">
        <x:f t="shared" si="41"/>
        <x:v/>
      </x:c>
      <x:c r="CK43" s="741" t="str">
        <x:f t="shared" si="42"/>
        <x:v/>
      </x:c>
      <x:c r="CL43" s="742" t="str">
        <x:f t="shared" si="43"/>
        <x:v/>
      </x:c>
      <x:c r="CM43" s="743" t="str">
        <x:f t="shared" si="44"/>
        <x:v/>
      </x:c>
      <x:c r="CN43" s="744" t="str">
        <x:f t="shared" si="45"/>
        <x:v/>
      </x:c>
      <x:c r="CO43" s="745" t="str">
        <x:f t="shared" si="46"/>
        <x:v/>
      </x:c>
      <x:c r="CP43" s="762" t="str">
        <x:f t="shared" si="47"/>
        <x:v/>
      </x:c>
      <x:c r="CQ43" s="763" t="str">
        <x:f t="shared" si="48"/>
        <x:v/>
      </x:c>
      <x:c r="CR43" s="953" t="str">
        <x:f t="shared" si="49"/>
        <x:v/>
      </x:c>
      <x:c r="CS43" s="954" t="str">
        <x:f t="shared" si="50"/>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51"/>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52"/>
        <x:v>0</x:v>
      </x:c>
      <x:c r="DO43" s="1049">
        <x:f t="shared" si="53"/>
        <x:v>0</x:v>
      </x:c>
      <x:c r="DP43" s="1053" t="str">
        <x:f t="shared" si="54"/>
        <x:v/>
      </x:c>
      <x:c r="DQ43" s="1053" t="str">
        <x:f t="shared" si="55"/>
        <x:v/>
      </x:c>
      <x:c r="DR43" s="1053" t="str">
        <x:f t="shared" si="56"/>
        <x:v/>
      </x:c>
      <x:c r="DS43" s="1052">
        <x:f t="shared" si="57"/>
        <x:v>0</x:v>
      </x:c>
      <x:c r="DT43" s="1052">
        <x:f t="shared" si="58"/>
        <x:v>0</x:v>
      </x:c>
      <x:c r="DU43" s="1052" t="str">
        <x:f t="shared" si="59"/>
        <x:v/>
      </x:c>
      <x:c r="DV43" s="1053" t="str">
        <x:f t="shared" si="60"/>
        <x:v/>
      </x:c>
      <x:c r="DW43" s="1053" t="str">
        <x:f t="shared" si="61"/>
        <x:v/>
      </x:c>
      <x:c r="DX43" s="1269">
        <x:f t="shared" si="62"/>
        <x:v>0</x:v>
      </x:c>
      <x:c r="DY43" s="1053">
        <x:f t="shared" si="63"/>
        <x:v>0</x:v>
      </x:c>
      <x:c r="DZ43" s="1052">
        <x:f t="shared" si="64"/>
        <x:v>0</x:v>
      </x:c>
      <x:c r="EA43" s="1052" t="str">
        <x:f t="shared" si="65"/>
        <x:v/>
      </x:c>
      <x:c r="EB43" s="1053" t="str">
        <x:f t="shared" si="66"/>
        <x:v/>
      </x:c>
      <x:c r="EC43" s="1053" t="str">
        <x:f t="shared" si="67"/>
        <x:v/>
      </x:c>
      <x:c r="ED43" s="1269">
        <x:f t="shared" si="68"/>
        <x:v>0</x:v>
      </x:c>
      <x:c r="EE43" s="1090" t="str">
        <x:f t="shared" si="69"/>
        <x:v/>
      </x:c>
      <x:c r="EF43" s="1053" t="str">
        <x:f t="shared" si="70"/>
        <x:v/>
      </x:c>
      <x:c r="EG43" s="1053" t="str">
        <x:f t="shared" si="71"/>
        <x:v/>
      </x:c>
      <x:c r="EH43" s="1053" t="e">
        <x:f t="shared" si="72"/>
        <x:v>#N/A</x:v>
      </x:c>
      <x:c r="EI43" s="1053" t="e">
        <x:f t="shared" si="73"/>
        <x:v>#N/A</x:v>
      </x:c>
      <x:c r="EJ43" s="1053" t="str">
        <x:f t="shared" si="74"/>
        <x:v/>
      </x:c>
      <x:c r="EK43" s="1053" t="str">
        <x:f t="shared" si="74"/>
        <x:v/>
      </x:c>
      <x:c r="EL43" s="1090" t="str">
        <x:f t="shared" si="75"/>
        <x:v/>
      </x:c>
      <x:c r="EM43" s="1053" t="str">
        <x:f t="shared" si="76"/>
        <x:v/>
      </x:c>
      <x:c r="EN43" s="1053" t="str">
        <x:f t="shared" si="77"/>
        <x:v/>
      </x:c>
      <x:c r="EO43" s="1053" t="e">
        <x:f t="shared" si="78"/>
        <x:v>#N/A</x:v>
      </x:c>
      <x:c r="EP43" s="1053" t="e">
        <x:f t="shared" si="79"/>
        <x:v>#N/A</x:v>
      </x:c>
      <x:c r="EQ43" s="1053" t="str">
        <x:f t="shared" si="80"/>
        <x:v/>
      </x:c>
      <x:c r="ER43" s="1053" t="str">
        <x:f t="shared" si="80"/>
        <x:v/>
      </x:c>
      <x:c r="ES43" s="1053" t="str">
        <x:f t="shared" si="81"/>
        <x:v/>
      </x:c>
      <x:c r="ET43" s="1053" t="str">
        <x:f t="shared" si="82"/>
        <x:v/>
      </x:c>
      <x:c r="EU43" s="1061" t="str">
        <x:f t="shared" si="83"/>
        <x:v/>
      </x:c>
      <x:c r="EV43" s="1055" t="str">
        <x:f t="shared" si="84"/>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85"/>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86"/>
        <x:v/>
      </x:c>
      <x:c r="FD43" s="1052">
        <x:f t="shared" si="108"/>
        <x:v>0</x:v>
      </x:c>
      <x:c r="FE43" s="1052">
        <x:f t="shared" si="87"/>
        <x:v>0</x:v>
      </x:c>
      <x:c r="FF43" s="1052">
        <x:f t="shared" si="88"/>
        <x:v>0</x:v>
      </x:c>
      <x:c r="FG43" s="1052" t="str">
        <x:f t="shared" si="89"/>
        <x:v/>
      </x:c>
      <x:c r="FH43" s="1053" t="str">
        <x:f t="shared" si="90"/>
        <x:v/>
      </x:c>
      <x:c r="FI43" s="1052">
        <x:f t="shared" si="109"/>
        <x:v>0</x:v>
      </x:c>
      <x:c r="FJ43" s="1052">
        <x:f t="shared" si="91"/>
        <x:v>0</x:v>
      </x:c>
      <x:c r="FK43" s="1052">
        <x:f t="shared" si="92"/>
        <x:v>0</x:v>
      </x:c>
      <x:c r="FL43" s="1052" t="str">
        <x:f t="shared" si="93"/>
        <x:v/>
      </x:c>
      <x:c r="FM43" s="1053" t="str">
        <x:f t="shared" si="94"/>
        <x:v/>
      </x:c>
      <x:c r="FN43" s="1053" t="e">
        <x:f t="shared" si="95"/>
        <x:v>#VALUE!</x:v>
      </x:c>
      <x:c r="FO43" s="1062" t="e">
        <x:f t="shared" si="96"/>
        <x:v>#VALUE!</x:v>
      </x:c>
      <x:c r="FP43" s="1062" t="e">
        <x:f t="shared" si="97"/>
        <x:v>#VALUE!</x:v>
      </x:c>
      <x:c r="FQ43" s="1063" t="e">
        <x:f t="shared" si="98"/>
        <x:v>#VALUE!</x:v>
      </x:c>
      <x:c r="FR43" s="1064" t="e">
        <x:f t="shared" si="99"/>
        <x:v>#VALUE!</x:v>
      </x:c>
      <x:c r="FS43" s="1065" t="str">
        <x:f t="shared" si="100"/>
        <x:v/>
      </x:c>
      <x:c r="FT43" s="1066" t="str">
        <x:f t="shared" si="101"/>
        <x:v/>
      </x:c>
      <x:c r="FU43" s="1105">
        <x:f t="shared" si="102"/>
        <x:v>0</x:v>
      </x:c>
      <x:c r="FV43" s="1106">
        <x:f t="shared" si="103"/>
        <x:v>0</x:v>
      </x:c>
      <x:c r="GA43" s="1975" t="str">
        <x:f t="shared" si="119"/>
        <x:v/>
      </x:c>
      <x:c r="GB43" s="1976" t="str">
        <x:f t="shared" si="120"/>
        <x:v/>
      </x:c>
      <x:c r="GC43" s="1977" t="str">
        <x:f t="shared" si="121"/>
        <x:v/>
      </x:c>
      <x:c r="GD43" s="1978" t="str">
        <x:f t="shared" si="122"/>
        <x:v/>
      </x:c>
      <x:c r="GE43" s="1979" t="str">
        <x:f t="shared" si="110"/>
        <x:v/>
      </x:c>
      <x:c r="GF43" s="1980" t="str">
        <x:f t="shared" si="104"/>
        <x:v/>
      </x:c>
      <x:c r="GG43" s="1453"/>
      <x:c r="GH43" s="1454"/>
      <x:c r="GI43" s="1453"/>
      <x:c r="GJ43" s="1454"/>
      <x:c r="GK43" s="533">
        <x:f t="shared" si="105"/>
        <x:v>0</x:v>
      </x:c>
      <x:c r="GL43" s="534" t="e">
        <x:f t="shared" si="106"/>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4"/>
        <x:v/>
      </x:c>
      <x:c r="B44" s="1265"/>
      <x:c r="C44" s="1265" t="str">
        <x:f t="shared" si="115"/>
        <x:v/>
      </x:c>
      <x:c r="D44" s="1261" t="str">
        <x:f t="shared" si="116"/>
        <x:v/>
      </x:c>
      <x:c r="E44" s="1366" t="str">
        <x:f t="shared" si="117"/>
        <x:v/>
      </x:c>
      <x:c r="F44" s="1328" t="str">
        <x:f t="shared" si="1"/>
        <x:v/>
      </x:c>
      <x:c r="G44" s="1262" t="str">
        <x:f t="shared" si="2"/>
        <x:v/>
      </x:c>
      <x:c r="H44" s="1266" t="str">
        <x:f t="shared" si="3"/>
        <x:v/>
      </x:c>
      <x:c r="I44" s="1261" t="str">
        <x:f t="shared" si="111"/>
        <x:v/>
      </x:c>
      <x:c r="J44" s="1262" t="str">
        <x:f t="shared" si="112"/>
        <x:v/>
      </x:c>
      <x:c r="K44" s="1370" t="str">
        <x:f t="shared" si="113"/>
        <x:v/>
      </x:c>
      <x:c r="L44" s="1327" t="str">
        <x:f t="shared" si="118"/>
        <x:v/>
      </x:c>
      <x:c r="M44" s="1329" t="str">
        <x:f t="shared" si="118"/>
        <x:v/>
      </x:c>
      <x:c r="N44" s="1263" t="str">
        <x:f t="shared" si="4"/>
        <x:v/>
      </x:c>
      <x:c r="O44" s="1262" t="str">
        <x:f t="shared" si="5"/>
        <x:v/>
      </x:c>
      <x:c r="P44" s="1260" t="str">
        <x:f t="shared" si="6"/>
        <x:v/>
      </x:c>
      <x:c r="Q44" s="1261" t="str">
        <x:f t="shared" si="7"/>
        <x:v/>
      </x:c>
      <x:c r="R44" s="1262" t="str">
        <x:f t="shared" si="8"/>
        <x:v/>
      </x:c>
      <x:c r="S44" s="1375" t="str">
        <x:f t="shared" si="9"/>
        <x:v/>
      </x:c>
      <x:c r="T44" s="1328" t="str">
        <x:f t="shared" si="10"/>
        <x:v/>
      </x:c>
      <x:c r="U44" s="1262" t="str">
        <x:f t="shared" si="11"/>
        <x:v/>
      </x:c>
      <x:c r="V44" s="1261" t="str">
        <x:f t="shared" si="12"/>
        <x:v/>
      </x:c>
      <x:c r="W44" s="1262" t="str">
        <x:f t="shared" si="13"/>
        <x:v/>
      </x:c>
      <x:c r="X44" s="1329">
        <x:f t="shared" si="14"/>
        <x:v>0</x:v>
      </x:c>
      <x:c r="Y44" s="1377" t="str">
        <x:f t="shared" si="15"/>
        <x:v/>
      </x:c>
      <x:c r="Z44" s="1378" t="str">
        <x:f t="shared" si="16"/>
        <x:v/>
      </x:c>
      <x:c r="AA44" s="2159"/>
      <x:c r="AC44" s="1226" t="b">
        <x:v>0</x:v>
      </x:c>
      <x:c r="AD44" s="525">
        <x:f t="shared" si="17"/>
        <x:v>0</x:v>
      </x:c>
      <x:c r="AE44" s="526">
        <x:f t="shared" si="18"/>
        <x:v>0</x:v>
      </x:c>
      <x:c r="AF44" s="526">
        <x:f t="shared" si="19"/>
        <x:v>0</x:v>
      </x:c>
      <x:c r="AG44" s="526">
        <x:f t="shared" si="20"/>
        <x:v>0</x:v>
      </x:c>
      <x:c r="AH44" s="527">
        <x:f t="shared" si="21"/>
        <x:v>0</x:v>
      </x:c>
      <x:c r="AI44" s="528" t="b">
        <x:v>0</x:v>
      </x:c>
      <x:c r="AJ44" s="284">
        <x:f t="shared" si="22"/>
        <x:v>0</x:v>
      </x:c>
      <x:c r="AK44" s="1063" t="str">
        <x:f t="shared" si="23"/>
        <x:v/>
      </x:c>
      <x:c r="AL44" s="1202" t="str">
        <x:f t="shared" si="24"/>
        <x:v/>
      </x:c>
      <x:c r="AM44" s="1063" t="str">
        <x:f t="shared" si="25"/>
        <x:v/>
      </x:c>
      <x:c r="AN44" s="1063" t="str">
        <x:f t="shared" si="26"/>
        <x:v/>
      </x:c>
      <x:c r="AO44" s="1063" t="str">
        <x:f t="shared" si="27"/>
        <x:v/>
      </x:c>
      <x:c r="AP44" s="1063" t="b">
        <x:f>IF(ISERROR(AJ44),FALSE,IF(OR(AJ44=0,ISERROR(AL44),ISERROR(AM44),ISERROR(AN44),ISERROR(AO44)),FALSE,IF(AL44&lt;&gt;"",IF(ISERROR(VLOOKUP(SUBSTITUTE(SUBSTITUTE(C44,"R",""),"A",""),TblJoistSize!$A:$A,1,FALSE)),FALSE,TRUE),TRUE)))</x:f>
        <x:v>0</x:v>
      </x:c>
      <x:c r="AQ44" s="1305" t="e">
        <x:f t="shared" si="28"/>
        <x:v>#N/A</x:v>
      </x:c>
      <x:c r="AR44" s="1305" t="b">
        <x:f t="shared" si="29"/>
        <x:v>0</x:v>
      </x:c>
      <x:c r="AS44" s="1305" t="e">
        <x:f t="shared" si="30"/>
        <x:v>#N/A</x:v>
      </x:c>
      <x:c r="AT44" s="1305" t="b">
        <x:f t="shared" si="31"/>
        <x:v>0</x:v>
      </x:c>
      <x:c r="AU44" s="1203" t="str">
        <x:f t="shared" si="32"/>
        <x:v/>
      </x:c>
      <x:c r="AV44" s="1063" t="str">
        <x:f t="shared" si="33"/>
        <x:v/>
      </x:c>
      <x:c r="AW44" s="1063" t="str">
        <x:f t="shared" si="34"/>
        <x:v/>
      </x:c>
      <x:c r="AX44" s="1063" t="str">
        <x:f t="shared" si="107"/>
        <x:v/>
      </x:c>
      <x:c r="AY44" s="1306" t="b">
        <x:f t="shared" si="35"/>
        <x:v>0</x:v>
      </x:c>
      <x:c r="AZ44" s="1090" t="str">
        <x:f t="shared" si="36"/>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37"/>
        <x:v/>
      </x:c>
      <x:c r="CE44" s="935" t="str">
        <x:f t="shared" si="38"/>
        <x:v/>
      </x:c>
      <x:c r="CF44" s="1149"/>
      <x:c r="CG44" s="1150"/>
      <x:c r="CH44" s="738" t="str">
        <x:f t="shared" si="39"/>
        <x:v/>
      </x:c>
      <x:c r="CI44" s="739" t="str">
        <x:f t="shared" si="40"/>
        <x:v/>
      </x:c>
      <x:c r="CJ44" s="740" t="str">
        <x:f t="shared" si="41"/>
        <x:v/>
      </x:c>
      <x:c r="CK44" s="741" t="str">
        <x:f t="shared" si="42"/>
        <x:v/>
      </x:c>
      <x:c r="CL44" s="742" t="str">
        <x:f t="shared" si="43"/>
        <x:v/>
      </x:c>
      <x:c r="CM44" s="743" t="str">
        <x:f t="shared" si="44"/>
        <x:v/>
      </x:c>
      <x:c r="CN44" s="744" t="str">
        <x:f t="shared" si="45"/>
        <x:v/>
      </x:c>
      <x:c r="CO44" s="745" t="str">
        <x:f t="shared" si="46"/>
        <x:v/>
      </x:c>
      <x:c r="CP44" s="762" t="str">
        <x:f t="shared" si="47"/>
        <x:v/>
      </x:c>
      <x:c r="CQ44" s="763" t="str">
        <x:f t="shared" si="48"/>
        <x:v/>
      </x:c>
      <x:c r="CR44" s="953" t="str">
        <x:f t="shared" si="49"/>
        <x:v/>
      </x:c>
      <x:c r="CS44" s="954" t="str">
        <x:f t="shared" si="50"/>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51"/>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52"/>
        <x:v>0</x:v>
      </x:c>
      <x:c r="DO44" s="1049">
        <x:f t="shared" si="53"/>
        <x:v>0</x:v>
      </x:c>
      <x:c r="DP44" s="1053" t="str">
        <x:f t="shared" si="54"/>
        <x:v/>
      </x:c>
      <x:c r="DQ44" s="1053" t="str">
        <x:f t="shared" si="55"/>
        <x:v/>
      </x:c>
      <x:c r="DR44" s="1053" t="str">
        <x:f t="shared" si="56"/>
        <x:v/>
      </x:c>
      <x:c r="DS44" s="1052">
        <x:f t="shared" si="57"/>
        <x:v>0</x:v>
      </x:c>
      <x:c r="DT44" s="1052">
        <x:f t="shared" si="58"/>
        <x:v>0</x:v>
      </x:c>
      <x:c r="DU44" s="1052" t="str">
        <x:f t="shared" si="59"/>
        <x:v/>
      </x:c>
      <x:c r="DV44" s="1053" t="str">
        <x:f t="shared" si="60"/>
        <x:v/>
      </x:c>
      <x:c r="DW44" s="1053" t="str">
        <x:f t="shared" si="61"/>
        <x:v/>
      </x:c>
      <x:c r="DX44" s="1269">
        <x:f t="shared" si="62"/>
        <x:v>0</x:v>
      </x:c>
      <x:c r="DY44" s="1053">
        <x:f t="shared" si="63"/>
        <x:v>0</x:v>
      </x:c>
      <x:c r="DZ44" s="1052">
        <x:f t="shared" si="64"/>
        <x:v>0</x:v>
      </x:c>
      <x:c r="EA44" s="1052" t="str">
        <x:f t="shared" si="65"/>
        <x:v/>
      </x:c>
      <x:c r="EB44" s="1053" t="str">
        <x:f t="shared" si="66"/>
        <x:v/>
      </x:c>
      <x:c r="EC44" s="1053" t="str">
        <x:f t="shared" si="67"/>
        <x:v/>
      </x:c>
      <x:c r="ED44" s="1269">
        <x:f t="shared" si="68"/>
        <x:v>0</x:v>
      </x:c>
      <x:c r="EE44" s="1090" t="str">
        <x:f t="shared" si="69"/>
        <x:v/>
      </x:c>
      <x:c r="EF44" s="1053" t="str">
        <x:f t="shared" si="70"/>
        <x:v/>
      </x:c>
      <x:c r="EG44" s="1053" t="str">
        <x:f t="shared" si="71"/>
        <x:v/>
      </x:c>
      <x:c r="EH44" s="1053" t="e">
        <x:f t="shared" si="72"/>
        <x:v>#N/A</x:v>
      </x:c>
      <x:c r="EI44" s="1053" t="e">
        <x:f t="shared" si="73"/>
        <x:v>#N/A</x:v>
      </x:c>
      <x:c r="EJ44" s="1053" t="str">
        <x:f t="shared" si="74"/>
        <x:v/>
      </x:c>
      <x:c r="EK44" s="1053" t="str">
        <x:f t="shared" si="74"/>
        <x:v/>
      </x:c>
      <x:c r="EL44" s="1090" t="str">
        <x:f t="shared" si="75"/>
        <x:v/>
      </x:c>
      <x:c r="EM44" s="1053" t="str">
        <x:f t="shared" si="76"/>
        <x:v/>
      </x:c>
      <x:c r="EN44" s="1053" t="str">
        <x:f t="shared" si="77"/>
        <x:v/>
      </x:c>
      <x:c r="EO44" s="1053" t="e">
        <x:f t="shared" si="78"/>
        <x:v>#N/A</x:v>
      </x:c>
      <x:c r="EP44" s="1053" t="e">
        <x:f t="shared" si="79"/>
        <x:v>#N/A</x:v>
      </x:c>
      <x:c r="EQ44" s="1053" t="str">
        <x:f t="shared" si="80"/>
        <x:v/>
      </x:c>
      <x:c r="ER44" s="1053" t="str">
        <x:f t="shared" si="80"/>
        <x:v/>
      </x:c>
      <x:c r="ES44" s="1053" t="str">
        <x:f t="shared" si="81"/>
        <x:v/>
      </x:c>
      <x:c r="ET44" s="1053" t="str">
        <x:f t="shared" si="82"/>
        <x:v/>
      </x:c>
      <x:c r="EU44" s="1061" t="str">
        <x:f t="shared" si="83"/>
        <x:v/>
      </x:c>
      <x:c r="EV44" s="1055" t="str">
        <x:f t="shared" si="84"/>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85"/>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86"/>
        <x:v/>
      </x:c>
      <x:c r="FD44" s="1052">
        <x:f t="shared" si="108"/>
        <x:v>0</x:v>
      </x:c>
      <x:c r="FE44" s="1052">
        <x:f t="shared" si="87"/>
        <x:v>0</x:v>
      </x:c>
      <x:c r="FF44" s="1052">
        <x:f t="shared" si="88"/>
        <x:v>0</x:v>
      </x:c>
      <x:c r="FG44" s="1052" t="str">
        <x:f t="shared" si="89"/>
        <x:v/>
      </x:c>
      <x:c r="FH44" s="1053" t="str">
        <x:f t="shared" si="90"/>
        <x:v/>
      </x:c>
      <x:c r="FI44" s="1052">
        <x:f t="shared" si="109"/>
        <x:v>0</x:v>
      </x:c>
      <x:c r="FJ44" s="1052">
        <x:f t="shared" si="91"/>
        <x:v>0</x:v>
      </x:c>
      <x:c r="FK44" s="1052">
        <x:f t="shared" si="92"/>
        <x:v>0</x:v>
      </x:c>
      <x:c r="FL44" s="1052" t="str">
        <x:f t="shared" si="93"/>
        <x:v/>
      </x:c>
      <x:c r="FM44" s="1053" t="str">
        <x:f t="shared" si="94"/>
        <x:v/>
      </x:c>
      <x:c r="FN44" s="1053" t="e">
        <x:f t="shared" si="95"/>
        <x:v>#VALUE!</x:v>
      </x:c>
      <x:c r="FO44" s="1062" t="e">
        <x:f t="shared" si="96"/>
        <x:v>#VALUE!</x:v>
      </x:c>
      <x:c r="FP44" s="1062" t="e">
        <x:f t="shared" si="97"/>
        <x:v>#VALUE!</x:v>
      </x:c>
      <x:c r="FQ44" s="1063" t="e">
        <x:f t="shared" si="98"/>
        <x:v>#VALUE!</x:v>
      </x:c>
      <x:c r="FR44" s="1064" t="e">
        <x:f t="shared" si="99"/>
        <x:v>#VALUE!</x:v>
      </x:c>
      <x:c r="FS44" s="1065" t="str">
        <x:f t="shared" si="100"/>
        <x:v/>
      </x:c>
      <x:c r="FT44" s="1066" t="str">
        <x:f t="shared" si="101"/>
        <x:v/>
      </x:c>
      <x:c r="FU44" s="1105">
        <x:f t="shared" si="102"/>
        <x:v>0</x:v>
      </x:c>
      <x:c r="FV44" s="1106">
        <x:f t="shared" si="103"/>
        <x:v>0</x:v>
      </x:c>
      <x:c r="GA44" s="1975" t="str">
        <x:f t="shared" si="119"/>
        <x:v/>
      </x:c>
      <x:c r="GB44" s="1976" t="str">
        <x:f t="shared" si="120"/>
        <x:v/>
      </x:c>
      <x:c r="GC44" s="1977" t="str">
        <x:f t="shared" si="121"/>
        <x:v/>
      </x:c>
      <x:c r="GD44" s="1978" t="str">
        <x:f t="shared" si="122"/>
        <x:v/>
      </x:c>
      <x:c r="GE44" s="1979" t="str">
        <x:f t="shared" si="110"/>
        <x:v/>
      </x:c>
      <x:c r="GF44" s="1980" t="str">
        <x:f t="shared" si="104"/>
        <x:v/>
      </x:c>
      <x:c r="GG44" s="1453"/>
      <x:c r="GH44" s="1454"/>
      <x:c r="GI44" s="1453"/>
      <x:c r="GJ44" s="1454"/>
      <x:c r="GK44" s="533">
        <x:f t="shared" si="105"/>
        <x:v>0</x:v>
      </x:c>
      <x:c r="GL44" s="534" t="e">
        <x:f t="shared" si="106"/>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17"/>
        <x:v>0</x:v>
      </x:c>
      <x:c r="AE45" s="526">
        <x:f t="shared" si="18"/>
        <x:v>0</x:v>
      </x:c>
      <x:c r="AF45" s="526">
        <x:f t="shared" si="19"/>
        <x:v>0</x:v>
      </x:c>
      <x:c r="AG45" s="526">
        <x:f t="shared" si="20"/>
        <x:v>0</x:v>
      </x:c>
      <x:c r="AH45" s="527">
        <x:f t="shared" si="21"/>
        <x:v>0</x:v>
      </x:c>
      <x:c r="AI45" s="528" t="b">
        <x:v>0</x:v>
      </x:c>
      <x:c r="AJ45" s="284">
        <x:f t="shared" si="22"/>
        <x:v>0</x:v>
      </x:c>
      <x:c r="AK45" s="1063" t="str">
        <x:f t="shared" si="23"/>
        <x:v/>
      </x:c>
      <x:c r="AL45" s="1202" t="str">
        <x:f t="shared" si="24"/>
        <x:v/>
      </x:c>
      <x:c r="AM45" s="1063" t="str">
        <x:f t="shared" si="25"/>
        <x:v/>
      </x:c>
      <x:c r="AN45" s="1063" t="str">
        <x:f t="shared" si="26"/>
        <x:v/>
      </x:c>
      <x:c r="AO45" s="1063" t="str">
        <x:f t="shared" si="27"/>
        <x:v/>
      </x:c>
      <x:c r="AP45" s="1063" t="b">
        <x:f>IF(ISERROR(AJ45),FALSE,IF(OR(AJ45=0,ISERROR(AL45),ISERROR(AM45),ISERROR(AN45),ISERROR(AO45)),FALSE,IF(AL45&lt;&gt;"",IF(ISERROR(VLOOKUP(SUBSTITUTE(SUBSTITUTE(C45,"R",""),"A",""),TblJoistSize!$A:$A,1,FALSE)),FALSE,TRUE),TRUE)))</x:f>
        <x:v>0</x:v>
      </x:c>
      <x:c r="AQ45" s="1305" t="e">
        <x:f t="shared" si="28"/>
        <x:v>#N/A</x:v>
      </x:c>
      <x:c r="AR45" s="1305" t="b">
        <x:f t="shared" si="29"/>
        <x:v>0</x:v>
      </x:c>
      <x:c r="AS45" s="1305" t="e">
        <x:f t="shared" si="30"/>
        <x:v>#N/A</x:v>
      </x:c>
      <x:c r="AT45" s="1305" t="b">
        <x:f t="shared" si="31"/>
        <x:v>0</x:v>
      </x:c>
      <x:c r="AU45" s="1203" t="str">
        <x:f t="shared" si="32"/>
        <x:v/>
      </x:c>
      <x:c r="AV45" s="1063" t="str">
        <x:f t="shared" si="33"/>
        <x:v/>
      </x:c>
      <x:c r="AW45" s="1063" t="str">
        <x:f t="shared" si="34"/>
        <x:v/>
      </x:c>
      <x:c r="AX45" s="1063" t="str">
        <x:f t="shared" si="107"/>
        <x:v/>
      </x:c>
      <x:c r="AY45" s="1306" t="b">
        <x:f t="shared" si="35"/>
        <x:v>0</x:v>
      </x:c>
      <x:c r="AZ45" s="1090" t="str">
        <x:f t="shared" si="36"/>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37"/>
        <x:v/>
      </x:c>
      <x:c r="CE45" s="942" t="str">
        <x:f t="shared" si="38"/>
        <x:v/>
      </x:c>
      <x:c r="CF45" s="1151"/>
      <x:c r="CG45" s="1152"/>
      <x:c r="CH45" s="748" t="str">
        <x:f t="shared" si="39"/>
        <x:v/>
      </x:c>
      <x:c r="CI45" s="749" t="str">
        <x:f t="shared" si="40"/>
        <x:v/>
      </x:c>
      <x:c r="CJ45" s="750" t="str">
        <x:f t="shared" si="41"/>
        <x:v/>
      </x:c>
      <x:c r="CK45" s="751" t="str">
        <x:f t="shared" si="42"/>
        <x:v/>
      </x:c>
      <x:c r="CL45" s="752" t="str">
        <x:f t="shared" si="43"/>
        <x:v/>
      </x:c>
      <x:c r="CM45" s="753" t="str">
        <x:f t="shared" si="44"/>
        <x:v/>
      </x:c>
      <x:c r="CN45" s="754" t="str">
        <x:f t="shared" si="45"/>
        <x:v/>
      </x:c>
      <x:c r="CO45" s="755" t="str">
        <x:f t="shared" si="46"/>
        <x:v/>
      </x:c>
      <x:c r="CP45" s="764" t="str">
        <x:f t="shared" si="47"/>
        <x:v/>
      </x:c>
      <x:c r="CQ45" s="765" t="str">
        <x:f t="shared" si="48"/>
        <x:v/>
      </x:c>
      <x:c r="CR45" s="955" t="str">
        <x:f t="shared" si="49"/>
        <x:v/>
      </x:c>
      <x:c r="CS45" s="956" t="str">
        <x:f t="shared" si="50"/>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51"/>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52"/>
        <x:v>0</x:v>
      </x:c>
      <x:c r="DO45" s="1049">
        <x:f t="shared" si="53"/>
        <x:v>0</x:v>
      </x:c>
      <x:c r="DP45" s="1053" t="str">
        <x:f t="shared" si="54"/>
        <x:v/>
      </x:c>
      <x:c r="DQ45" s="1053" t="str">
        <x:f t="shared" si="55"/>
        <x:v/>
      </x:c>
      <x:c r="DR45" s="1053" t="str">
        <x:f t="shared" si="56"/>
        <x:v/>
      </x:c>
      <x:c r="DS45" s="1052">
        <x:f t="shared" si="57"/>
        <x:v>0</x:v>
      </x:c>
      <x:c r="DT45" s="1052">
        <x:f t="shared" si="58"/>
        <x:v>0</x:v>
      </x:c>
      <x:c r="DU45" s="1052" t="str">
        <x:f t="shared" si="59"/>
        <x:v/>
      </x:c>
      <x:c r="DV45" s="1053" t="str">
        <x:f t="shared" si="60"/>
        <x:v/>
      </x:c>
      <x:c r="DW45" s="1053" t="str">
        <x:f t="shared" si="61"/>
        <x:v/>
      </x:c>
      <x:c r="DX45" s="1269">
        <x:f t="shared" si="62"/>
        <x:v>0</x:v>
      </x:c>
      <x:c r="DY45" s="1053">
        <x:f t="shared" si="63"/>
        <x:v>0</x:v>
      </x:c>
      <x:c r="DZ45" s="1052">
        <x:f t="shared" si="64"/>
        <x:v>0</x:v>
      </x:c>
      <x:c r="EA45" s="1052" t="str">
        <x:f t="shared" si="65"/>
        <x:v/>
      </x:c>
      <x:c r="EB45" s="1053" t="str">
        <x:f t="shared" si="66"/>
        <x:v/>
      </x:c>
      <x:c r="EC45" s="1053" t="str">
        <x:f t="shared" si="67"/>
        <x:v/>
      </x:c>
      <x:c r="ED45" s="1269">
        <x:f t="shared" si="68"/>
        <x:v>0</x:v>
      </x:c>
      <x:c r="EE45" s="1090" t="str">
        <x:f t="shared" si="69"/>
        <x:v/>
      </x:c>
      <x:c r="EF45" s="1053" t="str">
        <x:f t="shared" si="70"/>
        <x:v/>
      </x:c>
      <x:c r="EG45" s="1053" t="str">
        <x:f t="shared" si="71"/>
        <x:v/>
      </x:c>
      <x:c r="EH45" s="1053" t="e">
        <x:f t="shared" si="72"/>
        <x:v>#N/A</x:v>
      </x:c>
      <x:c r="EI45" s="1053" t="e">
        <x:f t="shared" si="73"/>
        <x:v>#N/A</x:v>
      </x:c>
      <x:c r="EJ45" s="1053" t="str">
        <x:f t="shared" si="74"/>
        <x:v/>
      </x:c>
      <x:c r="EK45" s="1053" t="str">
        <x:f t="shared" si="74"/>
        <x:v/>
      </x:c>
      <x:c r="EL45" s="1090" t="str">
        <x:f t="shared" si="75"/>
        <x:v/>
      </x:c>
      <x:c r="EM45" s="1053" t="str">
        <x:f t="shared" si="76"/>
        <x:v/>
      </x:c>
      <x:c r="EN45" s="1053" t="str">
        <x:f t="shared" si="77"/>
        <x:v/>
      </x:c>
      <x:c r="EO45" s="1053" t="e">
        <x:f t="shared" si="78"/>
        <x:v>#N/A</x:v>
      </x:c>
      <x:c r="EP45" s="1053" t="e">
        <x:f t="shared" si="79"/>
        <x:v>#N/A</x:v>
      </x:c>
      <x:c r="EQ45" s="1053" t="str">
        <x:f t="shared" si="80"/>
        <x:v/>
      </x:c>
      <x:c r="ER45" s="1053" t="str">
        <x:f t="shared" si="80"/>
        <x:v/>
      </x:c>
      <x:c r="ES45" s="1053" t="str">
        <x:f t="shared" si="81"/>
        <x:v/>
      </x:c>
      <x:c r="ET45" s="1053" t="str">
        <x:f t="shared" si="82"/>
        <x:v/>
      </x:c>
      <x:c r="EU45" s="1061" t="str">
        <x:f t="shared" si="83"/>
        <x:v/>
      </x:c>
      <x:c r="EV45" s="1055" t="str">
        <x:f t="shared" si="84"/>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85"/>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86"/>
        <x:v/>
      </x:c>
      <x:c r="FD45" s="1052">
        <x:f t="shared" si="108"/>
        <x:v>0</x:v>
      </x:c>
      <x:c r="FE45" s="1052">
        <x:f t="shared" si="87"/>
        <x:v>0</x:v>
      </x:c>
      <x:c r="FF45" s="1052">
        <x:f t="shared" si="88"/>
        <x:v>0</x:v>
      </x:c>
      <x:c r="FG45" s="1052" t="str">
        <x:f t="shared" si="89"/>
        <x:v/>
      </x:c>
      <x:c r="FH45" s="1053" t="str">
        <x:f t="shared" si="90"/>
        <x:v/>
      </x:c>
      <x:c r="FI45" s="1052">
        <x:f t="shared" si="109"/>
        <x:v>0</x:v>
      </x:c>
      <x:c r="FJ45" s="1052">
        <x:f t="shared" si="91"/>
        <x:v>0</x:v>
      </x:c>
      <x:c r="FK45" s="1052">
        <x:f t="shared" si="92"/>
        <x:v>0</x:v>
      </x:c>
      <x:c r="FL45" s="1052" t="str">
        <x:f t="shared" si="93"/>
        <x:v/>
      </x:c>
      <x:c r="FM45" s="1053" t="str">
        <x:f t="shared" si="94"/>
        <x:v/>
      </x:c>
      <x:c r="FN45" s="1053" t="e">
        <x:f t="shared" si="95"/>
        <x:v>#VALUE!</x:v>
      </x:c>
      <x:c r="FO45" s="1062" t="e">
        <x:f t="shared" si="96"/>
        <x:v>#VALUE!</x:v>
      </x:c>
      <x:c r="FP45" s="1062" t="e">
        <x:f t="shared" si="97"/>
        <x:v>#VALUE!</x:v>
      </x:c>
      <x:c r="FQ45" s="1063" t="e">
        <x:f t="shared" si="98"/>
        <x:v>#VALUE!</x:v>
      </x:c>
      <x:c r="FR45" s="1064" t="e">
        <x:f t="shared" si="99"/>
        <x:v>#VALUE!</x:v>
      </x:c>
      <x:c r="FS45" s="1065" t="str">
        <x:f t="shared" si="100"/>
        <x:v/>
      </x:c>
      <x:c r="FT45" s="1066" t="str">
        <x:f t="shared" si="101"/>
        <x:v/>
      </x:c>
      <x:c r="FU45" s="1105">
        <x:f t="shared" si="102"/>
        <x:v>0</x:v>
      </x:c>
      <x:c r="FV45" s="1106">
        <x:f t="shared" si="103"/>
        <x:v>0</x:v>
      </x:c>
      <x:c r="GA45" s="1975" t="str">
        <x:f t="shared" si="119"/>
        <x:v/>
      </x:c>
      <x:c r="GB45" s="1976" t="str">
        <x:f t="shared" si="120"/>
        <x:v/>
      </x:c>
      <x:c r="GC45" s="1977" t="str">
        <x:f t="shared" si="121"/>
        <x:v/>
      </x:c>
      <x:c r="GD45" s="1978" t="str">
        <x:f t="shared" si="122"/>
        <x:v/>
      </x:c>
      <x:c r="GE45" s="1979" t="str">
        <x:f t="shared" si="110"/>
        <x:v/>
      </x:c>
      <x:c r="GF45" s="1980" t="str">
        <x:f t="shared" si="104"/>
        <x:v/>
      </x:c>
      <x:c r="GG45" s="1455"/>
      <x:c r="GH45" s="1456"/>
      <x:c r="GI45" s="1455"/>
      <x:c r="GJ45" s="1456"/>
      <x:c r="GK45" s="533">
        <x:f t="shared" si="105"/>
        <x:v>0</x:v>
      </x:c>
      <x:c r="GL45" s="534" t="e">
        <x:f t="shared" si="106"/>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0</x:v>
      </x:c>
      <x:c r="AE46" s="540">
        <x:f>SUM(AE16:AE45)</x:f>
        <x:v>104</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104</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2260</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x:f t="shared" si="123"/>
        <x:v>0.66666666666666663</x:v>
      </x:c>
      <x:c r="EL95" s="529" t="e">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#N/A</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x:f>IF(AU37="","",IF(OR(AU37="K",AU37="KCS"),(BE37*12+BF37+IF(CU37="M",MAX(CV37,$CX$4),0)+IF(DE37="M",MAX(DF37,$CX$4),0))/12,IF(OR(AU37="LH",AU37="DLH"),(BE37*12+BF37+8-MAX(MAX(BH37,BI37)/2,DC37)-MAX(MAX(BP37,BQ37)/2,DM37))/12,IF(OR(AU37="JS",AU37="HDR"),""))))</x:f>
        <x:v>0.66666666666666663</x:v>
      </x:c>
      <x:c r="EL96" s="529" t="e">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#N/A</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x:f t="shared" ref="EJ97:EJ104" si="126">IF(AU38="","",IF(OR(AU38="K",AU38="KCS"),(BE38*12+BF38+IF(CU38="M",MAX(CV38,$CX$4),0)+IF(DE38="M",MAX(DF38,$CX$4),0))/12,IF(OR(AU38="LH",AU38="DLH"),(BE38*12+BF38+8-MAX(MAX(BH38,BI38)/2,DC38)-MAX(MAX(BP38,BQ38)/2,DM38))/12,IF(OR(AU38="JS",AU38="HDR"),""))))</x:f>
        <x:v>0.66666666666666663</x:v>
      </x:c>
      <x:c r="EL97" s="529" t="e">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#N/A</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x:f t="shared" si="126"/>
        <x:v>0.66666666666666663</x:v>
      </x:c>
      <x:c r="EL98" s="529" t="e">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#N/A</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x:f t="shared" si="126"/>
        <x:v>0.66666666666666663</x:v>
      </x:c>
      <x:c r="EL99" s="529" t="e">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#N/A</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n862H2bKJ9n/xvUkaEttIyHvlb9Z9QiHoqevlBn1yWyGi+p64+UDCa7M6qBJr6bUhG9YdPGAWnKgrxhjK6kfJg==" saltValue="G11gPtOey1NG8MeKilmbUg=="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170" priority="69" stopIfTrue="1">
      <x:formula>GM57&gt;=0.125</x:formula>
    </x:cfRule>
  </x:conditionalFormatting>
  <x:conditionalFormatting sqref="EF57">
    <x:cfRule type="cellIs" dxfId="169" priority="70" stopIfTrue="1" operator="notEqual">
      <x:formula>$EG57</x:formula>
    </x:cfRule>
  </x:conditionalFormatting>
  <x:conditionalFormatting sqref="EM57">
    <x:cfRule type="cellIs" dxfId="168" priority="71" stopIfTrue="1" operator="notEqual">
      <x:formula>$EN57</x:formula>
    </x:cfRule>
  </x:conditionalFormatting>
  <x:conditionalFormatting sqref="CD16:CD45">
    <x:cfRule type="expression" dxfId="167" priority="62">
      <x:formula>AND(CD16="X",CY16="")</x:formula>
    </x:cfRule>
    <x:cfRule type="expression" dxfId="166" priority="72">
      <x:formula>AND(CD16="",CY16&lt;&gt;"")</x:formula>
    </x:cfRule>
  </x:conditionalFormatting>
  <x:conditionalFormatting sqref="CE16:CE45">
    <x:cfRule type="expression" dxfId="165" priority="73">
      <x:formula>AND(CE16="X",DI16="")</x:formula>
    </x:cfRule>
    <x:cfRule type="expression" dxfId="164" priority="74">
      <x:formula>AND(CE16="",DI16&lt;&gt;"")</x:formula>
    </x:cfRule>
  </x:conditionalFormatting>
  <x:conditionalFormatting sqref="P2:S4">
    <x:cfRule type="cellIs" dxfId="163" priority="76" stopIfTrue="1" operator="equal">
      <x:formula>""</x:formula>
    </x:cfRule>
  </x:conditionalFormatting>
  <x:conditionalFormatting sqref="EF16:EF45">
    <x:cfRule type="cellIs" dxfId="162" priority="68" stopIfTrue="1" operator="notEqual">
      <x:formula>$EG16</x:formula>
    </x:cfRule>
  </x:conditionalFormatting>
  <x:conditionalFormatting sqref="EM16:EM45">
    <x:cfRule type="cellIs" dxfId="161" priority="67" stopIfTrue="1" operator="notEqual">
      <x:formula>$EN16</x:formula>
    </x:cfRule>
  </x:conditionalFormatting>
  <x:conditionalFormatting sqref="CC12">
    <x:cfRule type="expression" dxfId="160" priority="66" stopIfTrue="1">
      <x:formula>ISBLANK($CC$12)</x:formula>
    </x:cfRule>
  </x:conditionalFormatting>
  <x:conditionalFormatting sqref="CC11">
    <x:cfRule type="expression" dxfId="159" priority="65" stopIfTrue="1">
      <x:formula>ISBLANK($CC$11)</x:formula>
    </x:cfRule>
  </x:conditionalFormatting>
  <x:conditionalFormatting sqref="M7">
    <x:cfRule type="expression" dxfId="158" priority="63" stopIfTrue="1">
      <x:formula>OR(ISBLANK($M$7),$M$7="")</x:formula>
    </x:cfRule>
    <x:cfRule type="expression" dxfId="157" priority="64" stopIfTrue="1">
      <x:formula>AND(LOWER($M$7)&lt;&gt;"std gray primer: one shop coat",LOWER($M$7)&lt;&gt;"gray",$M$7&lt;&gt;"")</x:formula>
    </x:cfRule>
  </x:conditionalFormatting>
  <x:conditionalFormatting sqref="BV16:BV45">
    <x:cfRule type="expression" dxfId="156" priority="60">
      <x:formula>AND(NOT($AY16),AND(ISBLANK(BV16),AND(NOT(ISBLANK(BU16)),$BW16&lt;&gt;0)))</x:formula>
    </x:cfRule>
  </x:conditionalFormatting>
  <x:conditionalFormatting sqref="BD16:BD45">
    <x:cfRule type="expression" dxfId="155" priority="61">
      <x:formula>AND(NOT($AY16),NOT($AP16))</x:formula>
    </x:cfRule>
  </x:conditionalFormatting>
  <x:conditionalFormatting sqref="U16:U45">
    <x:cfRule type="expression" dxfId="154" priority="57">
      <x:formula>AND(NOT($AY16),NOT(AR16))</x:formula>
    </x:cfRule>
  </x:conditionalFormatting>
  <x:conditionalFormatting sqref="W16:W45">
    <x:cfRule type="expression" dxfId="153" priority="59">
      <x:formula>AND(NOT($AY16),NOT(AT16))</x:formula>
    </x:cfRule>
  </x:conditionalFormatting>
  <x:conditionalFormatting sqref="T16:T45">
    <x:cfRule type="expression" dxfId="152" priority="56">
      <x:formula>AND(NOT($AY16),NOT(AR16))</x:formula>
    </x:cfRule>
  </x:conditionalFormatting>
  <x:conditionalFormatting sqref="V16:V45">
    <x:cfRule type="expression" dxfId="151" priority="58">
      <x:formula>AND(NOT($AY16),NOT(AT16))</x:formula>
    </x:cfRule>
  </x:conditionalFormatting>
  <x:conditionalFormatting sqref="C16:C45">
    <x:cfRule type="expression" dxfId="150" priority="54">
      <x:formula>AND(NOT($AY16),NOT($AP16))</x:formula>
    </x:cfRule>
  </x:conditionalFormatting>
  <x:conditionalFormatting sqref="X16:X45">
    <x:cfRule type="expression" dxfId="149" priority="14">
      <x:formula>$X16=0</x:formula>
    </x:cfRule>
  </x:conditionalFormatting>
  <x:conditionalFormatting sqref="CB16:CB45">
    <x:cfRule type="expression" dxfId="148" priority="53">
      <x:formula>OR(CB16&gt;CV16,CB16&lt;0)</x:formula>
    </x:cfRule>
  </x:conditionalFormatting>
  <x:conditionalFormatting sqref="CC16:CC45">
    <x:cfRule type="expression" dxfId="147" priority="51">
      <x:formula>OR(CC16&gt;DF16,CC16&lt;0)</x:formula>
    </x:cfRule>
  </x:conditionalFormatting>
  <x:conditionalFormatting sqref="BY16:BY45">
    <x:cfRule type="expression" dxfId="146" priority="75">
      <x:formula>OR(CH16&lt;&gt;"",CI16&lt;&gt;"",CJ16&lt;&gt;"",CK16&lt;&gt;"",CL16&lt;&gt;"",CM16&lt;&gt;"")</x:formula>
    </x:cfRule>
  </x:conditionalFormatting>
  <x:conditionalFormatting sqref="BE16:BF45">
    <x:cfRule type="expression" dxfId="145" priority="77">
      <x:formula>AND(NOT($AY16),AND($AZ16,AND($AK16&lt;&gt;"HDR",$AK16&lt;&gt;"JS",$AJ16&gt;=8)))</x:formula>
    </x:cfRule>
  </x:conditionalFormatting>
  <x:conditionalFormatting sqref="D16:E45">
    <x:cfRule type="expression" dxfId="144" priority="55">
      <x:formula>AND(NOT($AY16),AND($AZ16,AND($AK16&lt;&gt;"HDR",$AK16&lt;&gt;"JS",$AJ16&gt;=8)))</x:formula>
    </x:cfRule>
  </x:conditionalFormatting>
  <x:conditionalFormatting sqref="AA12">
    <x:cfRule type="expression" dxfId="143" priority="52">
      <x:formula>OR(ISBLANK(AA12),AA12="")</x:formula>
    </x:cfRule>
  </x:conditionalFormatting>
  <x:conditionalFormatting sqref="A16:Z45 BB16:CG45">
    <x:cfRule type="expression" dxfId="142" priority="78">
      <x:formula>$AC16</x:formula>
    </x:cfRule>
  </x:conditionalFormatting>
  <x:conditionalFormatting sqref="BN16:BN45">
    <x:cfRule type="expression" dxfId="141" priority="17">
      <x:formula>AND(NOT($AY16),AND(ISBLANK(BN16),AND(NOT(ISBLANK(BM16)),$BW16&lt;&gt;0)))</x:formula>
    </x:cfRule>
  </x:conditionalFormatting>
  <x:conditionalFormatting sqref="BO16:BO45">
    <x:cfRule type="expression" dxfId="140" priority="16">
      <x:formula>AND(NOT($AY16),ISERROR(DE16))</x:formula>
    </x:cfRule>
    <x:cfRule type="expression" dxfId="139" priority="43">
      <x:formula>AND(NOT($AY16),OR(DE16="", CQ16&lt;&gt;""))</x:formula>
    </x:cfRule>
  </x:conditionalFormatting>
  <x:conditionalFormatting sqref="BG16:BG45">
    <x:cfRule type="expression" dxfId="138" priority="15">
      <x:formula>AND(NOT($AY16),ISERROR(CU16))</x:formula>
    </x:cfRule>
    <x:cfRule type="expression" dxfId="137" priority="42">
      <x:formula>AND(NOT($AY16),OR(CP16&lt;&gt;"", CU16=""))</x:formula>
    </x:cfRule>
  </x:conditionalFormatting>
  <x:conditionalFormatting sqref="BH16:BH45">
    <x:cfRule type="expression" dxfId="136" priority="30">
      <x:formula>AND(NOT($AY16),OR($CU16="M",$CU16="C",AND($CU16="B",$DC16&gt;0)))</x:formula>
    </x:cfRule>
    <x:cfRule type="expression" dxfId="135" priority="31">
      <x:formula>AND(NOT($AY16),AND(BH16="",BI16="",OR($CU16="B",$CU16="G")))</x:formula>
    </x:cfRule>
    <x:cfRule type="expression" dxfId="134" priority="32">
      <x:formula>AND(NOT($AY16),(BH16/2)/COS(RADIANS(BM16))+CV16-DW16&lt;VLOOKUP(AU16,$DF$2:$DJ$9,5,FALSE))</x:formula>
    </x:cfRule>
  </x:conditionalFormatting>
  <x:conditionalFormatting sqref="BI16:BI45">
    <x:cfRule type="expression" dxfId="133" priority="39">
      <x:formula>AND(NOT($AY16),OR($CU16="M",$CU16="C",AND($CU16="B",$DC16&gt;0)))</x:formula>
    </x:cfRule>
    <x:cfRule type="expression" dxfId="132" priority="40">
      <x:formula>AND(NOT($AY16),AND(BH16="",BI16="",OR($CU16="B",$CU16="G")))</x:formula>
    </x:cfRule>
    <x:cfRule type="expression" dxfId="131" priority="41">
      <x:formula>AND(NOT($AY16),(BI16/2)/COS(RADIANS(BM16))+CV16-DW16&lt;VLOOKUP(AU16,$DF$2:$DJ$9,5,FALSE))</x:formula>
    </x:cfRule>
  </x:conditionalFormatting>
  <x:conditionalFormatting sqref="BK16:BK45">
    <x:cfRule type="expression" dxfId="130" priority="18">
      <x:formula>AND(NOT($AY16),OR($CU16="M",$CU16="C",AND($CU16="B",$DA16&lt;&gt;"")))</x:formula>
    </x:cfRule>
    <x:cfRule type="expression" dxfId="129" priority="19">
      <x:formula>AND(NOT($AY16),AND(BJ16="X",BK16="",BL16=""))</x:formula>
    </x:cfRule>
    <x:cfRule type="expression" dxfId="128" priority="20">
      <x:formula>AND(NOT($AY16),EZ16="ERR")</x:formula>
    </x:cfRule>
  </x:conditionalFormatting>
  <x:conditionalFormatting sqref="BL16:BL45">
    <x:cfRule type="expression" dxfId="127" priority="21">
      <x:formula>AND(NOT($AY16),OR($CU16="M",$CU16="C",AND($CU16="B",$DA16&lt;&gt;"")))</x:formula>
    </x:cfRule>
    <x:cfRule type="expression" dxfId="126" priority="22">
      <x:formula>AND(NOT($AY16),AND(BJ16="X",BK16="",BL16=""))</x:formula>
    </x:cfRule>
    <x:cfRule type="expression" dxfId="125" priority="23">
      <x:formula>AND(NOT($AY16),EZ16="ERR")</x:formula>
    </x:cfRule>
  </x:conditionalFormatting>
  <x:conditionalFormatting sqref="BS16:BS45">
    <x:cfRule type="expression" dxfId="124" priority="24">
      <x:formula>AND(NOT($AY16),OR($DE16="M",$DE16="C",AND($DE16="B",$DK16&lt;&gt;"")))</x:formula>
    </x:cfRule>
    <x:cfRule type="expression" dxfId="123" priority="25">
      <x:formula>AND(NOT($AY16),AND(BR16="X",BS16="",BT16=""))</x:formula>
    </x:cfRule>
    <x:cfRule type="expression" dxfId="122" priority="26">
      <x:formula>AND(NOT($AY16),FC16="ERR")</x:formula>
    </x:cfRule>
  </x:conditionalFormatting>
  <x:conditionalFormatting sqref="BT16:BT45">
    <x:cfRule type="expression" dxfId="121" priority="27">
      <x:formula>AND(NOT($AY16),OR($DE16="M",$DE16="C",AND($DE16="B",$DK16&lt;&gt;"")))</x:formula>
    </x:cfRule>
    <x:cfRule type="expression" dxfId="120" priority="28">
      <x:formula>AND(NOT($AY16),AND(BR16="X",BS16="",BT16=""))</x:formula>
    </x:cfRule>
    <x:cfRule type="expression" dxfId="119" priority="29">
      <x:formula>AND(NOT($AY16),FC16="ERR")</x:formula>
    </x:cfRule>
  </x:conditionalFormatting>
  <x:conditionalFormatting sqref="BP16:BP45">
    <x:cfRule type="expression" dxfId="118" priority="33">
      <x:formula>AND(NOT($AY16),OR($DE16="M",$DE16="C",AND($DE16="B",$DM16&gt;0)))</x:formula>
    </x:cfRule>
    <x:cfRule type="expression" dxfId="117" priority="34">
      <x:formula>AND(NOT($AY16),AND(BP16="",BQ16="",OR($DE16="B",$DE16="G")))</x:formula>
    </x:cfRule>
    <x:cfRule type="expression" dxfId="116" priority="35">
      <x:formula>AND(NOT($AY16),(BP16/2)/COS(RADIANS(BU16))+DF16-EC16&lt;VLOOKUP(AU16,$DF$2:$DJ$9,5,FALSE))</x:formula>
    </x:cfRule>
  </x:conditionalFormatting>
  <x:conditionalFormatting sqref="BQ16:BQ45">
    <x:cfRule type="expression" dxfId="115" priority="36">
      <x:formula>AND(NOT($AY16),OR($DE16="M",$DE16="C",AND($DE16="B",$DM16&gt;0)))</x:formula>
    </x:cfRule>
    <x:cfRule type="expression" dxfId="114" priority="37">
      <x:formula>AND(NOT($AY16),AND(BP16="",BQ16="",OR($DE16="B",$DE16="G")))</x:formula>
    </x:cfRule>
    <x:cfRule type="expression" dxfId="113" priority="38">
      <x:formula>AND(NOT($AY16),(BQ16/2)/COS(RADIANS(BU16))+DF16-EC16&lt;VLOOKUP(AU16,$DF$2:$DJ$9,5,FALSE))</x:formula>
    </x:cfRule>
  </x:conditionalFormatting>
  <x:conditionalFormatting sqref="BJ16:BJ45">
    <x:cfRule type="expression" dxfId="112" priority="44">
      <x:formula>AND(NOT($AY16),OR($CU16="C",AND($CU16="M",$DA16&gt;0)))</x:formula>
    </x:cfRule>
    <x:cfRule type="expression" dxfId="111" priority="45">
      <x:formula>AND(NOT($AY16),OR(NOT(IF(AND(OR(MID($BB16,1,1)="T",($BE16+$BF16/12)/IF(ABS($BW16)&gt;$DQ$1,COS($DO16),1)&gt;=40),OR($CU16="B",$CU16="G")),"X","")="X"),$EZ16="ERR"))</x:formula>
    </x:cfRule>
    <x:cfRule type="expression" dxfId="110" priority="46">
      <x:formula>AND(NOT($AY16),$BJ16&lt;&gt;"X",$BJ16&lt;&gt;IF(AND(OR(MID(BB16,1,1)="T",($BE16+$BF16/12)/IF(ABS($BW16)&gt;$DQ$1,COS($DO16),1)&gt;=40),OR($CU16="B",$CU16="G")),"X",""))</x:formula>
    </x:cfRule>
  </x:conditionalFormatting>
  <x:conditionalFormatting sqref="BR16:BR45">
    <x:cfRule type="expression" dxfId="109" priority="47">
      <x:formula>AND(NOT($AY16),OR($DE16="C",AND($DE16="M",$DK16&gt;0)))</x:formula>
    </x:cfRule>
    <x:cfRule type="expression" dxfId="108" priority="48">
      <x:formula>AND(NOT($AY16),OR(NOT(IF(AND(OR(MID($BB16,1,1)="T",($BE16+$BF16/12)/IF(ABS($BW16)&gt;$DQ$1,COS($DO16),1)&gt;=40),OR($DE16="B",$DE16="G")),"X","")="X"),$FC16="ERR"))</x:formula>
    </x:cfRule>
    <x:cfRule type="expression" dxfId="107" priority="49">
      <x:formula>AND(NOT($AY16),$BR16&lt;&gt;"X",$BR16&lt;&gt;IF(AND(OR(MID(BB16,1,1)="T",($BE16+$BF16/12)/IF(ABS($BW16)&gt;$DQ$1,COS($DO16),1)&gt;=40),OR($DE16="B",$DE16="G")),"X",""))</x:formula>
    </x:cfRule>
  </x:conditionalFormatting>
  <x:conditionalFormatting sqref="A16:B45 BB16:BC45">
    <x:cfRule type="expression" dxfId="106" priority="50">
      <x:formula>AND(NOT($AE$1),$B16=0,$AD$1="M")</x:formula>
    </x:cfRule>
  </x:conditionalFormatting>
  <x:conditionalFormatting sqref="U57">
    <x:cfRule type="expression" dxfId="105" priority="11" stopIfTrue="1">
      <x:formula>AND(NOT($AY57),NOT(AR57))</x:formula>
    </x:cfRule>
  </x:conditionalFormatting>
  <x:conditionalFormatting sqref="W57">
    <x:cfRule type="expression" dxfId="104" priority="13" stopIfTrue="1">
      <x:formula>AND(NOT($AY57),NOT(AT57))</x:formula>
    </x:cfRule>
  </x:conditionalFormatting>
  <x:conditionalFormatting sqref="T57">
    <x:cfRule type="expression" dxfId="103" priority="10" stopIfTrue="1">
      <x:formula>AND(NOT($AY57),NOT(AR57))</x:formula>
    </x:cfRule>
  </x:conditionalFormatting>
  <x:conditionalFormatting sqref="V57">
    <x:cfRule type="expression" dxfId="102" priority="12" stopIfTrue="1">
      <x:formula>AND(NOT($AY57),NOT(AT57))</x:formula>
    </x:cfRule>
  </x:conditionalFormatting>
  <x:conditionalFormatting sqref="C57">
    <x:cfRule type="expression" dxfId="101" priority="8" stopIfTrue="1">
      <x:formula>AND(NOT($AY57),NOT($AP57))</x:formula>
    </x:cfRule>
  </x:conditionalFormatting>
  <x:conditionalFormatting sqref="X57">
    <x:cfRule type="expression" dxfId="100" priority="4">
      <x:formula>$X57=0</x:formula>
    </x:cfRule>
  </x:conditionalFormatting>
  <x:conditionalFormatting sqref="D57:E57">
    <x:cfRule type="expression" dxfId="99" priority="9" stopIfTrue="1">
      <x:formula>AND(NOT($AY57),AND($AZ57,AND($AK57&lt;&gt;"HDR",$AK57&lt;&gt;"JS",$AJ57&gt;=8)))</x:formula>
    </x:cfRule>
  </x:conditionalFormatting>
  <x:conditionalFormatting sqref="A57:AA57">
    <x:cfRule type="expression" dxfId="98" priority="5">
      <x:formula>$AC57</x:formula>
    </x:cfRule>
  </x:conditionalFormatting>
  <x:conditionalFormatting sqref="AA57">
    <x:cfRule type="expression" dxfId="97" priority="6" stopIfTrue="1">
      <x:formula>AND(NOT($AY57),LEN(AA57)&gt;31)</x:formula>
    </x:cfRule>
  </x:conditionalFormatting>
  <x:conditionalFormatting sqref="A57:B57">
    <x:cfRule type="expression" dxfId="96" priority="7">
      <x:formula>AND(NOT($AE$1),$B57=0,$AD$1="M")</x:formula>
    </x:cfRule>
  </x:conditionalFormatting>
  <x:conditionalFormatting sqref="AA16:AA45">
    <x:cfRule type="expression" dxfId="95" priority="2">
      <x:formula>$AC16</x:formula>
    </x:cfRule>
  </x:conditionalFormatting>
  <x:conditionalFormatting sqref="AA16:AA45">
    <x:cfRule type="expression" dxfId="94" priority="3" stopIfTrue="1">
      <x:formula>AND(NOT($AY16),LEN(AA16)&gt;31)</x:formula>
    </x:cfRule>
  </x:conditionalFormatting>
  <x:conditionalFormatting sqref="GA16:GB45">
    <x:cfRule type="expression" dxfId="93"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63.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Sheet58">
    <x:tabColor indexed="43"/>
  </x:sheetPr>
  <x:dimension ref="A1:IG104"/>
  <x:sheetViews>
    <x:sheetView showGridLines="0" zoomScaleNormal="100" zoomScaleSheetLayoutView="75" workbookViewId="0">
      <x:selection activeCell="GA16" sqref="GA16"/>
    </x:sheetView>
  </x:sheetViews>
  <x:sheetFormatPr defaultColWidth="4.7109375" defaultRowHeight="11.25" x14ac:dyDescent="0.2"/>
  <x:cols>
    <x:col min="1" max="1" width="5.7109375" style="295" customWidth="1"/>
    <x:col min="2" max="2" width="4.28515625" style="295" customWidth="1"/>
    <x:col min="3" max="3" width="15.7109375" style="295" customWidth="1"/>
    <x:col min="4" max="4" width="3.7109375" style="295" customWidth="1"/>
    <x:col min="5" max="5" width="4.42578125" style="295" customWidth="1"/>
    <x:col min="6" max="6" width="3" style="295" customWidth="1"/>
    <x:col min="7" max="7" width="4.42578125" style="295" customWidth="1"/>
    <x:col min="8" max="9" width="3" style="295" customWidth="1"/>
    <x:col min="10" max="10" width="4.42578125" style="295" customWidth="1"/>
    <x:col min="11" max="11" width="3" style="295" customWidth="1"/>
    <x:col min="12" max="13" width="4.42578125" style="295" customWidth="1"/>
    <x:col min="14" max="14" width="3.28515625" style="295" customWidth="1"/>
    <x:col min="15" max="15" width="5" style="295" customWidth="1"/>
    <x:col min="16" max="16" width="3" style="295" customWidth="1"/>
    <x:col min="17" max="17" width="3.28515625" style="295" customWidth="1"/>
    <x:col min="18" max="18" width="5" style="295" customWidth="1"/>
    <x:col min="19" max="19" width="3" style="295" customWidth="1"/>
    <x:col min="20" max="20" width="2.85546875" style="295" customWidth="1"/>
    <x:col min="21" max="21" width="4.42578125" style="295" customWidth="1"/>
    <x:col min="22" max="22" width="2.85546875" style="295" customWidth="1"/>
    <x:col min="23" max="23" width="4.42578125" style="295" customWidth="1"/>
    <x:col min="24" max="24" width="4.28515625" style="295" customWidth="1"/>
    <x:col min="25" max="26" width="4.7109375" style="295" customWidth="1"/>
    <x:col min="27" max="27" width="21" style="295" customWidth="1"/>
    <x:col min="28" max="28" width="3.7109375" style="295" customWidth="1"/>
    <x:col min="29" max="29" width="5.7109375" style="295" hidden="1" customWidth="1"/>
    <x:col min="30" max="30" width="3.7109375" style="295" hidden="1" customWidth="1"/>
    <x:col min="31" max="31" width="6.7109375" style="295" hidden="1" customWidth="1"/>
    <x:col min="32" max="34" width="3.7109375" style="295" hidden="1" customWidth="1"/>
    <x:col min="35" max="35" width="3.7109375" style="475" hidden="1" customWidth="1"/>
    <x:col min="36" max="46" width="3.7109375" style="295" hidden="1" customWidth="1"/>
    <x:col min="47" max="49" width="4.7109375" style="295" hidden="1" customWidth="1"/>
    <x:col min="50" max="51" width="5.7109375" style="295" hidden="1" customWidth="1"/>
    <x:col min="52" max="52" width="10.7109375" style="295" hidden="1" customWidth="1"/>
    <x:col min="53" max="53" width="3.7109375" style="295" customWidth="1"/>
    <x:col min="54" max="55" width="6.7109375" style="295" hidden="1" customWidth="1"/>
    <x:col min="56" max="56" width="18.7109375" style="295" hidden="1" customWidth="1"/>
    <x:col min="57" max="57" width="5.28515625" style="295" hidden="1" customWidth="1"/>
    <x:col min="58" max="58" width="6.28515625" style="295" hidden="1" customWidth="1"/>
    <x:col min="59" max="61" width="5.7109375" style="295" hidden="1" customWidth="1"/>
    <x:col min="62" max="62" width="3.7109375" style="295" hidden="1" customWidth="1"/>
    <x:col min="63" max="65" width="5.7109375" style="295" hidden="1" customWidth="1"/>
    <x:col min="66" max="66" width="6.7109375" style="295" hidden="1" customWidth="1"/>
    <x:col min="67" max="69" width="5.7109375" style="295" hidden="1" customWidth="1"/>
    <x:col min="70" max="70" width="3.7109375" style="295" hidden="1" customWidth="1"/>
    <x:col min="71" max="73" width="5.7109375" style="295" hidden="1" customWidth="1"/>
    <x:col min="74" max="74" width="6.7109375" style="295" hidden="1" customWidth="1"/>
    <x:col min="75" max="75" width="7.7109375" style="295" hidden="1" customWidth="1"/>
    <x:col min="76" max="77" width="24.7109375" style="295" hidden="1" customWidth="1"/>
    <x:col min="78" max="79" width="7.7109375" style="295" hidden="1" customWidth="1"/>
    <x:col min="80" max="81" width="10.28515625" style="295" hidden="1" customWidth="1"/>
    <x:col min="82" max="83" width="5.7109375" style="295" hidden="1" customWidth="1"/>
    <x:col min="84" max="85" width="6.7109375" style="295" hidden="1" customWidth="1"/>
    <x:col min="86" max="88" width="10.7109375" style="295" hidden="1" customWidth="1"/>
    <x:col min="89" max="89" width="8.7109375" style="295" hidden="1" customWidth="1"/>
    <x:col min="90" max="93" width="8.28515625" style="295" hidden="1" customWidth="1"/>
    <x:col min="94" max="95" width="4.7109375" style="295" hidden="1" customWidth="1"/>
    <x:col min="96" max="97" width="6.42578125" style="295" hidden="1" customWidth="1"/>
    <x:col min="98" max="98" width="4.7109375" style="295" customWidth="1"/>
    <x:col min="99" max="117" width="6.7109375" style="295" hidden="1" customWidth="1"/>
    <x:col min="118" max="118" width="8.7109375" style="295" hidden="1" customWidth="1"/>
    <x:col min="119" max="133" width="6.7109375" style="295" hidden="1" customWidth="1"/>
    <x:col min="134" max="135" width="8.7109375" style="295" hidden="1" customWidth="1"/>
    <x:col min="136" max="141" width="6.7109375" style="295" hidden="1" customWidth="1"/>
    <x:col min="142" max="142" width="8.7109375" style="295" hidden="1" customWidth="1"/>
    <x:col min="143" max="178" width="6.7109375" style="295" hidden="1" customWidth="1"/>
    <x:col min="179" max="179" width="4.7109375" style="295" customWidth="1"/>
    <x:col min="180" max="180" width="6.7109375" style="295" hidden="1" customWidth="1"/>
    <x:col min="181" max="181" width="8.7109375" style="295" hidden="1" customWidth="1"/>
    <x:col min="182" max="182" width="4.7109375" style="295" customWidth="1"/>
    <x:col min="183" max="183" width="5.28515625" style="295" customWidth="1"/>
    <x:col min="184" max="184" width="6.28515625" style="295" customWidth="1"/>
    <x:col min="185" max="187" width="8.7109375" style="295" customWidth="1"/>
    <x:col min="188" max="188" width="5.7109375" style="295" customWidth="1"/>
    <x:col min="189" max="189" width="5.28515625" style="295" customWidth="1"/>
    <x:col min="190" max="190" width="6.28515625" style="295" customWidth="1"/>
    <x:col min="191" max="191" width="5.28515625" style="295" hidden="1" customWidth="1"/>
    <x:col min="192" max="192" width="6.28515625" style="295" hidden="1" customWidth="1"/>
    <x:col min="193" max="193" width="8.7109375" style="295" hidden="1" customWidth="1"/>
    <x:col min="194" max="194" width="4.7109375" style="295" hidden="1" customWidth="1"/>
    <x:col min="195" max="195" width="8.7109375" style="295" hidden="1" customWidth="1"/>
    <x:col min="196" max="196" width="4.7109375" style="295" customWidth="1"/>
    <x:col min="197" max="206" width="8.7109375" style="295" hidden="1" customWidth="1"/>
    <x:col min="207" max="207" width="8.7109375" style="295" customWidth="1"/>
    <x:col min="208" max="208" width="8.7109375" style="295" hidden="1" customWidth="1"/>
    <x:col min="209" max="211" width="6.7109375" style="295" hidden="1" customWidth="1"/>
    <x:col min="212" max="212" width="6.7109375" style="297" hidden="1" customWidth="1"/>
    <x:col min="213" max="213" width="6.7109375" style="453" hidden="1" customWidth="1"/>
    <x:col min="214" max="236" width="6.7109375" style="295" hidden="1" customWidth="1"/>
    <x:col min="237" max="237" width="4.7109375" style="295" hidden="1" customWidth="1"/>
    <x:col min="238" max="240" width="6.7109375" style="295" hidden="1" customWidth="1"/>
    <x:col min="241" max="241" width="8.7109375" style="295" customWidth="1"/>
    <x:col min="242" max="16384" width="4.7109375" style="295"/>
  </x:cols>
  <x:sheetData>
    <x:row r="1" spans="1:241" s="449" customFormat="1" ht="14.45" customHeight="1" thickBot="1" x14ac:dyDescent="0.25">
      <x:c r="A1" s="443"/>
      <x:c r="B1" s="443"/>
      <x:c r="C1" s="443"/>
      <x:c r="D1" s="443"/>
      <x:c r="E1" s="443"/>
      <x:c r="F1" s="443"/>
      <x:c r="G1" s="443"/>
      <x:c r="H1" s="443"/>
      <x:c r="I1" s="444"/>
      <x:c r="J1" s="444"/>
      <x:c r="K1" s="444"/>
      <x:c r="L1" s="444"/>
      <x:c r="M1" s="444"/>
      <x:c r="N1" s="443"/>
      <x:c r="O1" s="444"/>
      <x:c r="P1" s="2227" t="str">
        <x:f>IF(AD1="","",VLOOKUP(AD1,'Job Info.'!X:AA,4,FALSE))</x:f>
        <x:v>Master</x:v>
      </x:c>
      <x:c r="Q1" s="2227"/>
      <x:c r="R1" s="2227"/>
      <x:c r="S1" s="2227"/>
      <x:c r="T1" s="444"/>
      <x:c r="U1" s="444"/>
      <x:c r="V1" s="445"/>
      <x:c r="W1" s="445"/>
      <x:c r="X1" s="1838" t="s">
        <x:v>96</x:v>
      </x:c>
      <x:c r="Y1" s="445"/>
      <x:c r="Z1" s="445"/>
      <x:c r="AA1" s="1827" t="str">
        <x:f ca="1">'Job Info.'!D12</x:f>
        <x:v>775-428-0600</x:v>
      </x:c>
      <x:c r="AB1" s="587" t="s">
        <x:v>763</x:v>
      </x:c>
      <x:c r="AD1" s="448" t="str">
        <x:f>'Job Info.'!Q30</x:f>
        <x:v>M</x:v>
      </x:c>
      <x:c r="AE1" s="449" t="b">
        <x:f>'Job Info.'!Q32</x:f>
        <x:v>0</x:v>
      </x:c>
      <x:c r="AF1" s="975" t="s">
        <x:v>1000</x:v>
      </x:c>
      <x:c r="AI1" s="448"/>
      <x:c r="AW1" s="301"/>
      <x:c r="AX1" s="301"/>
      <x:c r="BA1" s="588" t="s">
        <x:v>764</x:v>
      </x:c>
      <x:c r="BB1" s="293"/>
      <x:c r="BC1" s="293"/>
      <x:c r="BD1" s="293"/>
      <x:c r="BE1" s="293"/>
      <x:c r="BF1" s="293"/>
      <x:c r="BG1" s="293"/>
      <x:c r="BH1" s="293"/>
      <x:c r="BI1" s="293"/>
      <x:c r="BJ1" s="293"/>
      <x:c r="BK1" s="293"/>
      <x:c r="BL1" s="293"/>
      <x:c r="BM1" s="293"/>
      <x:c r="BN1" s="293"/>
      <x:c r="BO1" s="293"/>
      <x:c r="BP1" s="293"/>
      <x:c r="BQ1" s="293"/>
      <x:c r="BR1" s="293"/>
      <x:c r="BS1" s="293"/>
      <x:c r="BT1" s="293"/>
      <x:c r="BU1" s="293"/>
      <x:c r="BV1" s="293"/>
      <x:c r="BW1" s="293"/>
      <x:c r="BX1" s="293"/>
      <x:c r="BY1" s="293"/>
      <x:c r="BZ1" s="293"/>
      <x:c r="CA1" s="293"/>
      <x:c r="CB1" s="293"/>
      <x:c r="CC1" s="243"/>
      <x:c r="CD1" s="293"/>
      <x:c r="CE1" s="293"/>
      <x:c r="CF1" s="444"/>
      <x:c r="CG1" s="292"/>
      <x:c r="CH1" s="292"/>
      <x:c r="CI1" s="292"/>
      <x:c r="CJ1" s="292"/>
      <x:c r="CK1" s="292"/>
      <x:c r="CL1" s="292"/>
      <x:c r="CM1" s="292"/>
      <x:c r="CN1" s="292"/>
      <x:c r="CO1" s="292"/>
      <x:c r="CP1" s="292"/>
      <x:c r="CQ1" s="444"/>
      <x:c r="CR1" s="444"/>
      <x:c r="CS1" s="444"/>
      <x:c r="CT1" s="587" t="s">
        <x:v>760</x:v>
      </x:c>
      <x:c r="CW1" s="447" t="s">
        <x:v>504</x:v>
      </x:c>
      <x:c r="CX1" s="451">
        <x:f>'Job Info.'!U25</x:f>
        <x:v>3</x:v>
      </x:c>
      <x:c r="CY1" s="452" t="str">
        <x:f>IF(CX1=1,"Joist BL @ CL of Steel Support (if possible), minimize BL",IF(CX1=2,"Minimize Joist Base Length",IF(CX1=3,"Minimize TCX (Maximize Joist BL)",IF(CX1=4,"Joist BL @ CL of Steel Support (if possible), minimize TCX"))))</x:f>
        <x:v>Minimize TCX (Maximize Joist BL)</x:v>
      </x:c>
      <x:c r="CZ1" s="452"/>
      <x:c r="DA1" s="296"/>
      <x:c r="DB1" s="296"/>
      <x:c r="DC1" s="296" t="s">
        <x:v>984</x:v>
      </x:c>
      <x:c r="DD1" s="449" t="str">
        <x:f>'Job Info.'!U27</x:f>
        <x:v>N</x:v>
      </x:c>
      <x:c r="DE1" s="296"/>
      <x:c r="DF1" s="296"/>
      <x:c r="DG1" s="1242" t="s">
        <x:v>1148</x:v>
      </x:c>
      <x:c r="DH1" s="458" t="s">
        <x:v>172</x:v>
      </x:c>
      <x:c r="DI1" s="459" t="s">
        <x:v>499</x:v>
      </x:c>
      <x:c r="DJ1" s="460" t="s">
        <x:v>500</x:v>
      </x:c>
      <x:c r="DK1" s="459" t="s">
        <x:v>501</x:v>
      </x:c>
      <x:c r="DL1" s="459" t="s">
        <x:v>502</x:v>
      </x:c>
      <x:c r="DM1" s="459" t="s">
        <x:v>503</x:v>
      </x:c>
      <x:c r="DN1" s="461" t="s">
        <x:v>722</x:v>
      </x:c>
      <x:c r="DO1" s="296"/>
      <x:c r="DP1" s="447" t="s">
        <x:v>1156</x:v>
      </x:c>
      <x:c r="DQ1" s="1243">
        <x:f>'Job Info.'!$L$23</x:f>
        <x:v>0.5</x:v>
      </x:c>
      <x:c r="DR1" s="296"/>
      <x:c r="DS1" s="296"/>
      <x:c r="DT1" s="296"/>
      <x:c r="DX1" s="296"/>
      <x:c r="DY1" s="296"/>
      <x:c r="DZ1" s="296"/>
      <x:c r="EA1" s="296"/>
      <x:c r="EB1" s="296"/>
      <x:c r="EC1" s="296"/>
      <x:c r="ED1" s="296"/>
      <x:c r="EE1" s="296"/>
      <x:c r="EF1" s="296"/>
      <x:c r="EG1" s="296"/>
      <x:c r="EH1" s="296"/>
      <x:c r="EI1" s="296"/>
      <x:c r="EJ1" s="296"/>
      <x:c r="EK1" s="296"/>
      <x:c r="EL1" s="296"/>
      <x:c r="EM1" s="296"/>
      <x:c r="EN1" s="296"/>
      <x:c r="EO1" s="296"/>
      <x:c r="EP1" s="296"/>
      <x:c r="EQ1" s="296"/>
      <x:c r="ER1" s="296"/>
      <x:c r="ES1" s="296"/>
      <x:c r="ET1" s="296"/>
      <x:c r="EU1" s="296"/>
      <x:c r="EV1" s="296"/>
      <x:c r="EW1" s="296"/>
      <x:c r="EX1" s="303"/>
      <x:c r="EY1" s="303"/>
      <x:c r="EZ1" s="303"/>
      <x:c r="FA1" s="303"/>
      <x:c r="FB1" s="296"/>
      <x:c r="FC1" s="296"/>
      <x:c r="FD1" s="296"/>
      <x:c r="FE1" s="296"/>
      <x:c r="FF1" s="296"/>
      <x:c r="FG1" s="296"/>
      <x:c r="FH1" s="296"/>
      <x:c r="FI1" s="296"/>
      <x:c r="FJ1" s="295"/>
      <x:c r="FK1" s="295"/>
      <x:c r="FL1" s="295"/>
      <x:c r="FM1" s="295"/>
      <x:c r="FN1" s="295"/>
      <x:c r="FO1" s="295"/>
      <x:c r="FP1" s="295"/>
      <x:c r="FQ1" s="295"/>
      <x:c r="FT1" s="295"/>
      <x:c r="FW1" s="590" t="s">
        <x:v>756</x:v>
      </x:c>
      <x:c r="FX1" s="295"/>
      <x:c r="GA1" s="473"/>
      <x:c r="GB1" s="473"/>
      <x:c r="GC1" s="473"/>
      <x:c r="GD1" s="473"/>
      <x:c r="GE1" s="473"/>
      <x:c r="GF1" s="473"/>
      <x:c r="GG1" s="473"/>
      <x:c r="GH1" s="473"/>
      <x:c r="GI1" s="473"/>
      <x:c r="GJ1" s="473"/>
      <x:c r="GL1" s="295"/>
      <x:c r="GM1" s="295"/>
      <x:c r="GN1" s="295"/>
      <x:c r="GO1" s="295"/>
      <x:c r="GP1" s="295"/>
      <x:c r="GQ1" s="295"/>
      <x:c r="GR1" s="295"/>
      <x:c r="GS1" s="295"/>
      <x:c r="GT1" s="295"/>
      <x:c r="GU1" s="295"/>
      <x:c r="GV1" s="295"/>
      <x:c r="GW1" s="295"/>
      <x:c r="GX1" s="295"/>
      <x:c r="GY1" s="591" t="s">
        <x:v>759</x:v>
      </x:c>
      <x:c r="GZ1" s="984" t="s">
        <x:v>1206</x:v>
      </x:c>
      <x:c r="HA1" s="295" t="b">
        <x:f>'Job Info.'!U4</x:f>
        <x:v>0</x:v>
      </x:c>
      <x:c r="HB1" s="295"/>
      <x:c r="HC1" s="295"/>
      <x:c r="HD1" s="297"/>
      <x:c r="HE1" s="453"/>
      <x:c r="HF1" s="295"/>
      <x:c r="HG1" s="295"/>
      <x:c r="HH1" s="295"/>
      <x:c r="HI1" s="295"/>
      <x:c r="HJ1" s="295"/>
      <x:c r="HK1" s="295"/>
      <x:c r="HL1" s="295"/>
      <x:c r="HM1" s="295"/>
      <x:c r="HN1" s="295"/>
      <x:c r="HO1" s="295"/>
      <x:c r="HP1" s="295"/>
      <x:c r="HQ1" s="295"/>
      <x:c r="HR1" s="295"/>
      <x:c r="HS1" s="295"/>
      <x:c r="HT1" s="295"/>
      <x:c r="HU1" s="295"/>
      <x:c r="HV1" s="295"/>
      <x:c r="HW1" s="295"/>
      <x:c r="HX1" s="295"/>
      <x:c r="IG1" s="579" t="s">
        <x:v>1191</x:v>
      </x:c>
    </x:row>
    <x:row r="2" spans="1:241" s="449" customFormat="1" ht="12.95" customHeight="1" thickTop="1" thickBot="1" x14ac:dyDescent="0.3">
      <x:c r="A2" s="454"/>
      <x:c r="B2" s="454"/>
      <x:c r="C2" s="454"/>
      <x:c r="D2" s="454"/>
      <x:c r="E2" s="454"/>
      <x:c r="F2" s="454"/>
      <x:c r="G2" s="454"/>
      <x:c r="H2" s="454"/>
      <x:c r="I2" s="444"/>
      <x:c r="J2" s="444"/>
      <x:c r="K2" s="444"/>
      <x:c r="L2" s="444"/>
      <x:c r="M2" s="444"/>
      <x:c r="N2" s="454"/>
      <x:c r="O2" s="444"/>
      <x:c r="P2" s="2228" t="str">
        <x:f>IF(AD1="","",IF(VLOOKUP(AD1,'Job Info.'!X:Z,2,FALSE),"Released for Fabrication",""))</x:f>
        <x:v/>
      </x:c>
      <x:c r="Q2" s="2229"/>
      <x:c r="R2" s="2229"/>
      <x:c r="S2" s="2230"/>
      <x:c r="T2" s="444"/>
      <x:c r="U2" s="444"/>
      <x:c r="V2" s="445"/>
      <x:c r="W2" s="445"/>
      <x:c r="X2" s="1838" t="s">
        <x:v>97</x:v>
      </x:c>
      <x:c r="Y2" s="445"/>
      <x:c r="Z2" s="445"/>
      <x:c r="AA2" s="1827" t="str">
        <x:f ca="1">'Job Info.'!D13</x:f>
        <x:v>775-867-2140</x:v>
      </x:c>
      <x:c r="AB2" s="455"/>
      <x:c r="AI2" s="448"/>
      <x:c r="BA2" s="356" t="s">
        <x:v>771</x:v>
      </x:c>
      <x:c r="BB2" s="293"/>
      <x:c r="BC2" s="293"/>
      <x:c r="BD2" s="293"/>
      <x:c r="BE2" s="293"/>
      <x:c r="BF2" s="293"/>
      <x:c r="BG2" s="293"/>
      <x:c r="BH2" s="293"/>
      <x:c r="BI2" s="293"/>
      <x:c r="BJ2" s="293"/>
      <x:c r="BK2" s="293"/>
      <x:c r="BL2" s="293"/>
      <x:c r="BM2" s="293"/>
      <x:c r="BN2" s="293"/>
      <x:c r="BO2" s="293"/>
      <x:c r="BP2" s="293"/>
      <x:c r="BQ2" s="293"/>
      <x:c r="BR2" s="293"/>
      <x:c r="BS2" s="293"/>
      <x:c r="BT2" s="293"/>
      <x:c r="BU2" s="293"/>
      <x:c r="BV2" s="293"/>
      <x:c r="BW2" s="293"/>
      <x:c r="BX2" s="293"/>
      <x:c r="BY2" s="293"/>
      <x:c r="BZ2" s="293"/>
      <x:c r="CA2" s="293"/>
      <x:c r="CB2" s="293"/>
      <x:c r="CC2" s="243"/>
      <x:c r="CD2" s="293"/>
      <x:c r="CE2" s="293"/>
      <x:c r="CF2" s="292"/>
      <x:c r="CG2" s="292"/>
      <x:c r="CH2" s="292"/>
      <x:c r="CI2" s="444"/>
      <x:c r="CJ2" s="444"/>
      <x:c r="CK2" s="444"/>
      <x:c r="CL2" s="444"/>
      <x:c r="CM2" s="444"/>
      <x:c r="CN2" s="444"/>
      <x:c r="CO2" s="444"/>
      <x:c r="CP2" s="292"/>
      <x:c r="CQ2" s="292"/>
      <x:c r="CR2" s="444"/>
      <x:c r="CS2" s="444"/>
      <x:c r="CT2" s="589" t="s">
        <x:v>772</x:v>
      </x:c>
      <x:c r="CU2" s="296"/>
      <x:c r="CW2" s="447" t="s">
        <x:v>505</x:v>
      </x:c>
      <x:c r="CX2" s="456">
        <x:f>'Job Info.'!L19</x:f>
        <x:v>0.375</x:v>
      </x:c>
      <x:c r="CY2" s="447" t="s">
        <x:v>689</x:v>
      </x:c>
      <x:c r="CZ2" s="456">
        <x:f>'Job Info.'!L21</x:f>
        <x:v>0.5</x:v>
      </x:c>
      <x:c r="DA2" s="447" t="s">
        <x:v>690</x:v>
      </x:c>
      <x:c r="DB2" s="456">
        <x:f>'Job Info.'!L22</x:f>
        <x:v>0.25</x:v>
      </x:c>
      <x:c r="DC2" s="296" t="s">
        <x:v>560</x:v>
      </x:c>
      <x:c r="DD2" s="457">
        <x:f>'Job Info.'!L20</x:f>
        <x:v>0.1875</x:v>
      </x:c>
      <x:c r="DE2" s="296"/>
      <x:c r="DF2" s="464" t="s">
        <x:v>74</x:v>
      </x:c>
      <x:c r="DG2" s="154">
        <x:f>'Job Info.'!$N7/2</x:f>
        <x:v>0.5</x:v>
      </x:c>
      <x:c r="DH2" s="465">
        <x:f>'Job Info.'!$H7</x:f>
        <x:v>2.5</x:v>
      </x:c>
      <x:c r="DI2" s="466">
        <x:f>'Job Info.'!$J7</x:f>
        <x:v>4</x:v>
      </x:c>
      <x:c r="DJ2" s="466">
        <x:f>'Job Info.'!$I7</x:f>
        <x:v>2.5</x:v>
      </x:c>
      <x:c r="DK2" s="466">
        <x:f>'Job Info.'!$K7</x:f>
        <x:v>3.5</x:v>
      </x:c>
      <x:c r="DL2" s="467">
        <x:f>'Job Info.'!$M7</x:f>
        <x:v>0.5625</x:v>
      </x:c>
      <x:c r="DM2" s="466">
        <x:f>'Job Info.'!$L7</x:f>
        <x:v>1.5</x:v>
      </x:c>
      <x:c r="DN2" s="264">
        <x:f>'Job Info.'!$O7</x:f>
        <x:v>2.5</x:v>
      </x:c>
      <x:c r="DO2" s="296"/>
      <x:c r="DP2" s="296"/>
      <x:c r="DQ2" s="296"/>
      <x:c r="DR2" s="296"/>
      <x:c r="DS2" s="296"/>
      <x:c r="DT2" s="296"/>
      <x:c r="DX2" s="296"/>
      <x:c r="DY2" s="296"/>
      <x:c r="DZ2" s="296"/>
      <x:c r="EA2" s="296"/>
      <x:c r="EB2" s="296"/>
      <x:c r="EC2" s="296"/>
      <x:c r="ED2" s="296"/>
      <x:c r="EE2" s="296"/>
      <x:c r="EF2" s="296"/>
      <x:c r="EG2" s="296"/>
      <x:c r="EH2" s="296"/>
      <x:c r="EI2" s="296"/>
      <x:c r="EJ2" s="296"/>
      <x:c r="EK2" s="296"/>
      <x:c r="EL2" s="296"/>
      <x:c r="EM2" s="296"/>
      <x:c r="EN2" s="296"/>
      <x:c r="EO2" s="296"/>
      <x:c r="EP2" s="296"/>
      <x:c r="EQ2" s="296"/>
      <x:c r="ER2" s="296"/>
      <x:c r="ES2" s="296"/>
      <x:c r="ET2" s="296"/>
      <x:c r="EU2" s="296"/>
      <x:c r="EV2" s="296"/>
      <x:c r="EW2" s="296"/>
      <x:c r="EX2" s="303"/>
      <x:c r="EY2" s="303"/>
      <x:c r="EZ2" s="303"/>
      <x:c r="FA2" s="303"/>
      <x:c r="FB2" s="296"/>
      <x:c r="FC2" s="296"/>
      <x:c r="FD2" s="296"/>
      <x:c r="FE2" s="296"/>
      <x:c r="FF2" s="296"/>
      <x:c r="FG2" s="296"/>
      <x:c r="FH2" s="296"/>
      <x:c r="FI2" s="296"/>
      <x:c r="FJ2" s="295"/>
      <x:c r="FK2" s="295"/>
      <x:c r="FL2" s="295"/>
      <x:c r="FM2" s="295"/>
      <x:c r="FN2" s="295"/>
      <x:c r="FO2" s="295"/>
      <x:c r="FP2" s="295"/>
      <x:c r="FQ2" s="295"/>
      <x:c r="FR2" s="295"/>
      <x:c r="FS2" s="295"/>
      <x:c r="FT2" s="295"/>
      <x:c r="FU2" s="295"/>
      <x:c r="FV2" s="295"/>
      <x:c r="FX2" s="295"/>
      <x:c r="FY2" s="295"/>
      <x:c r="FZ2" s="591" t="s">
        <x:v>757</x:v>
      </x:c>
      <x:c r="GA2" s="473"/>
      <x:c r="GB2" s="473"/>
      <x:c r="GC2" s="473"/>
      <x:c r="GD2" s="473"/>
      <x:c r="GE2" s="473"/>
      <x:c r="GF2" s="473"/>
      <x:c r="GG2" s="473"/>
      <x:c r="GH2" s="473"/>
      <x:c r="GI2" s="473"/>
      <x:c r="GJ2" s="473"/>
      <x:c r="GM2" s="295"/>
      <x:c r="GN2" s="592" t="s">
        <x:v>758</x:v>
      </x:c>
      <x:c r="GO2" s="295"/>
      <x:c r="GP2" s="295"/>
      <x:c r="GQ2" s="295"/>
      <x:c r="GR2" s="295"/>
      <x:c r="GS2" s="295"/>
      <x:c r="GT2" s="295"/>
      <x:c r="GU2" s="295"/>
      <x:c r="GV2" s="295"/>
      <x:c r="GW2" s="295"/>
      <x:c r="GX2" s="295"/>
      <x:c r="GY2" s="295"/>
      <x:c r="HA2" s="295"/>
      <x:c r="HB2" s="295"/>
      <x:c r="HC2" s="295"/>
      <x:c r="HD2" s="297"/>
      <x:c r="HE2" s="453"/>
      <x:c r="HF2" s="295"/>
      <x:c r="HG2" s="295"/>
      <x:c r="HH2" s="295"/>
      <x:c r="HI2" s="295"/>
      <x:c r="HJ2" s="295"/>
      <x:c r="HK2" s="295"/>
      <x:c r="HL2" s="295"/>
      <x:c r="HM2" s="295"/>
      <x:c r="HN2" s="295"/>
      <x:c r="HO2" s="295"/>
      <x:c r="HP2" s="295"/>
      <x:c r="HQ2" s="295"/>
      <x:c r="HR2" s="295"/>
      <x:c r="HS2" s="295"/>
      <x:c r="HT2" s="295"/>
      <x:c r="HU2" s="295"/>
      <x:c r="HV2" s="295"/>
      <x:c r="HW2" s="295"/>
      <x:c r="HX2" s="295"/>
    </x:row>
    <x:row r="3" spans="1:241" s="449" customFormat="1" ht="12.95" customHeight="1" thickBot="1" x14ac:dyDescent="0.3">
      <x:c r="A3" s="444"/>
      <x:c r="B3" s="444"/>
      <x:c r="C3" s="444"/>
      <x:c r="D3" s="444"/>
      <x:c r="E3" s="444"/>
      <x:c r="F3" s="444"/>
      <x:c r="G3" s="444"/>
      <x:c r="H3" s="444"/>
      <x:c r="I3" s="444"/>
      <x:c r="J3" s="444"/>
      <x:c r="K3" s="444"/>
      <x:c r="L3" s="444"/>
      <x:c r="M3" s="444"/>
      <x:c r="N3" s="444"/>
      <x:c r="O3" s="444"/>
      <x:c r="P3" s="2231"/>
      <x:c r="Q3" s="2232"/>
      <x:c r="R3" s="2232"/>
      <x:c r="S3" s="2233"/>
      <x:c r="T3" s="444"/>
      <x:c r="U3" s="444"/>
      <x:c r="V3" s="445"/>
      <x:c r="W3" s="445"/>
      <x:c r="X3" s="1838" t="s">
        <x:v>99</x:v>
      </x:c>
      <x:c r="Y3" s="445"/>
      <x:c r="Z3" s="445"/>
      <x:c r="AA3" s="1827" t="str">
        <x:f ca="1">'Job Info.'!D14</x:f>
        <x:v>775-867-2169</x:v>
      </x:c>
      <x:c r="AB3" s="455"/>
      <x:c r="AI3" s="448"/>
      <x:c r="BA3" s="307"/>
      <x:c r="BB3" s="293"/>
      <x:c r="BC3" s="293"/>
      <x:c r="BD3" s="293"/>
      <x:c r="BE3" s="293"/>
      <x:c r="BF3" s="293"/>
      <x:c r="BG3" s="293"/>
      <x:c r="BH3" s="293"/>
      <x:c r="BI3" s="293"/>
      <x:c r="BJ3" s="293"/>
      <x:c r="BK3" s="293"/>
      <x:c r="BL3" s="293"/>
      <x:c r="BM3" s="293"/>
      <x:c r="BN3" s="293"/>
      <x:c r="BO3" s="293"/>
      <x:c r="BP3" s="293"/>
      <x:c r="BQ3" s="293"/>
      <x:c r="BR3" s="293"/>
      <x:c r="BS3" s="293"/>
      <x:c r="BT3" s="293"/>
      <x:c r="BU3" s="293"/>
      <x:c r="BV3" s="293"/>
      <x:c r="BW3" s="293"/>
      <x:c r="BX3" s="293"/>
      <x:c r="BY3" s="293"/>
      <x:c r="BZ3" s="293"/>
      <x:c r="CA3" s="293"/>
      <x:c r="CB3" s="293"/>
      <x:c r="CC3" s="243"/>
      <x:c r="CD3" s="293"/>
      <x:c r="CE3" s="293"/>
      <x:c r="CF3" s="292"/>
      <x:c r="CG3" s="292"/>
      <x:c r="CH3" s="292"/>
      <x:c r="CI3" s="444"/>
      <x:c r="CJ3" s="444"/>
      <x:c r="CK3" s="444"/>
      <x:c r="CL3" s="444"/>
      <x:c r="CM3" s="444"/>
      <x:c r="CN3" s="444"/>
      <x:c r="CO3" s="444"/>
      <x:c r="CP3" s="292"/>
      <x:c r="CQ3" s="292"/>
      <x:c r="CR3" s="444"/>
      <x:c r="CS3" s="444"/>
      <x:c r="CU3" s="698"/>
      <x:c r="CV3" s="699" t="s">
        <x:v>560</x:v>
      </x:c>
      <x:c r="CW3" s="700" t="s">
        <x:v>172</x:v>
      </x:c>
      <x:c r="CX3" s="701" t="s">
        <x:v>499</x:v>
      </x:c>
      <x:c r="CY3" s="702" t="s">
        <x:v>500</x:v>
      </x:c>
      <x:c r="CZ3" s="701" t="s">
        <x:v>501</x:v>
      </x:c>
      <x:c r="DA3" s="701" t="s">
        <x:v>502</x:v>
      </x:c>
      <x:c r="DB3" s="701" t="s">
        <x:v>503</x:v>
      </x:c>
      <x:c r="DC3" s="703" t="s">
        <x:v>722</x:v>
      </x:c>
      <x:c r="DE3" s="296"/>
      <x:c r="DF3" s="603" t="s">
        <x:v>415</x:v>
      </x:c>
      <x:c r="DG3" s="604">
        <x:f>'Job Info.'!$N8/2</x:f>
        <x:v>0.5</x:v>
      </x:c>
      <x:c r="DH3" s="704">
        <x:f>'Job Info.'!$H8</x:f>
        <x:v>2.5</x:v>
      </x:c>
      <x:c r="DI3" s="468">
        <x:f>'Job Info.'!$J8</x:f>
        <x:v>4</x:v>
      </x:c>
      <x:c r="DJ3" s="468">
        <x:f>'Job Info.'!$I8</x:f>
        <x:v>2.5</x:v>
      </x:c>
      <x:c r="DK3" s="468">
        <x:f>'Job Info.'!$K8</x:f>
        <x:v>3.5</x:v>
      </x:c>
      <x:c r="DL3" s="469">
        <x:f>'Job Info.'!$M8</x:f>
        <x:v>0.5625</x:v>
      </x:c>
      <x:c r="DM3" s="468">
        <x:f>'Job Info.'!$L8</x:f>
        <x:v>1.5</x:v>
      </x:c>
      <x:c r="DN3" s="265">
        <x:f>'Job Info.'!$O8</x:f>
        <x:v>2.5</x:v>
      </x:c>
      <x:c r="DO3" s="296"/>
      <x:c r="DP3" s="296"/>
      <x:c r="DQ3" s="296"/>
      <x:c r="DR3" s="296"/>
      <x:c r="DS3" s="296"/>
      <x:c r="DT3" s="296"/>
      <x:c r="DU3" s="296"/>
      <x:c r="DV3" s="296"/>
      <x:c r="DW3" s="296"/>
      <x:c r="DX3" s="296"/>
      <x:c r="DY3" s="296"/>
      <x:c r="DZ3" s="296"/>
      <x:c r="EA3" s="296"/>
      <x:c r="EB3" s="296"/>
      <x:c r="EC3" s="296"/>
      <x:c r="ED3" s="296"/>
      <x:c r="EE3" s="296"/>
      <x:c r="EF3" s="296"/>
      <x:c r="EG3" s="296"/>
      <x:c r="EH3" s="296"/>
      <x:c r="EI3" s="296"/>
      <x:c r="EJ3" s="296"/>
      <x:c r="EK3" s="296"/>
      <x:c r="EL3" s="296"/>
      <x:c r="EM3" s="296"/>
      <x:c r="EN3" s="296"/>
      <x:c r="EO3" s="296"/>
      <x:c r="EP3" s="296"/>
      <x:c r="EQ3" s="296"/>
      <x:c r="ER3" s="296"/>
      <x:c r="ES3" s="296"/>
      <x:c r="ET3" s="296"/>
      <x:c r="EU3" s="296"/>
      <x:c r="EV3" s="296"/>
      <x:c r="EW3" s="296"/>
      <x:c r="EX3" s="303"/>
      <x:c r="EY3" s="303"/>
      <x:c r="EZ3" s="303"/>
      <x:c r="FA3" s="303"/>
      <x:c r="FB3" s="296"/>
      <x:c r="FC3" s="296"/>
      <x:c r="FD3" s="296"/>
      <x:c r="FE3" s="296"/>
      <x:c r="FF3" s="296"/>
      <x:c r="FG3" s="296"/>
      <x:c r="FH3" s="296"/>
      <x:c r="FI3" s="296"/>
      <x:c r="FJ3" s="295"/>
      <x:c r="FK3" s="295"/>
      <x:c r="FL3" s="295"/>
      <x:c r="FM3" s="295"/>
      <x:c r="FN3" s="295"/>
      <x:c r="FO3" s="295"/>
      <x:c r="FP3" s="295"/>
      <x:c r="FQ3" s="295"/>
      <x:c r="FR3" s="295"/>
      <x:c r="FS3" s="295"/>
      <x:c r="FT3" s="295"/>
      <x:c r="FU3" s="295"/>
      <x:c r="FV3" s="295"/>
      <x:c r="FW3" s="295"/>
      <x:c r="FX3" s="295"/>
      <x:c r="FY3" s="295"/>
      <x:c r="FZ3" s="295"/>
      <x:c r="GA3" s="473"/>
      <x:c r="GB3" s="473"/>
      <x:c r="GC3" s="473"/>
      <x:c r="GD3" s="473"/>
      <x:c r="GE3" s="473"/>
      <x:c r="GF3" s="473"/>
      <x:c r="GG3" s="473"/>
      <x:c r="GH3" s="473"/>
      <x:c r="GI3" s="473"/>
      <x:c r="GJ3" s="473"/>
      <x:c r="GK3" s="295"/>
      <x:c r="GL3" s="295"/>
      <x:c r="GM3" s="295"/>
      <x:c r="GN3" s="295"/>
      <x:c r="GO3" s="295"/>
      <x:c r="GP3" s="295"/>
      <x:c r="GQ3" s="295"/>
      <x:c r="GR3" s="295"/>
      <x:c r="GS3" s="295"/>
      <x:c r="GT3" s="295"/>
      <x:c r="GU3" s="295"/>
      <x:c r="GV3" s="295"/>
      <x:c r="GW3" s="295"/>
      <x:c r="GX3" s="295"/>
      <x:c r="GY3" s="295"/>
      <x:c r="GZ3" s="295"/>
      <x:c r="HA3" s="295"/>
      <x:c r="HB3" s="295"/>
      <x:c r="HC3" s="295"/>
      <x:c r="HD3" s="297"/>
      <x:c r="HE3" s="453"/>
      <x:c r="HF3" s="295"/>
      <x:c r="HG3" s="295"/>
      <x:c r="HH3" s="295"/>
      <x:c r="HI3" s="295"/>
      <x:c r="HJ3" s="295"/>
      <x:c r="HK3" s="295"/>
      <x:c r="HL3" s="295"/>
      <x:c r="HM3" s="295"/>
      <x:c r="HN3" s="295"/>
      <x:c r="HO3" s="295"/>
      <x:c r="HP3" s="295"/>
      <x:c r="HQ3" s="295"/>
      <x:c r="HR3" s="295"/>
      <x:c r="HS3" s="295"/>
      <x:c r="HT3" s="295"/>
      <x:c r="HU3" s="295"/>
      <x:c r="HV3" s="295"/>
      <x:c r="HW3" s="295"/>
      <x:c r="HX3" s="295"/>
    </x:row>
    <x:row r="4" spans="1:241" s="449" customFormat="1" ht="12.95" customHeight="1" thickTop="1" thickBot="1" x14ac:dyDescent="0.3">
      <x:c r="A4" s="444"/>
      <x:c r="B4" s="444"/>
      <x:c r="C4" s="444"/>
      <x:c r="D4" s="444"/>
      <x:c r="E4" s="444"/>
      <x:c r="F4" s="444"/>
      <x:c r="G4" s="444"/>
      <x:c r="H4" s="444"/>
      <x:c r="I4" s="444"/>
      <x:c r="J4" s="444"/>
      <x:c r="K4" s="444"/>
      <x:c r="L4" s="444"/>
      <x:c r="M4" s="444"/>
      <x:c r="N4" s="444"/>
      <x:c r="O4" s="444"/>
      <x:c r="P4" s="2234" t="str">
        <x:f>IF(AD1="","",IF(VLOOKUP(AD1,'Job Info.'!X:Z,2,FALSE),VLOOKUP(AD1,'Job Info.'!X:Z,3,FALSE),""))</x:f>
        <x:v/>
      </x:c>
      <x:c r="Q4" s="2235"/>
      <x:c r="R4" s="2235"/>
      <x:c r="S4" s="2236"/>
      <x:c r="T4" s="444"/>
      <x:c r="U4" s="444"/>
      <x:c r="V4" s="445"/>
      <x:c r="W4" s="445"/>
      <x:c r="X4" s="1838" t="s">
        <x:v>98</x:v>
      </x:c>
      <x:c r="Y4" s="445"/>
      <x:c r="Z4" s="445"/>
      <x:c r="AA4" s="1827" t="str">
        <x:f ca="1">'Job Info.'!D15</x:f>
        <x:v>775-867-2060</x:v>
      </x:c>
      <x:c r="AB4" s="455"/>
      <x:c r="AI4" s="448"/>
      <x:c r="BA4" s="307"/>
      <x:c r="BB4" s="293"/>
      <x:c r="BC4" s="293"/>
      <x:c r="BD4" s="293"/>
      <x:c r="BE4" s="293"/>
      <x:c r="BF4" s="293"/>
      <x:c r="BG4" s="293"/>
      <x:c r="BH4" s="293"/>
      <x:c r="BI4" s="293"/>
      <x:c r="BJ4" s="293"/>
      <x:c r="BK4" s="293"/>
      <x:c r="BL4" s="293"/>
      <x:c r="BM4" s="305"/>
      <x:c r="BN4" s="293"/>
      <x:c r="BO4" s="293"/>
      <x:c r="BP4" s="293"/>
      <x:c r="BQ4" s="293"/>
      <x:c r="BR4" s="293"/>
      <x:c r="BS4" s="293"/>
      <x:c r="BT4" s="293"/>
      <x:c r="BU4" s="293"/>
      <x:c r="BV4" s="293"/>
      <x:c r="BW4" s="293"/>
      <x:c r="BX4" s="293"/>
      <x:c r="BY4" s="293"/>
      <x:c r="BZ4" s="293"/>
      <x:c r="CA4" s="293"/>
      <x:c r="CB4" s="293"/>
      <x:c r="CC4" s="243"/>
      <x:c r="CD4" s="462"/>
      <x:c r="CE4" s="463"/>
      <x:c r="CF4" s="292"/>
      <x:c r="CG4" s="292"/>
      <x:c r="CH4" s="292"/>
      <x:c r="CI4" s="292"/>
      <x:c r="CJ4" s="294"/>
      <x:c r="CK4" s="444"/>
      <x:c r="CL4" s="444"/>
      <x:c r="CM4" s="444"/>
      <x:c r="CN4" s="444"/>
      <x:c r="CO4" s="444"/>
      <x:c r="CP4" s="292"/>
      <x:c r="CQ4" s="292"/>
      <x:c r="CR4" s="444"/>
      <x:c r="CS4" s="444"/>
      <x:c r="CU4" s="705" t="s">
        <x:v>74</x:v>
      </x:c>
      <x:c r="CV4" s="706">
        <x:f>'Job Info.'!$N$7</x:f>
        <x:v>1</x:v>
      </x:c>
      <x:c r="CW4" s="707">
        <x:f>'Job Info.'!$H$7</x:f>
        <x:v>2.5</x:v>
      </x:c>
      <x:c r="CX4" s="708">
        <x:f>'Job Info.'!$J$7</x:f>
        <x:v>4</x:v>
      </x:c>
      <x:c r="CY4" s="708">
        <x:f>'Job Info.'!$I$7</x:f>
        <x:v>2.5</x:v>
      </x:c>
      <x:c r="CZ4" s="708">
        <x:f>'Job Info.'!$K$7</x:f>
        <x:v>3.5</x:v>
      </x:c>
      <x:c r="DA4" s="709">
        <x:f>'Job Info.'!$M$7</x:f>
        <x:v>0.5625</x:v>
      </x:c>
      <x:c r="DB4" s="708">
        <x:f>'Job Info.'!$L$7</x:f>
        <x:v>1.5</x:v>
      </x:c>
      <x:c r="DC4" s="710">
        <x:f>'Job Info.'!$O$7</x:f>
        <x:v>2.5</x:v>
      </x:c>
      <x:c r="DE4" s="296"/>
      <x:c r="DF4" s="603" t="s">
        <x:v>76</x:v>
      </x:c>
      <x:c r="DG4" s="604">
        <x:f>'Job Info.'!$N9/2</x:f>
        <x:v>0.5</x:v>
      </x:c>
      <x:c r="DH4" s="704">
        <x:f>'Job Info.'!$H9</x:f>
        <x:v>2.5</x:v>
      </x:c>
      <x:c r="DI4" s="468">
        <x:f>'Job Info.'!$J9</x:f>
        <x:v>4</x:v>
      </x:c>
      <x:c r="DJ4" s="468">
        <x:f>'Job Info.'!$I9</x:f>
        <x:v>2.5</x:v>
      </x:c>
      <x:c r="DK4" s="468">
        <x:f>'Job Info.'!$K9</x:f>
        <x:v>3.5</x:v>
      </x:c>
      <x:c r="DL4" s="469">
        <x:f>'Job Info.'!$M9</x:f>
        <x:v>0.5625</x:v>
      </x:c>
      <x:c r="DM4" s="468">
        <x:f>'Job Info.'!$L9</x:f>
        <x:v>1.5</x:v>
      </x:c>
      <x:c r="DN4" s="265">
        <x:f>'Job Info.'!$O9</x:f>
        <x:v>2.5</x:v>
      </x:c>
      <x:c r="DO4" s="296"/>
      <x:c r="DP4" s="296"/>
      <x:c r="DQ4" s="296"/>
      <x:c r="DR4" s="296"/>
      <x:c r="DS4" s="296"/>
      <x:c r="DT4" s="296"/>
      <x:c r="DU4" s="296"/>
      <x:c r="DV4" s="296"/>
      <x:c r="DW4" s="296"/>
      <x:c r="DX4" s="296"/>
      <x:c r="DY4" s="296"/>
      <x:c r="DZ4" s="296"/>
      <x:c r="EA4" s="296"/>
      <x:c r="EB4" s="296"/>
      <x:c r="EC4" s="296"/>
      <x:c r="ED4" s="296"/>
      <x:c r="EE4" s="296"/>
      <x:c r="EF4" s="296"/>
      <x:c r="EG4" s="296"/>
      <x:c r="EH4" s="296"/>
      <x:c r="EI4" s="296"/>
      <x:c r="EJ4" s="296"/>
      <x:c r="EK4" s="296"/>
      <x:c r="EL4" s="296"/>
      <x:c r="EM4" s="296"/>
      <x:c r="EN4" s="296"/>
      <x:c r="EO4" s="296"/>
      <x:c r="EP4" s="296"/>
      <x:c r="EQ4" s="296"/>
      <x:c r="ER4" s="296"/>
      <x:c r="ES4" s="296"/>
      <x:c r="ET4" s="296"/>
      <x:c r="EU4" s="296"/>
      <x:c r="EV4" s="296"/>
      <x:c r="EW4" s="296"/>
      <x:c r="EX4" s="303"/>
      <x:c r="EY4" s="303"/>
      <x:c r="EZ4" s="303"/>
      <x:c r="FA4" s="303"/>
      <x:c r="FB4" s="296"/>
      <x:c r="FC4" s="296"/>
      <x:c r="FD4" s="296"/>
      <x:c r="FE4" s="296"/>
      <x:c r="FF4" s="296"/>
      <x:c r="FG4" s="296"/>
      <x:c r="FH4" s="296"/>
      <x:c r="FI4" s="296"/>
      <x:c r="FJ4" s="295"/>
      <x:c r="FK4" s="295"/>
      <x:c r="FL4" s="295"/>
      <x:c r="FM4" s="295"/>
      <x:c r="FN4" s="295"/>
      <x:c r="FO4" s="295"/>
      <x:c r="FP4" s="295"/>
      <x:c r="FQ4" s="295"/>
      <x:c r="FR4" s="295"/>
      <x:c r="FS4" s="295"/>
      <x:c r="FT4" s="295"/>
      <x:c r="FU4" s="295"/>
      <x:c r="FV4" s="295"/>
      <x:c r="FW4" s="295"/>
      <x:c r="FX4" s="295"/>
      <x:c r="FY4" s="295"/>
      <x:c r="FZ4" s="295"/>
      <x:c r="GA4" s="473"/>
      <x:c r="GB4" s="473"/>
      <x:c r="GC4" s="473"/>
      <x:c r="GD4" s="473"/>
      <x:c r="GE4" s="473"/>
      <x:c r="GF4" s="473"/>
      <x:c r="GG4" s="473"/>
      <x:c r="GH4" s="473"/>
      <x:c r="GI4" s="473"/>
      <x:c r="GJ4" s="473"/>
      <x:c r="GK4" s="295"/>
      <x:c r="GL4" s="295"/>
      <x:c r="GM4" s="295"/>
      <x:c r="GN4" s="295"/>
      <x:c r="GO4" s="295"/>
      <x:c r="GP4" s="295"/>
      <x:c r="GQ4" s="295"/>
      <x:c r="GR4" s="295"/>
      <x:c r="GS4" s="295"/>
      <x:c r="GT4" s="295"/>
      <x:c r="GU4" s="295"/>
      <x:c r="GV4" s="295"/>
      <x:c r="GW4" s="295"/>
      <x:c r="GX4" s="295"/>
      <x:c r="GY4" s="295"/>
      <x:c r="GZ4" s="295"/>
      <x:c r="HA4" s="295"/>
      <x:c r="HB4" s="295"/>
      <x:c r="HC4" s="295"/>
      <x:c r="HD4" s="297"/>
      <x:c r="HE4" s="453"/>
      <x:c r="HF4" s="295"/>
      <x:c r="HG4" s="295"/>
      <x:c r="HH4" s="295"/>
      <x:c r="HI4" s="295"/>
      <x:c r="HJ4" s="295"/>
      <x:c r="HK4" s="295"/>
      <x:c r="HL4" s="295"/>
      <x:c r="HM4" s="295"/>
      <x:c r="HN4" s="295"/>
      <x:c r="HO4" s="295"/>
      <x:c r="HP4" s="295"/>
      <x:c r="HQ4" s="295"/>
      <x:c r="HR4" s="295"/>
      <x:c r="HS4" s="295"/>
      <x:c r="HT4" s="295"/>
      <x:c r="HU4" s="295"/>
      <x:c r="HV4" s="295"/>
      <x:c r="HW4" s="295"/>
      <x:c r="HX4" s="295"/>
    </x:row>
    <x:row r="5" spans="1:241" s="449" customFormat="1" ht="12.95" customHeight="1" thickTop="1" x14ac:dyDescent="0.25">
      <x:c r="A5" s="2450" t="str">
        <x:f ca="1">'Job Info.'!D11</x:f>
        <x:v>8200 Woolery Way | Fallon, NV 89406 | www.newmill.com</x:v>
      </x:c>
      <x:c r="B5" s="2790"/>
      <x:c r="C5" s="2790"/>
      <x:c r="D5" s="2790"/>
      <x:c r="E5" s="2790"/>
      <x:c r="F5" s="2790"/>
      <x:c r="G5" s="2790"/>
      <x:c r="H5" s="2790"/>
      <x:c r="I5" s="2790"/>
      <x:c r="J5" s="2790"/>
      <x:c r="K5" s="2790"/>
      <x:c r="L5" s="2790"/>
      <x:c r="M5" s="2790"/>
      <x:c r="N5" s="444"/>
      <x:c r="O5" s="444"/>
      <x:c r="P5" s="444"/>
      <x:c r="Q5" s="444"/>
      <x:c r="R5" s="444"/>
      <x:c r="S5" s="444"/>
      <x:c r="T5" s="444"/>
      <x:c r="U5" s="444"/>
      <x:c r="V5" s="444"/>
      <x:c r="W5" s="444"/>
      <x:c r="X5" s="444"/>
      <x:c r="Y5" s="444"/>
      <x:c r="Z5" s="444"/>
      <x:c r="AA5" s="444"/>
      <x:c r="AI5" s="448"/>
      <x:c r="BA5" s="307"/>
      <x:c r="BB5" s="293"/>
      <x:c r="BC5" s="293"/>
      <x:c r="BD5" s="293"/>
      <x:c r="BE5" s="293"/>
      <x:c r="BF5" s="293"/>
      <x:c r="BG5" s="293"/>
      <x:c r="BH5" s="293"/>
      <x:c r="BI5" s="293"/>
      <x:c r="BJ5" s="293"/>
      <x:c r="BK5" s="293"/>
      <x:c r="BL5" s="293"/>
      <x:c r="BM5" s="306"/>
      <x:c r="BN5" s="293"/>
      <x:c r="BO5" s="293"/>
      <x:c r="BP5" s="293"/>
      <x:c r="BQ5" s="293"/>
      <x:c r="BR5" s="293"/>
      <x:c r="BS5" s="293"/>
      <x:c r="BT5" s="293"/>
      <x:c r="BU5" s="293"/>
      <x:c r="BV5" s="293"/>
      <x:c r="BW5" s="293"/>
      <x:c r="BX5" s="293"/>
      <x:c r="BY5" s="293"/>
      <x:c r="BZ5" s="293"/>
      <x:c r="CA5" s="293"/>
      <x:c r="CB5" s="293"/>
      <x:c r="CC5" s="243"/>
      <x:c r="CD5" s="293"/>
      <x:c r="CE5" s="293"/>
      <x:c r="CF5" s="292"/>
      <x:c r="CG5" s="292"/>
      <x:c r="CH5" s="292"/>
      <x:c r="CI5" s="292"/>
      <x:c r="CJ5" s="294"/>
      <x:c r="CK5" s="294"/>
      <x:c r="CL5" s="294"/>
      <x:c r="CM5" s="294"/>
      <x:c r="CN5" s="294"/>
      <x:c r="CO5" s="294"/>
      <x:c r="CP5" s="292"/>
      <x:c r="CQ5" s="292"/>
      <x:c r="CR5" s="444"/>
      <x:c r="CS5" s="444"/>
      <x:c r="CU5" s="711" t="s">
        <x:v>75</x:v>
      </x:c>
      <x:c r="CV5" s="712">
        <x:f>'Job Info.'!$N$8</x:f>
        <x:v>1</x:v>
      </x:c>
      <x:c r="CW5" s="713">
        <x:f>'Job Info.'!$H$8</x:f>
        <x:v>2.5</x:v>
      </x:c>
      <x:c r="CX5" s="713">
        <x:f>'Job Info.'!$J$8</x:f>
        <x:v>4</x:v>
      </x:c>
      <x:c r="CY5" s="713">
        <x:f>'Job Info.'!$I$8</x:f>
        <x:v>2.5</x:v>
      </x:c>
      <x:c r="CZ5" s="713">
        <x:f>'Job Info.'!$K$8</x:f>
        <x:v>3.5</x:v>
      </x:c>
      <x:c r="DA5" s="714">
        <x:f>'Job Info.'!$M$8</x:f>
        <x:v>0.5625</x:v>
      </x:c>
      <x:c r="DB5" s="713">
        <x:f>'Job Info.'!$L$8</x:f>
        <x:v>1.5</x:v>
      </x:c>
      <x:c r="DC5" s="715">
        <x:f>'Job Info.'!$O$8</x:f>
        <x:v>2.5</x:v>
      </x:c>
      <x:c r="DE5" s="296"/>
      <x:c r="DF5" s="603" t="s">
        <x:v>1157</x:v>
      </x:c>
      <x:c r="DG5" s="604">
        <x:f>'Job Info.'!$N10/2</x:f>
        <x:v>1</x:v>
      </x:c>
      <x:c r="DH5" s="468">
        <x:f>'Job Info.'!$H10</x:f>
        <x:v>5</x:v>
      </x:c>
      <x:c r="DI5" s="468">
        <x:f>'Job Info.'!$J10</x:f>
        <x:v>6</x:v>
      </x:c>
      <x:c r="DJ5" s="468">
        <x:f>'Job Info.'!$I10</x:f>
        <x:v>2.5</x:v>
      </x:c>
      <x:c r="DK5" s="468">
        <x:f>'Job Info.'!$K10</x:f>
        <x:v>4</x:v>
      </x:c>
      <x:c r="DL5" s="469">
        <x:f>'Job Info.'!$M10</x:f>
        <x:v>0.8125</x:v>
      </x:c>
      <x:c r="DM5" s="468">
        <x:f>'Job Info.'!$L10</x:f>
        <x:v>1.5</x:v>
      </x:c>
      <x:c r="DN5" s="265">
        <x:f>'Job Info.'!$O10</x:f>
        <x:v>4</x:v>
      </x:c>
      <x:c r="DO5" s="296"/>
      <x:c r="DP5" s="296"/>
      <x:c r="DQ5" s="296"/>
      <x:c r="DR5" s="296"/>
      <x:c r="DS5" s="296"/>
      <x:c r="DT5" s="296"/>
      <x:c r="DU5" s="296"/>
      <x:c r="DV5" s="296"/>
      <x:c r="DW5" s="296"/>
      <x:c r="DX5" s="296"/>
      <x:c r="DY5" s="296"/>
      <x:c r="DZ5" s="296"/>
      <x:c r="EA5" s="296"/>
      <x:c r="EB5" s="296"/>
      <x:c r="EC5" s="296"/>
      <x:c r="ED5" s="296"/>
      <x:c r="EE5" s="296"/>
      <x:c r="EF5" s="296"/>
      <x:c r="EG5" s="296"/>
      <x:c r="EH5" s="296"/>
      <x:c r="EI5" s="296"/>
      <x:c r="EJ5" s="296"/>
      <x:c r="EK5" s="296"/>
      <x:c r="EL5" s="296"/>
      <x:c r="EM5" s="296"/>
      <x:c r="EN5" s="296"/>
      <x:c r="EO5" s="296"/>
      <x:c r="EP5" s="296"/>
      <x:c r="EQ5" s="296"/>
      <x:c r="ER5" s="296"/>
      <x:c r="ES5" s="296"/>
      <x:c r="ET5" s="296"/>
      <x:c r="EU5" s="296"/>
      <x:c r="EV5" s="296"/>
      <x:c r="EW5" s="296"/>
      <x:c r="EX5" s="303"/>
      <x:c r="EY5" s="303"/>
      <x:c r="EZ5" s="303"/>
      <x:c r="FA5" s="303"/>
      <x:c r="FB5" s="296"/>
      <x:c r="FC5" s="296"/>
      <x:c r="FD5" s="296"/>
      <x:c r="FE5" s="296"/>
      <x:c r="FF5" s="296"/>
      <x:c r="FG5" s="296"/>
      <x:c r="FH5" s="296"/>
      <x:c r="FI5" s="296"/>
      <x:c r="FJ5" s="295"/>
      <x:c r="FK5" s="295"/>
      <x:c r="FL5" s="295"/>
      <x:c r="FM5" s="295"/>
      <x:c r="FN5" s="295"/>
      <x:c r="FO5" s="295"/>
      <x:c r="FP5" s="295"/>
      <x:c r="FQ5" s="295"/>
      <x:c r="FR5" s="295"/>
      <x:c r="FS5" s="295"/>
      <x:c r="FT5" s="295"/>
      <x:c r="FU5" s="295"/>
      <x:c r="FV5" s="295"/>
      <x:c r="FW5" s="295"/>
      <x:c r="FX5" s="295"/>
      <x:c r="FY5" s="295"/>
      <x:c r="FZ5" s="295"/>
      <x:c r="GA5" s="473"/>
      <x:c r="GB5" s="473"/>
      <x:c r="GC5" s="473"/>
      <x:c r="GD5" s="473"/>
      <x:c r="GE5" s="473"/>
      <x:c r="GF5" s="473"/>
      <x:c r="GG5" s="473"/>
      <x:c r="GH5" s="473"/>
      <x:c r="GI5" s="473"/>
      <x:c r="GJ5" s="473"/>
      <x:c r="GK5" s="295"/>
      <x:c r="GL5" s="295"/>
      <x:c r="GM5" s="295"/>
      <x:c r="GN5" s="295"/>
      <x:c r="GO5" s="295"/>
      <x:c r="GP5" s="295"/>
      <x:c r="GQ5" s="295"/>
      <x:c r="GR5" s="295"/>
      <x:c r="GS5" s="295"/>
      <x:c r="GT5" s="295"/>
      <x:c r="GU5" s="295"/>
      <x:c r="GV5" s="295"/>
      <x:c r="GW5" s="295"/>
      <x:c r="GX5" s="295"/>
      <x:c r="GY5" s="295"/>
      <x:c r="GZ5" s="295"/>
      <x:c r="HA5" s="295"/>
      <x:c r="HB5" s="295"/>
      <x:c r="HC5" s="295"/>
      <x:c r="HD5" s="297"/>
      <x:c r="HE5" s="453"/>
      <x:c r="HF5" s="295"/>
      <x:c r="HG5" s="295"/>
      <x:c r="HH5" s="295"/>
      <x:c r="HI5" s="295"/>
      <x:c r="HJ5" s="295"/>
      <x:c r="HK5" s="295"/>
      <x:c r="HL5" s="295"/>
      <x:c r="HM5" s="295"/>
      <x:c r="HN5" s="295"/>
      <x:c r="HO5" s="295"/>
      <x:c r="HP5" s="295"/>
      <x:c r="HQ5" s="295"/>
      <x:c r="HR5" s="295"/>
      <x:c r="HS5" s="295"/>
      <x:c r="HT5" s="295"/>
      <x:c r="HU5" s="295"/>
      <x:c r="HV5" s="295"/>
      <x:c r="HW5" s="295"/>
      <x:c r="HX5" s="295"/>
    </x:row>
    <x:row r="6" spans="1:241" s="449" customFormat="1" ht="12.95" customHeight="1" thickBot="1" x14ac:dyDescent="0.3">
      <x:c r="A6" s="444"/>
      <x:c r="B6" s="444"/>
      <x:c r="C6" s="444"/>
      <x:c r="D6" s="444"/>
      <x:c r="E6" s="444"/>
      <x:c r="F6" s="444"/>
      <x:c r="G6" s="444"/>
      <x:c r="H6" s="444"/>
      <x:c r="I6" s="444"/>
      <x:c r="J6" s="444"/>
      <x:c r="K6" s="444"/>
      <x:c r="L6" s="444"/>
      <x:c r="M6" s="2431" t="str">
        <x:f>IF(NOT(ISERROR(FIND("galv",LOWER($M$7)))),"**USE STEEL TAGS**  **NO A490 BOLTS**","")</x:f>
        <x:v/>
      </x:c>
      <x:c r="N6" s="2432"/>
      <x:c r="O6" s="2432"/>
      <x:c r="P6" s="2432"/>
      <x:c r="Q6" s="2432"/>
      <x:c r="R6" s="2432"/>
      <x:c r="S6" s="2432"/>
      <x:c r="T6" s="2432"/>
      <x:c r="U6" s="1402"/>
      <x:c r="V6" s="444"/>
      <x:c r="W6" s="444"/>
      <x:c r="X6" s="1836" t="s">
        <x:v>20</x:v>
      </x:c>
      <x:c r="Y6" s="2300">
        <x:f>IF(ISBLANK('Job Info.'!D8),"",'Job Info.'!D8)</x:f>
        <x:v>43406</x:v>
      </x:c>
      <x:c r="Z6" s="2300"/>
      <x:c r="AA6" s="471"/>
      <x:c r="AB6" s="446"/>
      <x:c r="AC6" s="1392" t="s">
        <x:v>1180</x:v>
      </x:c>
      <x:c r="AI6" s="448"/>
      <x:c r="AZ6" s="450"/>
      <x:c r="BA6" s="307"/>
      <x:c r="BB6" s="293"/>
      <x:c r="BC6" s="293"/>
      <x:c r="BD6" s="293"/>
      <x:c r="BE6" s="293"/>
      <x:c r="BF6" s="293"/>
      <x:c r="BG6" s="293"/>
      <x:c r="BH6" s="293"/>
      <x:c r="BI6" s="293"/>
      <x:c r="BJ6" s="293"/>
      <x:c r="BK6" s="293"/>
      <x:c r="BL6" s="293"/>
      <x:c r="BM6" s="293"/>
      <x:c r="BN6" s="293"/>
      <x:c r="BO6" s="293"/>
      <x:c r="BP6" s="293"/>
      <x:c r="BQ6" s="293"/>
      <x:c r="BR6" s="293"/>
      <x:c r="BS6" s="293"/>
      <x:c r="BT6" s="293"/>
      <x:c r="BU6" s="293"/>
      <x:c r="BV6" s="293"/>
      <x:c r="BW6" s="293"/>
      <x:c r="BX6" s="293"/>
      <x:c r="BY6" s="293"/>
      <x:c r="BZ6" s="293"/>
      <x:c r="CA6" s="293"/>
      <x:c r="CB6" s="293"/>
      <x:c r="CC6" s="243"/>
      <x:c r="CD6" s="462"/>
      <x:c r="CE6" s="293"/>
      <x:c r="CF6" s="292"/>
      <x:c r="CG6" s="292"/>
      <x:c r="CH6" s="292"/>
      <x:c r="CI6" s="292"/>
      <x:c r="CJ6" s="668"/>
      <x:c r="CK6" s="668"/>
      <x:c r="CL6" s="668"/>
      <x:c r="CM6" s="668"/>
      <x:c r="CN6" s="668"/>
      <x:c r="CO6" s="668"/>
      <x:c r="CP6" s="292"/>
      <x:c r="CQ6" s="292"/>
      <x:c r="CR6" s="444"/>
      <x:c r="CS6" s="292"/>
      <x:c r="CU6" s="716" t="s">
        <x:v>416</x:v>
      </x:c>
      <x:c r="CV6" s="717">
        <x:f>'Job Info.'!$N$8</x:f>
        <x:v>1</x:v>
      </x:c>
      <x:c r="CW6" s="718">
        <x:f>'Job Info.'!$H$8</x:f>
        <x:v>2.5</x:v>
      </x:c>
      <x:c r="CX6" s="718">
        <x:f>'Job Info.'!$J$8</x:f>
        <x:v>4</x:v>
      </x:c>
      <x:c r="CY6" s="718">
        <x:f>'Job Info.'!$I$8</x:f>
        <x:v>2.5</x:v>
      </x:c>
      <x:c r="CZ6" s="718">
        <x:f>'Job Info.'!$K$8</x:f>
        <x:v>3.5</x:v>
      </x:c>
      <x:c r="DA6" s="719">
        <x:f>'Job Info.'!$M$8</x:f>
        <x:v>0.5625</x:v>
      </x:c>
      <x:c r="DB6" s="718">
        <x:f>'Job Info.'!$L$8</x:f>
        <x:v>1.5</x:v>
      </x:c>
      <x:c r="DC6" s="720">
        <x:f>'Job Info.'!$O$15</x:f>
        <x:v>5</x:v>
      </x:c>
      <x:c r="DD6" s="296"/>
      <x:c r="DE6" s="296"/>
      <x:c r="DF6" s="603" t="s">
        <x:v>75</x:v>
      </x:c>
      <x:c r="DG6" s="604">
        <x:f>'Job Info.'!$N11/2</x:f>
        <x:v>1</x:v>
      </x:c>
      <x:c r="DH6" s="468">
        <x:f>'Job Info.'!$H11</x:f>
        <x:v>5</x:v>
      </x:c>
      <x:c r="DI6" s="468">
        <x:f>'Job Info.'!$J11</x:f>
        <x:v>6</x:v>
      </x:c>
      <x:c r="DJ6" s="468">
        <x:f>'Job Info.'!$I11</x:f>
        <x:v>4</x:v>
      </x:c>
      <x:c r="DK6" s="468">
        <x:f>'Job Info.'!$K11</x:f>
        <x:v>4</x:v>
      </x:c>
      <x:c r="DL6" s="469">
        <x:f>'Job Info.'!$M11</x:f>
        <x:v>0.8125</x:v>
      </x:c>
      <x:c r="DM6" s="468">
        <x:f>'Job Info.'!$L11</x:f>
        <x:v>1.5</x:v>
      </x:c>
      <x:c r="DN6" s="265">
        <x:f>'Job Info.'!$O11</x:f>
        <x:v>4</x:v>
      </x:c>
      <x:c r="DO6" s="296"/>
      <x:c r="DP6" s="296"/>
      <x:c r="DQ6" s="296"/>
      <x:c r="DR6" s="296"/>
      <x:c r="DS6" s="296"/>
      <x:c r="DT6" s="296"/>
      <x:c r="DU6" s="296"/>
      <x:c r="DV6" s="296"/>
      <x:c r="DW6" s="296"/>
      <x:c r="DX6" s="296"/>
      <x:c r="DY6" s="296"/>
      <x:c r="DZ6" s="296"/>
      <x:c r="EA6" s="296"/>
      <x:c r="EB6" s="296"/>
      <x:c r="EC6" s="296"/>
      <x:c r="ED6" s="296"/>
      <x:c r="EE6" s="296"/>
      <x:c r="EF6" s="296"/>
      <x:c r="EG6" s="296"/>
      <x:c r="EH6" s="296"/>
      <x:c r="EI6" s="296"/>
      <x:c r="EJ6" s="296"/>
      <x:c r="EK6" s="296"/>
      <x:c r="EL6" s="296"/>
      <x:c r="EM6" s="296"/>
      <x:c r="EN6" s="296"/>
      <x:c r="EO6" s="296"/>
      <x:c r="EP6" s="296"/>
      <x:c r="EQ6" s="296"/>
      <x:c r="ER6" s="296"/>
      <x:c r="ES6" s="296"/>
      <x:c r="ET6" s="296"/>
      <x:c r="EU6" s="296"/>
      <x:c r="EV6" s="296"/>
      <x:c r="EW6" s="296"/>
      <x:c r="EX6" s="774"/>
      <x:c r="EY6" s="303"/>
      <x:c r="EZ6" s="303"/>
      <x:c r="FA6" s="303"/>
      <x:c r="FB6" s="296"/>
      <x:c r="FC6" s="296"/>
      <x:c r="FD6" s="296"/>
      <x:c r="FE6" s="296"/>
      <x:c r="FF6" s="296"/>
      <x:c r="FG6" s="296"/>
      <x:c r="FH6" s="296"/>
      <x:c r="FI6" s="296"/>
      <x:c r="FJ6" s="295"/>
      <x:c r="FK6" s="295"/>
      <x:c r="FL6" s="295"/>
      <x:c r="FM6" s="295"/>
      <x:c r="FN6" s="295"/>
      <x:c r="FO6" s="295"/>
      <x:c r="FP6" s="295"/>
      <x:c r="FQ6" s="295"/>
      <x:c r="FR6" s="295"/>
      <x:c r="FS6" s="295"/>
      <x:c r="FT6" s="295"/>
      <x:c r="FU6" s="295"/>
      <x:c r="FV6" s="295"/>
      <x:c r="FW6" s="295"/>
      <x:c r="FX6" s="295"/>
      <x:c r="FY6" s="295"/>
      <x:c r="FZ6" s="295"/>
      <x:c r="GA6" s="473"/>
      <x:c r="GB6" s="473"/>
      <x:c r="GC6" s="473"/>
      <x:c r="GD6" s="473"/>
      <x:c r="GE6" s="473"/>
      <x:c r="GF6" s="473"/>
      <x:c r="GG6" s="473"/>
      <x:c r="GH6" s="473"/>
      <x:c r="GI6" s="473"/>
      <x:c r="GJ6" s="473"/>
      <x:c r="GK6" s="295"/>
      <x:c r="GL6" s="295"/>
      <x:c r="GM6" s="295"/>
      <x:c r="GN6" s="295"/>
      <x:c r="GO6" s="295"/>
      <x:c r="GP6" s="295"/>
      <x:c r="GQ6" s="295"/>
      <x:c r="GR6" s="295"/>
      <x:c r="GS6" s="295"/>
      <x:c r="GT6" s="295"/>
      <x:c r="GU6" s="295"/>
      <x:c r="GV6" s="295"/>
      <x:c r="GW6" s="295"/>
      <x:c r="GX6" s="295"/>
      <x:c r="GY6" s="295"/>
      <x:c r="GZ6" s="295"/>
      <x:c r="HA6" s="295"/>
      <x:c r="HB6" s="295"/>
      <x:c r="HC6" s="295"/>
      <x:c r="HD6" s="297"/>
      <x:c r="HE6" s="453"/>
      <x:c r="HF6" s="295"/>
      <x:c r="HG6" s="295"/>
      <x:c r="HH6" s="295"/>
      <x:c r="HI6" s="295"/>
      <x:c r="HJ6" s="295"/>
      <x:c r="HK6" s="295"/>
      <x:c r="HL6" s="295"/>
      <x:c r="HM6" s="295"/>
      <x:c r="HN6" s="295"/>
      <x:c r="HO6" s="295"/>
      <x:c r="HP6" s="295"/>
      <x:c r="HQ6" s="295"/>
      <x:c r="HR6" s="295"/>
      <x:c r="HS6" s="295"/>
      <x:c r="HT6" s="295"/>
      <x:c r="HU6" s="295"/>
      <x:c r="HV6" s="295"/>
      <x:c r="HW6" s="295"/>
      <x:c r="HX6" s="295"/>
    </x:row>
    <x:row r="7" spans="1:241" ht="12.95" customHeight="1" x14ac:dyDescent="0.25">
      <x:c r="A7" s="472" t="s">
        <x:v>0</x:v>
      </x:c>
      <x:c r="B7" s="473"/>
      <x:c r="C7" s="473"/>
      <x:c r="D7" s="473"/>
      <x:c r="E7" s="473"/>
      <x:c r="F7" s="473"/>
      <x:c r="G7" s="473"/>
      <x:c r="H7" s="473"/>
      <x:c r="I7" s="473"/>
      <x:c r="J7" s="473"/>
      <x:c r="K7" s="444"/>
      <x:c r="L7" s="1836" t="s">
        <x:v>26</x:v>
      </x:c>
      <x:c r="M7" s="2799" t="s">
        <x:v>1951</x:v>
      </x:c>
      <x:c r="N7" s="2430"/>
      <x:c r="O7" s="2430"/>
      <x:c r="P7" s="2430"/>
      <x:c r="Q7" s="2430"/>
      <x:c r="R7" s="2430"/>
      <x:c r="S7" s="2430"/>
      <x:c r="T7" s="1837"/>
      <x:c r="U7" s="1402"/>
      <x:c r="V7" s="444"/>
      <x:c r="W7" s="444"/>
      <x:c r="X7" s="1835" t="s">
        <x:v>21</x:v>
      </x:c>
      <x:c r="Y7" s="1934" t="str">
        <x:f>CONCATENATE(AC7, " of ",IF(ISBLANK('Job Info.'!D9),"",'Job Info.'!D9))</x:f>
        <x:v>42 of 42</x:v>
      </x:c>
      <x:c r="Z7" s="822"/>
      <x:c r="AA7" s="444"/>
      <x:c r="AB7" s="449"/>
      <x:c r="AC7" s="1393">
        <x:v>42</x:v>
      </x:c>
      <x:c r="AL7" s="449"/>
      <x:c r="AM7" s="449"/>
      <x:c r="AN7" s="449"/>
      <x:c r="AO7" s="449"/>
      <x:c r="AP7" s="449"/>
      <x:c r="AQ7" s="449"/>
      <x:c r="AR7" s="449"/>
      <x:c r="BA7" s="307"/>
      <x:c r="BB7" s="293"/>
      <x:c r="BC7" s="293"/>
      <x:c r="BD7" s="293"/>
      <x:c r="BE7" s="293"/>
      <x:c r="BF7" s="293"/>
      <x:c r="BG7" s="293"/>
      <x:c r="BH7" s="293"/>
      <x:c r="BI7" s="293"/>
      <x:c r="BJ7" s="293"/>
      <x:c r="BK7" s="293"/>
      <x:c r="BL7" s="293"/>
      <x:c r="BM7" s="293"/>
      <x:c r="BN7" s="293"/>
      <x:c r="BO7" s="293"/>
      <x:c r="BP7" s="293"/>
      <x:c r="BQ7" s="293"/>
      <x:c r="BR7" s="293"/>
      <x:c r="BS7" s="293"/>
      <x:c r="BT7" s="293"/>
      <x:c r="BU7" s="293"/>
      <x:c r="BV7" s="293"/>
      <x:c r="BW7" s="293"/>
      <x:c r="BX7" s="293"/>
      <x:c r="BY7" s="293"/>
      <x:c r="BZ7" s="293"/>
      <x:c r="CA7" s="293"/>
      <x:c r="CB7" s="293"/>
      <x:c r="CC7" s="243"/>
      <x:c r="CD7" s="462"/>
      <x:c r="CE7" s="293"/>
      <x:c r="CF7" s="292"/>
      <x:c r="CG7" s="292"/>
      <x:c r="CH7" s="292"/>
      <x:c r="CI7" s="292"/>
      <x:c r="CJ7" s="292"/>
      <x:c r="CK7" s="292"/>
      <x:c r="CL7" s="292"/>
      <x:c r="CM7" s="292"/>
      <x:c r="CN7" s="292"/>
      <x:c r="CO7" s="292"/>
      <x:c r="CP7" s="292"/>
      <x:c r="CQ7" s="292"/>
      <x:c r="CR7" s="292"/>
      <x:c r="CS7" s="292"/>
      <x:c r="CT7" s="296"/>
      <x:c r="CU7" s="296"/>
      <x:c r="CV7" s="296"/>
      <x:c r="CW7" s="296"/>
      <x:c r="CX7" s="296"/>
      <x:c r="CY7" s="296"/>
      <x:c r="CZ7" s="296"/>
      <x:c r="DA7" s="296"/>
      <x:c r="DB7" s="296"/>
      <x:c r="DC7" s="296"/>
      <x:c r="DD7" s="296"/>
      <x:c r="DE7" s="296"/>
      <x:c r="DF7" s="603" t="s">
        <x:v>115</x:v>
      </x:c>
      <x:c r="DG7" s="604">
        <x:f>'Job Info.'!$N12/2</x:f>
        <x:v>1</x:v>
      </x:c>
      <x:c r="DH7" s="468">
        <x:f>'Job Info.'!$H12</x:f>
        <x:v>5</x:v>
      </x:c>
      <x:c r="DI7" s="468">
        <x:f>'Job Info.'!$J12</x:f>
        <x:v>6</x:v>
      </x:c>
      <x:c r="DJ7" s="468">
        <x:f>'Job Info.'!$I12</x:f>
        <x:v>4</x:v>
      </x:c>
      <x:c r="DK7" s="468">
        <x:f>'Job Info.'!$K12</x:f>
        <x:v>4</x:v>
      </x:c>
      <x:c r="DL7" s="469">
        <x:f>'Job Info.'!$M12</x:f>
        <x:v>0.8125</x:v>
      </x:c>
      <x:c r="DM7" s="468">
        <x:f>'Job Info.'!$L12</x:f>
        <x:v>1.5</x:v>
      </x:c>
      <x:c r="DN7" s="265">
        <x:f>'Job Info.'!$O12</x:f>
        <x:v>4</x:v>
      </x:c>
      <x:c r="DO7" s="296"/>
      <x:c r="DP7" s="296"/>
      <x:c r="DQ7" s="296"/>
      <x:c r="DR7" s="296"/>
      <x:c r="DS7" s="296"/>
      <x:c r="DT7" s="296"/>
      <x:c r="DU7" s="296"/>
      <x:c r="DV7" s="296"/>
      <x:c r="DW7" s="296"/>
      <x:c r="DX7" s="296"/>
      <x:c r="DY7" s="296"/>
      <x:c r="DZ7" s="296"/>
      <x:c r="EA7" s="296"/>
      <x:c r="EB7" s="296"/>
      <x:c r="EC7" s="296"/>
      <x:c r="ED7" s="296"/>
      <x:c r="EE7" s="296"/>
      <x:c r="EF7" s="296"/>
      <x:c r="EG7" s="296"/>
      <x:c r="EH7" s="296"/>
      <x:c r="EI7" s="296"/>
      <x:c r="EJ7" s="296"/>
      <x:c r="EK7" s="296"/>
      <x:c r="EL7" s="296"/>
      <x:c r="EM7" s="296"/>
      <x:c r="EN7" s="296"/>
      <x:c r="EO7" s="296"/>
      <x:c r="EP7" s="296"/>
      <x:c r="EQ7" s="296"/>
      <x:c r="ER7" s="296"/>
      <x:c r="ES7" s="296"/>
      <x:c r="ET7" s="296"/>
      <x:c r="EU7" s="296"/>
      <x:c r="EV7" s="296"/>
      <x:c r="EW7" s="296"/>
      <x:c r="EX7" s="303"/>
      <x:c r="EY7" s="303"/>
      <x:c r="EZ7" s="303"/>
      <x:c r="FA7" s="303"/>
      <x:c r="FB7" s="296"/>
      <x:c r="FC7" s="296"/>
      <x:c r="FD7" s="296"/>
      <x:c r="FE7" s="296"/>
      <x:c r="FF7" s="296"/>
      <x:c r="FG7" s="296"/>
      <x:c r="FH7" s="296"/>
      <x:c r="FI7" s="296"/>
      <x:c r="GA7" s="473"/>
      <x:c r="GB7" s="473"/>
      <x:c r="GC7" s="473"/>
      <x:c r="GD7" s="473"/>
      <x:c r="GE7" s="473"/>
      <x:c r="GF7" s="473"/>
      <x:c r="GG7" s="473"/>
      <x:c r="GH7" s="473"/>
      <x:c r="GI7" s="473"/>
      <x:c r="GJ7" s="473"/>
    </x:row>
    <x:row r="8" spans="1:241" ht="2.85" customHeight="1" x14ac:dyDescent="0.25">
      <x:c r="A8" s="473"/>
      <x:c r="B8" s="473"/>
      <x:c r="C8" s="473"/>
      <x:c r="D8" s="473"/>
      <x:c r="E8" s="473"/>
      <x:c r="F8" s="473"/>
      <x:c r="G8" s="473"/>
      <x:c r="H8" s="473"/>
      <x:c r="I8" s="473"/>
      <x:c r="J8" s="473"/>
      <x:c r="K8" s="473"/>
      <x:c r="L8" s="473"/>
      <x:c r="M8" s="473"/>
      <x:c r="N8" s="473"/>
      <x:c r="O8" s="444"/>
      <x:c r="P8" s="444"/>
      <x:c r="Q8" s="473"/>
      <x:c r="R8" s="444"/>
      <x:c r="S8" s="444"/>
      <x:c r="T8" s="473"/>
      <x:c r="U8" s="444"/>
      <x:c r="V8" s="444"/>
      <x:c r="W8" s="444"/>
      <x:c r="X8" s="444"/>
      <x:c r="Y8" s="444"/>
      <x:c r="Z8" s="444"/>
      <x:c r="AA8" s="444"/>
      <x:c r="AB8" s="449"/>
      <x:c r="AL8" s="449"/>
      <x:c r="AM8" s="449"/>
      <x:c r="AN8" s="449"/>
      <x:c r="AO8" s="449"/>
      <x:c r="AP8" s="449"/>
      <x:c r="AQ8" s="449"/>
      <x:c r="AR8" s="449"/>
      <x:c r="BA8" s="307"/>
      <x:c r="BB8" s="293"/>
      <x:c r="BC8" s="293"/>
      <x:c r="BD8" s="293"/>
      <x:c r="BE8" s="293"/>
      <x:c r="BF8" s="293"/>
      <x:c r="BG8" s="293"/>
      <x:c r="BH8" s="293"/>
      <x:c r="BI8" s="293"/>
      <x:c r="BJ8" s="293"/>
      <x:c r="BK8" s="293"/>
      <x:c r="BL8" s="293"/>
      <x:c r="BM8" s="293"/>
      <x:c r="BN8" s="293"/>
      <x:c r="BO8" s="293"/>
      <x:c r="BP8" s="293"/>
      <x:c r="BQ8" s="293"/>
      <x:c r="BR8" s="293"/>
      <x:c r="BS8" s="293"/>
      <x:c r="BT8" s="293"/>
      <x:c r="BU8" s="293"/>
      <x:c r="BV8" s="293"/>
      <x:c r="BW8" s="293"/>
      <x:c r="BX8" s="293"/>
      <x:c r="BY8" s="293"/>
      <x:c r="BZ8" s="293"/>
      <x:c r="CA8" s="293"/>
      <x:c r="CB8" s="293"/>
      <x:c r="CC8" s="293"/>
      <x:c r="CD8" s="293"/>
      <x:c r="CE8" s="293"/>
      <x:c r="CF8" s="292"/>
      <x:c r="CG8" s="292"/>
      <x:c r="CH8" s="292"/>
      <x:c r="CI8" s="292"/>
      <x:c r="CJ8" s="292"/>
      <x:c r="CK8" s="292"/>
      <x:c r="CL8" s="292"/>
      <x:c r="CM8" s="292"/>
      <x:c r="CN8" s="292"/>
      <x:c r="CO8" s="292"/>
      <x:c r="CP8" s="292"/>
      <x:c r="CQ8" s="292"/>
      <x:c r="CR8" s="292"/>
      <x:c r="CS8" s="292"/>
      <x:c r="CT8" s="296"/>
      <x:c r="CU8" s="296"/>
      <x:c r="CV8" s="296"/>
      <x:c r="CW8" s="296"/>
      <x:c r="CX8" s="296"/>
      <x:c r="CY8" s="296"/>
      <x:c r="CZ8" s="296"/>
      <x:c r="DA8" s="296"/>
      <x:c r="DB8" s="296"/>
      <x:c r="DC8" s="296"/>
      <x:c r="DD8" s="296"/>
      <x:c r="DE8" s="296"/>
      <x:c r="DF8" s="603" t="s">
        <x:v>416</x:v>
      </x:c>
      <x:c r="DG8" s="604">
        <x:f>'Job Info.'!$N13/2</x:f>
        <x:v>1</x:v>
      </x:c>
      <x:c r="DH8" s="468">
        <x:f>'Job Info.'!$H13</x:f>
        <x:v>5</x:v>
      </x:c>
      <x:c r="DI8" s="468">
        <x:f>'Job Info.'!$J13</x:f>
        <x:v>6</x:v>
      </x:c>
      <x:c r="DJ8" s="468">
        <x:f>'Job Info.'!$I13</x:f>
        <x:v>4</x:v>
      </x:c>
      <x:c r="DK8" s="468">
        <x:f>'Job Info.'!$K13</x:f>
        <x:v>4</x:v>
      </x:c>
      <x:c r="DL8" s="469">
        <x:f>'Job Info.'!$M13</x:f>
        <x:v>0.8125</x:v>
      </x:c>
      <x:c r="DM8" s="468">
        <x:f>'Job Info.'!$L13</x:f>
        <x:v>1.5</x:v>
      </x:c>
      <x:c r="DN8" s="265">
        <x:f>'Job Info.'!$O13</x:f>
        <x:v>4</x:v>
      </x:c>
      <x:c r="DO8" s="296"/>
      <x:c r="DP8" s="296"/>
      <x:c r="DQ8" s="296"/>
      <x:c r="DR8" s="296"/>
      <x:c r="DS8" s="296"/>
      <x:c r="DT8" s="296"/>
      <x:c r="DU8" s="296"/>
      <x:c r="DV8" s="296"/>
      <x:c r="DW8" s="296"/>
      <x:c r="DX8" s="296"/>
      <x:c r="DY8" s="296"/>
      <x:c r="DZ8" s="296"/>
      <x:c r="EA8" s="296"/>
      <x:c r="EB8" s="296"/>
      <x:c r="EC8" s="296"/>
      <x:c r="ED8" s="296"/>
      <x:c r="EE8" s="296"/>
      <x:c r="EF8" s="296"/>
      <x:c r="EG8" s="296"/>
      <x:c r="EH8" s="296"/>
      <x:c r="EI8" s="296"/>
      <x:c r="EJ8" s="296"/>
      <x:c r="EK8" s="296"/>
      <x:c r="EL8" s="296"/>
      <x:c r="EM8" s="296"/>
      <x:c r="EN8" s="296"/>
      <x:c r="EO8" s="296"/>
      <x:c r="EP8" s="296"/>
      <x:c r="EQ8" s="296"/>
      <x:c r="ER8" s="296"/>
      <x:c r="ES8" s="296"/>
      <x:c r="ET8" s="296"/>
      <x:c r="EU8" s="296"/>
      <x:c r="EV8" s="296"/>
      <x:c r="EW8" s="296"/>
      <x:c r="EX8" s="303"/>
      <x:c r="EY8" s="303"/>
      <x:c r="EZ8" s="303"/>
      <x:c r="FA8" s="303"/>
      <x:c r="FB8" s="296"/>
      <x:c r="FC8" s="296"/>
      <x:c r="FD8" s="296"/>
      <x:c r="FE8" s="296"/>
      <x:c r="FF8" s="296"/>
      <x:c r="FG8" s="296"/>
      <x:c r="FH8" s="296"/>
      <x:c r="FI8" s="296"/>
      <x:c r="GA8" s="473"/>
      <x:c r="GB8" s="473"/>
      <x:c r="GC8" s="473"/>
      <x:c r="GD8" s="473"/>
      <x:c r="GE8" s="473"/>
      <x:c r="GF8" s="473"/>
      <x:c r="GG8" s="473"/>
      <x:c r="GH8" s="473"/>
      <x:c r="GI8" s="473"/>
      <x:c r="GJ8" s="473"/>
    </x:row>
    <x:row r="9" spans="1:241" ht="12.2" customHeight="1" thickBot="1" x14ac:dyDescent="0.3">
      <x:c r="A9" s="476"/>
      <x:c r="B9" s="1825" t="s">
        <x:v>1</x:v>
      </x:c>
      <x:c r="C9" s="2225" t="str">
        <x:f>IF(ISBLANK('Job Info.'!D3),"",'Job Info.'!D3)</x:f>
        <x:v>SUNPOINT CROSSING</x:v>
      </x:c>
      <x:c r="D9" s="2225"/>
      <x:c r="E9" s="2225"/>
      <x:c r="F9" s="2225"/>
      <x:c r="G9" s="2225"/>
      <x:c r="H9" s="2225"/>
      <x:c r="I9" s="2225"/>
      <x:c r="J9" s="2225"/>
      <x:c r="K9" s="2225"/>
      <x:c r="L9" s="2225"/>
      <x:c r="M9" s="2225"/>
      <x:c r="N9" s="2225"/>
      <x:c r="O9" s="2226"/>
      <x:c r="P9" s="477"/>
      <x:c r="Q9" s="478"/>
      <x:c r="R9" s="1825" t="s">
        <x:v>2</x:v>
      </x:c>
      <x:c r="S9" s="2225" t="str">
        <x:f>IF(ISBLANK('Job Info.'!D5),"",'Job Info.'!D5)</x:f>
        <x:v>9118-0062</x:v>
      </x:c>
      <x:c r="T9" s="2225"/>
      <x:c r="U9" s="2225"/>
      <x:c r="V9" s="2225"/>
      <x:c r="W9" s="2225"/>
      <x:c r="X9" s="2225"/>
      <x:c r="Y9" s="2225"/>
      <x:c r="Z9" s="2225"/>
      <x:c r="AA9" s="2226"/>
      <x:c r="AB9" s="479"/>
      <x:c r="AL9" s="449"/>
      <x:c r="AM9" s="449"/>
      <x:c r="AN9" s="449"/>
      <x:c r="AO9" s="449"/>
      <x:c r="AP9" s="449"/>
      <x:c r="AQ9" s="449"/>
      <x:c r="AR9" s="449"/>
      <x:c r="BA9" s="307"/>
      <x:c r="BB9" s="480"/>
      <x:c r="BC9" s="293"/>
      <x:c r="BD9" s="293"/>
      <x:c r="BE9" s="1207">
        <x:v>4.5</x:v>
      </x:c>
      <x:c r="BF9" s="1207">
        <x:v>5.5</x:v>
      </x:c>
      <x:c r="BG9" s="1208">
        <x:v>5</x:v>
      </x:c>
      <x:c r="BH9" s="1208">
        <x:v>5</x:v>
      </x:c>
      <x:c r="BI9" s="1208">
        <x:v>5</x:v>
      </x:c>
      <x:c r="BJ9" s="1208">
        <x:v>3</x:v>
      </x:c>
      <x:c r="BK9" s="1208">
        <x:v>5</x:v>
      </x:c>
      <x:c r="BL9" s="1208">
        <x:v>5</x:v>
      </x:c>
      <x:c r="BM9" s="1208">
        <x:v>5</x:v>
      </x:c>
      <x:c r="BN9" s="1208">
        <x:v>6</x:v>
      </x:c>
      <x:c r="BO9" s="1208">
        <x:v>5</x:v>
      </x:c>
      <x:c r="BP9" s="1208">
        <x:v>5</x:v>
      </x:c>
      <x:c r="BQ9" s="1208">
        <x:v>5</x:v>
      </x:c>
      <x:c r="BR9" s="1208">
        <x:v>3</x:v>
      </x:c>
      <x:c r="BS9" s="1208">
        <x:v>5</x:v>
      </x:c>
      <x:c r="BT9" s="1208">
        <x:v>5</x:v>
      </x:c>
      <x:c r="BU9" s="1208">
        <x:v>5</x:v>
      </x:c>
      <x:c r="BV9" s="1208">
        <x:v>6</x:v>
      </x:c>
      <x:c r="BW9" s="1209"/>
      <x:c r="BX9" s="1207">
        <x:v>24</x:v>
      </x:c>
      <x:c r="BY9" s="1207">
        <x:v>24</x:v>
      </x:c>
      <x:c r="BZ9" s="293"/>
      <x:c r="CA9" s="293"/>
      <x:c r="CB9" s="293"/>
      <x:c r="CC9" s="293"/>
      <x:c r="CD9" s="293"/>
      <x:c r="CE9" s="293"/>
      <x:c r="CF9" s="292"/>
      <x:c r="CG9" s="292"/>
      <x:c r="CH9" s="292"/>
      <x:c r="CI9" s="292"/>
      <x:c r="CJ9" s="292"/>
      <x:c r="CK9" s="292"/>
      <x:c r="CL9" s="292"/>
      <x:c r="CM9" s="292"/>
      <x:c r="CN9" s="292"/>
      <x:c r="CO9" s="292"/>
      <x:c r="CP9" s="292"/>
      <x:c r="CQ9" s="292"/>
      <x:c r="CR9" s="292"/>
      <x:c r="CS9" s="292"/>
      <x:c r="CT9" s="296"/>
      <x:c r="CU9" s="296"/>
      <x:c r="CV9" s="296"/>
      <x:c r="CW9" s="296"/>
      <x:c r="CX9" s="296"/>
      <x:c r="CY9" s="296"/>
      <x:c r="CZ9" s="296"/>
      <x:c r="DA9" s="296"/>
      <x:c r="DB9" s="296"/>
      <x:c r="DC9" s="296"/>
      <x:c r="DD9" s="296"/>
      <x:c r="DE9" s="296"/>
      <x:c r="DF9" s="605" t="s">
        <x:v>417</x:v>
      </x:c>
      <x:c r="DG9" s="606">
        <x:f>'Job Info.'!$N14/2</x:f>
        <x:v>1</x:v>
      </x:c>
      <x:c r="DH9" s="607">
        <x:f>'Job Info.'!$H14</x:f>
        <x:v>5</x:v>
      </x:c>
      <x:c r="DI9" s="607">
        <x:f>'Job Info.'!$J14</x:f>
        <x:v>6</x:v>
      </x:c>
      <x:c r="DJ9" s="607">
        <x:f>'Job Info.'!$I14</x:f>
        <x:v>4</x:v>
      </x:c>
      <x:c r="DK9" s="607">
        <x:f>'Job Info.'!$K14</x:f>
        <x:v>4</x:v>
      </x:c>
      <x:c r="DL9" s="608">
        <x:f>'Job Info.'!$M14</x:f>
        <x:v>0.8125</x:v>
      </x:c>
      <x:c r="DM9" s="607">
        <x:f>'Job Info.'!$L14</x:f>
        <x:v>1.5</x:v>
      </x:c>
      <x:c r="DN9" s="266">
        <x:f>'Job Info.'!$O14</x:f>
        <x:v>4</x:v>
      </x:c>
      <x:c r="DO9" s="296"/>
      <x:c r="DP9" s="296"/>
      <x:c r="DQ9" s="296"/>
      <x:c r="DR9" s="296"/>
      <x:c r="DS9" s="296"/>
      <x:c r="DT9" s="296"/>
      <x:c r="DU9" s="296"/>
      <x:c r="DV9" s="296"/>
      <x:c r="DW9" s="296"/>
      <x:c r="DX9" s="296"/>
      <x:c r="DY9" s="296"/>
      <x:c r="DZ9" s="296"/>
      <x:c r="EA9" s="296"/>
      <x:c r="EB9" s="296"/>
      <x:c r="EC9" s="296"/>
      <x:c r="ED9" s="296"/>
      <x:c r="EE9" s="296"/>
      <x:c r="EF9" s="296"/>
      <x:c r="EG9" s="296"/>
      <x:c r="EH9" s="296"/>
      <x:c r="EI9" s="296"/>
      <x:c r="EJ9" s="296"/>
      <x:c r="EK9" s="296"/>
      <x:c r="EL9" s="296"/>
      <x:c r="EM9" s="296"/>
      <x:c r="EN9" s="296"/>
      <x:c r="EO9" s="296"/>
      <x:c r="EP9" s="296"/>
      <x:c r="EQ9" s="296"/>
      <x:c r="ER9" s="296"/>
      <x:c r="ES9" s="296"/>
      <x:c r="ET9" s="296"/>
      <x:c r="EU9" s="296"/>
      <x:c r="EV9" s="296"/>
      <x:c r="EW9" s="296"/>
      <x:c r="EX9" s="303"/>
      <x:c r="EY9" s="303"/>
      <x:c r="EZ9" s="303"/>
      <x:c r="FA9" s="303"/>
      <x:c r="FB9" s="296"/>
      <x:c r="FC9" s="296"/>
      <x:c r="FD9" s="296"/>
      <x:c r="FE9" s="296"/>
      <x:c r="FF9" s="296"/>
      <x:c r="FG9" s="296"/>
      <x:c r="FH9" s="296"/>
      <x:c r="FI9" s="296"/>
      <x:c r="GA9" s="473"/>
      <x:c r="GB9" s="473"/>
      <x:c r="GC9" s="473"/>
      <x:c r="GD9" s="473"/>
      <x:c r="GE9" s="473"/>
      <x:c r="GF9" s="473"/>
      <x:c r="GG9" s="473"/>
      <x:c r="GH9" s="473"/>
      <x:c r="GI9" s="473"/>
      <x:c r="GJ9" s="473"/>
    </x:row>
    <x:row r="10" spans="1:241" ht="12.2" customHeight="1" thickBot="1" x14ac:dyDescent="0.25">
      <x:c r="A10" s="481"/>
      <x:c r="B10" s="546" t="s">
        <x:v>3</x:v>
      </x:c>
      <x:c r="C10" s="2225" t="str">
        <x:f>IF(ISBLANK('Job Info.'!D4),"",'Job Info.'!D4)</x:f>
        <x:v>LAS VEGAS, NV</x:v>
      </x:c>
      <x:c r="D10" s="2225"/>
      <x:c r="E10" s="2225"/>
      <x:c r="F10" s="2225"/>
      <x:c r="G10" s="2225"/>
      <x:c r="H10" s="2225"/>
      <x:c r="I10" s="2225"/>
      <x:c r="J10" s="2225"/>
      <x:c r="K10" s="2225"/>
      <x:c r="L10" s="2225"/>
      <x:c r="M10" s="2225"/>
      <x:c r="N10" s="2225"/>
      <x:c r="O10" s="2226"/>
      <x:c r="P10" s="482"/>
      <x:c r="Q10" s="483"/>
      <x:c r="R10" s="546" t="s">
        <x:v>22</x:v>
      </x:c>
      <x:c r="S10" s="2225" t="str">
        <x:f>IF(ISBLANK('Job Info.'!D6),"",'Job Info.'!D6)</x:f>
        <x:v>CJA</x:v>
      </x:c>
      <x:c r="T10" s="2225"/>
      <x:c r="U10" s="2225"/>
      <x:c r="V10" s="2225"/>
      <x:c r="W10" s="2226"/>
      <x:c r="X10" s="483"/>
      <x:c r="Y10" s="546" t="s">
        <x:v>23</x:v>
      </x:c>
      <x:c r="Z10" s="2225" t="str">
        <x:f>IF(ISBLANK('Job Info.'!D7),"",'Job Info.'!D7)</x:f>
        <x:v>LS</x:v>
      </x:c>
      <x:c r="AA10" s="2226"/>
      <x:c r="AB10" s="479"/>
      <x:c r="AL10" s="449"/>
      <x:c r="AM10" s="449"/>
      <x:c r="AN10" s="449"/>
      <x:c r="AO10" s="449"/>
      <x:c r="AP10" s="449"/>
      <x:c r="AQ10" s="449"/>
      <x:c r="AR10" s="449"/>
      <x:c r="BA10" s="307"/>
      <x:c r="BB10" s="293"/>
      <x:c r="BC10" s="293"/>
      <x:c r="BD10" s="293"/>
      <x:c r="BE10" s="1208">
        <x:v>6</x:v>
      </x:c>
      <x:c r="BF10" s="1208">
        <x:v>6</x:v>
      </x:c>
      <x:c r="BG10" s="1208">
        <x:v>7</x:v>
      </x:c>
      <x:c r="BH10" s="1208">
        <x:v>6</x:v>
      </x:c>
      <x:c r="BI10" s="1208">
        <x:v>6</x:v>
      </x:c>
      <x:c r="BJ10" s="1208">
        <x:v>6</x:v>
      </x:c>
      <x:c r="BK10" s="1208">
        <x:v>6</x:v>
      </x:c>
      <x:c r="BL10" s="1208">
        <x:v>6</x:v>
      </x:c>
      <x:c r="BM10" s="1208">
        <x:v>7</x:v>
      </x:c>
      <x:c r="BN10" s="1208">
        <x:v>6</x:v>
      </x:c>
      <x:c r="BO10" s="1208">
        <x:v>7</x:v>
      </x:c>
      <x:c r="BP10" s="1208">
        <x:v>6</x:v>
      </x:c>
      <x:c r="BQ10" s="1208">
        <x:v>6</x:v>
      </x:c>
      <x:c r="BR10" s="1208">
        <x:v>6</x:v>
      </x:c>
      <x:c r="BS10" s="1208">
        <x:v>6</x:v>
      </x:c>
      <x:c r="BT10" s="1208">
        <x:v>6</x:v>
      </x:c>
      <x:c r="BU10" s="1208">
        <x:v>7</x:v>
      </x:c>
      <x:c r="BV10" s="1208">
        <x:v>6</x:v>
      </x:c>
      <x:c r="BW10" s="1208"/>
      <x:c r="BX10" s="1208">
        <x:v>13</x:v>
      </x:c>
      <x:c r="BY10" s="1208">
        <x:v>13</x:v>
      </x:c>
      <x:c r="BZ10" s="293"/>
      <x:c r="CA10" s="293"/>
      <x:c r="CB10" s="293"/>
      <x:c r="CC10" s="293"/>
      <x:c r="CD10" s="293"/>
      <x:c r="CE10" s="293"/>
      <x:c r="CF10" s="292"/>
      <x:c r="CG10" s="292"/>
      <x:c r="CH10" s="292"/>
      <x:c r="CI10" s="292"/>
      <x:c r="CJ10" s="292"/>
      <x:c r="CK10" s="292"/>
      <x:c r="CL10" s="292"/>
      <x:c r="CM10" s="292"/>
      <x:c r="CN10" s="292"/>
      <x:c r="CO10" s="292"/>
      <x:c r="CP10" s="292"/>
      <x:c r="CQ10" s="292"/>
      <x:c r="CR10" s="292"/>
      <x:c r="CS10" s="292"/>
      <x:c r="CT10" s="296"/>
      <x:c r="CU10" s="296"/>
      <x:c r="CV10" s="296"/>
      <x:c r="CW10" s="296"/>
      <x:c r="CX10" s="296"/>
      <x:c r="CY10" s="296"/>
      <x:c r="CZ10" s="296"/>
      <x:c r="DU10" s="484"/>
      <x:c r="DV10" s="484"/>
      <x:c r="DW10" s="484"/>
      <x:c r="DX10" s="484"/>
      <x:c r="DY10" s="484"/>
      <x:c r="DZ10" s="484"/>
      <x:c r="EA10" s="484"/>
      <x:c r="EB10" s="484"/>
      <x:c r="EC10" s="484"/>
      <x:c r="ED10" s="484"/>
      <x:c r="EE10" s="485"/>
      <x:c r="EF10" s="485"/>
      <x:c r="EG10" s="485"/>
      <x:c r="EH10" s="485"/>
      <x:c r="EI10" s="485"/>
      <x:c r="EJ10" s="485"/>
      <x:c r="EK10" s="485"/>
      <x:c r="EL10" s="485"/>
      <x:c r="EM10" s="485"/>
      <x:c r="EN10" s="485"/>
      <x:c r="EO10" s="485"/>
      <x:c r="EP10" s="485"/>
      <x:c r="EQ10" s="307"/>
      <x:c r="ER10" s="296"/>
      <x:c r="ES10" s="296"/>
      <x:c r="ET10" s="296"/>
      <x:c r="EU10" s="296"/>
      <x:c r="EV10" s="296"/>
      <x:c r="EW10" s="296"/>
      <x:c r="EX10" s="303"/>
      <x:c r="EY10" s="303"/>
      <x:c r="EZ10" s="303"/>
      <x:c r="FA10" s="303"/>
      <x:c r="FB10" s="296"/>
      <x:c r="FC10" s="296"/>
      <x:c r="FD10" s="296"/>
      <x:c r="FE10" s="296"/>
      <x:c r="FF10" s="296"/>
      <x:c r="FG10" s="296"/>
      <x:c r="FH10" s="296"/>
      <x:c r="FI10" s="296"/>
      <x:c r="GA10" s="473"/>
      <x:c r="GB10" s="473"/>
      <x:c r="GC10" s="473"/>
      <x:c r="GD10" s="473"/>
      <x:c r="GE10" s="473"/>
      <x:c r="GF10" s="473"/>
      <x:c r="GG10" s="473"/>
      <x:c r="GH10" s="473"/>
      <x:c r="GI10" s="473"/>
      <x:c r="GJ10" s="473"/>
    </x:row>
    <x:row r="11" spans="1:241" ht="12.6" customHeight="1" thickTop="1" thickBot="1" x14ac:dyDescent="0.25">
      <x:c r="A11" s="473"/>
      <x:c r="B11" s="473"/>
      <x:c r="C11" s="473"/>
      <x:c r="D11" s="473"/>
      <x:c r="E11" s="473"/>
      <x:c r="F11" s="473"/>
      <x:c r="G11" s="473"/>
      <x:c r="H11" s="473"/>
      <x:c r="I11" s="473"/>
      <x:c r="J11" s="473"/>
      <x:c r="K11" s="473"/>
      <x:c r="L11" s="473"/>
      <x:c r="M11" s="473"/>
      <x:c r="N11" s="473"/>
      <x:c r="O11" s="473"/>
      <x:c r="P11" s="473"/>
      <x:c r="Q11" s="473"/>
      <x:c r="R11" s="473"/>
      <x:c r="S11" s="473"/>
      <x:c r="T11" s="473"/>
      <x:c r="U11" s="473"/>
      <x:c r="V11" s="473"/>
      <x:c r="W11" s="473"/>
      <x:c r="X11" s="473"/>
      <x:c r="Y11" s="473"/>
      <x:c r="Z11" s="473"/>
      <x:c r="AA11" s="473"/>
      <x:c r="BA11" s="307"/>
      <x:c r="BB11" s="2811" t="s">
        <x:v>632</x:v>
      </x:c>
      <x:c r="BC11" s="2812"/>
      <x:c r="BD11" s="2812"/>
      <x:c r="BE11" s="2812"/>
      <x:c r="BF11" s="2812"/>
      <x:c r="BG11" s="2812"/>
      <x:c r="BH11" s="2812"/>
      <x:c r="BI11" s="2812"/>
      <x:c r="BJ11" s="2812"/>
      <x:c r="BK11" s="2812"/>
      <x:c r="BL11" s="2812"/>
      <x:c r="BM11" s="2812"/>
      <x:c r="BN11" s="2812"/>
      <x:c r="BO11" s="2812"/>
      <x:c r="BP11" s="2812"/>
      <x:c r="BQ11" s="2812"/>
      <x:c r="BR11" s="2812"/>
      <x:c r="BS11" s="2812"/>
      <x:c r="BT11" s="2812"/>
      <x:c r="BU11" s="2812"/>
      <x:c r="BV11" s="2813"/>
      <x:c r="BW11" s="2813"/>
      <x:c r="BX11" s="2813"/>
      <x:c r="BY11" s="2814"/>
      <x:c r="BZ11" s="473"/>
      <x:c r="CA11" s="473"/>
      <x:c r="CB11" s="470" t="s">
        <x:v>719</x:v>
      </x:c>
      <x:c r="CC11" s="2789"/>
      <x:c r="CD11" s="2430"/>
      <x:c r="CE11" s="2430"/>
      <x:c r="CF11" s="2430"/>
      <x:c r="CG11" s="292"/>
      <x:c r="CH11" s="292"/>
      <x:c r="CI11" s="292"/>
      <x:c r="CJ11" s="292"/>
      <x:c r="CK11" s="292"/>
      <x:c r="CL11" s="292"/>
      <x:c r="CM11" s="292"/>
      <x:c r="CN11" s="292"/>
      <x:c r="CO11" s="292"/>
      <x:c r="CP11" s="292"/>
      <x:c r="CQ11" s="292"/>
      <x:c r="CR11" s="292"/>
      <x:c r="CS11" s="292"/>
      <x:c r="CT11" s="296"/>
      <x:c r="CU11" s="296"/>
      <x:c r="CV11" s="296"/>
      <x:c r="CW11" s="296"/>
      <x:c r="CX11" s="296"/>
      <x:c r="CY11" s="296"/>
      <x:c r="CZ11" s="296"/>
      <x:c r="DU11" s="484"/>
      <x:c r="DV11" s="484"/>
      <x:c r="DW11" s="484"/>
      <x:c r="DX11" s="484"/>
      <x:c r="DY11" s="484"/>
      <x:c r="DZ11" s="484"/>
      <x:c r="EA11" s="484"/>
      <x:c r="EB11" s="484"/>
      <x:c r="EC11" s="484"/>
      <x:c r="ED11" s="484"/>
      <x:c r="EE11" s="485"/>
      <x:c r="EF11" s="485"/>
      <x:c r="EG11" s="485"/>
      <x:c r="EH11" s="485"/>
      <x:c r="EI11" s="485"/>
      <x:c r="EJ11" s="485"/>
      <x:c r="EK11" s="485"/>
      <x:c r="EL11" s="485"/>
      <x:c r="EM11" s="485"/>
      <x:c r="EN11" s="485"/>
      <x:c r="EO11" s="485"/>
      <x:c r="EP11" s="485"/>
      <x:c r="EQ11" s="307"/>
      <x:c r="ER11" s="296"/>
      <x:c r="ES11" s="296"/>
      <x:c r="ET11" s="296"/>
      <x:c r="EU11" s="296"/>
      <x:c r="EV11" s="296"/>
      <x:c r="EW11" s="296"/>
      <x:c r="EX11" s="303"/>
      <x:c r="EY11" s="303"/>
      <x:c r="EZ11" s="303"/>
      <x:c r="FA11" s="303"/>
      <x:c r="FB11" s="296"/>
      <x:c r="FC11" s="296"/>
      <x:c r="FD11" s="296"/>
      <x:c r="FE11" s="296"/>
      <x:c r="FF11" s="296"/>
      <x:c r="FG11" s="296"/>
      <x:c r="FH11" s="296"/>
      <x:c r="FI11" s="296"/>
      <x:c r="GA11" s="473"/>
      <x:c r="GB11" s="473"/>
      <x:c r="GC11" s="473"/>
      <x:c r="GD11" s="473"/>
      <x:c r="GE11" s="473"/>
      <x:c r="GF11" s="473"/>
      <x:c r="GG11" s="473"/>
      <x:c r="GH11" s="473"/>
      <x:c r="GI11" s="473"/>
      <x:c r="GJ11" s="473"/>
      <x:c r="HA11" s="315">
        <x:v>1</x:v>
      </x:c>
      <x:c r="HB11" s="315">
        <x:f>HA11+1</x:f>
        <x:v>2</x:v>
      </x:c>
      <x:c r="HC11" s="315">
        <x:f t="shared" ref="HC11:IF11" si="0">HB11+1</x:f>
        <x:v>3</x:v>
      </x:c>
      <x:c r="HD11" s="315">
        <x:f t="shared" si="0"/>
        <x:v>4</x:v>
      </x:c>
      <x:c r="HE11" s="315">
        <x:f t="shared" si="0"/>
        <x:v>5</x:v>
      </x:c>
      <x:c r="HF11" s="315">
        <x:f t="shared" si="0"/>
        <x:v>6</x:v>
      </x:c>
      <x:c r="HG11" s="315">
        <x:f t="shared" si="0"/>
        <x:v>7</x:v>
      </x:c>
      <x:c r="HH11" s="315">
        <x:f t="shared" si="0"/>
        <x:v>8</x:v>
      </x:c>
      <x:c r="HI11" s="315">
        <x:f t="shared" si="0"/>
        <x:v>9</x:v>
      </x:c>
      <x:c r="HJ11" s="315">
        <x:f t="shared" si="0"/>
        <x:v>10</x:v>
      </x:c>
      <x:c r="HK11" s="315">
        <x:f t="shared" si="0"/>
        <x:v>11</x:v>
      </x:c>
      <x:c r="HL11" s="315">
        <x:f t="shared" si="0"/>
        <x:v>12</x:v>
      </x:c>
      <x:c r="HM11" s="315">
        <x:f t="shared" si="0"/>
        <x:v>13</x:v>
      </x:c>
      <x:c r="HN11" s="315">
        <x:f t="shared" si="0"/>
        <x:v>14</x:v>
      </x:c>
      <x:c r="HO11" s="315">
        <x:f t="shared" si="0"/>
        <x:v>15</x:v>
      </x:c>
      <x:c r="HP11" s="315">
        <x:f t="shared" si="0"/>
        <x:v>16</x:v>
      </x:c>
      <x:c r="HQ11" s="315">
        <x:f t="shared" si="0"/>
        <x:v>17</x:v>
      </x:c>
      <x:c r="HR11" s="315">
        <x:f t="shared" si="0"/>
        <x:v>18</x:v>
      </x:c>
      <x:c r="HS11" s="315">
        <x:f t="shared" si="0"/>
        <x:v>19</x:v>
      </x:c>
      <x:c r="HT11" s="315">
        <x:f t="shared" si="0"/>
        <x:v>20</x:v>
      </x:c>
      <x:c r="HU11" s="315">
        <x:f t="shared" si="0"/>
        <x:v>21</x:v>
      </x:c>
      <x:c r="HV11" s="315">
        <x:f t="shared" si="0"/>
        <x:v>22</x:v>
      </x:c>
      <x:c r="HW11" s="315">
        <x:f t="shared" si="0"/>
        <x:v>23</x:v>
      </x:c>
      <x:c r="HX11" s="315">
        <x:f t="shared" si="0"/>
        <x:v>24</x:v>
      </x:c>
      <x:c r="HY11" s="315">
        <x:f t="shared" si="0"/>
        <x:v>25</x:v>
      </x:c>
      <x:c r="HZ11" s="315">
        <x:f t="shared" si="0"/>
        <x:v>26</x:v>
      </x:c>
      <x:c r="IA11" s="315">
        <x:f t="shared" si="0"/>
        <x:v>27</x:v>
      </x:c>
      <x:c r="IB11" s="315">
        <x:f t="shared" si="0"/>
        <x:v>28</x:v>
      </x:c>
      <x:c r="IC11" s="315">
        <x:f t="shared" si="0"/>
        <x:v>29</x:v>
      </x:c>
      <x:c r="ID11" s="315">
        <x:f t="shared" si="0"/>
        <x:v>30</x:v>
      </x:c>
      <x:c r="IE11" s="315">
        <x:f t="shared" si="0"/>
        <x:v>31</x:v>
      </x:c>
      <x:c r="IF11" s="315">
        <x:f t="shared" si="0"/>
        <x:v>32</x:v>
      </x:c>
    </x:row>
    <x:row r="12" spans="1:241" ht="12.6" customHeight="1" thickTop="1" thickBot="1" x14ac:dyDescent="0.25">
      <x:c r="A12" s="473"/>
      <x:c r="B12" s="473"/>
      <x:c r="C12" s="473"/>
      <x:c r="D12" s="473"/>
      <x:c r="E12" s="473"/>
      <x:c r="F12" s="473"/>
      <x:c r="G12" s="473"/>
      <x:c r="H12" s="473"/>
      <x:c r="I12" s="473"/>
      <x:c r="J12" s="473"/>
      <x:c r="K12" s="473"/>
      <x:c r="L12" s="473"/>
      <x:c r="M12" s="473"/>
      <x:c r="N12" s="473"/>
      <x:c r="O12" s="473"/>
      <x:c r="P12" s="473"/>
      <x:c r="Q12" s="473"/>
      <x:c r="R12" s="473"/>
      <x:c r="S12" s="473"/>
      <x:c r="T12" s="473"/>
      <x:c r="U12" s="473"/>
      <x:c r="V12" s="473"/>
      <x:c r="W12" s="473"/>
      <x:c r="X12" s="473"/>
      <x:c r="Y12" s="473"/>
      <x:c r="Z12" s="470" t="s">
        <x:v>4</x:v>
      </x:c>
      <x:c r="AA12" s="2166" t="str">
        <x:f>IF(ISBLANK(CC12),"",CC12)</x:f>
        <x:v/>
      </x:c>
      <x:c r="AB12" s="486" t="str">
        <x:f>AA12</x:f>
        <x:v/>
      </x:c>
      <x:c r="BA12" s="307"/>
      <x:c r="BB12" s="2815"/>
      <x:c r="BC12" s="2816"/>
      <x:c r="BD12" s="2816"/>
      <x:c r="BE12" s="2816"/>
      <x:c r="BF12" s="2816"/>
      <x:c r="BG12" s="2817"/>
      <x:c r="BH12" s="2817"/>
      <x:c r="BI12" s="2817"/>
      <x:c r="BJ12" s="2817"/>
      <x:c r="BK12" s="2817"/>
      <x:c r="BL12" s="2817"/>
      <x:c r="BM12" s="2817"/>
      <x:c r="BN12" s="2817"/>
      <x:c r="BO12" s="2817"/>
      <x:c r="BP12" s="2817"/>
      <x:c r="BQ12" s="2817"/>
      <x:c r="BR12" s="2817"/>
      <x:c r="BS12" s="2817"/>
      <x:c r="BT12" s="2817"/>
      <x:c r="BU12" s="2817"/>
      <x:c r="BV12" s="2818"/>
      <x:c r="BW12" s="2819"/>
      <x:c r="BX12" s="2818"/>
      <x:c r="BY12" s="2820"/>
      <x:c r="BZ12" s="2633" t="s">
        <x:v>1104</x:v>
      </x:c>
      <x:c r="CA12" s="2634"/>
      <x:c r="CB12" s="474" t="s">
        <x:v>698</x:v>
      </x:c>
      <x:c r="CC12" s="998"/>
      <x:c r="CD12" s="293"/>
      <x:c r="CE12" s="293"/>
      <x:c r="CF12" s="292"/>
      <x:c r="CG12" s="292"/>
      <x:c r="CH12" s="292"/>
      <x:c r="CI12" s="292"/>
      <x:c r="CJ12" s="292"/>
      <x:c r="CK12" s="292"/>
      <x:c r="CL12" s="293"/>
      <x:c r="CM12" s="1188"/>
      <x:c r="CN12" s="2824" t="s">
        <x:v>720</x:v>
      </x:c>
      <x:c r="CO12" s="2825"/>
      <x:c r="CP12" s="2471" t="s">
        <x:v>655</x:v>
      </x:c>
      <x:c r="CQ12" s="2806"/>
      <x:c r="CR12" s="2608" t="s">
        <x:v>519</x:v>
      </x:c>
      <x:c r="CS12" s="2765" t="s">
        <x:v>520</x:v>
      </x:c>
      <x:c r="CU12" s="296"/>
      <x:c r="CV12" s="296"/>
      <x:c r="CW12" s="296"/>
      <x:c r="CX12" s="296"/>
      <x:c r="CY12" s="296"/>
      <x:c r="CZ12" s="296"/>
      <x:c r="DA12" s="296"/>
      <x:c r="DB12" s="296"/>
      <x:c r="DC12" s="296"/>
      <x:c r="DD12" s="296"/>
      <x:c r="DE12" s="296"/>
      <x:c r="DF12" s="296"/>
      <x:c r="DG12" s="296"/>
      <x:c r="DH12" s="296"/>
      <x:c r="DI12" s="296"/>
      <x:c r="DJ12" s="296"/>
      <x:c r="DK12" s="296"/>
      <x:c r="DL12" s="296"/>
      <x:c r="DM12" s="296"/>
      <x:c r="DN12" s="296"/>
      <x:c r="DO12" s="303"/>
      <x:c r="DQ12" s="501"/>
      <x:c r="DR12" s="296"/>
      <x:c r="DS12" s="296"/>
      <x:c r="DT12" s="296"/>
      <x:c r="DU12" s="296"/>
      <x:c r="DV12" s="296"/>
      <x:c r="DW12" s="499"/>
      <x:c r="DX12" s="499"/>
      <x:c r="DY12" s="499"/>
      <x:c r="DZ12" s="499"/>
      <x:c r="EA12" s="296"/>
      <x:c r="EB12" s="303"/>
      <x:c r="EC12" s="296"/>
      <x:c r="ED12" s="296"/>
      <x:c r="EE12" s="296"/>
      <x:c r="EF12" s="296"/>
      <x:c r="EG12" s="296"/>
      <x:c r="EH12" s="296"/>
      <x:c r="EI12" s="296"/>
      <x:c r="EJ12" s="296"/>
      <x:c r="EK12" s="296"/>
      <x:c r="EL12" s="296"/>
      <x:c r="EM12" s="296"/>
      <x:c r="EN12" s="296"/>
      <x:c r="EO12" s="296"/>
      <x:c r="EP12" s="296"/>
      <x:c r="EQ12" s="296"/>
      <x:c r="ER12" s="296"/>
      <x:c r="ES12" s="296"/>
      <x:c r="ET12" s="296"/>
      <x:c r="EU12" s="307"/>
      <x:c r="EV12" s="2755" t="s">
        <x:v>621</x:v>
      </x:c>
      <x:c r="EW12" s="2753" t="s">
        <x:v>509</x:v>
      </x:c>
      <x:c r="EX12" s="2753" t="s">
        <x:v>562</x:v>
      </x:c>
      <x:c r="EY12" s="2753" t="s">
        <x:v>563</x:v>
      </x:c>
      <x:c r="EZ12" s="2753" t="s">
        <x:v>564</x:v>
      </x:c>
      <x:c r="FA12" s="2753" t="s">
        <x:v>565</x:v>
      </x:c>
      <x:c r="FB12" s="2753" t="s">
        <x:v>566</x:v>
      </x:c>
      <x:c r="FC12" s="2753" t="s">
        <x:v>567</x:v>
      </x:c>
      <x:c r="FD12" s="2753" t="s">
        <x:v>568</x:v>
      </x:c>
      <x:c r="FE12" s="2753" t="s">
        <x:v>510</x:v>
      </x:c>
      <x:c r="FF12" s="2753" t="s">
        <x:v>569</x:v>
      </x:c>
      <x:c r="FG12" s="2753" t="s">
        <x:v>623</x:v>
      </x:c>
      <x:c r="FH12" s="2753" t="s">
        <x:v>511</x:v>
      </x:c>
      <x:c r="FI12" s="2753" t="s">
        <x:v>570</x:v>
      </x:c>
      <x:c r="FJ12" s="2753" t="s">
        <x:v>512</x:v>
      </x:c>
      <x:c r="FK12" s="2753" t="s">
        <x:v>571</x:v>
      </x:c>
      <x:c r="FL12" s="2753" t="s">
        <x:v>624</x:v>
      </x:c>
      <x:c r="FM12" s="2753" t="s">
        <x:v>513</x:v>
      </x:c>
      <x:c r="FN12" s="2753" t="s">
        <x:v>514</x:v>
      </x:c>
      <x:c r="FQ12" s="2777" t="s">
        <x:v>697</x:v>
      </x:c>
      <x:c r="FR12" s="2778"/>
      <x:c r="GA12" s="473"/>
      <x:c r="GB12" s="473"/>
      <x:c r="GC12" s="473"/>
      <x:c r="GD12" s="473"/>
      <x:c r="GE12" s="473"/>
      <x:c r="GF12" s="473"/>
      <x:c r="GG12" s="473"/>
      <x:c r="GH12" s="473"/>
      <x:c r="GI12" s="473"/>
      <x:c r="GJ12" s="473"/>
      <x:c r="HA12" s="2836" t="s">
        <x:v>661</x:v>
      </x:c>
      <x:c r="HB12" s="2837"/>
      <x:c r="HC12" s="2837"/>
      <x:c r="HD12" s="2837"/>
      <x:c r="HE12" s="2837"/>
      <x:c r="HF12" s="2837"/>
      <x:c r="HG12" s="2837"/>
      <x:c r="HH12" s="2837"/>
      <x:c r="HI12" s="2837"/>
      <x:c r="HJ12" s="2837"/>
      <x:c r="HK12" s="2837"/>
      <x:c r="HL12" s="2837"/>
      <x:c r="HM12" s="2837"/>
      <x:c r="HN12" s="2837"/>
      <x:c r="HO12" s="2837"/>
      <x:c r="HP12" s="2837"/>
      <x:c r="HQ12" s="2837"/>
      <x:c r="HR12" s="2837"/>
      <x:c r="HS12" s="2837"/>
      <x:c r="HT12" s="2837"/>
      <x:c r="HU12" s="2837"/>
      <x:c r="HV12" s="2838"/>
      <x:c r="HW12" s="2838"/>
      <x:c r="HX12" s="2838"/>
      <x:c r="HY12" s="2839"/>
      <x:c r="HZ12" s="2839"/>
      <x:c r="IA12" s="2839"/>
      <x:c r="IB12" s="2839"/>
      <x:c r="IC12" s="2839"/>
      <x:c r="ID12" s="2839"/>
      <x:c r="IE12" s="2839"/>
      <x:c r="IF12" s="2840"/>
    </x:row>
    <x:row r="13" spans="1:241" ht="12.2" customHeight="1" thickTop="1" thickBot="1" x14ac:dyDescent="0.25">
      <x:c r="A13" s="473"/>
      <x:c r="B13" s="473"/>
      <x:c r="C13" s="473"/>
      <x:c r="D13" s="473"/>
      <x:c r="E13" s="473"/>
      <x:c r="F13" s="473"/>
      <x:c r="G13" s="473"/>
      <x:c r="H13" s="473"/>
      <x:c r="I13" s="473"/>
      <x:c r="J13" s="473"/>
      <x:c r="K13" s="473"/>
      <x:c r="L13" s="473"/>
      <x:c r="M13" s="473"/>
      <x:c r="N13" s="473"/>
      <x:c r="O13" s="473"/>
      <x:c r="P13" s="473"/>
      <x:c r="Q13" s="473"/>
      <x:c r="R13" s="473"/>
      <x:c r="S13" s="473"/>
      <x:c r="T13" s="473"/>
      <x:c r="U13" s="473"/>
      <x:c r="V13" s="473"/>
      <x:c r="W13" s="473"/>
      <x:c r="X13" s="473"/>
      <x:c r="Y13" s="473"/>
      <x:c r="Z13" s="473"/>
      <x:c r="AA13" s="491" t="s">
        <x:v>1028</x:v>
      </x:c>
      <x:c r="AB13" s="492"/>
      <x:c r="AU13" s="2852" t="s">
        <x:v>487</x:v>
      </x:c>
      <x:c r="AV13" s="2777" t="s">
        <x:v>488</x:v>
      </x:c>
      <x:c r="AW13" s="2778"/>
      <x:c r="AX13" s="555"/>
      <x:c r="BA13" s="307"/>
      <x:c r="BB13" s="619"/>
      <x:c r="BC13" s="620"/>
      <x:c r="BD13" s="620"/>
      <x:c r="BE13" s="620"/>
      <x:c r="BF13" s="621"/>
      <x:c r="BG13" s="2758" t="s">
        <x:v>506</x:v>
      </x:c>
      <x:c r="BH13" s="2759"/>
      <x:c r="BI13" s="2759"/>
      <x:c r="BJ13" s="2759"/>
      <x:c r="BK13" s="2759"/>
      <x:c r="BL13" s="2760"/>
      <x:c r="BM13" s="2761"/>
      <x:c r="BN13" s="2762"/>
      <x:c r="BO13" s="2758" t="s">
        <x:v>507</x:v>
      </x:c>
      <x:c r="BP13" s="2760"/>
      <x:c r="BQ13" s="2760"/>
      <x:c r="BR13" s="2760"/>
      <x:c r="BS13" s="2760"/>
      <x:c r="BT13" s="2760"/>
      <x:c r="BU13" s="2761"/>
      <x:c r="BV13" s="2762"/>
      <x:c r="BW13" s="2786" t="s">
        <x:v>846</x:v>
      </x:c>
      <x:c r="BX13" s="2828"/>
      <x:c r="BY13" s="2829"/>
      <x:c r="BZ13" s="2567"/>
      <x:c r="CA13" s="2569"/>
      <x:c r="CB13" s="684"/>
      <x:c r="CC13" s="684"/>
      <x:c r="CD13" s="293"/>
      <x:c r="CE13" s="293"/>
      <x:c r="CF13" s="292"/>
      <x:c r="CG13" s="292"/>
      <x:c r="CH13" s="292"/>
      <x:c r="CI13" s="292"/>
      <x:c r="CJ13" s="292"/>
      <x:c r="CK13" s="292"/>
      <x:c r="CL13" s="1189"/>
      <x:c r="CM13" s="1190"/>
      <x:c r="CN13" s="2826"/>
      <x:c r="CO13" s="2827"/>
      <x:c r="CP13" s="2807"/>
      <x:c r="CQ13" s="2808"/>
      <x:c r="CR13" s="2763"/>
      <x:c r="CS13" s="2766"/>
      <x:c r="CU13" s="2731" t="s">
        <x:v>508</x:v>
      </x:c>
      <x:c r="CV13" s="2732"/>
      <x:c r="CW13" s="2732"/>
      <x:c r="CX13" s="2732"/>
      <x:c r="CY13" s="2732"/>
      <x:c r="CZ13" s="2732"/>
      <x:c r="DA13" s="2732"/>
      <x:c r="DB13" s="2732"/>
      <x:c r="DC13" s="2732"/>
      <x:c r="DD13" s="2733"/>
      <x:c r="DE13" s="2731" t="s">
        <x:v>507</x:v>
      </x:c>
      <x:c r="DF13" s="2732"/>
      <x:c r="DG13" s="2732"/>
      <x:c r="DH13" s="2732"/>
      <x:c r="DI13" s="2732"/>
      <x:c r="DJ13" s="2732"/>
      <x:c r="DK13" s="2732"/>
      <x:c r="DL13" s="2732"/>
      <x:c r="DM13" s="2732"/>
      <x:c r="DN13" s="2733"/>
      <x:c r="DQ13" s="508"/>
      <x:c r="DR13" s="296"/>
      <x:c r="DS13" s="502"/>
      <x:c r="DT13" s="502"/>
      <x:c r="DU13" s="502"/>
      <x:c r="DV13" s="502"/>
      <x:c r="DW13" s="296"/>
      <x:c r="DX13" s="296"/>
      <x:c r="DY13" s="296"/>
      <x:c r="DZ13" s="296"/>
      <x:c r="EA13" s="296"/>
      <x:c r="EB13" s="296"/>
      <x:c r="EC13" s="296"/>
      <x:c r="ED13" s="503"/>
      <x:c r="EE13" s="508"/>
      <x:c r="EF13" s="508"/>
      <x:c r="EG13" s="508"/>
      <x:c r="EH13" s="508"/>
      <x:c r="EI13" s="508"/>
      <x:c r="EJ13" s="508"/>
      <x:c r="EK13" s="508"/>
      <x:c r="EL13" s="508"/>
      <x:c r="EM13" s="508"/>
      <x:c r="EN13" s="508"/>
      <x:c r="EO13" s="508"/>
      <x:c r="EP13" s="508"/>
      <x:c r="EQ13" s="508"/>
      <x:c r="ER13" s="508"/>
      <x:c r="ES13" s="508"/>
      <x:c r="ET13" s="508"/>
      <x:c r="EU13" s="509"/>
      <x:c r="EV13" s="2756"/>
      <x:c r="EW13" s="2738"/>
      <x:c r="EX13" s="2754"/>
      <x:c r="EY13" s="2754"/>
      <x:c r="EZ13" s="2800"/>
      <x:c r="FA13" s="2754"/>
      <x:c r="FB13" s="2754"/>
      <x:c r="FC13" s="2754"/>
      <x:c r="FD13" s="2801"/>
      <x:c r="FE13" s="2801"/>
      <x:c r="FF13" s="2801"/>
      <x:c r="FG13" s="2801"/>
      <x:c r="FH13" s="2801"/>
      <x:c r="FI13" s="2801"/>
      <x:c r="FJ13" s="2801"/>
      <x:c r="FK13" s="2801"/>
      <x:c r="FL13" s="2801"/>
      <x:c r="FM13" s="2801"/>
      <x:c r="FN13" s="2801"/>
      <x:c r="FQ13" s="2779"/>
      <x:c r="FR13" s="2780"/>
      <x:c r="GA13" s="2706" t="s">
        <x:v>1188</x:v>
      </x:c>
      <x:c r="GB13" s="2706"/>
      <x:c r="GC13" s="2706"/>
      <x:c r="GD13" s="2706"/>
      <x:c r="GE13" s="2706"/>
      <x:c r="GF13" s="2706"/>
      <x:c r="GG13" s="2657"/>
      <x:c r="GH13" s="2657"/>
      <x:c r="GI13" s="2657"/>
      <x:c r="GJ13" s="2657"/>
      <x:c r="HA13" s="2841"/>
      <x:c r="HB13" s="2842"/>
      <x:c r="HC13" s="2842"/>
      <x:c r="HD13" s="2842"/>
      <x:c r="HE13" s="2842"/>
      <x:c r="HF13" s="2842"/>
      <x:c r="HG13" s="2842"/>
      <x:c r="HH13" s="2842"/>
      <x:c r="HI13" s="2842"/>
      <x:c r="HJ13" s="2842"/>
      <x:c r="HK13" s="2842"/>
      <x:c r="HL13" s="2842"/>
      <x:c r="HM13" s="2842"/>
      <x:c r="HN13" s="2842"/>
      <x:c r="HO13" s="2842"/>
      <x:c r="HP13" s="2842"/>
      <x:c r="HQ13" s="2842"/>
      <x:c r="HR13" s="2842"/>
      <x:c r="HS13" s="2842"/>
      <x:c r="HT13" s="2842"/>
      <x:c r="HU13" s="2842"/>
      <x:c r="HV13" s="2843"/>
      <x:c r="HW13" s="2843"/>
      <x:c r="HX13" s="2843"/>
      <x:c r="HY13" s="2844"/>
      <x:c r="HZ13" s="2844"/>
      <x:c r="IA13" s="2844"/>
      <x:c r="IB13" s="2844"/>
      <x:c r="IC13" s="2844"/>
      <x:c r="ID13" s="2844"/>
      <x:c r="IE13" s="2844"/>
      <x:c r="IF13" s="2845"/>
    </x:row>
    <x:row r="14" spans="1:241" ht="12.6" customHeight="1" thickTop="1" thickBot="1" x14ac:dyDescent="0.25">
      <x:c r="A14" s="2795" t="s">
        <x:v>40</x:v>
      </x:c>
      <x:c r="B14" s="2791" t="s">
        <x:v>28</x:v>
      </x:c>
      <x:c r="C14" s="2791" t="s">
        <x:v>24</x:v>
      </x:c>
      <x:c r="D14" s="2791" t="s">
        <x:v>25</x:v>
      </x:c>
      <x:c r="E14" s="2853"/>
      <x:c r="F14" s="2442" t="s">
        <x:v>9</x:v>
      </x:c>
      <x:c r="G14" s="2443"/>
      <x:c r="H14" s="2443"/>
      <x:c r="I14" s="2443" t="s">
        <x:v>10</x:v>
      </x:c>
      <x:c r="J14" s="2443"/>
      <x:c r="K14" s="2444"/>
      <x:c r="L14" s="2442" t="s">
        <x:v>11</x:v>
      </x:c>
      <x:c r="M14" s="2444"/>
      <x:c r="N14" s="2344" t="s">
        <x:v>12</x:v>
      </x:c>
      <x:c r="O14" s="2443"/>
      <x:c r="P14" s="2443"/>
      <x:c r="Q14" s="2443" t="s">
        <x:v>13</x:v>
      </x:c>
      <x:c r="R14" s="2443"/>
      <x:c r="S14" s="2342"/>
      <x:c r="T14" s="2442" t="s">
        <x:v>14</x:v>
      </x:c>
      <x:c r="U14" s="2443"/>
      <x:c r="V14" s="2443"/>
      <x:c r="W14" s="2443"/>
      <x:c r="X14" s="2444"/>
      <x:c r="Y14" s="2437" t="s">
        <x:v>112</x:v>
      </x:c>
      <x:c r="Z14" s="2438"/>
      <x:c r="AA14" s="1373" t="s">
        <x:v>15</x:v>
      </x:c>
      <x:c r="AB14" s="495"/>
      <x:c r="AD14" s="1844"/>
      <x:c r="AE14" s="1844"/>
      <x:c r="AF14" s="1844"/>
      <x:c r="AG14" s="1844"/>
      <x:c r="AH14" s="1844"/>
      <x:c r="AI14" s="1844"/>
      <x:c r="AJ14" s="1844"/>
      <x:c r="AK14" s="1844"/>
      <x:c r="AL14" s="1844"/>
      <x:c r="AM14" s="1844"/>
      <x:c r="AN14" s="1844"/>
      <x:c r="AO14" s="1844"/>
      <x:c r="AP14" s="1844"/>
      <x:c r="AQ14" s="1844"/>
      <x:c r="AR14" s="1844"/>
      <x:c r="AS14" s="1844"/>
      <x:c r="AT14" s="1844"/>
      <x:c r="AU14" s="2315"/>
      <x:c r="AV14" s="2779"/>
      <x:c r="AW14" s="2780"/>
      <x:c r="AX14" s="600"/>
      <x:c r="AY14" s="1844"/>
      <x:c r="AZ14" s="2720" t="s">
        <x:v>1105</x:v>
      </x:c>
      <x:c r="BA14" s="307"/>
      <x:c r="BB14" s="2832" t="s">
        <x:v>576</x:v>
      </x:c>
      <x:c r="BC14" s="2783" t="s">
        <x:v>131</x:v>
      </x:c>
      <x:c r="BD14" s="2774" t="s">
        <x:v>577</x:v>
      </x:c>
      <x:c r="BE14" s="2693" t="s">
        <x:v>578</x:v>
      </x:c>
      <x:c r="BF14" s="2821"/>
      <x:c r="BG14" s="2616" t="s">
        <x:v>579</x:v>
      </x:c>
      <x:c r="BH14" s="2618" t="s">
        <x:v>845</x:v>
      </x:c>
      <x:c r="BI14" s="2619"/>
      <x:c r="BJ14" s="2772" t="s">
        <x:v>580</x:v>
      </x:c>
      <x:c r="BK14" s="2774" t="s">
        <x:v>1118</x:v>
      </x:c>
      <x:c r="BL14" s="2619"/>
      <x:c r="BM14" s="2484" t="s">
        <x:v>525</x:v>
      </x:c>
      <x:c r="BN14" s="2784" t="s">
        <x:v>835</x:v>
      </x:c>
      <x:c r="BO14" s="2616" t="s">
        <x:v>579</x:v>
      </x:c>
      <x:c r="BP14" s="2618" t="s">
        <x:v>845</x:v>
      </x:c>
      <x:c r="BQ14" s="2619"/>
      <x:c r="BR14" s="2772" t="s">
        <x:v>580</x:v>
      </x:c>
      <x:c r="BS14" s="2774" t="s">
        <x:v>1118</x:v>
      </x:c>
      <x:c r="BT14" s="2619"/>
      <x:c r="BU14" s="2484" t="s">
        <x:v>525</x:v>
      </x:c>
      <x:c r="BV14" s="2626" t="s">
        <x:v>835</x:v>
      </x:c>
      <x:c r="BW14" s="2787"/>
      <x:c r="BX14" s="2830"/>
      <x:c r="BY14" s="2831"/>
      <x:c r="BZ14" s="2635" t="s">
        <x:v>677</x:v>
      </x:c>
      <x:c r="CA14" s="2637" t="s">
        <x:v>678</x:v>
      </x:c>
      <x:c r="CB14" s="2632" t="s">
        <x:v>847</x:v>
      </x:c>
      <x:c r="CC14" s="2632"/>
      <x:c r="CD14" s="2632" t="s">
        <x:v>829</x:v>
      </x:c>
      <x:c r="CE14" s="2632"/>
      <x:c r="CF14" s="2573" t="s">
        <x:v>1064</x:v>
      </x:c>
      <x:c r="CG14" s="2573"/>
      <x:c r="CH14" s="2769" t="s">
        <x:v>628</x:v>
      </x:c>
      <x:c r="CI14" s="2770"/>
      <x:c r="CJ14" s="2770"/>
      <x:c r="CK14" s="2769" t="s">
        <x:v>629</x:v>
      </x:c>
      <x:c r="CL14" s="2621" t="s">
        <x:v>827</x:v>
      </x:c>
      <x:c r="CM14" s="2621"/>
      <x:c r="CN14" s="2826"/>
      <x:c r="CO14" s="2827"/>
      <x:c r="CP14" s="2809"/>
      <x:c r="CQ14" s="2810"/>
      <x:c r="CR14" s="2763"/>
      <x:c r="CS14" s="2766"/>
      <x:c r="CT14" s="1844"/>
      <x:c r="CU14" s="2726" t="s">
        <x:v>535</x:v>
      </x:c>
      <x:c r="CV14" s="2712" t="s">
        <x:v>536</x:v>
      </x:c>
      <x:c r="CW14" s="2712" t="s">
        <x:v>537</x:v>
      </x:c>
      <x:c r="CX14" s="2712" t="s">
        <x:v>538</x:v>
      </x:c>
      <x:c r="CY14" s="2712" t="s">
        <x:v>599</x:v>
      </x:c>
      <x:c r="CZ14" s="2712" t="s">
        <x:v>618</x:v>
      </x:c>
      <x:c r="DA14" s="2712" t="s">
        <x:v>539</x:v>
      </x:c>
      <x:c r="DB14" s="2712" t="s">
        <x:v>619</x:v>
      </x:c>
      <x:c r="DC14" s="2712" t="s">
        <x:v>540</x:v>
      </x:c>
      <x:c r="DD14" s="2712" t="s">
        <x:v>541</x:v>
      </x:c>
      <x:c r="DE14" s="2726" t="s">
        <x:v>535</x:v>
      </x:c>
      <x:c r="DF14" s="2712" t="s">
        <x:v>536</x:v>
      </x:c>
      <x:c r="DG14" s="2712" t="s">
        <x:v>542</x:v>
      </x:c>
      <x:c r="DH14" s="2712" t="s">
        <x:v>538</x:v>
      </x:c>
      <x:c r="DI14" s="2712" t="s">
        <x:v>599</x:v>
      </x:c>
      <x:c r="DJ14" s="2712" t="s">
        <x:v>618</x:v>
      </x:c>
      <x:c r="DK14" s="2712" t="s">
        <x:v>539</x:v>
      </x:c>
      <x:c r="DL14" s="2712" t="s">
        <x:v>619</x:v>
      </x:c>
      <x:c r="DM14" s="2712" t="s">
        <x:v>540</x:v>
      </x:c>
      <x:c r="DN14" s="2729" t="s">
        <x:v>541</x:v>
      </x:c>
      <x:c r="DO14" s="2722" t="s">
        <x:v>528</x:v>
      </x:c>
      <x:c r="DP14" s="2741" t="s">
        <x:v>543</x:v>
      </x:c>
      <x:c r="DQ14" s="2716" t="s">
        <x:v>544</x:v>
      </x:c>
      <x:c r="DR14" s="2724" t="s">
        <x:v>545</x:v>
      </x:c>
      <x:c r="DS14" s="2737" t="s">
        <x:v>582</x:v>
      </x:c>
      <x:c r="DT14" s="2714" t="s">
        <x:v>546</x:v>
      </x:c>
      <x:c r="DU14" s="2715"/>
      <x:c r="DV14" s="2739" t="s">
        <x:v>1149</x:v>
      </x:c>
      <x:c r="DW14" s="2718" t="s">
        <x:v>1150</x:v>
      </x:c>
      <x:c r="DX14" s="2720" t="s">
        <x:v>551</x:v>
      </x:c>
      <x:c r="DY14" s="2737" t="s">
        <x:v>583</x:v>
      </x:c>
      <x:c r="DZ14" s="2714" t="s">
        <x:v>548</x:v>
      </x:c>
      <x:c r="EA14" s="2715"/>
      <x:c r="EB14" s="2718" t="s">
        <x:v>1151</x:v>
      </x:c>
      <x:c r="EC14" s="2718" t="s">
        <x:v>1152</x:v>
      </x:c>
      <x:c r="ED14" s="2720" t="s">
        <x:v>553</x:v>
      </x:c>
      <x:c r="EE14" s="2716" t="s">
        <x:v>584</x:v>
      </x:c>
      <x:c r="EF14" s="2743" t="s">
        <x:v>585</x:v>
      </x:c>
      <x:c r="EG14" s="2746"/>
      <x:c r="EH14" s="2743" t="s">
        <x:v>586</x:v>
      </x:c>
      <x:c r="EI14" s="2744"/>
      <x:c r="EJ14" s="2724" t="s">
        <x:v>587</x:v>
      </x:c>
      <x:c r="EK14" s="2725"/>
      <x:c r="EL14" s="2716" t="s">
        <x:v>608</x:v>
      </x:c>
      <x:c r="EM14" s="2743" t="s">
        <x:v>588</x:v>
      </x:c>
      <x:c r="EN14" s="2746"/>
      <x:c r="EO14" s="2743" t="s">
        <x:v>589</x:v>
      </x:c>
      <x:c r="EP14" s="2744"/>
      <x:c r="EQ14" s="2724" t="s">
        <x:v>590</x:v>
      </x:c>
      <x:c r="ER14" s="2725"/>
      <x:c r="ES14" s="2716" t="s">
        <x:v>12</x:v>
      </x:c>
      <x:c r="ET14" s="2716" t="s">
        <x:v>13</x:v>
      </x:c>
      <x:c r="EU14" s="2724" t="s">
        <x:v>622</x:v>
      </x:c>
      <x:c r="EV14" s="2756"/>
      <x:c r="EW14" s="2738"/>
      <x:c r="EX14" s="2754"/>
      <x:c r="EY14" s="2754"/>
      <x:c r="EZ14" s="2800"/>
      <x:c r="FA14" s="2754"/>
      <x:c r="FB14" s="2754"/>
      <x:c r="FC14" s="2754"/>
      <x:c r="FD14" s="2801"/>
      <x:c r="FE14" s="2801"/>
      <x:c r="FF14" s="2801"/>
      <x:c r="FG14" s="2801"/>
      <x:c r="FH14" s="2801"/>
      <x:c r="FI14" s="2801"/>
      <x:c r="FJ14" s="2801"/>
      <x:c r="FK14" s="2801"/>
      <x:c r="FL14" s="2801"/>
      <x:c r="FM14" s="2801"/>
      <x:c r="FN14" s="2801"/>
      <x:c r="FO14" s="2716" t="s">
        <x:v>630</x:v>
      </x:c>
      <x:c r="FP14" s="2716" t="s">
        <x:v>631</x:v>
      </x:c>
      <x:c r="FQ14" s="2833" t="s">
        <x:v>695</x:v>
      </x:c>
      <x:c r="FR14" s="2848" t="s">
        <x:v>696</x:v>
      </x:c>
      <x:c r="FS14" s="2741" t="s">
        <x:v>723</x:v>
      </x:c>
      <x:c r="FT14" s="2851" t="s">
        <x:v>724</x:v>
      </x:c>
      <x:c r="FU14" s="2543" t="s">
        <x:v>828</x:v>
      </x:c>
      <x:c r="FV14" s="2544"/>
      <x:c r="FW14" s="1844"/>
      <x:c r="FX14" s="1844"/>
      <x:c r="FY14" s="1844"/>
      <x:c r="FZ14" s="1844"/>
      <x:c r="GA14" s="2498" t="s">
        <x:v>749</x:v>
      </x:c>
      <x:c r="GB14" s="2499"/>
      <x:c r="GC14" s="2498" t="s">
        <x:v>597</x:v>
      </x:c>
      <x:c r="GD14" s="2499"/>
      <x:c r="GE14" s="2500" t="s">
        <x:v>752</x:v>
      </x:c>
      <x:c r="GF14" s="2502" t="s">
        <x:v>40</x:v>
      </x:c>
      <x:c r="GG14" s="2865" t="s">
        <x:v>1190</x:v>
      </x:c>
      <x:c r="GH14" s="2866"/>
      <x:c r="GI14" s="2865" t="s">
        <x:v>1189</x:v>
      </x:c>
      <x:c r="GJ14" s="2866"/>
      <x:c r="GK14" s="2491" t="s">
        <x:v>753</x:v>
      </x:c>
      <x:c r="GL14" s="2491" t="s">
        <x:v>754</x:v>
      </x:c>
      <x:c r="GM14" s="2491" t="s">
        <x:v>755</x:v>
      </x:c>
      <x:c r="HA14" s="2846" t="s">
        <x:v>576</x:v>
      </x:c>
      <x:c r="HB14" s="2702" t="s">
        <x:v>131</x:v>
      </x:c>
      <x:c r="HC14" s="2702" t="s">
        <x:v>577</x:v>
      </x:c>
      <x:c r="HD14" s="2802" t="str">
        <x:f>IF($HA$1,"Joist ""BayLength""","Overall Length")</x:f>
        <x:v>Overall Length</x:v>
      </x:c>
      <x:c r="HE14" s="2803"/>
      <x:c r="HF14" s="2700" t="str">
        <x:f>IF($HA$1,"Left Sect. #","TCXL Feet")</x:f>
        <x:v>TCXL Feet</x:v>
      </x:c>
      <x:c r="HG14" s="2700" t="str">
        <x:f>IF($HA$1,"L Min Sup Width","TCXL Inch")</x:f>
        <x:v>TCXL Inch</x:v>
      </x:c>
      <x:c r="HH14" s="2700" t="str">
        <x:f>IF($HA$1,"L Max Sup Width","TCXL Type")</x:f>
        <x:v>TCXL Type</x:v>
      </x:c>
      <x:c r="HI14" s="2700" t="str">
        <x:f>IF($HA$1,"Left Bolt ""X""","TCXR Feet")</x:f>
        <x:v>TCXR Feet</x:v>
      </x:c>
      <x:c r="HJ14" s="2700" t="str">
        <x:f>IF($HA$1,"L Min Flg Ga","TCXR Inch")</x:f>
        <x:v>TCXR Inch</x:v>
      </x:c>
      <x:c r="HK14" s="2700" t="str">
        <x:f>IF($HA$1,"L Max Flg Ga","TCXR Type")</x:f>
        <x:v>TCXR Type</x:v>
      </x:c>
      <x:c r="HL14" s="2700" t="str">
        <x:f>IF($HA$1,"Left Skew","BDL")</x:f>
        <x:v>BDL</x:v>
      </x:c>
      <x:c r="HM14" s="2700" t="str">
        <x:f>IF($HA$1,"Left Brg Slp","BDR")</x:f>
        <x:v>BDR</x:v>
      </x:c>
      <x:c r="HN14" s="2700" t="str">
        <x:f>IF($HA$1,"Right Sect. #","BCXL Feet")</x:f>
        <x:v>BCXL Feet</x:v>
      </x:c>
      <x:c r="HO14" s="2700" t="str">
        <x:f>IF($HA$1,"R Min Sup Width","BCXL Inch")</x:f>
        <x:v>BCXL Inch</x:v>
      </x:c>
      <x:c r="HP14" s="2700" t="str">
        <x:f>IF($HA$1,"R Max Sup Width","BCXL Type")</x:f>
        <x:v>BCXL Type</x:v>
      </x:c>
      <x:c r="HQ14" s="2700" t="str">
        <x:f>IF($HA$1,"Right Bolt ""X""","BCXR Feet")</x:f>
        <x:v>BCXR Feet</x:v>
      </x:c>
      <x:c r="HR14" s="2700" t="str">
        <x:f>IF($HA$1,"R Min Flg Ga","BCXR Inch")</x:f>
        <x:v>BCXR Inch</x:v>
      </x:c>
      <x:c r="HS14" s="2700" t="str">
        <x:f>IF($HA$1,"R Max Flg Ga","BCXR Type")</x:f>
        <x:v>BCXR Type</x:v>
      </x:c>
      <x:c r="HT14" s="2700" t="str">
        <x:f>IF($HA$1,"Right Skew","HL Feet")</x:f>
        <x:v>HL Feet</x:v>
      </x:c>
      <x:c r="HU14" s="2700" t="str">
        <x:f>IF($HA$1,"Right Brg Slp","HL Inch")</x:f>
        <x:v>HL Inch</x:v>
      </x:c>
      <x:c r="HV14" s="2700" t="str">
        <x:f>IF($HA$1,"TC Slope","HR Feet")</x:f>
        <x:v>HR Feet</x:v>
      </x:c>
      <x:c r="HW14" s="2700" t="str">
        <x:f>IF($HA$1,"Load Notes","HR Inch")</x:f>
        <x:v>HR Inch</x:v>
      </x:c>
      <x:c r="HX14" s="2700" t="str">
        <x:f>IF($HA$1,"Spcl Notes","Slot Ga")</x:f>
        <x:v>Slot Ga</x:v>
      </x:c>
      <x:c r="HY14" s="2700" t="str">
        <x:f>IF($HA$1,"TC L Override","L Seat Slp")</x:f>
        <x:v>L Seat Slp</x:v>
      </x:c>
      <x:c r="HZ14" s="2700" t="str">
        <x:f>IF($HA$1,"TCR Override","R Seat Slp")</x:f>
        <x:v>R Seat Slp</x:v>
      </x:c>
      <x:c r="IA14" s="2700" t="str">
        <x:f>IF($HA$1,"L-BL Override","Sp Notes")</x:f>
        <x:v>Sp Notes</x:v>
      </x:c>
      <x:c r="IB14" s="2700" t="str">
        <x:f>IF($HA$1,"R-BL Override","Ld Notes")</x:f>
        <x:v>Ld Notes</x:v>
      </x:c>
      <x:c r="IC14" s="2700" t="str">
        <x:f>IF($HA$1,"BCXL ""X""","-")</x:f>
        <x:v>-</x:v>
      </x:c>
      <x:c r="ID14" s="2700" t="str">
        <x:f>IF($HA$1,"BCXR ""X""","-")</x:f>
        <x:v>-</x:v>
      </x:c>
      <x:c r="IE14" s="2700" t="str">
        <x:f>IF($HA$1,"BDL Override","-")</x:f>
        <x:v>-</x:v>
      </x:c>
      <x:c r="IF14" s="2834" t="str">
        <x:f>IF($HA$1,"BDR Override","-")</x:f>
        <x:v>-</x:v>
      </x:c>
    </x:row>
    <x:row r="15" spans="1:241" ht="12.6" customHeight="1" thickTop="1" thickBot="1" x14ac:dyDescent="0.25">
      <x:c r="A15" s="2796"/>
      <x:c r="B15" s="2793"/>
      <x:c r="C15" s="2793"/>
      <x:c r="D15" s="2793"/>
      <x:c r="E15" s="2854"/>
      <x:c r="F15" s="2355" t="s">
        <x:v>16</x:v>
      </x:c>
      <x:c r="G15" s="2436"/>
      <x:c r="H15" s="1839" t="s">
        <x:v>773</x:v>
      </x:c>
      <x:c r="I15" s="2436" t="s">
        <x:v>16</x:v>
      </x:c>
      <x:c r="J15" s="2436"/>
      <x:c r="K15" s="549" t="s">
        <x:v>773</x:v>
      </x:c>
      <x:c r="L15" s="1834" t="s">
        <x:v>18</x:v>
      </x:c>
      <x:c r="M15" s="549" t="s">
        <x:v>19</x:v>
      </x:c>
      <x:c r="N15" s="2352" t="s">
        <x:v>16</x:v>
      </x:c>
      <x:c r="O15" s="2436"/>
      <x:c r="P15" s="1839" t="s">
        <x:v>773</x:v>
      </x:c>
      <x:c r="Q15" s="2436" t="s">
        <x:v>16</x:v>
      </x:c>
      <x:c r="R15" s="2436"/>
      <x:c r="S15" s="1832" t="s">
        <x:v>773</x:v>
      </x:c>
      <x:c r="T15" s="2355" t="s">
        <x:v>81</x:v>
      </x:c>
      <x:c r="U15" s="2436"/>
      <x:c r="V15" s="2436" t="s">
        <x:v>82</x:v>
      </x:c>
      <x:c r="W15" s="2436"/>
      <x:c r="X15" s="549" t="s">
        <x:v>27</x:v>
      </x:c>
      <x:c r="Y15" s="1834" t="s">
        <x:v>113</x:v>
      </x:c>
      <x:c r="Z15" s="549" t="s">
        <x:v>114</x:v>
      </x:c>
      <x:c r="AA15" s="1374" t="s">
        <x:v>58</x:v>
      </x:c>
      <x:c r="AB15" s="496"/>
      <x:c r="AC15" s="1225" t="s">
        <x:v>1147</x:v>
      </x:c>
      <x:c r="AD15" s="511" t="s">
        <x:v>74</x:v>
      </x:c>
      <x:c r="AE15" s="512" t="s">
        <x:v>75</x:v>
      </x:c>
      <x:c r="AF15" s="512" t="s">
        <x:v>76</x:v>
      </x:c>
      <x:c r="AG15" s="512" t="s">
        <x:v>77</x:v>
      </x:c>
      <x:c r="AH15" s="513" t="s">
        <x:v>115</x:v>
      </x:c>
      <x:c r="AI15" s="514" t="s">
        <x:v>171</x:v>
      </x:c>
      <x:c r="AJ15" s="442" t="s">
        <x:v>172</x:v>
      </x:c>
      <x:c r="AK15" s="442" t="s">
        <x:v>173</x:v>
      </x:c>
      <x:c r="AL15" s="442" t="s">
        <x:v>174</x:v>
      </x:c>
      <x:c r="AM15" s="442" t="s">
        <x:v>148</x:v>
      </x:c>
      <x:c r="AN15" s="442" t="s">
        <x:v>789</x:v>
      </x:c>
      <x:c r="AO15" s="442" t="s">
        <x:v>790</x:v>
      </x:c>
      <x:c r="AP15" s="442" t="s">
        <x:v>180</x:v>
      </x:c>
      <x:c r="AQ15" s="442" t="s">
        <x:v>177</x:v>
      </x:c>
      <x:c r="AR15" s="442" t="s">
        <x:v>175</x:v>
      </x:c>
      <x:c r="AS15" s="442" t="s">
        <x:v>178</x:v>
      </x:c>
      <x:c r="AT15" s="442" t="s">
        <x:v>179</x:v>
      </x:c>
      <x:c r="AU15" s="2316"/>
      <x:c r="AV15" s="2781"/>
      <x:c r="AW15" s="2782"/>
      <x:c r="AX15" s="601" t="s">
        <x:v>673</x:v>
      </x:c>
      <x:c r="AY15" s="601" t="s">
        <x:v>134</x:v>
      </x:c>
      <x:c r="AZ15" s="2855"/>
      <x:c r="BA15" s="307"/>
      <x:c r="BB15" s="2506"/>
      <x:c r="BC15" s="2485"/>
      <x:c r="BD15" s="2508"/>
      <x:c r="BE15" s="2822"/>
      <x:c r="BF15" s="2823"/>
      <x:c r="BG15" s="2617"/>
      <x:c r="BH15" s="2775"/>
      <x:c r="BI15" s="2776"/>
      <x:c r="BJ15" s="2773"/>
      <x:c r="BK15" s="2775"/>
      <x:c r="BL15" s="2776"/>
      <x:c r="BM15" s="2485"/>
      <x:c r="BN15" s="2785"/>
      <x:c r="BO15" s="2617"/>
      <x:c r="BP15" s="2775"/>
      <x:c r="BQ15" s="2776"/>
      <x:c r="BR15" s="2773"/>
      <x:c r="BS15" s="2775"/>
      <x:c r="BT15" s="2776"/>
      <x:c r="BU15" s="2485"/>
      <x:c r="BV15" s="2768"/>
      <x:c r="BW15" s="2788"/>
      <x:c r="BX15" s="515" t="s">
        <x:v>455</x:v>
      </x:c>
      <x:c r="BY15" s="516" t="s">
        <x:v>592</x:v>
      </x:c>
      <x:c r="BZ15" s="2636"/>
      <x:c r="CA15" s="2638"/>
      <x:c r="CB15" s="594" t="s">
        <x:v>646</x:v>
      </x:c>
      <x:c r="CC15" s="595" t="s">
        <x:v>647</x:v>
      </x:c>
      <x:c r="CD15" s="594" t="s">
        <x:v>646</x:v>
      </x:c>
      <x:c r="CE15" s="595" t="s">
        <x:v>647</x:v>
      </x:c>
      <x:c r="CF15" s="594" t="s">
        <x:v>646</x:v>
      </x:c>
      <x:c r="CG15" s="595" t="s">
        <x:v>647</x:v>
      </x:c>
      <x:c r="CH15" s="596" t="s">
        <x:v>625</x:v>
      </x:c>
      <x:c r="CI15" s="517" t="s">
        <x:v>626</x:v>
      </x:c>
      <x:c r="CJ15" s="518" t="s">
        <x:v>627</x:v>
      </x:c>
      <x:c r="CK15" s="2771"/>
      <x:c r="CL15" s="597" t="s">
        <x:v>646</x:v>
      </x:c>
      <x:c r="CM15" s="598" t="s">
        <x:v>647</x:v>
      </x:c>
      <x:c r="CN15" s="1187" t="s">
        <x:v>646</x:v>
      </x:c>
      <x:c r="CO15" s="519" t="s">
        <x:v>647</x:v>
      </x:c>
      <x:c r="CP15" s="520" t="s">
        <x:v>557</x:v>
      </x:c>
      <x:c r="CQ15" s="521" t="s">
        <x:v>170</x:v>
      </x:c>
      <x:c r="CR15" s="2764"/>
      <x:c r="CS15" s="2767"/>
      <x:c r="CT15" s="1844"/>
      <x:c r="CU15" s="2727"/>
      <x:c r="CV15" s="2728"/>
      <x:c r="CW15" s="2728"/>
      <x:c r="CX15" s="2713"/>
      <x:c r="CY15" s="2713"/>
      <x:c r="CZ15" s="2713"/>
      <x:c r="DA15" s="2713"/>
      <x:c r="DB15" s="2713"/>
      <x:c r="DC15" s="2713"/>
      <x:c r="DD15" s="2713"/>
      <x:c r="DE15" s="2727"/>
      <x:c r="DF15" s="2728"/>
      <x:c r="DG15" s="2728"/>
      <x:c r="DH15" s="2713"/>
      <x:c r="DI15" s="2713"/>
      <x:c r="DJ15" s="2713"/>
      <x:c r="DK15" s="2713"/>
      <x:c r="DL15" s="2713"/>
      <x:c r="DM15" s="2713"/>
      <x:c r="DN15" s="2730"/>
      <x:c r="DO15" s="2723"/>
      <x:c r="DP15" s="2742"/>
      <x:c r="DQ15" s="2717"/>
      <x:c r="DR15" s="2736"/>
      <x:c r="DS15" s="2738"/>
      <x:c r="DT15" s="522" t="s">
        <x:v>593</x:v>
      </x:c>
      <x:c r="DU15" s="522" t="s">
        <x:v>594</x:v>
      </x:c>
      <x:c r="DV15" s="2740"/>
      <x:c r="DW15" s="2719"/>
      <x:c r="DX15" s="2721"/>
      <x:c r="DY15" s="2738"/>
      <x:c r="DZ15" s="522" t="s">
        <x:v>593</x:v>
      </x:c>
      <x:c r="EA15" s="522" t="s">
        <x:v>594</x:v>
      </x:c>
      <x:c r="EB15" s="2719"/>
      <x:c r="EC15" s="2719"/>
      <x:c r="ED15" s="2721"/>
      <x:c r="EE15" s="2745"/>
      <x:c r="EF15" s="523" t="s">
        <x:v>558</x:v>
      </x:c>
      <x:c r="EG15" s="524" t="s">
        <x:v>559</x:v>
      </x:c>
      <x:c r="EH15" s="523" t="s">
        <x:v>558</x:v>
      </x:c>
      <x:c r="EI15" s="524" t="s">
        <x:v>559</x:v>
      </x:c>
      <x:c r="EJ15" s="523" t="s">
        <x:v>558</x:v>
      </x:c>
      <x:c r="EK15" s="524" t="s">
        <x:v>559</x:v>
      </x:c>
      <x:c r="EL15" s="2745"/>
      <x:c r="EM15" s="523" t="s">
        <x:v>558</x:v>
      </x:c>
      <x:c r="EN15" s="524" t="s">
        <x:v>559</x:v>
      </x:c>
      <x:c r="EO15" s="523" t="s">
        <x:v>558</x:v>
      </x:c>
      <x:c r="EP15" s="524" t="s">
        <x:v>559</x:v>
      </x:c>
      <x:c r="EQ15" s="523" t="s">
        <x:v>558</x:v>
      </x:c>
      <x:c r="ER15" s="524" t="s">
        <x:v>559</x:v>
      </x:c>
      <x:c r="ES15" s="2751"/>
      <x:c r="ET15" s="2751"/>
      <x:c r="EU15" s="2752"/>
      <x:c r="EV15" s="2757"/>
      <x:c r="EW15" s="2738"/>
      <x:c r="EX15" s="2754"/>
      <x:c r="EY15" s="2754"/>
      <x:c r="EZ15" s="2800"/>
      <x:c r="FA15" s="2754"/>
      <x:c r="FB15" s="2754"/>
      <x:c r="FC15" s="2754"/>
      <x:c r="FD15" s="2801"/>
      <x:c r="FE15" s="2801"/>
      <x:c r="FF15" s="2801"/>
      <x:c r="FG15" s="2801"/>
      <x:c r="FH15" s="2801"/>
      <x:c r="FI15" s="2801"/>
      <x:c r="FJ15" s="2801"/>
      <x:c r="FK15" s="2801"/>
      <x:c r="FL15" s="2801"/>
      <x:c r="FM15" s="2801"/>
      <x:c r="FN15" s="2801"/>
      <x:c r="FO15" s="2751"/>
      <x:c r="FP15" s="2751"/>
      <x:c r="FQ15" s="2751"/>
      <x:c r="FR15" s="2849"/>
      <x:c r="FS15" s="2850"/>
      <x:c r="FT15" s="2849"/>
      <x:c r="FU15" s="610" t="s">
        <x:v>646</x:v>
      </x:c>
      <x:c r="FV15" s="611" t="s">
        <x:v>647</x:v>
      </x:c>
      <x:c r="FW15" s="1844"/>
      <x:c r="FX15" s="1844"/>
      <x:c r="FY15" s="1844"/>
      <x:c r="FZ15" s="1844"/>
      <x:c r="GA15" s="1301" t="s">
        <x:v>1158</x:v>
      </x:c>
      <x:c r="GB15" s="1302" t="s">
        <x:v>751</x:v>
      </x:c>
      <x:c r="GC15" s="1297" t="s">
        <x:v>646</x:v>
      </x:c>
      <x:c r="GD15" s="1298" t="s">
        <x:v>647</x:v>
      </x:c>
      <x:c r="GE15" s="2501"/>
      <x:c r="GF15" s="2501"/>
      <x:c r="GG15" s="1303" t="s">
        <x:v>1158</x:v>
      </x:c>
      <x:c r="GH15" s="1300" t="s">
        <x:v>751</x:v>
      </x:c>
      <x:c r="GI15" s="1303" t="s">
        <x:v>1158</x:v>
      </x:c>
      <x:c r="GJ15" s="1300" t="s">
        <x:v>751</x:v>
      </x:c>
      <x:c r="GK15" s="2492"/>
      <x:c r="GL15" s="2492"/>
      <x:c r="GM15" s="2492"/>
      <x:c r="HA15" s="2847"/>
      <x:c r="HB15" s="2703"/>
      <x:c r="HC15" s="2703"/>
      <x:c r="HD15" s="2703"/>
      <x:c r="HE15" s="2703"/>
      <x:c r="HF15" s="2701"/>
      <x:c r="HG15" s="2701"/>
      <x:c r="HH15" s="2701"/>
      <x:c r="HI15" s="2701"/>
      <x:c r="HJ15" s="2701"/>
      <x:c r="HK15" s="2701"/>
      <x:c r="HL15" s="2701"/>
      <x:c r="HM15" s="2701"/>
      <x:c r="HN15" s="2701"/>
      <x:c r="HO15" s="2701"/>
      <x:c r="HP15" s="2701"/>
      <x:c r="HQ15" s="2701"/>
      <x:c r="HR15" s="2701"/>
      <x:c r="HS15" s="2701"/>
      <x:c r="HT15" s="2701"/>
      <x:c r="HU15" s="2701"/>
      <x:c r="HV15" s="2701"/>
      <x:c r="HW15" s="2701"/>
      <x:c r="HX15" s="2701"/>
      <x:c r="HY15" s="2701"/>
      <x:c r="HZ15" s="2701"/>
      <x:c r="IA15" s="2701"/>
      <x:c r="IB15" s="2701"/>
      <x:c r="IC15" s="2701"/>
      <x:c r="ID15" s="2701"/>
      <x:c r="IE15" s="2701"/>
      <x:c r="IF15" s="2835"/>
    </x:row>
    <x:row r="16" spans="1:241" ht="12.6" customHeight="1" thickTop="1" x14ac:dyDescent="0.25">
      <x:c r="A16" s="1264" t="s">
        <x:v>1616</x:v>
      </x:c>
      <x:c r="B16" s="1265">
        <x:v>1</x:v>
      </x:c>
      <x:c r="C16" s="1265" t="s">
        <x:v>1978</x:v>
      </x:c>
      <x:c r="D16" s="1261">
        <x:v>59</x:v>
      </x:c>
      <x:c r="E16" s="1366">
        <x:v>11.5</x:v>
      </x:c>
      <x:c r="F16" s="1328">
        <x:v>0</x:v>
      </x:c>
      <x:c r="G16" s="1262">
        <x:v>1.375</x:v>
      </x:c>
      <x:c r="H16" s="1266" t="s">
        <x:v>114</x:v>
      </x:c>
      <x:c r="I16" s="1261">
        <x:v>0</x:v>
      </x:c>
      <x:c r="J16" s="1262">
        <x:v>1.375</x:v>
      </x:c>
      <x:c r="K16" s="1370" t="s">
        <x:v>114</x:v>
      </x:c>
      <x:c r="L16" s="1327">
        <x:v>3</x:v>
      </x:c>
      <x:c r="M16" s="1329">
        <x:v>3</x:v>
      </x:c>
      <x:c r="N16" s="1263" t="str">
        <x:f t="shared" ref="N16:N44" si="1">IF(ES16="","",IF(AND(ES16&lt;0,ES16&gt;-12),TRUNC(ES16/12)-0.0000001,TRUNC(ES16/12)))</x:f>
        <x:v/>
      </x:c>
      <x:c r="O16" s="1262" t="str">
        <x:f t="shared" ref="O16:O44" si="2">IF(ES16="","",IF(AND(ES16-(N16*12)=0,ES16&lt;0),-0.000001,ES16-(N16*12)))</x:f>
        <x:v/>
      </x:c>
      <x:c r="P16" s="1260" t="str">
        <x:f t="shared" ref="P16:P44" si="3">IF(ES16="","",CZ16)</x:f>
        <x:v/>
      </x:c>
      <x:c r="Q16" s="1261" t="str">
        <x:f t="shared" ref="Q16:Q44" si="4">IF(ET16="","",IF(AND(ET16&lt;0,ET16&gt;-12),TRUNC(ET16/12)-0.0000001,TRUNC(ET16/12)))</x:f>
        <x:v/>
      </x:c>
      <x:c r="R16" s="1262" t="str">
        <x:f t="shared" ref="R16:R44" si="5">IF(ET16="","",IF(AND(ET16-(Q16*12)=0,ET16&lt;0),-0.000001,ET16-(Q16*12)))</x:f>
        <x:v/>
      </x:c>
      <x:c r="S16" s="1375" t="str">
        <x:f t="shared" ref="S16:S44" si="6">IF(ET16="","",DJ16)</x:f>
        <x:v/>
      </x:c>
      <x:c r="T16" s="1328">
        <x:v>0</x:v>
      </x:c>
      <x:c r="U16" s="1262">
        <x:v>2.25</x:v>
      </x:c>
      <x:c r="V16" s="1261">
        <x:v>0</x:v>
      </x:c>
      <x:c r="W16" s="1262">
        <x:v>2.25</x:v>
      </x:c>
      <x:c r="X16" s="1329">
        <x:v>4</x:v>
      </x:c>
      <x:c r="Y16" s="1377" t="str">
        <x:f t="shared" ref="Y16:Y44" si="7">FG16</x:f>
        <x:v/>
      </x:c>
      <x:c r="Z16" s="1378" t="str">
        <x:f t="shared" ref="Z16:Z44" si="8">FL16</x:f>
        <x:v/>
      </x:c>
      <x:c r="AA16" s="2159" t="s">
        <x:v>2097</x:v>
      </x:c>
      <x:c r="AC16" s="1226" t="b">
        <x:v>0</x:v>
      </x:c>
      <x:c r="AD16" s="525">
        <x:f t="shared" ref="AD16:AD45" si="9">IF($C16="",0,IF(SUM(AE16:AG16)&gt;0,0,IF(ISERROR(SEARCH("K",$C16,1))=TRUE,0,$B16)))</x:f>
        <x:v>0</x:v>
      </x:c>
      <x:c r="AE16" s="526">
        <x:f t="shared" ref="AE16:AE45" si="10">IF(ISERROR(SEARCH("LH",$C16,1))=TRUE,0,$B16)</x:f>
        <x:v>1</x:v>
      </x:c>
      <x:c r="AF16" s="526">
        <x:f t="shared" ref="AF16:AF45" si="11">IF(ISERROR(SEARCH("JS",$C16))=TRUE,IF(ISERROR(SEARCH("2.5K",$C16))=TRUE,0,$B16),$B16)</x:f>
        <x:v>0</x:v>
      </x:c>
      <x:c r="AG16" s="526">
        <x:f t="shared" ref="AG16:AG45" si="12">IF(ISERROR(SEARCH("HDR",$C16,1))=TRUE,0,$B16)</x:f>
        <x:v>0</x:v>
      </x:c>
      <x:c r="AH16" s="527">
        <x:f t="shared" ref="AH16:AH45" si="13">IF(ISERROR(SEARCH("CJ",$C16,1))=TRUE,0,$B16)</x:f>
        <x:v>0</x:v>
      </x:c>
      <x:c r="AI16" s="528" t="b">
        <x:v>0</x:v>
      </x:c>
      <x:c r="AJ16" s="284">
        <x:f t="shared" ref="AJ16:AJ45" si="14">IF(OR(ISERROR(VALUE(LEFT(C16,SEARCH(AK16,C16)-1))),AK16=""),0,VALUE(LEFT(C16,SEARCH(AK16,C16)-1)))</x:f>
        <x:v>36</x:v>
      </x:c>
      <x:c r="AK16" s="1063" t="str">
        <x:f t="shared" ref="AK16:AK45" si="15">IF(AV16="",AW16,AV16)</x:f>
        <x:v>LH</x:v>
      </x:c>
      <x:c r="AL16" s="1202" t="str">
        <x:f t="shared" ref="AL16:AL45" si="16">IF(AK16="","",IF(ISERROR(SEARCH("/",C16)),IF(VALUE(MID(C16,SEARCH(AK16,C16)+LEN(AK16),LEN(C16)))&gt;25,"",VALUE(MID(C16,SEARCH(AK16,C16)+LEN(AK16),LEN(C16)))),""))</x:f>
        <x:v/>
      </x:c>
      <x:c r="AM16" s="1063">
        <x:f t="shared" ref="AM16:AM45" si="17">IF(AK16="","",IF(ISERROR(SEARCH("/",C16)),IF(VALUE(MID(C16,SEARCH(AK16,C16)+LEN(AK16),LEN(C16)))&lt;26,"",VALUE(MID(C16,SEARCH(AK16,C16)+LEN(AK16),LEN(C16)))),VALUE(MID(C16,SEARCH(AK16,C16)+LEN(AK16),SEARCH("/",C16)-SEARCH(AK16,C16)-LEN(AK16)))))</x:f>
        <x:v>270</x:v>
      </x:c>
      <x:c r="AN16" s="1063">
        <x:f t="shared" ref="AN16:AN45" si="18">IF(AK16="","",IF(AK16="CJ",MID(MID(C16,SEARCH("/",C16)+1,LEN(C16)),1,SEARCH("/",MID(C16,SEARCH("/",C16)+1,LEN(C16)))-1),IF(ISERROR(SEARCH("/",C16)),"",VALUE(MID(C16,SEARCH("/",C16)+1,LEN(C16))))))</x:f>
        <x:v>120</x:v>
      </x:c>
      <x:c r="AO16" s="1063" t="str">
        <x:f t="shared" ref="AO16:AO45" si="19">IF(AK16="CJ",VALUE(MID(MID(C16,SEARCH("/",C16)+1,LEN(C16)),SEARCH("/",MID(C16,SEARCH("/",C16)+1,LEN(C16)))+1,LEN(MID(C16,SEARCH("/",C16)+1,LEN(C16))))),"")</x:f>
        <x:v/>
      </x:c>
      <x:c r="AP16" s="1063" t="b">
        <x:f>IF(ISERROR(AJ16),FALSE,IF(OR(AJ16=0,ISERROR(AL16),ISERROR(AM16),ISERROR(AN16),ISERROR(AO16)),FALSE,IF(AL16&lt;&gt;"",IF(ISERROR(VLOOKUP(SUBSTITUTE(SUBSTITUTE(C16,"R",""),"A",""),TblJoistSize!$A:$A,1,FALSE)),FALSE,TRUE),TRUE)))</x:f>
        <x:v>1</x:v>
      </x:c>
      <x:c r="AQ16" s="1305">
        <x:f t="shared" ref="AQ16:AQ45" si="20">VLOOKUP(AK16,$DF$2:$DN$9,4,FALSE)+IF(LEFT(H16,1)="R",IF(ISNUMBER(F16),F16*12,0)+IF(ISNUMBER(G16),G16,0),0)</x:f>
        <x:v>7.375</x:v>
      </x:c>
      <x:c r="AR16" s="1305" t="b">
        <x:f t="shared" ref="AR16:AR45" si="21">IF(IF(ISNUMBER(T16),T16*12,0)+IF(ISNUMBER(U16),U16,0)&gt;0,IF(AND((IF(ISNUMBER(T16),T16*12,0)+IF(ISNUMBER(U16),U16,0))&gt;=1,(IF(ISNUMBER(T16),T16*12,0)+IF(ISNUMBER(U16),U16,0))&lt;=(AQ16-1)+IF(H16="X",2,0)),TRUE,FALSE),FALSE)</x:f>
        <x:v>1</x:v>
      </x:c>
      <x:c r="AS16" s="1305">
        <x:f t="shared" ref="AS16:AS45" si="22">VLOOKUP(AK16,$DF$2:$DN$9,4,FALSE)+IF(LEFT(K16,1)="R",(IF(ISNUMBER(I16),I16*12,0)+IF(ISNUMBER(J16),J16,0)),0)</x:f>
        <x:v>7.375</x:v>
      </x:c>
      <x:c r="AT16" s="1305" t="b">
        <x:f t="shared" ref="AT16:AT45" si="23">IF(IF(ISNUMBER(V16),V16*12,0)+IF(ISNUMBER(W16),W16,0)&gt;0,IF(AND((IF(ISNUMBER(V16),V16*12,0)+IF(ISNUMBER(W16),W16,0))&gt;=1,(IF(ISNUMBER(V16),V16*12,0)+IF(ISNUMBER(W16),W16,0))&lt;=(AS16-1)+IF(K16="X",2,0)),TRUE,FALSE),FALSE)</x:f>
        <x:v>1</x:v>
      </x:c>
      <x:c r="AU16" s="1203" t="str">
        <x: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x:f>
        <x:v>LH</x:v>
      </x:c>
      <x:c r="AV16" s="1063" t="str">
        <x:f t="shared" ref="AV16:AV45" si="25">IF(NOT(ISERROR(SEARCH("KCSR",C16))),"KCSR",IF(NOT(ISERROR(SEARCH("KCSA",C16))),"KCSA",IF(NOT(ISERROR(SEARCH("KCS",C16))),"KCS",IF(NOT(ISERROR(SEARCH("KR",C16))),"KR",IF(NOT(ISERROR(SEARCH("KA",C16))),"KA",IF(NOT(ISERROR(SEARCH("K",C16))),"K",IF(NOT(ISERROR(SEARCH("CJ",C16))),"CJ","")))))))</x:f>
        <x:v/>
      </x:c>
      <x:c r="AW16" s="1063" t="str">
        <x:f t="shared" ref="AW16:AW45" si="26">IF(NOT(ISERROR(SEARCH("HDR",C16))),"HDR",IF(NOT(ISERROR(SEARCH("JS",C16))),"JS",IF(NOT(ISERROR(SEARCH("SLH",C16))),"SLH",IF(NOT(ISERROR(SEARCH("DLH",C16))),"DLH",IF(NOT(ISERROR(SEARCH("LH",C16))),"LH","")))))</x:f>
        <x:v>LH</x:v>
      </x:c>
      <x:c r="AX16" s="1063" t="str">
        <x:f>IF(OR(ISBLANK(A16),A16=""),"",A16)</x:f>
        <x:v>TJ292</x:v>
      </x:c>
      <x:c r="AY16" s="1306" t="b">
        <x:f t="shared" ref="AY16:AY45" si="27">IF($AE$1,IF(AX16=AX15,AY15,IF(AND(AX16&lt;&gt;"",OR(B16=0,B16="")),TRUE,FALSE)),FALSE)</x:f>
        <x:v>0</x:v>
      </x:c>
      <x:c r="AZ16" s="1090" t="b">
        <x:f t="shared" ref="AZ16:AZ45" si="28">IF(AND(NOT(ISERROR(AJ16)),AJ16&gt;0),((IF(D16="",0,D16)*12+IF(E16="",0,E16))-(IF(F16="",0,F16)*12+IF(G16="",0,G16))-(IF(I16="",0,I16)*12+IF(J16="",0,J16)))&gt;AJ16*24,"")</x:f>
        <x:v>0</x:v>
      </x:c>
      <x:c r="BA16" s="674"/>
      <x:c r="BB16" s="842"/>
      <x:c r="BC16" s="894"/>
      <x:c r="BD16" s="926"/>
      <x:c r="BE16" s="927"/>
      <x:c r="BF16" s="928"/>
      <x:c r="BG16" s="901"/>
      <x:c r="BH16" s="1244"/>
      <x:c r="BI16" s="1245"/>
      <x:c r="BJ16" s="929"/>
      <x:c r="BK16" s="902"/>
      <x:c r="BL16" s="903"/>
      <x:c r="BM16" s="904"/>
      <x:c r="BN16" s="905"/>
      <x:c r="BO16" s="901"/>
      <x:c r="BP16" s="902"/>
      <x:c r="BQ16" s="903"/>
      <x:c r="BR16" s="929"/>
      <x:c r="BS16" s="902"/>
      <x:c r="BT16" s="903"/>
      <x:c r="BU16" s="904"/>
      <x:c r="BV16" s="905"/>
      <x:c r="BW16" s="919"/>
      <x:c r="BX16" s="920"/>
      <x:c r="BY16" s="921"/>
      <x:c r="BZ16" s="922"/>
      <x:c r="CA16" s="923"/>
      <x:c r="CB16" s="922"/>
      <x:c r="CC16" s="923"/>
      <x:c r="CD16" s="924" t="str">
        <x:f t="shared" ref="CD16:CD45" si="29">IF(CY16="","","X")</x:f>
        <x:v/>
      </x:c>
      <x:c r="CE16" s="925" t="str">
        <x:f t="shared" ref="CE16:CE45" si="30">IF(DI16="","","X")</x:f>
        <x:v/>
      </x:c>
      <x:c r="CF16" s="1147"/>
      <x:c r="CG16" s="1148"/>
      <x:c r="CH16" s="730" t="str">
        <x:f t="shared" ref="CH16:CH45" si="31">IF(EJ16=EK16,IF(EK16="ERR","ERR",""),CONCATENATE(IF(BM16&lt;0,"NS ","FS "),IF(EK16="ERR","Slot Only",CONCATENATE("Slot @ ",EJ16))))</x:f>
        <x:v/>
      </x:c>
      <x:c r="CI16" s="731" t="str">
        <x:f t="shared" ref="CI16:CI45" si="32">IF(EQ16=ER16,IF(ER16="ERR","ERR",""),CONCATENATE(IF(BU16&lt;0,"FS ","NS "),IF(ER16="ERR","Slot Only",CONCATENATE("Slot @ ",EQ16))))</x:f>
        <x:v/>
      </x:c>
      <x:c r="CJ16" s="732" t="str">
        <x:f t="shared" ref="CJ16:CJ45" si="33">IF(EV16="","",IF(AND(DB16&lt;&gt;EV16,OR(NOT(ISBLANK(BJ16)),CU16="C")),CONCATENATE("LE slots @ ",DB16," Ga."),IF(AND(DL16&lt;&gt;EV16,OR(NOT(ISBLANK(BR16)),DE16="C")),CONCATENATE("RE slots @ ",DL16," Ga."),"")))</x:f>
        <x:v/>
      </x:c>
      <x:c r="CK16" s="733" t="str">
        <x:f t="shared" ref="CK16:CK45" si="34">IF(AND(CP16&lt;&gt;"",BM16&lt;&gt;"",CQ16&lt;&gt;"",BU16&lt;&gt;""),"BE",IF(AND(CP16&lt;&gt;"",BM16&lt;&gt;""),"LE",IF(AND(CQ16&lt;&gt;"",BU16&lt;&gt;""),"RE","")))</x:f>
        <x:v/>
      </x:c>
      <x:c r="CL16" s="734" t="str">
        <x:f t="shared" ref="CL16:CL45" si="35">IF(ISBLANK(CB16),"",CEILING(DV16,0.125))</x:f>
        <x:v/>
      </x:c>
      <x:c r="CM16" s="735" t="str">
        <x:f t="shared" ref="CM16:CM45" si="36">IF(ISBLANK(CC16),"",CEILING(EB16,0.125))</x:f>
        <x:v/>
      </x:c>
      <x:c r="CN16" s="736" t="str">
        <x:f t="shared" ref="CN16:CN45" si="37">IF(AND(BW16&lt;&gt;0,BM16&lt;&gt;0),BW16*COS(RADIANS(90-BM16))/(1/COS(RADIANS(90-BM16)))*-1,"")</x:f>
        <x:v/>
      </x:c>
      <x:c r="CO16" s="737" t="str">
        <x:f t="shared" ref="CO16:CO45" si="38">IF(AND(BW16&lt;&gt;0,BU16&lt;&gt;0),BW16*COS(RADIANS(90-BU16))/(1/COS(RADIANS(90-BU16))),"")</x:f>
        <x:v/>
      </x:c>
      <x:c r="CP16" s="760" t="str">
        <x:f t="shared" ref="CP16:CP45" si="39">IF(BG16="","",IF(AU16="JS","",IF(VLOOKUP(AU16,$DF$2:$DN$9,5,FALSE)&gt;FO16,IF(FO16&gt;=0.0625,CEILING(FO16-0.0625,0.125),FO16),"")))</x:f>
        <x:v/>
      </x:c>
      <x:c r="CQ16" s="761" t="str">
        <x:f t="shared" ref="CQ16:CQ45" si="40">IF(BO16="","",IF(AU16="JS","",IF(VLOOKUP(AU16,$DF$2:$DN$9,5,FALSE)&gt;FP16,IF(FP16&gt;=0.0625,CEILING(FP16-0.0625,0.125),FP16),"")))</x:f>
        <x:v/>
      </x:c>
      <x:c r="CR16" s="951">
        <x:f t="shared" ref="CR16:CR45" si="41">IF(AU16="","",IF(ABS(FF16)&lt;ABS($CX$2),VLOOKUP(AU16,$DF$2:$DN$9,3,FALSE),CEILING(VLOOKUP(AU16,$DF$2:$DN$9,3,FALSE)/COS(FE16)+0.375+IF(CU16="M",IF(FE16&gt;0,(DV16-DW16)/12,0),IF(FE16&gt;0,0,(DV16-CV16)/12))*ABS(FF16),0.125)))</x:f>
        <x:v>5</x:v>
      </x:c>
      <x:c r="CS16" s="952">
        <x:f t="shared" ref="CS16:CS45" si="42">IF(AU16="","",IF(ABS(FK16)&lt;ABS($CX$2),VLOOKUP(AU16,$DF$2:$DN$9,3,FALSE),CEILING(VLOOKUP(AU16,$DF$2:$DN$9,3,FALSE)/COS(FJ16)+0.375+IF(DE16="M",IF(FJ16&lt;0,(EB16-EC16)/12,0),IF(FJ16&lt;0,0,(EB16-DF16)/12))*ABS(FK16),0.125)))</x:f>
        <x:v>5</x:v>
      </x:c>
      <x:c r="CU16" s="1091" t="str">
        <x:f>IF(BG16="","",VLOOKUP(BG16,SectInfo!$B:$N,12,FALSE))</x:f>
        <x:v/>
      </x:c>
      <x:c r="CV16" s="1092" t="str">
        <x:f>IF(BG16="","",IF(ISBLANK(BZ16),VLOOKUP(BG16,SectInfo!$B:$N,13,FALSE),BZ16))</x:f>
        <x:v/>
      </x:c>
      <x:c r="CW16" s="1092" t="str">
        <x:f>IF(BG16="","",IF(VLOOKUP(BG16,SectInfo!$B:$N,5,FALSE)="","R",UPPER(VLOOKUP(BG16,SectInfo!$B:$N,5,FALSE))))</x:f>
        <x:v/>
      </x:c>
      <x:c r="CX16" s="1092" t="str">
        <x:f>IF(BG16="","",IF(ISBLANK(CF16),VLOOKUP(BG16,SectInfo!$B:$N,6,FALSE),CF16))</x:f>
        <x:v/>
      </x:c>
      <x:c r="CY16" s="1278" t="str">
        <x:f>IF(BG16="","",IF(VLOOKUP(BG16,SectInfo!$B:$N,10,FALSE)="","",(VLOOKUP(BG16,SectInfo!$B:$N,10,FALSE)*-1)))</x:f>
        <x:v/>
      </x:c>
      <x:c r="CZ16" s="1448" t="str">
        <x:f>IF(BG16="","",IF(VLOOKUP(BG16,SectInfo!$B:$N,11,FALSE)="","2",(VLOOKUP(BG16,SectInfo!$B:$N,11,FALSE))))</x:f>
        <x:v/>
      </x:c>
      <x:c r="DA16" s="1092" t="str">
        <x:f>IF(BG16="","",IF(VLOOKUP(BG16,SectInfo!$B:$N,7,FALSE)="","",(VLOOKUP(BG16,SectInfo!$B:$N,7,FALSE)*-1)))</x:f>
        <x:v/>
      </x:c>
      <x:c r="DB16" s="1092" t="str">
        <x:f>IF(BG16="","",IF(VLOOKUP(BG16,SectInfo!$B:$N,8,FALSE)="",VLOOKUP(AU16,$DF$2:$DN$9,6,FALSE),(VLOOKUP(BG16,SectInfo!$B:$N,8,FALSE))))</x:f>
        <x:v/>
      </x:c>
      <x:c r="DC16" s="1092" t="str">
        <x:f>IF(BG16="","",VLOOKUP(BG16,SectInfo!$B:$N,9,FALSE))</x:f>
        <x:v/>
      </x:c>
      <x:c r="DD16" s="1093">
        <x:f t="shared" ref="DD16:DD45" si="43">BN16*-1</x:f>
        <x:v>0</x:v>
      </x:c>
      <x:c r="DE16" s="1091" t="str">
        <x:f>IF(BO16="","",VLOOKUP(BO16,SectInfo!$B:$N,12,FALSE))</x:f>
        <x:v/>
      </x:c>
      <x:c r="DF16" s="1092" t="str">
        <x:f>IF(BO16="","",IF(ISBLANK(CA16),VLOOKUP(BO16,SectInfo!$B:$N,13,FALSE),CA16))</x:f>
        <x:v/>
      </x:c>
      <x:c r="DG16" s="1092" t="str">
        <x:f>IF(BO16="","",IF(VLOOKUP(BO16,SectInfo!$B:$N,5,FALSE)="","R",UPPER(VLOOKUP(BO16,SectInfo!$B:$N,5,FALSE))))</x:f>
        <x:v/>
      </x:c>
      <x:c r="DH16" s="1092" t="str">
        <x:f>IF(BO16="","",IF(ISBLANK(CG16),VLOOKUP(BO16,SectInfo!$B:$N,6,FALSE),CG16))</x:f>
        <x:v/>
      </x:c>
      <x:c r="DI16" s="1092" t="str">
        <x:f>IF(BO16="","",IF(VLOOKUP(BO16,SectInfo!$B:$N,10,FALSE)="","",(VLOOKUP(BO16,SectInfo!$B:$N,10,FALSE)*-1)))</x:f>
        <x:v/>
      </x:c>
      <x:c r="DJ16" s="1448" t="str">
        <x:f>IF(BO16="","",IF(VLOOKUP(BO16,SectInfo!$B:$N,11,FALSE)="","2",(VLOOKUP(BO16,SectInfo!$B:$N,11,FALSE))))</x:f>
        <x:v/>
      </x:c>
      <x:c r="DK16" s="1092" t="str">
        <x:f>IF(BO16="","",IF(VLOOKUP(BO16,SectInfo!$B:$N,7,FALSE)="","",(VLOOKUP(BO16,SectInfo!$B:$N,7,FALSE)*-1)))</x:f>
        <x:v/>
      </x:c>
      <x:c r="DL16" s="1092" t="str">
        <x:f>IF(BO16="","",IF(VLOOKUP(BO16,SectInfo!$B:$N,8,FALSE)="",VLOOKUP(AU16,$DF$2:$DN$9,6,FALSE),(VLOOKUP(BO16,SectInfo!$B:$N,8,FALSE))))</x:f>
        <x:v/>
      </x:c>
      <x:c r="DM16" s="1092" t="str">
        <x:f>IF(BO16="","",VLOOKUP(BO16,SectInfo!$B:$N,9,FALSE))</x:f>
        <x:v/>
      </x:c>
      <x:c r="DN16" s="1093">
        <x:f t="shared" ref="DN16:DN45" si="44">BV16*-1</x:f>
        <x:v>0</x:v>
      </x:c>
      <x:c r="DO16" s="1094">
        <x:f t="shared" ref="DO16:DO45" si="45">IF(BW16="",0,ATAN(BW16/12))</x:f>
        <x:v>0</x:v>
      </x:c>
      <x:c r="DP16" s="1095" t="str">
        <x:f t="shared" ref="DP16:DP45" si="46">IF(OR(CV16="",BE16="",DF16=""),"",CEILING(IF(AND(BE16="",BF16=""),"",((BE16*12+BF16)+CV16+DF16)/COS(FN16))-0.0625,0.125))</x:f>
        <x:v/>
      </x:c>
      <x:c r="DQ16" s="1095" t="str">
        <x:f t="shared" ref="DQ16:DQ45" si="47">IF(AU16="","",IF(ABS(FF16)&lt;ABS($CX$2),CX16,IF(FF16=0,CX16,CEILING((CX16+((DW16-CV16)/12)*FF16)-0.0625,0.125))))</x:f>
        <x:v/>
      </x:c>
      <x:c r="DR16" s="1095" t="str">
        <x:f t="shared" ref="DR16:DR45" si="48">IF(AU16="","",IF(ABS(FK16)&lt;ABS($CX$2),DH16,IF(FK16=0,DH16,CEILING((DH16+((EC16-DF16)/12)*FK16)-0.0625,0.125))))</x:f>
        <x:v/>
      </x:c>
      <x:c r="DS16" s="1096">
        <x:f t="shared" ref="DS16:DS45" si="49">IF(BM16="",0,RADIANS(ABS(BM16)))</x:f>
        <x:v>0</x:v>
      </x:c>
      <x:c r="DT16" s="1052">
        <x:f t="shared" ref="DT16:DT45" si="50">MIN(IF(BH16&gt;0,BH16/2,MAX(BI16/2,DC16)),IF(BI16&gt;0,BI16/2,MAX(BH16/2,DC16)),IF(DC16&gt;0,DC16,MAX(BI16/2,BH16/2)))/IF(OR(CU16="C",AND(CU16="M",$DD$1="N")),1,COS(DS16))</x:f>
        <x:v>0</x:v>
      </x:c>
      <x:c r="DU16" s="1052" t="str">
        <x:f t="shared" ref="DU16:DU45" si="51">IF(CV16="","",IF(DC16&gt;=0,MAX(BH16/2,BI16/2,DC16),DC16)/IF(OR(CU16="C",AND(CU16="M",$DD$1="N")),1,COS(DS16)))</x:f>
        <x:v/>
      </x:c>
      <x:c r="DV16" s="1095" t="str">
        <x:f t="shared" ref="DV16:DV45" si="52">IF(CV16="","",(CV16+DU16+(VLOOKUP(IF(AU16="HDR","K",AU16),$DF$2:$DN$9,2,FALSE))*TAN(DS16))/COS(FD16)-FH16)</x:f>
        <x:v/>
      </x:c>
      <x:c r="DW16" s="1095" t="str">
        <x:f t="shared" ref="DW16:DW45" si="53">IF(CV16="","",MAX(0,IF(NOT(ISBLANK(CB16)),CV16-CB16,DV16-VLOOKUP(IF(AU16="HDR","K",AU16),$DF$2:$DN$9,4,FALSE))))</x:f>
        <x:v/>
      </x:c>
      <x:c r="DX16" s="1451">
        <x:f t="shared" ref="DX16:DX45" si="54">IF(CV16="",0,IF(DW16/COS(FN16-FD16)&lt;0.0625,0,CEILING(DW16/COS(FN16-FD16)-0.03125,0.125)))</x:f>
        <x:v>0</x:v>
      </x:c>
      <x:c r="DY16" s="1095">
        <x:f t="shared" ref="DY16:DY45" si="55">RADIANS(ABS(BU16))</x:f>
        <x:v>0</x:v>
      </x:c>
      <x:c r="DZ16" s="1052">
        <x:f t="shared" ref="DZ16:DZ45" si="56">MIN(IF(BP16&gt;0,BP16/2,MAX(BQ16/2,DM16)),IF(BQ16&gt;0,BQ16/2,MAX(BP16/2,DM16)),IF(DM16&gt;0,DM16,MAX(BQ16/2,BP16/2)))/IF(OR(DE16="C",AND(DE16="M",$DD$1="N")),1,COS(DY16))</x:f>
        <x:v>0</x:v>
      </x:c>
      <x:c r="EA16" s="1052" t="str">
        <x:f t="shared" ref="EA16:EA45" si="57">IF(DF16="","",IF(DM16&gt;=0,MAX(BP16/2,BQ16/2,DM16),DM16)/IF(OR(DE16="C",AND(DE16="M",$DD$1="N")),1,COS(DY16)))</x:f>
        <x:v/>
      </x:c>
      <x:c r="EB16" s="1095" t="str">
        <x:f t="shared" ref="EB16:EB45" si="58">IF(DF16="","",(DF16+EA16+(VLOOKUP(IF(AU16="HDR","K",AU16),$DF$2:$DN$9,2,FALSE))*TAN(DY16))/COS(FI16)-FM16)</x:f>
        <x:v/>
      </x:c>
      <x:c r="EC16" s="1095" t="str">
        <x:f t="shared" ref="EC16:EC45" si="59">IF(DF16="","",MAX(0,IF(NOT(ISBLANK(CC16)),DF16-CC16,EB16-VLOOKUP(IF(AU16="HDR","K",AU16),$DF$2:$DN$9,4,FALSE))))</x:f>
        <x:v/>
      </x:c>
      <x:c r="ED16" s="1451">
        <x:f t="shared" ref="ED16:ED45" si="60">IF(DF16="",0,IF(EC16/COS(FN16+FI16)&lt;0.0625,0,CEILING(EC16/COS(FN16+FI16)-0.03125,0.125)))</x:f>
        <x:v>0</x:v>
      </x:c>
      <x:c r="EE16" s="1107" t="str">
        <x:f t="shared" ref="EE16:EE45" si="61">IF(AND(EZ16="",DA16=""),"",IF(EZ16="ERR","ERR",IF(CU16="C",DA16,IF(BJ16="","",IF(DA16="",(EZ16/2)*-1,DA16)))))</x:f>
        <x:v/>
      </x:c>
      <x:c r="EF16" s="1095" t="str">
        <x:f t="shared" ref="EF16:EF45" si="62">IF(EE16="ERR","ERR",IF(EE16="","",IF(DB16*TAN(DS16)&lt;=(VLOOKUP(AU16,$DF$2:$DN$9,8,FALSE)-(VLOOKUP(AU16,$DF$2:$DN$9,7,FALSE)-0.0625)),CV16-(EE16-FH16)/IF(OR(CU16="C",AND(CU16="M",$DD$1="N")),1,COS(DS16))-IF(MID(CW16,1,1)="R",0,DW16),(ABS(EE16-FH16)/IF(OR(CU16="C",AND(CU16="M",$DD$1="N")),1,COS(DS16))+CV16)-((DB16/2)*TAN(DS16))-IF(MID(CW16,1,1)="R",0,DW16))))</x:f>
        <x:v/>
      </x:c>
      <x:c r="EG16" s="1095" t="str">
        <x:f t="shared" ref="EG16:EG45" si="63">IF(EE16="ERR","ERR",IF(EE16="","",IF(DB16*TAN(DS16)&lt;=(VLOOKUP(AU16,$DF$2:$DN$9,8,FALSE)-(VLOOKUP(AU16,$DF$2:$DN$9,7,FALSE)-0.0625)),CV16-(EE16-FH16)/IF(OR(CU16="C",AND(CU16="M",$DD$1="N")),1,COS(DS16))-IF(MID(CW16,1,1)="R",0,DW16),(ABS(EE16-FH16)/IF(OR(CU16="C",AND(CU16="M",$DD$1="N")),1,COS(DS16))+CV16)+((DB16/2)*TAN(DS16))-IF(MID(CW16,1,1)="R",0,DW16))))</x:f>
        <x:v/>
      </x:c>
      <x:c r="EH16" s="1095" t="str">
        <x:f t="shared" ref="EH16:EH45" si="64">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x:f>
        <x:v>ERR</x:v>
      </x:c>
      <x:c r="EI16" s="1095" t="str">
        <x:f t="shared" ref="EI16:EI45" si="65">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x:f>
        <x:v>ERR</x:v>
      </x:c>
      <x:c r="EJ16" s="1095" t="str">
        <x:f t="shared" ref="EJ16:EK45" si="66">IF(ISERROR(EF16),"ERR",IF(EF16="","",IF(EH16="ERR","ERR",CEILING(EH16-0.0625,0.125))))</x:f>
        <x:v/>
      </x:c>
      <x:c r="EK16" s="1095" t="str">
        <x:f t="shared" si="66"/>
        <x:v/>
      </x:c>
      <x:c r="EL16" s="1107" t="str">
        <x:f t="shared" ref="EL16:EL45" si="67">IF(AND(FC16="",DK16=""),"",IF(FC16="ERR","ERR",IF(DE16="C",DK16,IF(BR16="","",IF(DK16="",(FC16/2)*-1,DK16)))))</x:f>
        <x:v/>
      </x:c>
      <x:c r="EM16" s="1095" t="str">
        <x:f t="shared" ref="EM16:EM45" si="68">IF(EL16="ERR","ERR",IF(EL16="","",IF(DL16*TAN(DY16)&lt;=(VLOOKUP(AU16,$DF$2:$DN$9,8,FALSE)-(VLOOKUP(AU16,$DF$2:$DN$9,7,FALSE)-0.0625)),DF16-(EL16-FM16)/IF(OR(DE16="C",AND(DE16="M",$DD$1="N")),1,COS(DY16))-IF(MID(DG16,1,1)="R",0,EC16),(ABS(EL16-FM16)/IF(OR(DE16="C",AND(DE16="M",$DD$1="N")),1,COS(DY16))+DF16)-((DL16/2)*TAN(DY16))-IF(MID(DG16,1,1)="R",0,EC16))))</x:f>
        <x:v/>
      </x:c>
      <x:c r="EN16" s="1095" t="str">
        <x:f t="shared" ref="EN16:EN45" si="69">IF(EL16="ERR","ERR",IF(EL16="","",IF(DL16*TAN(DY16)&lt;=(VLOOKUP(AU16,$DF$2:$DN$9,8,FALSE)-(VLOOKUP(AU16,$DF$2:$DN$9,7,FALSE)-0.0625)),DF16-(EL16-FM16)/IF(OR(DE16="C",AND(DE16="M",$DD$1="N")),1,COS(DY16))-IF(MID(DG16,1,1)="R",0,EC16),(ABS(EL16-FM16)/IF(OR(DE16="C",AND(DE16="M",$DD$1="N")),1,COS(DY16))+DF16)+((DL16/2)*TAN(DY16))-IF(MID(DG16,1,1)="R",0,EC16))))</x:f>
        <x:v/>
      </x:c>
      <x:c r="EO16" s="1095" t="str">
        <x:f t="shared" ref="EO16:EO45" si="70">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x:f>
        <x:v>ERR</x:v>
      </x:c>
      <x:c r="EP16" s="1095" t="str">
        <x:f t="shared" ref="EP16:EP45" si="71">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x:f>
        <x:v>ERR</x:v>
      </x:c>
      <x:c r="EQ16" s="1095" t="str">
        <x:f t="shared" ref="EQ16:ER45" si="72">IF(ISERROR(EM16),"ERR",IF(EM16="","",IF(EO16="ERR","ERR",CEILING(EO16-0.0625,0.125))))</x:f>
        <x:v/>
      </x:c>
      <x:c r="ER16" s="1095" t="str">
        <x:f t="shared" si="72"/>
        <x:v/>
      </x:c>
      <x:c r="ES16" s="1053" t="str">
        <x:f t="shared" ref="ES16:ES45" si="73">IF(OR(CY16="",AU16="JS",AU16="HDR",CD16=""),"",IF((CV16-CY16)/COS(DO16)-FS16&lt;=-0.0625,CEILING((CV16-CY16)/COS(DO16)-FS16+0.0625,-0.125),IF((CV16-CY16)/COS(DO16)-FS16&gt;=0.0625,CEILING((CV16-CY16)/COS(DO16)-FS16-0.0625,0.125),0)))</x:f>
        <x:v/>
      </x:c>
      <x:c r="ET16" s="1053" t="str">
        <x:f t="shared" ref="ET16:ET45" si="74">IF(OR(DI16="",AU16="JS",AU16="HDR",CE16=""),"",IF((DF16-DI16)/COS(DO16)-FT16&lt;=-0.0625,CEILING((DF16-DI16)/COS(DO16)-FT16+0.0625,-0.125),IF((DF16-DI16)/COS(DO16)-FT16&gt;=0.0625,CEILING((DF16-DI16)/COS(DO16)-FT16-0.0625,0.125),0)))</x:f>
        <x:v/>
      </x:c>
      <x:c r="EU16" s="1097">
        <x:f t="shared" ref="EU16:EU45" si="75">IF(AU16="","",VLOOKUP(AU16,$DF$2:$DN$9,6,FALSE))</x:f>
        <x:v>4</x:v>
      </x:c>
      <x:c r="EV16" s="1055" t="str">
        <x:f t="shared" ref="EV16:EV45" si="76">IF(AND(EK16="",ER16=""),"",IF(EK16="",DL16,IF(EQ16="",DB16,IF(DB16&lt;&gt;DL16,EU16,DB16))))</x:f>
        <x:v/>
      </x:c>
      <x:c r="EW16" s="1097"/>
      <x:c r="EX16" s="1097" t="str">
        <x:f>IF(AND(CU16="G", ISBLANK(BK16), ISBLANK(BL16)),VLOOKUP(MIN(BH16:BI16),TblJoistSize!$M$3:$N$10,2),IF(OR(CU16="B",CU16="G"),MIN(BK16:BL16),""))</x:f>
        <x:v/>
      </x:c>
      <x:c r="EY16" s="1097" t="str">
        <x:f>IF(AND(CU16="G", ISBLANK(BK16), ISBLANK(BL16)),VLOOKUP(MAX(BH16:BI16),TblJoistSize!$M$3:$N$10,2),IF(OR(CU16="B",CU16="G"),MAX(BK16:BL16),""))</x:f>
        <x:v/>
      </x:c>
      <x:c r="EZ16" s="1097" t="str">
        <x:f t="shared" ref="EZ16:EZ45" si="77">IF(BJ16="X",IF(OR(CU16="M",CU16="C"),"",IF((EY16-EX16)/2&lt;=(VLOOKUP(AU16,$DF$2:$DN$9,8,FALSE)-(VLOOKUP(AU16,$DF$2:$DN$9,7,FALSE)-0.0625)),(EX16+EY16)/2,"ERR")),"")</x:f>
        <x:v/>
      </x:c>
      <x:c r="FA16" s="1097" t="str">
        <x:f>IF(AND(DE16="G", ISBLANK(BS16), ISBLANK(BT16)),VLOOKUP(MIN(BP16:BQ16),TblJoistSize!$M$3:$N$10,2),IF(OR(DE16="B", DE16="G"),MIN(BS16:BT16),""))</x:f>
        <x:v/>
      </x:c>
      <x:c r="FB16" s="1097" t="str">
        <x:f>IF(AND(DE16="G", ISBLANK(BS16), ISBLANK(BT16)),VLOOKUP(MAX(BP16:BQ16),TblJoistSize!$M$3:$N$10,2),IF(OR(DE16="B", DE16="G"),MAX(BS16:BT16),""))</x:f>
        <x:v/>
      </x:c>
      <x:c r="FC16" s="1097" t="str">
        <x:f t="shared" ref="FC16:FC45" si="78">IF(BR16="X",IF(OR(DE16="M",DE16="C"),"",IF((FB16-FA16)/2&lt;=(VLOOKUP(AU16,$DF$2:$DN$9,8,FALSE)-(VLOOKUP(AU16,$DF$2:$DN$9,7,FALSE)-0.0625)),(FA16+FB16)/2,"ERR")),"")</x:f>
        <x:v/>
      </x:c>
      <x:c r="FD16" s="1096">
        <x:f>IF(DD16="",0,ATAN(DD16/12))</x:f>
        <x:v>0</x:v>
      </x:c>
      <x:c r="FE16" s="1096">
        <x:f t="shared" ref="FE16:FE45" si="79">DO16-FD16</x:f>
        <x:v>0</x:v>
      </x:c>
      <x:c r="FF16" s="1096">
        <x:f t="shared" ref="FF16:FF45" si="80">TAN(FE16)*12</x:f>
        <x:v>0</x:v>
      </x:c>
      <x:c r="FG16" s="1096" t="str">
        <x:f t="shared" ref="FG16:FG45" si="81">IF(FF16=0,"",IF(ABS(FF16)&lt;$CX$2,IF(AND(ABS(MIN(DV16,FQ16)/12*FF16)&gt;$DD$2,FF16&gt;0),IF(FF16&gt;0,CEILING(FF16-0.0625,0.125),CEILING(FF16+0.0625,-0.125)),""),IF(FF16&gt;0,CEILING(FF16-0.0625,0.125),CEILING(FF16+0.0625,-0.125))))</x:f>
        <x:v/>
      </x:c>
      <x:c r="FH16" s="1095" t="str">
        <x:f t="shared" ref="FH16:FH45" si="82">IF(CX16="","",CX16*TAN(FD16))</x:f>
        <x:v/>
      </x:c>
      <x:c r="FI16" s="1096">
        <x:f>IF(DN16="",0,ATAN(DN16/12))</x:f>
        <x:v>0</x:v>
      </x:c>
      <x:c r="FJ16" s="1096">
        <x:f t="shared" ref="FJ16:FJ45" si="83">DO16+FI16</x:f>
        <x:v>0</x:v>
      </x:c>
      <x:c r="FK16" s="1096">
        <x:f t="shared" ref="FK16:FK45" si="84">TAN(FJ16)*-12</x:f>
        <x:v>0</x:v>
      </x:c>
      <x:c r="FL16" s="1096" t="str">
        <x:f t="shared" ref="FL16:FL45" si="85">IF(FK16=0,"",IF(ABS(FK16)&lt;$CX$2,IF(AND(ABS(MIN(EB16,FR16)/12*FK16)&gt;$DD$2,FK16&gt;0),IF(FK16&gt;0,CEILING(FK16-0.0625,0.125),CEILING(FK16+0.0625,-0.125)),""),IF(FK16&gt;0,CEILING(FK16-0.0625,0.125),CEILING(FK16+0.0625,-0.125))))</x:f>
        <x:v/>
      </x:c>
      <x:c r="FM16" s="1095" t="str">
        <x:f t="shared" ref="FM16:FM45" si="86">IF(DH16="","",DH16*TAN(FI16))</x:f>
        <x:v/>
      </x:c>
      <x:c r="FN16" s="1095" t="e">
        <x:f t="shared" ref="FN16:FN45" si="87">IF(((BE16*12+BF16)+CV16+DF16)/COS(DO16)-((BE16*12+BF16)+CV16+DF16)&lt;$DB$2,0,DO16)</x:f>
        <x:v>#VALUE!</x:v>
      </x:c>
      <x:c r="FO16" s="1098" t="e">
        <x:f t="shared" ref="FO16:FO45" si="88">MIN(IF(BH16&gt;0,BH16/2,MAX(BI16/2,DC16)),IF(BI16&gt;0,BI16/2,MAX(BH16/2,DC16)),IF(DC16&gt;0,DC16,MAX(BI16/2,BH16/2)))/COS(DS16)+CV16-DW16</x:f>
        <x:v>#VALUE!</x:v>
      </x:c>
      <x:c r="FP16" s="1098" t="e">
        <x:f t="shared" ref="FP16:FP45" si="89">MIN(IF(BP16&gt;0,BP16/2,MAX(BQ16/2,DM16)),IF(BQ16&gt;0,BQ16/2,MAX(BP16/2,DM16)),IF(DM16&gt;0,DM16,MAX(BQ16/2,BP16/2)))/COS(DY16)+DF16-EC16</x:f>
        <x:v>#VALUE!</x:v>
      </x:c>
      <x:c r="FQ16" s="1099" t="e">
        <x:f t="shared" ref="FQ16:FQ45" si="90">IF(OR(CU16="M", CU16="B",CU16="G"),MAX(BH16,BI16),DC16+CV16)</x:f>
        <x:v>#VALUE!</x:v>
      </x:c>
      <x:c r="FR16" s="1100" t="e">
        <x:f t="shared" ref="FR16:FR45" si="91">IF(OR(DE16="M", DE16="B",DE16="G"),MAX(BP16,BQ16),DM16+DF16)</x:f>
        <x:v>#VALUE!</x:v>
      </x:c>
      <x:c r="FS16" s="1101" t="str">
        <x:f t="shared" ref="FS16:FS45" si="92">IF(CY16="","",IF(ABS(BW16*((AJ16-IF(BW16&gt;0,VLOOKUP(AU16,$DF$2:$DN$9,9,FALSE),0))/12))&gt;$CZ$2,BW16*((AJ16-IF(BW16&gt;0,VLOOKUP(AU16,$DF$2:$DN$9,9,FALSE),0))/12),0))</x:f>
        <x:v/>
      </x:c>
      <x:c r="FT16" s="1102" t="str">
        <x:f t="shared" ref="FT16:FT45" si="93">IF(DI16="","",IF(ABS(BW16*((AJ16-IF(BW16&lt;0,VLOOKUP(AU16,$DF$2:$DN$9,9,FALSE),0))/12))&gt;$CZ$2,BW16*((AJ16-IF(BW16&lt;0,VLOOKUP(AU16,$DF$2:$DN$9,9,FALSE),0))/12)*-1,0))</x:f>
        <x:v/>
      </x:c>
      <x:c r="FU16" s="1103">
        <x:f t="shared" ref="FU16:FU45" si="94">IF(CX16="",0,MAX(0,MIN(DV16-VLOOKUP(AU16,DF$2:DN$9,4,FALSE),(MAX(0,CX16-VLOOKUP(AU16,DF$2:DN$9,3,FALSE))+VLOOKUP(AU16,DF$2:DN$9,4,FALSE))*COS(DO16)+((MAX(0,CX16-VLOOKUP(AU16,DF$2:DN$9,3,FALSE))+VLOOKUP(AU16,DF$2:DN$9,4,FALSE))*COS(PI()/2-DO16))/TAN(PI()/2-(DO16+PI()/4))-VLOOKUP(AU16,DF$2:DN$9,4,FALSE))))</x:f>
        <x:v>0</x:v>
      </x:c>
      <x:c r="FV16" s="1104">
        <x:f t="shared" ref="FV16:FV45" si="95">IF(DH16="",0,MAX(0,MIN(EB16-VLOOKUP(AU16,DF$2:DN$9,4,FALSE),(MAX(0,DH16-VLOOKUP(AU16,DF$2:DN$9,3,FALSE))+VLOOKUP(AU16,DF$2:DN$9,4,FALSE))*COS(DO16)+((MAX(0,DH16-VLOOKUP(AU16,DF$2:DN$9,3,FALSE))+VLOOKUP(AU16,DF$2:DN$9,4,FALSE))*COS(PI()/2-DO16))/TAN(PI()/2-(DO16+PI()/4))-VLOOKUP(AU16,DF$2:DN$9,4,FALSE))))</x:f>
        <x:v>0</x:v>
      </x:c>
      <x:c r="GA16" s="1975">
        <x:v>60</x:v>
      </x:c>
      <x:c r="GB16" s="1976">
        <x:v>0</x:v>
      </x:c>
      <x:c r="GC16" s="1977">
        <x:v>-0.25</x:v>
      </x:c>
      <x:c r="GD16" s="1978">
        <x:v>-0.25</x:v>
      </x:c>
      <x:c r="GE16" s="1979">
        <x:v>-0.25</x:v>
      </x:c>
      <x:c r="GF16" s="1980" t="str">
        <x:f t="shared" ref="GF16:GF45" si="96">IF(A16=0,"",A16)</x:f>
        <x:v>TJ292</x:v>
      </x:c>
      <x:c r="GG16" s="1453"/>
      <x:c r="GH16" s="1454"/>
      <x:c r="GI16" s="1453"/>
      <x:c r="GJ16" s="1454"/>
      <x:c r="GK16" s="533">
        <x:f t="shared" ref="GK16:GK45" si="97">IF(D16="",0,D16*12+E16)</x:f>
        <x:v>719.5</x:v>
      </x:c>
      <x:c r="GL16" s="534">
        <x:f t="shared" ref="GL16:GL45" si="98">(GA16*12+GB16+GC16+GD16)/COS(ATAN(ABS(GE16/12)))</x:f>
        <x:v>719.65612455429505</x:v>
      </x:c>
      <x:c r="GM16" s="535">
        <x:f>IF(ABS(GK16-GL16)&gt;='Job Info.'!$L$22,ABS(GK16-GL16),0)</x:f>
        <x:v>0</x:v>
      </x:c>
      <x:c r="HA16" s="1652" t="s">
        <x:v>1616</x:v>
      </x:c>
      <x:c r="HB16" s="1653">
        <x:v>1</x:v>
      </x:c>
      <x:c r="HC16" s="1653" t="s">
        <x:v>1978</x:v>
      </x:c>
      <x:c r="HD16" s="1654">
        <x:v>59</x:v>
      </x:c>
      <x:c r="HE16" s="1655">
        <x:v>11.5</x:v>
      </x:c>
      <x:c r="HF16" s="1653">
        <x:v>0</x:v>
      </x:c>
      <x:c r="HG16" s="1653">
        <x:v>1.375</x:v>
      </x:c>
      <x:c r="HH16" s="1653" t="s">
        <x:v>114</x:v>
      </x:c>
      <x:c r="HI16" s="1656">
        <x:v>0</x:v>
      </x:c>
      <x:c r="HJ16" s="1653">
        <x:v>1.375</x:v>
      </x:c>
      <x:c r="HK16" s="1653" t="s">
        <x:v>114</x:v>
      </x:c>
      <x:c r="HL16" s="1653">
        <x:v>3</x:v>
      </x:c>
      <x:c r="HM16" s="1653">
        <x:v>3</x:v>
      </x:c>
      <x:c r="HN16" s="1653" t="s">
        <x:v>117</x:v>
      </x:c>
      <x:c r="HO16" s="1653" t="s">
        <x:v>117</x:v>
      </x:c>
      <x:c r="HP16" s="1653" t="s">
        <x:v>117</x:v>
      </x:c>
      <x:c r="HQ16" s="1656" t="s">
        <x:v>117</x:v>
      </x:c>
      <x:c r="HR16" s="1653" t="s">
        <x:v>117</x:v>
      </x:c>
      <x:c r="HS16" s="1653" t="s">
        <x:v>117</x:v>
      </x:c>
      <x:c r="HT16" s="1653">
        <x:v>0</x:v>
      </x:c>
      <x:c r="HU16" s="1653">
        <x:v>2.25</x:v>
      </x:c>
      <x:c r="HV16" s="1653">
        <x:v>0</x:v>
      </x:c>
      <x:c r="HW16" s="1655">
        <x:v>2.25</x:v>
      </x:c>
      <x:c r="HX16" s="1655">
        <x:v>4</x:v>
      </x:c>
      <x:c r="HY16" s="1655" t="s">
        <x:v>117</x:v>
      </x:c>
      <x:c r="HZ16" s="1655" t="s">
        <x:v>117</x:v>
      </x:c>
      <x:c r="IA16" s="1655" t="s">
        <x:v>2097</x:v>
      </x:c>
      <x:c r="IB16" s="1655"/>
      <x:c r="IC16" s="1655"/>
      <x:c r="ID16" s="1655"/>
      <x:c r="IE16" s="1655"/>
      <x:c r="IF16" s="1657"/>
    </x:row>
    <x:row r="17" spans="1:240" ht="12.6" customHeight="1" x14ac:dyDescent="0.25">
      <x:c r="A17" s="1264" t="s">
        <x:v>1617</x:v>
      </x:c>
      <x:c r="B17" s="1265">
        <x:v>1</x:v>
      </x:c>
      <x:c r="C17" s="1265" t="s">
        <x:v>1978</x:v>
      </x:c>
      <x:c r="D17" s="1261">
        <x:v>59</x:v>
      </x:c>
      <x:c r="E17" s="1366">
        <x:v>11.5</x:v>
      </x:c>
      <x:c r="F17" s="1328">
        <x:v>0</x:v>
      </x:c>
      <x:c r="G17" s="1262">
        <x:v>1.375</x:v>
      </x:c>
      <x:c r="H17" s="1266" t="s">
        <x:v>114</x:v>
      </x:c>
      <x:c r="I17" s="1261">
        <x:v>0</x:v>
      </x:c>
      <x:c r="J17" s="1262">
        <x:v>1.375</x:v>
      </x:c>
      <x:c r="K17" s="1370" t="s">
        <x:v>114</x:v>
      </x:c>
      <x:c r="L17" s="1327">
        <x:v>3</x:v>
      </x:c>
      <x:c r="M17" s="1329">
        <x:v>3</x:v>
      </x:c>
      <x:c r="N17" s="1263" t="str">
        <x:f t="shared" si="1"/>
        <x:v/>
      </x:c>
      <x:c r="O17" s="1262" t="str">
        <x:f t="shared" si="2"/>
        <x:v/>
      </x:c>
      <x:c r="P17" s="1260" t="str">
        <x:f t="shared" si="3"/>
        <x:v/>
      </x:c>
      <x:c r="Q17" s="1261" t="str">
        <x:f t="shared" si="4"/>
        <x:v/>
      </x:c>
      <x:c r="R17" s="1262" t="str">
        <x:f t="shared" si="5"/>
        <x:v/>
      </x:c>
      <x:c r="S17" s="1375" t="str">
        <x:f t="shared" si="6"/>
        <x:v/>
      </x:c>
      <x:c r="T17" s="1328">
        <x:v>0</x:v>
      </x:c>
      <x:c r="U17" s="1262">
        <x:v>2.25</x:v>
      </x:c>
      <x:c r="V17" s="1261">
        <x:v>0</x:v>
      </x:c>
      <x:c r="W17" s="1262">
        <x:v>2.25</x:v>
      </x:c>
      <x:c r="X17" s="1329">
        <x:v>4</x:v>
      </x:c>
      <x:c r="Y17" s="1377" t="str">
        <x:f t="shared" si="7"/>
        <x:v/>
      </x:c>
      <x:c r="Z17" s="1378" t="str">
        <x:f t="shared" si="8"/>
        <x:v/>
      </x:c>
      <x:c r="AA17" s="2159" t="s">
        <x:v>2097</x:v>
      </x:c>
      <x:c r="AC17" s="1226" t="b">
        <x:v>0</x:v>
      </x:c>
      <x:c r="AD17" s="525">
        <x:f t="shared" si="9"/>
        <x:v>0</x:v>
      </x:c>
      <x:c r="AE17" s="526">
        <x:f t="shared" si="10"/>
        <x:v>1</x:v>
      </x:c>
      <x:c r="AF17" s="526">
        <x:f t="shared" si="11"/>
        <x:v>0</x:v>
      </x:c>
      <x:c r="AG17" s="526">
        <x:f t="shared" si="12"/>
        <x:v>0</x:v>
      </x:c>
      <x:c r="AH17" s="527">
        <x:f t="shared" si="13"/>
        <x:v>0</x:v>
      </x:c>
      <x:c r="AI17" s="528" t="b">
        <x:v>0</x:v>
      </x:c>
      <x:c r="AJ17" s="284">
        <x:f t="shared" si="14"/>
        <x:v>36</x:v>
      </x:c>
      <x:c r="AK17" s="1063" t="str">
        <x:f t="shared" si="15"/>
        <x:v>LH</x:v>
      </x:c>
      <x:c r="AL17" s="1202" t="str">
        <x:f t="shared" si="16"/>
        <x:v/>
      </x:c>
      <x:c r="AM17" s="1063">
        <x:f t="shared" si="17"/>
        <x:v>270</x:v>
      </x:c>
      <x:c r="AN17" s="1063">
        <x:f t="shared" si="18"/>
        <x:v>120</x:v>
      </x:c>
      <x:c r="AO17" s="1063" t="str">
        <x:f t="shared" si="19"/>
        <x:v/>
      </x:c>
      <x:c r="AP17" s="1063" t="b">
        <x:f>IF(ISERROR(AJ17),FALSE,IF(OR(AJ17=0,ISERROR(AL17),ISERROR(AM17),ISERROR(AN17),ISERROR(AO17)),FALSE,IF(AL17&lt;&gt;"",IF(ISERROR(VLOOKUP(SUBSTITUTE(SUBSTITUTE(C17,"R",""),"A",""),TblJoistSize!$A:$A,1,FALSE)),FALSE,TRUE),TRUE)))</x:f>
        <x:v>1</x:v>
      </x:c>
      <x:c r="AQ17" s="1305">
        <x:f t="shared" si="20"/>
        <x:v>7.375</x:v>
      </x:c>
      <x:c r="AR17" s="1305" t="b">
        <x:f t="shared" si="21"/>
        <x:v>1</x:v>
      </x:c>
      <x:c r="AS17" s="1305">
        <x:f t="shared" si="22"/>
        <x:v>7.375</x:v>
      </x:c>
      <x:c r="AT17" s="1305" t="b">
        <x:f t="shared" si="23"/>
        <x:v>1</x:v>
      </x:c>
      <x:c r="AU17" s="1203" t="str">
        <x:f t="shared" si="24"/>
        <x:v>LH</x:v>
      </x:c>
      <x:c r="AV17" s="1063" t="str">
        <x:f t="shared" si="25"/>
        <x:v/>
      </x:c>
      <x:c r="AW17" s="1063" t="str">
        <x:f t="shared" si="26"/>
        <x:v>LH</x:v>
      </x:c>
      <x:c r="AX17" s="1063" t="str">
        <x:f t="shared" ref="AX17:AX45" si="99">IF(AND(OR(ISBLANK(A17),A17=""),AA17&lt;&gt;""),AX16,IF(OR(ISBLANK(A17),A17=""),"",A17))</x:f>
        <x:v>TJ293</x:v>
      </x:c>
      <x:c r="AY17" s="1306" t="b">
        <x:f t="shared" si="27"/>
        <x:v>0</x:v>
      </x:c>
      <x:c r="AZ17" s="1090" t="b">
        <x:f t="shared" si="28"/>
        <x:v>0</x:v>
      </x:c>
      <x:c r="BA17" s="674"/>
      <x:c r="BB17" s="842"/>
      <x:c r="BC17" s="894"/>
      <x:c r="BD17" s="926"/>
      <x:c r="BE17" s="927"/>
      <x:c r="BF17" s="928"/>
      <x:c r="BG17" s="901"/>
      <x:c r="BH17" s="1244"/>
      <x:c r="BI17" s="1245"/>
      <x:c r="BJ17" s="929"/>
      <x:c r="BK17" s="902"/>
      <x:c r="BL17" s="903"/>
      <x:c r="BM17" s="904"/>
      <x:c r="BN17" s="905"/>
      <x:c r="BO17" s="901"/>
      <x:c r="BP17" s="902"/>
      <x:c r="BQ17" s="903"/>
      <x:c r="BR17" s="929"/>
      <x:c r="BS17" s="902"/>
      <x:c r="BT17" s="903"/>
      <x:c r="BU17" s="904"/>
      <x:c r="BV17" s="905"/>
      <x:c r="BW17" s="906"/>
      <x:c r="BX17" s="930"/>
      <x:c r="BY17" s="931"/>
      <x:c r="BZ17" s="932"/>
      <x:c r="CA17" s="933"/>
      <x:c r="CB17" s="932"/>
      <x:c r="CC17" s="933"/>
      <x:c r="CD17" s="934" t="str">
        <x:f t="shared" si="29"/>
        <x:v/>
      </x:c>
      <x:c r="CE17" s="935" t="str">
        <x:f t="shared" si="30"/>
        <x:v/>
      </x:c>
      <x:c r="CF17" s="1149"/>
      <x:c r="CG17" s="1150"/>
      <x:c r="CH17" s="738" t="str">
        <x:f t="shared" si="31"/>
        <x:v/>
      </x:c>
      <x:c r="CI17" s="739" t="str">
        <x:f t="shared" si="32"/>
        <x:v/>
      </x:c>
      <x:c r="CJ17" s="740" t="str">
        <x:f t="shared" si="33"/>
        <x:v/>
      </x:c>
      <x:c r="CK17" s="741" t="str">
        <x:f t="shared" si="34"/>
        <x:v/>
      </x:c>
      <x:c r="CL17" s="742" t="str">
        <x:f t="shared" si="35"/>
        <x:v/>
      </x:c>
      <x:c r="CM17" s="743" t="str">
        <x:f t="shared" si="36"/>
        <x:v/>
      </x:c>
      <x:c r="CN17" s="744" t="str">
        <x:f t="shared" si="37"/>
        <x:v/>
      </x:c>
      <x:c r="CO17" s="745" t="str">
        <x:f t="shared" si="38"/>
        <x:v/>
      </x:c>
      <x:c r="CP17" s="762" t="str">
        <x:f t="shared" si="39"/>
        <x:v/>
      </x:c>
      <x:c r="CQ17" s="763" t="str">
        <x:f t="shared" si="40"/>
        <x:v/>
      </x:c>
      <x:c r="CR17" s="953">
        <x:f t="shared" si="41"/>
        <x:v>5</x:v>
      </x:c>
      <x:c r="CS17" s="954">
        <x:f t="shared" si="42"/>
        <x:v>5</x:v>
      </x:c>
      <x:c r="CU17" s="1048" t="str">
        <x:f>IF(BG17="","",VLOOKUP(BG17,SectInfo!$B:$N,12,FALSE))</x:f>
        <x:v/>
      </x:c>
      <x:c r="CV17" s="1046" t="str">
        <x:f>IF(BG17="","",IF(ISBLANK(BZ17),VLOOKUP(BG17,SectInfo!$B:$N,13,FALSE),BZ17))</x:f>
        <x:v/>
      </x:c>
      <x:c r="CW17" s="1046" t="str">
        <x:f>IF(BG17="","",IF(VLOOKUP(BG17,SectInfo!$B:$N,5,FALSE)="","R",UPPER(VLOOKUP(BG17,SectInfo!$B:$N,5,FALSE))))</x:f>
        <x:v/>
      </x:c>
      <x:c r="CX17" s="1046" t="str">
        <x:f>IF(BG17="","",IF(ISBLANK(CF17),VLOOKUP(BG17,SectInfo!$B:$N,6,FALSE),CF17))</x:f>
        <x:v/>
      </x:c>
      <x:c r="CY17" s="1276" t="str">
        <x:f>IF(BG17="","",IF(VLOOKUP(BG17,SectInfo!$B:$N,10,FALSE)="","",(VLOOKUP(BG17,SectInfo!$B:$N,10,FALSE)*-1)))</x:f>
        <x:v/>
      </x:c>
      <x:c r="CZ17" s="1443" t="str">
        <x:f>IF(BG17="","",IF(VLOOKUP(BG17,SectInfo!$B:$N,11,FALSE)="","2",(VLOOKUP(BG17,SectInfo!$B:$N,11,FALSE))))</x:f>
        <x:v/>
      </x:c>
      <x:c r="DA17" s="1046" t="str">
        <x:f>IF(BG17="","",IF(VLOOKUP(BG17,SectInfo!$B:$N,7,FALSE)="","",(VLOOKUP(BG17,SectInfo!$B:$N,7,FALSE)*-1)))</x:f>
        <x:v/>
      </x:c>
      <x:c r="DB17" s="1046" t="str">
        <x:f>IF(BG17="","",IF(VLOOKUP(BG17,SectInfo!$B:$N,8,FALSE)="",VLOOKUP(AU17,$DF$2:$DN$9,6,FALSE),(VLOOKUP(BG17,SectInfo!$B:$N,8,FALSE))))</x:f>
        <x:v/>
      </x:c>
      <x:c r="DC17" s="1046" t="str">
        <x:f>IF(BG17="","",VLOOKUP(BG17,SectInfo!$B:$N,9,FALSE))</x:f>
        <x:v/>
      </x:c>
      <x:c r="DD17" s="1047">
        <x:f t="shared" si="43"/>
        <x:v>0</x:v>
      </x:c>
      <x:c r="DE17" s="1048" t="str">
        <x:f>IF(BO17="","",VLOOKUP(BO17,SectInfo!$B:$N,12,FALSE))</x:f>
        <x:v/>
      </x:c>
      <x:c r="DF17" s="1046" t="str">
        <x:f>IF(BO17="","",IF(ISBLANK(CA17),VLOOKUP(BO17,SectInfo!$B:$N,13,FALSE),CA17))</x:f>
        <x:v/>
      </x:c>
      <x:c r="DG17" s="1046" t="str">
        <x:f>IF(BO17="","",IF(VLOOKUP(BO17,SectInfo!$B:$N,5,FALSE)="","R",UPPER(VLOOKUP(BO17,SectInfo!$B:$N,5,FALSE))))</x:f>
        <x:v/>
      </x:c>
      <x:c r="DH17" s="1046" t="str">
        <x:f>IF(BO17="","",IF(ISBLANK(CG17),VLOOKUP(BO17,SectInfo!$B:$N,6,FALSE),CG17))</x:f>
        <x:v/>
      </x:c>
      <x:c r="DI17" s="1046" t="str">
        <x:f>IF(BO17="","",IF(VLOOKUP(BO17,SectInfo!$B:$N,10,FALSE)="","",(VLOOKUP(BO17,SectInfo!$B:$N,10,FALSE)*-1)))</x:f>
        <x:v/>
      </x:c>
      <x:c r="DJ17" s="1443" t="str">
        <x:f>IF(BO17="","",IF(VLOOKUP(BO17,SectInfo!$B:$N,11,FALSE)="","2",(VLOOKUP(BO17,SectInfo!$B:$N,11,FALSE))))</x:f>
        <x:v/>
      </x:c>
      <x:c r="DK17" s="1046" t="str">
        <x:f>IF(BO17="","",IF(VLOOKUP(BO17,SectInfo!$B:$N,7,FALSE)="","",(VLOOKUP(BO17,SectInfo!$B:$N,7,FALSE)*-1)))</x:f>
        <x:v/>
      </x:c>
      <x:c r="DL17" s="1046" t="str">
        <x:f>IF(BO17="","",IF(VLOOKUP(BO17,SectInfo!$B:$N,8,FALSE)="",VLOOKUP(AU17,$DF$2:$DN$9,6,FALSE),(VLOOKUP(BO17,SectInfo!$B:$N,8,FALSE))))</x:f>
        <x:v/>
      </x:c>
      <x:c r="DM17" s="1046" t="str">
        <x:f>IF(BO17="","",VLOOKUP(BO17,SectInfo!$B:$N,9,FALSE))</x:f>
        <x:v/>
      </x:c>
      <x:c r="DN17" s="1047">
        <x:f t="shared" si="44"/>
        <x:v>0</x:v>
      </x:c>
      <x:c r="DO17" s="1049">
        <x:f t="shared" si="45"/>
        <x:v>0</x:v>
      </x:c>
      <x:c r="DP17" s="1053" t="str">
        <x:f t="shared" si="46"/>
        <x:v/>
      </x:c>
      <x:c r="DQ17" s="1053" t="str">
        <x:f t="shared" si="47"/>
        <x:v/>
      </x:c>
      <x:c r="DR17" s="1053" t="str">
        <x:f t="shared" si="48"/>
        <x:v/>
      </x:c>
      <x:c r="DS17" s="1052">
        <x:f t="shared" si="49"/>
        <x:v>0</x:v>
      </x:c>
      <x:c r="DT17" s="1052">
        <x:f t="shared" si="50"/>
        <x:v>0</x:v>
      </x:c>
      <x:c r="DU17" s="1052" t="str">
        <x:f t="shared" si="51"/>
        <x:v/>
      </x:c>
      <x:c r="DV17" s="1053" t="str">
        <x:f t="shared" si="52"/>
        <x:v/>
      </x:c>
      <x:c r="DW17" s="1053" t="str">
        <x:f t="shared" si="53"/>
        <x:v/>
      </x:c>
      <x:c r="DX17" s="1269">
        <x:f t="shared" si="54"/>
        <x:v>0</x:v>
      </x:c>
      <x:c r="DY17" s="1053">
        <x:f t="shared" si="55"/>
        <x:v>0</x:v>
      </x:c>
      <x:c r="DZ17" s="1052">
        <x:f t="shared" si="56"/>
        <x:v>0</x:v>
      </x:c>
      <x:c r="EA17" s="1052" t="str">
        <x:f t="shared" si="57"/>
        <x:v/>
      </x:c>
      <x:c r="EB17" s="1053" t="str">
        <x:f t="shared" si="58"/>
        <x:v/>
      </x:c>
      <x:c r="EC17" s="1053" t="str">
        <x:f t="shared" si="59"/>
        <x:v/>
      </x:c>
      <x:c r="ED17" s="1269">
        <x:f t="shared" si="60"/>
        <x:v>0</x:v>
      </x:c>
      <x:c r="EE17" s="1090" t="str">
        <x:f t="shared" si="61"/>
        <x:v/>
      </x:c>
      <x:c r="EF17" s="1053" t="str">
        <x:f t="shared" si="62"/>
        <x:v/>
      </x:c>
      <x:c r="EG17" s="1053" t="str">
        <x:f t="shared" si="63"/>
        <x:v/>
      </x:c>
      <x:c r="EH17" s="1053" t="str">
        <x:f t="shared" si="64"/>
        <x:v>ERR</x:v>
      </x:c>
      <x:c r="EI17" s="1053" t="str">
        <x:f t="shared" si="65"/>
        <x:v>ERR</x:v>
      </x:c>
      <x:c r="EJ17" s="1053" t="str">
        <x:f t="shared" si="66"/>
        <x:v/>
      </x:c>
      <x:c r="EK17" s="1053" t="str">
        <x:f t="shared" si="66"/>
        <x:v/>
      </x:c>
      <x:c r="EL17" s="1090" t="str">
        <x:f t="shared" si="67"/>
        <x:v/>
      </x:c>
      <x:c r="EM17" s="1053" t="str">
        <x:f t="shared" si="68"/>
        <x:v/>
      </x:c>
      <x:c r="EN17" s="1053" t="str">
        <x:f t="shared" si="69"/>
        <x:v/>
      </x:c>
      <x:c r="EO17" s="1053" t="str">
        <x:f t="shared" si="70"/>
        <x:v>ERR</x:v>
      </x:c>
      <x:c r="EP17" s="1053" t="str">
        <x:f t="shared" si="71"/>
        <x:v>ERR</x:v>
      </x:c>
      <x:c r="EQ17" s="1053" t="str">
        <x:f t="shared" si="72"/>
        <x:v/>
      </x:c>
      <x:c r="ER17" s="1053" t="str">
        <x:f t="shared" si="72"/>
        <x:v/>
      </x:c>
      <x:c r="ES17" s="1053" t="str">
        <x:f t="shared" si="73"/>
        <x:v/>
      </x:c>
      <x:c r="ET17" s="1053" t="str">
        <x:f t="shared" si="74"/>
        <x:v/>
      </x:c>
      <x:c r="EU17" s="1061">
        <x:f t="shared" si="75"/>
        <x:v>4</x:v>
      </x:c>
      <x:c r="EV17" s="1055" t="str">
        <x:f t="shared" si="76"/>
        <x:v/>
      </x:c>
      <x:c r="EW17" s="1061"/>
      <x:c r="EX17" s="1061" t="str">
        <x:f>IF(AND(CU17="G", ISBLANK(BK17), ISBLANK(BL17)),VLOOKUP(MIN(BH17:BI17),TblJoistSize!$M$3:$N$10,2),IF(OR(CU17="B",CU17="G"),MIN(BK17:BL17),""))</x:f>
        <x:v/>
      </x:c>
      <x:c r="EY17" s="1061" t="str">
        <x:f>IF(AND(CU17="G", ISBLANK(BK17), ISBLANK(BL17)),VLOOKUP(MAX(BH17:BI17),TblJoistSize!$M$3:$N$10,2),IF(OR(CU17="B",CU17="G"),MAX(BK17:BL17),""))</x:f>
        <x:v/>
      </x:c>
      <x:c r="EZ17" s="1061" t="str">
        <x:f t="shared" si="77"/>
        <x:v/>
      </x:c>
      <x:c r="FA17" s="1061" t="str">
        <x:f>IF(AND(DE17="G", ISBLANK(BS17), ISBLANK(BT17)),VLOOKUP(MIN(BP17:BQ17),TblJoistSize!$M$3:$N$10,2),IF(OR(DE17="B", DE17="G"),MIN(BS17:BT17),""))</x:f>
        <x:v/>
      </x:c>
      <x:c r="FB17" s="1061" t="str">
        <x:f>IF(AND(DE17="G", ISBLANK(BS17), ISBLANK(BT17)),VLOOKUP(MAX(BP17:BQ17),TblJoistSize!$M$3:$N$10,2),IF(OR(DE17="B", DE17="G"),MAX(BS17:BT17),""))</x:f>
        <x:v/>
      </x:c>
      <x:c r="FC17" s="1061" t="str">
        <x:f t="shared" si="78"/>
        <x:v/>
      </x:c>
      <x:c r="FD17" s="1052">
        <x:f t="shared" ref="FD17:FD45" si="100">IF(DD17="",0,ATAN(DD17/12))</x:f>
        <x:v>0</x:v>
      </x:c>
      <x:c r="FE17" s="1052">
        <x:f t="shared" si="79"/>
        <x:v>0</x:v>
      </x:c>
      <x:c r="FF17" s="1052">
        <x:f t="shared" si="80"/>
        <x:v>0</x:v>
      </x:c>
      <x:c r="FG17" s="1052" t="str">
        <x:f t="shared" si="81"/>
        <x:v/>
      </x:c>
      <x:c r="FH17" s="1053" t="str">
        <x:f t="shared" si="82"/>
        <x:v/>
      </x:c>
      <x:c r="FI17" s="1052">
        <x:f t="shared" ref="FI17:FI45" si="101">IF(DN17="",0,ATAN(DN17/12))</x:f>
        <x:v>0</x:v>
      </x:c>
      <x:c r="FJ17" s="1052">
        <x:f t="shared" si="83"/>
        <x:v>0</x:v>
      </x:c>
      <x:c r="FK17" s="1052">
        <x:f t="shared" si="84"/>
        <x:v>0</x:v>
      </x:c>
      <x:c r="FL17" s="1052" t="str">
        <x:f t="shared" si="85"/>
        <x:v/>
      </x:c>
      <x:c r="FM17" s="1053" t="str">
        <x:f t="shared" si="86"/>
        <x:v/>
      </x:c>
      <x:c r="FN17" s="1053" t="e">
        <x:f t="shared" si="87"/>
        <x:v>#VALUE!</x:v>
      </x:c>
      <x:c r="FO17" s="1062" t="e">
        <x:f t="shared" si="88"/>
        <x:v>#VALUE!</x:v>
      </x:c>
      <x:c r="FP17" s="1062" t="e">
        <x:f t="shared" si="89"/>
        <x:v>#VALUE!</x:v>
      </x:c>
      <x:c r="FQ17" s="1063" t="e">
        <x:f t="shared" si="90"/>
        <x:v>#VALUE!</x:v>
      </x:c>
      <x:c r="FR17" s="1064" t="e">
        <x:f t="shared" si="91"/>
        <x:v>#VALUE!</x:v>
      </x:c>
      <x:c r="FS17" s="1065" t="str">
        <x:f t="shared" si="92"/>
        <x:v/>
      </x:c>
      <x:c r="FT17" s="1066" t="str">
        <x:f t="shared" si="93"/>
        <x:v/>
      </x:c>
      <x:c r="FU17" s="1105">
        <x:f t="shared" si="94"/>
        <x:v>0</x:v>
      </x:c>
      <x:c r="FV17" s="1106">
        <x:f t="shared" si="95"/>
        <x:v>0</x:v>
      </x:c>
      <x:c r="GA17" s="1975">
        <x:v>60</x:v>
      </x:c>
      <x:c r="GB17" s="1976">
        <x:v>0</x:v>
      </x:c>
      <x:c r="GC17" s="1977">
        <x:v>-0.25</x:v>
      </x:c>
      <x:c r="GD17" s="1978">
        <x:v>-0.25</x:v>
      </x:c>
      <x:c r="GE17" s="1979">
        <x:v>0.25</x:v>
      </x:c>
      <x:c r="GF17" s="1980" t="str">
        <x:f t="shared" si="96"/>
        <x:v>TJ293</x:v>
      </x:c>
      <x:c r="GG17" s="1453"/>
      <x:c r="GH17" s="1454"/>
      <x:c r="GI17" s="1453"/>
      <x:c r="GJ17" s="1454"/>
      <x:c r="GK17" s="533">
        <x:f t="shared" si="97"/>
        <x:v>719.5</x:v>
      </x:c>
      <x:c r="GL17" s="534">
        <x:f t="shared" si="98"/>
        <x:v>719.65612455429505</x:v>
      </x:c>
      <x:c r="GM17" s="535">
        <x:f>IF(ABS(GK17-GL17)&gt;='Job Info.'!$L$22,ABS(GK17-GL17),0)</x:f>
        <x:v>0</x:v>
      </x:c>
      <x:c r="HA17" s="1658" t="s">
        <x:v>1617</x:v>
      </x:c>
      <x:c r="HB17" s="1659">
        <x:v>1</x:v>
      </x:c>
      <x:c r="HC17" s="1659" t="s">
        <x:v>1978</x:v>
      </x:c>
      <x:c r="HD17" s="1660">
        <x:v>59</x:v>
      </x:c>
      <x:c r="HE17" s="1661">
        <x:v>11.5</x:v>
      </x:c>
      <x:c r="HF17" s="1659">
        <x:v>0</x:v>
      </x:c>
      <x:c r="HG17" s="1659">
        <x:v>1.375</x:v>
      </x:c>
      <x:c r="HH17" s="1659" t="s">
        <x:v>114</x:v>
      </x:c>
      <x:c r="HI17" s="1662">
        <x:v>0</x:v>
      </x:c>
      <x:c r="HJ17" s="1659">
        <x:v>1.375</x:v>
      </x:c>
      <x:c r="HK17" s="1659" t="s">
        <x:v>114</x:v>
      </x:c>
      <x:c r="HL17" s="1659">
        <x:v>3</x:v>
      </x:c>
      <x:c r="HM17" s="1659">
        <x:v>3</x:v>
      </x:c>
      <x:c r="HN17" s="1659" t="s">
        <x:v>117</x:v>
      </x:c>
      <x:c r="HO17" s="1659" t="s">
        <x:v>117</x:v>
      </x:c>
      <x:c r="HP17" s="1659" t="s">
        <x:v>117</x:v>
      </x:c>
      <x:c r="HQ17" s="1662" t="s">
        <x:v>117</x:v>
      </x:c>
      <x:c r="HR17" s="1659" t="s">
        <x:v>117</x:v>
      </x:c>
      <x:c r="HS17" s="1659" t="s">
        <x:v>117</x:v>
      </x:c>
      <x:c r="HT17" s="1659">
        <x:v>0</x:v>
      </x:c>
      <x:c r="HU17" s="1659">
        <x:v>2.25</x:v>
      </x:c>
      <x:c r="HV17" s="1659">
        <x:v>0</x:v>
      </x:c>
      <x:c r="HW17" s="1661">
        <x:v>2.25</x:v>
      </x:c>
      <x:c r="HX17" s="1661">
        <x:v>4</x:v>
      </x:c>
      <x:c r="HY17" s="1661" t="s">
        <x:v>117</x:v>
      </x:c>
      <x:c r="HZ17" s="1661" t="s">
        <x:v>117</x:v>
      </x:c>
      <x:c r="IA17" s="1661" t="s">
        <x:v>2097</x:v>
      </x:c>
      <x:c r="IB17" s="1661"/>
      <x:c r="IC17" s="1661"/>
      <x:c r="ID17" s="1661"/>
      <x:c r="IE17" s="1661"/>
      <x:c r="IF17" s="1663"/>
    </x:row>
    <x:row r="18" spans="1:240" ht="12.6" customHeight="1" x14ac:dyDescent="0.25">
      <x:c r="A18" s="1264" t="s">
        <x:v>1618</x:v>
      </x:c>
      <x:c r="B18" s="1265">
        <x:v>2</x:v>
      </x:c>
      <x:c r="C18" s="1265" t="s">
        <x:v>1978</x:v>
      </x:c>
      <x:c r="D18" s="1261">
        <x:v>59</x:v>
      </x:c>
      <x:c r="E18" s="1366">
        <x:v>0.625</x:v>
      </x:c>
      <x:c r="F18" s="1328" t="str">
        <x:f t="shared" ref="F18:F44" si="102">IF(DX18=0,"",TRUNC(DX18/12))</x:f>
        <x:v/>
      </x:c>
      <x:c r="G18" s="1262" t="str">
        <x:f t="shared" ref="G18:G44" si="103">IF(DX18=0,"",DX18-(F18*12))</x:f>
        <x:v/>
      </x:c>
      <x:c r="H18" s="1266" t="str">
        <x:f t="shared" ref="H18:H44" si="104">IF(DX18=0,"",CW18)</x:f>
        <x:v/>
      </x:c>
      <x:c r="I18" s="1261">
        <x:v>0</x:v>
      </x:c>
      <x:c r="J18" s="1262">
        <x:v>1.375</x:v>
      </x:c>
      <x:c r="K18" s="1370" t="s">
        <x:v>114</x:v>
      </x:c>
      <x:c r="L18" s="1327">
        <x:v>3</x:v>
      </x:c>
      <x:c r="M18" s="1329">
        <x:v>3</x:v>
      </x:c>
      <x:c r="N18" s="1263" t="str">
        <x:f t="shared" si="1"/>
        <x:v/>
      </x:c>
      <x:c r="O18" s="1262" t="str">
        <x:f t="shared" si="2"/>
        <x:v/>
      </x:c>
      <x:c r="P18" s="1260" t="str">
        <x:f t="shared" si="3"/>
        <x:v/>
      </x:c>
      <x:c r="Q18" s="1261" t="str">
        <x:f t="shared" si="4"/>
        <x:v/>
      </x:c>
      <x:c r="R18" s="1262" t="str">
        <x:f t="shared" si="5"/>
        <x:v/>
      </x:c>
      <x:c r="S18" s="1375" t="str">
        <x:f t="shared" si="6"/>
        <x:v/>
      </x:c>
      <x:c r="T18" s="1328">
        <x:v>0</x:v>
      </x:c>
      <x:c r="U18" s="1262">
        <x:v>1.125</x:v>
      </x:c>
      <x:c r="V18" s="1261">
        <x:v>0</x:v>
      </x:c>
      <x:c r="W18" s="1262">
        <x:v>2.25</x:v>
      </x:c>
      <x:c r="X18" s="1329">
        <x:v>4</x:v>
      </x:c>
      <x:c r="Y18" s="1377" t="str">
        <x:f t="shared" si="7"/>
        <x:v/>
      </x:c>
      <x:c r="Z18" s="1378" t="str">
        <x:f t="shared" si="8"/>
        <x:v/>
      </x:c>
      <x:c r="AA18" s="2159" t="s">
        <x:v>2277</x:v>
      </x:c>
      <x:c r="AC18" s="1226" t="b">
        <x:v>0</x:v>
      </x:c>
      <x:c r="AD18" s="525">
        <x:f t="shared" si="9"/>
        <x:v>0</x:v>
      </x:c>
      <x:c r="AE18" s="526">
        <x:f t="shared" si="10"/>
        <x:v>2</x:v>
      </x:c>
      <x:c r="AF18" s="526">
        <x:f t="shared" si="11"/>
        <x:v>0</x:v>
      </x:c>
      <x:c r="AG18" s="526">
        <x:f t="shared" si="12"/>
        <x:v>0</x:v>
      </x:c>
      <x:c r="AH18" s="527">
        <x:f t="shared" si="13"/>
        <x:v>0</x:v>
      </x:c>
      <x:c r="AI18" s="528" t="b">
        <x:v>0</x:v>
      </x:c>
      <x:c r="AJ18" s="284">
        <x:f t="shared" si="14"/>
        <x:v>36</x:v>
      </x:c>
      <x:c r="AK18" s="1063" t="str">
        <x:f t="shared" si="15"/>
        <x:v>LH</x:v>
      </x:c>
      <x:c r="AL18" s="1202" t="str">
        <x:f t="shared" si="16"/>
        <x:v/>
      </x:c>
      <x:c r="AM18" s="1063">
        <x:f t="shared" si="17"/>
        <x:v>270</x:v>
      </x:c>
      <x:c r="AN18" s="1063">
        <x:f t="shared" si="18"/>
        <x:v>120</x:v>
      </x:c>
      <x:c r="AO18" s="1063" t="str">
        <x:f t="shared" si="19"/>
        <x:v/>
      </x:c>
      <x:c r="AP18" s="1063" t="b">
        <x:f>IF(ISERROR(AJ18),FALSE,IF(OR(AJ18=0,ISERROR(AL18),ISERROR(AM18),ISERROR(AN18),ISERROR(AO18)),FALSE,IF(AL18&lt;&gt;"",IF(ISERROR(VLOOKUP(SUBSTITUTE(SUBSTITUTE(C18,"R",""),"A",""),TblJoistSize!$A:$A,1,FALSE)),FALSE,TRUE),TRUE)))</x:f>
        <x:v>1</x:v>
      </x:c>
      <x:c r="AQ18" s="1305">
        <x:f t="shared" si="20"/>
        <x:v>6</x:v>
      </x:c>
      <x:c r="AR18" s="1305" t="b">
        <x:f t="shared" si="21"/>
        <x:v>1</x:v>
      </x:c>
      <x:c r="AS18" s="1305">
        <x:f t="shared" si="22"/>
        <x:v>7.375</x:v>
      </x:c>
      <x:c r="AT18" s="1305" t="b">
        <x:f t="shared" si="23"/>
        <x:v>1</x:v>
      </x:c>
      <x:c r="AU18" s="1203" t="str">
        <x:f t="shared" si="24"/>
        <x:v>LH</x:v>
      </x:c>
      <x:c r="AV18" s="1063" t="str">
        <x:f t="shared" si="25"/>
        <x:v/>
      </x:c>
      <x:c r="AW18" s="1063" t="str">
        <x:f t="shared" si="26"/>
        <x:v>LH</x:v>
      </x:c>
      <x:c r="AX18" s="1063" t="str">
        <x:f t="shared" si="99"/>
        <x:v>TJ294</x:v>
      </x:c>
      <x:c r="AY18" s="1306" t="b">
        <x:f t="shared" si="27"/>
        <x:v>0</x:v>
      </x:c>
      <x:c r="AZ18" s="1090" t="b">
        <x:f t="shared" si="28"/>
        <x:v>0</x:v>
      </x:c>
      <x:c r="BA18" s="674"/>
      <x:c r="BB18" s="842"/>
      <x:c r="BC18" s="894"/>
      <x:c r="BD18" s="926"/>
      <x:c r="BE18" s="927"/>
      <x:c r="BF18" s="928"/>
      <x:c r="BG18" s="901"/>
      <x:c r="BH18" s="1244"/>
      <x:c r="BI18" s="1245"/>
      <x:c r="BJ18" s="929"/>
      <x:c r="BK18" s="902"/>
      <x:c r="BL18" s="903"/>
      <x:c r="BM18" s="904"/>
      <x:c r="BN18" s="905"/>
      <x:c r="BO18" s="901"/>
      <x:c r="BP18" s="902"/>
      <x:c r="BQ18" s="903"/>
      <x:c r="BR18" s="929"/>
      <x:c r="BS18" s="902"/>
      <x:c r="BT18" s="903"/>
      <x:c r="BU18" s="904"/>
      <x:c r="BV18" s="905"/>
      <x:c r="BW18" s="906"/>
      <x:c r="BX18" s="930"/>
      <x:c r="BY18" s="931"/>
      <x:c r="BZ18" s="932"/>
      <x:c r="CA18" s="933"/>
      <x:c r="CB18" s="932"/>
      <x:c r="CC18" s="933"/>
      <x:c r="CD18" s="934" t="str">
        <x:f t="shared" si="29"/>
        <x:v/>
      </x:c>
      <x:c r="CE18" s="935" t="str">
        <x:f t="shared" si="30"/>
        <x:v/>
      </x:c>
      <x:c r="CF18" s="1149"/>
      <x:c r="CG18" s="1150"/>
      <x:c r="CH18" s="738" t="str">
        <x:f t="shared" si="31"/>
        <x:v/>
      </x:c>
      <x:c r="CI18" s="739" t="str">
        <x:f t="shared" si="32"/>
        <x:v/>
      </x:c>
      <x:c r="CJ18" s="740" t="str">
        <x:f t="shared" si="33"/>
        <x:v/>
      </x:c>
      <x:c r="CK18" s="741" t="str">
        <x:f t="shared" si="34"/>
        <x:v/>
      </x:c>
      <x:c r="CL18" s="742" t="str">
        <x:f t="shared" si="35"/>
        <x:v/>
      </x:c>
      <x:c r="CM18" s="743" t="str">
        <x:f t="shared" si="36"/>
        <x:v/>
      </x:c>
      <x:c r="CN18" s="744" t="str">
        <x:f t="shared" si="37"/>
        <x:v/>
      </x:c>
      <x:c r="CO18" s="745" t="str">
        <x:f t="shared" si="38"/>
        <x:v/>
      </x:c>
      <x:c r="CP18" s="762" t="str">
        <x:f t="shared" si="39"/>
        <x:v/>
      </x:c>
      <x:c r="CQ18" s="763" t="str">
        <x:f t="shared" si="40"/>
        <x:v/>
      </x:c>
      <x:c r="CR18" s="953">
        <x:f t="shared" si="41"/>
        <x:v>5</x:v>
      </x:c>
      <x:c r="CS18" s="954">
        <x:f t="shared" si="42"/>
        <x:v>5</x:v>
      </x:c>
      <x:c r="CU18" s="1048" t="str">
        <x:f>IF(BG18="","",VLOOKUP(BG18,SectInfo!$B:$N,12,FALSE))</x:f>
        <x:v/>
      </x:c>
      <x:c r="CV18" s="1046" t="str">
        <x:f>IF(BG18="","",IF(ISBLANK(BZ18),VLOOKUP(BG18,SectInfo!$B:$N,13,FALSE),BZ18))</x:f>
        <x:v/>
      </x:c>
      <x:c r="CW18" s="1046" t="str">
        <x:f>IF(BG18="","",IF(VLOOKUP(BG18,SectInfo!$B:$N,5,FALSE)="","R",UPPER(VLOOKUP(BG18,SectInfo!$B:$N,5,FALSE))))</x:f>
        <x:v/>
      </x:c>
      <x:c r="CX18" s="1046" t="str">
        <x:f>IF(BG18="","",IF(ISBLANK(CF18),VLOOKUP(BG18,SectInfo!$B:$N,6,FALSE),CF18))</x:f>
        <x:v/>
      </x:c>
      <x:c r="CY18" s="1276" t="str">
        <x:f>IF(BG18="","",IF(VLOOKUP(BG18,SectInfo!$B:$N,10,FALSE)="","",(VLOOKUP(BG18,SectInfo!$B:$N,10,FALSE)*-1)))</x:f>
        <x:v/>
      </x:c>
      <x:c r="CZ18" s="1443" t="str">
        <x:f>IF(BG18="","",IF(VLOOKUP(BG18,SectInfo!$B:$N,11,FALSE)="","2",(VLOOKUP(BG18,SectInfo!$B:$N,11,FALSE))))</x:f>
        <x:v/>
      </x:c>
      <x:c r="DA18" s="1046" t="str">
        <x:f>IF(BG18="","",IF(VLOOKUP(BG18,SectInfo!$B:$N,7,FALSE)="","",(VLOOKUP(BG18,SectInfo!$B:$N,7,FALSE)*-1)))</x:f>
        <x:v/>
      </x:c>
      <x:c r="DB18" s="1046" t="str">
        <x:f>IF(BG18="","",IF(VLOOKUP(BG18,SectInfo!$B:$N,8,FALSE)="",VLOOKUP(AU18,$DF$2:$DN$9,6,FALSE),(VLOOKUP(BG18,SectInfo!$B:$N,8,FALSE))))</x:f>
        <x:v/>
      </x:c>
      <x:c r="DC18" s="1046" t="str">
        <x:f>IF(BG18="","",VLOOKUP(BG18,SectInfo!$B:$N,9,FALSE))</x:f>
        <x:v/>
      </x:c>
      <x:c r="DD18" s="1047">
        <x:f t="shared" si="43"/>
        <x:v>0</x:v>
      </x:c>
      <x:c r="DE18" s="1048" t="str">
        <x:f>IF(BO18="","",VLOOKUP(BO18,SectInfo!$B:$N,12,FALSE))</x:f>
        <x:v/>
      </x:c>
      <x:c r="DF18" s="1046" t="str">
        <x:f>IF(BO18="","",IF(ISBLANK(CA18),VLOOKUP(BO18,SectInfo!$B:$N,13,FALSE),CA18))</x:f>
        <x:v/>
      </x:c>
      <x:c r="DG18" s="1046" t="str">
        <x:f>IF(BO18="","",IF(VLOOKUP(BO18,SectInfo!$B:$N,5,FALSE)="","R",UPPER(VLOOKUP(BO18,SectInfo!$B:$N,5,FALSE))))</x:f>
        <x:v/>
      </x:c>
      <x:c r="DH18" s="1046" t="str">
        <x:f>IF(BO18="","",IF(ISBLANK(CG18),VLOOKUP(BO18,SectInfo!$B:$N,6,FALSE),CG18))</x:f>
        <x:v/>
      </x:c>
      <x:c r="DI18" s="1046" t="str">
        <x:f>IF(BO18="","",IF(VLOOKUP(BO18,SectInfo!$B:$N,10,FALSE)="","",(VLOOKUP(BO18,SectInfo!$B:$N,10,FALSE)*-1)))</x:f>
        <x:v/>
      </x:c>
      <x:c r="DJ18" s="1443" t="str">
        <x:f>IF(BO18="","",IF(VLOOKUP(BO18,SectInfo!$B:$N,11,FALSE)="","2",(VLOOKUP(BO18,SectInfo!$B:$N,11,FALSE))))</x:f>
        <x:v/>
      </x:c>
      <x:c r="DK18" s="1046" t="str">
        <x:f>IF(BO18="","",IF(VLOOKUP(BO18,SectInfo!$B:$N,7,FALSE)="","",(VLOOKUP(BO18,SectInfo!$B:$N,7,FALSE)*-1)))</x:f>
        <x:v/>
      </x:c>
      <x:c r="DL18" s="1046" t="str">
        <x:f>IF(BO18="","",IF(VLOOKUP(BO18,SectInfo!$B:$N,8,FALSE)="",VLOOKUP(AU18,$DF$2:$DN$9,6,FALSE),(VLOOKUP(BO18,SectInfo!$B:$N,8,FALSE))))</x:f>
        <x:v/>
      </x:c>
      <x:c r="DM18" s="1046" t="str">
        <x:f>IF(BO18="","",VLOOKUP(BO18,SectInfo!$B:$N,9,FALSE))</x:f>
        <x:v/>
      </x:c>
      <x:c r="DN18" s="1047">
        <x:f t="shared" si="44"/>
        <x:v>0</x:v>
      </x:c>
      <x:c r="DO18" s="1049">
        <x:f t="shared" si="45"/>
        <x:v>0</x:v>
      </x:c>
      <x:c r="DP18" s="1053" t="str">
        <x:f t="shared" si="46"/>
        <x:v/>
      </x:c>
      <x:c r="DQ18" s="1053" t="str">
        <x:f t="shared" si="47"/>
        <x:v/>
      </x:c>
      <x:c r="DR18" s="1053" t="str">
        <x:f t="shared" si="48"/>
        <x:v/>
      </x:c>
      <x:c r="DS18" s="1052">
        <x:f t="shared" si="49"/>
        <x:v>0</x:v>
      </x:c>
      <x:c r="DT18" s="1052">
        <x:f t="shared" si="50"/>
        <x:v>0</x:v>
      </x:c>
      <x:c r="DU18" s="1052" t="str">
        <x:f t="shared" si="51"/>
        <x:v/>
      </x:c>
      <x:c r="DV18" s="1053" t="str">
        <x:f t="shared" si="52"/>
        <x:v/>
      </x:c>
      <x:c r="DW18" s="1053" t="str">
        <x:f t="shared" si="53"/>
        <x:v/>
      </x:c>
      <x:c r="DX18" s="1269">
        <x:f t="shared" si="54"/>
        <x:v>0</x:v>
      </x:c>
      <x:c r="DY18" s="1053">
        <x:f t="shared" si="55"/>
        <x:v>0</x:v>
      </x:c>
      <x:c r="DZ18" s="1052">
        <x:f t="shared" si="56"/>
        <x:v>0</x:v>
      </x:c>
      <x:c r="EA18" s="1052" t="str">
        <x:f t="shared" si="57"/>
        <x:v/>
      </x:c>
      <x:c r="EB18" s="1053" t="str">
        <x:f t="shared" si="58"/>
        <x:v/>
      </x:c>
      <x:c r="EC18" s="1053" t="str">
        <x:f t="shared" si="59"/>
        <x:v/>
      </x:c>
      <x:c r="ED18" s="1269">
        <x:f t="shared" si="60"/>
        <x:v>0</x:v>
      </x:c>
      <x:c r="EE18" s="1090" t="str">
        <x:f t="shared" si="61"/>
        <x:v/>
      </x:c>
      <x:c r="EF18" s="1053" t="str">
        <x:f t="shared" si="62"/>
        <x:v/>
      </x:c>
      <x:c r="EG18" s="1053" t="str">
        <x:f t="shared" si="63"/>
        <x:v/>
      </x:c>
      <x:c r="EH18" s="1053" t="str">
        <x:f t="shared" si="64"/>
        <x:v>ERR</x:v>
      </x:c>
      <x:c r="EI18" s="1053" t="str">
        <x:f t="shared" si="65"/>
        <x:v>ERR</x:v>
      </x:c>
      <x:c r="EJ18" s="1053" t="str">
        <x:f t="shared" si="66"/>
        <x:v/>
      </x:c>
      <x:c r="EK18" s="1053" t="str">
        <x:f t="shared" si="66"/>
        <x:v/>
      </x:c>
      <x:c r="EL18" s="1090" t="str">
        <x:f t="shared" si="67"/>
        <x:v/>
      </x:c>
      <x:c r="EM18" s="1053" t="str">
        <x:f t="shared" si="68"/>
        <x:v/>
      </x:c>
      <x:c r="EN18" s="1053" t="str">
        <x:f t="shared" si="69"/>
        <x:v/>
      </x:c>
      <x:c r="EO18" s="1053" t="str">
        <x:f t="shared" si="70"/>
        <x:v>ERR</x:v>
      </x:c>
      <x:c r="EP18" s="1053" t="str">
        <x:f t="shared" si="71"/>
        <x:v>ERR</x:v>
      </x:c>
      <x:c r="EQ18" s="1053" t="str">
        <x:f t="shared" si="72"/>
        <x:v/>
      </x:c>
      <x:c r="ER18" s="1053" t="str">
        <x:f t="shared" si="72"/>
        <x:v/>
      </x:c>
      <x:c r="ES18" s="1053" t="str">
        <x:f t="shared" si="73"/>
        <x:v/>
      </x:c>
      <x:c r="ET18" s="1053" t="str">
        <x:f t="shared" si="74"/>
        <x:v/>
      </x:c>
      <x:c r="EU18" s="1061">
        <x:f t="shared" si="75"/>
        <x:v>4</x:v>
      </x:c>
      <x:c r="EV18" s="1055" t="str">
        <x:f t="shared" si="76"/>
        <x:v/>
      </x:c>
      <x:c r="EW18" s="1061"/>
      <x:c r="EX18" s="1061" t="str">
        <x:f>IF(AND(CU18="G", ISBLANK(BK18), ISBLANK(BL18)),VLOOKUP(MIN(BH18:BI18),TblJoistSize!$M$3:$N$10,2),IF(OR(CU18="B",CU18="G"),MIN(BK18:BL18),""))</x:f>
        <x:v/>
      </x:c>
      <x:c r="EY18" s="1061" t="str">
        <x:f>IF(AND(CU18="G", ISBLANK(BK18), ISBLANK(BL18)),VLOOKUP(MAX(BH18:BI18),TblJoistSize!$M$3:$N$10,2),IF(OR(CU18="B",CU18="G"),MAX(BK18:BL18),""))</x:f>
        <x:v/>
      </x:c>
      <x:c r="EZ18" s="1061" t="str">
        <x:f t="shared" si="77"/>
        <x:v/>
      </x:c>
      <x:c r="FA18" s="1061" t="str">
        <x:f>IF(AND(DE18="G", ISBLANK(BS18), ISBLANK(BT18)),VLOOKUP(MIN(BP18:BQ18),TblJoistSize!$M$3:$N$10,2),IF(OR(DE18="B", DE18="G"),MIN(BS18:BT18),""))</x:f>
        <x:v/>
      </x:c>
      <x:c r="FB18" s="1061" t="str">
        <x:f>IF(AND(DE18="G", ISBLANK(BS18), ISBLANK(BT18)),VLOOKUP(MAX(BP18:BQ18),TblJoistSize!$M$3:$N$10,2),IF(OR(DE18="B", DE18="G"),MAX(BS18:BT18),""))</x:f>
        <x:v/>
      </x:c>
      <x:c r="FC18" s="1061" t="str">
        <x:f t="shared" si="78"/>
        <x:v/>
      </x:c>
      <x:c r="FD18" s="1052">
        <x:f t="shared" si="100"/>
        <x:v>0</x:v>
      </x:c>
      <x:c r="FE18" s="1052">
        <x:f t="shared" si="79"/>
        <x:v>0</x:v>
      </x:c>
      <x:c r="FF18" s="1052">
        <x:f t="shared" si="80"/>
        <x:v>0</x:v>
      </x:c>
      <x:c r="FG18" s="1052" t="str">
        <x:f t="shared" si="81"/>
        <x:v/>
      </x:c>
      <x:c r="FH18" s="1053" t="str">
        <x:f t="shared" si="82"/>
        <x:v/>
      </x:c>
      <x:c r="FI18" s="1052">
        <x:f t="shared" si="101"/>
        <x:v>0</x:v>
      </x:c>
      <x:c r="FJ18" s="1052">
        <x:f t="shared" si="83"/>
        <x:v>0</x:v>
      </x:c>
      <x:c r="FK18" s="1052">
        <x:f t="shared" si="84"/>
        <x:v>0</x:v>
      </x:c>
      <x:c r="FL18" s="1052" t="str">
        <x:f t="shared" si="85"/>
        <x:v/>
      </x:c>
      <x:c r="FM18" s="1053" t="str">
        <x:f t="shared" si="86"/>
        <x:v/>
      </x:c>
      <x:c r="FN18" s="1053" t="e">
        <x:f t="shared" si="87"/>
        <x:v>#VALUE!</x:v>
      </x:c>
      <x:c r="FO18" s="1062" t="e">
        <x:f t="shared" si="88"/>
        <x:v>#VALUE!</x:v>
      </x:c>
      <x:c r="FP18" s="1062" t="e">
        <x:f t="shared" si="89"/>
        <x:v>#VALUE!</x:v>
      </x:c>
      <x:c r="FQ18" s="1063" t="e">
        <x:f t="shared" si="90"/>
        <x:v>#VALUE!</x:v>
      </x:c>
      <x:c r="FR18" s="1064" t="e">
        <x:f t="shared" si="91"/>
        <x:v>#VALUE!</x:v>
      </x:c>
      <x:c r="FS18" s="1065" t="str">
        <x:f t="shared" si="92"/>
        <x:v/>
      </x:c>
      <x:c r="FT18" s="1066" t="str">
        <x:f t="shared" si="93"/>
        <x:v/>
      </x:c>
      <x:c r="FU18" s="1105">
        <x:f t="shared" si="94"/>
        <x:v>0</x:v>
      </x:c>
      <x:c r="FV18" s="1106">
        <x:f t="shared" si="95"/>
        <x:v>0</x:v>
      </x:c>
      <x:c r="GA18" s="1975">
        <x:v>59</x:v>
      </x:c>
      <x:c r="GB18" s="1976">
        <x:v>2.75</x:v>
      </x:c>
      <x:c r="GC18" s="1977">
        <x:v>-1.875</x:v>
      </x:c>
      <x:c r="GD18" s="1978">
        <x:v>-0.25</x:v>
      </x:c>
      <x:c r="GE18" s="1979">
        <x:v>0.26169539219134702</x:v>
      </x:c>
      <x:c r="GF18" s="1980" t="str">
        <x:f t="shared" si="96"/>
        <x:v>TJ294</x:v>
      </x:c>
      <x:c r="GG18" s="1453"/>
      <x:c r="GH18" s="1454"/>
      <x:c r="GI18" s="1453"/>
      <x:c r="GJ18" s="1454"/>
      <x:c r="GK18" s="533">
        <x:f t="shared" si="97"/>
        <x:v>708.625</x:v>
      </x:c>
      <x:c r="GL18" s="534">
        <x:f t="shared" si="98"/>
        <x:v>708.79348626656247</x:v>
      </x:c>
      <x:c r="GM18" s="535">
        <x:f>IF(ABS(GK18-GL18)&gt;='Job Info.'!$L$22,ABS(GK18-GL18),0)</x:f>
        <x:v>0</x:v>
      </x:c>
      <x:c r="HA18" s="1658" t="s">
        <x:v>1618</x:v>
      </x:c>
      <x:c r="HB18" s="1659">
        <x:v>2</x:v>
      </x:c>
      <x:c r="HC18" s="1659" t="s">
        <x:v>1978</x:v>
      </x:c>
      <x:c r="HD18" s="1660">
        <x:v>59</x:v>
      </x:c>
      <x:c r="HE18" s="1661">
        <x:v>0.625</x:v>
      </x:c>
      <x:c r="HF18" s="1659" t="s">
        <x:v>117</x:v>
      </x:c>
      <x:c r="HG18" s="1659" t="s">
        <x:v>117</x:v>
      </x:c>
      <x:c r="HH18" s="1659" t="s">
        <x:v>117</x:v>
      </x:c>
      <x:c r="HI18" s="1662">
        <x:v>0</x:v>
      </x:c>
      <x:c r="HJ18" s="1659">
        <x:v>1.375</x:v>
      </x:c>
      <x:c r="HK18" s="1659" t="s">
        <x:v>114</x:v>
      </x:c>
      <x:c r="HL18" s="1659">
        <x:v>3</x:v>
      </x:c>
      <x:c r="HM18" s="1659">
        <x:v>3</x:v>
      </x:c>
      <x:c r="HN18" s="1659" t="s">
        <x:v>117</x:v>
      </x:c>
      <x:c r="HO18" s="1659" t="s">
        <x:v>117</x:v>
      </x:c>
      <x:c r="HP18" s="1659" t="s">
        <x:v>117</x:v>
      </x:c>
      <x:c r="HQ18" s="1662" t="s">
        <x:v>117</x:v>
      </x:c>
      <x:c r="HR18" s="1659" t="s">
        <x:v>117</x:v>
      </x:c>
      <x:c r="HS18" s="1659" t="s">
        <x:v>117</x:v>
      </x:c>
      <x:c r="HT18" s="1659">
        <x:v>0</x:v>
      </x:c>
      <x:c r="HU18" s="1659">
        <x:v>1.125</x:v>
      </x:c>
      <x:c r="HV18" s="1659">
        <x:v>0</x:v>
      </x:c>
      <x:c r="HW18" s="1661">
        <x:v>2.25</x:v>
      </x:c>
      <x:c r="HX18" s="1661">
        <x:v>4</x:v>
      </x:c>
      <x:c r="HY18" s="1661" t="s">
        <x:v>117</x:v>
      </x:c>
      <x:c r="HZ18" s="1661" t="s">
        <x:v>117</x:v>
      </x:c>
      <x:c r="IA18" s="1661" t="s">
        <x:v>2277</x:v>
      </x:c>
      <x:c r="IB18" s="1661"/>
      <x:c r="IC18" s="1661"/>
      <x:c r="ID18" s="1661"/>
      <x:c r="IE18" s="1661"/>
      <x:c r="IF18" s="1663"/>
    </x:row>
    <x:row r="19" spans="1:240" ht="12.6" customHeight="1" x14ac:dyDescent="0.25">
      <x:c r="A19" s="1264" t="s">
        <x:v>1619</x:v>
      </x:c>
      <x:c r="B19" s="1265">
        <x:v>1</x:v>
      </x:c>
      <x:c r="C19" s="1265" t="s">
        <x:v>1978</x:v>
      </x:c>
      <x:c r="D19" s="1261">
        <x:v>59</x:v>
      </x:c>
      <x:c r="E19" s="1366">
        <x:v>0.625</x:v>
      </x:c>
      <x:c r="F19" s="1328" t="str">
        <x:f t="shared" si="102"/>
        <x:v/>
      </x:c>
      <x:c r="G19" s="1262" t="str">
        <x:f t="shared" si="103"/>
        <x:v/>
      </x:c>
      <x:c r="H19" s="1266" t="str">
        <x:f t="shared" si="104"/>
        <x:v/>
      </x:c>
      <x:c r="I19" s="1261">
        <x:v>0</x:v>
      </x:c>
      <x:c r="J19" s="1262">
        <x:v>1.375</x:v>
      </x:c>
      <x:c r="K19" s="1370" t="s">
        <x:v>114</x:v>
      </x:c>
      <x:c r="L19" s="1327">
        <x:v>3</x:v>
      </x:c>
      <x:c r="M19" s="1329">
        <x:v>3</x:v>
      </x:c>
      <x:c r="N19" s="1263" t="str">
        <x:f t="shared" si="1"/>
        <x:v/>
      </x:c>
      <x:c r="O19" s="1262" t="str">
        <x:f t="shared" si="2"/>
        <x:v/>
      </x:c>
      <x:c r="P19" s="1260" t="str">
        <x:f t="shared" si="3"/>
        <x:v/>
      </x:c>
      <x:c r="Q19" s="1261" t="str">
        <x:f t="shared" si="4"/>
        <x:v/>
      </x:c>
      <x:c r="R19" s="1262" t="str">
        <x:f t="shared" si="5"/>
        <x:v/>
      </x:c>
      <x:c r="S19" s="1375" t="str">
        <x:f t="shared" si="6"/>
        <x:v/>
      </x:c>
      <x:c r="T19" s="1328" t="str">
        <x:f t="shared" ref="T19:T44" si="105">IF(CH19="ERR","",IF(EK19="","",IF(EK19="ERR",TRUNC(EJ19/12),TRUNC(EK19/12))))</x:f>
        <x:v/>
      </x:c>
      <x:c r="U19" s="1262" t="str">
        <x:f t="shared" ref="U19:U44" si="106">IF(CH19="ERR","",IF(EK19="","",IF(EK19="ERR",EJ19-(T19*12),EK19-(T19*12))))</x:f>
        <x:v/>
      </x:c>
      <x:c r="V19" s="1261" t="str">
        <x:f t="shared" ref="V19:V44" si="107">IF(CI19="ERR","",IF(ER19="","",IF(ER19="ERR",TRUNC(EQ19/12),TRUNC(ER19/12))))</x:f>
        <x:v/>
      </x:c>
      <x:c r="W19" s="1262" t="str">
        <x:f t="shared" ref="W19:W44" si="108">IF(CI19="ERR","",IF(ER19="","",IF(ER19="ERR",EQ19-(V19*12),ER19-(V19*12))))</x:f>
        <x:v/>
      </x:c>
      <x:c r="X19" s="1329">
        <x:f t="shared" ref="X19:X44" si="109">IF(EV19="",0,EV19)</x:f>
        <x:v>0</x:v>
      </x:c>
      <x:c r="Y19" s="1377" t="str">
        <x:f t="shared" si="7"/>
        <x:v/>
      </x:c>
      <x:c r="Z19" s="1378" t="str">
        <x:f t="shared" si="8"/>
        <x:v/>
      </x:c>
      <x:c r="AA19" s="2159" t="s">
        <x:v>2277</x:v>
      </x:c>
      <x:c r="AC19" s="1226" t="b">
        <x:v>0</x:v>
      </x:c>
      <x:c r="AD19" s="525">
        <x:f t="shared" si="9"/>
        <x:v>0</x:v>
      </x:c>
      <x:c r="AE19" s="526">
        <x:f t="shared" si="10"/>
        <x:v>1</x:v>
      </x:c>
      <x:c r="AF19" s="526">
        <x:f t="shared" si="11"/>
        <x:v>0</x:v>
      </x:c>
      <x:c r="AG19" s="526">
        <x:f t="shared" si="12"/>
        <x:v>0</x:v>
      </x:c>
      <x:c r="AH19" s="527">
        <x:f t="shared" si="13"/>
        <x:v>0</x:v>
      </x:c>
      <x:c r="AI19" s="528" t="b">
        <x:v>0</x:v>
      </x:c>
      <x:c r="AJ19" s="284">
        <x:f t="shared" si="14"/>
        <x:v>36</x:v>
      </x:c>
      <x:c r="AK19" s="1063" t="str">
        <x:f t="shared" si="15"/>
        <x:v>LH</x:v>
      </x:c>
      <x:c r="AL19" s="1202" t="str">
        <x:f t="shared" si="16"/>
        <x:v/>
      </x:c>
      <x:c r="AM19" s="1063">
        <x:f t="shared" si="17"/>
        <x:v>270</x:v>
      </x:c>
      <x:c r="AN19" s="1063">
        <x:f t="shared" si="18"/>
        <x:v>120</x:v>
      </x:c>
      <x:c r="AO19" s="1063" t="str">
        <x:f t="shared" si="19"/>
        <x:v/>
      </x:c>
      <x:c r="AP19" s="1063" t="b">
        <x:f>IF(ISERROR(AJ19),FALSE,IF(OR(AJ19=0,ISERROR(AL19),ISERROR(AM19),ISERROR(AN19),ISERROR(AO19)),FALSE,IF(AL19&lt;&gt;"",IF(ISERROR(VLOOKUP(SUBSTITUTE(SUBSTITUTE(C19,"R",""),"A",""),TblJoistSize!$A:$A,1,FALSE)),FALSE,TRUE),TRUE)))</x:f>
        <x:v>1</x:v>
      </x:c>
      <x:c r="AQ19" s="1305">
        <x:f t="shared" si="20"/>
        <x:v>6</x:v>
      </x:c>
      <x:c r="AR19" s="1305" t="b">
        <x:f t="shared" si="21"/>
        <x:v>0</x:v>
      </x:c>
      <x:c r="AS19" s="1305">
        <x:f t="shared" si="22"/>
        <x:v>7.375</x:v>
      </x:c>
      <x:c r="AT19" s="1305" t="b">
        <x:f t="shared" si="23"/>
        <x:v>0</x:v>
      </x:c>
      <x:c r="AU19" s="1203" t="str">
        <x:f t="shared" si="24"/>
        <x:v>LH</x:v>
      </x:c>
      <x:c r="AV19" s="1063" t="str">
        <x:f t="shared" si="25"/>
        <x:v/>
      </x:c>
      <x:c r="AW19" s="1063" t="str">
        <x:f t="shared" si="26"/>
        <x:v>LH</x:v>
      </x:c>
      <x:c r="AX19" s="1063" t="str">
        <x:f t="shared" si="99"/>
        <x:v>J295</x:v>
      </x:c>
      <x:c r="AY19" s="1306" t="b">
        <x:f t="shared" si="27"/>
        <x:v>0</x:v>
      </x:c>
      <x:c r="AZ19" s="1090" t="b">
        <x:f t="shared" si="28"/>
        <x:v>0</x:v>
      </x:c>
      <x:c r="BA19" s="674"/>
      <x:c r="BB19" s="842"/>
      <x:c r="BC19" s="894"/>
      <x:c r="BD19" s="926"/>
      <x:c r="BE19" s="927"/>
      <x:c r="BF19" s="928"/>
      <x:c r="BG19" s="901"/>
      <x:c r="BH19" s="1244"/>
      <x:c r="BI19" s="1245"/>
      <x:c r="BJ19" s="929"/>
      <x:c r="BK19" s="902"/>
      <x:c r="BL19" s="903"/>
      <x:c r="BM19" s="904"/>
      <x:c r="BN19" s="905"/>
      <x:c r="BO19" s="901"/>
      <x:c r="BP19" s="902"/>
      <x:c r="BQ19" s="903"/>
      <x:c r="BR19" s="929"/>
      <x:c r="BS19" s="902"/>
      <x:c r="BT19" s="903"/>
      <x:c r="BU19" s="904"/>
      <x:c r="BV19" s="905"/>
      <x:c r="BW19" s="906"/>
      <x:c r="BX19" s="930"/>
      <x:c r="BY19" s="931"/>
      <x:c r="BZ19" s="932"/>
      <x:c r="CA19" s="933"/>
      <x:c r="CB19" s="932"/>
      <x:c r="CC19" s="933"/>
      <x:c r="CD19" s="934" t="str">
        <x:f t="shared" si="29"/>
        <x:v/>
      </x:c>
      <x:c r="CE19" s="935" t="str">
        <x:f t="shared" si="30"/>
        <x:v/>
      </x:c>
      <x:c r="CF19" s="1149"/>
      <x:c r="CG19" s="1150"/>
      <x:c r="CH19" s="738" t="str">
        <x:f t="shared" si="31"/>
        <x:v/>
      </x:c>
      <x:c r="CI19" s="739" t="str">
        <x:f t="shared" si="32"/>
        <x:v/>
      </x:c>
      <x:c r="CJ19" s="740" t="str">
        <x:f t="shared" si="33"/>
        <x:v/>
      </x:c>
      <x:c r="CK19" s="741" t="str">
        <x:f t="shared" si="34"/>
        <x:v/>
      </x:c>
      <x:c r="CL19" s="742" t="str">
        <x:f t="shared" si="35"/>
        <x:v/>
      </x:c>
      <x:c r="CM19" s="743" t="str">
        <x:f t="shared" si="36"/>
        <x:v/>
      </x:c>
      <x:c r="CN19" s="744" t="str">
        <x:f t="shared" si="37"/>
        <x:v/>
      </x:c>
      <x:c r="CO19" s="745" t="str">
        <x:f t="shared" si="38"/>
        <x:v/>
      </x:c>
      <x:c r="CP19" s="762" t="str">
        <x:f t="shared" si="39"/>
        <x:v/>
      </x:c>
      <x:c r="CQ19" s="763" t="str">
        <x:f t="shared" si="40"/>
        <x:v/>
      </x:c>
      <x:c r="CR19" s="953">
        <x:f t="shared" si="41"/>
        <x:v>5</x:v>
      </x:c>
      <x:c r="CS19" s="954">
        <x:f t="shared" si="42"/>
        <x:v>5</x:v>
      </x:c>
      <x:c r="CU19" s="1048" t="str">
        <x:f>IF(BG19="","",VLOOKUP(BG19,SectInfo!$B:$N,12,FALSE))</x:f>
        <x:v/>
      </x:c>
      <x:c r="CV19" s="1046" t="str">
        <x:f>IF(BG19="","",IF(ISBLANK(BZ19),VLOOKUP(BG19,SectInfo!$B:$N,13,FALSE),BZ19))</x:f>
        <x:v/>
      </x:c>
      <x:c r="CW19" s="1046" t="str">
        <x:f>IF(BG19="","",IF(VLOOKUP(BG19,SectInfo!$B:$N,5,FALSE)="","R",UPPER(VLOOKUP(BG19,SectInfo!$B:$N,5,FALSE))))</x:f>
        <x:v/>
      </x:c>
      <x:c r="CX19" s="1046" t="str">
        <x:f>IF(BG19="","",IF(ISBLANK(CF19),VLOOKUP(BG19,SectInfo!$B:$N,6,FALSE),CF19))</x:f>
        <x:v/>
      </x:c>
      <x:c r="CY19" s="1276" t="str">
        <x:f>IF(BG19="","",IF(VLOOKUP(BG19,SectInfo!$B:$N,10,FALSE)="","",(VLOOKUP(BG19,SectInfo!$B:$N,10,FALSE)*-1)))</x:f>
        <x:v/>
      </x:c>
      <x:c r="CZ19" s="1443" t="str">
        <x:f>IF(BG19="","",IF(VLOOKUP(BG19,SectInfo!$B:$N,11,FALSE)="","2",(VLOOKUP(BG19,SectInfo!$B:$N,11,FALSE))))</x:f>
        <x:v/>
      </x:c>
      <x:c r="DA19" s="1046" t="str">
        <x:f>IF(BG19="","",IF(VLOOKUP(BG19,SectInfo!$B:$N,7,FALSE)="","",(VLOOKUP(BG19,SectInfo!$B:$N,7,FALSE)*-1)))</x:f>
        <x:v/>
      </x:c>
      <x:c r="DB19" s="1046" t="str">
        <x:f>IF(BG19="","",IF(VLOOKUP(BG19,SectInfo!$B:$N,8,FALSE)="",VLOOKUP(AU19,$DF$2:$DN$9,6,FALSE),(VLOOKUP(BG19,SectInfo!$B:$N,8,FALSE))))</x:f>
        <x:v/>
      </x:c>
      <x:c r="DC19" s="1046" t="str">
        <x:f>IF(BG19="","",VLOOKUP(BG19,SectInfo!$B:$N,9,FALSE))</x:f>
        <x:v/>
      </x:c>
      <x:c r="DD19" s="1047">
        <x:f t="shared" si="43"/>
        <x:v>0</x:v>
      </x:c>
      <x:c r="DE19" s="1048" t="str">
        <x:f>IF(BO19="","",VLOOKUP(BO19,SectInfo!$B:$N,12,FALSE))</x:f>
        <x:v/>
      </x:c>
      <x:c r="DF19" s="1046" t="str">
        <x:f>IF(BO19="","",IF(ISBLANK(CA19),VLOOKUP(BO19,SectInfo!$B:$N,13,FALSE),CA19))</x:f>
        <x:v/>
      </x:c>
      <x:c r="DG19" s="1046" t="str">
        <x:f>IF(BO19="","",IF(VLOOKUP(BO19,SectInfo!$B:$N,5,FALSE)="","R",UPPER(VLOOKUP(BO19,SectInfo!$B:$N,5,FALSE))))</x:f>
        <x:v/>
      </x:c>
      <x:c r="DH19" s="1046" t="str">
        <x:f>IF(BO19="","",IF(ISBLANK(CG19),VLOOKUP(BO19,SectInfo!$B:$N,6,FALSE),CG19))</x:f>
        <x:v/>
      </x:c>
      <x:c r="DI19" s="1046" t="str">
        <x:f>IF(BO19="","",IF(VLOOKUP(BO19,SectInfo!$B:$N,10,FALSE)="","",(VLOOKUP(BO19,SectInfo!$B:$N,10,FALSE)*-1)))</x:f>
        <x:v/>
      </x:c>
      <x:c r="DJ19" s="1443" t="str">
        <x:f>IF(BO19="","",IF(VLOOKUP(BO19,SectInfo!$B:$N,11,FALSE)="","2",(VLOOKUP(BO19,SectInfo!$B:$N,11,FALSE))))</x:f>
        <x:v/>
      </x:c>
      <x:c r="DK19" s="1046" t="str">
        <x:f>IF(BO19="","",IF(VLOOKUP(BO19,SectInfo!$B:$N,7,FALSE)="","",(VLOOKUP(BO19,SectInfo!$B:$N,7,FALSE)*-1)))</x:f>
        <x:v/>
      </x:c>
      <x:c r="DL19" s="1046" t="str">
        <x:f>IF(BO19="","",IF(VLOOKUP(BO19,SectInfo!$B:$N,8,FALSE)="",VLOOKUP(AU19,$DF$2:$DN$9,6,FALSE),(VLOOKUP(BO19,SectInfo!$B:$N,8,FALSE))))</x:f>
        <x:v/>
      </x:c>
      <x:c r="DM19" s="1046" t="str">
        <x:f>IF(BO19="","",VLOOKUP(BO19,SectInfo!$B:$N,9,FALSE))</x:f>
        <x:v/>
      </x:c>
      <x:c r="DN19" s="1047">
        <x:f t="shared" si="44"/>
        <x:v>0</x:v>
      </x:c>
      <x:c r="DO19" s="1049">
        <x:f t="shared" si="45"/>
        <x:v>0</x:v>
      </x:c>
      <x:c r="DP19" s="1053" t="str">
        <x:f t="shared" si="46"/>
        <x:v/>
      </x:c>
      <x:c r="DQ19" s="1053" t="str">
        <x:f t="shared" si="47"/>
        <x:v/>
      </x:c>
      <x:c r="DR19" s="1053" t="str">
        <x:f t="shared" si="48"/>
        <x:v/>
      </x:c>
      <x:c r="DS19" s="1052">
        <x:f t="shared" si="49"/>
        <x:v>0</x:v>
      </x:c>
      <x:c r="DT19" s="1052">
        <x:f t="shared" si="50"/>
        <x:v>0</x:v>
      </x:c>
      <x:c r="DU19" s="1052" t="str">
        <x:f t="shared" si="51"/>
        <x:v/>
      </x:c>
      <x:c r="DV19" s="1053" t="str">
        <x:f t="shared" si="52"/>
        <x:v/>
      </x:c>
      <x:c r="DW19" s="1053" t="str">
        <x:f t="shared" si="53"/>
        <x:v/>
      </x:c>
      <x:c r="DX19" s="1269">
        <x:f t="shared" si="54"/>
        <x:v>0</x:v>
      </x:c>
      <x:c r="DY19" s="1053">
        <x:f t="shared" si="55"/>
        <x:v>0</x:v>
      </x:c>
      <x:c r="DZ19" s="1052">
        <x:f t="shared" si="56"/>
        <x:v>0</x:v>
      </x:c>
      <x:c r="EA19" s="1052" t="str">
        <x:f t="shared" si="57"/>
        <x:v/>
      </x:c>
      <x:c r="EB19" s="1053" t="str">
        <x:f t="shared" si="58"/>
        <x:v/>
      </x:c>
      <x:c r="EC19" s="1053" t="str">
        <x:f t="shared" si="59"/>
        <x:v/>
      </x:c>
      <x:c r="ED19" s="1269">
        <x:f t="shared" si="60"/>
        <x:v>0</x:v>
      </x:c>
      <x:c r="EE19" s="1090" t="str">
        <x:f t="shared" si="61"/>
        <x:v/>
      </x:c>
      <x:c r="EF19" s="1053" t="str">
        <x:f t="shared" si="62"/>
        <x:v/>
      </x:c>
      <x:c r="EG19" s="1053" t="str">
        <x:f t="shared" si="63"/>
        <x:v/>
      </x:c>
      <x:c r="EH19" s="1053" t="str">
        <x:f t="shared" si="64"/>
        <x:v>ERR</x:v>
      </x:c>
      <x:c r="EI19" s="1053" t="str">
        <x:f t="shared" si="65"/>
        <x:v>ERR</x:v>
      </x:c>
      <x:c r="EJ19" s="1053" t="str">
        <x:f t="shared" si="66"/>
        <x:v/>
      </x:c>
      <x:c r="EK19" s="1053" t="str">
        <x:f t="shared" si="66"/>
        <x:v/>
      </x:c>
      <x:c r="EL19" s="1090" t="str">
        <x:f t="shared" si="67"/>
        <x:v/>
      </x:c>
      <x:c r="EM19" s="1053" t="str">
        <x:f t="shared" si="68"/>
        <x:v/>
      </x:c>
      <x:c r="EN19" s="1053" t="str">
        <x:f t="shared" si="69"/>
        <x:v/>
      </x:c>
      <x:c r="EO19" s="1053" t="str">
        <x:f t="shared" si="70"/>
        <x:v>ERR</x:v>
      </x:c>
      <x:c r="EP19" s="1053" t="str">
        <x:f t="shared" si="71"/>
        <x:v>ERR</x:v>
      </x:c>
      <x:c r="EQ19" s="1053" t="str">
        <x:f t="shared" si="72"/>
        <x:v/>
      </x:c>
      <x:c r="ER19" s="1053" t="str">
        <x:f t="shared" si="72"/>
        <x:v/>
      </x:c>
      <x:c r="ES19" s="1053" t="str">
        <x:f t="shared" si="73"/>
        <x:v/>
      </x:c>
      <x:c r="ET19" s="1053" t="str">
        <x:f t="shared" si="74"/>
        <x:v/>
      </x:c>
      <x:c r="EU19" s="1061">
        <x:f t="shared" si="75"/>
        <x:v>4</x:v>
      </x:c>
      <x:c r="EV19" s="1055" t="str">
        <x:f t="shared" si="76"/>
        <x:v/>
      </x:c>
      <x:c r="EW19" s="1061"/>
      <x:c r="EX19" s="1061" t="str">
        <x:f>IF(AND(CU19="G", ISBLANK(BK19), ISBLANK(BL19)),VLOOKUP(MIN(BH19:BI19),TblJoistSize!$M$3:$N$10,2),IF(OR(CU19="B",CU19="G"),MIN(BK19:BL19),""))</x:f>
        <x:v/>
      </x:c>
      <x:c r="EY19" s="1061" t="str">
        <x:f>IF(AND(CU19="G", ISBLANK(BK19), ISBLANK(BL19)),VLOOKUP(MAX(BH19:BI19),TblJoistSize!$M$3:$N$10,2),IF(OR(CU19="B",CU19="G"),MAX(BK19:BL19),""))</x:f>
        <x:v/>
      </x:c>
      <x:c r="EZ19" s="1061" t="str">
        <x:f t="shared" si="77"/>
        <x:v/>
      </x:c>
      <x:c r="FA19" s="1061" t="str">
        <x:f>IF(AND(DE19="G", ISBLANK(BS19), ISBLANK(BT19)),VLOOKUP(MIN(BP19:BQ19),TblJoistSize!$M$3:$N$10,2),IF(OR(DE19="B", DE19="G"),MIN(BS19:BT19),""))</x:f>
        <x:v/>
      </x:c>
      <x:c r="FB19" s="1061" t="str">
        <x:f>IF(AND(DE19="G", ISBLANK(BS19), ISBLANK(BT19)),VLOOKUP(MAX(BP19:BQ19),TblJoistSize!$M$3:$N$10,2),IF(OR(DE19="B", DE19="G"),MAX(BS19:BT19),""))</x:f>
        <x:v/>
      </x:c>
      <x:c r="FC19" s="1061" t="str">
        <x:f t="shared" si="78"/>
        <x:v/>
      </x:c>
      <x:c r="FD19" s="1052">
        <x:f t="shared" si="100"/>
        <x:v>0</x:v>
      </x:c>
      <x:c r="FE19" s="1052">
        <x:f t="shared" si="79"/>
        <x:v>0</x:v>
      </x:c>
      <x:c r="FF19" s="1052">
        <x:f t="shared" si="80"/>
        <x:v>0</x:v>
      </x:c>
      <x:c r="FG19" s="1052" t="str">
        <x:f t="shared" si="81"/>
        <x:v/>
      </x:c>
      <x:c r="FH19" s="1053" t="str">
        <x:f t="shared" si="82"/>
        <x:v/>
      </x:c>
      <x:c r="FI19" s="1052">
        <x:f t="shared" si="101"/>
        <x:v>0</x:v>
      </x:c>
      <x:c r="FJ19" s="1052">
        <x:f t="shared" si="83"/>
        <x:v>0</x:v>
      </x:c>
      <x:c r="FK19" s="1052">
        <x:f t="shared" si="84"/>
        <x:v>0</x:v>
      </x:c>
      <x:c r="FL19" s="1052" t="str">
        <x:f t="shared" si="85"/>
        <x:v/>
      </x:c>
      <x:c r="FM19" s="1053" t="str">
        <x:f t="shared" si="86"/>
        <x:v/>
      </x:c>
      <x:c r="FN19" s="1053" t="e">
        <x:f t="shared" si="87"/>
        <x:v>#VALUE!</x:v>
      </x:c>
      <x:c r="FO19" s="1062" t="e">
        <x:f t="shared" si="88"/>
        <x:v>#VALUE!</x:v>
      </x:c>
      <x:c r="FP19" s="1062" t="e">
        <x:f t="shared" si="89"/>
        <x:v>#VALUE!</x:v>
      </x:c>
      <x:c r="FQ19" s="1063" t="e">
        <x:f t="shared" si="90"/>
        <x:v>#VALUE!</x:v>
      </x:c>
      <x:c r="FR19" s="1064" t="e">
        <x:f t="shared" si="91"/>
        <x:v>#VALUE!</x:v>
      </x:c>
      <x:c r="FS19" s="1065" t="str">
        <x:f t="shared" si="92"/>
        <x:v/>
      </x:c>
      <x:c r="FT19" s="1066" t="str">
        <x:f t="shared" si="93"/>
        <x:v/>
      </x:c>
      <x:c r="FU19" s="1105">
        <x:f t="shared" si="94"/>
        <x:v>0</x:v>
      </x:c>
      <x:c r="FV19" s="1106">
        <x:f t="shared" si="95"/>
        <x:v>0</x:v>
      </x:c>
      <x:c r="GA19" s="1975">
        <x:v>59</x:v>
      </x:c>
      <x:c r="GB19" s="1976">
        <x:v>2.75</x:v>
      </x:c>
      <x:c r="GC19" s="1977">
        <x:v>-1.875</x:v>
      </x:c>
      <x:c r="GD19" s="1978">
        <x:v>-0.25</x:v>
      </x:c>
      <x:c r="GE19" s="1979">
        <x:v>0.26169539219134702</x:v>
      </x:c>
      <x:c r="GF19" s="1980" t="str">
        <x:f t="shared" si="96"/>
        <x:v>J295</x:v>
      </x:c>
      <x:c r="GG19" s="1453"/>
      <x:c r="GH19" s="1454"/>
      <x:c r="GI19" s="1453"/>
      <x:c r="GJ19" s="1454"/>
      <x:c r="GK19" s="533">
        <x:f t="shared" si="97"/>
        <x:v>708.625</x:v>
      </x:c>
      <x:c r="GL19" s="534">
        <x:f t="shared" si="98"/>
        <x:v>708.79348626656247</x:v>
      </x:c>
      <x:c r="GM19" s="535">
        <x:f>IF(ABS(GK19-GL19)&gt;='Job Info.'!$L$22,ABS(GK19-GL19),0)</x:f>
        <x:v>0</x:v>
      </x:c>
      <x:c r="HA19" s="1658" t="s">
        <x:v>1619</x:v>
      </x:c>
      <x:c r="HB19" s="1659">
        <x:v>1</x:v>
      </x:c>
      <x:c r="HC19" s="1659" t="s">
        <x:v>1978</x:v>
      </x:c>
      <x:c r="HD19" s="1660">
        <x:v>59</x:v>
      </x:c>
      <x:c r="HE19" s="1661">
        <x:v>0.625</x:v>
      </x:c>
      <x:c r="HF19" s="1659" t="s">
        <x:v>117</x:v>
      </x:c>
      <x:c r="HG19" s="1659" t="s">
        <x:v>117</x:v>
      </x:c>
      <x:c r="HH19" s="1659" t="s">
        <x:v>117</x:v>
      </x:c>
      <x:c r="HI19" s="1662">
        <x:v>0</x:v>
      </x:c>
      <x:c r="HJ19" s="1659">
        <x:v>1.375</x:v>
      </x:c>
      <x:c r="HK19" s="1659" t="s">
        <x:v>114</x:v>
      </x:c>
      <x:c r="HL19" s="1659">
        <x:v>3</x:v>
      </x:c>
      <x:c r="HM19" s="1659">
        <x:v>3</x:v>
      </x:c>
      <x:c r="HN19" s="1659" t="s">
        <x:v>117</x:v>
      </x:c>
      <x:c r="HO19" s="1659" t="s">
        <x:v>117</x:v>
      </x:c>
      <x:c r="HP19" s="1659" t="s">
        <x:v>117</x:v>
      </x:c>
      <x:c r="HQ19" s="1662" t="s">
        <x:v>117</x:v>
      </x:c>
      <x:c r="HR19" s="1659" t="s">
        <x:v>117</x:v>
      </x:c>
      <x:c r="HS19" s="1659" t="s">
        <x:v>117</x:v>
      </x:c>
      <x:c r="HT19" s="1659" t="s">
        <x:v>117</x:v>
      </x:c>
      <x:c r="HU19" s="1659" t="s">
        <x:v>117</x:v>
      </x:c>
      <x:c r="HV19" s="1659" t="s">
        <x:v>117</x:v>
      </x:c>
      <x:c r="HW19" s="1661" t="s">
        <x:v>117</x:v>
      </x:c>
      <x:c r="HX19" s="1661">
        <x:v>0</x:v>
      </x:c>
      <x:c r="HY19" s="1661" t="s">
        <x:v>117</x:v>
      </x:c>
      <x:c r="HZ19" s="1661" t="s">
        <x:v>117</x:v>
      </x:c>
      <x:c r="IA19" s="1661" t="s">
        <x:v>2277</x:v>
      </x:c>
      <x:c r="IB19" s="1661"/>
      <x:c r="IC19" s="1661"/>
      <x:c r="ID19" s="1661"/>
      <x:c r="IE19" s="1661"/>
      <x:c r="IF19" s="1663"/>
    </x:row>
    <x:row r="20" spans="1:240" ht="12.6" customHeight="1" x14ac:dyDescent="0.25">
      <x:c r="A20" s="1264" t="s">
        <x:v>1620</x:v>
      </x:c>
      <x:c r="B20" s="1265">
        <x:v>1</x:v>
      </x:c>
      <x:c r="C20" s="1265" t="s">
        <x:v>1978</x:v>
      </x:c>
      <x:c r="D20" s="1261">
        <x:v>59</x:v>
      </x:c>
      <x:c r="E20" s="1366">
        <x:v>0.625</x:v>
      </x:c>
      <x:c r="F20" s="1328" t="str">
        <x:f t="shared" si="102"/>
        <x:v/>
      </x:c>
      <x:c r="G20" s="1262" t="str">
        <x:f t="shared" si="103"/>
        <x:v/>
      </x:c>
      <x:c r="H20" s="1266" t="str">
        <x:f t="shared" si="104"/>
        <x:v/>
      </x:c>
      <x:c r="I20" s="1261">
        <x:v>0</x:v>
      </x:c>
      <x:c r="J20" s="1262">
        <x:v>1.375</x:v>
      </x:c>
      <x:c r="K20" s="1370" t="s">
        <x:v>114</x:v>
      </x:c>
      <x:c r="L20" s="1327">
        <x:v>3</x:v>
      </x:c>
      <x:c r="M20" s="1329">
        <x:v>3</x:v>
      </x:c>
      <x:c r="N20" s="1263" t="str">
        <x:f t="shared" si="1"/>
        <x:v/>
      </x:c>
      <x:c r="O20" s="1262" t="str">
        <x:f t="shared" si="2"/>
        <x:v/>
      </x:c>
      <x:c r="P20" s="1260" t="str">
        <x:f t="shared" si="3"/>
        <x:v/>
      </x:c>
      <x:c r="Q20" s="1261" t="str">
        <x:f t="shared" si="4"/>
        <x:v/>
      </x:c>
      <x:c r="R20" s="1262" t="str">
        <x:f t="shared" si="5"/>
        <x:v/>
      </x:c>
      <x:c r="S20" s="1375" t="str">
        <x:f t="shared" si="6"/>
        <x:v/>
      </x:c>
      <x:c r="T20" s="1328" t="str">
        <x:f t="shared" si="105"/>
        <x:v/>
      </x:c>
      <x:c r="U20" s="1262" t="str">
        <x:f t="shared" si="106"/>
        <x:v/>
      </x:c>
      <x:c r="V20" s="1261" t="str">
        <x:f t="shared" si="107"/>
        <x:v/>
      </x:c>
      <x:c r="W20" s="1262" t="str">
        <x:f t="shared" si="108"/>
        <x:v/>
      </x:c>
      <x:c r="X20" s="1329">
        <x:f t="shared" si="109"/>
        <x:v>0</x:v>
      </x:c>
      <x:c r="Y20" s="1377" t="str">
        <x:f t="shared" si="7"/>
        <x:v/>
      </x:c>
      <x:c r="Z20" s="1378" t="str">
        <x:f t="shared" si="8"/>
        <x:v/>
      </x:c>
      <x:c r="AA20" s="2159" t="s">
        <x:v>2278</x:v>
      </x:c>
      <x:c r="AC20" s="1226" t="b">
        <x:v>0</x:v>
      </x:c>
      <x:c r="AD20" s="525">
        <x:f t="shared" si="9"/>
        <x:v>0</x:v>
      </x:c>
      <x:c r="AE20" s="526">
        <x:f t="shared" si="10"/>
        <x:v>1</x:v>
      </x:c>
      <x:c r="AF20" s="526">
        <x:f t="shared" si="11"/>
        <x:v>0</x:v>
      </x:c>
      <x:c r="AG20" s="526">
        <x:f t="shared" si="12"/>
        <x:v>0</x:v>
      </x:c>
      <x:c r="AH20" s="527">
        <x:f t="shared" si="13"/>
        <x:v>0</x:v>
      </x:c>
      <x:c r="AI20" s="528" t="b">
        <x:v>0</x:v>
      </x:c>
      <x:c r="AJ20" s="284">
        <x:f t="shared" si="14"/>
        <x:v>36</x:v>
      </x:c>
      <x:c r="AK20" s="1063" t="str">
        <x:f t="shared" si="15"/>
        <x:v>LH</x:v>
      </x:c>
      <x:c r="AL20" s="1202" t="str">
        <x:f t="shared" si="16"/>
        <x:v/>
      </x:c>
      <x:c r="AM20" s="1063">
        <x:f t="shared" si="17"/>
        <x:v>270</x:v>
      </x:c>
      <x:c r="AN20" s="1063">
        <x:f t="shared" si="18"/>
        <x:v>120</x:v>
      </x:c>
      <x:c r="AO20" s="1063" t="str">
        <x:f t="shared" si="19"/>
        <x:v/>
      </x:c>
      <x:c r="AP20" s="1063" t="b">
        <x:f>IF(ISERROR(AJ20),FALSE,IF(OR(AJ20=0,ISERROR(AL20),ISERROR(AM20),ISERROR(AN20),ISERROR(AO20)),FALSE,IF(AL20&lt;&gt;"",IF(ISERROR(VLOOKUP(SUBSTITUTE(SUBSTITUTE(C20,"R",""),"A",""),TblJoistSize!$A:$A,1,FALSE)),FALSE,TRUE),TRUE)))</x:f>
        <x:v>1</x:v>
      </x:c>
      <x:c r="AQ20" s="1305">
        <x:f t="shared" si="20"/>
        <x:v>6</x:v>
      </x:c>
      <x:c r="AR20" s="1305" t="b">
        <x:f t="shared" si="21"/>
        <x:v>0</x:v>
      </x:c>
      <x:c r="AS20" s="1305">
        <x:f t="shared" si="22"/>
        <x:v>7.375</x:v>
      </x:c>
      <x:c r="AT20" s="1305" t="b">
        <x:f t="shared" si="23"/>
        <x:v>0</x:v>
      </x:c>
      <x:c r="AU20" s="1203" t="str">
        <x:f t="shared" si="24"/>
        <x:v>LH</x:v>
      </x:c>
      <x:c r="AV20" s="1063" t="str">
        <x:f t="shared" si="25"/>
        <x:v/>
      </x:c>
      <x:c r="AW20" s="1063" t="str">
        <x:f t="shared" si="26"/>
        <x:v>LH</x:v>
      </x:c>
      <x:c r="AX20" s="1063" t="str">
        <x:f t="shared" si="99"/>
        <x:v>J296</x:v>
      </x:c>
      <x:c r="AY20" s="1306" t="b">
        <x:f t="shared" si="27"/>
        <x:v>0</x:v>
      </x:c>
      <x:c r="AZ20" s="1090" t="b">
        <x:f t="shared" si="28"/>
        <x:v>0</x:v>
      </x:c>
      <x:c r="BA20" s="674"/>
      <x:c r="BB20" s="842"/>
      <x:c r="BC20" s="894"/>
      <x:c r="BD20" s="926"/>
      <x:c r="BE20" s="927"/>
      <x:c r="BF20" s="928"/>
      <x:c r="BG20" s="901"/>
      <x:c r="BH20" s="1244"/>
      <x:c r="BI20" s="1245"/>
      <x:c r="BJ20" s="929"/>
      <x:c r="BK20" s="902"/>
      <x:c r="BL20" s="903"/>
      <x:c r="BM20" s="904"/>
      <x:c r="BN20" s="905"/>
      <x:c r="BO20" s="901"/>
      <x:c r="BP20" s="902"/>
      <x:c r="BQ20" s="903"/>
      <x:c r="BR20" s="929"/>
      <x:c r="BS20" s="902"/>
      <x:c r="BT20" s="903"/>
      <x:c r="BU20" s="904"/>
      <x:c r="BV20" s="905"/>
      <x:c r="BW20" s="906"/>
      <x:c r="BX20" s="930"/>
      <x:c r="BY20" s="931"/>
      <x:c r="BZ20" s="932"/>
      <x:c r="CA20" s="933"/>
      <x:c r="CB20" s="932"/>
      <x:c r="CC20" s="933"/>
      <x:c r="CD20" s="934" t="str">
        <x:f t="shared" si="29"/>
        <x:v/>
      </x:c>
      <x:c r="CE20" s="935" t="str">
        <x:f t="shared" si="30"/>
        <x:v/>
      </x:c>
      <x:c r="CF20" s="1149"/>
      <x:c r="CG20" s="1150"/>
      <x:c r="CH20" s="738" t="str">
        <x:f t="shared" si="31"/>
        <x:v/>
      </x:c>
      <x:c r="CI20" s="739" t="str">
        <x:f t="shared" si="32"/>
        <x:v/>
      </x:c>
      <x:c r="CJ20" s="740" t="str">
        <x:f t="shared" si="33"/>
        <x:v/>
      </x:c>
      <x:c r="CK20" s="741" t="str">
        <x:f t="shared" si="34"/>
        <x:v/>
      </x:c>
      <x:c r="CL20" s="742" t="str">
        <x:f t="shared" si="35"/>
        <x:v/>
      </x:c>
      <x:c r="CM20" s="743" t="str">
        <x:f t="shared" si="36"/>
        <x:v/>
      </x:c>
      <x:c r="CN20" s="744" t="str">
        <x:f t="shared" si="37"/>
        <x:v/>
      </x:c>
      <x:c r="CO20" s="745" t="str">
        <x:f t="shared" si="38"/>
        <x:v/>
      </x:c>
      <x:c r="CP20" s="762" t="str">
        <x:f t="shared" si="39"/>
        <x:v/>
      </x:c>
      <x:c r="CQ20" s="763" t="str">
        <x:f t="shared" si="40"/>
        <x:v/>
      </x:c>
      <x:c r="CR20" s="953">
        <x:f t="shared" si="41"/>
        <x:v>5</x:v>
      </x:c>
      <x:c r="CS20" s="954">
        <x:f t="shared" si="42"/>
        <x:v>5</x:v>
      </x:c>
      <x:c r="CU20" s="1048" t="str">
        <x:f>IF(BG20="","",VLOOKUP(BG20,SectInfo!$B:$N,12,FALSE))</x:f>
        <x:v/>
      </x:c>
      <x:c r="CV20" s="1046" t="str">
        <x:f>IF(BG20="","",IF(ISBLANK(BZ20),VLOOKUP(BG20,SectInfo!$B:$N,13,FALSE),BZ20))</x:f>
        <x:v/>
      </x:c>
      <x:c r="CW20" s="1046" t="str">
        <x:f>IF(BG20="","",IF(VLOOKUP(BG20,SectInfo!$B:$N,5,FALSE)="","R",UPPER(VLOOKUP(BG20,SectInfo!$B:$N,5,FALSE))))</x:f>
        <x:v/>
      </x:c>
      <x:c r="CX20" s="1046" t="str">
        <x:f>IF(BG20="","",IF(ISBLANK(CF20),VLOOKUP(BG20,SectInfo!$B:$N,6,FALSE),CF20))</x:f>
        <x:v/>
      </x:c>
      <x:c r="CY20" s="1276" t="str">
        <x:f>IF(BG20="","",IF(VLOOKUP(BG20,SectInfo!$B:$N,10,FALSE)="","",(VLOOKUP(BG20,SectInfo!$B:$N,10,FALSE)*-1)))</x:f>
        <x:v/>
      </x:c>
      <x:c r="CZ20" s="1443" t="str">
        <x:f>IF(BG20="","",IF(VLOOKUP(BG20,SectInfo!$B:$N,11,FALSE)="","2",(VLOOKUP(BG20,SectInfo!$B:$N,11,FALSE))))</x:f>
        <x:v/>
      </x:c>
      <x:c r="DA20" s="1046" t="str">
        <x:f>IF(BG20="","",IF(VLOOKUP(BG20,SectInfo!$B:$N,7,FALSE)="","",(VLOOKUP(BG20,SectInfo!$B:$N,7,FALSE)*-1)))</x:f>
        <x:v/>
      </x:c>
      <x:c r="DB20" s="1046" t="str">
        <x:f>IF(BG20="","",IF(VLOOKUP(BG20,SectInfo!$B:$N,8,FALSE)="",VLOOKUP(AU20,$DF$2:$DN$9,6,FALSE),(VLOOKUP(BG20,SectInfo!$B:$N,8,FALSE))))</x:f>
        <x:v/>
      </x:c>
      <x:c r="DC20" s="1046" t="str">
        <x:f>IF(BG20="","",VLOOKUP(BG20,SectInfo!$B:$N,9,FALSE))</x:f>
        <x:v/>
      </x:c>
      <x:c r="DD20" s="1047">
        <x:f t="shared" si="43"/>
        <x:v>0</x:v>
      </x:c>
      <x:c r="DE20" s="1048" t="str">
        <x:f>IF(BO20="","",VLOOKUP(BO20,SectInfo!$B:$N,12,FALSE))</x:f>
        <x:v/>
      </x:c>
      <x:c r="DF20" s="1046" t="str">
        <x:f>IF(BO20="","",IF(ISBLANK(CA20),VLOOKUP(BO20,SectInfo!$B:$N,13,FALSE),CA20))</x:f>
        <x:v/>
      </x:c>
      <x:c r="DG20" s="1046" t="str">
        <x:f>IF(BO20="","",IF(VLOOKUP(BO20,SectInfo!$B:$N,5,FALSE)="","R",UPPER(VLOOKUP(BO20,SectInfo!$B:$N,5,FALSE))))</x:f>
        <x:v/>
      </x:c>
      <x:c r="DH20" s="1046" t="str">
        <x:f>IF(BO20="","",IF(ISBLANK(CG20),VLOOKUP(BO20,SectInfo!$B:$N,6,FALSE),CG20))</x:f>
        <x:v/>
      </x:c>
      <x:c r="DI20" s="1046" t="str">
        <x:f>IF(BO20="","",IF(VLOOKUP(BO20,SectInfo!$B:$N,10,FALSE)="","",(VLOOKUP(BO20,SectInfo!$B:$N,10,FALSE)*-1)))</x:f>
        <x:v/>
      </x:c>
      <x:c r="DJ20" s="1443" t="str">
        <x:f>IF(BO20="","",IF(VLOOKUP(BO20,SectInfo!$B:$N,11,FALSE)="","2",(VLOOKUP(BO20,SectInfo!$B:$N,11,FALSE))))</x:f>
        <x:v/>
      </x:c>
      <x:c r="DK20" s="1046" t="str">
        <x:f>IF(BO20="","",IF(VLOOKUP(BO20,SectInfo!$B:$N,7,FALSE)="","",(VLOOKUP(BO20,SectInfo!$B:$N,7,FALSE)*-1)))</x:f>
        <x:v/>
      </x:c>
      <x:c r="DL20" s="1046" t="str">
        <x:f>IF(BO20="","",IF(VLOOKUP(BO20,SectInfo!$B:$N,8,FALSE)="",VLOOKUP(AU20,$DF$2:$DN$9,6,FALSE),(VLOOKUP(BO20,SectInfo!$B:$N,8,FALSE))))</x:f>
        <x:v/>
      </x:c>
      <x:c r="DM20" s="1046" t="str">
        <x:f>IF(BO20="","",VLOOKUP(BO20,SectInfo!$B:$N,9,FALSE))</x:f>
        <x:v/>
      </x:c>
      <x:c r="DN20" s="1047">
        <x:f t="shared" si="44"/>
        <x:v>0</x:v>
      </x:c>
      <x:c r="DO20" s="1049">
        <x:f t="shared" si="45"/>
        <x:v>0</x:v>
      </x:c>
      <x:c r="DP20" s="1053" t="str">
        <x:f t="shared" si="46"/>
        <x:v/>
      </x:c>
      <x:c r="DQ20" s="1053" t="str">
        <x:f t="shared" si="47"/>
        <x:v/>
      </x:c>
      <x:c r="DR20" s="1053" t="str">
        <x:f t="shared" si="48"/>
        <x:v/>
      </x:c>
      <x:c r="DS20" s="1052">
        <x:f t="shared" si="49"/>
        <x:v>0</x:v>
      </x:c>
      <x:c r="DT20" s="1052">
        <x:f t="shared" si="50"/>
        <x:v>0</x:v>
      </x:c>
      <x:c r="DU20" s="1052" t="str">
        <x:f t="shared" si="51"/>
        <x:v/>
      </x:c>
      <x:c r="DV20" s="1053" t="str">
        <x:f t="shared" si="52"/>
        <x:v/>
      </x:c>
      <x:c r="DW20" s="1053" t="str">
        <x:f t="shared" si="53"/>
        <x:v/>
      </x:c>
      <x:c r="DX20" s="1269">
        <x:f t="shared" si="54"/>
        <x:v>0</x:v>
      </x:c>
      <x:c r="DY20" s="1053">
        <x:f t="shared" si="55"/>
        <x:v>0</x:v>
      </x:c>
      <x:c r="DZ20" s="1052">
        <x:f t="shared" si="56"/>
        <x:v>0</x:v>
      </x:c>
      <x:c r="EA20" s="1052" t="str">
        <x:f t="shared" si="57"/>
        <x:v/>
      </x:c>
      <x:c r="EB20" s="1053" t="str">
        <x:f t="shared" si="58"/>
        <x:v/>
      </x:c>
      <x:c r="EC20" s="1053" t="str">
        <x:f t="shared" si="59"/>
        <x:v/>
      </x:c>
      <x:c r="ED20" s="1269">
        <x:f t="shared" si="60"/>
        <x:v>0</x:v>
      </x:c>
      <x:c r="EE20" s="1090" t="str">
        <x:f t="shared" si="61"/>
        <x:v/>
      </x:c>
      <x:c r="EF20" s="1053" t="str">
        <x:f t="shared" si="62"/>
        <x:v/>
      </x:c>
      <x:c r="EG20" s="1053" t="str">
        <x:f t="shared" si="63"/>
        <x:v/>
      </x:c>
      <x:c r="EH20" s="1053" t="str">
        <x:f t="shared" si="64"/>
        <x:v>ERR</x:v>
      </x:c>
      <x:c r="EI20" s="1053" t="str">
        <x:f t="shared" si="65"/>
        <x:v>ERR</x:v>
      </x:c>
      <x:c r="EJ20" s="1053" t="str">
        <x:f t="shared" si="66"/>
        <x:v/>
      </x:c>
      <x:c r="EK20" s="1053" t="str">
        <x:f t="shared" si="66"/>
        <x:v/>
      </x:c>
      <x:c r="EL20" s="1090" t="str">
        <x:f t="shared" si="67"/>
        <x:v/>
      </x:c>
      <x:c r="EM20" s="1053" t="str">
        <x:f t="shared" si="68"/>
        <x:v/>
      </x:c>
      <x:c r="EN20" s="1053" t="str">
        <x:f t="shared" si="69"/>
        <x:v/>
      </x:c>
      <x:c r="EO20" s="1053" t="str">
        <x:f t="shared" si="70"/>
        <x:v>ERR</x:v>
      </x:c>
      <x:c r="EP20" s="1053" t="str">
        <x:f t="shared" si="71"/>
        <x:v>ERR</x:v>
      </x:c>
      <x:c r="EQ20" s="1053" t="str">
        <x:f t="shared" si="72"/>
        <x:v/>
      </x:c>
      <x:c r="ER20" s="1053" t="str">
        <x:f t="shared" si="72"/>
        <x:v/>
      </x:c>
      <x:c r="ES20" s="1053" t="str">
        <x:f t="shared" si="73"/>
        <x:v/>
      </x:c>
      <x:c r="ET20" s="1053" t="str">
        <x:f t="shared" si="74"/>
        <x:v/>
      </x:c>
      <x:c r="EU20" s="1061">
        <x:f t="shared" si="75"/>
        <x:v>4</x:v>
      </x:c>
      <x:c r="EV20" s="1055" t="str">
        <x:f t="shared" si="76"/>
        <x:v/>
      </x:c>
      <x:c r="EW20" s="1061"/>
      <x:c r="EX20" s="1061" t="str">
        <x:f>IF(AND(CU20="G", ISBLANK(BK20), ISBLANK(BL20)),VLOOKUP(MIN(BH20:BI20),TblJoistSize!$M$3:$N$10,2),IF(OR(CU20="B",CU20="G"),MIN(BK20:BL20),""))</x:f>
        <x:v/>
      </x:c>
      <x:c r="EY20" s="1061" t="str">
        <x:f>IF(AND(CU20="G", ISBLANK(BK20), ISBLANK(BL20)),VLOOKUP(MAX(BH20:BI20),TblJoistSize!$M$3:$N$10,2),IF(OR(CU20="B",CU20="G"),MAX(BK20:BL20),""))</x:f>
        <x:v/>
      </x:c>
      <x:c r="EZ20" s="1061" t="str">
        <x:f t="shared" si="77"/>
        <x:v/>
      </x:c>
      <x:c r="FA20" s="1061" t="str">
        <x:f>IF(AND(DE20="G", ISBLANK(BS20), ISBLANK(BT20)),VLOOKUP(MIN(BP20:BQ20),TblJoistSize!$M$3:$N$10,2),IF(OR(DE20="B", DE20="G"),MIN(BS20:BT20),""))</x:f>
        <x:v/>
      </x:c>
      <x:c r="FB20" s="1061" t="str">
        <x:f>IF(AND(DE20="G", ISBLANK(BS20), ISBLANK(BT20)),VLOOKUP(MAX(BP20:BQ20),TblJoistSize!$M$3:$N$10,2),IF(OR(DE20="B", DE20="G"),MAX(BS20:BT20),""))</x:f>
        <x:v/>
      </x:c>
      <x:c r="FC20" s="1061" t="str">
        <x:f t="shared" si="78"/>
        <x:v/>
      </x:c>
      <x:c r="FD20" s="1052">
        <x:f t="shared" si="100"/>
        <x:v>0</x:v>
      </x:c>
      <x:c r="FE20" s="1052">
        <x:f t="shared" si="79"/>
        <x:v>0</x:v>
      </x:c>
      <x:c r="FF20" s="1052">
        <x:f t="shared" si="80"/>
        <x:v>0</x:v>
      </x:c>
      <x:c r="FG20" s="1052" t="str">
        <x:f t="shared" si="81"/>
        <x:v/>
      </x:c>
      <x:c r="FH20" s="1053" t="str">
        <x:f t="shared" si="82"/>
        <x:v/>
      </x:c>
      <x:c r="FI20" s="1052">
        <x:f t="shared" si="101"/>
        <x:v>0</x:v>
      </x:c>
      <x:c r="FJ20" s="1052">
        <x:f t="shared" si="83"/>
        <x:v>0</x:v>
      </x:c>
      <x:c r="FK20" s="1052">
        <x:f t="shared" si="84"/>
        <x:v>0</x:v>
      </x:c>
      <x:c r="FL20" s="1052" t="str">
        <x:f t="shared" si="85"/>
        <x:v/>
      </x:c>
      <x:c r="FM20" s="1053" t="str">
        <x:f t="shared" si="86"/>
        <x:v/>
      </x:c>
      <x:c r="FN20" s="1053" t="e">
        <x:f t="shared" si="87"/>
        <x:v>#VALUE!</x:v>
      </x:c>
      <x:c r="FO20" s="1062" t="e">
        <x:f t="shared" si="88"/>
        <x:v>#VALUE!</x:v>
      </x:c>
      <x:c r="FP20" s="1062" t="e">
        <x:f t="shared" si="89"/>
        <x:v>#VALUE!</x:v>
      </x:c>
      <x:c r="FQ20" s="1063" t="e">
        <x:f t="shared" si="90"/>
        <x:v>#VALUE!</x:v>
      </x:c>
      <x:c r="FR20" s="1064" t="e">
        <x:f t="shared" si="91"/>
        <x:v>#VALUE!</x:v>
      </x:c>
      <x:c r="FS20" s="1065" t="str">
        <x:f t="shared" si="92"/>
        <x:v/>
      </x:c>
      <x:c r="FT20" s="1066" t="str">
        <x:f t="shared" si="93"/>
        <x:v/>
      </x:c>
      <x:c r="FU20" s="1105">
        <x:f t="shared" si="94"/>
        <x:v>0</x:v>
      </x:c>
      <x:c r="FV20" s="1106">
        <x:f t="shared" si="95"/>
        <x:v>0</x:v>
      </x:c>
      <x:c r="GA20" s="1975">
        <x:v>59</x:v>
      </x:c>
      <x:c r="GB20" s="1976">
        <x:v>2.75</x:v>
      </x:c>
      <x:c r="GC20" s="1977">
        <x:v>-1.875</x:v>
      </x:c>
      <x:c r="GD20" s="1978">
        <x:v>-0.25</x:v>
      </x:c>
      <x:c r="GE20" s="1979">
        <x:v>0.26169539219134702</x:v>
      </x:c>
      <x:c r="GF20" s="1980" t="str">
        <x:f t="shared" si="96"/>
        <x:v>J296</x:v>
      </x:c>
      <x:c r="GG20" s="1453"/>
      <x:c r="GH20" s="1454"/>
      <x:c r="GI20" s="1453"/>
      <x:c r="GJ20" s="1454"/>
      <x:c r="GK20" s="533">
        <x:f t="shared" si="97"/>
        <x:v>708.625</x:v>
      </x:c>
      <x:c r="GL20" s="534">
        <x:f t="shared" si="98"/>
        <x:v>708.79348626656247</x:v>
      </x:c>
      <x:c r="GM20" s="535">
        <x:f>IF(ABS(GK20-GL20)&gt;='Job Info.'!$L$22,ABS(GK20-GL20),0)</x:f>
        <x:v>0</x:v>
      </x:c>
      <x:c r="HA20" s="1658" t="s">
        <x:v>1620</x:v>
      </x:c>
      <x:c r="HB20" s="1659">
        <x:v>1</x:v>
      </x:c>
      <x:c r="HC20" s="1659" t="s">
        <x:v>1978</x:v>
      </x:c>
      <x:c r="HD20" s="1660">
        <x:v>59</x:v>
      </x:c>
      <x:c r="HE20" s="1661">
        <x:v>0.625</x:v>
      </x:c>
      <x:c r="HF20" s="1659" t="s">
        <x:v>117</x:v>
      </x:c>
      <x:c r="HG20" s="1659" t="s">
        <x:v>117</x:v>
      </x:c>
      <x:c r="HH20" s="1659" t="s">
        <x:v>117</x:v>
      </x:c>
      <x:c r="HI20" s="1662">
        <x:v>0</x:v>
      </x:c>
      <x:c r="HJ20" s="1659">
        <x:v>1.375</x:v>
      </x:c>
      <x:c r="HK20" s="1659" t="s">
        <x:v>114</x:v>
      </x:c>
      <x:c r="HL20" s="1659">
        <x:v>3</x:v>
      </x:c>
      <x:c r="HM20" s="1659">
        <x:v>3</x:v>
      </x:c>
      <x:c r="HN20" s="1659" t="s">
        <x:v>117</x:v>
      </x:c>
      <x:c r="HO20" s="1659" t="s">
        <x:v>117</x:v>
      </x:c>
      <x:c r="HP20" s="1659" t="s">
        <x:v>117</x:v>
      </x:c>
      <x:c r="HQ20" s="1662" t="s">
        <x:v>117</x:v>
      </x:c>
      <x:c r="HR20" s="1659" t="s">
        <x:v>117</x:v>
      </x:c>
      <x:c r="HS20" s="1659" t="s">
        <x:v>117</x:v>
      </x:c>
      <x:c r="HT20" s="1659" t="s">
        <x:v>117</x:v>
      </x:c>
      <x:c r="HU20" s="1659" t="s">
        <x:v>117</x:v>
      </x:c>
      <x:c r="HV20" s="1659" t="s">
        <x:v>117</x:v>
      </x:c>
      <x:c r="HW20" s="1661" t="s">
        <x:v>117</x:v>
      </x:c>
      <x:c r="HX20" s="1661">
        <x:v>0</x:v>
      </x:c>
      <x:c r="HY20" s="1661" t="s">
        <x:v>117</x:v>
      </x:c>
      <x:c r="HZ20" s="1661" t="s">
        <x:v>117</x:v>
      </x:c>
      <x:c r="IA20" s="1661" t="s">
        <x:v>2278</x:v>
      </x:c>
      <x:c r="IB20" s="1661"/>
      <x:c r="IC20" s="1661"/>
      <x:c r="ID20" s="1661"/>
      <x:c r="IE20" s="1661"/>
      <x:c r="IF20" s="1663"/>
    </x:row>
    <x:row r="21" spans="1:240" ht="12.6" customHeight="1" x14ac:dyDescent="0.25">
      <x:c r="A21" s="1264" t="s">
        <x:v>1621</x:v>
      </x:c>
      <x:c r="B21" s="1265">
        <x:v>1</x:v>
      </x:c>
      <x:c r="C21" s="1265" t="s">
        <x:v>1978</x:v>
      </x:c>
      <x:c r="D21" s="1261">
        <x:v>59</x:v>
      </x:c>
      <x:c r="E21" s="1366">
        <x:v>0.625</x:v>
      </x:c>
      <x:c r="F21" s="1328" t="str">
        <x:f t="shared" si="102"/>
        <x:v/>
      </x:c>
      <x:c r="G21" s="1262" t="str">
        <x:f t="shared" si="103"/>
        <x:v/>
      </x:c>
      <x:c r="H21" s="1266" t="str">
        <x:f t="shared" si="104"/>
        <x:v/>
      </x:c>
      <x:c r="I21" s="1261">
        <x:v>0</x:v>
      </x:c>
      <x:c r="J21" s="1262">
        <x:v>1.375</x:v>
      </x:c>
      <x:c r="K21" s="1370" t="s">
        <x:v>114</x:v>
      </x:c>
      <x:c r="L21" s="1327">
        <x:v>3</x:v>
      </x:c>
      <x:c r="M21" s="1329">
        <x:v>3</x:v>
      </x:c>
      <x:c r="N21" s="1263" t="str">
        <x:f t="shared" si="1"/>
        <x:v/>
      </x:c>
      <x:c r="O21" s="1262" t="str">
        <x:f t="shared" si="2"/>
        <x:v/>
      </x:c>
      <x:c r="P21" s="1260" t="str">
        <x:f t="shared" si="3"/>
        <x:v/>
      </x:c>
      <x:c r="Q21" s="1261" t="str">
        <x:f t="shared" si="4"/>
        <x:v/>
      </x:c>
      <x:c r="R21" s="1262" t="str">
        <x:f t="shared" si="5"/>
        <x:v/>
      </x:c>
      <x:c r="S21" s="1375" t="str">
        <x:f t="shared" si="6"/>
        <x:v/>
      </x:c>
      <x:c r="T21" s="1328" t="str">
        <x:f t="shared" si="105"/>
        <x:v/>
      </x:c>
      <x:c r="U21" s="1262" t="str">
        <x:f t="shared" si="106"/>
        <x:v/>
      </x:c>
      <x:c r="V21" s="1261" t="str">
        <x:f t="shared" si="107"/>
        <x:v/>
      </x:c>
      <x:c r="W21" s="1262" t="str">
        <x:f t="shared" si="108"/>
        <x:v/>
      </x:c>
      <x:c r="X21" s="1329">
        <x:f t="shared" si="109"/>
        <x:v>0</x:v>
      </x:c>
      <x:c r="Y21" s="1377" t="str">
        <x:f t="shared" si="7"/>
        <x:v/>
      </x:c>
      <x:c r="Z21" s="1378" t="str">
        <x:f t="shared" si="8"/>
        <x:v/>
      </x:c>
      <x:c r="AA21" s="2159" t="s">
        <x:v>2279</x:v>
      </x:c>
      <x:c r="AC21" s="1226" t="b">
        <x:v>0</x:v>
      </x:c>
      <x:c r="AD21" s="525">
        <x:f t="shared" si="9"/>
        <x:v>0</x:v>
      </x:c>
      <x:c r="AE21" s="526">
        <x:f t="shared" si="10"/>
        <x:v>1</x:v>
      </x:c>
      <x:c r="AF21" s="526">
        <x:f t="shared" si="11"/>
        <x:v>0</x:v>
      </x:c>
      <x:c r="AG21" s="526">
        <x:f t="shared" si="12"/>
        <x:v>0</x:v>
      </x:c>
      <x:c r="AH21" s="527">
        <x:f t="shared" si="13"/>
        <x:v>0</x:v>
      </x:c>
      <x:c r="AI21" s="528" t="b">
        <x:v>0</x:v>
      </x:c>
      <x:c r="AJ21" s="284">
        <x:f t="shared" si="14"/>
        <x:v>36</x:v>
      </x:c>
      <x:c r="AK21" s="1063" t="str">
        <x:f t="shared" si="15"/>
        <x:v>LH</x:v>
      </x:c>
      <x:c r="AL21" s="1202" t="str">
        <x:f t="shared" si="16"/>
        <x:v/>
      </x:c>
      <x:c r="AM21" s="1063">
        <x:f t="shared" si="17"/>
        <x:v>270</x:v>
      </x:c>
      <x:c r="AN21" s="1063">
        <x:f t="shared" si="18"/>
        <x:v>120</x:v>
      </x:c>
      <x:c r="AO21" s="1063" t="str">
        <x:f t="shared" si="19"/>
        <x:v/>
      </x:c>
      <x:c r="AP21" s="1063" t="b">
        <x:f>IF(ISERROR(AJ21),FALSE,IF(OR(AJ21=0,ISERROR(AL21),ISERROR(AM21),ISERROR(AN21),ISERROR(AO21)),FALSE,IF(AL21&lt;&gt;"",IF(ISERROR(VLOOKUP(SUBSTITUTE(SUBSTITUTE(C21,"R",""),"A",""),TblJoistSize!$A:$A,1,FALSE)),FALSE,TRUE),TRUE)))</x:f>
        <x:v>1</x:v>
      </x:c>
      <x:c r="AQ21" s="1305">
        <x:f t="shared" si="20"/>
        <x:v>6</x:v>
      </x:c>
      <x:c r="AR21" s="1305" t="b">
        <x:f t="shared" si="21"/>
        <x:v>0</x:v>
      </x:c>
      <x:c r="AS21" s="1305">
        <x:f t="shared" si="22"/>
        <x:v>7.375</x:v>
      </x:c>
      <x:c r="AT21" s="1305" t="b">
        <x:f t="shared" si="23"/>
        <x:v>0</x:v>
      </x:c>
      <x:c r="AU21" s="1203" t="str">
        <x:f t="shared" si="24"/>
        <x:v>LH</x:v>
      </x:c>
      <x:c r="AV21" s="1063" t="str">
        <x:f t="shared" si="25"/>
        <x:v/>
      </x:c>
      <x:c r="AW21" s="1063" t="str">
        <x:f t="shared" si="26"/>
        <x:v>LH</x:v>
      </x:c>
      <x:c r="AX21" s="1063" t="str">
        <x:f t="shared" si="99"/>
        <x:v>J297</x:v>
      </x:c>
      <x:c r="AY21" s="1306" t="b">
        <x:f t="shared" si="27"/>
        <x:v>0</x:v>
      </x:c>
      <x:c r="AZ21" s="1090" t="b">
        <x:f t="shared" si="28"/>
        <x:v>0</x:v>
      </x:c>
      <x:c r="BA21" s="674"/>
      <x:c r="BB21" s="1794"/>
      <x:c r="BC21" s="1795"/>
      <x:c r="BD21" s="1796"/>
      <x:c r="BE21" s="1797"/>
      <x:c r="BF21" s="1798"/>
      <x:c r="BG21" s="1799"/>
      <x:c r="BH21" s="1800"/>
      <x:c r="BI21" s="1801"/>
      <x:c r="BJ21" s="1802"/>
      <x:c r="BK21" s="1803"/>
      <x:c r="BL21" s="1804"/>
      <x:c r="BM21" s="1805"/>
      <x:c r="BN21" s="1806"/>
      <x:c r="BO21" s="1799"/>
      <x:c r="BP21" s="1803"/>
      <x:c r="BQ21" s="1804"/>
      <x:c r="BR21" s="1802"/>
      <x:c r="BS21" s="1803"/>
      <x:c r="BT21" s="1804"/>
      <x:c r="BU21" s="1805"/>
      <x:c r="BV21" s="1806"/>
      <x:c r="BW21" s="1807"/>
      <x:c r="BX21" s="1808"/>
      <x:c r="BY21" s="931"/>
      <x:c r="BZ21" s="1809"/>
      <x:c r="CA21" s="1810"/>
      <x:c r="CB21" s="1809"/>
      <x:c r="CC21" s="1810"/>
      <x:c r="CD21" s="1811" t="str">
        <x:f t="shared" si="29"/>
        <x:v/>
      </x:c>
      <x:c r="CE21" s="1812" t="str">
        <x:f t="shared" si="30"/>
        <x:v/>
      </x:c>
      <x:c r="CF21" s="1813"/>
      <x:c r="CG21" s="1814"/>
      <x:c r="CH21" s="738" t="str">
        <x:f t="shared" si="31"/>
        <x:v/>
      </x:c>
      <x:c r="CI21" s="739" t="str">
        <x:f t="shared" si="32"/>
        <x:v/>
      </x:c>
      <x:c r="CJ21" s="740" t="str">
        <x:f t="shared" si="33"/>
        <x:v/>
      </x:c>
      <x:c r="CK21" s="741" t="str">
        <x:f t="shared" si="34"/>
        <x:v/>
      </x:c>
      <x:c r="CL21" s="742" t="str">
        <x:f t="shared" si="35"/>
        <x:v/>
      </x:c>
      <x:c r="CM21" s="743" t="str">
        <x:f t="shared" si="36"/>
        <x:v/>
      </x:c>
      <x:c r="CN21" s="744" t="str">
        <x:f t="shared" si="37"/>
        <x:v/>
      </x:c>
      <x:c r="CO21" s="745" t="str">
        <x:f t="shared" si="38"/>
        <x:v/>
      </x:c>
      <x:c r="CP21" s="762" t="str">
        <x:f t="shared" si="39"/>
        <x:v/>
      </x:c>
      <x:c r="CQ21" s="763" t="str">
        <x:f t="shared" si="40"/>
        <x:v/>
      </x:c>
      <x:c r="CR21" s="953">
        <x:f t="shared" si="41"/>
        <x:v>5</x:v>
      </x:c>
      <x:c r="CS21" s="954">
        <x:f t="shared" si="42"/>
        <x:v>5</x:v>
      </x:c>
      <x:c r="CU21" s="1048" t="str">
        <x:f>IF(BG21="","",VLOOKUP(BG21,SectInfo!$B:$N,12,FALSE))</x:f>
        <x:v/>
      </x:c>
      <x:c r="CV21" s="1046" t="str">
        <x:f>IF(BG21="","",IF(ISBLANK(BZ21),VLOOKUP(BG21,SectInfo!$B:$N,13,FALSE),BZ21))</x:f>
        <x:v/>
      </x:c>
      <x:c r="CW21" s="1046" t="str">
        <x:f>IF(BG21="","",IF(VLOOKUP(BG21,SectInfo!$B:$N,5,FALSE)="","R",UPPER(VLOOKUP(BG21,SectInfo!$B:$N,5,FALSE))))</x:f>
        <x:v/>
      </x:c>
      <x:c r="CX21" s="1046" t="str">
        <x:f>IF(BG21="","",IF(ISBLANK(CF21),VLOOKUP(BG21,SectInfo!$B:$N,6,FALSE),CF21))</x:f>
        <x:v/>
      </x:c>
      <x:c r="CY21" s="1276" t="str">
        <x:f>IF(BG21="","",IF(VLOOKUP(BG21,SectInfo!$B:$N,10,FALSE)="","",(VLOOKUP(BG21,SectInfo!$B:$N,10,FALSE)*-1)))</x:f>
        <x:v/>
      </x:c>
      <x:c r="CZ21" s="1443" t="str">
        <x:f>IF(BG21="","",IF(VLOOKUP(BG21,SectInfo!$B:$N,11,FALSE)="","2",(VLOOKUP(BG21,SectInfo!$B:$N,11,FALSE))))</x:f>
        <x:v/>
      </x:c>
      <x:c r="DA21" s="1046" t="str">
        <x:f>IF(BG21="","",IF(VLOOKUP(BG21,SectInfo!$B:$N,7,FALSE)="","",(VLOOKUP(BG21,SectInfo!$B:$N,7,FALSE)*-1)))</x:f>
        <x:v/>
      </x:c>
      <x:c r="DB21" s="1046" t="str">
        <x:f>IF(BG21="","",IF(VLOOKUP(BG21,SectInfo!$B:$N,8,FALSE)="",VLOOKUP(AU21,$DF$2:$DN$9,6,FALSE),(VLOOKUP(BG21,SectInfo!$B:$N,8,FALSE))))</x:f>
        <x:v/>
      </x:c>
      <x:c r="DC21" s="1046" t="str">
        <x:f>IF(BG21="","",VLOOKUP(BG21,SectInfo!$B:$N,9,FALSE))</x:f>
        <x:v/>
      </x:c>
      <x:c r="DD21" s="1047">
        <x:f t="shared" si="43"/>
        <x:v>0</x:v>
      </x:c>
      <x:c r="DE21" s="1048" t="str">
        <x:f>IF(BO21="","",VLOOKUP(BO21,SectInfo!$B:$N,12,FALSE))</x:f>
        <x:v/>
      </x:c>
      <x:c r="DF21" s="1046" t="str">
        <x:f>IF(BO21="","",IF(ISBLANK(CA21),VLOOKUP(BO21,SectInfo!$B:$N,13,FALSE),CA21))</x:f>
        <x:v/>
      </x:c>
      <x:c r="DG21" s="1046" t="str">
        <x:f>IF(BO21="","",IF(VLOOKUP(BO21,SectInfo!$B:$N,5,FALSE)="","R",UPPER(VLOOKUP(BO21,SectInfo!$B:$N,5,FALSE))))</x:f>
        <x:v/>
      </x:c>
      <x:c r="DH21" s="1046" t="str">
        <x:f>IF(BO21="","",IF(ISBLANK(CG21),VLOOKUP(BO21,SectInfo!$B:$N,6,FALSE),CG21))</x:f>
        <x:v/>
      </x:c>
      <x:c r="DI21" s="1046" t="str">
        <x:f>IF(BO21="","",IF(VLOOKUP(BO21,SectInfo!$B:$N,10,FALSE)="","",(VLOOKUP(BO21,SectInfo!$B:$N,10,FALSE)*-1)))</x:f>
        <x:v/>
      </x:c>
      <x:c r="DJ21" s="1443" t="str">
        <x:f>IF(BO21="","",IF(VLOOKUP(BO21,SectInfo!$B:$N,11,FALSE)="","2",(VLOOKUP(BO21,SectInfo!$B:$N,11,FALSE))))</x:f>
        <x:v/>
      </x:c>
      <x:c r="DK21" s="1046" t="str">
        <x:f>IF(BO21="","",IF(VLOOKUP(BO21,SectInfo!$B:$N,7,FALSE)="","",(VLOOKUP(BO21,SectInfo!$B:$N,7,FALSE)*-1)))</x:f>
        <x:v/>
      </x:c>
      <x:c r="DL21" s="1046" t="str">
        <x:f>IF(BO21="","",IF(VLOOKUP(BO21,SectInfo!$B:$N,8,FALSE)="",VLOOKUP(AU21,$DF$2:$DN$9,6,FALSE),(VLOOKUP(BO21,SectInfo!$B:$N,8,FALSE))))</x:f>
        <x:v/>
      </x:c>
      <x:c r="DM21" s="1046" t="str">
        <x:f>IF(BO21="","",VLOOKUP(BO21,SectInfo!$B:$N,9,FALSE))</x:f>
        <x:v/>
      </x:c>
      <x:c r="DN21" s="1047">
        <x:f t="shared" si="44"/>
        <x:v>0</x:v>
      </x:c>
      <x:c r="DO21" s="1049">
        <x:f t="shared" si="45"/>
        <x:v>0</x:v>
      </x:c>
      <x:c r="DP21" s="1053" t="str">
        <x:f t="shared" si="46"/>
        <x:v/>
      </x:c>
      <x:c r="DQ21" s="1053" t="str">
        <x:f t="shared" si="47"/>
        <x:v/>
      </x:c>
      <x:c r="DR21" s="1053" t="str">
        <x:f t="shared" si="48"/>
        <x:v/>
      </x:c>
      <x:c r="DS21" s="1052">
        <x:f t="shared" si="49"/>
        <x:v>0</x:v>
      </x:c>
      <x:c r="DT21" s="1052">
        <x:f t="shared" si="50"/>
        <x:v>0</x:v>
      </x:c>
      <x:c r="DU21" s="1052" t="str">
        <x:f t="shared" si="51"/>
        <x:v/>
      </x:c>
      <x:c r="DV21" s="1053" t="str">
        <x:f t="shared" si="52"/>
        <x:v/>
      </x:c>
      <x:c r="DW21" s="1053" t="str">
        <x:f t="shared" si="53"/>
        <x:v/>
      </x:c>
      <x:c r="DX21" s="1269">
        <x:f t="shared" si="54"/>
        <x:v>0</x:v>
      </x:c>
      <x:c r="DY21" s="1053">
        <x:f t="shared" si="55"/>
        <x:v>0</x:v>
      </x:c>
      <x:c r="DZ21" s="1052">
        <x:f t="shared" si="56"/>
        <x:v>0</x:v>
      </x:c>
      <x:c r="EA21" s="1052" t="str">
        <x:f t="shared" si="57"/>
        <x:v/>
      </x:c>
      <x:c r="EB21" s="1053" t="str">
        <x:f t="shared" si="58"/>
        <x:v/>
      </x:c>
      <x:c r="EC21" s="1053" t="str">
        <x:f t="shared" si="59"/>
        <x:v/>
      </x:c>
      <x:c r="ED21" s="1269">
        <x:f t="shared" si="60"/>
        <x:v>0</x:v>
      </x:c>
      <x:c r="EE21" s="1090" t="str">
        <x:f t="shared" si="61"/>
        <x:v/>
      </x:c>
      <x:c r="EF21" s="1053" t="str">
        <x:f t="shared" si="62"/>
        <x:v/>
      </x:c>
      <x:c r="EG21" s="1053" t="str">
        <x:f t="shared" si="63"/>
        <x:v/>
      </x:c>
      <x:c r="EH21" s="1053" t="str">
        <x:f t="shared" si="64"/>
        <x:v>ERR</x:v>
      </x:c>
      <x:c r="EI21" s="1053" t="str">
        <x:f t="shared" si="65"/>
        <x:v>ERR</x:v>
      </x:c>
      <x:c r="EJ21" s="1053" t="str">
        <x:f t="shared" si="66"/>
        <x:v/>
      </x:c>
      <x:c r="EK21" s="1053" t="str">
        <x:f t="shared" si="66"/>
        <x:v/>
      </x:c>
      <x:c r="EL21" s="1090" t="str">
        <x:f t="shared" si="67"/>
        <x:v/>
      </x:c>
      <x:c r="EM21" s="1053" t="str">
        <x:f t="shared" si="68"/>
        <x:v/>
      </x:c>
      <x:c r="EN21" s="1053" t="str">
        <x:f t="shared" si="69"/>
        <x:v/>
      </x:c>
      <x:c r="EO21" s="1053" t="str">
        <x:f t="shared" si="70"/>
        <x:v>ERR</x:v>
      </x:c>
      <x:c r="EP21" s="1053" t="str">
        <x:f t="shared" si="71"/>
        <x:v>ERR</x:v>
      </x:c>
      <x:c r="EQ21" s="1053" t="str">
        <x:f t="shared" si="72"/>
        <x:v/>
      </x:c>
      <x:c r="ER21" s="1053" t="str">
        <x:f t="shared" si="72"/>
        <x:v/>
      </x:c>
      <x:c r="ES21" s="1053" t="str">
        <x:f t="shared" si="73"/>
        <x:v/>
      </x:c>
      <x:c r="ET21" s="1053" t="str">
        <x:f t="shared" si="74"/>
        <x:v/>
      </x:c>
      <x:c r="EU21" s="1061">
        <x:f t="shared" si="75"/>
        <x:v>4</x:v>
      </x:c>
      <x:c r="EV21" s="1055" t="str">
        <x:f t="shared" si="76"/>
        <x:v/>
      </x:c>
      <x:c r="EW21" s="1061"/>
      <x:c r="EX21" s="1061" t="str">
        <x:f>IF(AND(CU21="G", ISBLANK(BK21), ISBLANK(BL21)),VLOOKUP(MIN(BH21:BI21),TblJoistSize!$M$3:$N$10,2),IF(OR(CU21="B",CU21="G"),MIN(BK21:BL21),""))</x:f>
        <x:v/>
      </x:c>
      <x:c r="EY21" s="1061" t="str">
        <x:f>IF(AND(CU21="G", ISBLANK(BK21), ISBLANK(BL21)),VLOOKUP(MAX(BH21:BI21),TblJoistSize!$M$3:$N$10,2),IF(OR(CU21="B",CU21="G"),MAX(BK21:BL21),""))</x:f>
        <x:v/>
      </x:c>
      <x:c r="EZ21" s="1061" t="str">
        <x:f t="shared" si="77"/>
        <x:v/>
      </x:c>
      <x:c r="FA21" s="1061" t="str">
        <x:f>IF(AND(DE21="G", ISBLANK(BS21), ISBLANK(BT21)),VLOOKUP(MIN(BP21:BQ21),TblJoistSize!$M$3:$N$10,2),IF(OR(DE21="B", DE21="G"),MIN(BS21:BT21),""))</x:f>
        <x:v/>
      </x:c>
      <x:c r="FB21" s="1061" t="str">
        <x:f>IF(AND(DE21="G", ISBLANK(BS21), ISBLANK(BT21)),VLOOKUP(MAX(BP21:BQ21),TblJoistSize!$M$3:$N$10,2),IF(OR(DE21="B", DE21="G"),MAX(BS21:BT21),""))</x:f>
        <x:v/>
      </x:c>
      <x:c r="FC21" s="1061" t="str">
        <x:f t="shared" si="78"/>
        <x:v/>
      </x:c>
      <x:c r="FD21" s="1052">
        <x:f t="shared" si="100"/>
        <x:v>0</x:v>
      </x:c>
      <x:c r="FE21" s="1052">
        <x:f t="shared" si="79"/>
        <x:v>0</x:v>
      </x:c>
      <x:c r="FF21" s="1052">
        <x:f t="shared" si="80"/>
        <x:v>0</x:v>
      </x:c>
      <x:c r="FG21" s="1052" t="str">
        <x:f t="shared" si="81"/>
        <x:v/>
      </x:c>
      <x:c r="FH21" s="1053" t="str">
        <x:f t="shared" si="82"/>
        <x:v/>
      </x:c>
      <x:c r="FI21" s="1052">
        <x:f t="shared" si="101"/>
        <x:v>0</x:v>
      </x:c>
      <x:c r="FJ21" s="1052">
        <x:f t="shared" si="83"/>
        <x:v>0</x:v>
      </x:c>
      <x:c r="FK21" s="1052">
        <x:f t="shared" si="84"/>
        <x:v>0</x:v>
      </x:c>
      <x:c r="FL21" s="1052" t="str">
        <x:f t="shared" si="85"/>
        <x:v/>
      </x:c>
      <x:c r="FM21" s="1053" t="str">
        <x:f t="shared" si="86"/>
        <x:v/>
      </x:c>
      <x:c r="FN21" s="1053" t="e">
        <x:f t="shared" si="87"/>
        <x:v>#VALUE!</x:v>
      </x:c>
      <x:c r="FO21" s="1062" t="e">
        <x:f t="shared" si="88"/>
        <x:v>#VALUE!</x:v>
      </x:c>
      <x:c r="FP21" s="1062" t="e">
        <x:f t="shared" si="89"/>
        <x:v>#VALUE!</x:v>
      </x:c>
      <x:c r="FQ21" s="1063" t="e">
        <x:f t="shared" si="90"/>
        <x:v>#VALUE!</x:v>
      </x:c>
      <x:c r="FR21" s="1064" t="e">
        <x:f t="shared" si="91"/>
        <x:v>#VALUE!</x:v>
      </x:c>
      <x:c r="FS21" s="1065" t="str">
        <x:f t="shared" si="92"/>
        <x:v/>
      </x:c>
      <x:c r="FT21" s="1066" t="str">
        <x:f t="shared" si="93"/>
        <x:v/>
      </x:c>
      <x:c r="FU21" s="1105">
        <x:f t="shared" si="94"/>
        <x:v>0</x:v>
      </x:c>
      <x:c r="FV21" s="1106">
        <x:f t="shared" si="95"/>
        <x:v>0</x:v>
      </x:c>
      <x:c r="GA21" s="1975">
        <x:v>59</x:v>
      </x:c>
      <x:c r="GB21" s="1976">
        <x:v>2.75</x:v>
      </x:c>
      <x:c r="GC21" s="1977">
        <x:v>-1.875</x:v>
      </x:c>
      <x:c r="GD21" s="1978">
        <x:v>-0.25</x:v>
      </x:c>
      <x:c r="GE21" s="1979">
        <x:v>0.26169539219134702</x:v>
      </x:c>
      <x:c r="GF21" s="1980" t="str">
        <x:f t="shared" si="96"/>
        <x:v>J297</x:v>
      </x:c>
      <x:c r="GG21" s="1453"/>
      <x:c r="GH21" s="1454"/>
      <x:c r="GI21" s="1453"/>
      <x:c r="GJ21" s="1454"/>
      <x:c r="GK21" s="533">
        <x:f t="shared" si="97"/>
        <x:v>708.625</x:v>
      </x:c>
      <x:c r="GL21" s="534">
        <x:f t="shared" si="98"/>
        <x:v>708.79348626656247</x:v>
      </x:c>
      <x:c r="GM21" s="535">
        <x:f>IF(ABS(GK21-GL21)&gt;='Job Info.'!$L$22,ABS(GK21-GL21),0)</x:f>
        <x:v>0</x:v>
      </x:c>
      <x:c r="HA21" s="1658" t="s">
        <x:v>1621</x:v>
      </x:c>
      <x:c r="HB21" s="1659">
        <x:v>1</x:v>
      </x:c>
      <x:c r="HC21" s="1659" t="s">
        <x:v>1978</x:v>
      </x:c>
      <x:c r="HD21" s="1660">
        <x:v>59</x:v>
      </x:c>
      <x:c r="HE21" s="1661">
        <x:v>0.625</x:v>
      </x:c>
      <x:c r="HF21" s="1659" t="s">
        <x:v>117</x:v>
      </x:c>
      <x:c r="HG21" s="1659" t="s">
        <x:v>117</x:v>
      </x:c>
      <x:c r="HH21" s="1659" t="s">
        <x:v>117</x:v>
      </x:c>
      <x:c r="HI21" s="1662">
        <x:v>0</x:v>
      </x:c>
      <x:c r="HJ21" s="1659">
        <x:v>1.375</x:v>
      </x:c>
      <x:c r="HK21" s="1659" t="s">
        <x:v>114</x:v>
      </x:c>
      <x:c r="HL21" s="1659">
        <x:v>3</x:v>
      </x:c>
      <x:c r="HM21" s="1659">
        <x:v>3</x:v>
      </x:c>
      <x:c r="HN21" s="1659" t="s">
        <x:v>117</x:v>
      </x:c>
      <x:c r="HO21" s="1659" t="s">
        <x:v>117</x:v>
      </x:c>
      <x:c r="HP21" s="1659" t="s">
        <x:v>117</x:v>
      </x:c>
      <x:c r="HQ21" s="1662" t="s">
        <x:v>117</x:v>
      </x:c>
      <x:c r="HR21" s="1659" t="s">
        <x:v>117</x:v>
      </x:c>
      <x:c r="HS21" s="1659" t="s">
        <x:v>117</x:v>
      </x:c>
      <x:c r="HT21" s="1659" t="s">
        <x:v>117</x:v>
      </x:c>
      <x:c r="HU21" s="1659" t="s">
        <x:v>117</x:v>
      </x:c>
      <x:c r="HV21" s="1659" t="s">
        <x:v>117</x:v>
      </x:c>
      <x:c r="HW21" s="1661" t="s">
        <x:v>117</x:v>
      </x:c>
      <x:c r="HX21" s="1661">
        <x:v>0</x:v>
      </x:c>
      <x:c r="HY21" s="1661" t="s">
        <x:v>117</x:v>
      </x:c>
      <x:c r="HZ21" s="1661" t="s">
        <x:v>117</x:v>
      </x:c>
      <x:c r="IA21" s="1661" t="s">
        <x:v>2279</x:v>
      </x:c>
      <x:c r="IB21" s="1661"/>
      <x:c r="IC21" s="1661"/>
      <x:c r="ID21" s="1661"/>
      <x:c r="IE21" s="1661"/>
      <x:c r="IF21" s="1663"/>
    </x:row>
    <x:row r="22" spans="1:240" ht="12.6" customHeight="1" x14ac:dyDescent="0.25">
      <x:c r="A22" s="1264" t="s">
        <x:v>1622</x:v>
      </x:c>
      <x:c r="B22" s="1265">
        <x:v>2</x:v>
      </x:c>
      <x:c r="C22" s="1265" t="s">
        <x:v>1978</x:v>
      </x:c>
      <x:c r="D22" s="1261">
        <x:v>59</x:v>
      </x:c>
      <x:c r="E22" s="1366">
        <x:v>0.625</x:v>
      </x:c>
      <x:c r="F22" s="1328" t="str">
        <x:f t="shared" si="102"/>
        <x:v/>
      </x:c>
      <x:c r="G22" s="1262" t="str">
        <x:f t="shared" si="103"/>
        <x:v/>
      </x:c>
      <x:c r="H22" s="1266" t="str">
        <x:f t="shared" si="104"/>
        <x:v/>
      </x:c>
      <x:c r="I22" s="1261">
        <x:v>0</x:v>
      </x:c>
      <x:c r="J22" s="1262">
        <x:v>1.375</x:v>
      </x:c>
      <x:c r="K22" s="1370" t="s">
        <x:v>114</x:v>
      </x:c>
      <x:c r="L22" s="1327">
        <x:v>3</x:v>
      </x:c>
      <x:c r="M22" s="1329">
        <x:v>3</x:v>
      </x:c>
      <x:c r="N22" s="1263" t="str">
        <x:f t="shared" si="1"/>
        <x:v/>
      </x:c>
      <x:c r="O22" s="1262" t="str">
        <x:f t="shared" si="2"/>
        <x:v/>
      </x:c>
      <x:c r="P22" s="1260" t="str">
        <x:f t="shared" si="3"/>
        <x:v/>
      </x:c>
      <x:c r="Q22" s="1261" t="str">
        <x:f t="shared" si="4"/>
        <x:v/>
      </x:c>
      <x:c r="R22" s="1262" t="str">
        <x:f t="shared" si="5"/>
        <x:v/>
      </x:c>
      <x:c r="S22" s="1375" t="str">
        <x:f t="shared" si="6"/>
        <x:v/>
      </x:c>
      <x:c r="T22" s="1328" t="str">
        <x:f t="shared" si="105"/>
        <x:v/>
      </x:c>
      <x:c r="U22" s="1262" t="str">
        <x:f t="shared" si="106"/>
        <x:v/>
      </x:c>
      <x:c r="V22" s="1261" t="str">
        <x:f t="shared" si="107"/>
        <x:v/>
      </x:c>
      <x:c r="W22" s="1262" t="str">
        <x:f t="shared" si="108"/>
        <x:v/>
      </x:c>
      <x:c r="X22" s="1329">
        <x:f t="shared" si="109"/>
        <x:v>0</x:v>
      </x:c>
      <x:c r="Y22" s="1377" t="str">
        <x:f t="shared" si="7"/>
        <x:v/>
      </x:c>
      <x:c r="Z22" s="1378" t="str">
        <x:f t="shared" si="8"/>
        <x:v/>
      </x:c>
      <x:c r="AA22" s="2159" t="s">
        <x:v>2280</x:v>
      </x:c>
      <x:c r="AC22" s="1226" t="b">
        <x:v>0</x:v>
      </x:c>
      <x:c r="AD22" s="525">
        <x:f t="shared" si="9"/>
        <x:v>0</x:v>
      </x:c>
      <x:c r="AE22" s="526">
        <x:f t="shared" si="10"/>
        <x:v>2</x:v>
      </x:c>
      <x:c r="AF22" s="526">
        <x:f t="shared" si="11"/>
        <x:v>0</x:v>
      </x:c>
      <x:c r="AG22" s="526">
        <x:f t="shared" si="12"/>
        <x:v>0</x:v>
      </x:c>
      <x:c r="AH22" s="527">
        <x:f t="shared" si="13"/>
        <x:v>0</x:v>
      </x:c>
      <x:c r="AI22" s="528" t="b">
        <x:v>0</x:v>
      </x:c>
      <x:c r="AJ22" s="284">
        <x:f t="shared" si="14"/>
        <x:v>36</x:v>
      </x:c>
      <x:c r="AK22" s="1063" t="str">
        <x:f t="shared" si="15"/>
        <x:v>LH</x:v>
      </x:c>
      <x:c r="AL22" s="1202" t="str">
        <x:f t="shared" si="16"/>
        <x:v/>
      </x:c>
      <x:c r="AM22" s="1063">
        <x:f t="shared" si="17"/>
        <x:v>270</x:v>
      </x:c>
      <x:c r="AN22" s="1063">
        <x:f t="shared" si="18"/>
        <x:v>120</x:v>
      </x:c>
      <x:c r="AO22" s="1063" t="str">
        <x:f t="shared" si="19"/>
        <x:v/>
      </x:c>
      <x:c r="AP22" s="1063" t="b">
        <x:f>IF(ISERROR(AJ22),FALSE,IF(OR(AJ22=0,ISERROR(AL22),ISERROR(AM22),ISERROR(AN22),ISERROR(AO22)),FALSE,IF(AL22&lt;&gt;"",IF(ISERROR(VLOOKUP(SUBSTITUTE(SUBSTITUTE(C22,"R",""),"A",""),TblJoistSize!$A:$A,1,FALSE)),FALSE,TRUE),TRUE)))</x:f>
        <x:v>1</x:v>
      </x:c>
      <x:c r="AQ22" s="1305">
        <x:f t="shared" si="20"/>
        <x:v>6</x:v>
      </x:c>
      <x:c r="AR22" s="1305" t="b">
        <x:f t="shared" si="21"/>
        <x:v>0</x:v>
      </x:c>
      <x:c r="AS22" s="1305">
        <x:f t="shared" si="22"/>
        <x:v>7.375</x:v>
      </x:c>
      <x:c r="AT22" s="1305" t="b">
        <x:f t="shared" si="23"/>
        <x:v>0</x:v>
      </x:c>
      <x:c r="AU22" s="1203" t="str">
        <x:f t="shared" si="24"/>
        <x:v>LH</x:v>
      </x:c>
      <x:c r="AV22" s="1063" t="str">
        <x:f t="shared" si="25"/>
        <x:v/>
      </x:c>
      <x:c r="AW22" s="1063" t="str">
        <x:f t="shared" si="26"/>
        <x:v>LH</x:v>
      </x:c>
      <x:c r="AX22" s="1063" t="str">
        <x:f t="shared" si="99"/>
        <x:v>J298</x:v>
      </x:c>
      <x:c r="AY22" s="1306" t="b">
        <x:f t="shared" si="27"/>
        <x:v>0</x:v>
      </x:c>
      <x:c r="AZ22" s="1090" t="b">
        <x:f t="shared" si="28"/>
        <x:v>0</x:v>
      </x:c>
      <x:c r="BA22" s="674"/>
      <x:c r="BB22" s="842"/>
      <x:c r="BC22" s="894"/>
      <x:c r="BD22" s="926"/>
      <x:c r="BE22" s="927"/>
      <x:c r="BF22" s="928"/>
      <x:c r="BG22" s="901"/>
      <x:c r="BH22" s="1244"/>
      <x:c r="BI22" s="1245"/>
      <x:c r="BJ22" s="929"/>
      <x:c r="BK22" s="902"/>
      <x:c r="BL22" s="903"/>
      <x:c r="BM22" s="904"/>
      <x:c r="BN22" s="905"/>
      <x:c r="BO22" s="901"/>
      <x:c r="BP22" s="902"/>
      <x:c r="BQ22" s="903"/>
      <x:c r="BR22" s="929"/>
      <x:c r="BS22" s="902"/>
      <x:c r="BT22" s="903"/>
      <x:c r="BU22" s="904"/>
      <x:c r="BV22" s="905"/>
      <x:c r="BW22" s="906"/>
      <x:c r="BX22" s="930"/>
      <x:c r="BY22" s="931"/>
      <x:c r="BZ22" s="932"/>
      <x:c r="CA22" s="933"/>
      <x:c r="CB22" s="932"/>
      <x:c r="CC22" s="933"/>
      <x:c r="CD22" s="934" t="str">
        <x:f t="shared" si="29"/>
        <x:v/>
      </x:c>
      <x:c r="CE22" s="935" t="str">
        <x:f t="shared" si="30"/>
        <x:v/>
      </x:c>
      <x:c r="CF22" s="1149"/>
      <x:c r="CG22" s="1150"/>
      <x:c r="CH22" s="738" t="str">
        <x:f t="shared" si="31"/>
        <x:v/>
      </x:c>
      <x:c r="CI22" s="739" t="str">
        <x:f t="shared" si="32"/>
        <x:v/>
      </x:c>
      <x:c r="CJ22" s="740" t="str">
        <x:f t="shared" si="33"/>
        <x:v/>
      </x:c>
      <x:c r="CK22" s="741" t="str">
        <x:f t="shared" si="34"/>
        <x:v/>
      </x:c>
      <x:c r="CL22" s="742" t="str">
        <x:f t="shared" si="35"/>
        <x:v/>
      </x:c>
      <x:c r="CM22" s="743" t="str">
        <x:f t="shared" si="36"/>
        <x:v/>
      </x:c>
      <x:c r="CN22" s="744" t="str">
        <x:f t="shared" si="37"/>
        <x:v/>
      </x:c>
      <x:c r="CO22" s="745" t="str">
        <x:f t="shared" si="38"/>
        <x:v/>
      </x:c>
      <x:c r="CP22" s="762" t="str">
        <x:f t="shared" si="39"/>
        <x:v/>
      </x:c>
      <x:c r="CQ22" s="763" t="str">
        <x:f t="shared" si="40"/>
        <x:v/>
      </x:c>
      <x:c r="CR22" s="953">
        <x:f t="shared" si="41"/>
        <x:v>5</x:v>
      </x:c>
      <x:c r="CS22" s="954">
        <x:f t="shared" si="42"/>
        <x:v>5</x:v>
      </x:c>
      <x:c r="CU22" s="1048" t="str">
        <x:f>IF(BG22="","",VLOOKUP(BG22,SectInfo!$B:$N,12,FALSE))</x:f>
        <x:v/>
      </x:c>
      <x:c r="CV22" s="1046" t="str">
        <x:f>IF(BG22="","",IF(ISBLANK(BZ22),VLOOKUP(BG22,SectInfo!$B:$N,13,FALSE),BZ22))</x:f>
        <x:v/>
      </x:c>
      <x:c r="CW22" s="1046" t="str">
        <x:f>IF(BG22="","",IF(VLOOKUP(BG22,SectInfo!$B:$N,5,FALSE)="","R",UPPER(VLOOKUP(BG22,SectInfo!$B:$N,5,FALSE))))</x:f>
        <x:v/>
      </x:c>
      <x:c r="CX22" s="1046" t="str">
        <x:f>IF(BG22="","",IF(ISBLANK(CF22),VLOOKUP(BG22,SectInfo!$B:$N,6,FALSE),CF22))</x:f>
        <x:v/>
      </x:c>
      <x:c r="CY22" s="1276" t="str">
        <x:f>IF(BG22="","",IF(VLOOKUP(BG22,SectInfo!$B:$N,10,FALSE)="","",(VLOOKUP(BG22,SectInfo!$B:$N,10,FALSE)*-1)))</x:f>
        <x:v/>
      </x:c>
      <x:c r="CZ22" s="1443" t="str">
        <x:f>IF(BG22="","",IF(VLOOKUP(BG22,SectInfo!$B:$N,11,FALSE)="","2",(VLOOKUP(BG22,SectInfo!$B:$N,11,FALSE))))</x:f>
        <x:v/>
      </x:c>
      <x:c r="DA22" s="1046" t="str">
        <x:f>IF(BG22="","",IF(VLOOKUP(BG22,SectInfo!$B:$N,7,FALSE)="","",(VLOOKUP(BG22,SectInfo!$B:$N,7,FALSE)*-1)))</x:f>
        <x:v/>
      </x:c>
      <x:c r="DB22" s="1046" t="str">
        <x:f>IF(BG22="","",IF(VLOOKUP(BG22,SectInfo!$B:$N,8,FALSE)="",VLOOKUP(AU22,$DF$2:$DN$9,6,FALSE),(VLOOKUP(BG22,SectInfo!$B:$N,8,FALSE))))</x:f>
        <x:v/>
      </x:c>
      <x:c r="DC22" s="1046" t="str">
        <x:f>IF(BG22="","",VLOOKUP(BG22,SectInfo!$B:$N,9,FALSE))</x:f>
        <x:v/>
      </x:c>
      <x:c r="DD22" s="1047">
        <x:f t="shared" si="43"/>
        <x:v>0</x:v>
      </x:c>
      <x:c r="DE22" s="1048" t="str">
        <x:f>IF(BO22="","",VLOOKUP(BO22,SectInfo!$B:$N,12,FALSE))</x:f>
        <x:v/>
      </x:c>
      <x:c r="DF22" s="1046" t="str">
        <x:f>IF(BO22="","",IF(ISBLANK(CA22),VLOOKUP(BO22,SectInfo!$B:$N,13,FALSE),CA22))</x:f>
        <x:v/>
      </x:c>
      <x:c r="DG22" s="1046" t="str">
        <x:f>IF(BO22="","",IF(VLOOKUP(BO22,SectInfo!$B:$N,5,FALSE)="","R",UPPER(VLOOKUP(BO22,SectInfo!$B:$N,5,FALSE))))</x:f>
        <x:v/>
      </x:c>
      <x:c r="DH22" s="1046" t="str">
        <x:f>IF(BO22="","",IF(ISBLANK(CG22),VLOOKUP(BO22,SectInfo!$B:$N,6,FALSE),CG22))</x:f>
        <x:v/>
      </x:c>
      <x:c r="DI22" s="1046" t="str">
        <x:f>IF(BO22="","",IF(VLOOKUP(BO22,SectInfo!$B:$N,10,FALSE)="","",(VLOOKUP(BO22,SectInfo!$B:$N,10,FALSE)*-1)))</x:f>
        <x:v/>
      </x:c>
      <x:c r="DJ22" s="1443" t="str">
        <x:f>IF(BO22="","",IF(VLOOKUP(BO22,SectInfo!$B:$N,11,FALSE)="","2",(VLOOKUP(BO22,SectInfo!$B:$N,11,FALSE))))</x:f>
        <x:v/>
      </x:c>
      <x:c r="DK22" s="1046" t="str">
        <x:f>IF(BO22="","",IF(VLOOKUP(BO22,SectInfo!$B:$N,7,FALSE)="","",(VLOOKUP(BO22,SectInfo!$B:$N,7,FALSE)*-1)))</x:f>
        <x:v/>
      </x:c>
      <x:c r="DL22" s="1046" t="str">
        <x:f>IF(BO22="","",IF(VLOOKUP(BO22,SectInfo!$B:$N,8,FALSE)="",VLOOKUP(AU22,$DF$2:$DN$9,6,FALSE),(VLOOKUP(BO22,SectInfo!$B:$N,8,FALSE))))</x:f>
        <x:v/>
      </x:c>
      <x:c r="DM22" s="1046" t="str">
        <x:f>IF(BO22="","",VLOOKUP(BO22,SectInfo!$B:$N,9,FALSE))</x:f>
        <x:v/>
      </x:c>
      <x:c r="DN22" s="1047">
        <x:f t="shared" si="44"/>
        <x:v>0</x:v>
      </x:c>
      <x:c r="DO22" s="1049">
        <x:f t="shared" si="45"/>
        <x:v>0</x:v>
      </x:c>
      <x:c r="DP22" s="1053" t="str">
        <x:f t="shared" si="46"/>
        <x:v/>
      </x:c>
      <x:c r="DQ22" s="1053" t="str">
        <x:f t="shared" si="47"/>
        <x:v/>
      </x:c>
      <x:c r="DR22" s="1053" t="str">
        <x:f t="shared" si="48"/>
        <x:v/>
      </x:c>
      <x:c r="DS22" s="1052">
        <x:f t="shared" si="49"/>
        <x:v>0</x:v>
      </x:c>
      <x:c r="DT22" s="1052">
        <x:f t="shared" si="50"/>
        <x:v>0</x:v>
      </x:c>
      <x:c r="DU22" s="1052" t="str">
        <x:f t="shared" si="51"/>
        <x:v/>
      </x:c>
      <x:c r="DV22" s="1053" t="str">
        <x:f t="shared" si="52"/>
        <x:v/>
      </x:c>
      <x:c r="DW22" s="1053" t="str">
        <x:f t="shared" si="53"/>
        <x:v/>
      </x:c>
      <x:c r="DX22" s="1269">
        <x:f t="shared" si="54"/>
        <x:v>0</x:v>
      </x:c>
      <x:c r="DY22" s="1053">
        <x:f t="shared" si="55"/>
        <x:v>0</x:v>
      </x:c>
      <x:c r="DZ22" s="1052">
        <x:f t="shared" si="56"/>
        <x:v>0</x:v>
      </x:c>
      <x:c r="EA22" s="1052" t="str">
        <x:f t="shared" si="57"/>
        <x:v/>
      </x:c>
      <x:c r="EB22" s="1053" t="str">
        <x:f t="shared" si="58"/>
        <x:v/>
      </x:c>
      <x:c r="EC22" s="1053" t="str">
        <x:f t="shared" si="59"/>
        <x:v/>
      </x:c>
      <x:c r="ED22" s="1269">
        <x:f t="shared" si="60"/>
        <x:v>0</x:v>
      </x:c>
      <x:c r="EE22" s="1090" t="str">
        <x:f t="shared" si="61"/>
        <x:v/>
      </x:c>
      <x:c r="EF22" s="1053" t="str">
        <x:f t="shared" si="62"/>
        <x:v/>
      </x:c>
      <x:c r="EG22" s="1053" t="str">
        <x:f t="shared" si="63"/>
        <x:v/>
      </x:c>
      <x:c r="EH22" s="1053" t="str">
        <x:f t="shared" si="64"/>
        <x:v>ERR</x:v>
      </x:c>
      <x:c r="EI22" s="1053" t="str">
        <x:f t="shared" si="65"/>
        <x:v>ERR</x:v>
      </x:c>
      <x:c r="EJ22" s="1053" t="str">
        <x:f t="shared" si="66"/>
        <x:v/>
      </x:c>
      <x:c r="EK22" s="1053" t="str">
        <x:f t="shared" si="66"/>
        <x:v/>
      </x:c>
      <x:c r="EL22" s="1090" t="str">
        <x:f t="shared" si="67"/>
        <x:v/>
      </x:c>
      <x:c r="EM22" s="1053" t="str">
        <x:f t="shared" si="68"/>
        <x:v/>
      </x:c>
      <x:c r="EN22" s="1053" t="str">
        <x:f t="shared" si="69"/>
        <x:v/>
      </x:c>
      <x:c r="EO22" s="1053" t="str">
        <x:f t="shared" si="70"/>
        <x:v>ERR</x:v>
      </x:c>
      <x:c r="EP22" s="1053" t="str">
        <x:f t="shared" si="71"/>
        <x:v>ERR</x:v>
      </x:c>
      <x:c r="EQ22" s="1053" t="str">
        <x:f t="shared" si="72"/>
        <x:v/>
      </x:c>
      <x:c r="ER22" s="1053" t="str">
        <x:f t="shared" si="72"/>
        <x:v/>
      </x:c>
      <x:c r="ES22" s="1053" t="str">
        <x:f t="shared" si="73"/>
        <x:v/>
      </x:c>
      <x:c r="ET22" s="1053" t="str">
        <x:f t="shared" si="74"/>
        <x:v/>
      </x:c>
      <x:c r="EU22" s="1061">
        <x:f t="shared" si="75"/>
        <x:v>4</x:v>
      </x:c>
      <x:c r="EV22" s="1055" t="str">
        <x:f t="shared" si="76"/>
        <x:v/>
      </x:c>
      <x:c r="EW22" s="1061"/>
      <x:c r="EX22" s="1061" t="str">
        <x:f>IF(AND(CU22="G", ISBLANK(BK22), ISBLANK(BL22)),VLOOKUP(MIN(BH22:BI22),TblJoistSize!$M$3:$N$10,2),IF(OR(CU22="B",CU22="G"),MIN(BK22:BL22),""))</x:f>
        <x:v/>
      </x:c>
      <x:c r="EY22" s="1061" t="str">
        <x:f>IF(AND(CU22="G", ISBLANK(BK22), ISBLANK(BL22)),VLOOKUP(MAX(BH22:BI22),TblJoistSize!$M$3:$N$10,2),IF(OR(CU22="B",CU22="G"),MAX(BK22:BL22),""))</x:f>
        <x:v/>
      </x:c>
      <x:c r="EZ22" s="1061" t="str">
        <x:f t="shared" si="77"/>
        <x:v/>
      </x:c>
      <x:c r="FA22" s="1061" t="str">
        <x:f>IF(AND(DE22="G", ISBLANK(BS22), ISBLANK(BT22)),VLOOKUP(MIN(BP22:BQ22),TblJoistSize!$M$3:$N$10,2),IF(OR(DE22="B", DE22="G"),MIN(BS22:BT22),""))</x:f>
        <x:v/>
      </x:c>
      <x:c r="FB22" s="1061" t="str">
        <x:f>IF(AND(DE22="G", ISBLANK(BS22), ISBLANK(BT22)),VLOOKUP(MAX(BP22:BQ22),TblJoistSize!$M$3:$N$10,2),IF(OR(DE22="B", DE22="G"),MAX(BS22:BT22),""))</x:f>
        <x:v/>
      </x:c>
      <x:c r="FC22" s="1061" t="str">
        <x:f t="shared" si="78"/>
        <x:v/>
      </x:c>
      <x:c r="FD22" s="1052">
        <x:f t="shared" si="100"/>
        <x:v>0</x:v>
      </x:c>
      <x:c r="FE22" s="1052">
        <x:f t="shared" si="79"/>
        <x:v>0</x:v>
      </x:c>
      <x:c r="FF22" s="1052">
        <x:f t="shared" si="80"/>
        <x:v>0</x:v>
      </x:c>
      <x:c r="FG22" s="1052" t="str">
        <x:f t="shared" si="81"/>
        <x:v/>
      </x:c>
      <x:c r="FH22" s="1053" t="str">
        <x:f t="shared" si="82"/>
        <x:v/>
      </x:c>
      <x:c r="FI22" s="1052">
        <x:f t="shared" si="101"/>
        <x:v>0</x:v>
      </x:c>
      <x:c r="FJ22" s="1052">
        <x:f t="shared" si="83"/>
        <x:v>0</x:v>
      </x:c>
      <x:c r="FK22" s="1052">
        <x:f t="shared" si="84"/>
        <x:v>0</x:v>
      </x:c>
      <x:c r="FL22" s="1052" t="str">
        <x:f t="shared" si="85"/>
        <x:v/>
      </x:c>
      <x:c r="FM22" s="1053" t="str">
        <x:f t="shared" si="86"/>
        <x:v/>
      </x:c>
      <x:c r="FN22" s="1053" t="e">
        <x:f t="shared" si="87"/>
        <x:v>#VALUE!</x:v>
      </x:c>
      <x:c r="FO22" s="1062" t="e">
        <x:f t="shared" si="88"/>
        <x:v>#VALUE!</x:v>
      </x:c>
      <x:c r="FP22" s="1062" t="e">
        <x:f t="shared" si="89"/>
        <x:v>#VALUE!</x:v>
      </x:c>
      <x:c r="FQ22" s="1063" t="e">
        <x:f t="shared" si="90"/>
        <x:v>#VALUE!</x:v>
      </x:c>
      <x:c r="FR22" s="1064" t="e">
        <x:f t="shared" si="91"/>
        <x:v>#VALUE!</x:v>
      </x:c>
      <x:c r="FS22" s="1065" t="str">
        <x:f t="shared" si="92"/>
        <x:v/>
      </x:c>
      <x:c r="FT22" s="1066" t="str">
        <x:f t="shared" si="93"/>
        <x:v/>
      </x:c>
      <x:c r="FU22" s="1105">
        <x:f t="shared" si="94"/>
        <x:v>0</x:v>
      </x:c>
      <x:c r="FV22" s="1106">
        <x:f t="shared" si="95"/>
        <x:v>0</x:v>
      </x:c>
      <x:c r="GA22" s="1975">
        <x:v>59</x:v>
      </x:c>
      <x:c r="GB22" s="1976">
        <x:v>2.75</x:v>
      </x:c>
      <x:c r="GC22" s="1977">
        <x:v>-1.875</x:v>
      </x:c>
      <x:c r="GD22" s="1978">
        <x:v>-0.25</x:v>
      </x:c>
      <x:c r="GE22" s="1979">
        <x:v>0.26169539219134702</x:v>
      </x:c>
      <x:c r="GF22" s="1980" t="str">
        <x:f t="shared" si="96"/>
        <x:v>J298</x:v>
      </x:c>
      <x:c r="GG22" s="1453"/>
      <x:c r="GH22" s="1454"/>
      <x:c r="GI22" s="1453"/>
      <x:c r="GJ22" s="1454"/>
      <x:c r="GK22" s="533">
        <x:f t="shared" si="97"/>
        <x:v>708.625</x:v>
      </x:c>
      <x:c r="GL22" s="534">
        <x:f t="shared" si="98"/>
        <x:v>708.79348626656247</x:v>
      </x:c>
      <x:c r="GM22" s="535">
        <x:f>IF(ABS(GK22-GL22)&gt;='Job Info.'!$L$22,ABS(GK22-GL22),0)</x:f>
        <x:v>0</x:v>
      </x:c>
      <x:c r="HA22" s="1658" t="s">
        <x:v>1622</x:v>
      </x:c>
      <x:c r="HB22" s="1659">
        <x:v>2</x:v>
      </x:c>
      <x:c r="HC22" s="1659" t="s">
        <x:v>1978</x:v>
      </x:c>
      <x:c r="HD22" s="1660">
        <x:v>59</x:v>
      </x:c>
      <x:c r="HE22" s="1661">
        <x:v>0.625</x:v>
      </x:c>
      <x:c r="HF22" s="1659" t="s">
        <x:v>117</x:v>
      </x:c>
      <x:c r="HG22" s="1659" t="s">
        <x:v>117</x:v>
      </x:c>
      <x:c r="HH22" s="1659" t="s">
        <x:v>117</x:v>
      </x:c>
      <x:c r="HI22" s="1662">
        <x:v>0</x:v>
      </x:c>
      <x:c r="HJ22" s="1659">
        <x:v>1.375</x:v>
      </x:c>
      <x:c r="HK22" s="1659" t="s">
        <x:v>114</x:v>
      </x:c>
      <x:c r="HL22" s="1659">
        <x:v>3</x:v>
      </x:c>
      <x:c r="HM22" s="1659">
        <x:v>3</x:v>
      </x:c>
      <x:c r="HN22" s="1659" t="s">
        <x:v>117</x:v>
      </x:c>
      <x:c r="HO22" s="1659" t="s">
        <x:v>117</x:v>
      </x:c>
      <x:c r="HP22" s="1659" t="s">
        <x:v>117</x:v>
      </x:c>
      <x:c r="HQ22" s="1662" t="s">
        <x:v>117</x:v>
      </x:c>
      <x:c r="HR22" s="1659" t="s">
        <x:v>117</x:v>
      </x:c>
      <x:c r="HS22" s="1659" t="s">
        <x:v>117</x:v>
      </x:c>
      <x:c r="HT22" s="1659" t="s">
        <x:v>117</x:v>
      </x:c>
      <x:c r="HU22" s="1659" t="s">
        <x:v>117</x:v>
      </x:c>
      <x:c r="HV22" s="1659" t="s">
        <x:v>117</x:v>
      </x:c>
      <x:c r="HW22" s="1661" t="s">
        <x:v>117</x:v>
      </x:c>
      <x:c r="HX22" s="1661">
        <x:v>0</x:v>
      </x:c>
      <x:c r="HY22" s="1661" t="s">
        <x:v>117</x:v>
      </x:c>
      <x:c r="HZ22" s="1661" t="s">
        <x:v>117</x:v>
      </x:c>
      <x:c r="IA22" s="1661" t="s">
        <x:v>2280</x:v>
      </x:c>
      <x:c r="IB22" s="1661"/>
      <x:c r="IC22" s="1661"/>
      <x:c r="ID22" s="1661"/>
      <x:c r="IE22" s="1661"/>
      <x:c r="IF22" s="1663"/>
    </x:row>
    <x:row r="23" spans="1:240" ht="12.6" customHeight="1" x14ac:dyDescent="0.25">
      <x:c r="A23" s="1264" t="s">
        <x:v>1623</x:v>
      </x:c>
      <x:c r="B23" s="1265">
        <x:v>1</x:v>
      </x:c>
      <x:c r="C23" s="1265" t="s">
        <x:v>1978</x:v>
      </x:c>
      <x:c r="D23" s="1261">
        <x:v>59</x:v>
      </x:c>
      <x:c r="E23" s="1366">
        <x:v>0.625</x:v>
      </x:c>
      <x:c r="F23" s="1328" t="str">
        <x:f t="shared" si="102"/>
        <x:v/>
      </x:c>
      <x:c r="G23" s="1262" t="str">
        <x:f t="shared" si="103"/>
        <x:v/>
      </x:c>
      <x:c r="H23" s="1266" t="str">
        <x:f t="shared" si="104"/>
        <x:v/>
      </x:c>
      <x:c r="I23" s="1261">
        <x:v>0</x:v>
      </x:c>
      <x:c r="J23" s="1262">
        <x:v>1.375</x:v>
      </x:c>
      <x:c r="K23" s="1370" t="s">
        <x:v>114</x:v>
      </x:c>
      <x:c r="L23" s="1327">
        <x:v>3</x:v>
      </x:c>
      <x:c r="M23" s="1329">
        <x:v>3</x:v>
      </x:c>
      <x:c r="N23" s="1263" t="str">
        <x:f t="shared" si="1"/>
        <x:v/>
      </x:c>
      <x:c r="O23" s="1262" t="str">
        <x:f t="shared" si="2"/>
        <x:v/>
      </x:c>
      <x:c r="P23" s="1260" t="str">
        <x:f t="shared" si="3"/>
        <x:v/>
      </x:c>
      <x:c r="Q23" s="1261" t="str">
        <x:f t="shared" si="4"/>
        <x:v/>
      </x:c>
      <x:c r="R23" s="1262" t="str">
        <x:f t="shared" si="5"/>
        <x:v/>
      </x:c>
      <x:c r="S23" s="1375" t="str">
        <x:f t="shared" si="6"/>
        <x:v/>
      </x:c>
      <x:c r="T23" s="1328" t="str">
        <x:f t="shared" si="105"/>
        <x:v/>
      </x:c>
      <x:c r="U23" s="1262" t="str">
        <x:f t="shared" si="106"/>
        <x:v/>
      </x:c>
      <x:c r="V23" s="1261" t="str">
        <x:f t="shared" si="107"/>
        <x:v/>
      </x:c>
      <x:c r="W23" s="1262" t="str">
        <x:f t="shared" si="108"/>
        <x:v/>
      </x:c>
      <x:c r="X23" s="1329">
        <x:f t="shared" si="109"/>
        <x:v>0</x:v>
      </x:c>
      <x:c r="Y23" s="1377" t="str">
        <x:f t="shared" si="7"/>
        <x:v/>
      </x:c>
      <x:c r="Z23" s="1378" t="str">
        <x:f t="shared" si="8"/>
        <x:v/>
      </x:c>
      <x:c r="AA23" s="2159" t="s">
        <x:v>2281</x:v>
      </x:c>
      <x:c r="AC23" s="1226" t="b">
        <x:v>0</x:v>
      </x:c>
      <x:c r="AD23" s="525">
        <x:f t="shared" si="9"/>
        <x:v>0</x:v>
      </x:c>
      <x:c r="AE23" s="526">
        <x:f t="shared" si="10"/>
        <x:v>1</x:v>
      </x:c>
      <x:c r="AF23" s="526">
        <x:f t="shared" si="11"/>
        <x:v>0</x:v>
      </x:c>
      <x:c r="AG23" s="526">
        <x:f t="shared" si="12"/>
        <x:v>0</x:v>
      </x:c>
      <x:c r="AH23" s="527">
        <x:f t="shared" si="13"/>
        <x:v>0</x:v>
      </x:c>
      <x:c r="AI23" s="528" t="b">
        <x:v>0</x:v>
      </x:c>
      <x:c r="AJ23" s="284">
        <x:f t="shared" si="14"/>
        <x:v>36</x:v>
      </x:c>
      <x:c r="AK23" s="1063" t="str">
        <x:f t="shared" si="15"/>
        <x:v>LH</x:v>
      </x:c>
      <x:c r="AL23" s="1202" t="str">
        <x:f t="shared" si="16"/>
        <x:v/>
      </x:c>
      <x:c r="AM23" s="1063">
        <x:f t="shared" si="17"/>
        <x:v>270</x:v>
      </x:c>
      <x:c r="AN23" s="1063">
        <x:f t="shared" si="18"/>
        <x:v>120</x:v>
      </x:c>
      <x:c r="AO23" s="1063" t="str">
        <x:f t="shared" si="19"/>
        <x:v/>
      </x:c>
      <x:c r="AP23" s="1063" t="b">
        <x:f>IF(ISERROR(AJ23),FALSE,IF(OR(AJ23=0,ISERROR(AL23),ISERROR(AM23),ISERROR(AN23),ISERROR(AO23)),FALSE,IF(AL23&lt;&gt;"",IF(ISERROR(VLOOKUP(SUBSTITUTE(SUBSTITUTE(C23,"R",""),"A",""),TblJoistSize!$A:$A,1,FALSE)),FALSE,TRUE),TRUE)))</x:f>
        <x:v>1</x:v>
      </x:c>
      <x:c r="AQ23" s="1305">
        <x:f t="shared" si="20"/>
        <x:v>6</x:v>
      </x:c>
      <x:c r="AR23" s="1305" t="b">
        <x:f t="shared" si="21"/>
        <x:v>0</x:v>
      </x:c>
      <x:c r="AS23" s="1305">
        <x:f t="shared" si="22"/>
        <x:v>7.375</x:v>
      </x:c>
      <x:c r="AT23" s="1305" t="b">
        <x:f t="shared" si="23"/>
        <x:v>0</x:v>
      </x:c>
      <x:c r="AU23" s="1203" t="str">
        <x:f t="shared" si="24"/>
        <x:v>LH</x:v>
      </x:c>
      <x:c r="AV23" s="1063" t="str">
        <x:f t="shared" si="25"/>
        <x:v/>
      </x:c>
      <x:c r="AW23" s="1063" t="str">
        <x:f t="shared" si="26"/>
        <x:v>LH</x:v>
      </x:c>
      <x:c r="AX23" s="1063" t="str">
        <x:f t="shared" si="99"/>
        <x:v>J299</x:v>
      </x:c>
      <x:c r="AY23" s="1306" t="b">
        <x:f t="shared" si="27"/>
        <x:v>0</x:v>
      </x:c>
      <x:c r="AZ23" s="1090" t="b">
        <x:f t="shared" si="28"/>
        <x:v>0</x:v>
      </x:c>
      <x:c r="BA23" s="674"/>
      <x:c r="BB23" s="842"/>
      <x:c r="BC23" s="894"/>
      <x:c r="BD23" s="926"/>
      <x:c r="BE23" s="927"/>
      <x:c r="BF23" s="928"/>
      <x:c r="BG23" s="901"/>
      <x:c r="BH23" s="1244"/>
      <x:c r="BI23" s="1245"/>
      <x:c r="BJ23" s="929"/>
      <x:c r="BK23" s="902"/>
      <x:c r="BL23" s="903"/>
      <x:c r="BM23" s="904"/>
      <x:c r="BN23" s="905"/>
      <x:c r="BO23" s="901"/>
      <x:c r="BP23" s="902"/>
      <x:c r="BQ23" s="903"/>
      <x:c r="BR23" s="929"/>
      <x:c r="BS23" s="902"/>
      <x:c r="BT23" s="903"/>
      <x:c r="BU23" s="904"/>
      <x:c r="BV23" s="905"/>
      <x:c r="BW23" s="906"/>
      <x:c r="BX23" s="930"/>
      <x:c r="BY23" s="931"/>
      <x:c r="BZ23" s="932"/>
      <x:c r="CA23" s="933"/>
      <x:c r="CB23" s="932"/>
      <x:c r="CC23" s="933"/>
      <x:c r="CD23" s="934" t="str">
        <x:f t="shared" si="29"/>
        <x:v/>
      </x:c>
      <x:c r="CE23" s="935" t="str">
        <x:f t="shared" si="30"/>
        <x:v/>
      </x:c>
      <x:c r="CF23" s="1149"/>
      <x:c r="CG23" s="1150"/>
      <x:c r="CH23" s="738" t="str">
        <x:f t="shared" si="31"/>
        <x:v/>
      </x:c>
      <x:c r="CI23" s="739" t="str">
        <x:f t="shared" si="32"/>
        <x:v/>
      </x:c>
      <x:c r="CJ23" s="740" t="str">
        <x:f t="shared" si="33"/>
        <x:v/>
      </x:c>
      <x:c r="CK23" s="741" t="str">
        <x:f t="shared" si="34"/>
        <x:v/>
      </x:c>
      <x:c r="CL23" s="742" t="str">
        <x:f t="shared" si="35"/>
        <x:v/>
      </x:c>
      <x:c r="CM23" s="743" t="str">
        <x:f t="shared" si="36"/>
        <x:v/>
      </x:c>
      <x:c r="CN23" s="744" t="str">
        <x:f t="shared" si="37"/>
        <x:v/>
      </x:c>
      <x:c r="CO23" s="745" t="str">
        <x:f t="shared" si="38"/>
        <x:v/>
      </x:c>
      <x:c r="CP23" s="762" t="str">
        <x:f t="shared" si="39"/>
        <x:v/>
      </x:c>
      <x:c r="CQ23" s="763" t="str">
        <x:f t="shared" si="40"/>
        <x:v/>
      </x:c>
      <x:c r="CR23" s="953">
        <x:f t="shared" si="41"/>
        <x:v>5</x:v>
      </x:c>
      <x:c r="CS23" s="954">
        <x:f t="shared" si="42"/>
        <x:v>5</x:v>
      </x:c>
      <x:c r="CU23" s="1048" t="str">
        <x:f>IF(BG23="","",VLOOKUP(BG23,SectInfo!$B:$N,12,FALSE))</x:f>
        <x:v/>
      </x:c>
      <x:c r="CV23" s="1046" t="str">
        <x:f>IF(BG23="","",IF(ISBLANK(BZ23),VLOOKUP(BG23,SectInfo!$B:$N,13,FALSE),BZ23))</x:f>
        <x:v/>
      </x:c>
      <x:c r="CW23" s="1046" t="str">
        <x:f>IF(BG23="","",IF(VLOOKUP(BG23,SectInfo!$B:$N,5,FALSE)="","R",UPPER(VLOOKUP(BG23,SectInfo!$B:$N,5,FALSE))))</x:f>
        <x:v/>
      </x:c>
      <x:c r="CX23" s="1046" t="str">
        <x:f>IF(BG23="","",IF(ISBLANK(CF23),VLOOKUP(BG23,SectInfo!$B:$N,6,FALSE),CF23))</x:f>
        <x:v/>
      </x:c>
      <x:c r="CY23" s="1276" t="str">
        <x:f>IF(BG23="","",IF(VLOOKUP(BG23,SectInfo!$B:$N,10,FALSE)="","",(VLOOKUP(BG23,SectInfo!$B:$N,10,FALSE)*-1)))</x:f>
        <x:v/>
      </x:c>
      <x:c r="CZ23" s="1443" t="str">
        <x:f>IF(BG23="","",IF(VLOOKUP(BG23,SectInfo!$B:$N,11,FALSE)="","2",(VLOOKUP(BG23,SectInfo!$B:$N,11,FALSE))))</x:f>
        <x:v/>
      </x:c>
      <x:c r="DA23" s="1046" t="str">
        <x:f>IF(BG23="","",IF(VLOOKUP(BG23,SectInfo!$B:$N,7,FALSE)="","",(VLOOKUP(BG23,SectInfo!$B:$N,7,FALSE)*-1)))</x:f>
        <x:v/>
      </x:c>
      <x:c r="DB23" s="1046" t="str">
        <x:f>IF(BG23="","",IF(VLOOKUP(BG23,SectInfo!$B:$N,8,FALSE)="",VLOOKUP(AU23,$DF$2:$DN$9,6,FALSE),(VLOOKUP(BG23,SectInfo!$B:$N,8,FALSE))))</x:f>
        <x:v/>
      </x:c>
      <x:c r="DC23" s="1046" t="str">
        <x:f>IF(BG23="","",VLOOKUP(BG23,SectInfo!$B:$N,9,FALSE))</x:f>
        <x:v/>
      </x:c>
      <x:c r="DD23" s="1047">
        <x:f t="shared" si="43"/>
        <x:v>0</x:v>
      </x:c>
      <x:c r="DE23" s="1048" t="str">
        <x:f>IF(BO23="","",VLOOKUP(BO23,SectInfo!$B:$N,12,FALSE))</x:f>
        <x:v/>
      </x:c>
      <x:c r="DF23" s="1046" t="str">
        <x:f>IF(BO23="","",IF(ISBLANK(CA23),VLOOKUP(BO23,SectInfo!$B:$N,13,FALSE),CA23))</x:f>
        <x:v/>
      </x:c>
      <x:c r="DG23" s="1046" t="str">
        <x:f>IF(BO23="","",IF(VLOOKUP(BO23,SectInfo!$B:$N,5,FALSE)="","R",UPPER(VLOOKUP(BO23,SectInfo!$B:$N,5,FALSE))))</x:f>
        <x:v/>
      </x:c>
      <x:c r="DH23" s="1046" t="str">
        <x:f>IF(BO23="","",IF(ISBLANK(CG23),VLOOKUP(BO23,SectInfo!$B:$N,6,FALSE),CG23))</x:f>
        <x:v/>
      </x:c>
      <x:c r="DI23" s="1046" t="str">
        <x:f>IF(BO23="","",IF(VLOOKUP(BO23,SectInfo!$B:$N,10,FALSE)="","",(VLOOKUP(BO23,SectInfo!$B:$N,10,FALSE)*-1)))</x:f>
        <x:v/>
      </x:c>
      <x:c r="DJ23" s="1443" t="str">
        <x:f>IF(BO23="","",IF(VLOOKUP(BO23,SectInfo!$B:$N,11,FALSE)="","2",(VLOOKUP(BO23,SectInfo!$B:$N,11,FALSE))))</x:f>
        <x:v/>
      </x:c>
      <x:c r="DK23" s="1046" t="str">
        <x:f>IF(BO23="","",IF(VLOOKUP(BO23,SectInfo!$B:$N,7,FALSE)="","",(VLOOKUP(BO23,SectInfo!$B:$N,7,FALSE)*-1)))</x:f>
        <x:v/>
      </x:c>
      <x:c r="DL23" s="1046" t="str">
        <x:f>IF(BO23="","",IF(VLOOKUP(BO23,SectInfo!$B:$N,8,FALSE)="",VLOOKUP(AU23,$DF$2:$DN$9,6,FALSE),(VLOOKUP(BO23,SectInfo!$B:$N,8,FALSE))))</x:f>
        <x:v/>
      </x:c>
      <x:c r="DM23" s="1046" t="str">
        <x:f>IF(BO23="","",VLOOKUP(BO23,SectInfo!$B:$N,9,FALSE))</x:f>
        <x:v/>
      </x:c>
      <x:c r="DN23" s="1047">
        <x:f t="shared" si="44"/>
        <x:v>0</x:v>
      </x:c>
      <x:c r="DO23" s="1049">
        <x:f t="shared" si="45"/>
        <x:v>0</x:v>
      </x:c>
      <x:c r="DP23" s="1053" t="str">
        <x:f t="shared" si="46"/>
        <x:v/>
      </x:c>
      <x:c r="DQ23" s="1053" t="str">
        <x:f t="shared" si="47"/>
        <x:v/>
      </x:c>
      <x:c r="DR23" s="1053" t="str">
        <x:f t="shared" si="48"/>
        <x:v/>
      </x:c>
      <x:c r="DS23" s="1052">
        <x:f t="shared" si="49"/>
        <x:v>0</x:v>
      </x:c>
      <x:c r="DT23" s="1052">
        <x:f t="shared" si="50"/>
        <x:v>0</x:v>
      </x:c>
      <x:c r="DU23" s="1052" t="str">
        <x:f t="shared" si="51"/>
        <x:v/>
      </x:c>
      <x:c r="DV23" s="1053" t="str">
        <x:f t="shared" si="52"/>
        <x:v/>
      </x:c>
      <x:c r="DW23" s="1053" t="str">
        <x:f t="shared" si="53"/>
        <x:v/>
      </x:c>
      <x:c r="DX23" s="1269">
        <x:f t="shared" si="54"/>
        <x:v>0</x:v>
      </x:c>
      <x:c r="DY23" s="1053">
        <x:f t="shared" si="55"/>
        <x:v>0</x:v>
      </x:c>
      <x:c r="DZ23" s="1052">
        <x:f t="shared" si="56"/>
        <x:v>0</x:v>
      </x:c>
      <x:c r="EA23" s="1052" t="str">
        <x:f t="shared" si="57"/>
        <x:v/>
      </x:c>
      <x:c r="EB23" s="1053" t="str">
        <x:f t="shared" si="58"/>
        <x:v/>
      </x:c>
      <x:c r="EC23" s="1053" t="str">
        <x:f t="shared" si="59"/>
        <x:v/>
      </x:c>
      <x:c r="ED23" s="1269">
        <x:f t="shared" si="60"/>
        <x:v>0</x:v>
      </x:c>
      <x:c r="EE23" s="1090" t="str">
        <x:f t="shared" si="61"/>
        <x:v/>
      </x:c>
      <x:c r="EF23" s="1053" t="str">
        <x:f t="shared" si="62"/>
        <x:v/>
      </x:c>
      <x:c r="EG23" s="1053" t="str">
        <x:f t="shared" si="63"/>
        <x:v/>
      </x:c>
      <x:c r="EH23" s="1053" t="str">
        <x:f t="shared" si="64"/>
        <x:v>ERR</x:v>
      </x:c>
      <x:c r="EI23" s="1053" t="str">
        <x:f t="shared" si="65"/>
        <x:v>ERR</x:v>
      </x:c>
      <x:c r="EJ23" s="1053" t="str">
        <x:f t="shared" si="66"/>
        <x:v/>
      </x:c>
      <x:c r="EK23" s="1053" t="str">
        <x:f t="shared" si="66"/>
        <x:v/>
      </x:c>
      <x:c r="EL23" s="1090" t="str">
        <x:f t="shared" si="67"/>
        <x:v/>
      </x:c>
      <x:c r="EM23" s="1053" t="str">
        <x:f t="shared" si="68"/>
        <x:v/>
      </x:c>
      <x:c r="EN23" s="1053" t="str">
        <x:f t="shared" si="69"/>
        <x:v/>
      </x:c>
      <x:c r="EO23" s="1053" t="str">
        <x:f t="shared" si="70"/>
        <x:v>ERR</x:v>
      </x:c>
      <x:c r="EP23" s="1053" t="str">
        <x:f t="shared" si="71"/>
        <x:v>ERR</x:v>
      </x:c>
      <x:c r="EQ23" s="1053" t="str">
        <x:f t="shared" si="72"/>
        <x:v/>
      </x:c>
      <x:c r="ER23" s="1053" t="str">
        <x:f t="shared" si="72"/>
        <x:v/>
      </x:c>
      <x:c r="ES23" s="1053" t="str">
        <x:f t="shared" si="73"/>
        <x:v/>
      </x:c>
      <x:c r="ET23" s="1053" t="str">
        <x:f t="shared" si="74"/>
        <x:v/>
      </x:c>
      <x:c r="EU23" s="1061">
        <x:f t="shared" si="75"/>
        <x:v>4</x:v>
      </x:c>
      <x:c r="EV23" s="1055" t="str">
        <x:f t="shared" si="76"/>
        <x:v/>
      </x:c>
      <x:c r="EW23" s="1061"/>
      <x:c r="EX23" s="1061" t="str">
        <x:f>IF(AND(CU23="G", ISBLANK(BK23), ISBLANK(BL23)),VLOOKUP(MIN(BH23:BI23),TblJoistSize!$M$3:$N$10,2),IF(OR(CU23="B",CU23="G"),MIN(BK23:BL23),""))</x:f>
        <x:v/>
      </x:c>
      <x:c r="EY23" s="1061" t="str">
        <x:f>IF(AND(CU23="G", ISBLANK(BK23), ISBLANK(BL23)),VLOOKUP(MAX(BH23:BI23),TblJoistSize!$M$3:$N$10,2),IF(OR(CU23="B",CU23="G"),MAX(BK23:BL23),""))</x:f>
        <x:v/>
      </x:c>
      <x:c r="EZ23" s="1061" t="str">
        <x:f t="shared" si="77"/>
        <x:v/>
      </x:c>
      <x:c r="FA23" s="1061" t="str">
        <x:f>IF(AND(DE23="G", ISBLANK(BS23), ISBLANK(BT23)),VLOOKUP(MIN(BP23:BQ23),TblJoistSize!$M$3:$N$10,2),IF(OR(DE23="B", DE23="G"),MIN(BS23:BT23),""))</x:f>
        <x:v/>
      </x:c>
      <x:c r="FB23" s="1061" t="str">
        <x:f>IF(AND(DE23="G", ISBLANK(BS23), ISBLANK(BT23)),VLOOKUP(MAX(BP23:BQ23),TblJoistSize!$M$3:$N$10,2),IF(OR(DE23="B", DE23="G"),MAX(BS23:BT23),""))</x:f>
        <x:v/>
      </x:c>
      <x:c r="FC23" s="1061" t="str">
        <x:f t="shared" si="78"/>
        <x:v/>
      </x:c>
      <x:c r="FD23" s="1052">
        <x:f t="shared" si="100"/>
        <x:v>0</x:v>
      </x:c>
      <x:c r="FE23" s="1052">
        <x:f t="shared" si="79"/>
        <x:v>0</x:v>
      </x:c>
      <x:c r="FF23" s="1052">
        <x:f t="shared" si="80"/>
        <x:v>0</x:v>
      </x:c>
      <x:c r="FG23" s="1052" t="str">
        <x:f t="shared" si="81"/>
        <x:v/>
      </x:c>
      <x:c r="FH23" s="1053" t="str">
        <x:f t="shared" si="82"/>
        <x:v/>
      </x:c>
      <x:c r="FI23" s="1052">
        <x:f t="shared" si="101"/>
        <x:v>0</x:v>
      </x:c>
      <x:c r="FJ23" s="1052">
        <x:f t="shared" si="83"/>
        <x:v>0</x:v>
      </x:c>
      <x:c r="FK23" s="1052">
        <x:f t="shared" si="84"/>
        <x:v>0</x:v>
      </x:c>
      <x:c r="FL23" s="1052" t="str">
        <x:f t="shared" si="85"/>
        <x:v/>
      </x:c>
      <x:c r="FM23" s="1053" t="str">
        <x:f t="shared" si="86"/>
        <x:v/>
      </x:c>
      <x:c r="FN23" s="1053" t="e">
        <x:f t="shared" si="87"/>
        <x:v>#VALUE!</x:v>
      </x:c>
      <x:c r="FO23" s="1062" t="e">
        <x:f t="shared" si="88"/>
        <x:v>#VALUE!</x:v>
      </x:c>
      <x:c r="FP23" s="1062" t="e">
        <x:f t="shared" si="89"/>
        <x:v>#VALUE!</x:v>
      </x:c>
      <x:c r="FQ23" s="1063" t="e">
        <x:f t="shared" si="90"/>
        <x:v>#VALUE!</x:v>
      </x:c>
      <x:c r="FR23" s="1064" t="e">
        <x:f t="shared" si="91"/>
        <x:v>#VALUE!</x:v>
      </x:c>
      <x:c r="FS23" s="1065" t="str">
        <x:f t="shared" si="92"/>
        <x:v/>
      </x:c>
      <x:c r="FT23" s="1066" t="str">
        <x:f t="shared" si="93"/>
        <x:v/>
      </x:c>
      <x:c r="FU23" s="1105">
        <x:f t="shared" si="94"/>
        <x:v>0</x:v>
      </x:c>
      <x:c r="FV23" s="1106">
        <x:f t="shared" si="95"/>
        <x:v>0</x:v>
      </x:c>
      <x:c r="GA23" s="1975">
        <x:v>59</x:v>
      </x:c>
      <x:c r="GB23" s="1976">
        <x:v>2.75</x:v>
      </x:c>
      <x:c r="GC23" s="1977">
        <x:v>-1.875</x:v>
      </x:c>
      <x:c r="GD23" s="1978">
        <x:v>-0.25</x:v>
      </x:c>
      <x:c r="GE23" s="1979">
        <x:v>0.26169539219134702</x:v>
      </x:c>
      <x:c r="GF23" s="1980" t="str">
        <x:f t="shared" si="96"/>
        <x:v>J299</x:v>
      </x:c>
      <x:c r="GG23" s="1453"/>
      <x:c r="GH23" s="1454"/>
      <x:c r="GI23" s="1453"/>
      <x:c r="GJ23" s="1454"/>
      <x:c r="GK23" s="533">
        <x:f t="shared" si="97"/>
        <x:v>708.625</x:v>
      </x:c>
      <x:c r="GL23" s="534">
        <x:f t="shared" si="98"/>
        <x:v>708.79348626656247</x:v>
      </x:c>
      <x:c r="GM23" s="535">
        <x:f>IF(ABS(GK23-GL23)&gt;='Job Info.'!$L$22,ABS(GK23-GL23),0)</x:f>
        <x:v>0</x:v>
      </x:c>
      <x:c r="HA23" s="1658" t="s">
        <x:v>1623</x:v>
      </x:c>
      <x:c r="HB23" s="1659">
        <x:v>1</x:v>
      </x:c>
      <x:c r="HC23" s="1659" t="s">
        <x:v>1978</x:v>
      </x:c>
      <x:c r="HD23" s="1660">
        <x:v>59</x:v>
      </x:c>
      <x:c r="HE23" s="1661">
        <x:v>0.625</x:v>
      </x:c>
      <x:c r="HF23" s="1659" t="s">
        <x:v>117</x:v>
      </x:c>
      <x:c r="HG23" s="1659" t="s">
        <x:v>117</x:v>
      </x:c>
      <x:c r="HH23" s="1659" t="s">
        <x:v>117</x:v>
      </x:c>
      <x:c r="HI23" s="1662">
        <x:v>0</x:v>
      </x:c>
      <x:c r="HJ23" s="1659">
        <x:v>1.375</x:v>
      </x:c>
      <x:c r="HK23" s="1659" t="s">
        <x:v>114</x:v>
      </x:c>
      <x:c r="HL23" s="1659">
        <x:v>3</x:v>
      </x:c>
      <x:c r="HM23" s="1659">
        <x:v>3</x:v>
      </x:c>
      <x:c r="HN23" s="1659" t="s">
        <x:v>117</x:v>
      </x:c>
      <x:c r="HO23" s="1659" t="s">
        <x:v>117</x:v>
      </x:c>
      <x:c r="HP23" s="1659" t="s">
        <x:v>117</x:v>
      </x:c>
      <x:c r="HQ23" s="1662" t="s">
        <x:v>117</x:v>
      </x:c>
      <x:c r="HR23" s="1659" t="s">
        <x:v>117</x:v>
      </x:c>
      <x:c r="HS23" s="1659" t="s">
        <x:v>117</x:v>
      </x:c>
      <x:c r="HT23" s="1659" t="s">
        <x:v>117</x:v>
      </x:c>
      <x:c r="HU23" s="1659" t="s">
        <x:v>117</x:v>
      </x:c>
      <x:c r="HV23" s="1659" t="s">
        <x:v>117</x:v>
      </x:c>
      <x:c r="HW23" s="1661" t="s">
        <x:v>117</x:v>
      </x:c>
      <x:c r="HX23" s="1661">
        <x:v>0</x:v>
      </x:c>
      <x:c r="HY23" s="1661" t="s">
        <x:v>117</x:v>
      </x:c>
      <x:c r="HZ23" s="1661" t="s">
        <x:v>117</x:v>
      </x:c>
      <x:c r="IA23" s="1661" t="s">
        <x:v>2281</x:v>
      </x:c>
      <x:c r="IB23" s="1661"/>
      <x:c r="IC23" s="1661"/>
      <x:c r="ID23" s="1661"/>
      <x:c r="IE23" s="1661"/>
      <x:c r="IF23" s="1663"/>
    </x:row>
    <x:row r="24" spans="1:240" ht="12.6" customHeight="1" x14ac:dyDescent="0.25">
      <x:c r="A24" s="1264" t="s">
        <x:v>1624</x:v>
      </x:c>
      <x:c r="B24" s="1265">
        <x:v>2</x:v>
      </x:c>
      <x:c r="C24" s="1265" t="s">
        <x:v>1978</x:v>
      </x:c>
      <x:c r="D24" s="1261">
        <x:v>59</x:v>
      </x:c>
      <x:c r="E24" s="1366">
        <x:v>0.625</x:v>
      </x:c>
      <x:c r="F24" s="1328" t="str">
        <x:f t="shared" si="102"/>
        <x:v/>
      </x:c>
      <x:c r="G24" s="1262" t="str">
        <x:f t="shared" si="103"/>
        <x:v/>
      </x:c>
      <x:c r="H24" s="1266" t="str">
        <x:f t="shared" si="104"/>
        <x:v/>
      </x:c>
      <x:c r="I24" s="1261">
        <x:v>0</x:v>
      </x:c>
      <x:c r="J24" s="1262">
        <x:v>1.375</x:v>
      </x:c>
      <x:c r="K24" s="1370" t="s">
        <x:v>114</x:v>
      </x:c>
      <x:c r="L24" s="1327">
        <x:v>3</x:v>
      </x:c>
      <x:c r="M24" s="1329">
        <x:v>3</x:v>
      </x:c>
      <x:c r="N24" s="1263" t="str">
        <x:f t="shared" si="1"/>
        <x:v/>
      </x:c>
      <x:c r="O24" s="1262" t="str">
        <x:f t="shared" si="2"/>
        <x:v/>
      </x:c>
      <x:c r="P24" s="1260" t="str">
        <x:f t="shared" si="3"/>
        <x:v/>
      </x:c>
      <x:c r="Q24" s="1261" t="str">
        <x:f t="shared" si="4"/>
        <x:v/>
      </x:c>
      <x:c r="R24" s="1262" t="str">
        <x:f t="shared" si="5"/>
        <x:v/>
      </x:c>
      <x:c r="S24" s="1375" t="str">
        <x:f t="shared" si="6"/>
        <x:v/>
      </x:c>
      <x:c r="T24" s="1328">
        <x:v>0</x:v>
      </x:c>
      <x:c r="U24" s="1262">
        <x:v>1.125</x:v>
      </x:c>
      <x:c r="V24" s="1261">
        <x:v>0</x:v>
      </x:c>
      <x:c r="W24" s="1262">
        <x:v>2.25</x:v>
      </x:c>
      <x:c r="X24" s="1329">
        <x:v>4</x:v>
      </x:c>
      <x:c r="Y24" s="1377" t="str">
        <x:f t="shared" si="7"/>
        <x:v/>
      </x:c>
      <x:c r="Z24" s="1378" t="str">
        <x:f t="shared" si="8"/>
        <x:v/>
      </x:c>
      <x:c r="AA24" s="2159" t="s">
        <x:v>2281</x:v>
      </x:c>
      <x:c r="AC24" s="1226" t="b">
        <x:v>0</x:v>
      </x:c>
      <x:c r="AD24" s="525">
        <x:f t="shared" si="9"/>
        <x:v>0</x:v>
      </x:c>
      <x:c r="AE24" s="526">
        <x:f t="shared" si="10"/>
        <x:v>2</x:v>
      </x:c>
      <x:c r="AF24" s="526">
        <x:f t="shared" si="11"/>
        <x:v>0</x:v>
      </x:c>
      <x:c r="AG24" s="526">
        <x:f t="shared" si="12"/>
        <x:v>0</x:v>
      </x:c>
      <x:c r="AH24" s="527">
        <x:f t="shared" si="13"/>
        <x:v>0</x:v>
      </x:c>
      <x:c r="AI24" s="528" t="b">
        <x:v>0</x:v>
      </x:c>
      <x:c r="AJ24" s="284">
        <x:f t="shared" si="14"/>
        <x:v>36</x:v>
      </x:c>
      <x:c r="AK24" s="1063" t="str">
        <x:f t="shared" si="15"/>
        <x:v>LH</x:v>
      </x:c>
      <x:c r="AL24" s="1202" t="str">
        <x:f t="shared" si="16"/>
        <x:v/>
      </x:c>
      <x:c r="AM24" s="1063">
        <x:f t="shared" si="17"/>
        <x:v>270</x:v>
      </x:c>
      <x:c r="AN24" s="1063">
        <x:f t="shared" si="18"/>
        <x:v>120</x:v>
      </x:c>
      <x:c r="AO24" s="1063" t="str">
        <x:f t="shared" si="19"/>
        <x:v/>
      </x:c>
      <x:c r="AP24" s="1063" t="b">
        <x:f>IF(ISERROR(AJ24),FALSE,IF(OR(AJ24=0,ISERROR(AL24),ISERROR(AM24),ISERROR(AN24),ISERROR(AO24)),FALSE,IF(AL24&lt;&gt;"",IF(ISERROR(VLOOKUP(SUBSTITUTE(SUBSTITUTE(C24,"R",""),"A",""),TblJoistSize!$A:$A,1,FALSE)),FALSE,TRUE),TRUE)))</x:f>
        <x:v>1</x:v>
      </x:c>
      <x:c r="AQ24" s="1305">
        <x:f t="shared" si="20"/>
        <x:v>6</x:v>
      </x:c>
      <x:c r="AR24" s="1305" t="b">
        <x:f t="shared" si="21"/>
        <x:v>1</x:v>
      </x:c>
      <x:c r="AS24" s="1305">
        <x:f t="shared" si="22"/>
        <x:v>7.375</x:v>
      </x:c>
      <x:c r="AT24" s="1305" t="b">
        <x:f t="shared" si="23"/>
        <x:v>1</x:v>
      </x:c>
      <x:c r="AU24" s="1203" t="str">
        <x:f t="shared" si="24"/>
        <x:v>LH</x:v>
      </x:c>
      <x:c r="AV24" s="1063" t="str">
        <x:f t="shared" si="25"/>
        <x:v/>
      </x:c>
      <x:c r="AW24" s="1063" t="str">
        <x:f t="shared" si="26"/>
        <x:v>LH</x:v>
      </x:c>
      <x:c r="AX24" s="1063" t="str">
        <x:f t="shared" si="99"/>
        <x:v>TJ300</x:v>
      </x:c>
      <x:c r="AY24" s="1306" t="b">
        <x:f t="shared" si="27"/>
        <x:v>0</x:v>
      </x:c>
      <x:c r="AZ24" s="1090" t="b">
        <x:f t="shared" si="28"/>
        <x:v>0</x:v>
      </x:c>
      <x:c r="BA24" s="674"/>
      <x:c r="BB24" s="842"/>
      <x:c r="BC24" s="894"/>
      <x:c r="BD24" s="926"/>
      <x:c r="BE24" s="927"/>
      <x:c r="BF24" s="928"/>
      <x:c r="BG24" s="901"/>
      <x:c r="BH24" s="1244"/>
      <x:c r="BI24" s="1245"/>
      <x:c r="BJ24" s="929"/>
      <x:c r="BK24" s="902"/>
      <x:c r="BL24" s="903"/>
      <x:c r="BM24" s="904"/>
      <x:c r="BN24" s="905"/>
      <x:c r="BO24" s="901"/>
      <x:c r="BP24" s="902"/>
      <x:c r="BQ24" s="903"/>
      <x:c r="BR24" s="929"/>
      <x:c r="BS24" s="902"/>
      <x:c r="BT24" s="903"/>
      <x:c r="BU24" s="904"/>
      <x:c r="BV24" s="905"/>
      <x:c r="BW24" s="906"/>
      <x:c r="BX24" s="930"/>
      <x:c r="BY24" s="931"/>
      <x:c r="BZ24" s="932"/>
      <x:c r="CA24" s="933"/>
      <x:c r="CB24" s="932"/>
      <x:c r="CC24" s="933"/>
      <x:c r="CD24" s="934" t="str">
        <x:f t="shared" si="29"/>
        <x:v/>
      </x:c>
      <x:c r="CE24" s="935" t="str">
        <x:f t="shared" si="30"/>
        <x:v/>
      </x:c>
      <x:c r="CF24" s="1149"/>
      <x:c r="CG24" s="1150"/>
      <x:c r="CH24" s="738" t="str">
        <x:f t="shared" si="31"/>
        <x:v/>
      </x:c>
      <x:c r="CI24" s="739" t="str">
        <x:f t="shared" si="32"/>
        <x:v/>
      </x:c>
      <x:c r="CJ24" s="740" t="str">
        <x:f t="shared" si="33"/>
        <x:v/>
      </x:c>
      <x:c r="CK24" s="741" t="str">
        <x:f t="shared" si="34"/>
        <x:v/>
      </x:c>
      <x:c r="CL24" s="742" t="str">
        <x:f t="shared" si="35"/>
        <x:v/>
      </x:c>
      <x:c r="CM24" s="743" t="str">
        <x:f t="shared" si="36"/>
        <x:v/>
      </x:c>
      <x:c r="CN24" s="744" t="str">
        <x:f t="shared" si="37"/>
        <x:v/>
      </x:c>
      <x:c r="CO24" s="745" t="str">
        <x:f t="shared" si="38"/>
        <x:v/>
      </x:c>
      <x:c r="CP24" s="762" t="str">
        <x:f t="shared" si="39"/>
        <x:v/>
      </x:c>
      <x:c r="CQ24" s="763" t="str">
        <x:f t="shared" si="40"/>
        <x:v/>
      </x:c>
      <x:c r="CR24" s="953">
        <x:f t="shared" si="41"/>
        <x:v>5</x:v>
      </x:c>
      <x:c r="CS24" s="954">
        <x:f t="shared" si="42"/>
        <x:v>5</x:v>
      </x:c>
      <x:c r="CU24" s="1048" t="str">
        <x:f>IF(BG24="","",VLOOKUP(BG24,SectInfo!$B:$N,12,FALSE))</x:f>
        <x:v/>
      </x:c>
      <x:c r="CV24" s="1046" t="str">
        <x:f>IF(BG24="","",IF(ISBLANK(BZ24),VLOOKUP(BG24,SectInfo!$B:$N,13,FALSE),BZ24))</x:f>
        <x:v/>
      </x:c>
      <x:c r="CW24" s="1046" t="str">
        <x:f>IF(BG24="","",IF(VLOOKUP(BG24,SectInfo!$B:$N,5,FALSE)="","R",UPPER(VLOOKUP(BG24,SectInfo!$B:$N,5,FALSE))))</x:f>
        <x:v/>
      </x:c>
      <x:c r="CX24" s="1046" t="str">
        <x:f>IF(BG24="","",IF(ISBLANK(CF24),VLOOKUP(BG24,SectInfo!$B:$N,6,FALSE),CF24))</x:f>
        <x:v/>
      </x:c>
      <x:c r="CY24" s="1276" t="str">
        <x:f>IF(BG24="","",IF(VLOOKUP(BG24,SectInfo!$B:$N,10,FALSE)="","",(VLOOKUP(BG24,SectInfo!$B:$N,10,FALSE)*-1)))</x:f>
        <x:v/>
      </x:c>
      <x:c r="CZ24" s="1443" t="str">
        <x:f>IF(BG24="","",IF(VLOOKUP(BG24,SectInfo!$B:$N,11,FALSE)="","2",(VLOOKUP(BG24,SectInfo!$B:$N,11,FALSE))))</x:f>
        <x:v/>
      </x:c>
      <x:c r="DA24" s="1046" t="str">
        <x:f>IF(BG24="","",IF(VLOOKUP(BG24,SectInfo!$B:$N,7,FALSE)="","",(VLOOKUP(BG24,SectInfo!$B:$N,7,FALSE)*-1)))</x:f>
        <x:v/>
      </x:c>
      <x:c r="DB24" s="1046" t="str">
        <x:f>IF(BG24="","",IF(VLOOKUP(BG24,SectInfo!$B:$N,8,FALSE)="",VLOOKUP(AU24,$DF$2:$DN$9,6,FALSE),(VLOOKUP(BG24,SectInfo!$B:$N,8,FALSE))))</x:f>
        <x:v/>
      </x:c>
      <x:c r="DC24" s="1046" t="str">
        <x:f>IF(BG24="","",VLOOKUP(BG24,SectInfo!$B:$N,9,FALSE))</x:f>
        <x:v/>
      </x:c>
      <x:c r="DD24" s="1047">
        <x:f t="shared" si="43"/>
        <x:v>0</x:v>
      </x:c>
      <x:c r="DE24" s="1048" t="str">
        <x:f>IF(BO24="","",VLOOKUP(BO24,SectInfo!$B:$N,12,FALSE))</x:f>
        <x:v/>
      </x:c>
      <x:c r="DF24" s="1046" t="str">
        <x:f>IF(BO24="","",IF(ISBLANK(CA24),VLOOKUP(BO24,SectInfo!$B:$N,13,FALSE),CA24))</x:f>
        <x:v/>
      </x:c>
      <x:c r="DG24" s="1046" t="str">
        <x:f>IF(BO24="","",IF(VLOOKUP(BO24,SectInfo!$B:$N,5,FALSE)="","R",UPPER(VLOOKUP(BO24,SectInfo!$B:$N,5,FALSE))))</x:f>
        <x:v/>
      </x:c>
      <x:c r="DH24" s="1046" t="str">
        <x:f>IF(BO24="","",IF(ISBLANK(CG24),VLOOKUP(BO24,SectInfo!$B:$N,6,FALSE),CG24))</x:f>
        <x:v/>
      </x:c>
      <x:c r="DI24" s="1046" t="str">
        <x:f>IF(BO24="","",IF(VLOOKUP(BO24,SectInfo!$B:$N,10,FALSE)="","",(VLOOKUP(BO24,SectInfo!$B:$N,10,FALSE)*-1)))</x:f>
        <x:v/>
      </x:c>
      <x:c r="DJ24" s="1443" t="str">
        <x:f>IF(BO24="","",IF(VLOOKUP(BO24,SectInfo!$B:$N,11,FALSE)="","2",(VLOOKUP(BO24,SectInfo!$B:$N,11,FALSE))))</x:f>
        <x:v/>
      </x:c>
      <x:c r="DK24" s="1046" t="str">
        <x:f>IF(BO24="","",IF(VLOOKUP(BO24,SectInfo!$B:$N,7,FALSE)="","",(VLOOKUP(BO24,SectInfo!$B:$N,7,FALSE)*-1)))</x:f>
        <x:v/>
      </x:c>
      <x:c r="DL24" s="1046" t="str">
        <x:f>IF(BO24="","",IF(VLOOKUP(BO24,SectInfo!$B:$N,8,FALSE)="",VLOOKUP(AU24,$DF$2:$DN$9,6,FALSE),(VLOOKUP(BO24,SectInfo!$B:$N,8,FALSE))))</x:f>
        <x:v/>
      </x:c>
      <x:c r="DM24" s="1046" t="str">
        <x:f>IF(BO24="","",VLOOKUP(BO24,SectInfo!$B:$N,9,FALSE))</x:f>
        <x:v/>
      </x:c>
      <x:c r="DN24" s="1047">
        <x:f t="shared" si="44"/>
        <x:v>0</x:v>
      </x:c>
      <x:c r="DO24" s="1049">
        <x:f t="shared" si="45"/>
        <x:v>0</x:v>
      </x:c>
      <x:c r="DP24" s="1053" t="str">
        <x:f t="shared" si="46"/>
        <x:v/>
      </x:c>
      <x:c r="DQ24" s="1053" t="str">
        <x:f t="shared" si="47"/>
        <x:v/>
      </x:c>
      <x:c r="DR24" s="1053" t="str">
        <x:f t="shared" si="48"/>
        <x:v/>
      </x:c>
      <x:c r="DS24" s="1052">
        <x:f t="shared" si="49"/>
        <x:v>0</x:v>
      </x:c>
      <x:c r="DT24" s="1052">
        <x:f t="shared" si="50"/>
        <x:v>0</x:v>
      </x:c>
      <x:c r="DU24" s="1052" t="str">
        <x:f t="shared" si="51"/>
        <x:v/>
      </x:c>
      <x:c r="DV24" s="1053" t="str">
        <x:f t="shared" si="52"/>
        <x:v/>
      </x:c>
      <x:c r="DW24" s="1053" t="str">
        <x:f t="shared" si="53"/>
        <x:v/>
      </x:c>
      <x:c r="DX24" s="1269">
        <x:f t="shared" si="54"/>
        <x:v>0</x:v>
      </x:c>
      <x:c r="DY24" s="1053">
        <x:f t="shared" si="55"/>
        <x:v>0</x:v>
      </x:c>
      <x:c r="DZ24" s="1052">
        <x:f t="shared" si="56"/>
        <x:v>0</x:v>
      </x:c>
      <x:c r="EA24" s="1052" t="str">
        <x:f t="shared" si="57"/>
        <x:v/>
      </x:c>
      <x:c r="EB24" s="1053" t="str">
        <x:f t="shared" si="58"/>
        <x:v/>
      </x:c>
      <x:c r="EC24" s="1053" t="str">
        <x:f t="shared" si="59"/>
        <x:v/>
      </x:c>
      <x:c r="ED24" s="1269">
        <x:f t="shared" si="60"/>
        <x:v>0</x:v>
      </x:c>
      <x:c r="EE24" s="1090" t="str">
        <x:f t="shared" si="61"/>
        <x:v/>
      </x:c>
      <x:c r="EF24" s="1053" t="str">
        <x:f t="shared" si="62"/>
        <x:v/>
      </x:c>
      <x:c r="EG24" s="1053" t="str">
        <x:f t="shared" si="63"/>
        <x:v/>
      </x:c>
      <x:c r="EH24" s="1053" t="str">
        <x:f t="shared" si="64"/>
        <x:v>ERR</x:v>
      </x:c>
      <x:c r="EI24" s="1053" t="str">
        <x:f t="shared" si="65"/>
        <x:v>ERR</x:v>
      </x:c>
      <x:c r="EJ24" s="1053" t="str">
        <x:f t="shared" si="66"/>
        <x:v/>
      </x:c>
      <x:c r="EK24" s="1053" t="str">
        <x:f t="shared" si="66"/>
        <x:v/>
      </x:c>
      <x:c r="EL24" s="1090" t="str">
        <x:f t="shared" si="67"/>
        <x:v/>
      </x:c>
      <x:c r="EM24" s="1053" t="str">
        <x:f t="shared" si="68"/>
        <x:v/>
      </x:c>
      <x:c r="EN24" s="1053" t="str">
        <x:f t="shared" si="69"/>
        <x:v/>
      </x:c>
      <x:c r="EO24" s="1053" t="str">
        <x:f t="shared" si="70"/>
        <x:v>ERR</x:v>
      </x:c>
      <x:c r="EP24" s="1053" t="str">
        <x:f t="shared" si="71"/>
        <x:v>ERR</x:v>
      </x:c>
      <x:c r="EQ24" s="1053" t="str">
        <x:f t="shared" si="72"/>
        <x:v/>
      </x:c>
      <x:c r="ER24" s="1053" t="str">
        <x:f t="shared" si="72"/>
        <x:v/>
      </x:c>
      <x:c r="ES24" s="1053" t="str">
        <x:f t="shared" si="73"/>
        <x:v/>
      </x:c>
      <x:c r="ET24" s="1053" t="str">
        <x:f t="shared" si="74"/>
        <x:v/>
      </x:c>
      <x:c r="EU24" s="1061">
        <x:f t="shared" si="75"/>
        <x:v>4</x:v>
      </x:c>
      <x:c r="EV24" s="1055" t="str">
        <x:f t="shared" si="76"/>
        <x:v/>
      </x:c>
      <x:c r="EW24" s="1061"/>
      <x:c r="EX24" s="1061" t="str">
        <x:f>IF(AND(CU24="G", ISBLANK(BK24), ISBLANK(BL24)),VLOOKUP(MIN(BH24:BI24),TblJoistSize!$M$3:$N$10,2),IF(OR(CU24="B",CU24="G"),MIN(BK24:BL24),""))</x:f>
        <x:v/>
      </x:c>
      <x:c r="EY24" s="1061" t="str">
        <x:f>IF(AND(CU24="G", ISBLANK(BK24), ISBLANK(BL24)),VLOOKUP(MAX(BH24:BI24),TblJoistSize!$M$3:$N$10,2),IF(OR(CU24="B",CU24="G"),MAX(BK24:BL24),""))</x:f>
        <x:v/>
      </x:c>
      <x:c r="EZ24" s="1061" t="str">
        <x:f t="shared" si="77"/>
        <x:v/>
      </x:c>
      <x:c r="FA24" s="1061" t="str">
        <x:f>IF(AND(DE24="G", ISBLANK(BS24), ISBLANK(BT24)),VLOOKUP(MIN(BP24:BQ24),TblJoistSize!$M$3:$N$10,2),IF(OR(DE24="B", DE24="G"),MIN(BS24:BT24),""))</x:f>
        <x:v/>
      </x:c>
      <x:c r="FB24" s="1061" t="str">
        <x:f>IF(AND(DE24="G", ISBLANK(BS24), ISBLANK(BT24)),VLOOKUP(MAX(BP24:BQ24),TblJoistSize!$M$3:$N$10,2),IF(OR(DE24="B", DE24="G"),MAX(BS24:BT24),""))</x:f>
        <x:v/>
      </x:c>
      <x:c r="FC24" s="1061" t="str">
        <x:f t="shared" si="78"/>
        <x:v/>
      </x:c>
      <x:c r="FD24" s="1052">
        <x:f t="shared" si="100"/>
        <x:v>0</x:v>
      </x:c>
      <x:c r="FE24" s="1052">
        <x:f t="shared" si="79"/>
        <x:v>0</x:v>
      </x:c>
      <x:c r="FF24" s="1052">
        <x:f t="shared" si="80"/>
        <x:v>0</x:v>
      </x:c>
      <x:c r="FG24" s="1052" t="str">
        <x:f t="shared" si="81"/>
        <x:v/>
      </x:c>
      <x:c r="FH24" s="1053" t="str">
        <x:f t="shared" si="82"/>
        <x:v/>
      </x:c>
      <x:c r="FI24" s="1052">
        <x:f t="shared" si="101"/>
        <x:v>0</x:v>
      </x:c>
      <x:c r="FJ24" s="1052">
        <x:f t="shared" si="83"/>
        <x:v>0</x:v>
      </x:c>
      <x:c r="FK24" s="1052">
        <x:f t="shared" si="84"/>
        <x:v>0</x:v>
      </x:c>
      <x:c r="FL24" s="1052" t="str">
        <x:f t="shared" si="85"/>
        <x:v/>
      </x:c>
      <x:c r="FM24" s="1053" t="str">
        <x:f t="shared" si="86"/>
        <x:v/>
      </x:c>
      <x:c r="FN24" s="1053" t="e">
        <x:f t="shared" si="87"/>
        <x:v>#VALUE!</x:v>
      </x:c>
      <x:c r="FO24" s="1062" t="e">
        <x:f t="shared" si="88"/>
        <x:v>#VALUE!</x:v>
      </x:c>
      <x:c r="FP24" s="1062" t="e">
        <x:f t="shared" si="89"/>
        <x:v>#VALUE!</x:v>
      </x:c>
      <x:c r="FQ24" s="1063" t="e">
        <x:f t="shared" si="90"/>
        <x:v>#VALUE!</x:v>
      </x:c>
      <x:c r="FR24" s="1064" t="e">
        <x:f t="shared" si="91"/>
        <x:v>#VALUE!</x:v>
      </x:c>
      <x:c r="FS24" s="1065" t="str">
        <x:f t="shared" si="92"/>
        <x:v/>
      </x:c>
      <x:c r="FT24" s="1066" t="str">
        <x:f t="shared" si="93"/>
        <x:v/>
      </x:c>
      <x:c r="FU24" s="1105">
        <x:f t="shared" si="94"/>
        <x:v>0</x:v>
      </x:c>
      <x:c r="FV24" s="1106">
        <x:f t="shared" si="95"/>
        <x:v>0</x:v>
      </x:c>
      <x:c r="GA24" s="1975">
        <x:v>59</x:v>
      </x:c>
      <x:c r="GB24" s="1976">
        <x:v>2.75</x:v>
      </x:c>
      <x:c r="GC24" s="1977">
        <x:v>-1.875</x:v>
      </x:c>
      <x:c r="GD24" s="1978">
        <x:v>-0.25</x:v>
      </x:c>
      <x:c r="GE24" s="1979">
        <x:v>0.26169539219134702</x:v>
      </x:c>
      <x:c r="GF24" s="1980" t="str">
        <x:f t="shared" si="96"/>
        <x:v>TJ300</x:v>
      </x:c>
      <x:c r="GG24" s="1453"/>
      <x:c r="GH24" s="1454"/>
      <x:c r="GI24" s="1453"/>
      <x:c r="GJ24" s="1454"/>
      <x:c r="GK24" s="533">
        <x:f t="shared" si="97"/>
        <x:v>708.625</x:v>
      </x:c>
      <x:c r="GL24" s="534">
        <x:f t="shared" si="98"/>
        <x:v>708.79348626656247</x:v>
      </x:c>
      <x:c r="GM24" s="535">
        <x:f>IF(ABS(GK24-GL24)&gt;='Job Info.'!$L$22,ABS(GK24-GL24),0)</x:f>
        <x:v>0</x:v>
      </x:c>
      <x:c r="HA24" s="1658" t="s">
        <x:v>1624</x:v>
      </x:c>
      <x:c r="HB24" s="1659">
        <x:v>2</x:v>
      </x:c>
      <x:c r="HC24" s="1659" t="s">
        <x:v>1978</x:v>
      </x:c>
      <x:c r="HD24" s="1660">
        <x:v>59</x:v>
      </x:c>
      <x:c r="HE24" s="1661">
        <x:v>0.625</x:v>
      </x:c>
      <x:c r="HF24" s="1659" t="s">
        <x:v>117</x:v>
      </x:c>
      <x:c r="HG24" s="1659" t="s">
        <x:v>117</x:v>
      </x:c>
      <x:c r="HH24" s="1659" t="s">
        <x:v>117</x:v>
      </x:c>
      <x:c r="HI24" s="1662">
        <x:v>0</x:v>
      </x:c>
      <x:c r="HJ24" s="1659">
        <x:v>1.375</x:v>
      </x:c>
      <x:c r="HK24" s="1659" t="s">
        <x:v>114</x:v>
      </x:c>
      <x:c r="HL24" s="1659">
        <x:v>3</x:v>
      </x:c>
      <x:c r="HM24" s="1659">
        <x:v>3</x:v>
      </x:c>
      <x:c r="HN24" s="1659" t="s">
        <x:v>117</x:v>
      </x:c>
      <x:c r="HO24" s="1659" t="s">
        <x:v>117</x:v>
      </x:c>
      <x:c r="HP24" s="1659" t="s">
        <x:v>117</x:v>
      </x:c>
      <x:c r="HQ24" s="1662" t="s">
        <x:v>117</x:v>
      </x:c>
      <x:c r="HR24" s="1659" t="s">
        <x:v>117</x:v>
      </x:c>
      <x:c r="HS24" s="1659" t="s">
        <x:v>117</x:v>
      </x:c>
      <x:c r="HT24" s="1659">
        <x:v>0</x:v>
      </x:c>
      <x:c r="HU24" s="1659">
        <x:v>1.125</x:v>
      </x:c>
      <x:c r="HV24" s="1659">
        <x:v>0</x:v>
      </x:c>
      <x:c r="HW24" s="1661">
        <x:v>2.25</x:v>
      </x:c>
      <x:c r="HX24" s="1661">
        <x:v>4</x:v>
      </x:c>
      <x:c r="HY24" s="1661" t="s">
        <x:v>117</x:v>
      </x:c>
      <x:c r="HZ24" s="1661" t="s">
        <x:v>117</x:v>
      </x:c>
      <x:c r="IA24" s="1661" t="s">
        <x:v>2281</x:v>
      </x:c>
      <x:c r="IB24" s="1661"/>
      <x:c r="IC24" s="1661"/>
      <x:c r="ID24" s="1661"/>
      <x:c r="IE24" s="1661"/>
      <x:c r="IF24" s="1663"/>
    </x:row>
    <x:row r="25" spans="1:240" ht="12.6" customHeight="1" x14ac:dyDescent="0.25">
      <x:c r="A25" s="1264" t="s">
        <x:v>1625</x:v>
      </x:c>
      <x:c r="B25" s="1265">
        <x:v>1</x:v>
      </x:c>
      <x:c r="C25" s="1265" t="s">
        <x:v>1978</x:v>
      </x:c>
      <x:c r="D25" s="1261">
        <x:v>59</x:v>
      </x:c>
      <x:c r="E25" s="1366">
        <x:v>0.625</x:v>
      </x:c>
      <x:c r="F25" s="1328" t="str">
        <x:f t="shared" si="102"/>
        <x:v/>
      </x:c>
      <x:c r="G25" s="1262" t="str">
        <x:f t="shared" si="103"/>
        <x:v/>
      </x:c>
      <x:c r="H25" s="1266" t="str">
        <x:f t="shared" si="104"/>
        <x:v/>
      </x:c>
      <x:c r="I25" s="1261">
        <x:v>0</x:v>
      </x:c>
      <x:c r="J25" s="1262">
        <x:v>1.375</x:v>
      </x:c>
      <x:c r="K25" s="1370" t="s">
        <x:v>114</x:v>
      </x:c>
      <x:c r="L25" s="1327">
        <x:v>3</x:v>
      </x:c>
      <x:c r="M25" s="1329">
        <x:v>3</x:v>
      </x:c>
      <x:c r="N25" s="1263" t="str">
        <x:f t="shared" si="1"/>
        <x:v/>
      </x:c>
      <x:c r="O25" s="1262" t="str">
        <x:f t="shared" si="2"/>
        <x:v/>
      </x:c>
      <x:c r="P25" s="1260" t="str">
        <x:f t="shared" si="3"/>
        <x:v/>
      </x:c>
      <x:c r="Q25" s="1261" t="str">
        <x:f t="shared" si="4"/>
        <x:v/>
      </x:c>
      <x:c r="R25" s="1262" t="str">
        <x:f t="shared" si="5"/>
        <x:v/>
      </x:c>
      <x:c r="S25" s="1375" t="str">
        <x:f t="shared" si="6"/>
        <x:v/>
      </x:c>
      <x:c r="T25" s="1328" t="str">
        <x:f t="shared" si="105"/>
        <x:v/>
      </x:c>
      <x:c r="U25" s="1262" t="str">
        <x:f t="shared" si="106"/>
        <x:v/>
      </x:c>
      <x:c r="V25" s="1261" t="str">
        <x:f t="shared" si="107"/>
        <x:v/>
      </x:c>
      <x:c r="W25" s="1262" t="str">
        <x:f t="shared" si="108"/>
        <x:v/>
      </x:c>
      <x:c r="X25" s="1329">
        <x:f t="shared" si="109"/>
        <x:v>0</x:v>
      </x:c>
      <x:c r="Y25" s="1377" t="str">
        <x:f t="shared" si="7"/>
        <x:v/>
      </x:c>
      <x:c r="Z25" s="1378" t="str">
        <x:f t="shared" si="8"/>
        <x:v/>
      </x:c>
      <x:c r="AA25" s="2159" t="s">
        <x:v>2282</x:v>
      </x:c>
      <x:c r="AC25" s="1226" t="b">
        <x:v>0</x:v>
      </x:c>
      <x:c r="AD25" s="525">
        <x:f t="shared" si="9"/>
        <x:v>0</x:v>
      </x:c>
      <x:c r="AE25" s="526">
        <x:f t="shared" si="10"/>
        <x:v>1</x:v>
      </x:c>
      <x:c r="AF25" s="526">
        <x:f t="shared" si="11"/>
        <x:v>0</x:v>
      </x:c>
      <x:c r="AG25" s="526">
        <x:f t="shared" si="12"/>
        <x:v>0</x:v>
      </x:c>
      <x:c r="AH25" s="527">
        <x:f t="shared" si="13"/>
        <x:v>0</x:v>
      </x:c>
      <x:c r="AI25" s="528" t="b">
        <x:v>0</x:v>
      </x:c>
      <x:c r="AJ25" s="284">
        <x:f t="shared" si="14"/>
        <x:v>36</x:v>
      </x:c>
      <x:c r="AK25" s="1063" t="str">
        <x:f t="shared" si="15"/>
        <x:v>LH</x:v>
      </x:c>
      <x:c r="AL25" s="1202" t="str">
        <x:f t="shared" si="16"/>
        <x:v/>
      </x:c>
      <x:c r="AM25" s="1063">
        <x:f t="shared" si="17"/>
        <x:v>270</x:v>
      </x:c>
      <x:c r="AN25" s="1063">
        <x:f t="shared" si="18"/>
        <x:v>120</x:v>
      </x:c>
      <x:c r="AO25" s="1063" t="str">
        <x:f t="shared" si="19"/>
        <x:v/>
      </x:c>
      <x:c r="AP25" s="1063" t="b">
        <x:f>IF(ISERROR(AJ25),FALSE,IF(OR(AJ25=0,ISERROR(AL25),ISERROR(AM25),ISERROR(AN25),ISERROR(AO25)),FALSE,IF(AL25&lt;&gt;"",IF(ISERROR(VLOOKUP(SUBSTITUTE(SUBSTITUTE(C25,"R",""),"A",""),TblJoistSize!$A:$A,1,FALSE)),FALSE,TRUE),TRUE)))</x:f>
        <x:v>1</x:v>
      </x:c>
      <x:c r="AQ25" s="1305">
        <x:f t="shared" si="20"/>
        <x:v>6</x:v>
      </x:c>
      <x:c r="AR25" s="1305" t="b">
        <x:f t="shared" si="21"/>
        <x:v>0</x:v>
      </x:c>
      <x:c r="AS25" s="1305">
        <x:f t="shared" si="22"/>
        <x:v>7.375</x:v>
      </x:c>
      <x:c r="AT25" s="1305" t="b">
        <x:f t="shared" si="23"/>
        <x:v>0</x:v>
      </x:c>
      <x:c r="AU25" s="1203" t="str">
        <x:f t="shared" si="24"/>
        <x:v>LH</x:v>
      </x:c>
      <x:c r="AV25" s="1063" t="str">
        <x:f t="shared" si="25"/>
        <x:v/>
      </x:c>
      <x:c r="AW25" s="1063" t="str">
        <x:f t="shared" si="26"/>
        <x:v>LH</x:v>
      </x:c>
      <x:c r="AX25" s="1063" t="str">
        <x:f t="shared" si="99"/>
        <x:v>J301</x:v>
      </x:c>
      <x:c r="AY25" s="1306" t="b">
        <x:f t="shared" si="27"/>
        <x:v>0</x:v>
      </x:c>
      <x:c r="AZ25" s="1090" t="b">
        <x:f t="shared" si="28"/>
        <x:v>0</x:v>
      </x:c>
      <x:c r="BA25" s="674"/>
      <x:c r="BB25" s="842"/>
      <x:c r="BC25" s="894"/>
      <x:c r="BD25" s="926"/>
      <x:c r="BE25" s="927"/>
      <x:c r="BF25" s="928"/>
      <x:c r="BG25" s="901"/>
      <x:c r="BH25" s="1244"/>
      <x:c r="BI25" s="1245"/>
      <x:c r="BJ25" s="929"/>
      <x:c r="BK25" s="902"/>
      <x:c r="BL25" s="903"/>
      <x:c r="BM25" s="904"/>
      <x:c r="BN25" s="905"/>
      <x:c r="BO25" s="901"/>
      <x:c r="BP25" s="902"/>
      <x:c r="BQ25" s="903"/>
      <x:c r="BR25" s="929"/>
      <x:c r="BS25" s="902"/>
      <x:c r="BT25" s="903"/>
      <x:c r="BU25" s="904"/>
      <x:c r="BV25" s="905"/>
      <x:c r="BW25" s="906"/>
      <x:c r="BX25" s="930"/>
      <x:c r="BY25" s="931"/>
      <x:c r="BZ25" s="932"/>
      <x:c r="CA25" s="933"/>
      <x:c r="CB25" s="932"/>
      <x:c r="CC25" s="933"/>
      <x:c r="CD25" s="934" t="str">
        <x:f t="shared" si="29"/>
        <x:v/>
      </x:c>
      <x:c r="CE25" s="935" t="str">
        <x:f t="shared" si="30"/>
        <x:v/>
      </x:c>
      <x:c r="CF25" s="1149"/>
      <x:c r="CG25" s="1150"/>
      <x:c r="CH25" s="738" t="str">
        <x:f t="shared" si="31"/>
        <x:v/>
      </x:c>
      <x:c r="CI25" s="739" t="str">
        <x:f t="shared" si="32"/>
        <x:v/>
      </x:c>
      <x:c r="CJ25" s="740" t="str">
        <x:f t="shared" si="33"/>
        <x:v/>
      </x:c>
      <x:c r="CK25" s="741" t="str">
        <x:f t="shared" si="34"/>
        <x:v/>
      </x:c>
      <x:c r="CL25" s="742" t="str">
        <x:f t="shared" si="35"/>
        <x:v/>
      </x:c>
      <x:c r="CM25" s="743" t="str">
        <x:f t="shared" si="36"/>
        <x:v/>
      </x:c>
      <x:c r="CN25" s="744" t="str">
        <x:f t="shared" si="37"/>
        <x:v/>
      </x:c>
      <x:c r="CO25" s="745" t="str">
        <x:f t="shared" si="38"/>
        <x:v/>
      </x:c>
      <x:c r="CP25" s="762" t="str">
        <x:f t="shared" si="39"/>
        <x:v/>
      </x:c>
      <x:c r="CQ25" s="763" t="str">
        <x:f t="shared" si="40"/>
        <x:v/>
      </x:c>
      <x:c r="CR25" s="953">
        <x:f t="shared" si="41"/>
        <x:v>5</x:v>
      </x:c>
      <x:c r="CS25" s="954">
        <x:f t="shared" si="42"/>
        <x:v>5</x:v>
      </x:c>
      <x:c r="CU25" s="1048" t="str">
        <x:f>IF(BG25="","",VLOOKUP(BG25,SectInfo!$B:$N,12,FALSE))</x:f>
        <x:v/>
      </x:c>
      <x:c r="CV25" s="1046" t="str">
        <x:f>IF(BG25="","",IF(ISBLANK(BZ25),VLOOKUP(BG25,SectInfo!$B:$N,13,FALSE),BZ25))</x:f>
        <x:v/>
      </x:c>
      <x:c r="CW25" s="1046" t="str">
        <x:f>IF(BG25="","",IF(VLOOKUP(BG25,SectInfo!$B:$N,5,FALSE)="","R",UPPER(VLOOKUP(BG25,SectInfo!$B:$N,5,FALSE))))</x:f>
        <x:v/>
      </x:c>
      <x:c r="CX25" s="1046" t="str">
        <x:f>IF(BG25="","",IF(ISBLANK(CF25),VLOOKUP(BG25,SectInfo!$B:$N,6,FALSE),CF25))</x:f>
        <x:v/>
      </x:c>
      <x:c r="CY25" s="1276" t="str">
        <x:f>IF(BG25="","",IF(VLOOKUP(BG25,SectInfo!$B:$N,10,FALSE)="","",(VLOOKUP(BG25,SectInfo!$B:$N,10,FALSE)*-1)))</x:f>
        <x:v/>
      </x:c>
      <x:c r="CZ25" s="1443" t="str">
        <x:f>IF(BG25="","",IF(VLOOKUP(BG25,SectInfo!$B:$N,11,FALSE)="","2",(VLOOKUP(BG25,SectInfo!$B:$N,11,FALSE))))</x:f>
        <x:v/>
      </x:c>
      <x:c r="DA25" s="1046" t="str">
        <x:f>IF(BG25="","",IF(VLOOKUP(BG25,SectInfo!$B:$N,7,FALSE)="","",(VLOOKUP(BG25,SectInfo!$B:$N,7,FALSE)*-1)))</x:f>
        <x:v/>
      </x:c>
      <x:c r="DB25" s="1046" t="str">
        <x:f>IF(BG25="","",IF(VLOOKUP(BG25,SectInfo!$B:$N,8,FALSE)="",VLOOKUP(AU25,$DF$2:$DN$9,6,FALSE),(VLOOKUP(BG25,SectInfo!$B:$N,8,FALSE))))</x:f>
        <x:v/>
      </x:c>
      <x:c r="DC25" s="1046" t="str">
        <x:f>IF(BG25="","",VLOOKUP(BG25,SectInfo!$B:$N,9,FALSE))</x:f>
        <x:v/>
      </x:c>
      <x:c r="DD25" s="1047">
        <x:f t="shared" si="43"/>
        <x:v>0</x:v>
      </x:c>
      <x:c r="DE25" s="1048" t="str">
        <x:f>IF(BO25="","",VLOOKUP(BO25,SectInfo!$B:$N,12,FALSE))</x:f>
        <x:v/>
      </x:c>
      <x:c r="DF25" s="1046" t="str">
        <x:f>IF(BO25="","",IF(ISBLANK(CA25),VLOOKUP(BO25,SectInfo!$B:$N,13,FALSE),CA25))</x:f>
        <x:v/>
      </x:c>
      <x:c r="DG25" s="1046" t="str">
        <x:f>IF(BO25="","",IF(VLOOKUP(BO25,SectInfo!$B:$N,5,FALSE)="","R",UPPER(VLOOKUP(BO25,SectInfo!$B:$N,5,FALSE))))</x:f>
        <x:v/>
      </x:c>
      <x:c r="DH25" s="1046" t="str">
        <x:f>IF(BO25="","",IF(ISBLANK(CG25),VLOOKUP(BO25,SectInfo!$B:$N,6,FALSE),CG25))</x:f>
        <x:v/>
      </x:c>
      <x:c r="DI25" s="1046" t="str">
        <x:f>IF(BO25="","",IF(VLOOKUP(BO25,SectInfo!$B:$N,10,FALSE)="","",(VLOOKUP(BO25,SectInfo!$B:$N,10,FALSE)*-1)))</x:f>
        <x:v/>
      </x:c>
      <x:c r="DJ25" s="1443" t="str">
        <x:f>IF(BO25="","",IF(VLOOKUP(BO25,SectInfo!$B:$N,11,FALSE)="","2",(VLOOKUP(BO25,SectInfo!$B:$N,11,FALSE))))</x:f>
        <x:v/>
      </x:c>
      <x:c r="DK25" s="1046" t="str">
        <x:f>IF(BO25="","",IF(VLOOKUP(BO25,SectInfo!$B:$N,7,FALSE)="","",(VLOOKUP(BO25,SectInfo!$B:$N,7,FALSE)*-1)))</x:f>
        <x:v/>
      </x:c>
      <x:c r="DL25" s="1046" t="str">
        <x:f>IF(BO25="","",IF(VLOOKUP(BO25,SectInfo!$B:$N,8,FALSE)="",VLOOKUP(AU25,$DF$2:$DN$9,6,FALSE),(VLOOKUP(BO25,SectInfo!$B:$N,8,FALSE))))</x:f>
        <x:v/>
      </x:c>
      <x:c r="DM25" s="1046" t="str">
        <x:f>IF(BO25="","",VLOOKUP(BO25,SectInfo!$B:$N,9,FALSE))</x:f>
        <x:v/>
      </x:c>
      <x:c r="DN25" s="1047">
        <x:f t="shared" si="44"/>
        <x:v>0</x:v>
      </x:c>
      <x:c r="DO25" s="1049">
        <x:f t="shared" si="45"/>
        <x:v>0</x:v>
      </x:c>
      <x:c r="DP25" s="1053" t="str">
        <x:f t="shared" si="46"/>
        <x:v/>
      </x:c>
      <x:c r="DQ25" s="1053" t="str">
        <x:f t="shared" si="47"/>
        <x:v/>
      </x:c>
      <x:c r="DR25" s="1053" t="str">
        <x:f t="shared" si="48"/>
        <x:v/>
      </x:c>
      <x:c r="DS25" s="1052">
        <x:f t="shared" si="49"/>
        <x:v>0</x:v>
      </x:c>
      <x:c r="DT25" s="1052">
        <x:f t="shared" si="50"/>
        <x:v>0</x:v>
      </x:c>
      <x:c r="DU25" s="1052" t="str">
        <x:f t="shared" si="51"/>
        <x:v/>
      </x:c>
      <x:c r="DV25" s="1053" t="str">
        <x:f t="shared" si="52"/>
        <x:v/>
      </x:c>
      <x:c r="DW25" s="1053" t="str">
        <x:f t="shared" si="53"/>
        <x:v/>
      </x:c>
      <x:c r="DX25" s="1269">
        <x:f t="shared" si="54"/>
        <x:v>0</x:v>
      </x:c>
      <x:c r="DY25" s="1053">
        <x:f t="shared" si="55"/>
        <x:v>0</x:v>
      </x:c>
      <x:c r="DZ25" s="1052">
        <x:f t="shared" si="56"/>
        <x:v>0</x:v>
      </x:c>
      <x:c r="EA25" s="1052" t="str">
        <x:f t="shared" si="57"/>
        <x:v/>
      </x:c>
      <x:c r="EB25" s="1053" t="str">
        <x:f t="shared" si="58"/>
        <x:v/>
      </x:c>
      <x:c r="EC25" s="1053" t="str">
        <x:f t="shared" si="59"/>
        <x:v/>
      </x:c>
      <x:c r="ED25" s="1269">
        <x:f t="shared" si="60"/>
        <x:v>0</x:v>
      </x:c>
      <x:c r="EE25" s="1090" t="str">
        <x:f t="shared" si="61"/>
        <x:v/>
      </x:c>
      <x:c r="EF25" s="1053" t="str">
        <x:f t="shared" si="62"/>
        <x:v/>
      </x:c>
      <x:c r="EG25" s="1053" t="str">
        <x:f t="shared" si="63"/>
        <x:v/>
      </x:c>
      <x:c r="EH25" s="1053" t="str">
        <x:f t="shared" si="64"/>
        <x:v>ERR</x:v>
      </x:c>
      <x:c r="EI25" s="1053" t="str">
        <x:f t="shared" si="65"/>
        <x:v>ERR</x:v>
      </x:c>
      <x:c r="EJ25" s="1053" t="str">
        <x:f t="shared" si="66"/>
        <x:v/>
      </x:c>
      <x:c r="EK25" s="1053" t="str">
        <x:f t="shared" si="66"/>
        <x:v/>
      </x:c>
      <x:c r="EL25" s="1090" t="str">
        <x:f t="shared" si="67"/>
        <x:v/>
      </x:c>
      <x:c r="EM25" s="1053" t="str">
        <x:f t="shared" si="68"/>
        <x:v/>
      </x:c>
      <x:c r="EN25" s="1053" t="str">
        <x:f t="shared" si="69"/>
        <x:v/>
      </x:c>
      <x:c r="EO25" s="1053" t="str">
        <x:f t="shared" si="70"/>
        <x:v>ERR</x:v>
      </x:c>
      <x:c r="EP25" s="1053" t="str">
        <x:f t="shared" si="71"/>
        <x:v>ERR</x:v>
      </x:c>
      <x:c r="EQ25" s="1053" t="str">
        <x:f t="shared" si="72"/>
        <x:v/>
      </x:c>
      <x:c r="ER25" s="1053" t="str">
        <x:f t="shared" si="72"/>
        <x:v/>
      </x:c>
      <x:c r="ES25" s="1053" t="str">
        <x:f t="shared" si="73"/>
        <x:v/>
      </x:c>
      <x:c r="ET25" s="1053" t="str">
        <x:f t="shared" si="74"/>
        <x:v/>
      </x:c>
      <x:c r="EU25" s="1061">
        <x:f t="shared" si="75"/>
        <x:v>4</x:v>
      </x:c>
      <x:c r="EV25" s="1055" t="str">
        <x:f t="shared" si="76"/>
        <x:v/>
      </x:c>
      <x:c r="EW25" s="1061"/>
      <x:c r="EX25" s="1061" t="str">
        <x:f>IF(AND(CU25="G", ISBLANK(BK25), ISBLANK(BL25)),VLOOKUP(MIN(BH25:BI25),TblJoistSize!$M$3:$N$10,2),IF(OR(CU25="B",CU25="G"),MIN(BK25:BL25),""))</x:f>
        <x:v/>
      </x:c>
      <x:c r="EY25" s="1061" t="str">
        <x:f>IF(AND(CU25="G", ISBLANK(BK25), ISBLANK(BL25)),VLOOKUP(MAX(BH25:BI25),TblJoistSize!$M$3:$N$10,2),IF(OR(CU25="B",CU25="G"),MAX(BK25:BL25),""))</x:f>
        <x:v/>
      </x:c>
      <x:c r="EZ25" s="1061" t="str">
        <x:f t="shared" si="77"/>
        <x:v/>
      </x:c>
      <x:c r="FA25" s="1061" t="str">
        <x:f>IF(AND(DE25="G", ISBLANK(BS25), ISBLANK(BT25)),VLOOKUP(MIN(BP25:BQ25),TblJoistSize!$M$3:$N$10,2),IF(OR(DE25="B", DE25="G"),MIN(BS25:BT25),""))</x:f>
        <x:v/>
      </x:c>
      <x:c r="FB25" s="1061" t="str">
        <x:f>IF(AND(DE25="G", ISBLANK(BS25), ISBLANK(BT25)),VLOOKUP(MAX(BP25:BQ25),TblJoistSize!$M$3:$N$10,2),IF(OR(DE25="B", DE25="G"),MAX(BS25:BT25),""))</x:f>
        <x:v/>
      </x:c>
      <x:c r="FC25" s="1061" t="str">
        <x:f t="shared" si="78"/>
        <x:v/>
      </x:c>
      <x:c r="FD25" s="1052">
        <x:f t="shared" si="100"/>
        <x:v>0</x:v>
      </x:c>
      <x:c r="FE25" s="1052">
        <x:f t="shared" si="79"/>
        <x:v>0</x:v>
      </x:c>
      <x:c r="FF25" s="1052">
        <x:f t="shared" si="80"/>
        <x:v>0</x:v>
      </x:c>
      <x:c r="FG25" s="1052" t="str">
        <x:f t="shared" si="81"/>
        <x:v/>
      </x:c>
      <x:c r="FH25" s="1053" t="str">
        <x:f t="shared" si="82"/>
        <x:v/>
      </x:c>
      <x:c r="FI25" s="1052">
        <x:f t="shared" si="101"/>
        <x:v>0</x:v>
      </x:c>
      <x:c r="FJ25" s="1052">
        <x:f t="shared" si="83"/>
        <x:v>0</x:v>
      </x:c>
      <x:c r="FK25" s="1052">
        <x:f t="shared" si="84"/>
        <x:v>0</x:v>
      </x:c>
      <x:c r="FL25" s="1052" t="str">
        <x:f t="shared" si="85"/>
        <x:v/>
      </x:c>
      <x:c r="FM25" s="1053" t="str">
        <x:f t="shared" si="86"/>
        <x:v/>
      </x:c>
      <x:c r="FN25" s="1053" t="e">
        <x:f t="shared" si="87"/>
        <x:v>#VALUE!</x:v>
      </x:c>
      <x:c r="FO25" s="1062" t="e">
        <x:f t="shared" si="88"/>
        <x:v>#VALUE!</x:v>
      </x:c>
      <x:c r="FP25" s="1062" t="e">
        <x:f t="shared" si="89"/>
        <x:v>#VALUE!</x:v>
      </x:c>
      <x:c r="FQ25" s="1063" t="e">
        <x:f t="shared" si="90"/>
        <x:v>#VALUE!</x:v>
      </x:c>
      <x:c r="FR25" s="1064" t="e">
        <x:f t="shared" si="91"/>
        <x:v>#VALUE!</x:v>
      </x:c>
      <x:c r="FS25" s="1065" t="str">
        <x:f t="shared" si="92"/>
        <x:v/>
      </x:c>
      <x:c r="FT25" s="1066" t="str">
        <x:f t="shared" si="93"/>
        <x:v/>
      </x:c>
      <x:c r="FU25" s="1105">
        <x:f t="shared" si="94"/>
        <x:v>0</x:v>
      </x:c>
      <x:c r="FV25" s="1106">
        <x:f t="shared" si="95"/>
        <x:v>0</x:v>
      </x:c>
      <x:c r="GA25" s="1975">
        <x:v>59</x:v>
      </x:c>
      <x:c r="GB25" s="1976">
        <x:v>2.75</x:v>
      </x:c>
      <x:c r="GC25" s="1977">
        <x:v>-1.875</x:v>
      </x:c>
      <x:c r="GD25" s="1978">
        <x:v>-0.25</x:v>
      </x:c>
      <x:c r="GE25" s="1979">
        <x:v>0.26169539219134702</x:v>
      </x:c>
      <x:c r="GF25" s="1980" t="str">
        <x:f t="shared" si="96"/>
        <x:v>J301</x:v>
      </x:c>
      <x:c r="GG25" s="1453"/>
      <x:c r="GH25" s="1454"/>
      <x:c r="GI25" s="1453"/>
      <x:c r="GJ25" s="1454"/>
      <x:c r="GK25" s="533">
        <x:f t="shared" si="97"/>
        <x:v>708.625</x:v>
      </x:c>
      <x:c r="GL25" s="534">
        <x:f t="shared" si="98"/>
        <x:v>708.79348626656247</x:v>
      </x:c>
      <x:c r="GM25" s="535">
        <x:f>IF(ABS(GK25-GL25)&gt;='Job Info.'!$L$22,ABS(GK25-GL25),0)</x:f>
        <x:v>0</x:v>
      </x:c>
      <x:c r="HA25" s="1658" t="s">
        <x:v>1625</x:v>
      </x:c>
      <x:c r="HB25" s="1659">
        <x:v>1</x:v>
      </x:c>
      <x:c r="HC25" s="1659" t="s">
        <x:v>1978</x:v>
      </x:c>
      <x:c r="HD25" s="1660">
        <x:v>59</x:v>
      </x:c>
      <x:c r="HE25" s="1661">
        <x:v>0.625</x:v>
      </x:c>
      <x:c r="HF25" s="1659" t="s">
        <x:v>117</x:v>
      </x:c>
      <x:c r="HG25" s="1659" t="s">
        <x:v>117</x:v>
      </x:c>
      <x:c r="HH25" s="1659" t="s">
        <x:v>117</x:v>
      </x:c>
      <x:c r="HI25" s="1662">
        <x:v>0</x:v>
      </x:c>
      <x:c r="HJ25" s="1659">
        <x:v>1.375</x:v>
      </x:c>
      <x:c r="HK25" s="1659" t="s">
        <x:v>114</x:v>
      </x:c>
      <x:c r="HL25" s="1659">
        <x:v>3</x:v>
      </x:c>
      <x:c r="HM25" s="1659">
        <x:v>3</x:v>
      </x:c>
      <x:c r="HN25" s="1659" t="s">
        <x:v>117</x:v>
      </x:c>
      <x:c r="HO25" s="1659" t="s">
        <x:v>117</x:v>
      </x:c>
      <x:c r="HP25" s="1659" t="s">
        <x:v>117</x:v>
      </x:c>
      <x:c r="HQ25" s="1662" t="s">
        <x:v>117</x:v>
      </x:c>
      <x:c r="HR25" s="1659" t="s">
        <x:v>117</x:v>
      </x:c>
      <x:c r="HS25" s="1659" t="s">
        <x:v>117</x:v>
      </x:c>
      <x:c r="HT25" s="1659" t="s">
        <x:v>117</x:v>
      </x:c>
      <x:c r="HU25" s="1659" t="s">
        <x:v>117</x:v>
      </x:c>
      <x:c r="HV25" s="1659" t="s">
        <x:v>117</x:v>
      </x:c>
      <x:c r="HW25" s="1661" t="s">
        <x:v>117</x:v>
      </x:c>
      <x:c r="HX25" s="1661">
        <x:v>0</x:v>
      </x:c>
      <x:c r="HY25" s="1661" t="s">
        <x:v>117</x:v>
      </x:c>
      <x:c r="HZ25" s="1661" t="s">
        <x:v>117</x:v>
      </x:c>
      <x:c r="IA25" s="1661" t="s">
        <x:v>2282</x:v>
      </x:c>
      <x:c r="IB25" s="1661"/>
      <x:c r="IC25" s="1661"/>
      <x:c r="ID25" s="1661"/>
      <x:c r="IE25" s="1661"/>
      <x:c r="IF25" s="1663"/>
    </x:row>
    <x:row r="26" spans="1:240" ht="12.6" customHeight="1" x14ac:dyDescent="0.25">
      <x:c r="A26" s="1264" t="s">
        <x:v>1626</x:v>
      </x:c>
      <x:c r="B26" s="1265">
        <x:v>1</x:v>
      </x:c>
      <x:c r="C26" s="1265" t="s">
        <x:v>1978</x:v>
      </x:c>
      <x:c r="D26" s="1261">
        <x:v>59</x:v>
      </x:c>
      <x:c r="E26" s="1366">
        <x:v>0.625</x:v>
      </x:c>
      <x:c r="F26" s="1328" t="str">
        <x:f t="shared" si="102"/>
        <x:v/>
      </x:c>
      <x:c r="G26" s="1262" t="str">
        <x:f t="shared" si="103"/>
        <x:v/>
      </x:c>
      <x:c r="H26" s="1266" t="str">
        <x:f t="shared" si="104"/>
        <x:v/>
      </x:c>
      <x:c r="I26" s="1261">
        <x:v>0</x:v>
      </x:c>
      <x:c r="J26" s="1262">
        <x:v>1.375</x:v>
      </x:c>
      <x:c r="K26" s="1370" t="s">
        <x:v>114</x:v>
      </x:c>
      <x:c r="L26" s="1327">
        <x:v>3</x:v>
      </x:c>
      <x:c r="M26" s="1329">
        <x:v>3</x:v>
      </x:c>
      <x:c r="N26" s="1263" t="str">
        <x:f t="shared" si="1"/>
        <x:v/>
      </x:c>
      <x:c r="O26" s="1262" t="str">
        <x:f t="shared" si="2"/>
        <x:v/>
      </x:c>
      <x:c r="P26" s="1260" t="str">
        <x:f t="shared" si="3"/>
        <x:v/>
      </x:c>
      <x:c r="Q26" s="1261" t="str">
        <x:f t="shared" si="4"/>
        <x:v/>
      </x:c>
      <x:c r="R26" s="1262" t="str">
        <x:f t="shared" si="5"/>
        <x:v/>
      </x:c>
      <x:c r="S26" s="1375" t="str">
        <x:f t="shared" si="6"/>
        <x:v/>
      </x:c>
      <x:c r="T26" s="1328" t="str">
        <x:f t="shared" si="105"/>
        <x:v/>
      </x:c>
      <x:c r="U26" s="1262" t="str">
        <x:f t="shared" si="106"/>
        <x:v/>
      </x:c>
      <x:c r="V26" s="1261" t="str">
        <x:f t="shared" si="107"/>
        <x:v/>
      </x:c>
      <x:c r="W26" s="1262" t="str">
        <x:f t="shared" si="108"/>
        <x:v/>
      </x:c>
      <x:c r="X26" s="1329">
        <x:f t="shared" si="109"/>
        <x:v>0</x:v>
      </x:c>
      <x:c r="Y26" s="1377" t="str">
        <x:f t="shared" si="7"/>
        <x:v/>
      </x:c>
      <x:c r="Z26" s="1378" t="str">
        <x:f t="shared" si="8"/>
        <x:v/>
      </x:c>
      <x:c r="AA26" s="2159" t="s">
        <x:v>2283</x:v>
      </x:c>
      <x:c r="AC26" s="1226" t="b">
        <x:v>0</x:v>
      </x:c>
      <x:c r="AD26" s="525">
        <x:f t="shared" si="9"/>
        <x:v>0</x:v>
      </x:c>
      <x:c r="AE26" s="526">
        <x:f t="shared" si="10"/>
        <x:v>1</x:v>
      </x:c>
      <x:c r="AF26" s="526">
        <x:f t="shared" si="11"/>
        <x:v>0</x:v>
      </x:c>
      <x:c r="AG26" s="526">
        <x:f t="shared" si="12"/>
        <x:v>0</x:v>
      </x:c>
      <x:c r="AH26" s="527">
        <x:f t="shared" si="13"/>
        <x:v>0</x:v>
      </x:c>
      <x:c r="AI26" s="528" t="b">
        <x:v>0</x:v>
      </x:c>
      <x:c r="AJ26" s="284">
        <x:f t="shared" si="14"/>
        <x:v>36</x:v>
      </x:c>
      <x:c r="AK26" s="1063" t="str">
        <x:f t="shared" si="15"/>
        <x:v>LH</x:v>
      </x:c>
      <x:c r="AL26" s="1202" t="str">
        <x:f t="shared" si="16"/>
        <x:v/>
      </x:c>
      <x:c r="AM26" s="1063">
        <x:f t="shared" si="17"/>
        <x:v>270</x:v>
      </x:c>
      <x:c r="AN26" s="1063">
        <x:f t="shared" si="18"/>
        <x:v>120</x:v>
      </x:c>
      <x:c r="AO26" s="1063" t="str">
        <x:f t="shared" si="19"/>
        <x:v/>
      </x:c>
      <x:c r="AP26" s="1063" t="b">
        <x:f>IF(ISERROR(AJ26),FALSE,IF(OR(AJ26=0,ISERROR(AL26),ISERROR(AM26),ISERROR(AN26),ISERROR(AO26)),FALSE,IF(AL26&lt;&gt;"",IF(ISERROR(VLOOKUP(SUBSTITUTE(SUBSTITUTE(C26,"R",""),"A",""),TblJoistSize!$A:$A,1,FALSE)),FALSE,TRUE),TRUE)))</x:f>
        <x:v>1</x:v>
      </x:c>
      <x:c r="AQ26" s="1305">
        <x:f t="shared" si="20"/>
        <x:v>6</x:v>
      </x:c>
      <x:c r="AR26" s="1305" t="b">
        <x:f t="shared" si="21"/>
        <x:v>0</x:v>
      </x:c>
      <x:c r="AS26" s="1305">
        <x:f t="shared" si="22"/>
        <x:v>7.375</x:v>
      </x:c>
      <x:c r="AT26" s="1305" t="b">
        <x:f t="shared" si="23"/>
        <x:v>0</x:v>
      </x:c>
      <x:c r="AU26" s="1203" t="str">
        <x:f t="shared" si="24"/>
        <x:v>LH</x:v>
      </x:c>
      <x:c r="AV26" s="1063" t="str">
        <x:f t="shared" si="25"/>
        <x:v/>
      </x:c>
      <x:c r="AW26" s="1063" t="str">
        <x:f t="shared" si="26"/>
        <x:v>LH</x:v>
      </x:c>
      <x:c r="AX26" s="1063" t="str">
        <x:f t="shared" si="99"/>
        <x:v>J302</x:v>
      </x:c>
      <x:c r="AY26" s="1306" t="b">
        <x:f t="shared" si="27"/>
        <x:v>0</x:v>
      </x:c>
      <x:c r="AZ26" s="1090" t="b">
        <x:f t="shared" si="28"/>
        <x:v>0</x:v>
      </x:c>
      <x:c r="BA26" s="674"/>
      <x:c r="BB26" s="842"/>
      <x:c r="BC26" s="894"/>
      <x:c r="BD26" s="926"/>
      <x:c r="BE26" s="927"/>
      <x:c r="BF26" s="928"/>
      <x:c r="BG26" s="901"/>
      <x:c r="BH26" s="1244"/>
      <x:c r="BI26" s="1245"/>
      <x:c r="BJ26" s="929"/>
      <x:c r="BK26" s="902"/>
      <x:c r="BL26" s="903"/>
      <x:c r="BM26" s="904"/>
      <x:c r="BN26" s="905"/>
      <x:c r="BO26" s="901"/>
      <x:c r="BP26" s="902"/>
      <x:c r="BQ26" s="903"/>
      <x:c r="BR26" s="929"/>
      <x:c r="BS26" s="902"/>
      <x:c r="BT26" s="903"/>
      <x:c r="BU26" s="904"/>
      <x:c r="BV26" s="905"/>
      <x:c r="BW26" s="906"/>
      <x:c r="BX26" s="930"/>
      <x:c r="BY26" s="931"/>
      <x:c r="BZ26" s="932"/>
      <x:c r="CA26" s="933"/>
      <x:c r="CB26" s="932"/>
      <x:c r="CC26" s="933"/>
      <x:c r="CD26" s="934" t="str">
        <x:f t="shared" si="29"/>
        <x:v/>
      </x:c>
      <x:c r="CE26" s="935" t="str">
        <x:f t="shared" si="30"/>
        <x:v/>
      </x:c>
      <x:c r="CF26" s="1149"/>
      <x:c r="CG26" s="1150"/>
      <x:c r="CH26" s="738" t="str">
        <x:f t="shared" si="31"/>
        <x:v/>
      </x:c>
      <x:c r="CI26" s="739" t="str">
        <x:f t="shared" si="32"/>
        <x:v/>
      </x:c>
      <x:c r="CJ26" s="740" t="str">
        <x:f t="shared" si="33"/>
        <x:v/>
      </x:c>
      <x:c r="CK26" s="741" t="str">
        <x:f t="shared" si="34"/>
        <x:v/>
      </x:c>
      <x:c r="CL26" s="742" t="str">
        <x:f t="shared" si="35"/>
        <x:v/>
      </x:c>
      <x:c r="CM26" s="743" t="str">
        <x:f t="shared" si="36"/>
        <x:v/>
      </x:c>
      <x:c r="CN26" s="744" t="str">
        <x:f t="shared" si="37"/>
        <x:v/>
      </x:c>
      <x:c r="CO26" s="745" t="str">
        <x:f t="shared" si="38"/>
        <x:v/>
      </x:c>
      <x:c r="CP26" s="762" t="str">
        <x:f t="shared" si="39"/>
        <x:v/>
      </x:c>
      <x:c r="CQ26" s="763" t="str">
        <x:f t="shared" si="40"/>
        <x:v/>
      </x:c>
      <x:c r="CR26" s="953">
        <x:f t="shared" si="41"/>
        <x:v>5</x:v>
      </x:c>
      <x:c r="CS26" s="954">
        <x:f t="shared" si="42"/>
        <x:v>5</x:v>
      </x:c>
      <x:c r="CU26" s="1048" t="str">
        <x:f>IF(BG26="","",VLOOKUP(BG26,SectInfo!$B:$N,12,FALSE))</x:f>
        <x:v/>
      </x:c>
      <x:c r="CV26" s="1046" t="str">
        <x:f>IF(BG26="","",IF(ISBLANK(BZ26),VLOOKUP(BG26,SectInfo!$B:$N,13,FALSE),BZ26))</x:f>
        <x:v/>
      </x:c>
      <x:c r="CW26" s="1046" t="str">
        <x:f>IF(BG26="","",IF(VLOOKUP(BG26,SectInfo!$B:$N,5,FALSE)="","R",UPPER(VLOOKUP(BG26,SectInfo!$B:$N,5,FALSE))))</x:f>
        <x:v/>
      </x:c>
      <x:c r="CX26" s="1046" t="str">
        <x:f>IF(BG26="","",IF(ISBLANK(CF26),VLOOKUP(BG26,SectInfo!$B:$N,6,FALSE),CF26))</x:f>
        <x:v/>
      </x:c>
      <x:c r="CY26" s="1276" t="str">
        <x:f>IF(BG26="","",IF(VLOOKUP(BG26,SectInfo!$B:$N,10,FALSE)="","",(VLOOKUP(BG26,SectInfo!$B:$N,10,FALSE)*-1)))</x:f>
        <x:v/>
      </x:c>
      <x:c r="CZ26" s="1443" t="str">
        <x:f>IF(BG26="","",IF(VLOOKUP(BG26,SectInfo!$B:$N,11,FALSE)="","2",(VLOOKUP(BG26,SectInfo!$B:$N,11,FALSE))))</x:f>
        <x:v/>
      </x:c>
      <x:c r="DA26" s="1046" t="str">
        <x:f>IF(BG26="","",IF(VLOOKUP(BG26,SectInfo!$B:$N,7,FALSE)="","",(VLOOKUP(BG26,SectInfo!$B:$N,7,FALSE)*-1)))</x:f>
        <x:v/>
      </x:c>
      <x:c r="DB26" s="1046" t="str">
        <x:f>IF(BG26="","",IF(VLOOKUP(BG26,SectInfo!$B:$N,8,FALSE)="",VLOOKUP(AU26,$DF$2:$DN$9,6,FALSE),(VLOOKUP(BG26,SectInfo!$B:$N,8,FALSE))))</x:f>
        <x:v/>
      </x:c>
      <x:c r="DC26" s="1046" t="str">
        <x:f>IF(BG26="","",VLOOKUP(BG26,SectInfo!$B:$N,9,FALSE))</x:f>
        <x:v/>
      </x:c>
      <x:c r="DD26" s="1047">
        <x:f t="shared" si="43"/>
        <x:v>0</x:v>
      </x:c>
      <x:c r="DE26" s="1048" t="str">
        <x:f>IF(BO26="","",VLOOKUP(BO26,SectInfo!$B:$N,12,FALSE))</x:f>
        <x:v/>
      </x:c>
      <x:c r="DF26" s="1046" t="str">
        <x:f>IF(BO26="","",IF(ISBLANK(CA26),VLOOKUP(BO26,SectInfo!$B:$N,13,FALSE),CA26))</x:f>
        <x:v/>
      </x:c>
      <x:c r="DG26" s="1046" t="str">
        <x:f>IF(BO26="","",IF(VLOOKUP(BO26,SectInfo!$B:$N,5,FALSE)="","R",UPPER(VLOOKUP(BO26,SectInfo!$B:$N,5,FALSE))))</x:f>
        <x:v/>
      </x:c>
      <x:c r="DH26" s="1046" t="str">
        <x:f>IF(BO26="","",IF(ISBLANK(CG26),VLOOKUP(BO26,SectInfo!$B:$N,6,FALSE),CG26))</x:f>
        <x:v/>
      </x:c>
      <x:c r="DI26" s="1046" t="str">
        <x:f>IF(BO26="","",IF(VLOOKUP(BO26,SectInfo!$B:$N,10,FALSE)="","",(VLOOKUP(BO26,SectInfo!$B:$N,10,FALSE)*-1)))</x:f>
        <x:v/>
      </x:c>
      <x:c r="DJ26" s="1443" t="str">
        <x:f>IF(BO26="","",IF(VLOOKUP(BO26,SectInfo!$B:$N,11,FALSE)="","2",(VLOOKUP(BO26,SectInfo!$B:$N,11,FALSE))))</x:f>
        <x:v/>
      </x:c>
      <x:c r="DK26" s="1046" t="str">
        <x:f>IF(BO26="","",IF(VLOOKUP(BO26,SectInfo!$B:$N,7,FALSE)="","",(VLOOKUP(BO26,SectInfo!$B:$N,7,FALSE)*-1)))</x:f>
        <x:v/>
      </x:c>
      <x:c r="DL26" s="1046" t="str">
        <x:f>IF(BO26="","",IF(VLOOKUP(BO26,SectInfo!$B:$N,8,FALSE)="",VLOOKUP(AU26,$DF$2:$DN$9,6,FALSE),(VLOOKUP(BO26,SectInfo!$B:$N,8,FALSE))))</x:f>
        <x:v/>
      </x:c>
      <x:c r="DM26" s="1046" t="str">
        <x:f>IF(BO26="","",VLOOKUP(BO26,SectInfo!$B:$N,9,FALSE))</x:f>
        <x:v/>
      </x:c>
      <x:c r="DN26" s="1047">
        <x:f t="shared" si="44"/>
        <x:v>0</x:v>
      </x:c>
      <x:c r="DO26" s="1049">
        <x:f t="shared" si="45"/>
        <x:v>0</x:v>
      </x:c>
      <x:c r="DP26" s="1053" t="str">
        <x:f t="shared" si="46"/>
        <x:v/>
      </x:c>
      <x:c r="DQ26" s="1053" t="str">
        <x:f t="shared" si="47"/>
        <x:v/>
      </x:c>
      <x:c r="DR26" s="1053" t="str">
        <x:f t="shared" si="48"/>
        <x:v/>
      </x:c>
      <x:c r="DS26" s="1052">
        <x:f t="shared" si="49"/>
        <x:v>0</x:v>
      </x:c>
      <x:c r="DT26" s="1052">
        <x:f t="shared" si="50"/>
        <x:v>0</x:v>
      </x:c>
      <x:c r="DU26" s="1052" t="str">
        <x:f t="shared" si="51"/>
        <x:v/>
      </x:c>
      <x:c r="DV26" s="1053" t="str">
        <x:f t="shared" si="52"/>
        <x:v/>
      </x:c>
      <x:c r="DW26" s="1053" t="str">
        <x:f t="shared" si="53"/>
        <x:v/>
      </x:c>
      <x:c r="DX26" s="1269">
        <x:f t="shared" si="54"/>
        <x:v>0</x:v>
      </x:c>
      <x:c r="DY26" s="1053">
        <x:f t="shared" si="55"/>
        <x:v>0</x:v>
      </x:c>
      <x:c r="DZ26" s="1052">
        <x:f t="shared" si="56"/>
        <x:v>0</x:v>
      </x:c>
      <x:c r="EA26" s="1052" t="str">
        <x:f t="shared" si="57"/>
        <x:v/>
      </x:c>
      <x:c r="EB26" s="1053" t="str">
        <x:f t="shared" si="58"/>
        <x:v/>
      </x:c>
      <x:c r="EC26" s="1053" t="str">
        <x:f t="shared" si="59"/>
        <x:v/>
      </x:c>
      <x:c r="ED26" s="1269">
        <x:f t="shared" si="60"/>
        <x:v>0</x:v>
      </x:c>
      <x:c r="EE26" s="1090" t="str">
        <x:f t="shared" si="61"/>
        <x:v/>
      </x:c>
      <x:c r="EF26" s="1053" t="str">
        <x:f t="shared" si="62"/>
        <x:v/>
      </x:c>
      <x:c r="EG26" s="1053" t="str">
        <x:f t="shared" si="63"/>
        <x:v/>
      </x:c>
      <x:c r="EH26" s="1053" t="str">
        <x:f t="shared" si="64"/>
        <x:v>ERR</x:v>
      </x:c>
      <x:c r="EI26" s="1053" t="str">
        <x:f t="shared" si="65"/>
        <x:v>ERR</x:v>
      </x:c>
      <x:c r="EJ26" s="1053" t="str">
        <x:f t="shared" si="66"/>
        <x:v/>
      </x:c>
      <x:c r="EK26" s="1053" t="str">
        <x:f t="shared" si="66"/>
        <x:v/>
      </x:c>
      <x:c r="EL26" s="1090" t="str">
        <x:f t="shared" si="67"/>
        <x:v/>
      </x:c>
      <x:c r="EM26" s="1053" t="str">
        <x:f t="shared" si="68"/>
        <x:v/>
      </x:c>
      <x:c r="EN26" s="1053" t="str">
        <x:f t="shared" si="69"/>
        <x:v/>
      </x:c>
      <x:c r="EO26" s="1053" t="str">
        <x:f t="shared" si="70"/>
        <x:v>ERR</x:v>
      </x:c>
      <x:c r="EP26" s="1053" t="str">
        <x:f t="shared" si="71"/>
        <x:v>ERR</x:v>
      </x:c>
      <x:c r="EQ26" s="1053" t="str">
        <x:f t="shared" si="72"/>
        <x:v/>
      </x:c>
      <x:c r="ER26" s="1053" t="str">
        <x:f t="shared" si="72"/>
        <x:v/>
      </x:c>
      <x:c r="ES26" s="1053" t="str">
        <x:f t="shared" si="73"/>
        <x:v/>
      </x:c>
      <x:c r="ET26" s="1053" t="str">
        <x:f t="shared" si="74"/>
        <x:v/>
      </x:c>
      <x:c r="EU26" s="1061">
        <x:f t="shared" si="75"/>
        <x:v>4</x:v>
      </x:c>
      <x:c r="EV26" s="1055" t="str">
        <x:f t="shared" si="76"/>
        <x:v/>
      </x:c>
      <x:c r="EW26" s="1061"/>
      <x:c r="EX26" s="1061" t="str">
        <x:f>IF(AND(CU26="G", ISBLANK(BK26), ISBLANK(BL26)),VLOOKUP(MIN(BH26:BI26),TblJoistSize!$M$3:$N$10,2),IF(OR(CU26="B",CU26="G"),MIN(BK26:BL26),""))</x:f>
        <x:v/>
      </x:c>
      <x:c r="EY26" s="1061" t="str">
        <x:f>IF(AND(CU26="G", ISBLANK(BK26), ISBLANK(BL26)),VLOOKUP(MAX(BH26:BI26),TblJoistSize!$M$3:$N$10,2),IF(OR(CU26="B",CU26="G"),MAX(BK26:BL26),""))</x:f>
        <x:v/>
      </x:c>
      <x:c r="EZ26" s="1061" t="str">
        <x:f t="shared" si="77"/>
        <x:v/>
      </x:c>
      <x:c r="FA26" s="1061" t="str">
        <x:f>IF(AND(DE26="G", ISBLANK(BS26), ISBLANK(BT26)),VLOOKUP(MIN(BP26:BQ26),TblJoistSize!$M$3:$N$10,2),IF(OR(DE26="B", DE26="G"),MIN(BS26:BT26),""))</x:f>
        <x:v/>
      </x:c>
      <x:c r="FB26" s="1061" t="str">
        <x:f>IF(AND(DE26="G", ISBLANK(BS26), ISBLANK(BT26)),VLOOKUP(MAX(BP26:BQ26),TblJoistSize!$M$3:$N$10,2),IF(OR(DE26="B", DE26="G"),MAX(BS26:BT26),""))</x:f>
        <x:v/>
      </x:c>
      <x:c r="FC26" s="1061" t="str">
        <x:f t="shared" si="78"/>
        <x:v/>
      </x:c>
      <x:c r="FD26" s="1052">
        <x:f t="shared" si="100"/>
        <x:v>0</x:v>
      </x:c>
      <x:c r="FE26" s="1052">
        <x:f t="shared" si="79"/>
        <x:v>0</x:v>
      </x:c>
      <x:c r="FF26" s="1052">
        <x:f t="shared" si="80"/>
        <x:v>0</x:v>
      </x:c>
      <x:c r="FG26" s="1052" t="str">
        <x:f t="shared" si="81"/>
        <x:v/>
      </x:c>
      <x:c r="FH26" s="1053" t="str">
        <x:f t="shared" si="82"/>
        <x:v/>
      </x:c>
      <x:c r="FI26" s="1052">
        <x:f t="shared" si="101"/>
        <x:v>0</x:v>
      </x:c>
      <x:c r="FJ26" s="1052">
        <x:f t="shared" si="83"/>
        <x:v>0</x:v>
      </x:c>
      <x:c r="FK26" s="1052">
        <x:f t="shared" si="84"/>
        <x:v>0</x:v>
      </x:c>
      <x:c r="FL26" s="1052" t="str">
        <x:f t="shared" si="85"/>
        <x:v/>
      </x:c>
      <x:c r="FM26" s="1053" t="str">
        <x:f t="shared" si="86"/>
        <x:v/>
      </x:c>
      <x:c r="FN26" s="1053" t="e">
        <x:f t="shared" si="87"/>
        <x:v>#VALUE!</x:v>
      </x:c>
      <x:c r="FO26" s="1062" t="e">
        <x:f t="shared" si="88"/>
        <x:v>#VALUE!</x:v>
      </x:c>
      <x:c r="FP26" s="1062" t="e">
        <x:f t="shared" si="89"/>
        <x:v>#VALUE!</x:v>
      </x:c>
      <x:c r="FQ26" s="1063" t="e">
        <x:f t="shared" si="90"/>
        <x:v>#VALUE!</x:v>
      </x:c>
      <x:c r="FR26" s="1064" t="e">
        <x:f t="shared" si="91"/>
        <x:v>#VALUE!</x:v>
      </x:c>
      <x:c r="FS26" s="1065" t="str">
        <x:f t="shared" si="92"/>
        <x:v/>
      </x:c>
      <x:c r="FT26" s="1066" t="str">
        <x:f t="shared" si="93"/>
        <x:v/>
      </x:c>
      <x:c r="FU26" s="1105">
        <x:f t="shared" si="94"/>
        <x:v>0</x:v>
      </x:c>
      <x:c r="FV26" s="1106">
        <x:f t="shared" si="95"/>
        <x:v>0</x:v>
      </x:c>
      <x:c r="GA26" s="1975">
        <x:v>59</x:v>
      </x:c>
      <x:c r="GB26" s="1976">
        <x:v>2.75</x:v>
      </x:c>
      <x:c r="GC26" s="1977">
        <x:v>-1.875</x:v>
      </x:c>
      <x:c r="GD26" s="1978">
        <x:v>-0.25</x:v>
      </x:c>
      <x:c r="GE26" s="1979">
        <x:v>0.26169539219134702</x:v>
      </x:c>
      <x:c r="GF26" s="1980" t="str">
        <x:f t="shared" si="96"/>
        <x:v>J302</x:v>
      </x:c>
      <x:c r="GG26" s="1453"/>
      <x:c r="GH26" s="1454"/>
      <x:c r="GI26" s="1453"/>
      <x:c r="GJ26" s="1454"/>
      <x:c r="GK26" s="533">
        <x:f t="shared" si="97"/>
        <x:v>708.625</x:v>
      </x:c>
      <x:c r="GL26" s="534">
        <x:f t="shared" si="98"/>
        <x:v>708.79348626656247</x:v>
      </x:c>
      <x:c r="GM26" s="535">
        <x:f>IF(ABS(GK26-GL26)&gt;='Job Info.'!$L$22,ABS(GK26-GL26),0)</x:f>
        <x:v>0</x:v>
      </x:c>
      <x:c r="HA26" s="1658" t="s">
        <x:v>1626</x:v>
      </x:c>
      <x:c r="HB26" s="1659">
        <x:v>1</x:v>
      </x:c>
      <x:c r="HC26" s="1659" t="s">
        <x:v>1978</x:v>
      </x:c>
      <x:c r="HD26" s="1660">
        <x:v>59</x:v>
      </x:c>
      <x:c r="HE26" s="1661">
        <x:v>0.625</x:v>
      </x:c>
      <x:c r="HF26" s="1659" t="s">
        <x:v>117</x:v>
      </x:c>
      <x:c r="HG26" s="1659" t="s">
        <x:v>117</x:v>
      </x:c>
      <x:c r="HH26" s="1659" t="s">
        <x:v>117</x:v>
      </x:c>
      <x:c r="HI26" s="1662">
        <x:v>0</x:v>
      </x:c>
      <x:c r="HJ26" s="1659">
        <x:v>1.375</x:v>
      </x:c>
      <x:c r="HK26" s="1659" t="s">
        <x:v>114</x:v>
      </x:c>
      <x:c r="HL26" s="1659">
        <x:v>3</x:v>
      </x:c>
      <x:c r="HM26" s="1659">
        <x:v>3</x:v>
      </x:c>
      <x:c r="HN26" s="1659" t="s">
        <x:v>117</x:v>
      </x:c>
      <x:c r="HO26" s="1659" t="s">
        <x:v>117</x:v>
      </x:c>
      <x:c r="HP26" s="1659" t="s">
        <x:v>117</x:v>
      </x:c>
      <x:c r="HQ26" s="1662" t="s">
        <x:v>117</x:v>
      </x:c>
      <x:c r="HR26" s="1659" t="s">
        <x:v>117</x:v>
      </x:c>
      <x:c r="HS26" s="1659" t="s">
        <x:v>117</x:v>
      </x:c>
      <x:c r="HT26" s="1659" t="s">
        <x:v>117</x:v>
      </x:c>
      <x:c r="HU26" s="1659" t="s">
        <x:v>117</x:v>
      </x:c>
      <x:c r="HV26" s="1659" t="s">
        <x:v>117</x:v>
      </x:c>
      <x:c r="HW26" s="1661" t="s">
        <x:v>117</x:v>
      </x:c>
      <x:c r="HX26" s="1661">
        <x:v>0</x:v>
      </x:c>
      <x:c r="HY26" s="1661" t="s">
        <x:v>117</x:v>
      </x:c>
      <x:c r="HZ26" s="1661" t="s">
        <x:v>117</x:v>
      </x:c>
      <x:c r="IA26" s="1661" t="s">
        <x:v>2283</x:v>
      </x:c>
      <x:c r="IB26" s="1661"/>
      <x:c r="IC26" s="1661"/>
      <x:c r="ID26" s="1661"/>
      <x:c r="IE26" s="1661"/>
      <x:c r="IF26" s="1663"/>
    </x:row>
    <x:row r="27" spans="1:240" ht="12.6" customHeight="1" x14ac:dyDescent="0.25">
      <x:c r="A27" s="1264" t="s">
        <x:v>1627</x:v>
      </x:c>
      <x:c r="B27" s="1265">
        <x:v>1</x:v>
      </x:c>
      <x:c r="C27" s="1265" t="s">
        <x:v>1978</x:v>
      </x:c>
      <x:c r="D27" s="1261">
        <x:v>59</x:v>
      </x:c>
      <x:c r="E27" s="1366">
        <x:v>0.625</x:v>
      </x:c>
      <x:c r="F27" s="1328" t="str">
        <x:f t="shared" si="102"/>
        <x:v/>
      </x:c>
      <x:c r="G27" s="1262" t="str">
        <x:f t="shared" si="103"/>
        <x:v/>
      </x:c>
      <x:c r="H27" s="1266" t="str">
        <x:f t="shared" si="104"/>
        <x:v/>
      </x:c>
      <x:c r="I27" s="1261">
        <x:v>0</x:v>
      </x:c>
      <x:c r="J27" s="1262">
        <x:v>1.375</x:v>
      </x:c>
      <x:c r="K27" s="1370" t="s">
        <x:v>114</x:v>
      </x:c>
      <x:c r="L27" s="1327">
        <x:v>3</x:v>
      </x:c>
      <x:c r="M27" s="1329">
        <x:v>3</x:v>
      </x:c>
      <x:c r="N27" s="1263" t="str">
        <x:f t="shared" si="1"/>
        <x:v/>
      </x:c>
      <x:c r="O27" s="1262" t="str">
        <x:f t="shared" si="2"/>
        <x:v/>
      </x:c>
      <x:c r="P27" s="1260" t="str">
        <x:f t="shared" si="3"/>
        <x:v/>
      </x:c>
      <x:c r="Q27" s="1261" t="str">
        <x:f t="shared" si="4"/>
        <x:v/>
      </x:c>
      <x:c r="R27" s="1262" t="str">
        <x:f t="shared" si="5"/>
        <x:v/>
      </x:c>
      <x:c r="S27" s="1375" t="str">
        <x:f t="shared" si="6"/>
        <x:v/>
      </x:c>
      <x:c r="T27" s="1328" t="str">
        <x:f t="shared" si="105"/>
        <x:v/>
      </x:c>
      <x:c r="U27" s="1262" t="str">
        <x:f t="shared" si="106"/>
        <x:v/>
      </x:c>
      <x:c r="V27" s="1261" t="str">
        <x:f t="shared" si="107"/>
        <x:v/>
      </x:c>
      <x:c r="W27" s="1262" t="str">
        <x:f t="shared" si="108"/>
        <x:v/>
      </x:c>
      <x:c r="X27" s="1329">
        <x:f t="shared" si="109"/>
        <x:v>0</x:v>
      </x:c>
      <x:c r="Y27" s="1377" t="str">
        <x:f t="shared" si="7"/>
        <x:v/>
      </x:c>
      <x:c r="Z27" s="1378" t="str">
        <x:f t="shared" si="8"/>
        <x:v/>
      </x:c>
      <x:c r="AA27" s="2159" t="s">
        <x:v>2284</x:v>
      </x:c>
      <x:c r="AC27" s="1226" t="b">
        <x:v>0</x:v>
      </x:c>
      <x:c r="AD27" s="525">
        <x:f t="shared" si="9"/>
        <x:v>0</x:v>
      </x:c>
      <x:c r="AE27" s="526">
        <x:f t="shared" si="10"/>
        <x:v>1</x:v>
      </x:c>
      <x:c r="AF27" s="526">
        <x:f t="shared" si="11"/>
        <x:v>0</x:v>
      </x:c>
      <x:c r="AG27" s="526">
        <x:f t="shared" si="12"/>
        <x:v>0</x:v>
      </x:c>
      <x:c r="AH27" s="527">
        <x:f t="shared" si="13"/>
        <x:v>0</x:v>
      </x:c>
      <x:c r="AI27" s="528" t="b">
        <x:v>0</x:v>
      </x:c>
      <x:c r="AJ27" s="284">
        <x:f t="shared" si="14"/>
        <x:v>36</x:v>
      </x:c>
      <x:c r="AK27" s="1063" t="str">
        <x:f t="shared" si="15"/>
        <x:v>LH</x:v>
      </x:c>
      <x:c r="AL27" s="1202" t="str">
        <x:f t="shared" si="16"/>
        <x:v/>
      </x:c>
      <x:c r="AM27" s="1063">
        <x:f t="shared" si="17"/>
        <x:v>270</x:v>
      </x:c>
      <x:c r="AN27" s="1063">
        <x:f t="shared" si="18"/>
        <x:v>120</x:v>
      </x:c>
      <x:c r="AO27" s="1063" t="str">
        <x:f t="shared" si="19"/>
        <x:v/>
      </x:c>
      <x:c r="AP27" s="1063" t="b">
        <x:f>IF(ISERROR(AJ27),FALSE,IF(OR(AJ27=0,ISERROR(AL27),ISERROR(AM27),ISERROR(AN27),ISERROR(AO27)),FALSE,IF(AL27&lt;&gt;"",IF(ISERROR(VLOOKUP(SUBSTITUTE(SUBSTITUTE(C27,"R",""),"A",""),TblJoistSize!$A:$A,1,FALSE)),FALSE,TRUE),TRUE)))</x:f>
        <x:v>1</x:v>
      </x:c>
      <x:c r="AQ27" s="1305">
        <x:f t="shared" si="20"/>
        <x:v>6</x:v>
      </x:c>
      <x:c r="AR27" s="1305" t="b">
        <x:f t="shared" si="21"/>
        <x:v>0</x:v>
      </x:c>
      <x:c r="AS27" s="1305">
        <x:f t="shared" si="22"/>
        <x:v>7.375</x:v>
      </x:c>
      <x:c r="AT27" s="1305" t="b">
        <x:f t="shared" si="23"/>
        <x:v>0</x:v>
      </x:c>
      <x:c r="AU27" s="1203" t="str">
        <x:f t="shared" si="24"/>
        <x:v>LH</x:v>
      </x:c>
      <x:c r="AV27" s="1063" t="str">
        <x:f t="shared" si="25"/>
        <x:v/>
      </x:c>
      <x:c r="AW27" s="1063" t="str">
        <x:f t="shared" si="26"/>
        <x:v>LH</x:v>
      </x:c>
      <x:c r="AX27" s="1063" t="str">
        <x:f t="shared" si="99"/>
        <x:v>J303</x:v>
      </x:c>
      <x:c r="AY27" s="1306" t="b">
        <x:f t="shared" si="27"/>
        <x:v>0</x:v>
      </x:c>
      <x:c r="AZ27" s="1090" t="b">
        <x:f t="shared" si="28"/>
        <x:v>0</x:v>
      </x:c>
      <x:c r="BA27" s="674"/>
      <x:c r="BB27" s="842"/>
      <x:c r="BC27" s="894"/>
      <x:c r="BD27" s="926"/>
      <x:c r="BE27" s="927"/>
      <x:c r="BF27" s="928"/>
      <x:c r="BG27" s="901"/>
      <x:c r="BH27" s="1244"/>
      <x:c r="BI27" s="1245"/>
      <x:c r="BJ27" s="929"/>
      <x:c r="BK27" s="902"/>
      <x:c r="BL27" s="903"/>
      <x:c r="BM27" s="904"/>
      <x:c r="BN27" s="905"/>
      <x:c r="BO27" s="901"/>
      <x:c r="BP27" s="902"/>
      <x:c r="BQ27" s="903"/>
      <x:c r="BR27" s="929"/>
      <x:c r="BS27" s="902"/>
      <x:c r="BT27" s="903"/>
      <x:c r="BU27" s="904"/>
      <x:c r="BV27" s="905"/>
      <x:c r="BW27" s="906"/>
      <x:c r="BX27" s="930"/>
      <x:c r="BY27" s="931"/>
      <x:c r="BZ27" s="932"/>
      <x:c r="CA27" s="933"/>
      <x:c r="CB27" s="932"/>
      <x:c r="CC27" s="933"/>
      <x:c r="CD27" s="934" t="str">
        <x:f t="shared" si="29"/>
        <x:v/>
      </x:c>
      <x:c r="CE27" s="935" t="str">
        <x:f t="shared" si="30"/>
        <x:v/>
      </x:c>
      <x:c r="CF27" s="1149"/>
      <x:c r="CG27" s="1150"/>
      <x:c r="CH27" s="738" t="str">
        <x:f t="shared" si="31"/>
        <x:v/>
      </x:c>
      <x:c r="CI27" s="739" t="str">
        <x:f t="shared" si="32"/>
        <x:v/>
      </x:c>
      <x:c r="CJ27" s="740" t="str">
        <x:f t="shared" si="33"/>
        <x:v/>
      </x:c>
      <x:c r="CK27" s="741" t="str">
        <x:f t="shared" si="34"/>
        <x:v/>
      </x:c>
      <x:c r="CL27" s="742" t="str">
        <x:f t="shared" si="35"/>
        <x:v/>
      </x:c>
      <x:c r="CM27" s="743" t="str">
        <x:f t="shared" si="36"/>
        <x:v/>
      </x:c>
      <x:c r="CN27" s="744" t="str">
        <x:f t="shared" si="37"/>
        <x:v/>
      </x:c>
      <x:c r="CO27" s="745" t="str">
        <x:f t="shared" si="38"/>
        <x:v/>
      </x:c>
      <x:c r="CP27" s="762" t="str">
        <x:f t="shared" si="39"/>
        <x:v/>
      </x:c>
      <x:c r="CQ27" s="763" t="str">
        <x:f t="shared" si="40"/>
        <x:v/>
      </x:c>
      <x:c r="CR27" s="953">
        <x:f t="shared" si="41"/>
        <x:v>5</x:v>
      </x:c>
      <x:c r="CS27" s="954">
        <x:f t="shared" si="42"/>
        <x:v>5</x:v>
      </x:c>
      <x:c r="CU27" s="1048" t="str">
        <x:f>IF(BG27="","",VLOOKUP(BG27,SectInfo!$B:$N,12,FALSE))</x:f>
        <x:v/>
      </x:c>
      <x:c r="CV27" s="1046" t="str">
        <x:f>IF(BG27="","",IF(ISBLANK(BZ27),VLOOKUP(BG27,SectInfo!$B:$N,13,FALSE),BZ27))</x:f>
        <x:v/>
      </x:c>
      <x:c r="CW27" s="1046" t="str">
        <x:f>IF(BG27="","",IF(VLOOKUP(BG27,SectInfo!$B:$N,5,FALSE)="","R",UPPER(VLOOKUP(BG27,SectInfo!$B:$N,5,FALSE))))</x:f>
        <x:v/>
      </x:c>
      <x:c r="CX27" s="1046" t="str">
        <x:f>IF(BG27="","",IF(ISBLANK(CF27),VLOOKUP(BG27,SectInfo!$B:$N,6,FALSE),CF27))</x:f>
        <x:v/>
      </x:c>
      <x:c r="CY27" s="1276" t="str">
        <x:f>IF(BG27="","",IF(VLOOKUP(BG27,SectInfo!$B:$N,10,FALSE)="","",(VLOOKUP(BG27,SectInfo!$B:$N,10,FALSE)*-1)))</x:f>
        <x:v/>
      </x:c>
      <x:c r="CZ27" s="1443" t="str">
        <x:f>IF(BG27="","",IF(VLOOKUP(BG27,SectInfo!$B:$N,11,FALSE)="","2",(VLOOKUP(BG27,SectInfo!$B:$N,11,FALSE))))</x:f>
        <x:v/>
      </x:c>
      <x:c r="DA27" s="1046" t="str">
        <x:f>IF(BG27="","",IF(VLOOKUP(BG27,SectInfo!$B:$N,7,FALSE)="","",(VLOOKUP(BG27,SectInfo!$B:$N,7,FALSE)*-1)))</x:f>
        <x:v/>
      </x:c>
      <x:c r="DB27" s="1046" t="str">
        <x:f>IF(BG27="","",IF(VLOOKUP(BG27,SectInfo!$B:$N,8,FALSE)="",VLOOKUP(AU27,$DF$2:$DN$9,6,FALSE),(VLOOKUP(BG27,SectInfo!$B:$N,8,FALSE))))</x:f>
        <x:v/>
      </x:c>
      <x:c r="DC27" s="1046" t="str">
        <x:f>IF(BG27="","",VLOOKUP(BG27,SectInfo!$B:$N,9,FALSE))</x:f>
        <x:v/>
      </x:c>
      <x:c r="DD27" s="1047">
        <x:f t="shared" si="43"/>
        <x:v>0</x:v>
      </x:c>
      <x:c r="DE27" s="1048" t="str">
        <x:f>IF(BO27="","",VLOOKUP(BO27,SectInfo!$B:$N,12,FALSE))</x:f>
        <x:v/>
      </x:c>
      <x:c r="DF27" s="1046" t="str">
        <x:f>IF(BO27="","",IF(ISBLANK(CA27),VLOOKUP(BO27,SectInfo!$B:$N,13,FALSE),CA27))</x:f>
        <x:v/>
      </x:c>
      <x:c r="DG27" s="1046" t="str">
        <x:f>IF(BO27="","",IF(VLOOKUP(BO27,SectInfo!$B:$N,5,FALSE)="","R",UPPER(VLOOKUP(BO27,SectInfo!$B:$N,5,FALSE))))</x:f>
        <x:v/>
      </x:c>
      <x:c r="DH27" s="1046" t="str">
        <x:f>IF(BO27="","",IF(ISBLANK(CG27),VLOOKUP(BO27,SectInfo!$B:$N,6,FALSE),CG27))</x:f>
        <x:v/>
      </x:c>
      <x:c r="DI27" s="1046" t="str">
        <x:f>IF(BO27="","",IF(VLOOKUP(BO27,SectInfo!$B:$N,10,FALSE)="","",(VLOOKUP(BO27,SectInfo!$B:$N,10,FALSE)*-1)))</x:f>
        <x:v/>
      </x:c>
      <x:c r="DJ27" s="1443" t="str">
        <x:f>IF(BO27="","",IF(VLOOKUP(BO27,SectInfo!$B:$N,11,FALSE)="","2",(VLOOKUP(BO27,SectInfo!$B:$N,11,FALSE))))</x:f>
        <x:v/>
      </x:c>
      <x:c r="DK27" s="1046" t="str">
        <x:f>IF(BO27="","",IF(VLOOKUP(BO27,SectInfo!$B:$N,7,FALSE)="","",(VLOOKUP(BO27,SectInfo!$B:$N,7,FALSE)*-1)))</x:f>
        <x:v/>
      </x:c>
      <x:c r="DL27" s="1046" t="str">
        <x:f>IF(BO27="","",IF(VLOOKUP(BO27,SectInfo!$B:$N,8,FALSE)="",VLOOKUP(AU27,$DF$2:$DN$9,6,FALSE),(VLOOKUP(BO27,SectInfo!$B:$N,8,FALSE))))</x:f>
        <x:v/>
      </x:c>
      <x:c r="DM27" s="1046" t="str">
        <x:f>IF(BO27="","",VLOOKUP(BO27,SectInfo!$B:$N,9,FALSE))</x:f>
        <x:v/>
      </x:c>
      <x:c r="DN27" s="1047">
        <x:f t="shared" si="44"/>
        <x:v>0</x:v>
      </x:c>
      <x:c r="DO27" s="1049">
        <x:f t="shared" si="45"/>
        <x:v>0</x:v>
      </x:c>
      <x:c r="DP27" s="1053" t="str">
        <x:f t="shared" si="46"/>
        <x:v/>
      </x:c>
      <x:c r="DQ27" s="1053" t="str">
        <x:f t="shared" si="47"/>
        <x:v/>
      </x:c>
      <x:c r="DR27" s="1053" t="str">
        <x:f t="shared" si="48"/>
        <x:v/>
      </x:c>
      <x:c r="DS27" s="1052">
        <x:f t="shared" si="49"/>
        <x:v>0</x:v>
      </x:c>
      <x:c r="DT27" s="1052">
        <x:f t="shared" si="50"/>
        <x:v>0</x:v>
      </x:c>
      <x:c r="DU27" s="1052" t="str">
        <x:f t="shared" si="51"/>
        <x:v/>
      </x:c>
      <x:c r="DV27" s="1053" t="str">
        <x:f t="shared" si="52"/>
        <x:v/>
      </x:c>
      <x:c r="DW27" s="1053" t="str">
        <x:f t="shared" si="53"/>
        <x:v/>
      </x:c>
      <x:c r="DX27" s="1269">
        <x:f t="shared" si="54"/>
        <x:v>0</x:v>
      </x:c>
      <x:c r="DY27" s="1053">
        <x:f t="shared" si="55"/>
        <x:v>0</x:v>
      </x:c>
      <x:c r="DZ27" s="1052">
        <x:f t="shared" si="56"/>
        <x:v>0</x:v>
      </x:c>
      <x:c r="EA27" s="1052" t="str">
        <x:f t="shared" si="57"/>
        <x:v/>
      </x:c>
      <x:c r="EB27" s="1053" t="str">
        <x:f t="shared" si="58"/>
        <x:v/>
      </x:c>
      <x:c r="EC27" s="1053" t="str">
        <x:f t="shared" si="59"/>
        <x:v/>
      </x:c>
      <x:c r="ED27" s="1269">
        <x:f t="shared" si="60"/>
        <x:v>0</x:v>
      </x:c>
      <x:c r="EE27" s="1090" t="str">
        <x:f t="shared" si="61"/>
        <x:v/>
      </x:c>
      <x:c r="EF27" s="1053" t="str">
        <x:f t="shared" si="62"/>
        <x:v/>
      </x:c>
      <x:c r="EG27" s="1053" t="str">
        <x:f t="shared" si="63"/>
        <x:v/>
      </x:c>
      <x:c r="EH27" s="1053" t="str">
        <x:f t="shared" si="64"/>
        <x:v>ERR</x:v>
      </x:c>
      <x:c r="EI27" s="1053" t="str">
        <x:f t="shared" si="65"/>
        <x:v>ERR</x:v>
      </x:c>
      <x:c r="EJ27" s="1053" t="str">
        <x:f t="shared" si="66"/>
        <x:v/>
      </x:c>
      <x:c r="EK27" s="1053" t="str">
        <x:f t="shared" si="66"/>
        <x:v/>
      </x:c>
      <x:c r="EL27" s="1090" t="str">
        <x:f t="shared" si="67"/>
        <x:v/>
      </x:c>
      <x:c r="EM27" s="1053" t="str">
        <x:f t="shared" si="68"/>
        <x:v/>
      </x:c>
      <x:c r="EN27" s="1053" t="str">
        <x:f t="shared" si="69"/>
        <x:v/>
      </x:c>
      <x:c r="EO27" s="1053" t="str">
        <x:f t="shared" si="70"/>
        <x:v>ERR</x:v>
      </x:c>
      <x:c r="EP27" s="1053" t="str">
        <x:f t="shared" si="71"/>
        <x:v>ERR</x:v>
      </x:c>
      <x:c r="EQ27" s="1053" t="str">
        <x:f t="shared" si="72"/>
        <x:v/>
      </x:c>
      <x:c r="ER27" s="1053" t="str">
        <x:f t="shared" si="72"/>
        <x:v/>
      </x:c>
      <x:c r="ES27" s="1053" t="str">
        <x:f t="shared" si="73"/>
        <x:v/>
      </x:c>
      <x:c r="ET27" s="1053" t="str">
        <x:f t="shared" si="74"/>
        <x:v/>
      </x:c>
      <x:c r="EU27" s="1061">
        <x:f t="shared" si="75"/>
        <x:v>4</x:v>
      </x:c>
      <x:c r="EV27" s="1055" t="str">
        <x:f t="shared" si="76"/>
        <x:v/>
      </x:c>
      <x:c r="EW27" s="1061"/>
      <x:c r="EX27" s="1061" t="str">
        <x:f>IF(AND(CU27="G", ISBLANK(BK27), ISBLANK(BL27)),VLOOKUP(MIN(BH27:BI27),TblJoistSize!$M$3:$N$10,2),IF(OR(CU27="B",CU27="G"),MIN(BK27:BL27),""))</x:f>
        <x:v/>
      </x:c>
      <x:c r="EY27" s="1061" t="str">
        <x:f>IF(AND(CU27="G", ISBLANK(BK27), ISBLANK(BL27)),VLOOKUP(MAX(BH27:BI27),TblJoistSize!$M$3:$N$10,2),IF(OR(CU27="B",CU27="G"),MAX(BK27:BL27),""))</x:f>
        <x:v/>
      </x:c>
      <x:c r="EZ27" s="1061" t="str">
        <x:f t="shared" si="77"/>
        <x:v/>
      </x:c>
      <x:c r="FA27" s="1061" t="str">
        <x:f>IF(AND(DE27="G", ISBLANK(BS27), ISBLANK(BT27)),VLOOKUP(MIN(BP27:BQ27),TblJoistSize!$M$3:$N$10,2),IF(OR(DE27="B", DE27="G"),MIN(BS27:BT27),""))</x:f>
        <x:v/>
      </x:c>
      <x:c r="FB27" s="1061" t="str">
        <x:f>IF(AND(DE27="G", ISBLANK(BS27), ISBLANK(BT27)),VLOOKUP(MAX(BP27:BQ27),TblJoistSize!$M$3:$N$10,2),IF(OR(DE27="B", DE27="G"),MAX(BS27:BT27),""))</x:f>
        <x:v/>
      </x:c>
      <x:c r="FC27" s="1061" t="str">
        <x:f t="shared" si="78"/>
        <x:v/>
      </x:c>
      <x:c r="FD27" s="1052">
        <x:f t="shared" si="100"/>
        <x:v>0</x:v>
      </x:c>
      <x:c r="FE27" s="1052">
        <x:f t="shared" si="79"/>
        <x:v>0</x:v>
      </x:c>
      <x:c r="FF27" s="1052">
        <x:f t="shared" si="80"/>
        <x:v>0</x:v>
      </x:c>
      <x:c r="FG27" s="1052" t="str">
        <x:f t="shared" si="81"/>
        <x:v/>
      </x:c>
      <x:c r="FH27" s="1053" t="str">
        <x:f t="shared" si="82"/>
        <x:v/>
      </x:c>
      <x:c r="FI27" s="1052">
        <x:f t="shared" si="101"/>
        <x:v>0</x:v>
      </x:c>
      <x:c r="FJ27" s="1052">
        <x:f t="shared" si="83"/>
        <x:v>0</x:v>
      </x:c>
      <x:c r="FK27" s="1052">
        <x:f t="shared" si="84"/>
        <x:v>0</x:v>
      </x:c>
      <x:c r="FL27" s="1052" t="str">
        <x:f t="shared" si="85"/>
        <x:v/>
      </x:c>
      <x:c r="FM27" s="1053" t="str">
        <x:f t="shared" si="86"/>
        <x:v/>
      </x:c>
      <x:c r="FN27" s="1053" t="e">
        <x:f t="shared" si="87"/>
        <x:v>#VALUE!</x:v>
      </x:c>
      <x:c r="FO27" s="1062" t="e">
        <x:f t="shared" si="88"/>
        <x:v>#VALUE!</x:v>
      </x:c>
      <x:c r="FP27" s="1062" t="e">
        <x:f t="shared" si="89"/>
        <x:v>#VALUE!</x:v>
      </x:c>
      <x:c r="FQ27" s="1063" t="e">
        <x:f t="shared" si="90"/>
        <x:v>#VALUE!</x:v>
      </x:c>
      <x:c r="FR27" s="1064" t="e">
        <x:f t="shared" si="91"/>
        <x:v>#VALUE!</x:v>
      </x:c>
      <x:c r="FS27" s="1065" t="str">
        <x:f t="shared" si="92"/>
        <x:v/>
      </x:c>
      <x:c r="FT27" s="1066" t="str">
        <x:f t="shared" si="93"/>
        <x:v/>
      </x:c>
      <x:c r="FU27" s="1105">
        <x:f t="shared" si="94"/>
        <x:v>0</x:v>
      </x:c>
      <x:c r="FV27" s="1106">
        <x:f t="shared" si="95"/>
        <x:v>0</x:v>
      </x:c>
      <x:c r="GA27" s="1975">
        <x:v>59</x:v>
      </x:c>
      <x:c r="GB27" s="1976">
        <x:v>2.75</x:v>
      </x:c>
      <x:c r="GC27" s="1977">
        <x:v>-1.875</x:v>
      </x:c>
      <x:c r="GD27" s="1978">
        <x:v>-0.25</x:v>
      </x:c>
      <x:c r="GE27" s="1979">
        <x:v>0.26169539219134702</x:v>
      </x:c>
      <x:c r="GF27" s="1980" t="str">
        <x:f t="shared" si="96"/>
        <x:v>J303</x:v>
      </x:c>
      <x:c r="GG27" s="1453"/>
      <x:c r="GH27" s="1454"/>
      <x:c r="GI27" s="1453"/>
      <x:c r="GJ27" s="1454"/>
      <x:c r="GK27" s="533">
        <x:f t="shared" si="97"/>
        <x:v>708.625</x:v>
      </x:c>
      <x:c r="GL27" s="534">
        <x:f t="shared" si="98"/>
        <x:v>708.79348626656247</x:v>
      </x:c>
      <x:c r="GM27" s="535">
        <x:f>IF(ABS(GK27-GL27)&gt;='Job Info.'!$L$22,ABS(GK27-GL27),0)</x:f>
        <x:v>0</x:v>
      </x:c>
      <x:c r="HA27" s="1658" t="s">
        <x:v>1627</x:v>
      </x:c>
      <x:c r="HB27" s="1659">
        <x:v>1</x:v>
      </x:c>
      <x:c r="HC27" s="1659" t="s">
        <x:v>1978</x:v>
      </x:c>
      <x:c r="HD27" s="1660">
        <x:v>59</x:v>
      </x:c>
      <x:c r="HE27" s="1661">
        <x:v>0.625</x:v>
      </x:c>
      <x:c r="HF27" s="1659" t="s">
        <x:v>117</x:v>
      </x:c>
      <x:c r="HG27" s="1659" t="s">
        <x:v>117</x:v>
      </x:c>
      <x:c r="HH27" s="1659" t="s">
        <x:v>117</x:v>
      </x:c>
      <x:c r="HI27" s="1662">
        <x:v>0</x:v>
      </x:c>
      <x:c r="HJ27" s="1659">
        <x:v>1.375</x:v>
      </x:c>
      <x:c r="HK27" s="1659" t="s">
        <x:v>114</x:v>
      </x:c>
      <x:c r="HL27" s="1659">
        <x:v>3</x:v>
      </x:c>
      <x:c r="HM27" s="1659">
        <x:v>3</x:v>
      </x:c>
      <x:c r="HN27" s="1659" t="s">
        <x:v>117</x:v>
      </x:c>
      <x:c r="HO27" s="1659" t="s">
        <x:v>117</x:v>
      </x:c>
      <x:c r="HP27" s="1659" t="s">
        <x:v>117</x:v>
      </x:c>
      <x:c r="HQ27" s="1662" t="s">
        <x:v>117</x:v>
      </x:c>
      <x:c r="HR27" s="1659" t="s">
        <x:v>117</x:v>
      </x:c>
      <x:c r="HS27" s="1659" t="s">
        <x:v>117</x:v>
      </x:c>
      <x:c r="HT27" s="1659" t="s">
        <x:v>117</x:v>
      </x:c>
      <x:c r="HU27" s="1659" t="s">
        <x:v>117</x:v>
      </x:c>
      <x:c r="HV27" s="1659" t="s">
        <x:v>117</x:v>
      </x:c>
      <x:c r="HW27" s="1661" t="s">
        <x:v>117</x:v>
      </x:c>
      <x:c r="HX27" s="1661">
        <x:v>0</x:v>
      </x:c>
      <x:c r="HY27" s="1661" t="s">
        <x:v>117</x:v>
      </x:c>
      <x:c r="HZ27" s="1661" t="s">
        <x:v>117</x:v>
      </x:c>
      <x:c r="IA27" s="1661" t="s">
        <x:v>2284</x:v>
      </x:c>
      <x:c r="IB27" s="1661"/>
      <x:c r="IC27" s="1661"/>
      <x:c r="ID27" s="1661"/>
      <x:c r="IE27" s="1661"/>
      <x:c r="IF27" s="1663"/>
    </x:row>
    <x:row r="28" spans="1:240" ht="12.6" customHeight="1" x14ac:dyDescent="0.25">
      <x:c r="A28" s="1264" t="s">
        <x:v>1628</x:v>
      </x:c>
      <x:c r="B28" s="1265">
        <x:v>13</x:v>
      </x:c>
      <x:c r="C28" s="1265" t="s">
        <x:v>1978</x:v>
      </x:c>
      <x:c r="D28" s="1261">
        <x:v>59</x:v>
      </x:c>
      <x:c r="E28" s="1366">
        <x:v>0.625</x:v>
      </x:c>
      <x:c r="F28" s="1328" t="str">
        <x:f t="shared" si="102"/>
        <x:v/>
      </x:c>
      <x:c r="G28" s="1262" t="str">
        <x:f t="shared" si="103"/>
        <x:v/>
      </x:c>
      <x:c r="H28" s="1266" t="str">
        <x:f t="shared" si="104"/>
        <x:v/>
      </x:c>
      <x:c r="I28" s="1261">
        <x:v>0</x:v>
      </x:c>
      <x:c r="J28" s="1262">
        <x:v>1.375</x:v>
      </x:c>
      <x:c r="K28" s="1370" t="s">
        <x:v>114</x:v>
      </x:c>
      <x:c r="L28" s="1327">
        <x:v>3</x:v>
      </x:c>
      <x:c r="M28" s="1329">
        <x:v>3</x:v>
      </x:c>
      <x:c r="N28" s="1263" t="str">
        <x:f t="shared" si="1"/>
        <x:v/>
      </x:c>
      <x:c r="O28" s="1262" t="str">
        <x:f t="shared" si="2"/>
        <x:v/>
      </x:c>
      <x:c r="P28" s="1260" t="str">
        <x:f t="shared" si="3"/>
        <x:v/>
      </x:c>
      <x:c r="Q28" s="1261" t="str">
        <x:f t="shared" si="4"/>
        <x:v/>
      </x:c>
      <x:c r="R28" s="1262" t="str">
        <x:f t="shared" si="5"/>
        <x:v/>
      </x:c>
      <x:c r="S28" s="1375" t="str">
        <x:f t="shared" si="6"/>
        <x:v/>
      </x:c>
      <x:c r="T28" s="1328" t="str">
        <x:f t="shared" si="105"/>
        <x:v/>
      </x:c>
      <x:c r="U28" s="1262" t="str">
        <x:f t="shared" si="106"/>
        <x:v/>
      </x:c>
      <x:c r="V28" s="1261" t="str">
        <x:f t="shared" si="107"/>
        <x:v/>
      </x:c>
      <x:c r="W28" s="1262" t="str">
        <x:f t="shared" si="108"/>
        <x:v/>
      </x:c>
      <x:c r="X28" s="1329">
        <x:f t="shared" si="109"/>
        <x:v>0</x:v>
      </x:c>
      <x:c r="Y28" s="1377" t="str">
        <x:f t="shared" si="7"/>
        <x:v/>
      </x:c>
      <x:c r="Z28" s="1378" t="str">
        <x:f t="shared" si="8"/>
        <x:v/>
      </x:c>
      <x:c r="AA28" s="2159" t="s">
        <x:v>2285</x:v>
      </x:c>
      <x:c r="AC28" s="1226" t="b">
        <x:v>0</x:v>
      </x:c>
      <x:c r="AD28" s="525">
        <x:f t="shared" si="9"/>
        <x:v>0</x:v>
      </x:c>
      <x:c r="AE28" s="526">
        <x:f t="shared" si="10"/>
        <x:v>13</x:v>
      </x:c>
      <x:c r="AF28" s="526">
        <x:f t="shared" si="11"/>
        <x:v>0</x:v>
      </x:c>
      <x:c r="AG28" s="526">
        <x:f t="shared" si="12"/>
        <x:v>0</x:v>
      </x:c>
      <x:c r="AH28" s="527">
        <x:f t="shared" si="13"/>
        <x:v>0</x:v>
      </x:c>
      <x:c r="AI28" s="528" t="b">
        <x:v>0</x:v>
      </x:c>
      <x:c r="AJ28" s="284">
        <x:f t="shared" si="14"/>
        <x:v>36</x:v>
      </x:c>
      <x:c r="AK28" s="1063" t="str">
        <x:f t="shared" si="15"/>
        <x:v>LH</x:v>
      </x:c>
      <x:c r="AL28" s="1202" t="str">
        <x:f t="shared" si="16"/>
        <x:v/>
      </x:c>
      <x:c r="AM28" s="1063">
        <x:f t="shared" si="17"/>
        <x:v>270</x:v>
      </x:c>
      <x:c r="AN28" s="1063">
        <x:f t="shared" si="18"/>
        <x:v>120</x:v>
      </x:c>
      <x:c r="AO28" s="1063" t="str">
        <x:f t="shared" si="19"/>
        <x:v/>
      </x:c>
      <x:c r="AP28" s="1063" t="b">
        <x:f>IF(ISERROR(AJ28),FALSE,IF(OR(AJ28=0,ISERROR(AL28),ISERROR(AM28),ISERROR(AN28),ISERROR(AO28)),FALSE,IF(AL28&lt;&gt;"",IF(ISERROR(VLOOKUP(SUBSTITUTE(SUBSTITUTE(C28,"R",""),"A",""),TblJoistSize!$A:$A,1,FALSE)),FALSE,TRUE),TRUE)))</x:f>
        <x:v>1</x:v>
      </x:c>
      <x:c r="AQ28" s="1305">
        <x:f t="shared" si="20"/>
        <x:v>6</x:v>
      </x:c>
      <x:c r="AR28" s="1305" t="b">
        <x:f t="shared" si="21"/>
        <x:v>0</x:v>
      </x:c>
      <x:c r="AS28" s="1305">
        <x:f t="shared" si="22"/>
        <x:v>7.375</x:v>
      </x:c>
      <x:c r="AT28" s="1305" t="b">
        <x:f t="shared" si="23"/>
        <x:v>0</x:v>
      </x:c>
      <x:c r="AU28" s="1203" t="str">
        <x:f t="shared" si="24"/>
        <x:v>LH</x:v>
      </x:c>
      <x:c r="AV28" s="1063" t="str">
        <x:f t="shared" si="25"/>
        <x:v/>
      </x:c>
      <x:c r="AW28" s="1063" t="str">
        <x:f t="shared" si="26"/>
        <x:v>LH</x:v>
      </x:c>
      <x:c r="AX28" s="1063" t="str">
        <x:f t="shared" si="99"/>
        <x:v>J304</x:v>
      </x:c>
      <x:c r="AY28" s="1306" t="b">
        <x:f t="shared" si="27"/>
        <x:v>0</x:v>
      </x:c>
      <x:c r="AZ28" s="1090" t="b">
        <x:f t="shared" si="28"/>
        <x:v>0</x:v>
      </x:c>
      <x:c r="BA28" s="674"/>
      <x:c r="BB28" s="842"/>
      <x:c r="BC28" s="894"/>
      <x:c r="BD28" s="926"/>
      <x:c r="BE28" s="927"/>
      <x:c r="BF28" s="928"/>
      <x:c r="BG28" s="901"/>
      <x:c r="BH28" s="1244"/>
      <x:c r="BI28" s="1245"/>
      <x:c r="BJ28" s="929"/>
      <x:c r="BK28" s="902"/>
      <x:c r="BL28" s="903"/>
      <x:c r="BM28" s="904"/>
      <x:c r="BN28" s="905"/>
      <x:c r="BO28" s="901"/>
      <x:c r="BP28" s="902"/>
      <x:c r="BQ28" s="903"/>
      <x:c r="BR28" s="929"/>
      <x:c r="BS28" s="902"/>
      <x:c r="BT28" s="903"/>
      <x:c r="BU28" s="904"/>
      <x:c r="BV28" s="905"/>
      <x:c r="BW28" s="906"/>
      <x:c r="BX28" s="930"/>
      <x:c r="BY28" s="931"/>
      <x:c r="BZ28" s="932"/>
      <x:c r="CA28" s="933"/>
      <x:c r="CB28" s="932"/>
      <x:c r="CC28" s="933"/>
      <x:c r="CD28" s="934" t="str">
        <x:f t="shared" si="29"/>
        <x:v/>
      </x:c>
      <x:c r="CE28" s="935" t="str">
        <x:f t="shared" si="30"/>
        <x:v/>
      </x:c>
      <x:c r="CF28" s="1149"/>
      <x:c r="CG28" s="1150"/>
      <x:c r="CH28" s="738" t="str">
        <x:f t="shared" si="31"/>
        <x:v/>
      </x:c>
      <x:c r="CI28" s="739" t="str">
        <x:f t="shared" si="32"/>
        <x:v/>
      </x:c>
      <x:c r="CJ28" s="740" t="str">
        <x:f t="shared" si="33"/>
        <x:v/>
      </x:c>
      <x:c r="CK28" s="741" t="str">
        <x:f t="shared" si="34"/>
        <x:v/>
      </x:c>
      <x:c r="CL28" s="742" t="str">
        <x:f t="shared" si="35"/>
        <x:v/>
      </x:c>
      <x:c r="CM28" s="743" t="str">
        <x:f t="shared" si="36"/>
        <x:v/>
      </x:c>
      <x:c r="CN28" s="744" t="str">
        <x:f t="shared" si="37"/>
        <x:v/>
      </x:c>
      <x:c r="CO28" s="745" t="str">
        <x:f t="shared" si="38"/>
        <x:v/>
      </x:c>
      <x:c r="CP28" s="762" t="str">
        <x:f t="shared" si="39"/>
        <x:v/>
      </x:c>
      <x:c r="CQ28" s="763" t="str">
        <x:f t="shared" si="40"/>
        <x:v/>
      </x:c>
      <x:c r="CR28" s="953">
        <x:f t="shared" si="41"/>
        <x:v>5</x:v>
      </x:c>
      <x:c r="CS28" s="954">
        <x:f t="shared" si="42"/>
        <x:v>5</x:v>
      </x:c>
      <x:c r="CU28" s="1048" t="str">
        <x:f>IF(BG28="","",VLOOKUP(BG28,SectInfo!$B:$N,12,FALSE))</x:f>
        <x:v/>
      </x:c>
      <x:c r="CV28" s="1046" t="str">
        <x:f>IF(BG28="","",IF(ISBLANK(BZ28),VLOOKUP(BG28,SectInfo!$B:$N,13,FALSE),BZ28))</x:f>
        <x:v/>
      </x:c>
      <x:c r="CW28" s="1046" t="str">
        <x:f>IF(BG28="","",IF(VLOOKUP(BG28,SectInfo!$B:$N,5,FALSE)="","R",UPPER(VLOOKUP(BG28,SectInfo!$B:$N,5,FALSE))))</x:f>
        <x:v/>
      </x:c>
      <x:c r="CX28" s="1046" t="str">
        <x:f>IF(BG28="","",IF(ISBLANK(CF28),VLOOKUP(BG28,SectInfo!$B:$N,6,FALSE),CF28))</x:f>
        <x:v/>
      </x:c>
      <x:c r="CY28" s="1276" t="str">
        <x:f>IF(BG28="","",IF(VLOOKUP(BG28,SectInfo!$B:$N,10,FALSE)="","",(VLOOKUP(BG28,SectInfo!$B:$N,10,FALSE)*-1)))</x:f>
        <x:v/>
      </x:c>
      <x:c r="CZ28" s="1443" t="str">
        <x:f>IF(BG28="","",IF(VLOOKUP(BG28,SectInfo!$B:$N,11,FALSE)="","2",(VLOOKUP(BG28,SectInfo!$B:$N,11,FALSE))))</x:f>
        <x:v/>
      </x:c>
      <x:c r="DA28" s="1046" t="str">
        <x:f>IF(BG28="","",IF(VLOOKUP(BG28,SectInfo!$B:$N,7,FALSE)="","",(VLOOKUP(BG28,SectInfo!$B:$N,7,FALSE)*-1)))</x:f>
        <x:v/>
      </x:c>
      <x:c r="DB28" s="1046" t="str">
        <x:f>IF(BG28="","",IF(VLOOKUP(BG28,SectInfo!$B:$N,8,FALSE)="",VLOOKUP(AU28,$DF$2:$DN$9,6,FALSE),(VLOOKUP(BG28,SectInfo!$B:$N,8,FALSE))))</x:f>
        <x:v/>
      </x:c>
      <x:c r="DC28" s="1046" t="str">
        <x:f>IF(BG28="","",VLOOKUP(BG28,SectInfo!$B:$N,9,FALSE))</x:f>
        <x:v/>
      </x:c>
      <x:c r="DD28" s="1047">
        <x:f t="shared" si="43"/>
        <x:v>0</x:v>
      </x:c>
      <x:c r="DE28" s="1048" t="str">
        <x:f>IF(BO28="","",VLOOKUP(BO28,SectInfo!$B:$N,12,FALSE))</x:f>
        <x:v/>
      </x:c>
      <x:c r="DF28" s="1046" t="str">
        <x:f>IF(BO28="","",IF(ISBLANK(CA28),VLOOKUP(BO28,SectInfo!$B:$N,13,FALSE),CA28))</x:f>
        <x:v/>
      </x:c>
      <x:c r="DG28" s="1046" t="str">
        <x:f>IF(BO28="","",IF(VLOOKUP(BO28,SectInfo!$B:$N,5,FALSE)="","R",UPPER(VLOOKUP(BO28,SectInfo!$B:$N,5,FALSE))))</x:f>
        <x:v/>
      </x:c>
      <x:c r="DH28" s="1046" t="str">
        <x:f>IF(BO28="","",IF(ISBLANK(CG28),VLOOKUP(BO28,SectInfo!$B:$N,6,FALSE),CG28))</x:f>
        <x:v/>
      </x:c>
      <x:c r="DI28" s="1046" t="str">
        <x:f>IF(BO28="","",IF(VLOOKUP(BO28,SectInfo!$B:$N,10,FALSE)="","",(VLOOKUP(BO28,SectInfo!$B:$N,10,FALSE)*-1)))</x:f>
        <x:v/>
      </x:c>
      <x:c r="DJ28" s="1443" t="str">
        <x:f>IF(BO28="","",IF(VLOOKUP(BO28,SectInfo!$B:$N,11,FALSE)="","2",(VLOOKUP(BO28,SectInfo!$B:$N,11,FALSE))))</x:f>
        <x:v/>
      </x:c>
      <x:c r="DK28" s="1046" t="str">
        <x:f>IF(BO28="","",IF(VLOOKUP(BO28,SectInfo!$B:$N,7,FALSE)="","",(VLOOKUP(BO28,SectInfo!$B:$N,7,FALSE)*-1)))</x:f>
        <x:v/>
      </x:c>
      <x:c r="DL28" s="1046" t="str">
        <x:f>IF(BO28="","",IF(VLOOKUP(BO28,SectInfo!$B:$N,8,FALSE)="",VLOOKUP(AU28,$DF$2:$DN$9,6,FALSE),(VLOOKUP(BO28,SectInfo!$B:$N,8,FALSE))))</x:f>
        <x:v/>
      </x:c>
      <x:c r="DM28" s="1046" t="str">
        <x:f>IF(BO28="","",VLOOKUP(BO28,SectInfo!$B:$N,9,FALSE))</x:f>
        <x:v/>
      </x:c>
      <x:c r="DN28" s="1047">
        <x:f t="shared" si="44"/>
        <x:v>0</x:v>
      </x:c>
      <x:c r="DO28" s="1049">
        <x:f t="shared" si="45"/>
        <x:v>0</x:v>
      </x:c>
      <x:c r="DP28" s="1053" t="str">
        <x:f t="shared" si="46"/>
        <x:v/>
      </x:c>
      <x:c r="DQ28" s="1053" t="str">
        <x:f t="shared" si="47"/>
        <x:v/>
      </x:c>
      <x:c r="DR28" s="1053" t="str">
        <x:f t="shared" si="48"/>
        <x:v/>
      </x:c>
      <x:c r="DS28" s="1052">
        <x:f t="shared" si="49"/>
        <x:v>0</x:v>
      </x:c>
      <x:c r="DT28" s="1052">
        <x:f t="shared" si="50"/>
        <x:v>0</x:v>
      </x:c>
      <x:c r="DU28" s="1052" t="str">
        <x:f t="shared" si="51"/>
        <x:v/>
      </x:c>
      <x:c r="DV28" s="1053" t="str">
        <x:f t="shared" si="52"/>
        <x:v/>
      </x:c>
      <x:c r="DW28" s="1053" t="str">
        <x:f t="shared" si="53"/>
        <x:v/>
      </x:c>
      <x:c r="DX28" s="1269">
        <x:f t="shared" si="54"/>
        <x:v>0</x:v>
      </x:c>
      <x:c r="DY28" s="1053">
        <x:f t="shared" si="55"/>
        <x:v>0</x:v>
      </x:c>
      <x:c r="DZ28" s="1052">
        <x:f t="shared" si="56"/>
        <x:v>0</x:v>
      </x:c>
      <x:c r="EA28" s="1052" t="str">
        <x:f t="shared" si="57"/>
        <x:v/>
      </x:c>
      <x:c r="EB28" s="1053" t="str">
        <x:f t="shared" si="58"/>
        <x:v/>
      </x:c>
      <x:c r="EC28" s="1053" t="str">
        <x:f t="shared" si="59"/>
        <x:v/>
      </x:c>
      <x:c r="ED28" s="1269">
        <x:f t="shared" si="60"/>
        <x:v>0</x:v>
      </x:c>
      <x:c r="EE28" s="1090" t="str">
        <x:f t="shared" si="61"/>
        <x:v/>
      </x:c>
      <x:c r="EF28" s="1053" t="str">
        <x:f t="shared" si="62"/>
        <x:v/>
      </x:c>
      <x:c r="EG28" s="1053" t="str">
        <x:f t="shared" si="63"/>
        <x:v/>
      </x:c>
      <x:c r="EH28" s="1053" t="str">
        <x:f t="shared" si="64"/>
        <x:v>ERR</x:v>
      </x:c>
      <x:c r="EI28" s="1053" t="str">
        <x:f t="shared" si="65"/>
        <x:v>ERR</x:v>
      </x:c>
      <x:c r="EJ28" s="1053" t="str">
        <x:f t="shared" si="66"/>
        <x:v/>
      </x:c>
      <x:c r="EK28" s="1053" t="str">
        <x:f t="shared" si="66"/>
        <x:v/>
      </x:c>
      <x:c r="EL28" s="1090" t="str">
        <x:f t="shared" si="67"/>
        <x:v/>
      </x:c>
      <x:c r="EM28" s="1053" t="str">
        <x:f t="shared" si="68"/>
        <x:v/>
      </x:c>
      <x:c r="EN28" s="1053" t="str">
        <x:f t="shared" si="69"/>
        <x:v/>
      </x:c>
      <x:c r="EO28" s="1053" t="str">
        <x:f t="shared" si="70"/>
        <x:v>ERR</x:v>
      </x:c>
      <x:c r="EP28" s="1053" t="str">
        <x:f t="shared" si="71"/>
        <x:v>ERR</x:v>
      </x:c>
      <x:c r="EQ28" s="1053" t="str">
        <x:f t="shared" si="72"/>
        <x:v/>
      </x:c>
      <x:c r="ER28" s="1053" t="str">
        <x:f t="shared" si="72"/>
        <x:v/>
      </x:c>
      <x:c r="ES28" s="1053" t="str">
        <x:f t="shared" si="73"/>
        <x:v/>
      </x:c>
      <x:c r="ET28" s="1053" t="str">
        <x:f t="shared" si="74"/>
        <x:v/>
      </x:c>
      <x:c r="EU28" s="1061">
        <x:f t="shared" si="75"/>
        <x:v>4</x:v>
      </x:c>
      <x:c r="EV28" s="1055" t="str">
        <x:f t="shared" si="76"/>
        <x:v/>
      </x:c>
      <x:c r="EW28" s="1061"/>
      <x:c r="EX28" s="1061" t="str">
        <x:f>IF(AND(CU28="G", ISBLANK(BK28), ISBLANK(BL28)),VLOOKUP(MIN(BH28:BI28),TblJoistSize!$M$3:$N$10,2),IF(OR(CU28="B",CU28="G"),MIN(BK28:BL28),""))</x:f>
        <x:v/>
      </x:c>
      <x:c r="EY28" s="1061" t="str">
        <x:f>IF(AND(CU28="G", ISBLANK(BK28), ISBLANK(BL28)),VLOOKUP(MAX(BH28:BI28),TblJoistSize!$M$3:$N$10,2),IF(OR(CU28="B",CU28="G"),MAX(BK28:BL28),""))</x:f>
        <x:v/>
      </x:c>
      <x:c r="EZ28" s="1061" t="str">
        <x:f t="shared" si="77"/>
        <x:v/>
      </x:c>
      <x:c r="FA28" s="1061" t="str">
        <x:f>IF(AND(DE28="G", ISBLANK(BS28), ISBLANK(BT28)),VLOOKUP(MIN(BP28:BQ28),TblJoistSize!$M$3:$N$10,2),IF(OR(DE28="B", DE28="G"),MIN(BS28:BT28),""))</x:f>
        <x:v/>
      </x:c>
      <x:c r="FB28" s="1061" t="str">
        <x:f>IF(AND(DE28="G", ISBLANK(BS28), ISBLANK(BT28)),VLOOKUP(MAX(BP28:BQ28),TblJoistSize!$M$3:$N$10,2),IF(OR(DE28="B", DE28="G"),MAX(BS28:BT28),""))</x:f>
        <x:v/>
      </x:c>
      <x:c r="FC28" s="1061" t="str">
        <x:f t="shared" si="78"/>
        <x:v/>
      </x:c>
      <x:c r="FD28" s="1052">
        <x:f t="shared" si="100"/>
        <x:v>0</x:v>
      </x:c>
      <x:c r="FE28" s="1052">
        <x:f t="shared" si="79"/>
        <x:v>0</x:v>
      </x:c>
      <x:c r="FF28" s="1052">
        <x:f t="shared" si="80"/>
        <x:v>0</x:v>
      </x:c>
      <x:c r="FG28" s="1052" t="str">
        <x:f t="shared" si="81"/>
        <x:v/>
      </x:c>
      <x:c r="FH28" s="1053" t="str">
        <x:f t="shared" si="82"/>
        <x:v/>
      </x:c>
      <x:c r="FI28" s="1052">
        <x:f t="shared" si="101"/>
        <x:v>0</x:v>
      </x:c>
      <x:c r="FJ28" s="1052">
        <x:f t="shared" si="83"/>
        <x:v>0</x:v>
      </x:c>
      <x:c r="FK28" s="1052">
        <x:f t="shared" si="84"/>
        <x:v>0</x:v>
      </x:c>
      <x:c r="FL28" s="1052" t="str">
        <x:f t="shared" si="85"/>
        <x:v/>
      </x:c>
      <x:c r="FM28" s="1053" t="str">
        <x:f t="shared" si="86"/>
        <x:v/>
      </x:c>
      <x:c r="FN28" s="1053" t="e">
        <x:f t="shared" si="87"/>
        <x:v>#VALUE!</x:v>
      </x:c>
      <x:c r="FO28" s="1062" t="e">
        <x:f t="shared" si="88"/>
        <x:v>#VALUE!</x:v>
      </x:c>
      <x:c r="FP28" s="1062" t="e">
        <x:f t="shared" si="89"/>
        <x:v>#VALUE!</x:v>
      </x:c>
      <x:c r="FQ28" s="1063" t="e">
        <x:f t="shared" si="90"/>
        <x:v>#VALUE!</x:v>
      </x:c>
      <x:c r="FR28" s="1064" t="e">
        <x:f t="shared" si="91"/>
        <x:v>#VALUE!</x:v>
      </x:c>
      <x:c r="FS28" s="1065" t="str">
        <x:f t="shared" si="92"/>
        <x:v/>
      </x:c>
      <x:c r="FT28" s="1066" t="str">
        <x:f t="shared" si="93"/>
        <x:v/>
      </x:c>
      <x:c r="FU28" s="1105">
        <x:f t="shared" si="94"/>
        <x:v>0</x:v>
      </x:c>
      <x:c r="FV28" s="1106">
        <x:f t="shared" si="95"/>
        <x:v>0</x:v>
      </x:c>
      <x:c r="GA28" s="1975">
        <x:v>59</x:v>
      </x:c>
      <x:c r="GB28" s="1976">
        <x:v>2.75</x:v>
      </x:c>
      <x:c r="GC28" s="1977">
        <x:v>-1.875</x:v>
      </x:c>
      <x:c r="GD28" s="1978">
        <x:v>-0.25</x:v>
      </x:c>
      <x:c r="GE28" s="1979">
        <x:v>0.26169539219134702</x:v>
      </x:c>
      <x:c r="GF28" s="1980" t="str">
        <x:f t="shared" si="96"/>
        <x:v>J304</x:v>
      </x:c>
      <x:c r="GG28" s="1453"/>
      <x:c r="GH28" s="1454"/>
      <x:c r="GI28" s="1453"/>
      <x:c r="GJ28" s="1454"/>
      <x:c r="GK28" s="533">
        <x:f t="shared" si="97"/>
        <x:v>708.625</x:v>
      </x:c>
      <x:c r="GL28" s="534">
        <x:f t="shared" si="98"/>
        <x:v>708.79348626656247</x:v>
      </x:c>
      <x:c r="GM28" s="535">
        <x:f>IF(ABS(GK28-GL28)&gt;='Job Info.'!$L$22,ABS(GK28-GL28),0)</x:f>
        <x:v>0</x:v>
      </x:c>
      <x:c r="HA28" s="1658" t="s">
        <x:v>1628</x:v>
      </x:c>
      <x:c r="HB28" s="1659">
        <x:v>13</x:v>
      </x:c>
      <x:c r="HC28" s="1659" t="s">
        <x:v>1978</x:v>
      </x:c>
      <x:c r="HD28" s="1660">
        <x:v>59</x:v>
      </x:c>
      <x:c r="HE28" s="1661">
        <x:v>0.625</x:v>
      </x:c>
      <x:c r="HF28" s="1659" t="s">
        <x:v>117</x:v>
      </x:c>
      <x:c r="HG28" s="1659" t="s">
        <x:v>117</x:v>
      </x:c>
      <x:c r="HH28" s="1659" t="s">
        <x:v>117</x:v>
      </x:c>
      <x:c r="HI28" s="1662">
        <x:v>0</x:v>
      </x:c>
      <x:c r="HJ28" s="1659">
        <x:v>1.375</x:v>
      </x:c>
      <x:c r="HK28" s="1659" t="s">
        <x:v>114</x:v>
      </x:c>
      <x:c r="HL28" s="1659">
        <x:v>3</x:v>
      </x:c>
      <x:c r="HM28" s="1659">
        <x:v>3</x:v>
      </x:c>
      <x:c r="HN28" s="1659" t="s">
        <x:v>117</x:v>
      </x:c>
      <x:c r="HO28" s="1659" t="s">
        <x:v>117</x:v>
      </x:c>
      <x:c r="HP28" s="1659" t="s">
        <x:v>117</x:v>
      </x:c>
      <x:c r="HQ28" s="1662" t="s">
        <x:v>117</x:v>
      </x:c>
      <x:c r="HR28" s="1659" t="s">
        <x:v>117</x:v>
      </x:c>
      <x:c r="HS28" s="1659" t="s">
        <x:v>117</x:v>
      </x:c>
      <x:c r="HT28" s="1659" t="s">
        <x:v>117</x:v>
      </x:c>
      <x:c r="HU28" s="1659" t="s">
        <x:v>117</x:v>
      </x:c>
      <x:c r="HV28" s="1659" t="s">
        <x:v>117</x:v>
      </x:c>
      <x:c r="HW28" s="1661" t="s">
        <x:v>117</x:v>
      </x:c>
      <x:c r="HX28" s="1661">
        <x:v>0</x:v>
      </x:c>
      <x:c r="HY28" s="1661" t="s">
        <x:v>117</x:v>
      </x:c>
      <x:c r="HZ28" s="1661" t="s">
        <x:v>117</x:v>
      </x:c>
      <x:c r="IA28" s="1661" t="s">
        <x:v>2285</x:v>
      </x:c>
      <x:c r="IB28" s="1661"/>
      <x:c r="IC28" s="1661"/>
      <x:c r="ID28" s="1661"/>
      <x:c r="IE28" s="1661"/>
      <x:c r="IF28" s="1663"/>
    </x:row>
    <x:row r="29" spans="1:240" ht="12.6" customHeight="1" x14ac:dyDescent="0.25">
      <x:c r="A29" s="1264" t="s">
        <x:v>1629</x:v>
      </x:c>
      <x:c r="B29" s="1265">
        <x:v>3</x:v>
      </x:c>
      <x:c r="C29" s="1265" t="s">
        <x:v>1978</x:v>
      </x:c>
      <x:c r="D29" s="1261">
        <x:v>59</x:v>
      </x:c>
      <x:c r="E29" s="1366">
        <x:v>0.625</x:v>
      </x:c>
      <x:c r="F29" s="1328" t="str">
        <x:f t="shared" si="102"/>
        <x:v/>
      </x:c>
      <x:c r="G29" s="1262" t="str">
        <x:f t="shared" si="103"/>
        <x:v/>
      </x:c>
      <x:c r="H29" s="1266" t="str">
        <x:f t="shared" si="104"/>
        <x:v/>
      </x:c>
      <x:c r="I29" s="1261">
        <x:v>0</x:v>
      </x:c>
      <x:c r="J29" s="1262">
        <x:v>1.375</x:v>
      </x:c>
      <x:c r="K29" s="1370" t="s">
        <x:v>114</x:v>
      </x:c>
      <x:c r="L29" s="1327">
        <x:v>3</x:v>
      </x:c>
      <x:c r="M29" s="1329">
        <x:v>3</x:v>
      </x:c>
      <x:c r="N29" s="1263" t="str">
        <x:f t="shared" si="1"/>
        <x:v/>
      </x:c>
      <x:c r="O29" s="1262" t="str">
        <x:f t="shared" si="2"/>
        <x:v/>
      </x:c>
      <x:c r="P29" s="1260" t="str">
        <x:f t="shared" si="3"/>
        <x:v/>
      </x:c>
      <x:c r="Q29" s="1261" t="str">
        <x:f t="shared" si="4"/>
        <x:v/>
      </x:c>
      <x:c r="R29" s="1262" t="str">
        <x:f t="shared" si="5"/>
        <x:v/>
      </x:c>
      <x:c r="S29" s="1375" t="str">
        <x:f t="shared" si="6"/>
        <x:v/>
      </x:c>
      <x:c r="T29" s="1328">
        <x:v>0</x:v>
      </x:c>
      <x:c r="U29" s="1262">
        <x:v>1.125</x:v>
      </x:c>
      <x:c r="V29" s="1261">
        <x:v>0</x:v>
      </x:c>
      <x:c r="W29" s="1262">
        <x:v>2.25</x:v>
      </x:c>
      <x:c r="X29" s="1329">
        <x:v>4</x:v>
      </x:c>
      <x:c r="Y29" s="1377" t="str">
        <x:f t="shared" si="7"/>
        <x:v/>
      </x:c>
      <x:c r="Z29" s="1378" t="str">
        <x:f t="shared" si="8"/>
        <x:v/>
      </x:c>
      <x:c r="AA29" s="2159" t="s">
        <x:v>2285</x:v>
      </x:c>
      <x:c r="AC29" s="1226" t="b">
        <x:v>0</x:v>
      </x:c>
      <x:c r="AD29" s="525">
        <x:f t="shared" si="9"/>
        <x:v>0</x:v>
      </x:c>
      <x:c r="AE29" s="526">
        <x:f t="shared" si="10"/>
        <x:v>3</x:v>
      </x:c>
      <x:c r="AF29" s="526">
        <x:f t="shared" si="11"/>
        <x:v>0</x:v>
      </x:c>
      <x:c r="AG29" s="526">
        <x:f t="shared" si="12"/>
        <x:v>0</x:v>
      </x:c>
      <x:c r="AH29" s="527">
        <x:f t="shared" si="13"/>
        <x:v>0</x:v>
      </x:c>
      <x:c r="AI29" s="528" t="b">
        <x:v>0</x:v>
      </x:c>
      <x:c r="AJ29" s="284">
        <x:f t="shared" si="14"/>
        <x:v>36</x:v>
      </x:c>
      <x:c r="AK29" s="1063" t="str">
        <x:f t="shared" si="15"/>
        <x:v>LH</x:v>
      </x:c>
      <x:c r="AL29" s="1202" t="str">
        <x:f t="shared" si="16"/>
        <x:v/>
      </x:c>
      <x:c r="AM29" s="1063">
        <x:f t="shared" si="17"/>
        <x:v>270</x:v>
      </x:c>
      <x:c r="AN29" s="1063">
        <x:f t="shared" si="18"/>
        <x:v>120</x:v>
      </x:c>
      <x:c r="AO29" s="1063" t="str">
        <x:f t="shared" si="19"/>
        <x:v/>
      </x:c>
      <x:c r="AP29" s="1063" t="b">
        <x:f>IF(ISERROR(AJ29),FALSE,IF(OR(AJ29=0,ISERROR(AL29),ISERROR(AM29),ISERROR(AN29),ISERROR(AO29)),FALSE,IF(AL29&lt;&gt;"",IF(ISERROR(VLOOKUP(SUBSTITUTE(SUBSTITUTE(C29,"R",""),"A",""),TblJoistSize!$A:$A,1,FALSE)),FALSE,TRUE),TRUE)))</x:f>
        <x:v>1</x:v>
      </x:c>
      <x:c r="AQ29" s="1305">
        <x:f t="shared" si="20"/>
        <x:v>6</x:v>
      </x:c>
      <x:c r="AR29" s="1305" t="b">
        <x:f t="shared" si="21"/>
        <x:v>1</x:v>
      </x:c>
      <x:c r="AS29" s="1305">
        <x:f t="shared" si="22"/>
        <x:v>7.375</x:v>
      </x:c>
      <x:c r="AT29" s="1305" t="b">
        <x:f t="shared" si="23"/>
        <x:v>1</x:v>
      </x:c>
      <x:c r="AU29" s="1203" t="str">
        <x:f t="shared" si="24"/>
        <x:v>LH</x:v>
      </x:c>
      <x:c r="AV29" s="1063" t="str">
        <x:f t="shared" si="25"/>
        <x:v/>
      </x:c>
      <x:c r="AW29" s="1063" t="str">
        <x:f t="shared" si="26"/>
        <x:v>LH</x:v>
      </x:c>
      <x:c r="AX29" s="1063" t="str">
        <x:f t="shared" si="99"/>
        <x:v>TJ305</x:v>
      </x:c>
      <x:c r="AY29" s="1306" t="b">
        <x:f t="shared" si="27"/>
        <x:v>0</x:v>
      </x:c>
      <x:c r="AZ29" s="1090" t="b">
        <x:f t="shared" si="28"/>
        <x:v>0</x:v>
      </x:c>
      <x:c r="BA29" s="674"/>
      <x:c r="BB29" s="842"/>
      <x:c r="BC29" s="894"/>
      <x:c r="BD29" s="926"/>
      <x:c r="BE29" s="927"/>
      <x:c r="BF29" s="928"/>
      <x:c r="BG29" s="901"/>
      <x:c r="BH29" s="1244"/>
      <x:c r="BI29" s="1245"/>
      <x:c r="BJ29" s="929"/>
      <x:c r="BK29" s="902"/>
      <x:c r="BL29" s="903"/>
      <x:c r="BM29" s="904"/>
      <x:c r="BN29" s="905"/>
      <x:c r="BO29" s="901"/>
      <x:c r="BP29" s="902"/>
      <x:c r="BQ29" s="903"/>
      <x:c r="BR29" s="929"/>
      <x:c r="BS29" s="902"/>
      <x:c r="BT29" s="903"/>
      <x:c r="BU29" s="904"/>
      <x:c r="BV29" s="905"/>
      <x:c r="BW29" s="906"/>
      <x:c r="BX29" s="930"/>
      <x:c r="BY29" s="931"/>
      <x:c r="BZ29" s="932"/>
      <x:c r="CA29" s="933"/>
      <x:c r="CB29" s="932"/>
      <x:c r="CC29" s="933"/>
      <x:c r="CD29" s="934" t="str">
        <x:f t="shared" si="29"/>
        <x:v/>
      </x:c>
      <x:c r="CE29" s="935" t="str">
        <x:f t="shared" si="30"/>
        <x:v/>
      </x:c>
      <x:c r="CF29" s="1149"/>
      <x:c r="CG29" s="1150"/>
      <x:c r="CH29" s="738" t="str">
        <x:f t="shared" si="31"/>
        <x:v/>
      </x:c>
      <x:c r="CI29" s="739" t="str">
        <x:f t="shared" si="32"/>
        <x:v/>
      </x:c>
      <x:c r="CJ29" s="740" t="str">
        <x:f t="shared" si="33"/>
        <x:v/>
      </x:c>
      <x:c r="CK29" s="741" t="str">
        <x:f t="shared" si="34"/>
        <x:v/>
      </x:c>
      <x:c r="CL29" s="742" t="str">
        <x:f t="shared" si="35"/>
        <x:v/>
      </x:c>
      <x:c r="CM29" s="743" t="str">
        <x:f t="shared" si="36"/>
        <x:v/>
      </x:c>
      <x:c r="CN29" s="744" t="str">
        <x:f t="shared" si="37"/>
        <x:v/>
      </x:c>
      <x:c r="CO29" s="745" t="str">
        <x:f t="shared" si="38"/>
        <x:v/>
      </x:c>
      <x:c r="CP29" s="762" t="str">
        <x:f t="shared" si="39"/>
        <x:v/>
      </x:c>
      <x:c r="CQ29" s="763" t="str">
        <x:f t="shared" si="40"/>
        <x:v/>
      </x:c>
      <x:c r="CR29" s="953">
        <x:f t="shared" si="41"/>
        <x:v>5</x:v>
      </x:c>
      <x:c r="CS29" s="954">
        <x:f t="shared" si="42"/>
        <x:v>5</x:v>
      </x:c>
      <x:c r="CU29" s="1048" t="str">
        <x:f>IF(BG29="","",VLOOKUP(BG29,SectInfo!$B:$N,12,FALSE))</x:f>
        <x:v/>
      </x:c>
      <x:c r="CV29" s="1046" t="str">
        <x:f>IF(BG29="","",IF(ISBLANK(BZ29),VLOOKUP(BG29,SectInfo!$B:$N,13,FALSE),BZ29))</x:f>
        <x:v/>
      </x:c>
      <x:c r="CW29" s="1046" t="str">
        <x:f>IF(BG29="","",IF(VLOOKUP(BG29,SectInfo!$B:$N,5,FALSE)="","R",UPPER(VLOOKUP(BG29,SectInfo!$B:$N,5,FALSE))))</x:f>
        <x:v/>
      </x:c>
      <x:c r="CX29" s="1046" t="str">
        <x:f>IF(BG29="","",IF(ISBLANK(CF29),VLOOKUP(BG29,SectInfo!$B:$N,6,FALSE),CF29))</x:f>
        <x:v/>
      </x:c>
      <x:c r="CY29" s="1276" t="str">
        <x:f>IF(BG29="","",IF(VLOOKUP(BG29,SectInfo!$B:$N,10,FALSE)="","",(VLOOKUP(BG29,SectInfo!$B:$N,10,FALSE)*-1)))</x:f>
        <x:v/>
      </x:c>
      <x:c r="CZ29" s="1443" t="str">
        <x:f>IF(BG29="","",IF(VLOOKUP(BG29,SectInfo!$B:$N,11,FALSE)="","2",(VLOOKUP(BG29,SectInfo!$B:$N,11,FALSE))))</x:f>
        <x:v/>
      </x:c>
      <x:c r="DA29" s="1046" t="str">
        <x:f>IF(BG29="","",IF(VLOOKUP(BG29,SectInfo!$B:$N,7,FALSE)="","",(VLOOKUP(BG29,SectInfo!$B:$N,7,FALSE)*-1)))</x:f>
        <x:v/>
      </x:c>
      <x:c r="DB29" s="1046" t="str">
        <x:f>IF(BG29="","",IF(VLOOKUP(BG29,SectInfo!$B:$N,8,FALSE)="",VLOOKUP(AU29,$DF$2:$DN$9,6,FALSE),(VLOOKUP(BG29,SectInfo!$B:$N,8,FALSE))))</x:f>
        <x:v/>
      </x:c>
      <x:c r="DC29" s="1046" t="str">
        <x:f>IF(BG29="","",VLOOKUP(BG29,SectInfo!$B:$N,9,FALSE))</x:f>
        <x:v/>
      </x:c>
      <x:c r="DD29" s="1047">
        <x:f t="shared" si="43"/>
        <x:v>0</x:v>
      </x:c>
      <x:c r="DE29" s="1048" t="str">
        <x:f>IF(BO29="","",VLOOKUP(BO29,SectInfo!$B:$N,12,FALSE))</x:f>
        <x:v/>
      </x:c>
      <x:c r="DF29" s="1046" t="str">
        <x:f>IF(BO29="","",IF(ISBLANK(CA29),VLOOKUP(BO29,SectInfo!$B:$N,13,FALSE),CA29))</x:f>
        <x:v/>
      </x:c>
      <x:c r="DG29" s="1046" t="str">
        <x:f>IF(BO29="","",IF(VLOOKUP(BO29,SectInfo!$B:$N,5,FALSE)="","R",UPPER(VLOOKUP(BO29,SectInfo!$B:$N,5,FALSE))))</x:f>
        <x:v/>
      </x:c>
      <x:c r="DH29" s="1046" t="str">
        <x:f>IF(BO29="","",IF(ISBLANK(CG29),VLOOKUP(BO29,SectInfo!$B:$N,6,FALSE),CG29))</x:f>
        <x:v/>
      </x:c>
      <x:c r="DI29" s="1046" t="str">
        <x:f>IF(BO29="","",IF(VLOOKUP(BO29,SectInfo!$B:$N,10,FALSE)="","",(VLOOKUP(BO29,SectInfo!$B:$N,10,FALSE)*-1)))</x:f>
        <x:v/>
      </x:c>
      <x:c r="DJ29" s="1443" t="str">
        <x:f>IF(BO29="","",IF(VLOOKUP(BO29,SectInfo!$B:$N,11,FALSE)="","2",(VLOOKUP(BO29,SectInfo!$B:$N,11,FALSE))))</x:f>
        <x:v/>
      </x:c>
      <x:c r="DK29" s="1046" t="str">
        <x:f>IF(BO29="","",IF(VLOOKUP(BO29,SectInfo!$B:$N,7,FALSE)="","",(VLOOKUP(BO29,SectInfo!$B:$N,7,FALSE)*-1)))</x:f>
        <x:v/>
      </x:c>
      <x:c r="DL29" s="1046" t="str">
        <x:f>IF(BO29="","",IF(VLOOKUP(BO29,SectInfo!$B:$N,8,FALSE)="",VLOOKUP(AU29,$DF$2:$DN$9,6,FALSE),(VLOOKUP(BO29,SectInfo!$B:$N,8,FALSE))))</x:f>
        <x:v/>
      </x:c>
      <x:c r="DM29" s="1046" t="str">
        <x:f>IF(BO29="","",VLOOKUP(BO29,SectInfo!$B:$N,9,FALSE))</x:f>
        <x:v/>
      </x:c>
      <x:c r="DN29" s="1047">
        <x:f t="shared" si="44"/>
        <x:v>0</x:v>
      </x:c>
      <x:c r="DO29" s="1049">
        <x:f t="shared" si="45"/>
        <x:v>0</x:v>
      </x:c>
      <x:c r="DP29" s="1053" t="str">
        <x:f t="shared" si="46"/>
        <x:v/>
      </x:c>
      <x:c r="DQ29" s="1053" t="str">
        <x:f t="shared" si="47"/>
        <x:v/>
      </x:c>
      <x:c r="DR29" s="1053" t="str">
        <x:f t="shared" si="48"/>
        <x:v/>
      </x:c>
      <x:c r="DS29" s="1052">
        <x:f t="shared" si="49"/>
        <x:v>0</x:v>
      </x:c>
      <x:c r="DT29" s="1052">
        <x:f t="shared" si="50"/>
        <x:v>0</x:v>
      </x:c>
      <x:c r="DU29" s="1052" t="str">
        <x:f t="shared" si="51"/>
        <x:v/>
      </x:c>
      <x:c r="DV29" s="1053" t="str">
        <x:f t="shared" si="52"/>
        <x:v/>
      </x:c>
      <x:c r="DW29" s="1053" t="str">
        <x:f t="shared" si="53"/>
        <x:v/>
      </x:c>
      <x:c r="DX29" s="1269">
        <x:f t="shared" si="54"/>
        <x:v>0</x:v>
      </x:c>
      <x:c r="DY29" s="1053">
        <x:f t="shared" si="55"/>
        <x:v>0</x:v>
      </x:c>
      <x:c r="DZ29" s="1052">
        <x:f t="shared" si="56"/>
        <x:v>0</x:v>
      </x:c>
      <x:c r="EA29" s="1052" t="str">
        <x:f t="shared" si="57"/>
        <x:v/>
      </x:c>
      <x:c r="EB29" s="1053" t="str">
        <x:f t="shared" si="58"/>
        <x:v/>
      </x:c>
      <x:c r="EC29" s="1053" t="str">
        <x:f t="shared" si="59"/>
        <x:v/>
      </x:c>
      <x:c r="ED29" s="1269">
        <x:f t="shared" si="60"/>
        <x:v>0</x:v>
      </x:c>
      <x:c r="EE29" s="1090" t="str">
        <x:f t="shared" si="61"/>
        <x:v/>
      </x:c>
      <x:c r="EF29" s="1053" t="str">
        <x:f t="shared" si="62"/>
        <x:v/>
      </x:c>
      <x:c r="EG29" s="1053" t="str">
        <x:f t="shared" si="63"/>
        <x:v/>
      </x:c>
      <x:c r="EH29" s="1053" t="str">
        <x:f t="shared" si="64"/>
        <x:v>ERR</x:v>
      </x:c>
      <x:c r="EI29" s="1053" t="str">
        <x:f t="shared" si="65"/>
        <x:v>ERR</x:v>
      </x:c>
      <x:c r="EJ29" s="1053" t="str">
        <x:f t="shared" si="66"/>
        <x:v/>
      </x:c>
      <x:c r="EK29" s="1053" t="str">
        <x:f t="shared" si="66"/>
        <x:v/>
      </x:c>
      <x:c r="EL29" s="1090" t="str">
        <x:f t="shared" si="67"/>
        <x:v/>
      </x:c>
      <x:c r="EM29" s="1053" t="str">
        <x:f t="shared" si="68"/>
        <x:v/>
      </x:c>
      <x:c r="EN29" s="1053" t="str">
        <x:f t="shared" si="69"/>
        <x:v/>
      </x:c>
      <x:c r="EO29" s="1053" t="str">
        <x:f t="shared" si="70"/>
        <x:v>ERR</x:v>
      </x:c>
      <x:c r="EP29" s="1053" t="str">
        <x:f t="shared" si="71"/>
        <x:v>ERR</x:v>
      </x:c>
      <x:c r="EQ29" s="1053" t="str">
        <x:f t="shared" si="72"/>
        <x:v/>
      </x:c>
      <x:c r="ER29" s="1053" t="str">
        <x:f t="shared" si="72"/>
        <x:v/>
      </x:c>
      <x:c r="ES29" s="1053" t="str">
        <x:f t="shared" si="73"/>
        <x:v/>
      </x:c>
      <x:c r="ET29" s="1053" t="str">
        <x:f t="shared" si="74"/>
        <x:v/>
      </x:c>
      <x:c r="EU29" s="1061">
        <x:f t="shared" si="75"/>
        <x:v>4</x:v>
      </x:c>
      <x:c r="EV29" s="1055" t="str">
        <x:f t="shared" si="76"/>
        <x:v/>
      </x:c>
      <x:c r="EW29" s="1061"/>
      <x:c r="EX29" s="1061" t="str">
        <x:f>IF(AND(CU29="G", ISBLANK(BK29), ISBLANK(BL29)),VLOOKUP(MIN(BH29:BI29),TblJoistSize!$M$3:$N$10,2),IF(OR(CU29="B",CU29="G"),MIN(BK29:BL29),""))</x:f>
        <x:v/>
      </x:c>
      <x:c r="EY29" s="1061" t="str">
        <x:f>IF(AND(CU29="G", ISBLANK(BK29), ISBLANK(BL29)),VLOOKUP(MAX(BH29:BI29),TblJoistSize!$M$3:$N$10,2),IF(OR(CU29="B",CU29="G"),MAX(BK29:BL29),""))</x:f>
        <x:v/>
      </x:c>
      <x:c r="EZ29" s="1061" t="str">
        <x:f t="shared" si="77"/>
        <x:v/>
      </x:c>
      <x:c r="FA29" s="1061" t="str">
        <x:f>IF(AND(DE29="G", ISBLANK(BS29), ISBLANK(BT29)),VLOOKUP(MIN(BP29:BQ29),TblJoistSize!$M$3:$N$10,2),IF(OR(DE29="B", DE29="G"),MIN(BS29:BT29),""))</x:f>
        <x:v/>
      </x:c>
      <x:c r="FB29" s="1061" t="str">
        <x:f>IF(AND(DE29="G", ISBLANK(BS29), ISBLANK(BT29)),VLOOKUP(MAX(BP29:BQ29),TblJoistSize!$M$3:$N$10,2),IF(OR(DE29="B", DE29="G"),MAX(BS29:BT29),""))</x:f>
        <x:v/>
      </x:c>
      <x:c r="FC29" s="1061" t="str">
        <x:f t="shared" si="78"/>
        <x:v/>
      </x:c>
      <x:c r="FD29" s="1052">
        <x:f t="shared" si="100"/>
        <x:v>0</x:v>
      </x:c>
      <x:c r="FE29" s="1052">
        <x:f t="shared" si="79"/>
        <x:v>0</x:v>
      </x:c>
      <x:c r="FF29" s="1052">
        <x:f t="shared" si="80"/>
        <x:v>0</x:v>
      </x:c>
      <x:c r="FG29" s="1052" t="str">
        <x:f t="shared" si="81"/>
        <x:v/>
      </x:c>
      <x:c r="FH29" s="1053" t="str">
        <x:f t="shared" si="82"/>
        <x:v/>
      </x:c>
      <x:c r="FI29" s="1052">
        <x:f t="shared" si="101"/>
        <x:v>0</x:v>
      </x:c>
      <x:c r="FJ29" s="1052">
        <x:f t="shared" si="83"/>
        <x:v>0</x:v>
      </x:c>
      <x:c r="FK29" s="1052">
        <x:f t="shared" si="84"/>
        <x:v>0</x:v>
      </x:c>
      <x:c r="FL29" s="1052" t="str">
        <x:f t="shared" si="85"/>
        <x:v/>
      </x:c>
      <x:c r="FM29" s="1053" t="str">
        <x:f t="shared" si="86"/>
        <x:v/>
      </x:c>
      <x:c r="FN29" s="1053" t="e">
        <x:f t="shared" si="87"/>
        <x:v>#VALUE!</x:v>
      </x:c>
      <x:c r="FO29" s="1062" t="e">
        <x:f t="shared" si="88"/>
        <x:v>#VALUE!</x:v>
      </x:c>
      <x:c r="FP29" s="1062" t="e">
        <x:f t="shared" si="89"/>
        <x:v>#VALUE!</x:v>
      </x:c>
      <x:c r="FQ29" s="1063" t="e">
        <x:f t="shared" si="90"/>
        <x:v>#VALUE!</x:v>
      </x:c>
      <x:c r="FR29" s="1064" t="e">
        <x:f t="shared" si="91"/>
        <x:v>#VALUE!</x:v>
      </x:c>
      <x:c r="FS29" s="1065" t="str">
        <x:f t="shared" si="92"/>
        <x:v/>
      </x:c>
      <x:c r="FT29" s="1066" t="str">
        <x:f t="shared" si="93"/>
        <x:v/>
      </x:c>
      <x:c r="FU29" s="1105">
        <x:f t="shared" si="94"/>
        <x:v>0</x:v>
      </x:c>
      <x:c r="FV29" s="1106">
        <x:f t="shared" si="95"/>
        <x:v>0</x:v>
      </x:c>
      <x:c r="GA29" s="1975">
        <x:v>59</x:v>
      </x:c>
      <x:c r="GB29" s="1976">
        <x:v>2.75</x:v>
      </x:c>
      <x:c r="GC29" s="1977">
        <x:v>-1.875</x:v>
      </x:c>
      <x:c r="GD29" s="1978">
        <x:v>-0.25</x:v>
      </x:c>
      <x:c r="GE29" s="1979">
        <x:v>0.26169539219134702</x:v>
      </x:c>
      <x:c r="GF29" s="1980" t="str">
        <x:f t="shared" si="96"/>
        <x:v>TJ305</x:v>
      </x:c>
      <x:c r="GG29" s="1453"/>
      <x:c r="GH29" s="1454"/>
      <x:c r="GI29" s="1453"/>
      <x:c r="GJ29" s="1454"/>
      <x:c r="GK29" s="533">
        <x:f t="shared" si="97"/>
        <x:v>708.625</x:v>
      </x:c>
      <x:c r="GL29" s="534">
        <x:f t="shared" si="98"/>
        <x:v>708.79348626656247</x:v>
      </x:c>
      <x:c r="GM29" s="535">
        <x:f>IF(ABS(GK29-GL29)&gt;='Job Info.'!$L$22,ABS(GK29-GL29),0)</x:f>
        <x:v>0</x:v>
      </x:c>
      <x:c r="HA29" s="1658" t="s">
        <x:v>1629</x:v>
      </x:c>
      <x:c r="HB29" s="1659">
        <x:v>3</x:v>
      </x:c>
      <x:c r="HC29" s="1659" t="s">
        <x:v>1978</x:v>
      </x:c>
      <x:c r="HD29" s="1660">
        <x:v>59</x:v>
      </x:c>
      <x:c r="HE29" s="1661">
        <x:v>0.625</x:v>
      </x:c>
      <x:c r="HF29" s="1659" t="s">
        <x:v>117</x:v>
      </x:c>
      <x:c r="HG29" s="1659" t="s">
        <x:v>117</x:v>
      </x:c>
      <x:c r="HH29" s="1659" t="s">
        <x:v>117</x:v>
      </x:c>
      <x:c r="HI29" s="1662">
        <x:v>0</x:v>
      </x:c>
      <x:c r="HJ29" s="1659">
        <x:v>1.375</x:v>
      </x:c>
      <x:c r="HK29" s="1659" t="s">
        <x:v>114</x:v>
      </x:c>
      <x:c r="HL29" s="1659">
        <x:v>3</x:v>
      </x:c>
      <x:c r="HM29" s="1659">
        <x:v>3</x:v>
      </x:c>
      <x:c r="HN29" s="1659" t="s">
        <x:v>117</x:v>
      </x:c>
      <x:c r="HO29" s="1659" t="s">
        <x:v>117</x:v>
      </x:c>
      <x:c r="HP29" s="1659" t="s">
        <x:v>117</x:v>
      </x:c>
      <x:c r="HQ29" s="1662" t="s">
        <x:v>117</x:v>
      </x:c>
      <x:c r="HR29" s="1659" t="s">
        <x:v>117</x:v>
      </x:c>
      <x:c r="HS29" s="1659" t="s">
        <x:v>117</x:v>
      </x:c>
      <x:c r="HT29" s="1659">
        <x:v>0</x:v>
      </x:c>
      <x:c r="HU29" s="1659">
        <x:v>1.125</x:v>
      </x:c>
      <x:c r="HV29" s="1659">
        <x:v>0</x:v>
      </x:c>
      <x:c r="HW29" s="1661">
        <x:v>2.25</x:v>
      </x:c>
      <x:c r="HX29" s="1661">
        <x:v>4</x:v>
      </x:c>
      <x:c r="HY29" s="1661" t="s">
        <x:v>117</x:v>
      </x:c>
      <x:c r="HZ29" s="1661" t="s">
        <x:v>117</x:v>
      </x:c>
      <x:c r="IA29" s="1661" t="s">
        <x:v>2285</x:v>
      </x:c>
      <x:c r="IB29" s="1661"/>
      <x:c r="IC29" s="1661"/>
      <x:c r="ID29" s="1661"/>
      <x:c r="IE29" s="1661"/>
      <x:c r="IF29" s="1663"/>
    </x:row>
    <x:row r="30" spans="1:240" ht="12.6" customHeight="1" x14ac:dyDescent="0.25">
      <x:c r="A30" s="1264" t="s">
        <x:v>1630</x:v>
      </x:c>
      <x:c r="B30" s="1265">
        <x:v>1</x:v>
      </x:c>
      <x:c r="C30" s="1265" t="s">
        <x:v>1978</x:v>
      </x:c>
      <x:c r="D30" s="1261">
        <x:v>58</x:v>
      </x:c>
      <x:c r="E30" s="1366">
        <x:v>11.875</x:v>
      </x:c>
      <x:c r="F30" s="1328" t="str">
        <x:f t="shared" si="102"/>
        <x:v/>
      </x:c>
      <x:c r="G30" s="1262" t="str">
        <x:f t="shared" si="103"/>
        <x:v/>
      </x:c>
      <x:c r="H30" s="1266" t="str">
        <x:f t="shared" si="104"/>
        <x:v/>
      </x:c>
      <x:c r="I30" s="1261">
        <x:v>0</x:v>
      </x:c>
      <x:c r="J30" s="1262">
        <x:v>0.625</x:v>
      </x:c>
      <x:c r="K30" s="1370" t="s">
        <x:v>114</x:v>
      </x:c>
      <x:c r="L30" s="1327">
        <x:v>3</x:v>
      </x:c>
      <x:c r="M30" s="1329">
        <x:v>3</x:v>
      </x:c>
      <x:c r="N30" s="1263" t="str">
        <x:f t="shared" si="1"/>
        <x:v/>
      </x:c>
      <x:c r="O30" s="1262" t="str">
        <x:f t="shared" si="2"/>
        <x:v/>
      </x:c>
      <x:c r="P30" s="1260" t="str">
        <x:f t="shared" si="3"/>
        <x:v/>
      </x:c>
      <x:c r="Q30" s="1261">
        <x:v>0</x:v>
      </x:c>
      <x:c r="R30" s="1262">
        <x:v>6.75</x:v>
      </x:c>
      <x:c r="S30" s="1375">
        <x:v>2</x:v>
      </x:c>
      <x:c r="T30" s="1328">
        <x:v>0</x:v>
      </x:c>
      <x:c r="U30" s="1262">
        <x:v>1.125</x:v>
      </x:c>
      <x:c r="V30" s="1261">
        <x:v>0</x:v>
      </x:c>
      <x:c r="W30" s="1262">
        <x:v>1.5</x:v>
      </x:c>
      <x:c r="X30" s="1329">
        <x:v>4</x:v>
      </x:c>
      <x:c r="Y30" s="1377" t="str">
        <x:f t="shared" si="7"/>
        <x:v/>
      </x:c>
      <x:c r="Z30" s="1378" t="str">
        <x:f t="shared" si="8"/>
        <x:v/>
      </x:c>
      <x:c r="AA30" s="2159" t="s">
        <x:v>2285</x:v>
      </x:c>
      <x:c r="AC30" s="1226" t="b">
        <x:v>0</x:v>
      </x:c>
      <x:c r="AD30" s="525">
        <x:f t="shared" si="9"/>
        <x:v>0</x:v>
      </x:c>
      <x:c r="AE30" s="526">
        <x:f t="shared" si="10"/>
        <x:v>1</x:v>
      </x:c>
      <x:c r="AF30" s="526">
        <x:f t="shared" si="11"/>
        <x:v>0</x:v>
      </x:c>
      <x:c r="AG30" s="526">
        <x:f t="shared" si="12"/>
        <x:v>0</x:v>
      </x:c>
      <x:c r="AH30" s="527">
        <x:f t="shared" si="13"/>
        <x:v>0</x:v>
      </x:c>
      <x:c r="AI30" s="528" t="b">
        <x:v>0</x:v>
      </x:c>
      <x:c r="AJ30" s="284">
        <x:f t="shared" si="14"/>
        <x:v>36</x:v>
      </x:c>
      <x:c r="AK30" s="1063" t="str">
        <x:f t="shared" si="15"/>
        <x:v>LH</x:v>
      </x:c>
      <x:c r="AL30" s="1202" t="str">
        <x:f t="shared" si="16"/>
        <x:v/>
      </x:c>
      <x:c r="AM30" s="1063">
        <x:f t="shared" si="17"/>
        <x:v>270</x:v>
      </x:c>
      <x:c r="AN30" s="1063">
        <x:f t="shared" si="18"/>
        <x:v>120</x:v>
      </x:c>
      <x:c r="AO30" s="1063" t="str">
        <x:f t="shared" si="19"/>
        <x:v/>
      </x:c>
      <x:c r="AP30" s="1063" t="b">
        <x:f>IF(ISERROR(AJ30),FALSE,IF(OR(AJ30=0,ISERROR(AL30),ISERROR(AM30),ISERROR(AN30),ISERROR(AO30)),FALSE,IF(AL30&lt;&gt;"",IF(ISERROR(VLOOKUP(SUBSTITUTE(SUBSTITUTE(C30,"R",""),"A",""),TblJoistSize!$A:$A,1,FALSE)),FALSE,TRUE),TRUE)))</x:f>
        <x:v>1</x:v>
      </x:c>
      <x:c r="AQ30" s="1305">
        <x:f t="shared" si="20"/>
        <x:v>6</x:v>
      </x:c>
      <x:c r="AR30" s="1305" t="b">
        <x:f t="shared" si="21"/>
        <x:v>1</x:v>
      </x:c>
      <x:c r="AS30" s="1305">
        <x:f t="shared" si="22"/>
        <x:v>6.625</x:v>
      </x:c>
      <x:c r="AT30" s="1305" t="b">
        <x:f t="shared" si="23"/>
        <x:v>1</x:v>
      </x:c>
      <x:c r="AU30" s="1203" t="str">
        <x:f t="shared" si="24"/>
        <x:v>LH</x:v>
      </x:c>
      <x:c r="AV30" s="1063" t="str">
        <x:f t="shared" si="25"/>
        <x:v/>
      </x:c>
      <x:c r="AW30" s="1063" t="str">
        <x:f t="shared" si="26"/>
        <x:v>LH</x:v>
      </x:c>
      <x:c r="AX30" s="1063" t="str">
        <x:f t="shared" si="99"/>
        <x:v>TJ306</x:v>
      </x:c>
      <x:c r="AY30" s="1306" t="b">
        <x:f t="shared" si="27"/>
        <x:v>0</x:v>
      </x:c>
      <x:c r="AZ30" s="1090" t="b">
        <x:f t="shared" si="28"/>
        <x:v>0</x:v>
      </x:c>
      <x:c r="BA30" s="674"/>
      <x:c r="BB30" s="842"/>
      <x:c r="BC30" s="894"/>
      <x:c r="BD30" s="926"/>
      <x:c r="BE30" s="927"/>
      <x:c r="BF30" s="928"/>
      <x:c r="BG30" s="901"/>
      <x:c r="BH30" s="1244"/>
      <x:c r="BI30" s="1245"/>
      <x:c r="BJ30" s="929"/>
      <x:c r="BK30" s="902"/>
      <x:c r="BL30" s="903"/>
      <x:c r="BM30" s="904"/>
      <x:c r="BN30" s="905"/>
      <x:c r="BO30" s="901"/>
      <x:c r="BP30" s="902"/>
      <x:c r="BQ30" s="903"/>
      <x:c r="BR30" s="929"/>
      <x:c r="BS30" s="902"/>
      <x:c r="BT30" s="903"/>
      <x:c r="BU30" s="904"/>
      <x:c r="BV30" s="905"/>
      <x:c r="BW30" s="906"/>
      <x:c r="BX30" s="930"/>
      <x:c r="BY30" s="931"/>
      <x:c r="BZ30" s="932"/>
      <x:c r="CA30" s="933"/>
      <x:c r="CB30" s="932"/>
      <x:c r="CC30" s="933"/>
      <x:c r="CD30" s="934" t="str">
        <x:f t="shared" si="29"/>
        <x:v/>
      </x:c>
      <x:c r="CE30" s="935" t="str">
        <x:f t="shared" si="30"/>
        <x:v/>
      </x:c>
      <x:c r="CF30" s="1149"/>
      <x:c r="CG30" s="1150"/>
      <x:c r="CH30" s="738" t="str">
        <x:f t="shared" si="31"/>
        <x:v/>
      </x:c>
      <x:c r="CI30" s="739" t="str">
        <x:f t="shared" si="32"/>
        <x:v/>
      </x:c>
      <x:c r="CJ30" s="740" t="str">
        <x:f t="shared" si="33"/>
        <x:v/>
      </x:c>
      <x:c r="CK30" s="741" t="str">
        <x:f t="shared" si="34"/>
        <x:v/>
      </x:c>
      <x:c r="CL30" s="742" t="str">
        <x:f t="shared" si="35"/>
        <x:v/>
      </x:c>
      <x:c r="CM30" s="743" t="str">
        <x:f t="shared" si="36"/>
        <x:v/>
      </x:c>
      <x:c r="CN30" s="744" t="str">
        <x:f t="shared" si="37"/>
        <x:v/>
      </x:c>
      <x:c r="CO30" s="745" t="str">
        <x:f t="shared" si="38"/>
        <x:v/>
      </x:c>
      <x:c r="CP30" s="762" t="str">
        <x:f t="shared" si="39"/>
        <x:v/>
      </x:c>
      <x:c r="CQ30" s="763" t="str">
        <x:f t="shared" si="40"/>
        <x:v/>
      </x:c>
      <x:c r="CR30" s="953">
        <x:f t="shared" si="41"/>
        <x:v>5</x:v>
      </x:c>
      <x:c r="CS30" s="954">
        <x:f t="shared" si="42"/>
        <x:v>5</x:v>
      </x:c>
      <x:c r="CU30" s="1048" t="str">
        <x:f>IF(BG30="","",VLOOKUP(BG30,SectInfo!$B:$N,12,FALSE))</x:f>
        <x:v/>
      </x:c>
      <x:c r="CV30" s="1046" t="str">
        <x:f>IF(BG30="","",IF(ISBLANK(BZ30),VLOOKUP(BG30,SectInfo!$B:$N,13,FALSE),BZ30))</x:f>
        <x:v/>
      </x:c>
      <x:c r="CW30" s="1046" t="str">
        <x:f>IF(BG30="","",IF(VLOOKUP(BG30,SectInfo!$B:$N,5,FALSE)="","R",UPPER(VLOOKUP(BG30,SectInfo!$B:$N,5,FALSE))))</x:f>
        <x:v/>
      </x:c>
      <x:c r="CX30" s="1046" t="str">
        <x:f>IF(BG30="","",IF(ISBLANK(CF30),VLOOKUP(BG30,SectInfo!$B:$N,6,FALSE),CF30))</x:f>
        <x:v/>
      </x:c>
      <x:c r="CY30" s="1276" t="str">
        <x:f>IF(BG30="","",IF(VLOOKUP(BG30,SectInfo!$B:$N,10,FALSE)="","",(VLOOKUP(BG30,SectInfo!$B:$N,10,FALSE)*-1)))</x:f>
        <x:v/>
      </x:c>
      <x:c r="CZ30" s="1443" t="str">
        <x:f>IF(BG30="","",IF(VLOOKUP(BG30,SectInfo!$B:$N,11,FALSE)="","2",(VLOOKUP(BG30,SectInfo!$B:$N,11,FALSE))))</x:f>
        <x:v/>
      </x:c>
      <x:c r="DA30" s="1046" t="str">
        <x:f>IF(BG30="","",IF(VLOOKUP(BG30,SectInfo!$B:$N,7,FALSE)="","",(VLOOKUP(BG30,SectInfo!$B:$N,7,FALSE)*-1)))</x:f>
        <x:v/>
      </x:c>
      <x:c r="DB30" s="1046" t="str">
        <x:f>IF(BG30="","",IF(VLOOKUP(BG30,SectInfo!$B:$N,8,FALSE)="",VLOOKUP(AU30,$DF$2:$DN$9,6,FALSE),(VLOOKUP(BG30,SectInfo!$B:$N,8,FALSE))))</x:f>
        <x:v/>
      </x:c>
      <x:c r="DC30" s="1046" t="str">
        <x:f>IF(BG30="","",VLOOKUP(BG30,SectInfo!$B:$N,9,FALSE))</x:f>
        <x:v/>
      </x:c>
      <x:c r="DD30" s="1047">
        <x:f t="shared" si="43"/>
        <x:v>0</x:v>
      </x:c>
      <x:c r="DE30" s="1048" t="str">
        <x:f>IF(BO30="","",VLOOKUP(BO30,SectInfo!$B:$N,12,FALSE))</x:f>
        <x:v/>
      </x:c>
      <x:c r="DF30" s="1046" t="str">
        <x:f>IF(BO30="","",IF(ISBLANK(CA30),VLOOKUP(BO30,SectInfo!$B:$N,13,FALSE),CA30))</x:f>
        <x:v/>
      </x:c>
      <x:c r="DG30" s="1046" t="str">
        <x:f>IF(BO30="","",IF(VLOOKUP(BO30,SectInfo!$B:$N,5,FALSE)="","R",UPPER(VLOOKUP(BO30,SectInfo!$B:$N,5,FALSE))))</x:f>
        <x:v/>
      </x:c>
      <x:c r="DH30" s="1046" t="str">
        <x:f>IF(BO30="","",IF(ISBLANK(CG30),VLOOKUP(BO30,SectInfo!$B:$N,6,FALSE),CG30))</x:f>
        <x:v/>
      </x:c>
      <x:c r="DI30" s="1046" t="str">
        <x:f>IF(BO30="","",IF(VLOOKUP(BO30,SectInfo!$B:$N,10,FALSE)="","",(VLOOKUP(BO30,SectInfo!$B:$N,10,FALSE)*-1)))</x:f>
        <x:v/>
      </x:c>
      <x:c r="DJ30" s="1443" t="str">
        <x:f>IF(BO30="","",IF(VLOOKUP(BO30,SectInfo!$B:$N,11,FALSE)="","2",(VLOOKUP(BO30,SectInfo!$B:$N,11,FALSE))))</x:f>
        <x:v/>
      </x:c>
      <x:c r="DK30" s="1046" t="str">
        <x:f>IF(BO30="","",IF(VLOOKUP(BO30,SectInfo!$B:$N,7,FALSE)="","",(VLOOKUP(BO30,SectInfo!$B:$N,7,FALSE)*-1)))</x:f>
        <x:v/>
      </x:c>
      <x:c r="DL30" s="1046" t="str">
        <x:f>IF(BO30="","",IF(VLOOKUP(BO30,SectInfo!$B:$N,8,FALSE)="",VLOOKUP(AU30,$DF$2:$DN$9,6,FALSE),(VLOOKUP(BO30,SectInfo!$B:$N,8,FALSE))))</x:f>
        <x:v/>
      </x:c>
      <x:c r="DM30" s="1046" t="str">
        <x:f>IF(BO30="","",VLOOKUP(BO30,SectInfo!$B:$N,9,FALSE))</x:f>
        <x:v/>
      </x:c>
      <x:c r="DN30" s="1047">
        <x:f t="shared" si="44"/>
        <x:v>0</x:v>
      </x:c>
      <x:c r="DO30" s="1049">
        <x:f t="shared" si="45"/>
        <x:v>0</x:v>
      </x:c>
      <x:c r="DP30" s="1053" t="str">
        <x:f t="shared" si="46"/>
        <x:v/>
      </x:c>
      <x:c r="DQ30" s="1053" t="str">
        <x:f t="shared" si="47"/>
        <x:v/>
      </x:c>
      <x:c r="DR30" s="1053" t="str">
        <x:f t="shared" si="48"/>
        <x:v/>
      </x:c>
      <x:c r="DS30" s="1052">
        <x:f t="shared" si="49"/>
        <x:v>0</x:v>
      </x:c>
      <x:c r="DT30" s="1052">
        <x:f t="shared" si="50"/>
        <x:v>0</x:v>
      </x:c>
      <x:c r="DU30" s="1052" t="str">
        <x:f t="shared" si="51"/>
        <x:v/>
      </x:c>
      <x:c r="DV30" s="1053" t="str">
        <x:f t="shared" si="52"/>
        <x:v/>
      </x:c>
      <x:c r="DW30" s="1053" t="str">
        <x:f t="shared" si="53"/>
        <x:v/>
      </x:c>
      <x:c r="DX30" s="1269">
        <x:f t="shared" si="54"/>
        <x:v>0</x:v>
      </x:c>
      <x:c r="DY30" s="1053">
        <x:f t="shared" si="55"/>
        <x:v>0</x:v>
      </x:c>
      <x:c r="DZ30" s="1052">
        <x:f t="shared" si="56"/>
        <x:v>0</x:v>
      </x:c>
      <x:c r="EA30" s="1052" t="str">
        <x:f t="shared" si="57"/>
        <x:v/>
      </x:c>
      <x:c r="EB30" s="1053" t="str">
        <x:f t="shared" si="58"/>
        <x:v/>
      </x:c>
      <x:c r="EC30" s="1053" t="str">
        <x:f t="shared" si="59"/>
        <x:v/>
      </x:c>
      <x:c r="ED30" s="1269">
        <x:f t="shared" si="60"/>
        <x:v>0</x:v>
      </x:c>
      <x:c r="EE30" s="1090" t="str">
        <x:f t="shared" si="61"/>
        <x:v/>
      </x:c>
      <x:c r="EF30" s="1053" t="str">
        <x:f t="shared" si="62"/>
        <x:v/>
      </x:c>
      <x:c r="EG30" s="1053" t="str">
        <x:f t="shared" si="63"/>
        <x:v/>
      </x:c>
      <x:c r="EH30" s="1053" t="str">
        <x:f t="shared" si="64"/>
        <x:v>ERR</x:v>
      </x:c>
      <x:c r="EI30" s="1053" t="str">
        <x:f t="shared" si="65"/>
        <x:v>ERR</x:v>
      </x:c>
      <x:c r="EJ30" s="1053" t="str">
        <x:f t="shared" si="66"/>
        <x:v/>
      </x:c>
      <x:c r="EK30" s="1053" t="str">
        <x:f t="shared" si="66"/>
        <x:v/>
      </x:c>
      <x:c r="EL30" s="1090" t="str">
        <x:f t="shared" si="67"/>
        <x:v/>
      </x:c>
      <x:c r="EM30" s="1053" t="str">
        <x:f t="shared" si="68"/>
        <x:v/>
      </x:c>
      <x:c r="EN30" s="1053" t="str">
        <x:f t="shared" si="69"/>
        <x:v/>
      </x:c>
      <x:c r="EO30" s="1053" t="str">
        <x:f t="shared" si="70"/>
        <x:v>ERR</x:v>
      </x:c>
      <x:c r="EP30" s="1053" t="str">
        <x:f t="shared" si="71"/>
        <x:v>ERR</x:v>
      </x:c>
      <x:c r="EQ30" s="1053" t="str">
        <x:f t="shared" si="72"/>
        <x:v/>
      </x:c>
      <x:c r="ER30" s="1053" t="str">
        <x:f t="shared" si="72"/>
        <x:v/>
      </x:c>
      <x:c r="ES30" s="1053" t="str">
        <x:f t="shared" si="73"/>
        <x:v/>
      </x:c>
      <x:c r="ET30" s="1053" t="str">
        <x:f t="shared" si="74"/>
        <x:v/>
      </x:c>
      <x:c r="EU30" s="1061">
        <x:f t="shared" si="75"/>
        <x:v>4</x:v>
      </x:c>
      <x:c r="EV30" s="1055" t="str">
        <x:f t="shared" si="76"/>
        <x:v/>
      </x:c>
      <x:c r="EW30" s="1061"/>
      <x:c r="EX30" s="1061" t="str">
        <x:f>IF(AND(CU30="G", ISBLANK(BK30), ISBLANK(BL30)),VLOOKUP(MIN(BH30:BI30),TblJoistSize!$M$3:$N$10,2),IF(OR(CU30="B",CU30="G"),MIN(BK30:BL30),""))</x:f>
        <x:v/>
      </x:c>
      <x:c r="EY30" s="1061" t="str">
        <x:f>IF(AND(CU30="G", ISBLANK(BK30), ISBLANK(BL30)),VLOOKUP(MAX(BH30:BI30),TblJoistSize!$M$3:$N$10,2),IF(OR(CU30="B",CU30="G"),MAX(BK30:BL30),""))</x:f>
        <x:v/>
      </x:c>
      <x:c r="EZ30" s="1061" t="str">
        <x:f t="shared" si="77"/>
        <x:v/>
      </x:c>
      <x:c r="FA30" s="1061" t="str">
        <x:f>IF(AND(DE30="G", ISBLANK(BS30), ISBLANK(BT30)),VLOOKUP(MIN(BP30:BQ30),TblJoistSize!$M$3:$N$10,2),IF(OR(DE30="B", DE30="G"),MIN(BS30:BT30),""))</x:f>
        <x:v/>
      </x:c>
      <x:c r="FB30" s="1061" t="str">
        <x:f>IF(AND(DE30="G", ISBLANK(BS30), ISBLANK(BT30)),VLOOKUP(MAX(BP30:BQ30),TblJoistSize!$M$3:$N$10,2),IF(OR(DE30="B", DE30="G"),MAX(BS30:BT30),""))</x:f>
        <x:v/>
      </x:c>
      <x:c r="FC30" s="1061" t="str">
        <x:f t="shared" si="78"/>
        <x:v/>
      </x:c>
      <x:c r="FD30" s="1052">
        <x:f t="shared" si="100"/>
        <x:v>0</x:v>
      </x:c>
      <x:c r="FE30" s="1052">
        <x:f t="shared" si="79"/>
        <x:v>0</x:v>
      </x:c>
      <x:c r="FF30" s="1052">
        <x:f t="shared" si="80"/>
        <x:v>0</x:v>
      </x:c>
      <x:c r="FG30" s="1052" t="str">
        <x:f t="shared" si="81"/>
        <x:v/>
      </x:c>
      <x:c r="FH30" s="1053" t="str">
        <x:f t="shared" si="82"/>
        <x:v/>
      </x:c>
      <x:c r="FI30" s="1052">
        <x:f t="shared" si="101"/>
        <x:v>0</x:v>
      </x:c>
      <x:c r="FJ30" s="1052">
        <x:f t="shared" si="83"/>
        <x:v>0</x:v>
      </x:c>
      <x:c r="FK30" s="1052">
        <x:f t="shared" si="84"/>
        <x:v>0</x:v>
      </x:c>
      <x:c r="FL30" s="1052" t="str">
        <x:f t="shared" si="85"/>
        <x:v/>
      </x:c>
      <x:c r="FM30" s="1053" t="str">
        <x:f t="shared" si="86"/>
        <x:v/>
      </x:c>
      <x:c r="FN30" s="1053" t="e">
        <x:f t="shared" si="87"/>
        <x:v>#VALUE!</x:v>
      </x:c>
      <x:c r="FO30" s="1062" t="e">
        <x:f t="shared" si="88"/>
        <x:v>#VALUE!</x:v>
      </x:c>
      <x:c r="FP30" s="1062" t="e">
        <x:f t="shared" si="89"/>
        <x:v>#VALUE!</x:v>
      </x:c>
      <x:c r="FQ30" s="1063" t="e">
        <x:f t="shared" si="90"/>
        <x:v>#VALUE!</x:v>
      </x:c>
      <x:c r="FR30" s="1064" t="e">
        <x:f t="shared" si="91"/>
        <x:v>#VALUE!</x:v>
      </x:c>
      <x:c r="FS30" s="1065" t="str">
        <x:f t="shared" si="92"/>
        <x:v/>
      </x:c>
      <x:c r="FT30" s="1066" t="str">
        <x:f t="shared" si="93"/>
        <x:v/>
      </x:c>
      <x:c r="FU30" s="1105">
        <x:f t="shared" si="94"/>
        <x:v>0</x:v>
      </x:c>
      <x:c r="FV30" s="1106">
        <x:f t="shared" si="95"/>
        <x:v>0</x:v>
      </x:c>
      <x:c r="GA30" s="1975">
        <x:v>59</x:v>
      </x:c>
      <x:c r="GB30" s="1976">
        <x:v>2.75</x:v>
      </x:c>
      <x:c r="GC30" s="1977">
        <x:v>-1.875</x:v>
      </x:c>
      <x:c r="GD30" s="1978">
        <x:v>-1</x:v>
      </x:c>
      <x:c r="GE30" s="1979">
        <x:v>0.26169539219134702</x:v>
      </x:c>
      <x:c r="GF30" s="1980" t="str">
        <x:f t="shared" si="96"/>
        <x:v>TJ306</x:v>
      </x:c>
      <x:c r="GG30" s="1453"/>
      <x:c r="GH30" s="1454"/>
      <x:c r="GI30" s="1453"/>
      <x:c r="GJ30" s="1454"/>
      <x:c r="GK30" s="533">
        <x:f t="shared" si="97"/>
        <x:v>707.875</x:v>
      </x:c>
      <x:c r="GL30" s="534">
        <x:f t="shared" si="98"/>
        <x:v>708.04330794276643</x:v>
      </x:c>
      <x:c r="GM30" s="535">
        <x:f>IF(ABS(GK30-GL30)&gt;='Job Info.'!$L$22,ABS(GK30-GL30),0)</x:f>
        <x:v>0</x:v>
      </x:c>
      <x:c r="HA30" s="1658" t="s">
        <x:v>1630</x:v>
      </x:c>
      <x:c r="HB30" s="1659">
        <x:v>1</x:v>
      </x:c>
      <x:c r="HC30" s="1659" t="s">
        <x:v>1978</x:v>
      </x:c>
      <x:c r="HD30" s="1660">
        <x:v>58</x:v>
      </x:c>
      <x:c r="HE30" s="1661">
        <x:v>11.875</x:v>
      </x:c>
      <x:c r="HF30" s="1659" t="s">
        <x:v>117</x:v>
      </x:c>
      <x:c r="HG30" s="1659" t="s">
        <x:v>117</x:v>
      </x:c>
      <x:c r="HH30" s="1659" t="s">
        <x:v>117</x:v>
      </x:c>
      <x:c r="HI30" s="1662">
        <x:v>0</x:v>
      </x:c>
      <x:c r="HJ30" s="1659">
        <x:v>0.625</x:v>
      </x:c>
      <x:c r="HK30" s="1659" t="s">
        <x:v>114</x:v>
      </x:c>
      <x:c r="HL30" s="1659">
        <x:v>3</x:v>
      </x:c>
      <x:c r="HM30" s="1659">
        <x:v>3</x:v>
      </x:c>
      <x:c r="HN30" s="1659" t="s">
        <x:v>117</x:v>
      </x:c>
      <x:c r="HO30" s="1659" t="s">
        <x:v>117</x:v>
      </x:c>
      <x:c r="HP30" s="1659" t="s">
        <x:v>117</x:v>
      </x:c>
      <x:c r="HQ30" s="1662">
        <x:v>0</x:v>
      </x:c>
      <x:c r="HR30" s="1659">
        <x:v>6.75</x:v>
      </x:c>
      <x:c r="HS30" s="1659">
        <x:v>2</x:v>
      </x:c>
      <x:c r="HT30" s="1659">
        <x:v>0</x:v>
      </x:c>
      <x:c r="HU30" s="1659">
        <x:v>1.125</x:v>
      </x:c>
      <x:c r="HV30" s="1659">
        <x:v>0</x:v>
      </x:c>
      <x:c r="HW30" s="1661">
        <x:v>1.5</x:v>
      </x:c>
      <x:c r="HX30" s="1661">
        <x:v>4</x:v>
      </x:c>
      <x:c r="HY30" s="1661" t="s">
        <x:v>117</x:v>
      </x:c>
      <x:c r="HZ30" s="1661" t="s">
        <x:v>117</x:v>
      </x:c>
      <x:c r="IA30" s="1661" t="s">
        <x:v>2285</x:v>
      </x:c>
      <x:c r="IB30" s="1661"/>
      <x:c r="IC30" s="1661"/>
      <x:c r="ID30" s="1661"/>
      <x:c r="IE30" s="1661"/>
      <x:c r="IF30" s="1663"/>
    </x:row>
    <x:row r="31" spans="1:240" ht="12.6" customHeight="1" x14ac:dyDescent="0.25">
      <x:c r="A31" s="1264" t="s">
        <x:v>1631</x:v>
      </x:c>
      <x:c r="B31" s="1265">
        <x:v>1</x:v>
      </x:c>
      <x:c r="C31" s="1265" t="s">
        <x:v>1978</x:v>
      </x:c>
      <x:c r="D31" s="1261">
        <x:v>59</x:v>
      </x:c>
      <x:c r="E31" s="1366">
        <x:v>0.625</x:v>
      </x:c>
      <x:c r="F31" s="1328" t="str">
        <x:f t="shared" si="102"/>
        <x:v/>
      </x:c>
      <x:c r="G31" s="1262" t="str">
        <x:f t="shared" si="103"/>
        <x:v/>
      </x:c>
      <x:c r="H31" s="1266" t="str">
        <x:f t="shared" si="104"/>
        <x:v/>
      </x:c>
      <x:c r="I31" s="1261">
        <x:v>0</x:v>
      </x:c>
      <x:c r="J31" s="1262">
        <x:v>1.375</x:v>
      </x:c>
      <x:c r="K31" s="1370" t="s">
        <x:v>114</x:v>
      </x:c>
      <x:c r="L31" s="1327">
        <x:v>3</x:v>
      </x:c>
      <x:c r="M31" s="1329">
        <x:v>3</x:v>
      </x:c>
      <x:c r="N31" s="1263" t="str">
        <x:f t="shared" si="1"/>
        <x:v/>
      </x:c>
      <x:c r="O31" s="1262" t="str">
        <x:f t="shared" si="2"/>
        <x:v/>
      </x:c>
      <x:c r="P31" s="1260" t="str">
        <x:f t="shared" si="3"/>
        <x:v/>
      </x:c>
      <x:c r="Q31" s="1261" t="str">
        <x:f t="shared" si="4"/>
        <x:v/>
      </x:c>
      <x:c r="R31" s="1262" t="str">
        <x:f t="shared" si="5"/>
        <x:v/>
      </x:c>
      <x:c r="S31" s="1375" t="str">
        <x:f t="shared" si="6"/>
        <x:v/>
      </x:c>
      <x:c r="T31" s="1328" t="str">
        <x:f t="shared" si="105"/>
        <x:v/>
      </x:c>
      <x:c r="U31" s="1262" t="str">
        <x:f t="shared" si="106"/>
        <x:v/>
      </x:c>
      <x:c r="V31" s="1261" t="str">
        <x:f t="shared" si="107"/>
        <x:v/>
      </x:c>
      <x:c r="W31" s="1262" t="str">
        <x:f t="shared" si="108"/>
        <x:v/>
      </x:c>
      <x:c r="X31" s="1329">
        <x:f t="shared" si="109"/>
        <x:v>0</x:v>
      </x:c>
      <x:c r="Y31" s="1377" t="str">
        <x:f t="shared" si="7"/>
        <x:v/>
      </x:c>
      <x:c r="Z31" s="1378" t="str">
        <x:f t="shared" si="8"/>
        <x:v/>
      </x:c>
      <x:c r="AA31" s="2159" t="s">
        <x:v>2286</x:v>
      </x:c>
      <x:c r="AC31" s="1226" t="b">
        <x:v>0</x:v>
      </x:c>
      <x:c r="AD31" s="525">
        <x:f t="shared" si="9"/>
        <x:v>0</x:v>
      </x:c>
      <x:c r="AE31" s="526">
        <x:f t="shared" si="10"/>
        <x:v>1</x:v>
      </x:c>
      <x:c r="AF31" s="526">
        <x:f t="shared" si="11"/>
        <x:v>0</x:v>
      </x:c>
      <x:c r="AG31" s="526">
        <x:f t="shared" si="12"/>
        <x:v>0</x:v>
      </x:c>
      <x:c r="AH31" s="527">
        <x:f t="shared" si="13"/>
        <x:v>0</x:v>
      </x:c>
      <x:c r="AI31" s="528" t="b">
        <x:v>0</x:v>
      </x:c>
      <x:c r="AJ31" s="284">
        <x:f t="shared" si="14"/>
        <x:v>36</x:v>
      </x:c>
      <x:c r="AK31" s="1063" t="str">
        <x:f t="shared" si="15"/>
        <x:v>LH</x:v>
      </x:c>
      <x:c r="AL31" s="1202" t="str">
        <x:f t="shared" si="16"/>
        <x:v/>
      </x:c>
      <x:c r="AM31" s="1063">
        <x:f t="shared" si="17"/>
        <x:v>270</x:v>
      </x:c>
      <x:c r="AN31" s="1063">
        <x:f t="shared" si="18"/>
        <x:v>120</x:v>
      </x:c>
      <x:c r="AO31" s="1063" t="str">
        <x:f t="shared" si="19"/>
        <x:v/>
      </x:c>
      <x:c r="AP31" s="1063" t="b">
        <x:f>IF(ISERROR(AJ31),FALSE,IF(OR(AJ31=0,ISERROR(AL31),ISERROR(AM31),ISERROR(AN31),ISERROR(AO31)),FALSE,IF(AL31&lt;&gt;"",IF(ISERROR(VLOOKUP(SUBSTITUTE(SUBSTITUTE(C31,"R",""),"A",""),TblJoistSize!$A:$A,1,FALSE)),FALSE,TRUE),TRUE)))</x:f>
        <x:v>1</x:v>
      </x:c>
      <x:c r="AQ31" s="1305">
        <x:f t="shared" si="20"/>
        <x:v>6</x:v>
      </x:c>
      <x:c r="AR31" s="1305" t="b">
        <x:f t="shared" si="21"/>
        <x:v>0</x:v>
      </x:c>
      <x:c r="AS31" s="1305">
        <x:f t="shared" si="22"/>
        <x:v>7.375</x:v>
      </x:c>
      <x:c r="AT31" s="1305" t="b">
        <x:f t="shared" si="23"/>
        <x:v>0</x:v>
      </x:c>
      <x:c r="AU31" s="1203" t="str">
        <x:f t="shared" si="24"/>
        <x:v>LH</x:v>
      </x:c>
      <x:c r="AV31" s="1063" t="str">
        <x:f t="shared" si="25"/>
        <x:v/>
      </x:c>
      <x:c r="AW31" s="1063" t="str">
        <x:f t="shared" si="26"/>
        <x:v>LH</x:v>
      </x:c>
      <x:c r="AX31" s="1063" t="str">
        <x:f t="shared" si="99"/>
        <x:v>J307</x:v>
      </x:c>
      <x:c r="AY31" s="1306" t="b">
        <x:f t="shared" si="27"/>
        <x:v>0</x:v>
      </x:c>
      <x:c r="AZ31" s="1090" t="b">
        <x:f t="shared" si="28"/>
        <x:v>0</x:v>
      </x:c>
      <x:c r="BA31" s="674"/>
      <x:c r="BB31" s="842"/>
      <x:c r="BC31" s="894"/>
      <x:c r="BD31" s="926"/>
      <x:c r="BE31" s="927"/>
      <x:c r="BF31" s="928"/>
      <x:c r="BG31" s="901"/>
      <x:c r="BH31" s="1244"/>
      <x:c r="BI31" s="1245"/>
      <x:c r="BJ31" s="929"/>
      <x:c r="BK31" s="902"/>
      <x:c r="BL31" s="903"/>
      <x:c r="BM31" s="904"/>
      <x:c r="BN31" s="905"/>
      <x:c r="BO31" s="901"/>
      <x:c r="BP31" s="902"/>
      <x:c r="BQ31" s="903"/>
      <x:c r="BR31" s="929"/>
      <x:c r="BS31" s="902"/>
      <x:c r="BT31" s="903"/>
      <x:c r="BU31" s="904"/>
      <x:c r="BV31" s="905"/>
      <x:c r="BW31" s="906"/>
      <x:c r="BX31" s="930"/>
      <x:c r="BY31" s="931"/>
      <x:c r="BZ31" s="932"/>
      <x:c r="CA31" s="933"/>
      <x:c r="CB31" s="932"/>
      <x:c r="CC31" s="933"/>
      <x:c r="CD31" s="934" t="str">
        <x:f t="shared" si="29"/>
        <x:v/>
      </x:c>
      <x:c r="CE31" s="935" t="str">
        <x:f t="shared" si="30"/>
        <x:v/>
      </x:c>
      <x:c r="CF31" s="1149"/>
      <x:c r="CG31" s="1150"/>
      <x:c r="CH31" s="738" t="str">
        <x:f t="shared" si="31"/>
        <x:v/>
      </x:c>
      <x:c r="CI31" s="739" t="str">
        <x:f t="shared" si="32"/>
        <x:v/>
      </x:c>
      <x:c r="CJ31" s="740" t="str">
        <x:f t="shared" si="33"/>
        <x:v/>
      </x:c>
      <x:c r="CK31" s="741" t="str">
        <x:f t="shared" si="34"/>
        <x:v/>
      </x:c>
      <x:c r="CL31" s="742" t="str">
        <x:f t="shared" si="35"/>
        <x:v/>
      </x:c>
      <x:c r="CM31" s="743" t="str">
        <x:f t="shared" si="36"/>
        <x:v/>
      </x:c>
      <x:c r="CN31" s="744" t="str">
        <x:f t="shared" si="37"/>
        <x:v/>
      </x:c>
      <x:c r="CO31" s="745" t="str">
        <x:f t="shared" si="38"/>
        <x:v/>
      </x:c>
      <x:c r="CP31" s="762" t="str">
        <x:f t="shared" si="39"/>
        <x:v/>
      </x:c>
      <x:c r="CQ31" s="763" t="str">
        <x:f t="shared" si="40"/>
        <x:v/>
      </x:c>
      <x:c r="CR31" s="953">
        <x:f t="shared" si="41"/>
        <x:v>5</x:v>
      </x:c>
      <x:c r="CS31" s="954">
        <x:f t="shared" si="42"/>
        <x:v>5</x:v>
      </x:c>
      <x:c r="CU31" s="1048" t="str">
        <x:f>IF(BG31="","",VLOOKUP(BG31,SectInfo!$B:$N,12,FALSE))</x:f>
        <x:v/>
      </x:c>
      <x:c r="CV31" s="1046" t="str">
        <x:f>IF(BG31="","",IF(ISBLANK(BZ31),VLOOKUP(BG31,SectInfo!$B:$N,13,FALSE),BZ31))</x:f>
        <x:v/>
      </x:c>
      <x:c r="CW31" s="1046" t="str">
        <x:f>IF(BG31="","",IF(VLOOKUP(BG31,SectInfo!$B:$N,5,FALSE)="","R",UPPER(VLOOKUP(BG31,SectInfo!$B:$N,5,FALSE))))</x:f>
        <x:v/>
      </x:c>
      <x:c r="CX31" s="1046" t="str">
        <x:f>IF(BG31="","",IF(ISBLANK(CF31),VLOOKUP(BG31,SectInfo!$B:$N,6,FALSE),CF31))</x:f>
        <x:v/>
      </x:c>
      <x:c r="CY31" s="1276" t="str">
        <x:f>IF(BG31="","",IF(VLOOKUP(BG31,SectInfo!$B:$N,10,FALSE)="","",(VLOOKUP(BG31,SectInfo!$B:$N,10,FALSE)*-1)))</x:f>
        <x:v/>
      </x:c>
      <x:c r="CZ31" s="1443" t="str">
        <x:f>IF(BG31="","",IF(VLOOKUP(BG31,SectInfo!$B:$N,11,FALSE)="","2",(VLOOKUP(BG31,SectInfo!$B:$N,11,FALSE))))</x:f>
        <x:v/>
      </x:c>
      <x:c r="DA31" s="1046" t="str">
        <x:f>IF(BG31="","",IF(VLOOKUP(BG31,SectInfo!$B:$N,7,FALSE)="","",(VLOOKUP(BG31,SectInfo!$B:$N,7,FALSE)*-1)))</x:f>
        <x:v/>
      </x:c>
      <x:c r="DB31" s="1046" t="str">
        <x:f>IF(BG31="","",IF(VLOOKUP(BG31,SectInfo!$B:$N,8,FALSE)="",VLOOKUP(AU31,$DF$2:$DN$9,6,FALSE),(VLOOKUP(BG31,SectInfo!$B:$N,8,FALSE))))</x:f>
        <x:v/>
      </x:c>
      <x:c r="DC31" s="1046" t="str">
        <x:f>IF(BG31="","",VLOOKUP(BG31,SectInfo!$B:$N,9,FALSE))</x:f>
        <x:v/>
      </x:c>
      <x:c r="DD31" s="1047">
        <x:f t="shared" si="43"/>
        <x:v>0</x:v>
      </x:c>
      <x:c r="DE31" s="1048" t="str">
        <x:f>IF(BO31="","",VLOOKUP(BO31,SectInfo!$B:$N,12,FALSE))</x:f>
        <x:v/>
      </x:c>
      <x:c r="DF31" s="1046" t="str">
        <x:f>IF(BO31="","",IF(ISBLANK(CA31),VLOOKUP(BO31,SectInfo!$B:$N,13,FALSE),CA31))</x:f>
        <x:v/>
      </x:c>
      <x:c r="DG31" s="1046" t="str">
        <x:f>IF(BO31="","",IF(VLOOKUP(BO31,SectInfo!$B:$N,5,FALSE)="","R",UPPER(VLOOKUP(BO31,SectInfo!$B:$N,5,FALSE))))</x:f>
        <x:v/>
      </x:c>
      <x:c r="DH31" s="1046" t="str">
        <x:f>IF(BO31="","",IF(ISBLANK(CG31),VLOOKUP(BO31,SectInfo!$B:$N,6,FALSE),CG31))</x:f>
        <x:v/>
      </x:c>
      <x:c r="DI31" s="1046" t="str">
        <x:f>IF(BO31="","",IF(VLOOKUP(BO31,SectInfo!$B:$N,10,FALSE)="","",(VLOOKUP(BO31,SectInfo!$B:$N,10,FALSE)*-1)))</x:f>
        <x:v/>
      </x:c>
      <x:c r="DJ31" s="1443" t="str">
        <x:f>IF(BO31="","",IF(VLOOKUP(BO31,SectInfo!$B:$N,11,FALSE)="","2",(VLOOKUP(BO31,SectInfo!$B:$N,11,FALSE))))</x:f>
        <x:v/>
      </x:c>
      <x:c r="DK31" s="1046" t="str">
        <x:f>IF(BO31="","",IF(VLOOKUP(BO31,SectInfo!$B:$N,7,FALSE)="","",(VLOOKUP(BO31,SectInfo!$B:$N,7,FALSE)*-1)))</x:f>
        <x:v/>
      </x:c>
      <x:c r="DL31" s="1046" t="str">
        <x:f>IF(BO31="","",IF(VLOOKUP(BO31,SectInfo!$B:$N,8,FALSE)="",VLOOKUP(AU31,$DF$2:$DN$9,6,FALSE),(VLOOKUP(BO31,SectInfo!$B:$N,8,FALSE))))</x:f>
        <x:v/>
      </x:c>
      <x:c r="DM31" s="1046" t="str">
        <x:f>IF(BO31="","",VLOOKUP(BO31,SectInfo!$B:$N,9,FALSE))</x:f>
        <x:v/>
      </x:c>
      <x:c r="DN31" s="1047">
        <x:f t="shared" si="44"/>
        <x:v>0</x:v>
      </x:c>
      <x:c r="DO31" s="1049">
        <x:f t="shared" si="45"/>
        <x:v>0</x:v>
      </x:c>
      <x:c r="DP31" s="1053" t="str">
        <x:f t="shared" si="46"/>
        <x:v/>
      </x:c>
      <x:c r="DQ31" s="1053" t="str">
        <x:f t="shared" si="47"/>
        <x:v/>
      </x:c>
      <x:c r="DR31" s="1053" t="str">
        <x:f t="shared" si="48"/>
        <x:v/>
      </x:c>
      <x:c r="DS31" s="1052">
        <x:f t="shared" si="49"/>
        <x:v>0</x:v>
      </x:c>
      <x:c r="DT31" s="1052">
        <x:f t="shared" si="50"/>
        <x:v>0</x:v>
      </x:c>
      <x:c r="DU31" s="1052" t="str">
        <x:f t="shared" si="51"/>
        <x:v/>
      </x:c>
      <x:c r="DV31" s="1053" t="str">
        <x:f t="shared" si="52"/>
        <x:v/>
      </x:c>
      <x:c r="DW31" s="1053" t="str">
        <x:f t="shared" si="53"/>
        <x:v/>
      </x:c>
      <x:c r="DX31" s="1269">
        <x:f t="shared" si="54"/>
        <x:v>0</x:v>
      </x:c>
      <x:c r="DY31" s="1053">
        <x:f t="shared" si="55"/>
        <x:v>0</x:v>
      </x:c>
      <x:c r="DZ31" s="1052">
        <x:f t="shared" si="56"/>
        <x:v>0</x:v>
      </x:c>
      <x:c r="EA31" s="1052" t="str">
        <x:f t="shared" si="57"/>
        <x:v/>
      </x:c>
      <x:c r="EB31" s="1053" t="str">
        <x:f t="shared" si="58"/>
        <x:v/>
      </x:c>
      <x:c r="EC31" s="1053" t="str">
        <x:f t="shared" si="59"/>
        <x:v/>
      </x:c>
      <x:c r="ED31" s="1269">
        <x:f t="shared" si="60"/>
        <x:v>0</x:v>
      </x:c>
      <x:c r="EE31" s="1090" t="str">
        <x:f t="shared" si="61"/>
        <x:v/>
      </x:c>
      <x:c r="EF31" s="1053" t="str">
        <x:f t="shared" si="62"/>
        <x:v/>
      </x:c>
      <x:c r="EG31" s="1053" t="str">
        <x:f t="shared" si="63"/>
        <x:v/>
      </x:c>
      <x:c r="EH31" s="1053" t="str">
        <x:f t="shared" si="64"/>
        <x:v>ERR</x:v>
      </x:c>
      <x:c r="EI31" s="1053" t="str">
        <x:f t="shared" si="65"/>
        <x:v>ERR</x:v>
      </x:c>
      <x:c r="EJ31" s="1053" t="str">
        <x:f t="shared" si="66"/>
        <x:v/>
      </x:c>
      <x:c r="EK31" s="1053" t="str">
        <x:f t="shared" si="66"/>
        <x:v/>
      </x:c>
      <x:c r="EL31" s="1090" t="str">
        <x:f t="shared" si="67"/>
        <x:v/>
      </x:c>
      <x:c r="EM31" s="1053" t="str">
        <x:f t="shared" si="68"/>
        <x:v/>
      </x:c>
      <x:c r="EN31" s="1053" t="str">
        <x:f t="shared" si="69"/>
        <x:v/>
      </x:c>
      <x:c r="EO31" s="1053" t="str">
        <x:f t="shared" si="70"/>
        <x:v>ERR</x:v>
      </x:c>
      <x:c r="EP31" s="1053" t="str">
        <x:f t="shared" si="71"/>
        <x:v>ERR</x:v>
      </x:c>
      <x:c r="EQ31" s="1053" t="str">
        <x:f t="shared" si="72"/>
        <x:v/>
      </x:c>
      <x:c r="ER31" s="1053" t="str">
        <x:f t="shared" si="72"/>
        <x:v/>
      </x:c>
      <x:c r="ES31" s="1053" t="str">
        <x:f t="shared" si="73"/>
        <x:v/>
      </x:c>
      <x:c r="ET31" s="1053" t="str">
        <x:f t="shared" si="74"/>
        <x:v/>
      </x:c>
      <x:c r="EU31" s="1061">
        <x:f t="shared" si="75"/>
        <x:v>4</x:v>
      </x:c>
      <x:c r="EV31" s="1055" t="str">
        <x:f t="shared" si="76"/>
        <x:v/>
      </x:c>
      <x:c r="EW31" s="1061"/>
      <x:c r="EX31" s="1061" t="str">
        <x:f>IF(AND(CU31="G", ISBLANK(BK31), ISBLANK(BL31)),VLOOKUP(MIN(BH31:BI31),TblJoistSize!$M$3:$N$10,2),IF(OR(CU31="B",CU31="G"),MIN(BK31:BL31),""))</x:f>
        <x:v/>
      </x:c>
      <x:c r="EY31" s="1061" t="str">
        <x:f>IF(AND(CU31="G", ISBLANK(BK31), ISBLANK(BL31)),VLOOKUP(MAX(BH31:BI31),TblJoistSize!$M$3:$N$10,2),IF(OR(CU31="B",CU31="G"),MAX(BK31:BL31),""))</x:f>
        <x:v/>
      </x:c>
      <x:c r="EZ31" s="1061" t="str">
        <x:f t="shared" si="77"/>
        <x:v/>
      </x:c>
      <x:c r="FA31" s="1061" t="str">
        <x:f>IF(AND(DE31="G", ISBLANK(BS31), ISBLANK(BT31)),VLOOKUP(MIN(BP31:BQ31),TblJoistSize!$M$3:$N$10,2),IF(OR(DE31="B", DE31="G"),MIN(BS31:BT31),""))</x:f>
        <x:v/>
      </x:c>
      <x:c r="FB31" s="1061" t="str">
        <x:f>IF(AND(DE31="G", ISBLANK(BS31), ISBLANK(BT31)),VLOOKUP(MAX(BP31:BQ31),TblJoistSize!$M$3:$N$10,2),IF(OR(DE31="B", DE31="G"),MAX(BS31:BT31),""))</x:f>
        <x:v/>
      </x:c>
      <x:c r="FC31" s="1061" t="str">
        <x:f t="shared" si="78"/>
        <x:v/>
      </x:c>
      <x:c r="FD31" s="1052">
        <x:f t="shared" si="100"/>
        <x:v>0</x:v>
      </x:c>
      <x:c r="FE31" s="1052">
        <x:f t="shared" si="79"/>
        <x:v>0</x:v>
      </x:c>
      <x:c r="FF31" s="1052">
        <x:f t="shared" si="80"/>
        <x:v>0</x:v>
      </x:c>
      <x:c r="FG31" s="1052" t="str">
        <x:f t="shared" si="81"/>
        <x:v/>
      </x:c>
      <x:c r="FH31" s="1053" t="str">
        <x:f t="shared" si="82"/>
        <x:v/>
      </x:c>
      <x:c r="FI31" s="1052">
        <x:f t="shared" si="101"/>
        <x:v>0</x:v>
      </x:c>
      <x:c r="FJ31" s="1052">
        <x:f t="shared" si="83"/>
        <x:v>0</x:v>
      </x:c>
      <x:c r="FK31" s="1052">
        <x:f t="shared" si="84"/>
        <x:v>0</x:v>
      </x:c>
      <x:c r="FL31" s="1052" t="str">
        <x:f t="shared" si="85"/>
        <x:v/>
      </x:c>
      <x:c r="FM31" s="1053" t="str">
        <x:f t="shared" si="86"/>
        <x:v/>
      </x:c>
      <x:c r="FN31" s="1053" t="e">
        <x:f t="shared" si="87"/>
        <x:v>#VALUE!</x:v>
      </x:c>
      <x:c r="FO31" s="1062" t="e">
        <x:f t="shared" si="88"/>
        <x:v>#VALUE!</x:v>
      </x:c>
      <x:c r="FP31" s="1062" t="e">
        <x:f t="shared" si="89"/>
        <x:v>#VALUE!</x:v>
      </x:c>
      <x:c r="FQ31" s="1063" t="e">
        <x:f t="shared" si="90"/>
        <x:v>#VALUE!</x:v>
      </x:c>
      <x:c r="FR31" s="1064" t="e">
        <x:f t="shared" si="91"/>
        <x:v>#VALUE!</x:v>
      </x:c>
      <x:c r="FS31" s="1065" t="str">
        <x:f t="shared" si="92"/>
        <x:v/>
      </x:c>
      <x:c r="FT31" s="1066" t="str">
        <x:f t="shared" si="93"/>
        <x:v/>
      </x:c>
      <x:c r="FU31" s="1105">
        <x:f t="shared" si="94"/>
        <x:v>0</x:v>
      </x:c>
      <x:c r="FV31" s="1106">
        <x:f t="shared" si="95"/>
        <x:v>0</x:v>
      </x:c>
      <x:c r="GA31" s="1975">
        <x:v>59</x:v>
      </x:c>
      <x:c r="GB31" s="1976">
        <x:v>2.75</x:v>
      </x:c>
      <x:c r="GC31" s="1977">
        <x:v>-1.875</x:v>
      </x:c>
      <x:c r="GD31" s="1978">
        <x:v>-0.25</x:v>
      </x:c>
      <x:c r="GE31" s="1979">
        <x:v>0.26169539219134702</x:v>
      </x:c>
      <x:c r="GF31" s="1980" t="str">
        <x:f t="shared" si="96"/>
        <x:v>J307</x:v>
      </x:c>
      <x:c r="GG31" s="1453"/>
      <x:c r="GH31" s="1454"/>
      <x:c r="GI31" s="1453"/>
      <x:c r="GJ31" s="1454"/>
      <x:c r="GK31" s="533">
        <x:f t="shared" si="97"/>
        <x:v>708.625</x:v>
      </x:c>
      <x:c r="GL31" s="534">
        <x:f t="shared" si="98"/>
        <x:v>708.79348626656247</x:v>
      </x:c>
      <x:c r="GM31" s="535">
        <x:f>IF(ABS(GK31-GL31)&gt;='Job Info.'!$L$22,ABS(GK31-GL31),0)</x:f>
        <x:v>0</x:v>
      </x:c>
      <x:c r="HA31" s="1658" t="s">
        <x:v>1631</x:v>
      </x:c>
      <x:c r="HB31" s="1659">
        <x:v>1</x:v>
      </x:c>
      <x:c r="HC31" s="1659" t="s">
        <x:v>1978</x:v>
      </x:c>
      <x:c r="HD31" s="1660">
        <x:v>59</x:v>
      </x:c>
      <x:c r="HE31" s="1661">
        <x:v>0.625</x:v>
      </x:c>
      <x:c r="HF31" s="1659" t="s">
        <x:v>117</x:v>
      </x:c>
      <x:c r="HG31" s="1659" t="s">
        <x:v>117</x:v>
      </x:c>
      <x:c r="HH31" s="1659" t="s">
        <x:v>117</x:v>
      </x:c>
      <x:c r="HI31" s="1662">
        <x:v>0</x:v>
      </x:c>
      <x:c r="HJ31" s="1659">
        <x:v>1.375</x:v>
      </x:c>
      <x:c r="HK31" s="1659" t="s">
        <x:v>114</x:v>
      </x:c>
      <x:c r="HL31" s="1659">
        <x:v>3</x:v>
      </x:c>
      <x:c r="HM31" s="1659">
        <x:v>3</x:v>
      </x:c>
      <x:c r="HN31" s="1659" t="s">
        <x:v>117</x:v>
      </x:c>
      <x:c r="HO31" s="1659" t="s">
        <x:v>117</x:v>
      </x:c>
      <x:c r="HP31" s="1659" t="s">
        <x:v>117</x:v>
      </x:c>
      <x:c r="HQ31" s="1662" t="s">
        <x:v>117</x:v>
      </x:c>
      <x:c r="HR31" s="1659" t="s">
        <x:v>117</x:v>
      </x:c>
      <x:c r="HS31" s="1659" t="s">
        <x:v>117</x:v>
      </x:c>
      <x:c r="HT31" s="1659" t="s">
        <x:v>117</x:v>
      </x:c>
      <x:c r="HU31" s="1659" t="s">
        <x:v>117</x:v>
      </x:c>
      <x:c r="HV31" s="1659" t="s">
        <x:v>117</x:v>
      </x:c>
      <x:c r="HW31" s="1661" t="s">
        <x:v>117</x:v>
      </x:c>
      <x:c r="HX31" s="1661">
        <x:v>0</x:v>
      </x:c>
      <x:c r="HY31" s="1661" t="s">
        <x:v>117</x:v>
      </x:c>
      <x:c r="HZ31" s="1661" t="s">
        <x:v>117</x:v>
      </x:c>
      <x:c r="IA31" s="1661" t="s">
        <x:v>2286</x:v>
      </x:c>
      <x:c r="IB31" s="1661"/>
      <x:c r="IC31" s="1661"/>
      <x:c r="ID31" s="1661"/>
      <x:c r="IE31" s="1661"/>
      <x:c r="IF31" s="1663"/>
    </x:row>
    <x:row r="32" spans="1:240" ht="12.6" customHeight="1" x14ac:dyDescent="0.25">
      <x:c r="A32" s="1264" t="s">
        <x:v>1632</x:v>
      </x:c>
      <x:c r="B32" s="1265">
        <x:v>1</x:v>
      </x:c>
      <x:c r="C32" s="1265" t="s">
        <x:v>1978</x:v>
      </x:c>
      <x:c r="D32" s="1261">
        <x:v>59</x:v>
      </x:c>
      <x:c r="E32" s="1366">
        <x:v>0.625</x:v>
      </x:c>
      <x:c r="F32" s="1328" t="str">
        <x:f t="shared" si="102"/>
        <x:v/>
      </x:c>
      <x:c r="G32" s="1262" t="str">
        <x:f t="shared" si="103"/>
        <x:v/>
      </x:c>
      <x:c r="H32" s="1266" t="str">
        <x:f t="shared" si="104"/>
        <x:v/>
      </x:c>
      <x:c r="I32" s="1261">
        <x:v>0</x:v>
      </x:c>
      <x:c r="J32" s="1262">
        <x:v>1.375</x:v>
      </x:c>
      <x:c r="K32" s="1370" t="s">
        <x:v>114</x:v>
      </x:c>
      <x:c r="L32" s="1327">
        <x:v>3</x:v>
      </x:c>
      <x:c r="M32" s="1329">
        <x:v>3</x:v>
      </x:c>
      <x:c r="N32" s="1263" t="str">
        <x:f t="shared" si="1"/>
        <x:v/>
      </x:c>
      <x:c r="O32" s="1262" t="str">
        <x:f t="shared" si="2"/>
        <x:v/>
      </x:c>
      <x:c r="P32" s="1260" t="str">
        <x:f t="shared" si="3"/>
        <x:v/>
      </x:c>
      <x:c r="Q32" s="1261" t="str">
        <x:f t="shared" si="4"/>
        <x:v/>
      </x:c>
      <x:c r="R32" s="1262" t="str">
        <x:f t="shared" si="5"/>
        <x:v/>
      </x:c>
      <x:c r="S32" s="1375" t="str">
        <x:f t="shared" si="6"/>
        <x:v/>
      </x:c>
      <x:c r="T32" s="1328">
        <x:v>0</x:v>
      </x:c>
      <x:c r="U32" s="1262">
        <x:v>1.125</x:v>
      </x:c>
      <x:c r="V32" s="1261">
        <x:v>0</x:v>
      </x:c>
      <x:c r="W32" s="1262">
        <x:v>2.25</x:v>
      </x:c>
      <x:c r="X32" s="1329">
        <x:v>4</x:v>
      </x:c>
      <x:c r="Y32" s="1377" t="str">
        <x:f t="shared" si="7"/>
        <x:v/>
      </x:c>
      <x:c r="Z32" s="1378" t="str">
        <x:f t="shared" si="8"/>
        <x:v/>
      </x:c>
      <x:c r="AA32" s="2159" t="s">
        <x:v>2286</x:v>
      </x:c>
      <x:c r="AC32" s="1226" t="b">
        <x:v>0</x:v>
      </x:c>
      <x:c r="AD32" s="525">
        <x:f t="shared" si="9"/>
        <x:v>0</x:v>
      </x:c>
      <x:c r="AE32" s="526">
        <x:f t="shared" si="10"/>
        <x:v>1</x:v>
      </x:c>
      <x:c r="AF32" s="526">
        <x:f t="shared" si="11"/>
        <x:v>0</x:v>
      </x:c>
      <x:c r="AG32" s="526">
        <x:f t="shared" si="12"/>
        <x:v>0</x:v>
      </x:c>
      <x:c r="AH32" s="527">
        <x:f t="shared" si="13"/>
        <x:v>0</x:v>
      </x:c>
      <x:c r="AI32" s="528" t="b">
        <x:v>0</x:v>
      </x:c>
      <x:c r="AJ32" s="284">
        <x:f t="shared" si="14"/>
        <x:v>36</x:v>
      </x:c>
      <x:c r="AK32" s="1063" t="str">
        <x:f t="shared" si="15"/>
        <x:v>LH</x:v>
      </x:c>
      <x:c r="AL32" s="1202" t="str">
        <x:f t="shared" si="16"/>
        <x:v/>
      </x:c>
      <x:c r="AM32" s="1063">
        <x:f t="shared" si="17"/>
        <x:v>270</x:v>
      </x:c>
      <x:c r="AN32" s="1063">
        <x:f t="shared" si="18"/>
        <x:v>120</x:v>
      </x:c>
      <x:c r="AO32" s="1063" t="str">
        <x:f t="shared" si="19"/>
        <x:v/>
      </x:c>
      <x:c r="AP32" s="1063" t="b">
        <x:f>IF(ISERROR(AJ32),FALSE,IF(OR(AJ32=0,ISERROR(AL32),ISERROR(AM32),ISERROR(AN32),ISERROR(AO32)),FALSE,IF(AL32&lt;&gt;"",IF(ISERROR(VLOOKUP(SUBSTITUTE(SUBSTITUTE(C32,"R",""),"A",""),TblJoistSize!$A:$A,1,FALSE)),FALSE,TRUE),TRUE)))</x:f>
        <x:v>1</x:v>
      </x:c>
      <x:c r="AQ32" s="1305">
        <x:f t="shared" si="20"/>
        <x:v>6</x:v>
      </x:c>
      <x:c r="AR32" s="1305" t="b">
        <x:f t="shared" si="21"/>
        <x:v>1</x:v>
      </x:c>
      <x:c r="AS32" s="1305">
        <x:f t="shared" si="22"/>
        <x:v>7.375</x:v>
      </x:c>
      <x:c r="AT32" s="1305" t="b">
        <x:f t="shared" si="23"/>
        <x:v>1</x:v>
      </x:c>
      <x:c r="AU32" s="1203" t="str">
        <x:f t="shared" si="24"/>
        <x:v>LH</x:v>
      </x:c>
      <x:c r="AV32" s="1063" t="str">
        <x:f t="shared" si="25"/>
        <x:v/>
      </x:c>
      <x:c r="AW32" s="1063" t="str">
        <x:f t="shared" si="26"/>
        <x:v>LH</x:v>
      </x:c>
      <x:c r="AX32" s="1063" t="str">
        <x:f t="shared" si="99"/>
        <x:v>TJ308</x:v>
      </x:c>
      <x:c r="AY32" s="1306" t="b">
        <x:f t="shared" si="27"/>
        <x:v>0</x:v>
      </x:c>
      <x:c r="AZ32" s="1090" t="b">
        <x:f t="shared" si="28"/>
        <x:v>0</x:v>
      </x:c>
      <x:c r="BA32" s="674"/>
      <x:c r="BB32" s="842"/>
      <x:c r="BC32" s="894"/>
      <x:c r="BD32" s="926"/>
      <x:c r="BE32" s="927"/>
      <x:c r="BF32" s="928"/>
      <x:c r="BG32" s="901"/>
      <x:c r="BH32" s="1244"/>
      <x:c r="BI32" s="1245"/>
      <x:c r="BJ32" s="929"/>
      <x:c r="BK32" s="902"/>
      <x:c r="BL32" s="903"/>
      <x:c r="BM32" s="904"/>
      <x:c r="BN32" s="905"/>
      <x:c r="BO32" s="901"/>
      <x:c r="BP32" s="902"/>
      <x:c r="BQ32" s="903"/>
      <x:c r="BR32" s="929"/>
      <x:c r="BS32" s="902"/>
      <x:c r="BT32" s="903"/>
      <x:c r="BU32" s="904"/>
      <x:c r="BV32" s="905"/>
      <x:c r="BW32" s="906"/>
      <x:c r="BX32" s="930"/>
      <x:c r="BY32" s="931"/>
      <x:c r="BZ32" s="932"/>
      <x:c r="CA32" s="933"/>
      <x:c r="CB32" s="932"/>
      <x:c r="CC32" s="933"/>
      <x:c r="CD32" s="934" t="str">
        <x:f t="shared" si="29"/>
        <x:v/>
      </x:c>
      <x:c r="CE32" s="935" t="str">
        <x:f t="shared" si="30"/>
        <x:v/>
      </x:c>
      <x:c r="CF32" s="1149"/>
      <x:c r="CG32" s="1150"/>
      <x:c r="CH32" s="738" t="str">
        <x:f t="shared" si="31"/>
        <x:v/>
      </x:c>
      <x:c r="CI32" s="739" t="str">
        <x:f t="shared" si="32"/>
        <x:v/>
      </x:c>
      <x:c r="CJ32" s="740" t="str">
        <x:f t="shared" si="33"/>
        <x:v/>
      </x:c>
      <x:c r="CK32" s="741" t="str">
        <x:f t="shared" si="34"/>
        <x:v/>
      </x:c>
      <x:c r="CL32" s="742" t="str">
        <x:f t="shared" si="35"/>
        <x:v/>
      </x:c>
      <x:c r="CM32" s="743" t="str">
        <x:f t="shared" si="36"/>
        <x:v/>
      </x:c>
      <x:c r="CN32" s="744" t="str">
        <x:f t="shared" si="37"/>
        <x:v/>
      </x:c>
      <x:c r="CO32" s="745" t="str">
        <x:f t="shared" si="38"/>
        <x:v/>
      </x:c>
      <x:c r="CP32" s="762" t="str">
        <x:f t="shared" si="39"/>
        <x:v/>
      </x:c>
      <x:c r="CQ32" s="763" t="str">
        <x:f t="shared" si="40"/>
        <x:v/>
      </x:c>
      <x:c r="CR32" s="953">
        <x:f t="shared" si="41"/>
        <x:v>5</x:v>
      </x:c>
      <x:c r="CS32" s="954">
        <x:f t="shared" si="42"/>
        <x:v>5</x:v>
      </x:c>
      <x:c r="CU32" s="1048" t="str">
        <x:f>IF(BG32="","",VLOOKUP(BG32,SectInfo!$B:$N,12,FALSE))</x:f>
        <x:v/>
      </x:c>
      <x:c r="CV32" s="1046" t="str">
        <x:f>IF(BG32="","",IF(ISBLANK(BZ32),VLOOKUP(BG32,SectInfo!$B:$N,13,FALSE),BZ32))</x:f>
        <x:v/>
      </x:c>
      <x:c r="CW32" s="1046" t="str">
        <x:f>IF(BG32="","",IF(VLOOKUP(BG32,SectInfo!$B:$N,5,FALSE)="","R",UPPER(VLOOKUP(BG32,SectInfo!$B:$N,5,FALSE))))</x:f>
        <x:v/>
      </x:c>
      <x:c r="CX32" s="1046" t="str">
        <x:f>IF(BG32="","",IF(ISBLANK(CF32),VLOOKUP(BG32,SectInfo!$B:$N,6,FALSE),CF32))</x:f>
        <x:v/>
      </x:c>
      <x:c r="CY32" s="1276" t="str">
        <x:f>IF(BG32="","",IF(VLOOKUP(BG32,SectInfo!$B:$N,10,FALSE)="","",(VLOOKUP(BG32,SectInfo!$B:$N,10,FALSE)*-1)))</x:f>
        <x:v/>
      </x:c>
      <x:c r="CZ32" s="1443" t="str">
        <x:f>IF(BG32="","",IF(VLOOKUP(BG32,SectInfo!$B:$N,11,FALSE)="","2",(VLOOKUP(BG32,SectInfo!$B:$N,11,FALSE))))</x:f>
        <x:v/>
      </x:c>
      <x:c r="DA32" s="1046" t="str">
        <x:f>IF(BG32="","",IF(VLOOKUP(BG32,SectInfo!$B:$N,7,FALSE)="","",(VLOOKUP(BG32,SectInfo!$B:$N,7,FALSE)*-1)))</x:f>
        <x:v/>
      </x:c>
      <x:c r="DB32" s="1046" t="str">
        <x:f>IF(BG32="","",IF(VLOOKUP(BG32,SectInfo!$B:$N,8,FALSE)="",VLOOKUP(AU32,$DF$2:$DN$9,6,FALSE),(VLOOKUP(BG32,SectInfo!$B:$N,8,FALSE))))</x:f>
        <x:v/>
      </x:c>
      <x:c r="DC32" s="1046" t="str">
        <x:f>IF(BG32="","",VLOOKUP(BG32,SectInfo!$B:$N,9,FALSE))</x:f>
        <x:v/>
      </x:c>
      <x:c r="DD32" s="1047">
        <x:f t="shared" si="43"/>
        <x:v>0</x:v>
      </x:c>
      <x:c r="DE32" s="1048" t="str">
        <x:f>IF(BO32="","",VLOOKUP(BO32,SectInfo!$B:$N,12,FALSE))</x:f>
        <x:v/>
      </x:c>
      <x:c r="DF32" s="1046" t="str">
        <x:f>IF(BO32="","",IF(ISBLANK(CA32),VLOOKUP(BO32,SectInfo!$B:$N,13,FALSE),CA32))</x:f>
        <x:v/>
      </x:c>
      <x:c r="DG32" s="1046" t="str">
        <x:f>IF(BO32="","",IF(VLOOKUP(BO32,SectInfo!$B:$N,5,FALSE)="","R",UPPER(VLOOKUP(BO32,SectInfo!$B:$N,5,FALSE))))</x:f>
        <x:v/>
      </x:c>
      <x:c r="DH32" s="1046" t="str">
        <x:f>IF(BO32="","",IF(ISBLANK(CG32),VLOOKUP(BO32,SectInfo!$B:$N,6,FALSE),CG32))</x:f>
        <x:v/>
      </x:c>
      <x:c r="DI32" s="1046" t="str">
        <x:f>IF(BO32="","",IF(VLOOKUP(BO32,SectInfo!$B:$N,10,FALSE)="","",(VLOOKUP(BO32,SectInfo!$B:$N,10,FALSE)*-1)))</x:f>
        <x:v/>
      </x:c>
      <x:c r="DJ32" s="1443" t="str">
        <x:f>IF(BO32="","",IF(VLOOKUP(BO32,SectInfo!$B:$N,11,FALSE)="","2",(VLOOKUP(BO32,SectInfo!$B:$N,11,FALSE))))</x:f>
        <x:v/>
      </x:c>
      <x:c r="DK32" s="1046" t="str">
        <x:f>IF(BO32="","",IF(VLOOKUP(BO32,SectInfo!$B:$N,7,FALSE)="","",(VLOOKUP(BO32,SectInfo!$B:$N,7,FALSE)*-1)))</x:f>
        <x:v/>
      </x:c>
      <x:c r="DL32" s="1046" t="str">
        <x:f>IF(BO32="","",IF(VLOOKUP(BO32,SectInfo!$B:$N,8,FALSE)="",VLOOKUP(AU32,$DF$2:$DN$9,6,FALSE),(VLOOKUP(BO32,SectInfo!$B:$N,8,FALSE))))</x:f>
        <x:v/>
      </x:c>
      <x:c r="DM32" s="1046" t="str">
        <x:f>IF(BO32="","",VLOOKUP(BO32,SectInfo!$B:$N,9,FALSE))</x:f>
        <x:v/>
      </x:c>
      <x:c r="DN32" s="1047">
        <x:f t="shared" si="44"/>
        <x:v>0</x:v>
      </x:c>
      <x:c r="DO32" s="1049">
        <x:f t="shared" si="45"/>
        <x:v>0</x:v>
      </x:c>
      <x:c r="DP32" s="1053" t="str">
        <x:f t="shared" si="46"/>
        <x:v/>
      </x:c>
      <x:c r="DQ32" s="1053" t="str">
        <x:f t="shared" si="47"/>
        <x:v/>
      </x:c>
      <x:c r="DR32" s="1053" t="str">
        <x:f t="shared" si="48"/>
        <x:v/>
      </x:c>
      <x:c r="DS32" s="1052">
        <x:f t="shared" si="49"/>
        <x:v>0</x:v>
      </x:c>
      <x:c r="DT32" s="1052">
        <x:f t="shared" si="50"/>
        <x:v>0</x:v>
      </x:c>
      <x:c r="DU32" s="1052" t="str">
        <x:f t="shared" si="51"/>
        <x:v/>
      </x:c>
      <x:c r="DV32" s="1053" t="str">
        <x:f t="shared" si="52"/>
        <x:v/>
      </x:c>
      <x:c r="DW32" s="1053" t="str">
        <x:f t="shared" si="53"/>
        <x:v/>
      </x:c>
      <x:c r="DX32" s="1269">
        <x:f t="shared" si="54"/>
        <x:v>0</x:v>
      </x:c>
      <x:c r="DY32" s="1053">
        <x:f t="shared" si="55"/>
        <x:v>0</x:v>
      </x:c>
      <x:c r="DZ32" s="1052">
        <x:f t="shared" si="56"/>
        <x:v>0</x:v>
      </x:c>
      <x:c r="EA32" s="1052" t="str">
        <x:f t="shared" si="57"/>
        <x:v/>
      </x:c>
      <x:c r="EB32" s="1053" t="str">
        <x:f t="shared" si="58"/>
        <x:v/>
      </x:c>
      <x:c r="EC32" s="1053" t="str">
        <x:f t="shared" si="59"/>
        <x:v/>
      </x:c>
      <x:c r="ED32" s="1269">
        <x:f t="shared" si="60"/>
        <x:v>0</x:v>
      </x:c>
      <x:c r="EE32" s="1090" t="str">
        <x:f t="shared" si="61"/>
        <x:v/>
      </x:c>
      <x:c r="EF32" s="1053" t="str">
        <x:f t="shared" si="62"/>
        <x:v/>
      </x:c>
      <x:c r="EG32" s="1053" t="str">
        <x:f t="shared" si="63"/>
        <x:v/>
      </x:c>
      <x:c r="EH32" s="1053" t="str">
        <x:f t="shared" si="64"/>
        <x:v>ERR</x:v>
      </x:c>
      <x:c r="EI32" s="1053" t="str">
        <x:f t="shared" si="65"/>
        <x:v>ERR</x:v>
      </x:c>
      <x:c r="EJ32" s="1053" t="str">
        <x:f t="shared" si="66"/>
        <x:v/>
      </x:c>
      <x:c r="EK32" s="1053" t="str">
        <x:f t="shared" si="66"/>
        <x:v/>
      </x:c>
      <x:c r="EL32" s="1090" t="str">
        <x:f t="shared" si="67"/>
        <x:v/>
      </x:c>
      <x:c r="EM32" s="1053" t="str">
        <x:f t="shared" si="68"/>
        <x:v/>
      </x:c>
      <x:c r="EN32" s="1053" t="str">
        <x:f t="shared" si="69"/>
        <x:v/>
      </x:c>
      <x:c r="EO32" s="1053" t="str">
        <x:f t="shared" si="70"/>
        <x:v>ERR</x:v>
      </x:c>
      <x:c r="EP32" s="1053" t="str">
        <x:f t="shared" si="71"/>
        <x:v>ERR</x:v>
      </x:c>
      <x:c r="EQ32" s="1053" t="str">
        <x:f t="shared" si="72"/>
        <x:v/>
      </x:c>
      <x:c r="ER32" s="1053" t="str">
        <x:f t="shared" si="72"/>
        <x:v/>
      </x:c>
      <x:c r="ES32" s="1053" t="str">
        <x:f t="shared" si="73"/>
        <x:v/>
      </x:c>
      <x:c r="ET32" s="1053" t="str">
        <x:f t="shared" si="74"/>
        <x:v/>
      </x:c>
      <x:c r="EU32" s="1061">
        <x:f t="shared" si="75"/>
        <x:v>4</x:v>
      </x:c>
      <x:c r="EV32" s="1055" t="str">
        <x:f t="shared" si="76"/>
        <x:v/>
      </x:c>
      <x:c r="EW32" s="1061"/>
      <x:c r="EX32" s="1061" t="str">
        <x:f>IF(AND(CU32="G", ISBLANK(BK32), ISBLANK(BL32)),VLOOKUP(MIN(BH32:BI32),TblJoistSize!$M$3:$N$10,2),IF(OR(CU32="B",CU32="G"),MIN(BK32:BL32),""))</x:f>
        <x:v/>
      </x:c>
      <x:c r="EY32" s="1061" t="str">
        <x:f>IF(AND(CU32="G", ISBLANK(BK32), ISBLANK(BL32)),VLOOKUP(MAX(BH32:BI32),TblJoistSize!$M$3:$N$10,2),IF(OR(CU32="B",CU32="G"),MAX(BK32:BL32),""))</x:f>
        <x:v/>
      </x:c>
      <x:c r="EZ32" s="1061" t="str">
        <x:f t="shared" si="77"/>
        <x:v/>
      </x:c>
      <x:c r="FA32" s="1061" t="str">
        <x:f>IF(AND(DE32="G", ISBLANK(BS32), ISBLANK(BT32)),VLOOKUP(MIN(BP32:BQ32),TblJoistSize!$M$3:$N$10,2),IF(OR(DE32="B", DE32="G"),MIN(BS32:BT32),""))</x:f>
        <x:v/>
      </x:c>
      <x:c r="FB32" s="1061" t="str">
        <x:f>IF(AND(DE32="G", ISBLANK(BS32), ISBLANK(BT32)),VLOOKUP(MAX(BP32:BQ32),TblJoistSize!$M$3:$N$10,2),IF(OR(DE32="B", DE32="G"),MAX(BS32:BT32),""))</x:f>
        <x:v/>
      </x:c>
      <x:c r="FC32" s="1061" t="str">
        <x:f t="shared" si="78"/>
        <x:v/>
      </x:c>
      <x:c r="FD32" s="1052">
        <x:f t="shared" si="100"/>
        <x:v>0</x:v>
      </x:c>
      <x:c r="FE32" s="1052">
        <x:f t="shared" si="79"/>
        <x:v>0</x:v>
      </x:c>
      <x:c r="FF32" s="1052">
        <x:f t="shared" si="80"/>
        <x:v>0</x:v>
      </x:c>
      <x:c r="FG32" s="1052" t="str">
        <x:f t="shared" si="81"/>
        <x:v/>
      </x:c>
      <x:c r="FH32" s="1053" t="str">
        <x:f t="shared" si="82"/>
        <x:v/>
      </x:c>
      <x:c r="FI32" s="1052">
        <x:f t="shared" si="101"/>
        <x:v>0</x:v>
      </x:c>
      <x:c r="FJ32" s="1052">
        <x:f t="shared" si="83"/>
        <x:v>0</x:v>
      </x:c>
      <x:c r="FK32" s="1052">
        <x:f t="shared" si="84"/>
        <x:v>0</x:v>
      </x:c>
      <x:c r="FL32" s="1052" t="str">
        <x:f t="shared" si="85"/>
        <x:v/>
      </x:c>
      <x:c r="FM32" s="1053" t="str">
        <x:f t="shared" si="86"/>
        <x:v/>
      </x:c>
      <x:c r="FN32" s="1053" t="e">
        <x:f t="shared" si="87"/>
        <x:v>#VALUE!</x:v>
      </x:c>
      <x:c r="FO32" s="1062" t="e">
        <x:f t="shared" si="88"/>
        <x:v>#VALUE!</x:v>
      </x:c>
      <x:c r="FP32" s="1062" t="e">
        <x:f t="shared" si="89"/>
        <x:v>#VALUE!</x:v>
      </x:c>
      <x:c r="FQ32" s="1063" t="e">
        <x:f t="shared" si="90"/>
        <x:v>#VALUE!</x:v>
      </x:c>
      <x:c r="FR32" s="1064" t="e">
        <x:f t="shared" si="91"/>
        <x:v>#VALUE!</x:v>
      </x:c>
      <x:c r="FS32" s="1065" t="str">
        <x:f t="shared" si="92"/>
        <x:v/>
      </x:c>
      <x:c r="FT32" s="1066" t="str">
        <x:f t="shared" si="93"/>
        <x:v/>
      </x:c>
      <x:c r="FU32" s="1105">
        <x:f t="shared" si="94"/>
        <x:v>0</x:v>
      </x:c>
      <x:c r="FV32" s="1106">
        <x:f t="shared" si="95"/>
        <x:v>0</x:v>
      </x:c>
      <x:c r="GA32" s="1975">
        <x:v>59</x:v>
      </x:c>
      <x:c r="GB32" s="1976">
        <x:v>2.75</x:v>
      </x:c>
      <x:c r="GC32" s="1977">
        <x:v>-1.875</x:v>
      </x:c>
      <x:c r="GD32" s="1978">
        <x:v>-0.25</x:v>
      </x:c>
      <x:c r="GE32" s="1979">
        <x:v>0.26169539219134702</x:v>
      </x:c>
      <x:c r="GF32" s="1980" t="str">
        <x:f t="shared" si="96"/>
        <x:v>TJ308</x:v>
      </x:c>
      <x:c r="GG32" s="1453"/>
      <x:c r="GH32" s="1454"/>
      <x:c r="GI32" s="1453"/>
      <x:c r="GJ32" s="1454"/>
      <x:c r="GK32" s="533">
        <x:f t="shared" si="97"/>
        <x:v>708.625</x:v>
      </x:c>
      <x:c r="GL32" s="534">
        <x:f t="shared" si="98"/>
        <x:v>708.79348626656247</x:v>
      </x:c>
      <x:c r="GM32" s="535">
        <x:f>IF(ABS(GK32-GL32)&gt;='Job Info.'!$L$22,ABS(GK32-GL32),0)</x:f>
        <x:v>0</x:v>
      </x:c>
      <x:c r="HA32" s="1658" t="s">
        <x:v>1632</x:v>
      </x:c>
      <x:c r="HB32" s="1659">
        <x:v>1</x:v>
      </x:c>
      <x:c r="HC32" s="1659" t="s">
        <x:v>1978</x:v>
      </x:c>
      <x:c r="HD32" s="1660">
        <x:v>59</x:v>
      </x:c>
      <x:c r="HE32" s="1661">
        <x:v>0.625</x:v>
      </x:c>
      <x:c r="HF32" s="1659" t="s">
        <x:v>117</x:v>
      </x:c>
      <x:c r="HG32" s="1659" t="s">
        <x:v>117</x:v>
      </x:c>
      <x:c r="HH32" s="1659" t="s">
        <x:v>117</x:v>
      </x:c>
      <x:c r="HI32" s="1662">
        <x:v>0</x:v>
      </x:c>
      <x:c r="HJ32" s="1659">
        <x:v>1.375</x:v>
      </x:c>
      <x:c r="HK32" s="1659" t="s">
        <x:v>114</x:v>
      </x:c>
      <x:c r="HL32" s="1659">
        <x:v>3</x:v>
      </x:c>
      <x:c r="HM32" s="1659">
        <x:v>3</x:v>
      </x:c>
      <x:c r="HN32" s="1659" t="s">
        <x:v>117</x:v>
      </x:c>
      <x:c r="HO32" s="1659" t="s">
        <x:v>117</x:v>
      </x:c>
      <x:c r="HP32" s="1659" t="s">
        <x:v>117</x:v>
      </x:c>
      <x:c r="HQ32" s="1662" t="s">
        <x:v>117</x:v>
      </x:c>
      <x:c r="HR32" s="1659" t="s">
        <x:v>117</x:v>
      </x:c>
      <x:c r="HS32" s="1659" t="s">
        <x:v>117</x:v>
      </x:c>
      <x:c r="HT32" s="1659">
        <x:v>0</x:v>
      </x:c>
      <x:c r="HU32" s="1659">
        <x:v>1.125</x:v>
      </x:c>
      <x:c r="HV32" s="1659">
        <x:v>0</x:v>
      </x:c>
      <x:c r="HW32" s="1661">
        <x:v>2.25</x:v>
      </x:c>
      <x:c r="HX32" s="1661">
        <x:v>4</x:v>
      </x:c>
      <x:c r="HY32" s="1661" t="s">
        <x:v>117</x:v>
      </x:c>
      <x:c r="HZ32" s="1661" t="s">
        <x:v>117</x:v>
      </x:c>
      <x:c r="IA32" s="1661" t="s">
        <x:v>2286</x:v>
      </x:c>
      <x:c r="IB32" s="1661"/>
      <x:c r="IC32" s="1661"/>
      <x:c r="ID32" s="1661"/>
      <x:c r="IE32" s="1661"/>
      <x:c r="IF32" s="1663"/>
    </x:row>
    <x:row r="33" spans="1:240" ht="12.6" customHeight="1" x14ac:dyDescent="0.25">
      <x:c r="A33" s="1264" t="s">
        <x:v>1633</x:v>
      </x:c>
      <x:c r="B33" s="1265">
        <x:v>1</x:v>
      </x:c>
      <x:c r="C33" s="1265" t="s">
        <x:v>1978</x:v>
      </x:c>
      <x:c r="D33" s="1261">
        <x:v>59</x:v>
      </x:c>
      <x:c r="E33" s="1366">
        <x:v>0.625</x:v>
      </x:c>
      <x:c r="F33" s="1328" t="str">
        <x:f t="shared" si="102"/>
        <x:v/>
      </x:c>
      <x:c r="G33" s="1262" t="str">
        <x:f t="shared" si="103"/>
        <x:v/>
      </x:c>
      <x:c r="H33" s="1266" t="str">
        <x:f t="shared" si="104"/>
        <x:v/>
      </x:c>
      <x:c r="I33" s="1261">
        <x:v>0</x:v>
      </x:c>
      <x:c r="J33" s="1262">
        <x:v>1.375</x:v>
      </x:c>
      <x:c r="K33" s="1370" t="s">
        <x:v>114</x:v>
      </x:c>
      <x:c r="L33" s="1327">
        <x:v>3</x:v>
      </x:c>
      <x:c r="M33" s="1329">
        <x:v>3</x:v>
      </x:c>
      <x:c r="N33" s="1263" t="str">
        <x:f t="shared" si="1"/>
        <x:v/>
      </x:c>
      <x:c r="O33" s="1262" t="str">
        <x:f t="shared" si="2"/>
        <x:v/>
      </x:c>
      <x:c r="P33" s="1260" t="str">
        <x:f t="shared" si="3"/>
        <x:v/>
      </x:c>
      <x:c r="Q33" s="1261" t="str">
        <x:f t="shared" si="4"/>
        <x:v/>
      </x:c>
      <x:c r="R33" s="1262" t="str">
        <x:f t="shared" si="5"/>
        <x:v/>
      </x:c>
      <x:c r="S33" s="1375" t="str">
        <x:f t="shared" si="6"/>
        <x:v/>
      </x:c>
      <x:c r="T33" s="1328" t="str">
        <x:f t="shared" si="105"/>
        <x:v/>
      </x:c>
      <x:c r="U33" s="1262" t="str">
        <x:f t="shared" si="106"/>
        <x:v/>
      </x:c>
      <x:c r="V33" s="1261" t="str">
        <x:f t="shared" si="107"/>
        <x:v/>
      </x:c>
      <x:c r="W33" s="1262" t="str">
        <x:f t="shared" si="108"/>
        <x:v/>
      </x:c>
      <x:c r="X33" s="1329">
        <x:f t="shared" si="109"/>
        <x:v>0</x:v>
      </x:c>
      <x:c r="Y33" s="1377" t="str">
        <x:f t="shared" si="7"/>
        <x:v/>
      </x:c>
      <x:c r="Z33" s="1378" t="str">
        <x:f t="shared" si="8"/>
        <x:v/>
      </x:c>
      <x:c r="AA33" s="2159" t="s">
        <x:v>2287</x:v>
      </x:c>
      <x:c r="AC33" s="1226" t="b">
        <x:v>0</x:v>
      </x:c>
      <x:c r="AD33" s="525">
        <x:f t="shared" si="9"/>
        <x:v>0</x:v>
      </x:c>
      <x:c r="AE33" s="526">
        <x:f t="shared" si="10"/>
        <x:v>1</x:v>
      </x:c>
      <x:c r="AF33" s="526">
        <x:f t="shared" si="11"/>
        <x:v>0</x:v>
      </x:c>
      <x:c r="AG33" s="526">
        <x:f t="shared" si="12"/>
        <x:v>0</x:v>
      </x:c>
      <x:c r="AH33" s="527">
        <x:f t="shared" si="13"/>
        <x:v>0</x:v>
      </x:c>
      <x:c r="AI33" s="528" t="b">
        <x:v>0</x:v>
      </x:c>
      <x:c r="AJ33" s="284">
        <x:f t="shared" si="14"/>
        <x:v>36</x:v>
      </x:c>
      <x:c r="AK33" s="1063" t="str">
        <x:f t="shared" si="15"/>
        <x:v>LH</x:v>
      </x:c>
      <x:c r="AL33" s="1202" t="str">
        <x:f t="shared" si="16"/>
        <x:v/>
      </x:c>
      <x:c r="AM33" s="1063">
        <x:f t="shared" si="17"/>
        <x:v>270</x:v>
      </x:c>
      <x:c r="AN33" s="1063">
        <x:f t="shared" si="18"/>
        <x:v>120</x:v>
      </x:c>
      <x:c r="AO33" s="1063" t="str">
        <x:f t="shared" si="19"/>
        <x:v/>
      </x:c>
      <x:c r="AP33" s="1063" t="b">
        <x:f>IF(ISERROR(AJ33),FALSE,IF(OR(AJ33=0,ISERROR(AL33),ISERROR(AM33),ISERROR(AN33),ISERROR(AO33)),FALSE,IF(AL33&lt;&gt;"",IF(ISERROR(VLOOKUP(SUBSTITUTE(SUBSTITUTE(C33,"R",""),"A",""),TblJoistSize!$A:$A,1,FALSE)),FALSE,TRUE),TRUE)))</x:f>
        <x:v>1</x:v>
      </x:c>
      <x:c r="AQ33" s="1305">
        <x:f t="shared" si="20"/>
        <x:v>6</x:v>
      </x:c>
      <x:c r="AR33" s="1305" t="b">
        <x:f t="shared" si="21"/>
        <x:v>0</x:v>
      </x:c>
      <x:c r="AS33" s="1305">
        <x:f t="shared" si="22"/>
        <x:v>7.375</x:v>
      </x:c>
      <x:c r="AT33" s="1305" t="b">
        <x:f t="shared" si="23"/>
        <x:v>0</x:v>
      </x:c>
      <x:c r="AU33" s="1203" t="str">
        <x:f t="shared" si="24"/>
        <x:v>LH</x:v>
      </x:c>
      <x:c r="AV33" s="1063" t="str">
        <x:f t="shared" si="25"/>
        <x:v/>
      </x:c>
      <x:c r="AW33" s="1063" t="str">
        <x:f t="shared" si="26"/>
        <x:v>LH</x:v>
      </x:c>
      <x:c r="AX33" s="1063" t="str">
        <x:f t="shared" si="99"/>
        <x:v>J309</x:v>
      </x:c>
      <x:c r="AY33" s="1306" t="b">
        <x:f t="shared" si="27"/>
        <x:v>0</x:v>
      </x:c>
      <x:c r="AZ33" s="1090" t="b">
        <x:f t="shared" si="28"/>
        <x:v>0</x:v>
      </x:c>
      <x:c r="BA33" s="674"/>
      <x:c r="BB33" s="842"/>
      <x:c r="BC33" s="894"/>
      <x:c r="BD33" s="926"/>
      <x:c r="BE33" s="927"/>
      <x:c r="BF33" s="928"/>
      <x:c r="BG33" s="901"/>
      <x:c r="BH33" s="1244"/>
      <x:c r="BI33" s="1245"/>
      <x:c r="BJ33" s="929"/>
      <x:c r="BK33" s="902"/>
      <x:c r="BL33" s="903"/>
      <x:c r="BM33" s="904"/>
      <x:c r="BN33" s="905"/>
      <x:c r="BO33" s="901"/>
      <x:c r="BP33" s="902"/>
      <x:c r="BQ33" s="903"/>
      <x:c r="BR33" s="929"/>
      <x:c r="BS33" s="902"/>
      <x:c r="BT33" s="903"/>
      <x:c r="BU33" s="904"/>
      <x:c r="BV33" s="905"/>
      <x:c r="BW33" s="906"/>
      <x:c r="BX33" s="930"/>
      <x:c r="BY33" s="931"/>
      <x:c r="BZ33" s="932"/>
      <x:c r="CA33" s="933"/>
      <x:c r="CB33" s="932"/>
      <x:c r="CC33" s="933"/>
      <x:c r="CD33" s="934" t="str">
        <x:f t="shared" si="29"/>
        <x:v/>
      </x:c>
      <x:c r="CE33" s="935" t="str">
        <x:f t="shared" si="30"/>
        <x:v/>
      </x:c>
      <x:c r="CF33" s="1149"/>
      <x:c r="CG33" s="1150"/>
      <x:c r="CH33" s="738" t="str">
        <x:f t="shared" si="31"/>
        <x:v/>
      </x:c>
      <x:c r="CI33" s="739" t="str">
        <x:f t="shared" si="32"/>
        <x:v/>
      </x:c>
      <x:c r="CJ33" s="740" t="str">
        <x:f t="shared" si="33"/>
        <x:v/>
      </x:c>
      <x:c r="CK33" s="741" t="str">
        <x:f t="shared" si="34"/>
        <x:v/>
      </x:c>
      <x:c r="CL33" s="742" t="str">
        <x:f t="shared" si="35"/>
        <x:v/>
      </x:c>
      <x:c r="CM33" s="743" t="str">
        <x:f t="shared" si="36"/>
        <x:v/>
      </x:c>
      <x:c r="CN33" s="744" t="str">
        <x:f t="shared" si="37"/>
        <x:v/>
      </x:c>
      <x:c r="CO33" s="745" t="str">
        <x:f t="shared" si="38"/>
        <x:v/>
      </x:c>
      <x:c r="CP33" s="762" t="str">
        <x:f t="shared" si="39"/>
        <x:v/>
      </x:c>
      <x:c r="CQ33" s="763" t="str">
        <x:f t="shared" si="40"/>
        <x:v/>
      </x:c>
      <x:c r="CR33" s="953">
        <x:f t="shared" si="41"/>
        <x:v>5</x:v>
      </x:c>
      <x:c r="CS33" s="954">
        <x:f t="shared" si="42"/>
        <x:v>5</x:v>
      </x:c>
      <x:c r="CU33" s="1048" t="str">
        <x:f>IF(BG33="","",VLOOKUP(BG33,SectInfo!$B:$N,12,FALSE))</x:f>
        <x:v/>
      </x:c>
      <x:c r="CV33" s="1046" t="str">
        <x:f>IF(BG33="","",IF(ISBLANK(BZ33),VLOOKUP(BG33,SectInfo!$B:$N,13,FALSE),BZ33))</x:f>
        <x:v/>
      </x:c>
      <x:c r="CW33" s="1046" t="str">
        <x:f>IF(BG33="","",IF(VLOOKUP(BG33,SectInfo!$B:$N,5,FALSE)="","R",UPPER(VLOOKUP(BG33,SectInfo!$B:$N,5,FALSE))))</x:f>
        <x:v/>
      </x:c>
      <x:c r="CX33" s="1046" t="str">
        <x:f>IF(BG33="","",IF(ISBLANK(CF33),VLOOKUP(BG33,SectInfo!$B:$N,6,FALSE),CF33))</x:f>
        <x:v/>
      </x:c>
      <x:c r="CY33" s="1276" t="str">
        <x:f>IF(BG33="","",IF(VLOOKUP(BG33,SectInfo!$B:$N,10,FALSE)="","",(VLOOKUP(BG33,SectInfo!$B:$N,10,FALSE)*-1)))</x:f>
        <x:v/>
      </x:c>
      <x:c r="CZ33" s="1443" t="str">
        <x:f>IF(BG33="","",IF(VLOOKUP(BG33,SectInfo!$B:$N,11,FALSE)="","2",(VLOOKUP(BG33,SectInfo!$B:$N,11,FALSE))))</x:f>
        <x:v/>
      </x:c>
      <x:c r="DA33" s="1046" t="str">
        <x:f>IF(BG33="","",IF(VLOOKUP(BG33,SectInfo!$B:$N,7,FALSE)="","",(VLOOKUP(BG33,SectInfo!$B:$N,7,FALSE)*-1)))</x:f>
        <x:v/>
      </x:c>
      <x:c r="DB33" s="1046" t="str">
        <x:f>IF(BG33="","",IF(VLOOKUP(BG33,SectInfo!$B:$N,8,FALSE)="",VLOOKUP(AU33,$DF$2:$DN$9,6,FALSE),(VLOOKUP(BG33,SectInfo!$B:$N,8,FALSE))))</x:f>
        <x:v/>
      </x:c>
      <x:c r="DC33" s="1046" t="str">
        <x:f>IF(BG33="","",VLOOKUP(BG33,SectInfo!$B:$N,9,FALSE))</x:f>
        <x:v/>
      </x:c>
      <x:c r="DD33" s="1047">
        <x:f t="shared" si="43"/>
        <x:v>0</x:v>
      </x:c>
      <x:c r="DE33" s="1048" t="str">
        <x:f>IF(BO33="","",VLOOKUP(BO33,SectInfo!$B:$N,12,FALSE))</x:f>
        <x:v/>
      </x:c>
      <x:c r="DF33" s="1046" t="str">
        <x:f>IF(BO33="","",IF(ISBLANK(CA33),VLOOKUP(BO33,SectInfo!$B:$N,13,FALSE),CA33))</x:f>
        <x:v/>
      </x:c>
      <x:c r="DG33" s="1046" t="str">
        <x:f>IF(BO33="","",IF(VLOOKUP(BO33,SectInfo!$B:$N,5,FALSE)="","R",UPPER(VLOOKUP(BO33,SectInfo!$B:$N,5,FALSE))))</x:f>
        <x:v/>
      </x:c>
      <x:c r="DH33" s="1046" t="str">
        <x:f>IF(BO33="","",IF(ISBLANK(CG33),VLOOKUP(BO33,SectInfo!$B:$N,6,FALSE),CG33))</x:f>
        <x:v/>
      </x:c>
      <x:c r="DI33" s="1046" t="str">
        <x:f>IF(BO33="","",IF(VLOOKUP(BO33,SectInfo!$B:$N,10,FALSE)="","",(VLOOKUP(BO33,SectInfo!$B:$N,10,FALSE)*-1)))</x:f>
        <x:v/>
      </x:c>
      <x:c r="DJ33" s="1443" t="str">
        <x:f>IF(BO33="","",IF(VLOOKUP(BO33,SectInfo!$B:$N,11,FALSE)="","2",(VLOOKUP(BO33,SectInfo!$B:$N,11,FALSE))))</x:f>
        <x:v/>
      </x:c>
      <x:c r="DK33" s="1046" t="str">
        <x:f>IF(BO33="","",IF(VLOOKUP(BO33,SectInfo!$B:$N,7,FALSE)="","",(VLOOKUP(BO33,SectInfo!$B:$N,7,FALSE)*-1)))</x:f>
        <x:v/>
      </x:c>
      <x:c r="DL33" s="1046" t="str">
        <x:f>IF(BO33="","",IF(VLOOKUP(BO33,SectInfo!$B:$N,8,FALSE)="",VLOOKUP(AU33,$DF$2:$DN$9,6,FALSE),(VLOOKUP(BO33,SectInfo!$B:$N,8,FALSE))))</x:f>
        <x:v/>
      </x:c>
      <x:c r="DM33" s="1046" t="str">
        <x:f>IF(BO33="","",VLOOKUP(BO33,SectInfo!$B:$N,9,FALSE))</x:f>
        <x:v/>
      </x:c>
      <x:c r="DN33" s="1047">
        <x:f t="shared" si="44"/>
        <x:v>0</x:v>
      </x:c>
      <x:c r="DO33" s="1049">
        <x:f t="shared" si="45"/>
        <x:v>0</x:v>
      </x:c>
      <x:c r="DP33" s="1053" t="str">
        <x:f t="shared" si="46"/>
        <x:v/>
      </x:c>
      <x:c r="DQ33" s="1053" t="str">
        <x:f t="shared" si="47"/>
        <x:v/>
      </x:c>
      <x:c r="DR33" s="1053" t="str">
        <x:f t="shared" si="48"/>
        <x:v/>
      </x:c>
      <x:c r="DS33" s="1052">
        <x:f t="shared" si="49"/>
        <x:v>0</x:v>
      </x:c>
      <x:c r="DT33" s="1052">
        <x:f t="shared" si="50"/>
        <x:v>0</x:v>
      </x:c>
      <x:c r="DU33" s="1052" t="str">
        <x:f t="shared" si="51"/>
        <x:v/>
      </x:c>
      <x:c r="DV33" s="1053" t="str">
        <x:f t="shared" si="52"/>
        <x:v/>
      </x:c>
      <x:c r="DW33" s="1053" t="str">
        <x:f t="shared" si="53"/>
        <x:v/>
      </x:c>
      <x:c r="DX33" s="1269">
        <x:f t="shared" si="54"/>
        <x:v>0</x:v>
      </x:c>
      <x:c r="DY33" s="1053">
        <x:f t="shared" si="55"/>
        <x:v>0</x:v>
      </x:c>
      <x:c r="DZ33" s="1052">
        <x:f t="shared" si="56"/>
        <x:v>0</x:v>
      </x:c>
      <x:c r="EA33" s="1052" t="str">
        <x:f t="shared" si="57"/>
        <x:v/>
      </x:c>
      <x:c r="EB33" s="1053" t="str">
        <x:f t="shared" si="58"/>
        <x:v/>
      </x:c>
      <x:c r="EC33" s="1053" t="str">
        <x:f t="shared" si="59"/>
        <x:v/>
      </x:c>
      <x:c r="ED33" s="1269">
        <x:f t="shared" si="60"/>
        <x:v>0</x:v>
      </x:c>
      <x:c r="EE33" s="1090" t="str">
        <x:f t="shared" si="61"/>
        <x:v/>
      </x:c>
      <x:c r="EF33" s="1053" t="str">
        <x:f t="shared" si="62"/>
        <x:v/>
      </x:c>
      <x:c r="EG33" s="1053" t="str">
        <x:f t="shared" si="63"/>
        <x:v/>
      </x:c>
      <x:c r="EH33" s="1053" t="str">
        <x:f t="shared" si="64"/>
        <x:v>ERR</x:v>
      </x:c>
      <x:c r="EI33" s="1053" t="str">
        <x:f t="shared" si="65"/>
        <x:v>ERR</x:v>
      </x:c>
      <x:c r="EJ33" s="1053" t="str">
        <x:f t="shared" si="66"/>
        <x:v/>
      </x:c>
      <x:c r="EK33" s="1053" t="str">
        <x:f t="shared" si="66"/>
        <x:v/>
      </x:c>
      <x:c r="EL33" s="1090" t="str">
        <x:f t="shared" si="67"/>
        <x:v/>
      </x:c>
      <x:c r="EM33" s="1053" t="str">
        <x:f t="shared" si="68"/>
        <x:v/>
      </x:c>
      <x:c r="EN33" s="1053" t="str">
        <x:f t="shared" si="69"/>
        <x:v/>
      </x:c>
      <x:c r="EO33" s="1053" t="str">
        <x:f t="shared" si="70"/>
        <x:v>ERR</x:v>
      </x:c>
      <x:c r="EP33" s="1053" t="str">
        <x:f t="shared" si="71"/>
        <x:v>ERR</x:v>
      </x:c>
      <x:c r="EQ33" s="1053" t="str">
        <x:f t="shared" si="72"/>
        <x:v/>
      </x:c>
      <x:c r="ER33" s="1053" t="str">
        <x:f t="shared" si="72"/>
        <x:v/>
      </x:c>
      <x:c r="ES33" s="1053" t="str">
        <x:f t="shared" si="73"/>
        <x:v/>
      </x:c>
      <x:c r="ET33" s="1053" t="str">
        <x:f t="shared" si="74"/>
        <x:v/>
      </x:c>
      <x:c r="EU33" s="1061">
        <x:f t="shared" si="75"/>
        <x:v>4</x:v>
      </x:c>
      <x:c r="EV33" s="1055" t="str">
        <x:f t="shared" si="76"/>
        <x:v/>
      </x:c>
      <x:c r="EW33" s="1061"/>
      <x:c r="EX33" s="1061" t="str">
        <x:f>IF(AND(CU33="G", ISBLANK(BK33), ISBLANK(BL33)),VLOOKUP(MIN(BH33:BI33),TblJoistSize!$M$3:$N$10,2),IF(OR(CU33="B",CU33="G"),MIN(BK33:BL33),""))</x:f>
        <x:v/>
      </x:c>
      <x:c r="EY33" s="1061" t="str">
        <x:f>IF(AND(CU33="G", ISBLANK(BK33), ISBLANK(BL33)),VLOOKUP(MAX(BH33:BI33),TblJoistSize!$M$3:$N$10,2),IF(OR(CU33="B",CU33="G"),MAX(BK33:BL33),""))</x:f>
        <x:v/>
      </x:c>
      <x:c r="EZ33" s="1061" t="str">
        <x:f t="shared" si="77"/>
        <x:v/>
      </x:c>
      <x:c r="FA33" s="1061" t="str">
        <x:f>IF(AND(DE33="G", ISBLANK(BS33), ISBLANK(BT33)),VLOOKUP(MIN(BP33:BQ33),TblJoistSize!$M$3:$N$10,2),IF(OR(DE33="B", DE33="G"),MIN(BS33:BT33),""))</x:f>
        <x:v/>
      </x:c>
      <x:c r="FB33" s="1061" t="str">
        <x:f>IF(AND(DE33="G", ISBLANK(BS33), ISBLANK(BT33)),VLOOKUP(MAX(BP33:BQ33),TblJoistSize!$M$3:$N$10,2),IF(OR(DE33="B", DE33="G"),MAX(BS33:BT33),""))</x:f>
        <x:v/>
      </x:c>
      <x:c r="FC33" s="1061" t="str">
        <x:f t="shared" si="78"/>
        <x:v/>
      </x:c>
      <x:c r="FD33" s="1052">
        <x:f t="shared" si="100"/>
        <x:v>0</x:v>
      </x:c>
      <x:c r="FE33" s="1052">
        <x:f t="shared" si="79"/>
        <x:v>0</x:v>
      </x:c>
      <x:c r="FF33" s="1052">
        <x:f t="shared" si="80"/>
        <x:v>0</x:v>
      </x:c>
      <x:c r="FG33" s="1052" t="str">
        <x:f t="shared" si="81"/>
        <x:v/>
      </x:c>
      <x:c r="FH33" s="1053" t="str">
        <x:f t="shared" si="82"/>
        <x:v/>
      </x:c>
      <x:c r="FI33" s="1052">
        <x:f t="shared" si="101"/>
        <x:v>0</x:v>
      </x:c>
      <x:c r="FJ33" s="1052">
        <x:f t="shared" si="83"/>
        <x:v>0</x:v>
      </x:c>
      <x:c r="FK33" s="1052">
        <x:f t="shared" si="84"/>
        <x:v>0</x:v>
      </x:c>
      <x:c r="FL33" s="1052" t="str">
        <x:f t="shared" si="85"/>
        <x:v/>
      </x:c>
      <x:c r="FM33" s="1053" t="str">
        <x:f t="shared" si="86"/>
        <x:v/>
      </x:c>
      <x:c r="FN33" s="1053" t="e">
        <x:f t="shared" si="87"/>
        <x:v>#VALUE!</x:v>
      </x:c>
      <x:c r="FO33" s="1062" t="e">
        <x:f t="shared" si="88"/>
        <x:v>#VALUE!</x:v>
      </x:c>
      <x:c r="FP33" s="1062" t="e">
        <x:f t="shared" si="89"/>
        <x:v>#VALUE!</x:v>
      </x:c>
      <x:c r="FQ33" s="1063" t="e">
        <x:f t="shared" si="90"/>
        <x:v>#VALUE!</x:v>
      </x:c>
      <x:c r="FR33" s="1064" t="e">
        <x:f t="shared" si="91"/>
        <x:v>#VALUE!</x:v>
      </x:c>
      <x:c r="FS33" s="1065" t="str">
        <x:f t="shared" si="92"/>
        <x:v/>
      </x:c>
      <x:c r="FT33" s="1066" t="str">
        <x:f t="shared" si="93"/>
        <x:v/>
      </x:c>
      <x:c r="FU33" s="1105">
        <x:f t="shared" si="94"/>
        <x:v>0</x:v>
      </x:c>
      <x:c r="FV33" s="1106">
        <x:f t="shared" si="95"/>
        <x:v>0</x:v>
      </x:c>
      <x:c r="GA33" s="1975">
        <x:v>59</x:v>
      </x:c>
      <x:c r="GB33" s="1976">
        <x:v>2.75</x:v>
      </x:c>
      <x:c r="GC33" s="1977">
        <x:v>-1.875</x:v>
      </x:c>
      <x:c r="GD33" s="1978">
        <x:v>-0.25</x:v>
      </x:c>
      <x:c r="GE33" s="1979">
        <x:v>0.26169539219134702</x:v>
      </x:c>
      <x:c r="GF33" s="1980" t="str">
        <x:f t="shared" si="96"/>
        <x:v>J309</x:v>
      </x:c>
      <x:c r="GG33" s="1453"/>
      <x:c r="GH33" s="1454"/>
      <x:c r="GI33" s="1453"/>
      <x:c r="GJ33" s="1454"/>
      <x:c r="GK33" s="533">
        <x:f t="shared" si="97"/>
        <x:v>708.625</x:v>
      </x:c>
      <x:c r="GL33" s="534">
        <x:f t="shared" si="98"/>
        <x:v>708.79348626656247</x:v>
      </x:c>
      <x:c r="GM33" s="535">
        <x:f>IF(ABS(GK33-GL33)&gt;='Job Info.'!$L$22,ABS(GK33-GL33),0)</x:f>
        <x:v>0</x:v>
      </x:c>
      <x:c r="HA33" s="1658" t="s">
        <x:v>1633</x:v>
      </x:c>
      <x:c r="HB33" s="1659">
        <x:v>1</x:v>
      </x:c>
      <x:c r="HC33" s="1659" t="s">
        <x:v>1978</x:v>
      </x:c>
      <x:c r="HD33" s="1660">
        <x:v>59</x:v>
      </x:c>
      <x:c r="HE33" s="1661">
        <x:v>0.625</x:v>
      </x:c>
      <x:c r="HF33" s="1659" t="s">
        <x:v>117</x:v>
      </x:c>
      <x:c r="HG33" s="1659" t="s">
        <x:v>117</x:v>
      </x:c>
      <x:c r="HH33" s="1659" t="s">
        <x:v>117</x:v>
      </x:c>
      <x:c r="HI33" s="1662">
        <x:v>0</x:v>
      </x:c>
      <x:c r="HJ33" s="1659">
        <x:v>1.375</x:v>
      </x:c>
      <x:c r="HK33" s="1659" t="s">
        <x:v>114</x:v>
      </x:c>
      <x:c r="HL33" s="1659">
        <x:v>3</x:v>
      </x:c>
      <x:c r="HM33" s="1659">
        <x:v>3</x:v>
      </x:c>
      <x:c r="HN33" s="1659" t="s">
        <x:v>117</x:v>
      </x:c>
      <x:c r="HO33" s="1659" t="s">
        <x:v>117</x:v>
      </x:c>
      <x:c r="HP33" s="1659" t="s">
        <x:v>117</x:v>
      </x:c>
      <x:c r="HQ33" s="1662" t="s">
        <x:v>117</x:v>
      </x:c>
      <x:c r="HR33" s="1659" t="s">
        <x:v>117</x:v>
      </x:c>
      <x:c r="HS33" s="1659" t="s">
        <x:v>117</x:v>
      </x:c>
      <x:c r="HT33" s="1659" t="s">
        <x:v>117</x:v>
      </x:c>
      <x:c r="HU33" s="1659" t="s">
        <x:v>117</x:v>
      </x:c>
      <x:c r="HV33" s="1659" t="s">
        <x:v>117</x:v>
      </x:c>
      <x:c r="HW33" s="1661" t="s">
        <x:v>117</x:v>
      </x:c>
      <x:c r="HX33" s="1661">
        <x:v>0</x:v>
      </x:c>
      <x:c r="HY33" s="1661" t="s">
        <x:v>117</x:v>
      </x:c>
      <x:c r="HZ33" s="1661" t="s">
        <x:v>117</x:v>
      </x:c>
      <x:c r="IA33" s="1661" t="s">
        <x:v>2287</x:v>
      </x:c>
      <x:c r="IB33" s="1661"/>
      <x:c r="IC33" s="1661"/>
      <x:c r="ID33" s="1661"/>
      <x:c r="IE33" s="1661"/>
      <x:c r="IF33" s="1663"/>
    </x:row>
    <x:row r="34" spans="1:240" ht="12.6" customHeight="1" x14ac:dyDescent="0.25">
      <x:c r="A34" s="1264" t="s">
        <x:v>1634</x:v>
      </x:c>
      <x:c r="B34" s="1265">
        <x:v>1</x:v>
      </x:c>
      <x:c r="C34" s="1265" t="s">
        <x:v>1978</x:v>
      </x:c>
      <x:c r="D34" s="1261">
        <x:v>59</x:v>
      </x:c>
      <x:c r="E34" s="1366">
        <x:v>0.625</x:v>
      </x:c>
      <x:c r="F34" s="1328" t="str">
        <x:f t="shared" si="102"/>
        <x:v/>
      </x:c>
      <x:c r="G34" s="1262" t="str">
        <x:f t="shared" si="103"/>
        <x:v/>
      </x:c>
      <x:c r="H34" s="1266" t="str">
        <x:f t="shared" si="104"/>
        <x:v/>
      </x:c>
      <x:c r="I34" s="1261">
        <x:v>0</x:v>
      </x:c>
      <x:c r="J34" s="1262">
        <x:v>1.375</x:v>
      </x:c>
      <x:c r="K34" s="1370" t="s">
        <x:v>114</x:v>
      </x:c>
      <x:c r="L34" s="1327">
        <x:v>3</x:v>
      </x:c>
      <x:c r="M34" s="1329">
        <x:v>3</x:v>
      </x:c>
      <x:c r="N34" s="1263" t="str">
        <x:f t="shared" si="1"/>
        <x:v/>
      </x:c>
      <x:c r="O34" s="1262" t="str">
        <x:f t="shared" si="2"/>
        <x:v/>
      </x:c>
      <x:c r="P34" s="1260" t="str">
        <x:f t="shared" si="3"/>
        <x:v/>
      </x:c>
      <x:c r="Q34" s="1261" t="str">
        <x:f t="shared" si="4"/>
        <x:v/>
      </x:c>
      <x:c r="R34" s="1262" t="str">
        <x:f t="shared" si="5"/>
        <x:v/>
      </x:c>
      <x:c r="S34" s="1375" t="str">
        <x:f t="shared" si="6"/>
        <x:v/>
      </x:c>
      <x:c r="T34" s="1328" t="str">
        <x:f t="shared" si="105"/>
        <x:v/>
      </x:c>
      <x:c r="U34" s="1262" t="str">
        <x:f t="shared" si="106"/>
        <x:v/>
      </x:c>
      <x:c r="V34" s="1261" t="str">
        <x:f t="shared" si="107"/>
        <x:v/>
      </x:c>
      <x:c r="W34" s="1262" t="str">
        <x:f t="shared" si="108"/>
        <x:v/>
      </x:c>
      <x:c r="X34" s="1329">
        <x:f t="shared" si="109"/>
        <x:v>0</x:v>
      </x:c>
      <x:c r="Y34" s="1377" t="str">
        <x:f t="shared" si="7"/>
        <x:v/>
      </x:c>
      <x:c r="Z34" s="1378" t="str">
        <x:f t="shared" si="8"/>
        <x:v/>
      </x:c>
      <x:c r="AA34" s="2159" t="s">
        <x:v>2288</x:v>
      </x:c>
      <x:c r="AC34" s="1226" t="b">
        <x:v>0</x:v>
      </x:c>
      <x:c r="AD34" s="525">
        <x:f t="shared" si="9"/>
        <x:v>0</x:v>
      </x:c>
      <x:c r="AE34" s="526">
        <x:f t="shared" si="10"/>
        <x:v>1</x:v>
      </x:c>
      <x:c r="AF34" s="526">
        <x:f t="shared" si="11"/>
        <x:v>0</x:v>
      </x:c>
      <x:c r="AG34" s="526">
        <x:f t="shared" si="12"/>
        <x:v>0</x:v>
      </x:c>
      <x:c r="AH34" s="527">
        <x:f t="shared" si="13"/>
        <x:v>0</x:v>
      </x:c>
      <x:c r="AI34" s="528" t="b">
        <x:v>0</x:v>
      </x:c>
      <x:c r="AJ34" s="284">
        <x:f t="shared" si="14"/>
        <x:v>36</x:v>
      </x:c>
      <x:c r="AK34" s="1063" t="str">
        <x:f t="shared" si="15"/>
        <x:v>LH</x:v>
      </x:c>
      <x:c r="AL34" s="1202" t="str">
        <x:f t="shared" si="16"/>
        <x:v/>
      </x:c>
      <x:c r="AM34" s="1063">
        <x:f t="shared" si="17"/>
        <x:v>270</x:v>
      </x:c>
      <x:c r="AN34" s="1063">
        <x:f t="shared" si="18"/>
        <x:v>120</x:v>
      </x:c>
      <x:c r="AO34" s="1063" t="str">
        <x:f t="shared" si="19"/>
        <x:v/>
      </x:c>
      <x:c r="AP34" s="1063" t="b">
        <x:f>IF(ISERROR(AJ34),FALSE,IF(OR(AJ34=0,ISERROR(AL34),ISERROR(AM34),ISERROR(AN34),ISERROR(AO34)),FALSE,IF(AL34&lt;&gt;"",IF(ISERROR(VLOOKUP(SUBSTITUTE(SUBSTITUTE(C34,"R",""),"A",""),TblJoistSize!$A:$A,1,FALSE)),FALSE,TRUE),TRUE)))</x:f>
        <x:v>1</x:v>
      </x:c>
      <x:c r="AQ34" s="1305">
        <x:f t="shared" si="20"/>
        <x:v>6</x:v>
      </x:c>
      <x:c r="AR34" s="1305" t="b">
        <x:f t="shared" si="21"/>
        <x:v>0</x:v>
      </x:c>
      <x:c r="AS34" s="1305">
        <x:f t="shared" si="22"/>
        <x:v>7.375</x:v>
      </x:c>
      <x:c r="AT34" s="1305" t="b">
        <x:f t="shared" si="23"/>
        <x:v>0</x:v>
      </x:c>
      <x:c r="AU34" s="1203" t="str">
        <x:f t="shared" si="24"/>
        <x:v>LH</x:v>
      </x:c>
      <x:c r="AV34" s="1063" t="str">
        <x:f t="shared" si="25"/>
        <x:v/>
      </x:c>
      <x:c r="AW34" s="1063" t="str">
        <x:f t="shared" si="26"/>
        <x:v>LH</x:v>
      </x:c>
      <x:c r="AX34" s="1063" t="str">
        <x:f t="shared" si="99"/>
        <x:v>J310</x:v>
      </x:c>
      <x:c r="AY34" s="1306" t="b">
        <x:f t="shared" si="27"/>
        <x:v>0</x:v>
      </x:c>
      <x:c r="AZ34" s="1090" t="b">
        <x:f t="shared" si="28"/>
        <x:v>0</x:v>
      </x:c>
      <x:c r="BA34" s="674"/>
      <x:c r="BB34" s="842"/>
      <x:c r="BC34" s="894"/>
      <x:c r="BD34" s="926"/>
      <x:c r="BE34" s="927"/>
      <x:c r="BF34" s="928"/>
      <x:c r="BG34" s="901"/>
      <x:c r="BH34" s="1244"/>
      <x:c r="BI34" s="1245"/>
      <x:c r="BJ34" s="929"/>
      <x:c r="BK34" s="902"/>
      <x:c r="BL34" s="903"/>
      <x:c r="BM34" s="904"/>
      <x:c r="BN34" s="905"/>
      <x:c r="BO34" s="901"/>
      <x:c r="BP34" s="902"/>
      <x:c r="BQ34" s="903"/>
      <x:c r="BR34" s="929"/>
      <x:c r="BS34" s="902"/>
      <x:c r="BT34" s="903"/>
      <x:c r="BU34" s="904"/>
      <x:c r="BV34" s="905"/>
      <x:c r="BW34" s="906"/>
      <x:c r="BX34" s="930"/>
      <x:c r="BY34" s="931"/>
      <x:c r="BZ34" s="932"/>
      <x:c r="CA34" s="933"/>
      <x:c r="CB34" s="932"/>
      <x:c r="CC34" s="933"/>
      <x:c r="CD34" s="934" t="str">
        <x:f t="shared" si="29"/>
        <x:v/>
      </x:c>
      <x:c r="CE34" s="935" t="str">
        <x:f t="shared" si="30"/>
        <x:v/>
      </x:c>
      <x:c r="CF34" s="1149"/>
      <x:c r="CG34" s="1150"/>
      <x:c r="CH34" s="738" t="str">
        <x:f t="shared" si="31"/>
        <x:v/>
      </x:c>
      <x:c r="CI34" s="739" t="str">
        <x:f t="shared" si="32"/>
        <x:v/>
      </x:c>
      <x:c r="CJ34" s="740" t="str">
        <x:f t="shared" si="33"/>
        <x:v/>
      </x:c>
      <x:c r="CK34" s="741" t="str">
        <x:f t="shared" si="34"/>
        <x:v/>
      </x:c>
      <x:c r="CL34" s="742" t="str">
        <x:f t="shared" si="35"/>
        <x:v/>
      </x:c>
      <x:c r="CM34" s="743" t="str">
        <x:f t="shared" si="36"/>
        <x:v/>
      </x:c>
      <x:c r="CN34" s="744" t="str">
        <x:f t="shared" si="37"/>
        <x:v/>
      </x:c>
      <x:c r="CO34" s="745" t="str">
        <x:f t="shared" si="38"/>
        <x:v/>
      </x:c>
      <x:c r="CP34" s="762" t="str">
        <x:f t="shared" si="39"/>
        <x:v/>
      </x:c>
      <x:c r="CQ34" s="763" t="str">
        <x:f t="shared" si="40"/>
        <x:v/>
      </x:c>
      <x:c r="CR34" s="953">
        <x:f t="shared" si="41"/>
        <x:v>5</x:v>
      </x:c>
      <x:c r="CS34" s="954">
        <x:f t="shared" si="42"/>
        <x:v>5</x:v>
      </x:c>
      <x:c r="CU34" s="1048" t="str">
        <x:f>IF(BG34="","",VLOOKUP(BG34,SectInfo!$B:$N,12,FALSE))</x:f>
        <x:v/>
      </x:c>
      <x:c r="CV34" s="1046" t="str">
        <x:f>IF(BG34="","",IF(ISBLANK(BZ34),VLOOKUP(BG34,SectInfo!$B:$N,13,FALSE),BZ34))</x:f>
        <x:v/>
      </x:c>
      <x:c r="CW34" s="1046" t="str">
        <x:f>IF(BG34="","",IF(VLOOKUP(BG34,SectInfo!$B:$N,5,FALSE)="","R",UPPER(VLOOKUP(BG34,SectInfo!$B:$N,5,FALSE))))</x:f>
        <x:v/>
      </x:c>
      <x:c r="CX34" s="1046" t="str">
        <x:f>IF(BG34="","",IF(ISBLANK(CF34),VLOOKUP(BG34,SectInfo!$B:$N,6,FALSE),CF34))</x:f>
        <x:v/>
      </x:c>
      <x:c r="CY34" s="1276" t="str">
        <x:f>IF(BG34="","",IF(VLOOKUP(BG34,SectInfo!$B:$N,10,FALSE)="","",(VLOOKUP(BG34,SectInfo!$B:$N,10,FALSE)*-1)))</x:f>
        <x:v/>
      </x:c>
      <x:c r="CZ34" s="1443" t="str">
        <x:f>IF(BG34="","",IF(VLOOKUP(BG34,SectInfo!$B:$N,11,FALSE)="","2",(VLOOKUP(BG34,SectInfo!$B:$N,11,FALSE))))</x:f>
        <x:v/>
      </x:c>
      <x:c r="DA34" s="1046" t="str">
        <x:f>IF(BG34="","",IF(VLOOKUP(BG34,SectInfo!$B:$N,7,FALSE)="","",(VLOOKUP(BG34,SectInfo!$B:$N,7,FALSE)*-1)))</x:f>
        <x:v/>
      </x:c>
      <x:c r="DB34" s="1046" t="str">
        <x:f>IF(BG34="","",IF(VLOOKUP(BG34,SectInfo!$B:$N,8,FALSE)="",VLOOKUP(AU34,$DF$2:$DN$9,6,FALSE),(VLOOKUP(BG34,SectInfo!$B:$N,8,FALSE))))</x:f>
        <x:v/>
      </x:c>
      <x:c r="DC34" s="1046" t="str">
        <x:f>IF(BG34="","",VLOOKUP(BG34,SectInfo!$B:$N,9,FALSE))</x:f>
        <x:v/>
      </x:c>
      <x:c r="DD34" s="1047">
        <x:f t="shared" si="43"/>
        <x:v>0</x:v>
      </x:c>
      <x:c r="DE34" s="1048" t="str">
        <x:f>IF(BO34="","",VLOOKUP(BO34,SectInfo!$B:$N,12,FALSE))</x:f>
        <x:v/>
      </x:c>
      <x:c r="DF34" s="1046" t="str">
        <x:f>IF(BO34="","",IF(ISBLANK(CA34),VLOOKUP(BO34,SectInfo!$B:$N,13,FALSE),CA34))</x:f>
        <x:v/>
      </x:c>
      <x:c r="DG34" s="1046" t="str">
        <x:f>IF(BO34="","",IF(VLOOKUP(BO34,SectInfo!$B:$N,5,FALSE)="","R",UPPER(VLOOKUP(BO34,SectInfo!$B:$N,5,FALSE))))</x:f>
        <x:v/>
      </x:c>
      <x:c r="DH34" s="1046" t="str">
        <x:f>IF(BO34="","",IF(ISBLANK(CG34),VLOOKUP(BO34,SectInfo!$B:$N,6,FALSE),CG34))</x:f>
        <x:v/>
      </x:c>
      <x:c r="DI34" s="1046" t="str">
        <x:f>IF(BO34="","",IF(VLOOKUP(BO34,SectInfo!$B:$N,10,FALSE)="","",(VLOOKUP(BO34,SectInfo!$B:$N,10,FALSE)*-1)))</x:f>
        <x:v/>
      </x:c>
      <x:c r="DJ34" s="1443" t="str">
        <x:f>IF(BO34="","",IF(VLOOKUP(BO34,SectInfo!$B:$N,11,FALSE)="","2",(VLOOKUP(BO34,SectInfo!$B:$N,11,FALSE))))</x:f>
        <x:v/>
      </x:c>
      <x:c r="DK34" s="1046" t="str">
        <x:f>IF(BO34="","",IF(VLOOKUP(BO34,SectInfo!$B:$N,7,FALSE)="","",(VLOOKUP(BO34,SectInfo!$B:$N,7,FALSE)*-1)))</x:f>
        <x:v/>
      </x:c>
      <x:c r="DL34" s="1046" t="str">
        <x:f>IF(BO34="","",IF(VLOOKUP(BO34,SectInfo!$B:$N,8,FALSE)="",VLOOKUP(AU34,$DF$2:$DN$9,6,FALSE),(VLOOKUP(BO34,SectInfo!$B:$N,8,FALSE))))</x:f>
        <x:v/>
      </x:c>
      <x:c r="DM34" s="1046" t="str">
        <x:f>IF(BO34="","",VLOOKUP(BO34,SectInfo!$B:$N,9,FALSE))</x:f>
        <x:v/>
      </x:c>
      <x:c r="DN34" s="1047">
        <x:f t="shared" si="44"/>
        <x:v>0</x:v>
      </x:c>
      <x:c r="DO34" s="1049">
        <x:f t="shared" si="45"/>
        <x:v>0</x:v>
      </x:c>
      <x:c r="DP34" s="1053" t="str">
        <x:f t="shared" si="46"/>
        <x:v/>
      </x:c>
      <x:c r="DQ34" s="1053" t="str">
        <x:f t="shared" si="47"/>
        <x:v/>
      </x:c>
      <x:c r="DR34" s="1053" t="str">
        <x:f t="shared" si="48"/>
        <x:v/>
      </x:c>
      <x:c r="DS34" s="1052">
        <x:f t="shared" si="49"/>
        <x:v>0</x:v>
      </x:c>
      <x:c r="DT34" s="1052">
        <x:f t="shared" si="50"/>
        <x:v>0</x:v>
      </x:c>
      <x:c r="DU34" s="1052" t="str">
        <x:f t="shared" si="51"/>
        <x:v/>
      </x:c>
      <x:c r="DV34" s="1053" t="str">
        <x:f t="shared" si="52"/>
        <x:v/>
      </x:c>
      <x:c r="DW34" s="1053" t="str">
        <x:f t="shared" si="53"/>
        <x:v/>
      </x:c>
      <x:c r="DX34" s="1269">
        <x:f t="shared" si="54"/>
        <x:v>0</x:v>
      </x:c>
      <x:c r="DY34" s="1053">
        <x:f t="shared" si="55"/>
        <x:v>0</x:v>
      </x:c>
      <x:c r="DZ34" s="1052">
        <x:f t="shared" si="56"/>
        <x:v>0</x:v>
      </x:c>
      <x:c r="EA34" s="1052" t="str">
        <x:f t="shared" si="57"/>
        <x:v/>
      </x:c>
      <x:c r="EB34" s="1053" t="str">
        <x:f t="shared" si="58"/>
        <x:v/>
      </x:c>
      <x:c r="EC34" s="1053" t="str">
        <x:f t="shared" si="59"/>
        <x:v/>
      </x:c>
      <x:c r="ED34" s="1269">
        <x:f t="shared" si="60"/>
        <x:v>0</x:v>
      </x:c>
      <x:c r="EE34" s="1090" t="str">
        <x:f t="shared" si="61"/>
        <x:v/>
      </x:c>
      <x:c r="EF34" s="1053" t="str">
        <x:f t="shared" si="62"/>
        <x:v/>
      </x:c>
      <x:c r="EG34" s="1053" t="str">
        <x:f t="shared" si="63"/>
        <x:v/>
      </x:c>
      <x:c r="EH34" s="1053" t="str">
        <x:f t="shared" si="64"/>
        <x:v>ERR</x:v>
      </x:c>
      <x:c r="EI34" s="1053" t="str">
        <x:f t="shared" si="65"/>
        <x:v>ERR</x:v>
      </x:c>
      <x:c r="EJ34" s="1053" t="str">
        <x:f t="shared" si="66"/>
        <x:v/>
      </x:c>
      <x:c r="EK34" s="1053" t="str">
        <x:f t="shared" si="66"/>
        <x:v/>
      </x:c>
      <x:c r="EL34" s="1090" t="str">
        <x:f t="shared" si="67"/>
        <x:v/>
      </x:c>
      <x:c r="EM34" s="1053" t="str">
        <x:f t="shared" si="68"/>
        <x:v/>
      </x:c>
      <x:c r="EN34" s="1053" t="str">
        <x:f t="shared" si="69"/>
        <x:v/>
      </x:c>
      <x:c r="EO34" s="1053" t="str">
        <x:f t="shared" si="70"/>
        <x:v>ERR</x:v>
      </x:c>
      <x:c r="EP34" s="1053" t="str">
        <x:f t="shared" si="71"/>
        <x:v>ERR</x:v>
      </x:c>
      <x:c r="EQ34" s="1053" t="str">
        <x:f t="shared" si="72"/>
        <x:v/>
      </x:c>
      <x:c r="ER34" s="1053" t="str">
        <x:f t="shared" si="72"/>
        <x:v/>
      </x:c>
      <x:c r="ES34" s="1053" t="str">
        <x:f t="shared" si="73"/>
        <x:v/>
      </x:c>
      <x:c r="ET34" s="1053" t="str">
        <x:f t="shared" si="74"/>
        <x:v/>
      </x:c>
      <x:c r="EU34" s="1061">
        <x:f t="shared" si="75"/>
        <x:v>4</x:v>
      </x:c>
      <x:c r="EV34" s="1055" t="str">
        <x:f t="shared" si="76"/>
        <x:v/>
      </x:c>
      <x:c r="EW34" s="1061"/>
      <x:c r="EX34" s="1061" t="str">
        <x:f>IF(AND(CU34="G", ISBLANK(BK34), ISBLANK(BL34)),VLOOKUP(MIN(BH34:BI34),TblJoistSize!$M$3:$N$10,2),IF(OR(CU34="B",CU34="G"),MIN(BK34:BL34),""))</x:f>
        <x:v/>
      </x:c>
      <x:c r="EY34" s="1061" t="str">
        <x:f>IF(AND(CU34="G", ISBLANK(BK34), ISBLANK(BL34)),VLOOKUP(MAX(BH34:BI34),TblJoistSize!$M$3:$N$10,2),IF(OR(CU34="B",CU34="G"),MAX(BK34:BL34),""))</x:f>
        <x:v/>
      </x:c>
      <x:c r="EZ34" s="1061" t="str">
        <x:f t="shared" si="77"/>
        <x:v/>
      </x:c>
      <x:c r="FA34" s="1061" t="str">
        <x:f>IF(AND(DE34="G", ISBLANK(BS34), ISBLANK(BT34)),VLOOKUP(MIN(BP34:BQ34),TblJoistSize!$M$3:$N$10,2),IF(OR(DE34="B", DE34="G"),MIN(BS34:BT34),""))</x:f>
        <x:v/>
      </x:c>
      <x:c r="FB34" s="1061" t="str">
        <x:f>IF(AND(DE34="G", ISBLANK(BS34), ISBLANK(BT34)),VLOOKUP(MAX(BP34:BQ34),TblJoistSize!$M$3:$N$10,2),IF(OR(DE34="B", DE34="G"),MAX(BS34:BT34),""))</x:f>
        <x:v/>
      </x:c>
      <x:c r="FC34" s="1061" t="str">
        <x:f t="shared" si="78"/>
        <x:v/>
      </x:c>
      <x:c r="FD34" s="1052">
        <x:f t="shared" si="100"/>
        <x:v>0</x:v>
      </x:c>
      <x:c r="FE34" s="1052">
        <x:f t="shared" si="79"/>
        <x:v>0</x:v>
      </x:c>
      <x:c r="FF34" s="1052">
        <x:f t="shared" si="80"/>
        <x:v>0</x:v>
      </x:c>
      <x:c r="FG34" s="1052" t="str">
        <x:f t="shared" si="81"/>
        <x:v/>
      </x:c>
      <x:c r="FH34" s="1053" t="str">
        <x:f t="shared" si="82"/>
        <x:v/>
      </x:c>
      <x:c r="FI34" s="1052">
        <x:f t="shared" si="101"/>
        <x:v>0</x:v>
      </x:c>
      <x:c r="FJ34" s="1052">
        <x:f t="shared" si="83"/>
        <x:v>0</x:v>
      </x:c>
      <x:c r="FK34" s="1052">
        <x:f t="shared" si="84"/>
        <x:v>0</x:v>
      </x:c>
      <x:c r="FL34" s="1052" t="str">
        <x:f t="shared" si="85"/>
        <x:v/>
      </x:c>
      <x:c r="FM34" s="1053" t="str">
        <x:f t="shared" si="86"/>
        <x:v/>
      </x:c>
      <x:c r="FN34" s="1053" t="e">
        <x:f t="shared" si="87"/>
        <x:v>#VALUE!</x:v>
      </x:c>
      <x:c r="FO34" s="1062" t="e">
        <x:f t="shared" si="88"/>
        <x:v>#VALUE!</x:v>
      </x:c>
      <x:c r="FP34" s="1062" t="e">
        <x:f t="shared" si="89"/>
        <x:v>#VALUE!</x:v>
      </x:c>
      <x:c r="FQ34" s="1063" t="e">
        <x:f t="shared" si="90"/>
        <x:v>#VALUE!</x:v>
      </x:c>
      <x:c r="FR34" s="1064" t="e">
        <x:f t="shared" si="91"/>
        <x:v>#VALUE!</x:v>
      </x:c>
      <x:c r="FS34" s="1065" t="str">
        <x:f t="shared" si="92"/>
        <x:v/>
      </x:c>
      <x:c r="FT34" s="1066" t="str">
        <x:f t="shared" si="93"/>
        <x:v/>
      </x:c>
      <x:c r="FU34" s="1105">
        <x:f t="shared" si="94"/>
        <x:v>0</x:v>
      </x:c>
      <x:c r="FV34" s="1106">
        <x:f t="shared" si="95"/>
        <x:v>0</x:v>
      </x:c>
      <x:c r="GA34" s="1975">
        <x:v>59</x:v>
      </x:c>
      <x:c r="GB34" s="1976">
        <x:v>2.75</x:v>
      </x:c>
      <x:c r="GC34" s="1977">
        <x:v>-1.875</x:v>
      </x:c>
      <x:c r="GD34" s="1978">
        <x:v>-0.25</x:v>
      </x:c>
      <x:c r="GE34" s="1979">
        <x:v>0.26169539219134702</x:v>
      </x:c>
      <x:c r="GF34" s="1980" t="str">
        <x:f t="shared" si="96"/>
        <x:v>J310</x:v>
      </x:c>
      <x:c r="GG34" s="1453"/>
      <x:c r="GH34" s="1454"/>
      <x:c r="GI34" s="1453"/>
      <x:c r="GJ34" s="1454"/>
      <x:c r="GK34" s="533">
        <x:f t="shared" si="97"/>
        <x:v>708.625</x:v>
      </x:c>
      <x:c r="GL34" s="534">
        <x:f t="shared" si="98"/>
        <x:v>708.79348626656247</x:v>
      </x:c>
      <x:c r="GM34" s="535">
        <x:f>IF(ABS(GK34-GL34)&gt;='Job Info.'!$L$22,ABS(GK34-GL34),0)</x:f>
        <x:v>0</x:v>
      </x:c>
      <x:c r="HA34" s="1658" t="s">
        <x:v>1634</x:v>
      </x:c>
      <x:c r="HB34" s="1659">
        <x:v>1</x:v>
      </x:c>
      <x:c r="HC34" s="1659" t="s">
        <x:v>1978</x:v>
      </x:c>
      <x:c r="HD34" s="1660">
        <x:v>59</x:v>
      </x:c>
      <x:c r="HE34" s="1661">
        <x:v>0.625</x:v>
      </x:c>
      <x:c r="HF34" s="1659" t="s">
        <x:v>117</x:v>
      </x:c>
      <x:c r="HG34" s="1659" t="s">
        <x:v>117</x:v>
      </x:c>
      <x:c r="HH34" s="1659" t="s">
        <x:v>117</x:v>
      </x:c>
      <x:c r="HI34" s="1662">
        <x:v>0</x:v>
      </x:c>
      <x:c r="HJ34" s="1659">
        <x:v>1.375</x:v>
      </x:c>
      <x:c r="HK34" s="1659" t="s">
        <x:v>114</x:v>
      </x:c>
      <x:c r="HL34" s="1659">
        <x:v>3</x:v>
      </x:c>
      <x:c r="HM34" s="1659">
        <x:v>3</x:v>
      </x:c>
      <x:c r="HN34" s="1659" t="s">
        <x:v>117</x:v>
      </x:c>
      <x:c r="HO34" s="1659" t="s">
        <x:v>117</x:v>
      </x:c>
      <x:c r="HP34" s="1659" t="s">
        <x:v>117</x:v>
      </x:c>
      <x:c r="HQ34" s="1662" t="s">
        <x:v>117</x:v>
      </x:c>
      <x:c r="HR34" s="1659" t="s">
        <x:v>117</x:v>
      </x:c>
      <x:c r="HS34" s="1659" t="s">
        <x:v>117</x:v>
      </x:c>
      <x:c r="HT34" s="1659" t="s">
        <x:v>117</x:v>
      </x:c>
      <x:c r="HU34" s="1659" t="s">
        <x:v>117</x:v>
      </x:c>
      <x:c r="HV34" s="1659" t="s">
        <x:v>117</x:v>
      </x:c>
      <x:c r="HW34" s="1661" t="s">
        <x:v>117</x:v>
      </x:c>
      <x:c r="HX34" s="1661">
        <x:v>0</x:v>
      </x:c>
      <x:c r="HY34" s="1661" t="s">
        <x:v>117</x:v>
      </x:c>
      <x:c r="HZ34" s="1661" t="s">
        <x:v>117</x:v>
      </x:c>
      <x:c r="IA34" s="1661" t="s">
        <x:v>2288</x:v>
      </x:c>
      <x:c r="IB34" s="1661"/>
      <x:c r="IC34" s="1661"/>
      <x:c r="ID34" s="1661"/>
      <x:c r="IE34" s="1661"/>
      <x:c r="IF34" s="1663"/>
    </x:row>
    <x:row r="35" spans="1:240" ht="12.6" customHeight="1" x14ac:dyDescent="0.25">
      <x:c r="A35" s="1264" t="s">
        <x:v>1635</x:v>
      </x:c>
      <x:c r="B35" s="1265">
        <x:v>1</x:v>
      </x:c>
      <x:c r="C35" s="1265" t="s">
        <x:v>1978</x:v>
      </x:c>
      <x:c r="D35" s="1261">
        <x:v>59</x:v>
      </x:c>
      <x:c r="E35" s="1366">
        <x:v>0.625</x:v>
      </x:c>
      <x:c r="F35" s="1328" t="str">
        <x:f t="shared" si="102"/>
        <x:v/>
      </x:c>
      <x:c r="G35" s="1262" t="str">
        <x:f t="shared" si="103"/>
        <x:v/>
      </x:c>
      <x:c r="H35" s="1266" t="str">
        <x:f t="shared" si="104"/>
        <x:v/>
      </x:c>
      <x:c r="I35" s="1261">
        <x:v>0</x:v>
      </x:c>
      <x:c r="J35" s="1262">
        <x:v>1.375</x:v>
      </x:c>
      <x:c r="K35" s="1370" t="s">
        <x:v>114</x:v>
      </x:c>
      <x:c r="L35" s="1327">
        <x:v>3</x:v>
      </x:c>
      <x:c r="M35" s="1329">
        <x:v>3</x:v>
      </x:c>
      <x:c r="N35" s="1263" t="str">
        <x:f t="shared" si="1"/>
        <x:v/>
      </x:c>
      <x:c r="O35" s="1262" t="str">
        <x:f t="shared" si="2"/>
        <x:v/>
      </x:c>
      <x:c r="P35" s="1260" t="str">
        <x:f t="shared" si="3"/>
        <x:v/>
      </x:c>
      <x:c r="Q35" s="1261" t="str">
        <x:f t="shared" si="4"/>
        <x:v/>
      </x:c>
      <x:c r="R35" s="1262" t="str">
        <x:f t="shared" si="5"/>
        <x:v/>
      </x:c>
      <x:c r="S35" s="1375" t="str">
        <x:f t="shared" si="6"/>
        <x:v/>
      </x:c>
      <x:c r="T35" s="1328" t="str">
        <x:f t="shared" si="105"/>
        <x:v/>
      </x:c>
      <x:c r="U35" s="1262" t="str">
        <x:f t="shared" si="106"/>
        <x:v/>
      </x:c>
      <x:c r="V35" s="1261" t="str">
        <x:f t="shared" si="107"/>
        <x:v/>
      </x:c>
      <x:c r="W35" s="1262" t="str">
        <x:f t="shared" si="108"/>
        <x:v/>
      </x:c>
      <x:c r="X35" s="1329">
        <x:f t="shared" si="109"/>
        <x:v>0</x:v>
      </x:c>
      <x:c r="Y35" s="1377" t="str">
        <x:f t="shared" si="7"/>
        <x:v/>
      </x:c>
      <x:c r="Z35" s="1378" t="str">
        <x:f t="shared" si="8"/>
        <x:v/>
      </x:c>
      <x:c r="AA35" s="2159" t="s">
        <x:v>2289</x:v>
      </x:c>
      <x:c r="AC35" s="1226" t="b">
        <x:v>0</x:v>
      </x:c>
      <x:c r="AD35" s="525">
        <x:f t="shared" si="9"/>
        <x:v>0</x:v>
      </x:c>
      <x:c r="AE35" s="526">
        <x:f t="shared" si="10"/>
        <x:v>1</x:v>
      </x:c>
      <x:c r="AF35" s="526">
        <x:f t="shared" si="11"/>
        <x:v>0</x:v>
      </x:c>
      <x:c r="AG35" s="526">
        <x:f t="shared" si="12"/>
        <x:v>0</x:v>
      </x:c>
      <x:c r="AH35" s="527">
        <x:f t="shared" si="13"/>
        <x:v>0</x:v>
      </x:c>
      <x:c r="AI35" s="528" t="b">
        <x:v>0</x:v>
      </x:c>
      <x:c r="AJ35" s="284">
        <x:f t="shared" si="14"/>
        <x:v>36</x:v>
      </x:c>
      <x:c r="AK35" s="1063" t="str">
        <x:f t="shared" si="15"/>
        <x:v>LH</x:v>
      </x:c>
      <x:c r="AL35" s="1202" t="str">
        <x:f t="shared" si="16"/>
        <x:v/>
      </x:c>
      <x:c r="AM35" s="1063">
        <x:f t="shared" si="17"/>
        <x:v>270</x:v>
      </x:c>
      <x:c r="AN35" s="1063">
        <x:f t="shared" si="18"/>
        <x:v>120</x:v>
      </x:c>
      <x:c r="AO35" s="1063" t="str">
        <x:f t="shared" si="19"/>
        <x:v/>
      </x:c>
      <x:c r="AP35" s="1063" t="b">
        <x:f>IF(ISERROR(AJ35),FALSE,IF(OR(AJ35=0,ISERROR(AL35),ISERROR(AM35),ISERROR(AN35),ISERROR(AO35)),FALSE,IF(AL35&lt;&gt;"",IF(ISERROR(VLOOKUP(SUBSTITUTE(SUBSTITUTE(C35,"R",""),"A",""),TblJoistSize!$A:$A,1,FALSE)),FALSE,TRUE),TRUE)))</x:f>
        <x:v>1</x:v>
      </x:c>
      <x:c r="AQ35" s="1305">
        <x:f t="shared" si="20"/>
        <x:v>6</x:v>
      </x:c>
      <x:c r="AR35" s="1305" t="b">
        <x:f t="shared" si="21"/>
        <x:v>0</x:v>
      </x:c>
      <x:c r="AS35" s="1305">
        <x:f t="shared" si="22"/>
        <x:v>7.375</x:v>
      </x:c>
      <x:c r="AT35" s="1305" t="b">
        <x:f t="shared" si="23"/>
        <x:v>0</x:v>
      </x:c>
      <x:c r="AU35" s="1203" t="str">
        <x:f t="shared" si="24"/>
        <x:v>LH</x:v>
      </x:c>
      <x:c r="AV35" s="1063" t="str">
        <x:f t="shared" si="25"/>
        <x:v/>
      </x:c>
      <x:c r="AW35" s="1063" t="str">
        <x:f t="shared" si="26"/>
        <x:v>LH</x:v>
      </x:c>
      <x:c r="AX35" s="1063" t="str">
        <x:f t="shared" si="99"/>
        <x:v>J311</x:v>
      </x:c>
      <x:c r="AY35" s="1306" t="b">
        <x:f t="shared" si="27"/>
        <x:v>0</x:v>
      </x:c>
      <x:c r="AZ35" s="1090" t="b">
        <x:f t="shared" si="28"/>
        <x:v>0</x:v>
      </x:c>
      <x:c r="BA35" s="674"/>
      <x:c r="BB35" s="842"/>
      <x:c r="BC35" s="894"/>
      <x:c r="BD35" s="926"/>
      <x:c r="BE35" s="927"/>
      <x:c r="BF35" s="928"/>
      <x:c r="BG35" s="901"/>
      <x:c r="BH35" s="1244"/>
      <x:c r="BI35" s="1245"/>
      <x:c r="BJ35" s="929"/>
      <x:c r="BK35" s="902"/>
      <x:c r="BL35" s="903"/>
      <x:c r="BM35" s="904"/>
      <x:c r="BN35" s="905"/>
      <x:c r="BO35" s="901"/>
      <x:c r="BP35" s="902"/>
      <x:c r="BQ35" s="903"/>
      <x:c r="BR35" s="929"/>
      <x:c r="BS35" s="902"/>
      <x:c r="BT35" s="903"/>
      <x:c r="BU35" s="904"/>
      <x:c r="BV35" s="905"/>
      <x:c r="BW35" s="906"/>
      <x:c r="BX35" s="930"/>
      <x:c r="BY35" s="931"/>
      <x:c r="BZ35" s="932"/>
      <x:c r="CA35" s="933"/>
      <x:c r="CB35" s="932"/>
      <x:c r="CC35" s="933"/>
      <x:c r="CD35" s="934" t="str">
        <x:f t="shared" si="29"/>
        <x:v/>
      </x:c>
      <x:c r="CE35" s="935" t="str">
        <x:f t="shared" si="30"/>
        <x:v/>
      </x:c>
      <x:c r="CF35" s="1149"/>
      <x:c r="CG35" s="1150"/>
      <x:c r="CH35" s="738" t="str">
        <x:f t="shared" si="31"/>
        <x:v/>
      </x:c>
      <x:c r="CI35" s="739" t="str">
        <x:f t="shared" si="32"/>
        <x:v/>
      </x:c>
      <x:c r="CJ35" s="740" t="str">
        <x:f t="shared" si="33"/>
        <x:v/>
      </x:c>
      <x:c r="CK35" s="741" t="str">
        <x:f t="shared" si="34"/>
        <x:v/>
      </x:c>
      <x:c r="CL35" s="742" t="str">
        <x:f t="shared" si="35"/>
        <x:v/>
      </x:c>
      <x:c r="CM35" s="743" t="str">
        <x:f t="shared" si="36"/>
        <x:v/>
      </x:c>
      <x:c r="CN35" s="744" t="str">
        <x:f t="shared" si="37"/>
        <x:v/>
      </x:c>
      <x:c r="CO35" s="745" t="str">
        <x:f t="shared" si="38"/>
        <x:v/>
      </x:c>
      <x:c r="CP35" s="762" t="str">
        <x:f t="shared" si="39"/>
        <x:v/>
      </x:c>
      <x:c r="CQ35" s="763" t="str">
        <x:f t="shared" si="40"/>
        <x:v/>
      </x:c>
      <x:c r="CR35" s="953">
        <x:f t="shared" si="41"/>
        <x:v>5</x:v>
      </x:c>
      <x:c r="CS35" s="954">
        <x:f t="shared" si="42"/>
        <x:v>5</x:v>
      </x:c>
      <x:c r="CU35" s="1048" t="str">
        <x:f>IF(BG35="","",VLOOKUP(BG35,SectInfo!$B:$N,12,FALSE))</x:f>
        <x:v/>
      </x:c>
      <x:c r="CV35" s="1046" t="str">
        <x:f>IF(BG35="","",IF(ISBLANK(BZ35),VLOOKUP(BG35,SectInfo!$B:$N,13,FALSE),BZ35))</x:f>
        <x:v/>
      </x:c>
      <x:c r="CW35" s="1046" t="str">
        <x:f>IF(BG35="","",IF(VLOOKUP(BG35,SectInfo!$B:$N,5,FALSE)="","R",UPPER(VLOOKUP(BG35,SectInfo!$B:$N,5,FALSE))))</x:f>
        <x:v/>
      </x:c>
      <x:c r="CX35" s="1046" t="str">
        <x:f>IF(BG35="","",IF(ISBLANK(CF35),VLOOKUP(BG35,SectInfo!$B:$N,6,FALSE),CF35))</x:f>
        <x:v/>
      </x:c>
      <x:c r="CY35" s="1276" t="str">
        <x:f>IF(BG35="","",IF(VLOOKUP(BG35,SectInfo!$B:$N,10,FALSE)="","",(VLOOKUP(BG35,SectInfo!$B:$N,10,FALSE)*-1)))</x:f>
        <x:v/>
      </x:c>
      <x:c r="CZ35" s="1443" t="str">
        <x:f>IF(BG35="","",IF(VLOOKUP(BG35,SectInfo!$B:$N,11,FALSE)="","2",(VLOOKUP(BG35,SectInfo!$B:$N,11,FALSE))))</x:f>
        <x:v/>
      </x:c>
      <x:c r="DA35" s="1046" t="str">
        <x:f>IF(BG35="","",IF(VLOOKUP(BG35,SectInfo!$B:$N,7,FALSE)="","",(VLOOKUP(BG35,SectInfo!$B:$N,7,FALSE)*-1)))</x:f>
        <x:v/>
      </x:c>
      <x:c r="DB35" s="1046" t="str">
        <x:f>IF(BG35="","",IF(VLOOKUP(BG35,SectInfo!$B:$N,8,FALSE)="",VLOOKUP(AU35,$DF$2:$DN$9,6,FALSE),(VLOOKUP(BG35,SectInfo!$B:$N,8,FALSE))))</x:f>
        <x:v/>
      </x:c>
      <x:c r="DC35" s="1046" t="str">
        <x:f>IF(BG35="","",VLOOKUP(BG35,SectInfo!$B:$N,9,FALSE))</x:f>
        <x:v/>
      </x:c>
      <x:c r="DD35" s="1047">
        <x:f t="shared" si="43"/>
        <x:v>0</x:v>
      </x:c>
      <x:c r="DE35" s="1048" t="str">
        <x:f>IF(BO35="","",VLOOKUP(BO35,SectInfo!$B:$N,12,FALSE))</x:f>
        <x:v/>
      </x:c>
      <x:c r="DF35" s="1046" t="str">
        <x:f>IF(BO35="","",IF(ISBLANK(CA35),VLOOKUP(BO35,SectInfo!$B:$N,13,FALSE),CA35))</x:f>
        <x:v/>
      </x:c>
      <x:c r="DG35" s="1046" t="str">
        <x:f>IF(BO35="","",IF(VLOOKUP(BO35,SectInfo!$B:$N,5,FALSE)="","R",UPPER(VLOOKUP(BO35,SectInfo!$B:$N,5,FALSE))))</x:f>
        <x:v/>
      </x:c>
      <x:c r="DH35" s="1046" t="str">
        <x:f>IF(BO35="","",IF(ISBLANK(CG35),VLOOKUP(BO35,SectInfo!$B:$N,6,FALSE),CG35))</x:f>
        <x:v/>
      </x:c>
      <x:c r="DI35" s="1046" t="str">
        <x:f>IF(BO35="","",IF(VLOOKUP(BO35,SectInfo!$B:$N,10,FALSE)="","",(VLOOKUP(BO35,SectInfo!$B:$N,10,FALSE)*-1)))</x:f>
        <x:v/>
      </x:c>
      <x:c r="DJ35" s="1443" t="str">
        <x:f>IF(BO35="","",IF(VLOOKUP(BO35,SectInfo!$B:$N,11,FALSE)="","2",(VLOOKUP(BO35,SectInfo!$B:$N,11,FALSE))))</x:f>
        <x:v/>
      </x:c>
      <x:c r="DK35" s="1046" t="str">
        <x:f>IF(BO35="","",IF(VLOOKUP(BO35,SectInfo!$B:$N,7,FALSE)="","",(VLOOKUP(BO35,SectInfo!$B:$N,7,FALSE)*-1)))</x:f>
        <x:v/>
      </x:c>
      <x:c r="DL35" s="1046" t="str">
        <x:f>IF(BO35="","",IF(VLOOKUP(BO35,SectInfo!$B:$N,8,FALSE)="",VLOOKUP(AU35,$DF$2:$DN$9,6,FALSE),(VLOOKUP(BO35,SectInfo!$B:$N,8,FALSE))))</x:f>
        <x:v/>
      </x:c>
      <x:c r="DM35" s="1046" t="str">
        <x:f>IF(BO35="","",VLOOKUP(BO35,SectInfo!$B:$N,9,FALSE))</x:f>
        <x:v/>
      </x:c>
      <x:c r="DN35" s="1047">
        <x:f t="shared" si="44"/>
        <x:v>0</x:v>
      </x:c>
      <x:c r="DO35" s="1049">
        <x:f t="shared" si="45"/>
        <x:v>0</x:v>
      </x:c>
      <x:c r="DP35" s="1053" t="str">
        <x:f t="shared" si="46"/>
        <x:v/>
      </x:c>
      <x:c r="DQ35" s="1053" t="str">
        <x:f t="shared" si="47"/>
        <x:v/>
      </x:c>
      <x:c r="DR35" s="1053" t="str">
        <x:f t="shared" si="48"/>
        <x:v/>
      </x:c>
      <x:c r="DS35" s="1052">
        <x:f t="shared" si="49"/>
        <x:v>0</x:v>
      </x:c>
      <x:c r="DT35" s="1052">
        <x:f t="shared" si="50"/>
        <x:v>0</x:v>
      </x:c>
      <x:c r="DU35" s="1052" t="str">
        <x:f t="shared" si="51"/>
        <x:v/>
      </x:c>
      <x:c r="DV35" s="1053" t="str">
        <x:f t="shared" si="52"/>
        <x:v/>
      </x:c>
      <x:c r="DW35" s="1053" t="str">
        <x:f t="shared" si="53"/>
        <x:v/>
      </x:c>
      <x:c r="DX35" s="1269">
        <x:f t="shared" si="54"/>
        <x:v>0</x:v>
      </x:c>
      <x:c r="DY35" s="1053">
        <x:f t="shared" si="55"/>
        <x:v>0</x:v>
      </x:c>
      <x:c r="DZ35" s="1052">
        <x:f t="shared" si="56"/>
        <x:v>0</x:v>
      </x:c>
      <x:c r="EA35" s="1052" t="str">
        <x:f t="shared" si="57"/>
        <x:v/>
      </x:c>
      <x:c r="EB35" s="1053" t="str">
        <x:f t="shared" si="58"/>
        <x:v/>
      </x:c>
      <x:c r="EC35" s="1053" t="str">
        <x:f t="shared" si="59"/>
        <x:v/>
      </x:c>
      <x:c r="ED35" s="1269">
        <x:f t="shared" si="60"/>
        <x:v>0</x:v>
      </x:c>
      <x:c r="EE35" s="1090" t="str">
        <x:f t="shared" si="61"/>
        <x:v/>
      </x:c>
      <x:c r="EF35" s="1053" t="str">
        <x:f t="shared" si="62"/>
        <x:v/>
      </x:c>
      <x:c r="EG35" s="1053" t="str">
        <x:f t="shared" si="63"/>
        <x:v/>
      </x:c>
      <x:c r="EH35" s="1053" t="str">
        <x:f t="shared" si="64"/>
        <x:v>ERR</x:v>
      </x:c>
      <x:c r="EI35" s="1053" t="str">
        <x:f t="shared" si="65"/>
        <x:v>ERR</x:v>
      </x:c>
      <x:c r="EJ35" s="1053" t="str">
        <x:f t="shared" si="66"/>
        <x:v/>
      </x:c>
      <x:c r="EK35" s="1053" t="str">
        <x:f t="shared" si="66"/>
        <x:v/>
      </x:c>
      <x:c r="EL35" s="1090" t="str">
        <x:f t="shared" si="67"/>
        <x:v/>
      </x:c>
      <x:c r="EM35" s="1053" t="str">
        <x:f t="shared" si="68"/>
        <x:v/>
      </x:c>
      <x:c r="EN35" s="1053" t="str">
        <x:f t="shared" si="69"/>
        <x:v/>
      </x:c>
      <x:c r="EO35" s="1053" t="str">
        <x:f t="shared" si="70"/>
        <x:v>ERR</x:v>
      </x:c>
      <x:c r="EP35" s="1053" t="str">
        <x:f t="shared" si="71"/>
        <x:v>ERR</x:v>
      </x:c>
      <x:c r="EQ35" s="1053" t="str">
        <x:f t="shared" si="72"/>
        <x:v/>
      </x:c>
      <x:c r="ER35" s="1053" t="str">
        <x:f t="shared" si="72"/>
        <x:v/>
      </x:c>
      <x:c r="ES35" s="1053" t="str">
        <x:f t="shared" si="73"/>
        <x:v/>
      </x:c>
      <x:c r="ET35" s="1053" t="str">
        <x:f t="shared" si="74"/>
        <x:v/>
      </x:c>
      <x:c r="EU35" s="1061">
        <x:f t="shared" si="75"/>
        <x:v>4</x:v>
      </x:c>
      <x:c r="EV35" s="1055" t="str">
        <x:f t="shared" si="76"/>
        <x:v/>
      </x:c>
      <x:c r="EW35" s="1061"/>
      <x:c r="EX35" s="1061" t="str">
        <x:f>IF(AND(CU35="G", ISBLANK(BK35), ISBLANK(BL35)),VLOOKUP(MIN(BH35:BI35),TblJoistSize!$M$3:$N$10,2),IF(OR(CU35="B",CU35="G"),MIN(BK35:BL35),""))</x:f>
        <x:v/>
      </x:c>
      <x:c r="EY35" s="1061" t="str">
        <x:f>IF(AND(CU35="G", ISBLANK(BK35), ISBLANK(BL35)),VLOOKUP(MAX(BH35:BI35),TblJoistSize!$M$3:$N$10,2),IF(OR(CU35="B",CU35="G"),MAX(BK35:BL35),""))</x:f>
        <x:v/>
      </x:c>
      <x:c r="EZ35" s="1061" t="str">
        <x:f t="shared" si="77"/>
        <x:v/>
      </x:c>
      <x:c r="FA35" s="1061" t="str">
        <x:f>IF(AND(DE35="G", ISBLANK(BS35), ISBLANK(BT35)),VLOOKUP(MIN(BP35:BQ35),TblJoistSize!$M$3:$N$10,2),IF(OR(DE35="B", DE35="G"),MIN(BS35:BT35),""))</x:f>
        <x:v/>
      </x:c>
      <x:c r="FB35" s="1061" t="str">
        <x:f>IF(AND(DE35="G", ISBLANK(BS35), ISBLANK(BT35)),VLOOKUP(MAX(BP35:BQ35),TblJoistSize!$M$3:$N$10,2),IF(OR(DE35="B", DE35="G"),MAX(BS35:BT35),""))</x:f>
        <x:v/>
      </x:c>
      <x:c r="FC35" s="1061" t="str">
        <x:f t="shared" si="78"/>
        <x:v/>
      </x:c>
      <x:c r="FD35" s="1052">
        <x:f t="shared" si="100"/>
        <x:v>0</x:v>
      </x:c>
      <x:c r="FE35" s="1052">
        <x:f t="shared" si="79"/>
        <x:v>0</x:v>
      </x:c>
      <x:c r="FF35" s="1052">
        <x:f t="shared" si="80"/>
        <x:v>0</x:v>
      </x:c>
      <x:c r="FG35" s="1052" t="str">
        <x:f t="shared" si="81"/>
        <x:v/>
      </x:c>
      <x:c r="FH35" s="1053" t="str">
        <x:f t="shared" si="82"/>
        <x:v/>
      </x:c>
      <x:c r="FI35" s="1052">
        <x:f t="shared" si="101"/>
        <x:v>0</x:v>
      </x:c>
      <x:c r="FJ35" s="1052">
        <x:f t="shared" si="83"/>
        <x:v>0</x:v>
      </x:c>
      <x:c r="FK35" s="1052">
        <x:f t="shared" si="84"/>
        <x:v>0</x:v>
      </x:c>
      <x:c r="FL35" s="1052" t="str">
        <x:f t="shared" si="85"/>
        <x:v/>
      </x:c>
      <x:c r="FM35" s="1053" t="str">
        <x:f t="shared" si="86"/>
        <x:v/>
      </x:c>
      <x:c r="FN35" s="1053" t="e">
        <x:f t="shared" si="87"/>
        <x:v>#VALUE!</x:v>
      </x:c>
      <x:c r="FO35" s="1062" t="e">
        <x:f t="shared" si="88"/>
        <x:v>#VALUE!</x:v>
      </x:c>
      <x:c r="FP35" s="1062" t="e">
        <x:f t="shared" si="89"/>
        <x:v>#VALUE!</x:v>
      </x:c>
      <x:c r="FQ35" s="1063" t="e">
        <x:f t="shared" si="90"/>
        <x:v>#VALUE!</x:v>
      </x:c>
      <x:c r="FR35" s="1064" t="e">
        <x:f t="shared" si="91"/>
        <x:v>#VALUE!</x:v>
      </x:c>
      <x:c r="FS35" s="1065" t="str">
        <x:f t="shared" si="92"/>
        <x:v/>
      </x:c>
      <x:c r="FT35" s="1066" t="str">
        <x:f t="shared" si="93"/>
        <x:v/>
      </x:c>
      <x:c r="FU35" s="1105">
        <x:f t="shared" si="94"/>
        <x:v>0</x:v>
      </x:c>
      <x:c r="FV35" s="1106">
        <x:f t="shared" si="95"/>
        <x:v>0</x:v>
      </x:c>
      <x:c r="GA35" s="1975">
        <x:v>59</x:v>
      </x:c>
      <x:c r="GB35" s="1976">
        <x:v>2.75</x:v>
      </x:c>
      <x:c r="GC35" s="1977">
        <x:v>-1.875</x:v>
      </x:c>
      <x:c r="GD35" s="1978">
        <x:v>-0.25</x:v>
      </x:c>
      <x:c r="GE35" s="1979">
        <x:v>0.26169539219134702</x:v>
      </x:c>
      <x:c r="GF35" s="1980" t="str">
        <x:f t="shared" si="96"/>
        <x:v>J311</x:v>
      </x:c>
      <x:c r="GG35" s="1453"/>
      <x:c r="GH35" s="1454"/>
      <x:c r="GI35" s="1453"/>
      <x:c r="GJ35" s="1454"/>
      <x:c r="GK35" s="533">
        <x:f t="shared" si="97"/>
        <x:v>708.625</x:v>
      </x:c>
      <x:c r="GL35" s="534">
        <x:f t="shared" si="98"/>
        <x:v>708.79348626656247</x:v>
      </x:c>
      <x:c r="GM35" s="535">
        <x:f>IF(ABS(GK35-GL35)&gt;='Job Info.'!$L$22,ABS(GK35-GL35),0)</x:f>
        <x:v>0</x:v>
      </x:c>
      <x:c r="HA35" s="1658" t="s">
        <x:v>1635</x:v>
      </x:c>
      <x:c r="HB35" s="1659">
        <x:v>1</x:v>
      </x:c>
      <x:c r="HC35" s="1659" t="s">
        <x:v>1978</x:v>
      </x:c>
      <x:c r="HD35" s="1660">
        <x:v>59</x:v>
      </x:c>
      <x:c r="HE35" s="1661">
        <x:v>0.625</x:v>
      </x:c>
      <x:c r="HF35" s="1659" t="s">
        <x:v>117</x:v>
      </x:c>
      <x:c r="HG35" s="1659" t="s">
        <x:v>117</x:v>
      </x:c>
      <x:c r="HH35" s="1659" t="s">
        <x:v>117</x:v>
      </x:c>
      <x:c r="HI35" s="1662">
        <x:v>0</x:v>
      </x:c>
      <x:c r="HJ35" s="1659">
        <x:v>1.375</x:v>
      </x:c>
      <x:c r="HK35" s="1659" t="s">
        <x:v>114</x:v>
      </x:c>
      <x:c r="HL35" s="1659">
        <x:v>3</x:v>
      </x:c>
      <x:c r="HM35" s="1659">
        <x:v>3</x:v>
      </x:c>
      <x:c r="HN35" s="1659" t="s">
        <x:v>117</x:v>
      </x:c>
      <x:c r="HO35" s="1659" t="s">
        <x:v>117</x:v>
      </x:c>
      <x:c r="HP35" s="1659" t="s">
        <x:v>117</x:v>
      </x:c>
      <x:c r="HQ35" s="1662" t="s">
        <x:v>117</x:v>
      </x:c>
      <x:c r="HR35" s="1659" t="s">
        <x:v>117</x:v>
      </x:c>
      <x:c r="HS35" s="1659" t="s">
        <x:v>117</x:v>
      </x:c>
      <x:c r="HT35" s="1659" t="s">
        <x:v>117</x:v>
      </x:c>
      <x:c r="HU35" s="1659" t="s">
        <x:v>117</x:v>
      </x:c>
      <x:c r="HV35" s="1659" t="s">
        <x:v>117</x:v>
      </x:c>
      <x:c r="HW35" s="1661" t="s">
        <x:v>117</x:v>
      </x:c>
      <x:c r="HX35" s="1661">
        <x:v>0</x:v>
      </x:c>
      <x:c r="HY35" s="1661" t="s">
        <x:v>117</x:v>
      </x:c>
      <x:c r="HZ35" s="1661" t="s">
        <x:v>117</x:v>
      </x:c>
      <x:c r="IA35" s="1661" t="s">
        <x:v>2289</x:v>
      </x:c>
      <x:c r="IB35" s="1661"/>
      <x:c r="IC35" s="1661"/>
      <x:c r="ID35" s="1661"/>
      <x:c r="IE35" s="1661"/>
      <x:c r="IF35" s="1663"/>
    </x:row>
    <x:row r="36" spans="1:240" ht="12.6" customHeight="1" x14ac:dyDescent="0.25">
      <x:c r="A36" s="1264" t="str">
        <x:f t="shared" ref="A36:A44" si="110">IF(BB36="","",UPPER(BB36))</x:f>
        <x:v/>
      </x:c>
      <x:c r="B36" s="1265"/>
      <x:c r="C36" s="1265" t="str">
        <x:f t="shared" ref="C36:C44" si="111">IF(BD36="","",UPPER(BD36))</x:f>
        <x:v/>
      </x:c>
      <x:c r="D36" s="1261" t="str">
        <x:f t="shared" ref="D36:D44" si="112">IF(DP36="","",TRUNC(DP36/12))</x:f>
        <x:v/>
      </x:c>
      <x:c r="E36" s="1366" t="str">
        <x:f t="shared" ref="E36:E44" si="113">IF(DP36="","",DP36-(D36*12))</x:f>
        <x:v/>
      </x:c>
      <x:c r="F36" s="1328" t="str">
        <x:f t="shared" si="102"/>
        <x:v/>
      </x:c>
      <x:c r="G36" s="1262" t="str">
        <x:f t="shared" si="103"/>
        <x:v/>
      </x:c>
      <x:c r="H36" s="1266" t="str">
        <x:f t="shared" si="104"/>
        <x:v/>
      </x:c>
      <x:c r="I36" s="1261" t="str">
        <x:f t="shared" ref="I36:I44" si="114">IF(ED36=0,"",TRUNC(ED36/12))</x:f>
        <x:v/>
      </x:c>
      <x:c r="J36" s="1262" t="str">
        <x:f t="shared" ref="J36:J44" si="115">IF(ED36=0,"",ED36-(I36*12))</x:f>
        <x:v/>
      </x:c>
      <x:c r="K36" s="1370" t="str">
        <x:f t="shared" ref="K36:K44" si="116">IF(ED36=0,"",DG36)</x:f>
        <x:v/>
      </x:c>
      <x:c r="L36" s="1327" t="str">
        <x:f t="shared" ref="L36:M44" si="117">DQ36</x:f>
        <x:v/>
      </x:c>
      <x:c r="M36" s="1329" t="str">
        <x:f t="shared" si="117"/>
        <x:v/>
      </x:c>
      <x:c r="N36" s="1263" t="str">
        <x:f t="shared" si="1"/>
        <x:v/>
      </x:c>
      <x:c r="O36" s="1262" t="str">
        <x:f t="shared" si="2"/>
        <x:v/>
      </x:c>
      <x:c r="P36" s="1260" t="str">
        <x:f t="shared" si="3"/>
        <x:v/>
      </x:c>
      <x:c r="Q36" s="1261" t="str">
        <x:f t="shared" si="4"/>
        <x:v/>
      </x:c>
      <x:c r="R36" s="1262" t="str">
        <x:f t="shared" si="5"/>
        <x:v/>
      </x:c>
      <x:c r="S36" s="1375" t="str">
        <x:f t="shared" si="6"/>
        <x:v/>
      </x:c>
      <x:c r="T36" s="1328" t="str">
        <x:f t="shared" si="105"/>
        <x:v/>
      </x:c>
      <x:c r="U36" s="1262" t="str">
        <x:f t="shared" si="106"/>
        <x:v/>
      </x:c>
      <x:c r="V36" s="1261" t="str">
        <x:f t="shared" si="107"/>
        <x:v/>
      </x:c>
      <x:c r="W36" s="1262" t="str">
        <x:f t="shared" si="108"/>
        <x:v/>
      </x:c>
      <x:c r="X36" s="1329">
        <x:f t="shared" si="109"/>
        <x:v>0</x:v>
      </x:c>
      <x:c r="Y36" s="1377" t="str">
        <x:f t="shared" si="7"/>
        <x:v/>
      </x:c>
      <x:c r="Z36" s="1378" t="str">
        <x:f t="shared" si="8"/>
        <x:v/>
      </x:c>
      <x:c r="AA36" s="2159"/>
      <x:c r="AC36" s="1226" t="b">
        <x:v>0</x:v>
      </x:c>
      <x:c r="AD36" s="525">
        <x:f t="shared" si="9"/>
        <x:v>0</x:v>
      </x:c>
      <x:c r="AE36" s="526">
        <x:f t="shared" si="10"/>
        <x:v>0</x:v>
      </x:c>
      <x:c r="AF36" s="526">
        <x:f t="shared" si="11"/>
        <x:v>0</x:v>
      </x:c>
      <x:c r="AG36" s="526">
        <x:f t="shared" si="12"/>
        <x:v>0</x:v>
      </x:c>
      <x:c r="AH36" s="527">
        <x:f t="shared" si="13"/>
        <x:v>0</x:v>
      </x:c>
      <x:c r="AI36" s="528" t="b">
        <x:v>0</x:v>
      </x:c>
      <x:c r="AJ36" s="284">
        <x:f t="shared" si="14"/>
        <x:v>0</x:v>
      </x:c>
      <x:c r="AK36" s="1063" t="str">
        <x:f t="shared" si="15"/>
        <x:v/>
      </x:c>
      <x:c r="AL36" s="1202" t="str">
        <x:f t="shared" si="16"/>
        <x:v/>
      </x:c>
      <x:c r="AM36" s="1063" t="str">
        <x:f t="shared" si="17"/>
        <x:v/>
      </x:c>
      <x:c r="AN36" s="1063" t="str">
        <x:f t="shared" si="18"/>
        <x:v/>
      </x:c>
      <x:c r="AO36" s="1063" t="str">
        <x:f t="shared" si="19"/>
        <x:v/>
      </x:c>
      <x:c r="AP36" s="1063" t="b">
        <x:f>IF(ISERROR(AJ36),FALSE,IF(OR(AJ36=0,ISERROR(AL36),ISERROR(AM36),ISERROR(AN36),ISERROR(AO36)),FALSE,IF(AL36&lt;&gt;"",IF(ISERROR(VLOOKUP(SUBSTITUTE(SUBSTITUTE(C36,"R",""),"A",""),TblJoistSize!$A:$A,1,FALSE)),FALSE,TRUE),TRUE)))</x:f>
        <x:v>0</x:v>
      </x:c>
      <x:c r="AQ36" s="1305" t="e">
        <x:f t="shared" si="20"/>
        <x:v>#N/A</x:v>
      </x:c>
      <x:c r="AR36" s="1305" t="b">
        <x:f t="shared" si="21"/>
        <x:v>0</x:v>
      </x:c>
      <x:c r="AS36" s="1305" t="e">
        <x:f t="shared" si="22"/>
        <x:v>#N/A</x:v>
      </x:c>
      <x:c r="AT36" s="1305" t="b">
        <x:f t="shared" si="23"/>
        <x:v>0</x:v>
      </x:c>
      <x:c r="AU36" s="1203" t="str">
        <x:f t="shared" si="24"/>
        <x:v/>
      </x:c>
      <x:c r="AV36" s="1063" t="str">
        <x:f t="shared" si="25"/>
        <x:v/>
      </x:c>
      <x:c r="AW36" s="1063" t="str">
        <x:f t="shared" si="26"/>
        <x:v/>
      </x:c>
      <x:c r="AX36" s="1063" t="str">
        <x:f t="shared" si="99"/>
        <x:v/>
      </x:c>
      <x:c r="AY36" s="1306" t="b">
        <x:f t="shared" si="27"/>
        <x:v>0</x:v>
      </x:c>
      <x:c r="AZ36" s="1090" t="str">
        <x:f t="shared" si="28"/>
        <x:v/>
      </x:c>
      <x:c r="BA36" s="674"/>
      <x:c r="BB36" s="842"/>
      <x:c r="BC36" s="894"/>
      <x:c r="BD36" s="926"/>
      <x:c r="BE36" s="927"/>
      <x:c r="BF36" s="928"/>
      <x:c r="BG36" s="901"/>
      <x:c r="BH36" s="1244"/>
      <x:c r="BI36" s="1245"/>
      <x:c r="BJ36" s="929"/>
      <x:c r="BK36" s="902"/>
      <x:c r="BL36" s="903"/>
      <x:c r="BM36" s="904"/>
      <x:c r="BN36" s="905"/>
      <x:c r="BO36" s="901"/>
      <x:c r="BP36" s="902"/>
      <x:c r="BQ36" s="903"/>
      <x:c r="BR36" s="929"/>
      <x:c r="BS36" s="902"/>
      <x:c r="BT36" s="903"/>
      <x:c r="BU36" s="904"/>
      <x:c r="BV36" s="905"/>
      <x:c r="BW36" s="906"/>
      <x:c r="BX36" s="930"/>
      <x:c r="BY36" s="931"/>
      <x:c r="BZ36" s="932"/>
      <x:c r="CA36" s="933"/>
      <x:c r="CB36" s="932"/>
      <x:c r="CC36" s="933"/>
      <x:c r="CD36" s="934" t="str">
        <x:f t="shared" si="29"/>
        <x:v/>
      </x:c>
      <x:c r="CE36" s="935" t="str">
        <x:f t="shared" si="30"/>
        <x:v/>
      </x:c>
      <x:c r="CF36" s="1149"/>
      <x:c r="CG36" s="1150"/>
      <x:c r="CH36" s="738" t="str">
        <x:f t="shared" si="31"/>
        <x:v/>
      </x:c>
      <x:c r="CI36" s="739" t="str">
        <x:f t="shared" si="32"/>
        <x:v/>
      </x:c>
      <x:c r="CJ36" s="740" t="str">
        <x:f t="shared" si="33"/>
        <x:v/>
      </x:c>
      <x:c r="CK36" s="741" t="str">
        <x:f t="shared" si="34"/>
        <x:v/>
      </x:c>
      <x:c r="CL36" s="742" t="str">
        <x:f t="shared" si="35"/>
        <x:v/>
      </x:c>
      <x:c r="CM36" s="743" t="str">
        <x:f t="shared" si="36"/>
        <x:v/>
      </x:c>
      <x:c r="CN36" s="744" t="str">
        <x:f t="shared" si="37"/>
        <x:v/>
      </x:c>
      <x:c r="CO36" s="745" t="str">
        <x:f t="shared" si="38"/>
        <x:v/>
      </x:c>
      <x:c r="CP36" s="762" t="str">
        <x:f t="shared" si="39"/>
        <x:v/>
      </x:c>
      <x:c r="CQ36" s="763" t="str">
        <x:f t="shared" si="40"/>
        <x:v/>
      </x:c>
      <x:c r="CR36" s="953" t="str">
        <x:f t="shared" si="41"/>
        <x:v/>
      </x:c>
      <x:c r="CS36" s="954" t="str">
        <x:f t="shared" si="42"/>
        <x:v/>
      </x:c>
      <x:c r="CU36" s="1048" t="str">
        <x:f>IF(BG36="","",VLOOKUP(BG36,SectInfo!$B:$N,12,FALSE))</x:f>
        <x:v/>
      </x:c>
      <x:c r="CV36" s="1046" t="str">
        <x:f>IF(BG36="","",IF(ISBLANK(BZ36),VLOOKUP(BG36,SectInfo!$B:$N,13,FALSE),BZ36))</x:f>
        <x:v/>
      </x:c>
      <x:c r="CW36" s="1046" t="str">
        <x:f>IF(BG36="","",IF(VLOOKUP(BG36,SectInfo!$B:$N,5,FALSE)="","R",UPPER(VLOOKUP(BG36,SectInfo!$B:$N,5,FALSE))))</x:f>
        <x:v/>
      </x:c>
      <x:c r="CX36" s="1046" t="str">
        <x:f>IF(BG36="","",IF(ISBLANK(CF36),VLOOKUP(BG36,SectInfo!$B:$N,6,FALSE),CF36))</x:f>
        <x:v/>
      </x:c>
      <x:c r="CY36" s="1276" t="str">
        <x:f>IF(BG36="","",IF(VLOOKUP(BG36,SectInfo!$B:$N,10,FALSE)="","",(VLOOKUP(BG36,SectInfo!$B:$N,10,FALSE)*-1)))</x:f>
        <x:v/>
      </x:c>
      <x:c r="CZ36" s="1443" t="str">
        <x:f>IF(BG36="","",IF(VLOOKUP(BG36,SectInfo!$B:$N,11,FALSE)="","2",(VLOOKUP(BG36,SectInfo!$B:$N,11,FALSE))))</x:f>
        <x:v/>
      </x:c>
      <x:c r="DA36" s="1046" t="str">
        <x:f>IF(BG36="","",IF(VLOOKUP(BG36,SectInfo!$B:$N,7,FALSE)="","",(VLOOKUP(BG36,SectInfo!$B:$N,7,FALSE)*-1)))</x:f>
        <x:v/>
      </x:c>
      <x:c r="DB36" s="1046" t="str">
        <x:f>IF(BG36="","",IF(VLOOKUP(BG36,SectInfo!$B:$N,8,FALSE)="",VLOOKUP(AU36,$DF$2:$DN$9,6,FALSE),(VLOOKUP(BG36,SectInfo!$B:$N,8,FALSE))))</x:f>
        <x:v/>
      </x:c>
      <x:c r="DC36" s="1046" t="str">
        <x:f>IF(BG36="","",VLOOKUP(BG36,SectInfo!$B:$N,9,FALSE))</x:f>
        <x:v/>
      </x:c>
      <x:c r="DD36" s="1047">
        <x:f t="shared" si="43"/>
        <x:v>0</x:v>
      </x:c>
      <x:c r="DE36" s="1048" t="str">
        <x:f>IF(BO36="","",VLOOKUP(BO36,SectInfo!$B:$N,12,FALSE))</x:f>
        <x:v/>
      </x:c>
      <x:c r="DF36" s="1046" t="str">
        <x:f>IF(BO36="","",IF(ISBLANK(CA36),VLOOKUP(BO36,SectInfo!$B:$N,13,FALSE),CA36))</x:f>
        <x:v/>
      </x:c>
      <x:c r="DG36" s="1046" t="str">
        <x:f>IF(BO36="","",IF(VLOOKUP(BO36,SectInfo!$B:$N,5,FALSE)="","R",UPPER(VLOOKUP(BO36,SectInfo!$B:$N,5,FALSE))))</x:f>
        <x:v/>
      </x:c>
      <x:c r="DH36" s="1046" t="str">
        <x:f>IF(BO36="","",IF(ISBLANK(CG36),VLOOKUP(BO36,SectInfo!$B:$N,6,FALSE),CG36))</x:f>
        <x:v/>
      </x:c>
      <x:c r="DI36" s="1046" t="str">
        <x:f>IF(BO36="","",IF(VLOOKUP(BO36,SectInfo!$B:$N,10,FALSE)="","",(VLOOKUP(BO36,SectInfo!$B:$N,10,FALSE)*-1)))</x:f>
        <x:v/>
      </x:c>
      <x:c r="DJ36" s="1443" t="str">
        <x:f>IF(BO36="","",IF(VLOOKUP(BO36,SectInfo!$B:$N,11,FALSE)="","2",(VLOOKUP(BO36,SectInfo!$B:$N,11,FALSE))))</x:f>
        <x:v/>
      </x:c>
      <x:c r="DK36" s="1046" t="str">
        <x:f>IF(BO36="","",IF(VLOOKUP(BO36,SectInfo!$B:$N,7,FALSE)="","",(VLOOKUP(BO36,SectInfo!$B:$N,7,FALSE)*-1)))</x:f>
        <x:v/>
      </x:c>
      <x:c r="DL36" s="1046" t="str">
        <x:f>IF(BO36="","",IF(VLOOKUP(BO36,SectInfo!$B:$N,8,FALSE)="",VLOOKUP(AU36,$DF$2:$DN$9,6,FALSE),(VLOOKUP(BO36,SectInfo!$B:$N,8,FALSE))))</x:f>
        <x:v/>
      </x:c>
      <x:c r="DM36" s="1046" t="str">
        <x:f>IF(BO36="","",VLOOKUP(BO36,SectInfo!$B:$N,9,FALSE))</x:f>
        <x:v/>
      </x:c>
      <x:c r="DN36" s="1047">
        <x:f t="shared" si="44"/>
        <x:v>0</x:v>
      </x:c>
      <x:c r="DO36" s="1049">
        <x:f t="shared" si="45"/>
        <x:v>0</x:v>
      </x:c>
      <x:c r="DP36" s="1053" t="str">
        <x:f t="shared" si="46"/>
        <x:v/>
      </x:c>
      <x:c r="DQ36" s="1053" t="str">
        <x:f t="shared" si="47"/>
        <x:v/>
      </x:c>
      <x:c r="DR36" s="1053" t="str">
        <x:f t="shared" si="48"/>
        <x:v/>
      </x:c>
      <x:c r="DS36" s="1052">
        <x:f t="shared" si="49"/>
        <x:v>0</x:v>
      </x:c>
      <x:c r="DT36" s="1052">
        <x:f t="shared" si="50"/>
        <x:v>0</x:v>
      </x:c>
      <x:c r="DU36" s="1052" t="str">
        <x:f t="shared" si="51"/>
        <x:v/>
      </x:c>
      <x:c r="DV36" s="1053" t="str">
        <x:f t="shared" si="52"/>
        <x:v/>
      </x:c>
      <x:c r="DW36" s="1053" t="str">
        <x:f t="shared" si="53"/>
        <x:v/>
      </x:c>
      <x:c r="DX36" s="1269">
        <x:f t="shared" si="54"/>
        <x:v>0</x:v>
      </x:c>
      <x:c r="DY36" s="1053">
        <x:f t="shared" si="55"/>
        <x:v>0</x:v>
      </x:c>
      <x:c r="DZ36" s="1052">
        <x:f t="shared" si="56"/>
        <x:v>0</x:v>
      </x:c>
      <x:c r="EA36" s="1052" t="str">
        <x:f t="shared" si="57"/>
        <x:v/>
      </x:c>
      <x:c r="EB36" s="1053" t="str">
        <x:f t="shared" si="58"/>
        <x:v/>
      </x:c>
      <x:c r="EC36" s="1053" t="str">
        <x:f t="shared" si="59"/>
        <x:v/>
      </x:c>
      <x:c r="ED36" s="1269">
        <x:f t="shared" si="60"/>
        <x:v>0</x:v>
      </x:c>
      <x:c r="EE36" s="1090" t="str">
        <x:f t="shared" si="61"/>
        <x:v/>
      </x:c>
      <x:c r="EF36" s="1053" t="str">
        <x:f t="shared" si="62"/>
        <x:v/>
      </x:c>
      <x:c r="EG36" s="1053" t="str">
        <x:f t="shared" si="63"/>
        <x:v/>
      </x:c>
      <x:c r="EH36" s="1053" t="e">
        <x:f t="shared" si="64"/>
        <x:v>#N/A</x:v>
      </x:c>
      <x:c r="EI36" s="1053" t="e">
        <x:f t="shared" si="65"/>
        <x:v>#N/A</x:v>
      </x:c>
      <x:c r="EJ36" s="1053" t="str">
        <x:f t="shared" si="66"/>
        <x:v/>
      </x:c>
      <x:c r="EK36" s="1053" t="str">
        <x:f t="shared" si="66"/>
        <x:v/>
      </x:c>
      <x:c r="EL36" s="1090" t="str">
        <x:f t="shared" si="67"/>
        <x:v/>
      </x:c>
      <x:c r="EM36" s="1053" t="str">
        <x:f t="shared" si="68"/>
        <x:v/>
      </x:c>
      <x:c r="EN36" s="1053" t="str">
        <x:f t="shared" si="69"/>
        <x:v/>
      </x:c>
      <x:c r="EO36" s="1053" t="e">
        <x:f t="shared" si="70"/>
        <x:v>#N/A</x:v>
      </x:c>
      <x:c r="EP36" s="1053" t="e">
        <x:f t="shared" si="71"/>
        <x:v>#N/A</x:v>
      </x:c>
      <x:c r="EQ36" s="1053" t="str">
        <x:f t="shared" si="72"/>
        <x:v/>
      </x:c>
      <x:c r="ER36" s="1053" t="str">
        <x:f t="shared" si="72"/>
        <x:v/>
      </x:c>
      <x:c r="ES36" s="1053" t="str">
        <x:f t="shared" si="73"/>
        <x:v/>
      </x:c>
      <x:c r="ET36" s="1053" t="str">
        <x:f t="shared" si="74"/>
        <x:v/>
      </x:c>
      <x:c r="EU36" s="1061" t="str">
        <x:f t="shared" si="75"/>
        <x:v/>
      </x:c>
      <x:c r="EV36" s="1055" t="str">
        <x:f t="shared" si="76"/>
        <x:v/>
      </x:c>
      <x:c r="EW36" s="1061"/>
      <x:c r="EX36" s="1061" t="str">
        <x:f>IF(AND(CU36="G", ISBLANK(BK36), ISBLANK(BL36)),VLOOKUP(MIN(BH36:BI36),TblJoistSize!$M$3:$N$10,2),IF(OR(CU36="B",CU36="G"),MIN(BK36:BL36),""))</x:f>
        <x:v/>
      </x:c>
      <x:c r="EY36" s="1061" t="str">
        <x:f>IF(AND(CU36="G", ISBLANK(BK36), ISBLANK(BL36)),VLOOKUP(MAX(BH36:BI36),TblJoistSize!$M$3:$N$10,2),IF(OR(CU36="B",CU36="G"),MAX(BK36:BL36),""))</x:f>
        <x:v/>
      </x:c>
      <x:c r="EZ36" s="1061" t="str">
        <x:f t="shared" si="77"/>
        <x:v/>
      </x:c>
      <x:c r="FA36" s="1061" t="str">
        <x:f>IF(AND(DE36="G", ISBLANK(BS36), ISBLANK(BT36)),VLOOKUP(MIN(BP36:BQ36),TblJoistSize!$M$3:$N$10,2),IF(OR(DE36="B", DE36="G"),MIN(BS36:BT36),""))</x:f>
        <x:v/>
      </x:c>
      <x:c r="FB36" s="1061" t="str">
        <x:f>IF(AND(DE36="G", ISBLANK(BS36), ISBLANK(BT36)),VLOOKUP(MAX(BP36:BQ36),TblJoistSize!$M$3:$N$10,2),IF(OR(DE36="B", DE36="G"),MAX(BS36:BT36),""))</x:f>
        <x:v/>
      </x:c>
      <x:c r="FC36" s="1061" t="str">
        <x:f t="shared" si="78"/>
        <x:v/>
      </x:c>
      <x:c r="FD36" s="1052">
        <x:f t="shared" si="100"/>
        <x:v>0</x:v>
      </x:c>
      <x:c r="FE36" s="1052">
        <x:f t="shared" si="79"/>
        <x:v>0</x:v>
      </x:c>
      <x:c r="FF36" s="1052">
        <x:f t="shared" si="80"/>
        <x:v>0</x:v>
      </x:c>
      <x:c r="FG36" s="1052" t="str">
        <x:f t="shared" si="81"/>
        <x:v/>
      </x:c>
      <x:c r="FH36" s="1053" t="str">
        <x:f t="shared" si="82"/>
        <x:v/>
      </x:c>
      <x:c r="FI36" s="1052">
        <x:f t="shared" si="101"/>
        <x:v>0</x:v>
      </x:c>
      <x:c r="FJ36" s="1052">
        <x:f t="shared" si="83"/>
        <x:v>0</x:v>
      </x:c>
      <x:c r="FK36" s="1052">
        <x:f t="shared" si="84"/>
        <x:v>0</x:v>
      </x:c>
      <x:c r="FL36" s="1052" t="str">
        <x:f t="shared" si="85"/>
        <x:v/>
      </x:c>
      <x:c r="FM36" s="1053" t="str">
        <x:f t="shared" si="86"/>
        <x:v/>
      </x:c>
      <x:c r="FN36" s="1053" t="e">
        <x:f t="shared" si="87"/>
        <x:v>#VALUE!</x:v>
      </x:c>
      <x:c r="FO36" s="1062" t="e">
        <x:f t="shared" si="88"/>
        <x:v>#VALUE!</x:v>
      </x:c>
      <x:c r="FP36" s="1062" t="e">
        <x:f t="shared" si="89"/>
        <x:v>#VALUE!</x:v>
      </x:c>
      <x:c r="FQ36" s="1063" t="e">
        <x:f t="shared" si="90"/>
        <x:v>#VALUE!</x:v>
      </x:c>
      <x:c r="FR36" s="1064" t="e">
        <x:f t="shared" si="91"/>
        <x:v>#VALUE!</x:v>
      </x:c>
      <x:c r="FS36" s="1065" t="str">
        <x:f t="shared" si="92"/>
        <x:v/>
      </x:c>
      <x:c r="FT36" s="1066" t="str">
        <x:f t="shared" si="93"/>
        <x:v/>
      </x:c>
      <x:c r="FU36" s="1105">
        <x:f t="shared" si="94"/>
        <x:v>0</x:v>
      </x:c>
      <x:c r="FV36" s="1106">
        <x:f t="shared" si="95"/>
        <x:v>0</x:v>
      </x:c>
      <x:c r="GA36" s="1975" t="str">
        <x:f t="shared" ref="GA36:GA45" si="118">IF(GF36="","",BE36)</x:f>
        <x:v/>
      </x:c>
      <x:c r="GB36" s="1976" t="str">
        <x:f t="shared" ref="GB36:GB45" si="119">IF(GF36="","",BF36)</x:f>
        <x:v/>
      </x:c>
      <x:c r="GC36" s="1977" t="str">
        <x:f t="shared" ref="GC36:GC45" si="120">IF(GF36="","",IF(CV36="",0,CV36))</x:f>
        <x:v/>
      </x:c>
      <x:c r="GD36" s="1978" t="str">
        <x:f t="shared" ref="GD36:GD45" si="121">IF(GF36="","",IF(DF36="",0,DF36))</x:f>
        <x:v/>
      </x:c>
      <x:c r="GE36" s="1979" t="str">
        <x:f t="shared" ref="GE36:GE45" si="122">IF(GF36="","",BW36)</x:f>
        <x:v/>
      </x:c>
      <x:c r="GF36" s="1980" t="str">
        <x:f t="shared" si="96"/>
        <x:v/>
      </x:c>
      <x:c r="GG36" s="1453"/>
      <x:c r="GH36" s="1454"/>
      <x:c r="GI36" s="1453"/>
      <x:c r="GJ36" s="1454"/>
      <x:c r="GK36" s="533">
        <x:f t="shared" si="97"/>
        <x:v>0</x:v>
      </x:c>
      <x:c r="GL36" s="534" t="e">
        <x:f t="shared" si="98"/>
        <x:v>#VALUE!</x:v>
      </x:c>
      <x:c r="GM36" s="535" t="e">
        <x:f>IF(ABS(GK36-GL36)&gt;='Job Info.'!$L$22,ABS(GK36-GL36),0)</x:f>
        <x:v>#VALUE!</x:v>
      </x:c>
      <x:c r="HA36" s="1658"/>
      <x:c r="HB36" s="1659"/>
      <x:c r="HC36" s="1659"/>
      <x:c r="HD36" s="1660"/>
      <x:c r="HE36" s="1661"/>
      <x:c r="HF36" s="1659"/>
      <x:c r="HG36" s="1659"/>
      <x:c r="HH36" s="1659"/>
      <x:c r="HI36" s="1662"/>
      <x:c r="HJ36" s="1659"/>
      <x:c r="HK36" s="1659"/>
      <x:c r="HL36" s="1659"/>
      <x:c r="HM36" s="1659"/>
      <x:c r="HN36" s="1659"/>
      <x:c r="HO36" s="1659"/>
      <x:c r="HP36" s="1659"/>
      <x:c r="HQ36" s="1662"/>
      <x:c r="HR36" s="1659"/>
      <x:c r="HS36" s="1659"/>
      <x:c r="HT36" s="1659"/>
      <x:c r="HU36" s="1659"/>
      <x:c r="HV36" s="1659"/>
      <x:c r="HW36" s="1661"/>
      <x:c r="HX36" s="1661"/>
      <x:c r="HY36" s="1661"/>
      <x:c r="HZ36" s="1661"/>
      <x:c r="IA36" s="1661"/>
      <x:c r="IB36" s="1661"/>
      <x:c r="IC36" s="1661"/>
      <x:c r="ID36" s="1661"/>
      <x:c r="IE36" s="1661"/>
      <x:c r="IF36" s="1663"/>
    </x:row>
    <x:row r="37" spans="1:240" ht="12.6" customHeight="1" x14ac:dyDescent="0.25">
      <x:c r="A37" s="1264" t="str">
        <x:f t="shared" si="110"/>
        <x:v/>
      </x:c>
      <x:c r="B37" s="1265"/>
      <x:c r="C37" s="1265" t="str">
        <x:f t="shared" si="111"/>
        <x:v/>
      </x:c>
      <x:c r="D37" s="1261" t="str">
        <x:f t="shared" si="112"/>
        <x:v/>
      </x:c>
      <x:c r="E37" s="1366" t="str">
        <x:f t="shared" si="113"/>
        <x:v/>
      </x:c>
      <x:c r="F37" s="1328" t="str">
        <x:f t="shared" si="102"/>
        <x:v/>
      </x:c>
      <x:c r="G37" s="1262" t="str">
        <x:f t="shared" si="103"/>
        <x:v/>
      </x:c>
      <x:c r="H37" s="1266" t="str">
        <x:f t="shared" si="104"/>
        <x:v/>
      </x:c>
      <x:c r="I37" s="1261" t="str">
        <x:f t="shared" si="114"/>
        <x:v/>
      </x:c>
      <x:c r="J37" s="1262" t="str">
        <x:f t="shared" si="115"/>
        <x:v/>
      </x:c>
      <x:c r="K37" s="1370" t="str">
        <x:f t="shared" si="116"/>
        <x:v/>
      </x:c>
      <x:c r="L37" s="1327" t="str">
        <x:f t="shared" si="117"/>
        <x:v/>
      </x:c>
      <x:c r="M37" s="1329" t="str">
        <x:f t="shared" si="117"/>
        <x:v/>
      </x:c>
      <x:c r="N37" s="1263" t="str">
        <x:f t="shared" si="1"/>
        <x:v/>
      </x:c>
      <x:c r="O37" s="1262" t="str">
        <x:f t="shared" si="2"/>
        <x:v/>
      </x:c>
      <x:c r="P37" s="1260" t="str">
        <x:f t="shared" si="3"/>
        <x:v/>
      </x:c>
      <x:c r="Q37" s="1261" t="str">
        <x:f t="shared" si="4"/>
        <x:v/>
      </x:c>
      <x:c r="R37" s="1262" t="str">
        <x:f t="shared" si="5"/>
        <x:v/>
      </x:c>
      <x:c r="S37" s="1375" t="str">
        <x:f t="shared" si="6"/>
        <x:v/>
      </x:c>
      <x:c r="T37" s="1328" t="str">
        <x:f t="shared" si="105"/>
        <x:v/>
      </x:c>
      <x:c r="U37" s="1262" t="str">
        <x:f t="shared" si="106"/>
        <x:v/>
      </x:c>
      <x:c r="V37" s="1261" t="str">
        <x:f t="shared" si="107"/>
        <x:v/>
      </x:c>
      <x:c r="W37" s="1262" t="str">
        <x:f t="shared" si="108"/>
        <x:v/>
      </x:c>
      <x:c r="X37" s="1329">
        <x:f t="shared" si="109"/>
        <x:v>0</x:v>
      </x:c>
      <x:c r="Y37" s="1377" t="str">
        <x:f t="shared" si="7"/>
        <x:v/>
      </x:c>
      <x:c r="Z37" s="1378" t="str">
        <x:f t="shared" si="8"/>
        <x:v/>
      </x:c>
      <x:c r="AA37" s="2159"/>
      <x:c r="AC37" s="1226" t="b">
        <x:v>0</x:v>
      </x:c>
      <x:c r="AD37" s="525">
        <x:f t="shared" si="9"/>
        <x:v>0</x:v>
      </x:c>
      <x:c r="AE37" s="526">
        <x:f t="shared" si="10"/>
        <x:v>0</x:v>
      </x:c>
      <x:c r="AF37" s="526">
        <x:f t="shared" si="11"/>
        <x:v>0</x:v>
      </x:c>
      <x:c r="AG37" s="526">
        <x:f t="shared" si="12"/>
        <x:v>0</x:v>
      </x:c>
      <x:c r="AH37" s="527">
        <x:f t="shared" si="13"/>
        <x:v>0</x:v>
      </x:c>
      <x:c r="AI37" s="528" t="b">
        <x:v>0</x:v>
      </x:c>
      <x:c r="AJ37" s="284">
        <x:f t="shared" si="14"/>
        <x:v>0</x:v>
      </x:c>
      <x:c r="AK37" s="1063" t="str">
        <x:f t="shared" si="15"/>
        <x:v/>
      </x:c>
      <x:c r="AL37" s="1202" t="str">
        <x:f t="shared" si="16"/>
        <x:v/>
      </x:c>
      <x:c r="AM37" s="1063" t="str">
        <x:f t="shared" si="17"/>
        <x:v/>
      </x:c>
      <x:c r="AN37" s="1063" t="str">
        <x:f t="shared" si="18"/>
        <x:v/>
      </x:c>
      <x:c r="AO37" s="1063" t="str">
        <x:f t="shared" si="19"/>
        <x:v/>
      </x:c>
      <x:c r="AP37" s="1063" t="b">
        <x:f>IF(ISERROR(AJ37),FALSE,IF(OR(AJ37=0,ISERROR(AL37),ISERROR(AM37),ISERROR(AN37),ISERROR(AO37)),FALSE,IF(AL37&lt;&gt;"",IF(ISERROR(VLOOKUP(SUBSTITUTE(SUBSTITUTE(C37,"R",""),"A",""),TblJoistSize!$A:$A,1,FALSE)),FALSE,TRUE),TRUE)))</x:f>
        <x:v>0</x:v>
      </x:c>
      <x:c r="AQ37" s="1305" t="e">
        <x:f t="shared" si="20"/>
        <x:v>#N/A</x:v>
      </x:c>
      <x:c r="AR37" s="1305" t="b">
        <x:f t="shared" si="21"/>
        <x:v>0</x:v>
      </x:c>
      <x:c r="AS37" s="1305" t="e">
        <x:f t="shared" si="22"/>
        <x:v>#N/A</x:v>
      </x:c>
      <x:c r="AT37" s="1305" t="b">
        <x:f t="shared" si="23"/>
        <x:v>0</x:v>
      </x:c>
      <x:c r="AU37" s="1203" t="str">
        <x:f t="shared" si="24"/>
        <x:v/>
      </x:c>
      <x:c r="AV37" s="1063" t="str">
        <x:f t="shared" si="25"/>
        <x:v/>
      </x:c>
      <x:c r="AW37" s="1063" t="str">
        <x:f t="shared" si="26"/>
        <x:v/>
      </x:c>
      <x:c r="AX37" s="1063" t="str">
        <x:f t="shared" si="99"/>
        <x:v/>
      </x:c>
      <x:c r="AY37" s="1306" t="b">
        <x:f t="shared" si="27"/>
        <x:v>0</x:v>
      </x:c>
      <x:c r="AZ37" s="1090" t="str">
        <x:f t="shared" si="28"/>
        <x:v/>
      </x:c>
      <x:c r="BA37" s="674"/>
      <x:c r="BB37" s="842"/>
      <x:c r="BC37" s="894"/>
      <x:c r="BD37" s="926"/>
      <x:c r="BE37" s="927"/>
      <x:c r="BF37" s="928"/>
      <x:c r="BG37" s="901"/>
      <x:c r="BH37" s="1244"/>
      <x:c r="BI37" s="1245"/>
      <x:c r="BJ37" s="929"/>
      <x:c r="BK37" s="902"/>
      <x:c r="BL37" s="903"/>
      <x:c r="BM37" s="904"/>
      <x:c r="BN37" s="905"/>
      <x:c r="BO37" s="901"/>
      <x:c r="BP37" s="902"/>
      <x:c r="BQ37" s="903"/>
      <x:c r="BR37" s="929"/>
      <x:c r="BS37" s="902"/>
      <x:c r="BT37" s="903"/>
      <x:c r="BU37" s="904"/>
      <x:c r="BV37" s="905"/>
      <x:c r="BW37" s="906"/>
      <x:c r="BX37" s="930"/>
      <x:c r="BY37" s="931"/>
      <x:c r="BZ37" s="932"/>
      <x:c r="CA37" s="933"/>
      <x:c r="CB37" s="932"/>
      <x:c r="CC37" s="933"/>
      <x:c r="CD37" s="934" t="str">
        <x:f t="shared" si="29"/>
        <x:v/>
      </x:c>
      <x:c r="CE37" s="935" t="str">
        <x:f t="shared" si="30"/>
        <x:v/>
      </x:c>
      <x:c r="CF37" s="1149"/>
      <x:c r="CG37" s="1150"/>
      <x:c r="CH37" s="738" t="str">
        <x:f t="shared" si="31"/>
        <x:v/>
      </x:c>
      <x:c r="CI37" s="739" t="str">
        <x:f t="shared" si="32"/>
        <x:v/>
      </x:c>
      <x:c r="CJ37" s="740" t="str">
        <x:f t="shared" si="33"/>
        <x:v/>
      </x:c>
      <x:c r="CK37" s="741" t="str">
        <x:f t="shared" si="34"/>
        <x:v/>
      </x:c>
      <x:c r="CL37" s="742" t="str">
        <x:f t="shared" si="35"/>
        <x:v/>
      </x:c>
      <x:c r="CM37" s="743" t="str">
        <x:f t="shared" si="36"/>
        <x:v/>
      </x:c>
      <x:c r="CN37" s="744" t="str">
        <x:f t="shared" si="37"/>
        <x:v/>
      </x:c>
      <x:c r="CO37" s="745" t="str">
        <x:f t="shared" si="38"/>
        <x:v/>
      </x:c>
      <x:c r="CP37" s="762" t="str">
        <x:f t="shared" si="39"/>
        <x:v/>
      </x:c>
      <x:c r="CQ37" s="763" t="str">
        <x:f t="shared" si="40"/>
        <x:v/>
      </x:c>
      <x:c r="CR37" s="953" t="str">
        <x:f t="shared" si="41"/>
        <x:v/>
      </x:c>
      <x:c r="CS37" s="954" t="str">
        <x:f t="shared" si="42"/>
        <x:v/>
      </x:c>
      <x:c r="CU37" s="1048" t="str">
        <x:f>IF(BG37="","",VLOOKUP(BG37,SectInfo!$B:$N,12,FALSE))</x:f>
        <x:v/>
      </x:c>
      <x:c r="CV37" s="1046" t="str">
        <x:f>IF(BG37="","",IF(ISBLANK(BZ37),VLOOKUP(BG37,SectInfo!$B:$N,13,FALSE),BZ37))</x:f>
        <x:v/>
      </x:c>
      <x:c r="CW37" s="1046" t="str">
        <x:f>IF(BG37="","",IF(VLOOKUP(BG37,SectInfo!$B:$N,5,FALSE)="","R",UPPER(VLOOKUP(BG37,SectInfo!$B:$N,5,FALSE))))</x:f>
        <x:v/>
      </x:c>
      <x:c r="CX37" s="1046" t="str">
        <x:f>IF(BG37="","",IF(ISBLANK(CF37),VLOOKUP(BG37,SectInfo!$B:$N,6,FALSE),CF37))</x:f>
        <x:v/>
      </x:c>
      <x:c r="CY37" s="1276" t="str">
        <x:f>IF(BG37="","",IF(VLOOKUP(BG37,SectInfo!$B:$N,10,FALSE)="","",(VLOOKUP(BG37,SectInfo!$B:$N,10,FALSE)*-1)))</x:f>
        <x:v/>
      </x:c>
      <x:c r="CZ37" s="1443" t="str">
        <x:f>IF(BG37="","",IF(VLOOKUP(BG37,SectInfo!$B:$N,11,FALSE)="","2",(VLOOKUP(BG37,SectInfo!$B:$N,11,FALSE))))</x:f>
        <x:v/>
      </x:c>
      <x:c r="DA37" s="1046" t="str">
        <x:f>IF(BG37="","",IF(VLOOKUP(BG37,SectInfo!$B:$N,7,FALSE)="","",(VLOOKUP(BG37,SectInfo!$B:$N,7,FALSE)*-1)))</x:f>
        <x:v/>
      </x:c>
      <x:c r="DB37" s="1046" t="str">
        <x:f>IF(BG37="","",IF(VLOOKUP(BG37,SectInfo!$B:$N,8,FALSE)="",VLOOKUP(AU37,$DF$2:$DN$9,6,FALSE),(VLOOKUP(BG37,SectInfo!$B:$N,8,FALSE))))</x:f>
        <x:v/>
      </x:c>
      <x:c r="DC37" s="1046" t="str">
        <x:f>IF(BG37="","",VLOOKUP(BG37,SectInfo!$B:$N,9,FALSE))</x:f>
        <x:v/>
      </x:c>
      <x:c r="DD37" s="1047">
        <x:f t="shared" si="43"/>
        <x:v>0</x:v>
      </x:c>
      <x:c r="DE37" s="1048" t="str">
        <x:f>IF(BO37="","",VLOOKUP(BO37,SectInfo!$B:$N,12,FALSE))</x:f>
        <x:v/>
      </x:c>
      <x:c r="DF37" s="1046" t="str">
        <x:f>IF(BO37="","",IF(ISBLANK(CA37),VLOOKUP(BO37,SectInfo!$B:$N,13,FALSE),CA37))</x:f>
        <x:v/>
      </x:c>
      <x:c r="DG37" s="1046" t="str">
        <x:f>IF(BO37="","",IF(VLOOKUP(BO37,SectInfo!$B:$N,5,FALSE)="","R",UPPER(VLOOKUP(BO37,SectInfo!$B:$N,5,FALSE))))</x:f>
        <x:v/>
      </x:c>
      <x:c r="DH37" s="1046" t="str">
        <x:f>IF(BO37="","",IF(ISBLANK(CG37),VLOOKUP(BO37,SectInfo!$B:$N,6,FALSE),CG37))</x:f>
        <x:v/>
      </x:c>
      <x:c r="DI37" s="1046" t="str">
        <x:f>IF(BO37="","",IF(VLOOKUP(BO37,SectInfo!$B:$N,10,FALSE)="","",(VLOOKUP(BO37,SectInfo!$B:$N,10,FALSE)*-1)))</x:f>
        <x:v/>
      </x:c>
      <x:c r="DJ37" s="1443" t="str">
        <x:f>IF(BO37="","",IF(VLOOKUP(BO37,SectInfo!$B:$N,11,FALSE)="","2",(VLOOKUP(BO37,SectInfo!$B:$N,11,FALSE))))</x:f>
        <x:v/>
      </x:c>
      <x:c r="DK37" s="1046" t="str">
        <x:f>IF(BO37="","",IF(VLOOKUP(BO37,SectInfo!$B:$N,7,FALSE)="","",(VLOOKUP(BO37,SectInfo!$B:$N,7,FALSE)*-1)))</x:f>
        <x:v/>
      </x:c>
      <x:c r="DL37" s="1046" t="str">
        <x:f>IF(BO37="","",IF(VLOOKUP(BO37,SectInfo!$B:$N,8,FALSE)="",VLOOKUP(AU37,$DF$2:$DN$9,6,FALSE),(VLOOKUP(BO37,SectInfo!$B:$N,8,FALSE))))</x:f>
        <x:v/>
      </x:c>
      <x:c r="DM37" s="1046" t="str">
        <x:f>IF(BO37="","",VLOOKUP(BO37,SectInfo!$B:$N,9,FALSE))</x:f>
        <x:v/>
      </x:c>
      <x:c r="DN37" s="1047">
        <x:f t="shared" si="44"/>
        <x:v>0</x:v>
      </x:c>
      <x:c r="DO37" s="1049">
        <x:f t="shared" si="45"/>
        <x:v>0</x:v>
      </x:c>
      <x:c r="DP37" s="1053" t="str">
        <x:f t="shared" si="46"/>
        <x:v/>
      </x:c>
      <x:c r="DQ37" s="1053" t="str">
        <x:f t="shared" si="47"/>
        <x:v/>
      </x:c>
      <x:c r="DR37" s="1053" t="str">
        <x:f t="shared" si="48"/>
        <x:v/>
      </x:c>
      <x:c r="DS37" s="1052">
        <x:f t="shared" si="49"/>
        <x:v>0</x:v>
      </x:c>
      <x:c r="DT37" s="1052">
        <x:f t="shared" si="50"/>
        <x:v>0</x:v>
      </x:c>
      <x:c r="DU37" s="1052" t="str">
        <x:f t="shared" si="51"/>
        <x:v/>
      </x:c>
      <x:c r="DV37" s="1053" t="str">
        <x:f t="shared" si="52"/>
        <x:v/>
      </x:c>
      <x:c r="DW37" s="1053" t="str">
        <x:f t="shared" si="53"/>
        <x:v/>
      </x:c>
      <x:c r="DX37" s="1269">
        <x:f t="shared" si="54"/>
        <x:v>0</x:v>
      </x:c>
      <x:c r="DY37" s="1053">
        <x:f t="shared" si="55"/>
        <x:v>0</x:v>
      </x:c>
      <x:c r="DZ37" s="1052">
        <x:f t="shared" si="56"/>
        <x:v>0</x:v>
      </x:c>
      <x:c r="EA37" s="1052" t="str">
        <x:f t="shared" si="57"/>
        <x:v/>
      </x:c>
      <x:c r="EB37" s="1053" t="str">
        <x:f t="shared" si="58"/>
        <x:v/>
      </x:c>
      <x:c r="EC37" s="1053" t="str">
        <x:f t="shared" si="59"/>
        <x:v/>
      </x:c>
      <x:c r="ED37" s="1269">
        <x:f t="shared" si="60"/>
        <x:v>0</x:v>
      </x:c>
      <x:c r="EE37" s="1090" t="str">
        <x:f t="shared" si="61"/>
        <x:v/>
      </x:c>
      <x:c r="EF37" s="1053" t="str">
        <x:f t="shared" si="62"/>
        <x:v/>
      </x:c>
      <x:c r="EG37" s="1053" t="str">
        <x:f t="shared" si="63"/>
        <x:v/>
      </x:c>
      <x:c r="EH37" s="1053" t="e">
        <x:f t="shared" si="64"/>
        <x:v>#N/A</x:v>
      </x:c>
      <x:c r="EI37" s="1053" t="e">
        <x:f t="shared" si="65"/>
        <x:v>#N/A</x:v>
      </x:c>
      <x:c r="EJ37" s="1053" t="str">
        <x:f t="shared" si="66"/>
        <x:v/>
      </x:c>
      <x:c r="EK37" s="1053" t="str">
        <x:f t="shared" si="66"/>
        <x:v/>
      </x:c>
      <x:c r="EL37" s="1090" t="str">
        <x:f t="shared" si="67"/>
        <x:v/>
      </x:c>
      <x:c r="EM37" s="1053" t="str">
        <x:f t="shared" si="68"/>
        <x:v/>
      </x:c>
      <x:c r="EN37" s="1053" t="str">
        <x:f t="shared" si="69"/>
        <x:v/>
      </x:c>
      <x:c r="EO37" s="1053" t="e">
        <x:f t="shared" si="70"/>
        <x:v>#N/A</x:v>
      </x:c>
      <x:c r="EP37" s="1053" t="e">
        <x:f t="shared" si="71"/>
        <x:v>#N/A</x:v>
      </x:c>
      <x:c r="EQ37" s="1053" t="str">
        <x:f t="shared" si="72"/>
        <x:v/>
      </x:c>
      <x:c r="ER37" s="1053" t="str">
        <x:f t="shared" si="72"/>
        <x:v/>
      </x:c>
      <x:c r="ES37" s="1053" t="str">
        <x:f t="shared" si="73"/>
        <x:v/>
      </x:c>
      <x:c r="ET37" s="1053" t="str">
        <x:f t="shared" si="74"/>
        <x:v/>
      </x:c>
      <x:c r="EU37" s="1061" t="str">
        <x:f t="shared" si="75"/>
        <x:v/>
      </x:c>
      <x:c r="EV37" s="1055" t="str">
        <x:f t="shared" si="76"/>
        <x:v/>
      </x:c>
      <x:c r="EW37" s="1061"/>
      <x:c r="EX37" s="1061" t="str">
        <x:f>IF(AND(CU37="G", ISBLANK(BK37), ISBLANK(BL37)),VLOOKUP(MIN(BH37:BI37),TblJoistSize!$M$3:$N$10,2),IF(OR(CU37="B",CU37="G"),MIN(BK37:BL37),""))</x:f>
        <x:v/>
      </x:c>
      <x:c r="EY37" s="1061" t="str">
        <x:f>IF(AND(CU37="G", ISBLANK(BK37), ISBLANK(BL37)),VLOOKUP(MAX(BH37:BI37),TblJoistSize!$M$3:$N$10,2),IF(OR(CU37="B",CU37="G"),MAX(BK37:BL37),""))</x:f>
        <x:v/>
      </x:c>
      <x:c r="EZ37" s="1061" t="str">
        <x:f t="shared" si="77"/>
        <x:v/>
      </x:c>
      <x:c r="FA37" s="1061" t="str">
        <x:f>IF(AND(DE37="G", ISBLANK(BS37), ISBLANK(BT37)),VLOOKUP(MIN(BP37:BQ37),TblJoistSize!$M$3:$N$10,2),IF(OR(DE37="B", DE37="G"),MIN(BS37:BT37),""))</x:f>
        <x:v/>
      </x:c>
      <x:c r="FB37" s="1061" t="str">
        <x:f>IF(AND(DE37="G", ISBLANK(BS37), ISBLANK(BT37)),VLOOKUP(MAX(BP37:BQ37),TblJoistSize!$M$3:$N$10,2),IF(OR(DE37="B", DE37="G"),MAX(BS37:BT37),""))</x:f>
        <x:v/>
      </x:c>
      <x:c r="FC37" s="1061" t="str">
        <x:f t="shared" si="78"/>
        <x:v/>
      </x:c>
      <x:c r="FD37" s="1052">
        <x:f t="shared" si="100"/>
        <x:v>0</x:v>
      </x:c>
      <x:c r="FE37" s="1052">
        <x:f t="shared" si="79"/>
        <x:v>0</x:v>
      </x:c>
      <x:c r="FF37" s="1052">
        <x:f t="shared" si="80"/>
        <x:v>0</x:v>
      </x:c>
      <x:c r="FG37" s="1052" t="str">
        <x:f t="shared" si="81"/>
        <x:v/>
      </x:c>
      <x:c r="FH37" s="1053" t="str">
        <x:f t="shared" si="82"/>
        <x:v/>
      </x:c>
      <x:c r="FI37" s="1052">
        <x:f t="shared" si="101"/>
        <x:v>0</x:v>
      </x:c>
      <x:c r="FJ37" s="1052">
        <x:f t="shared" si="83"/>
        <x:v>0</x:v>
      </x:c>
      <x:c r="FK37" s="1052">
        <x:f t="shared" si="84"/>
        <x:v>0</x:v>
      </x:c>
      <x:c r="FL37" s="1052" t="str">
        <x:f t="shared" si="85"/>
        <x:v/>
      </x:c>
      <x:c r="FM37" s="1053" t="str">
        <x:f t="shared" si="86"/>
        <x:v/>
      </x:c>
      <x:c r="FN37" s="1053" t="e">
        <x:f t="shared" si="87"/>
        <x:v>#VALUE!</x:v>
      </x:c>
      <x:c r="FO37" s="1062" t="e">
        <x:f t="shared" si="88"/>
        <x:v>#VALUE!</x:v>
      </x:c>
      <x:c r="FP37" s="1062" t="e">
        <x:f t="shared" si="89"/>
        <x:v>#VALUE!</x:v>
      </x:c>
      <x:c r="FQ37" s="1063" t="e">
        <x:f t="shared" si="90"/>
        <x:v>#VALUE!</x:v>
      </x:c>
      <x:c r="FR37" s="1064" t="e">
        <x:f t="shared" si="91"/>
        <x:v>#VALUE!</x:v>
      </x:c>
      <x:c r="FS37" s="1065" t="str">
        <x:f t="shared" si="92"/>
        <x:v/>
      </x:c>
      <x:c r="FT37" s="1066" t="str">
        <x:f t="shared" si="93"/>
        <x:v/>
      </x:c>
      <x:c r="FU37" s="1105">
        <x:f t="shared" si="94"/>
        <x:v>0</x:v>
      </x:c>
      <x:c r="FV37" s="1106">
        <x:f t="shared" si="95"/>
        <x:v>0</x:v>
      </x:c>
      <x:c r="GA37" s="1975" t="str">
        <x:f t="shared" si="118"/>
        <x:v/>
      </x:c>
      <x:c r="GB37" s="1976" t="str">
        <x:f t="shared" si="119"/>
        <x:v/>
      </x:c>
      <x:c r="GC37" s="1977" t="str">
        <x:f t="shared" si="120"/>
        <x:v/>
      </x:c>
      <x:c r="GD37" s="1978" t="str">
        <x:f t="shared" si="121"/>
        <x:v/>
      </x:c>
      <x:c r="GE37" s="1979" t="str">
        <x:f t="shared" si="122"/>
        <x:v/>
      </x:c>
      <x:c r="GF37" s="1980" t="str">
        <x:f t="shared" si="96"/>
        <x:v/>
      </x:c>
      <x:c r="GG37" s="1453"/>
      <x:c r="GH37" s="1454"/>
      <x:c r="GI37" s="1453"/>
      <x:c r="GJ37" s="1454"/>
      <x:c r="GK37" s="533">
        <x:f t="shared" si="97"/>
        <x:v>0</x:v>
      </x:c>
      <x:c r="GL37" s="534" t="e">
        <x:f t="shared" si="98"/>
        <x:v>#VALUE!</x:v>
      </x:c>
      <x:c r="GM37" s="535" t="e">
        <x:f>IF(ABS(GK37-GL37)&gt;='Job Info.'!$L$22,ABS(GK37-GL37),0)</x:f>
        <x:v>#VALUE!</x:v>
      </x:c>
      <x:c r="HA37" s="1658"/>
      <x:c r="HB37" s="1659"/>
      <x:c r="HC37" s="1659"/>
      <x:c r="HD37" s="1660"/>
      <x:c r="HE37" s="1661"/>
      <x:c r="HF37" s="1659"/>
      <x:c r="HG37" s="1659"/>
      <x:c r="HH37" s="1659"/>
      <x:c r="HI37" s="1662"/>
      <x:c r="HJ37" s="1659"/>
      <x:c r="HK37" s="1659"/>
      <x:c r="HL37" s="1659"/>
      <x:c r="HM37" s="1659"/>
      <x:c r="HN37" s="1659"/>
      <x:c r="HO37" s="1659"/>
      <x:c r="HP37" s="1659"/>
      <x:c r="HQ37" s="1662"/>
      <x:c r="HR37" s="1659"/>
      <x:c r="HS37" s="1659"/>
      <x:c r="HT37" s="1659"/>
      <x:c r="HU37" s="1659"/>
      <x:c r="HV37" s="1659"/>
      <x:c r="HW37" s="1661"/>
      <x:c r="HX37" s="1661"/>
      <x:c r="HY37" s="1661"/>
      <x:c r="HZ37" s="1661"/>
      <x:c r="IA37" s="1661"/>
      <x:c r="IB37" s="1661"/>
      <x:c r="IC37" s="1661"/>
      <x:c r="ID37" s="1661"/>
      <x:c r="IE37" s="1661"/>
      <x:c r="IF37" s="1663"/>
    </x:row>
    <x:row r="38" spans="1:240" ht="12.6" customHeight="1" x14ac:dyDescent="0.25">
      <x:c r="A38" s="1264" t="str">
        <x:f t="shared" si="110"/>
        <x:v/>
      </x:c>
      <x:c r="B38" s="1265"/>
      <x:c r="C38" s="1265" t="str">
        <x:f t="shared" si="111"/>
        <x:v/>
      </x:c>
      <x:c r="D38" s="1261" t="str">
        <x:f t="shared" si="112"/>
        <x:v/>
      </x:c>
      <x:c r="E38" s="1366" t="str">
        <x:f t="shared" si="113"/>
        <x:v/>
      </x:c>
      <x:c r="F38" s="1328" t="str">
        <x:f t="shared" si="102"/>
        <x:v/>
      </x:c>
      <x:c r="G38" s="1262" t="str">
        <x:f t="shared" si="103"/>
        <x:v/>
      </x:c>
      <x:c r="H38" s="1266" t="str">
        <x:f t="shared" si="104"/>
        <x:v/>
      </x:c>
      <x:c r="I38" s="1261" t="str">
        <x:f t="shared" si="114"/>
        <x:v/>
      </x:c>
      <x:c r="J38" s="1262" t="str">
        <x:f t="shared" si="115"/>
        <x:v/>
      </x:c>
      <x:c r="K38" s="1370" t="str">
        <x:f t="shared" si="116"/>
        <x:v/>
      </x:c>
      <x:c r="L38" s="1327" t="str">
        <x:f t="shared" si="117"/>
        <x:v/>
      </x:c>
      <x:c r="M38" s="1329" t="str">
        <x:f t="shared" si="117"/>
        <x:v/>
      </x:c>
      <x:c r="N38" s="1263" t="str">
        <x:f t="shared" si="1"/>
        <x:v/>
      </x:c>
      <x:c r="O38" s="1262" t="str">
        <x:f t="shared" si="2"/>
        <x:v/>
      </x:c>
      <x:c r="P38" s="1260" t="str">
        <x:f t="shared" si="3"/>
        <x:v/>
      </x:c>
      <x:c r="Q38" s="1261" t="str">
        <x:f t="shared" si="4"/>
        <x:v/>
      </x:c>
      <x:c r="R38" s="1262" t="str">
        <x:f t="shared" si="5"/>
        <x:v/>
      </x:c>
      <x:c r="S38" s="1375" t="str">
        <x:f t="shared" si="6"/>
        <x:v/>
      </x:c>
      <x:c r="T38" s="1328" t="str">
        <x:f t="shared" si="105"/>
        <x:v/>
      </x:c>
      <x:c r="U38" s="1262" t="str">
        <x:f t="shared" si="106"/>
        <x:v/>
      </x:c>
      <x:c r="V38" s="1261" t="str">
        <x:f t="shared" si="107"/>
        <x:v/>
      </x:c>
      <x:c r="W38" s="1262" t="str">
        <x:f t="shared" si="108"/>
        <x:v/>
      </x:c>
      <x:c r="X38" s="1329">
        <x:f t="shared" si="109"/>
        <x:v>0</x:v>
      </x:c>
      <x:c r="Y38" s="1377" t="str">
        <x:f t="shared" si="7"/>
        <x:v/>
      </x:c>
      <x:c r="Z38" s="1378" t="str">
        <x:f t="shared" si="8"/>
        <x:v/>
      </x:c>
      <x:c r="AA38" s="2159"/>
      <x:c r="AC38" s="1226" t="b">
        <x:v>0</x:v>
      </x:c>
      <x:c r="AD38" s="525">
        <x:f t="shared" si="9"/>
        <x:v>0</x:v>
      </x:c>
      <x:c r="AE38" s="526">
        <x:f t="shared" si="10"/>
        <x:v>0</x:v>
      </x:c>
      <x:c r="AF38" s="526">
        <x:f t="shared" si="11"/>
        <x:v>0</x:v>
      </x:c>
      <x:c r="AG38" s="526">
        <x:f t="shared" si="12"/>
        <x:v>0</x:v>
      </x:c>
      <x:c r="AH38" s="527">
        <x:f t="shared" si="13"/>
        <x:v>0</x:v>
      </x:c>
      <x:c r="AI38" s="528" t="b">
        <x:v>0</x:v>
      </x:c>
      <x:c r="AJ38" s="284">
        <x:f t="shared" si="14"/>
        <x:v>0</x:v>
      </x:c>
      <x:c r="AK38" s="1063" t="str">
        <x:f t="shared" si="15"/>
        <x:v/>
      </x:c>
      <x:c r="AL38" s="1202" t="str">
        <x:f t="shared" si="16"/>
        <x:v/>
      </x:c>
      <x:c r="AM38" s="1063" t="str">
        <x:f t="shared" si="17"/>
        <x:v/>
      </x:c>
      <x:c r="AN38" s="1063" t="str">
        <x:f t="shared" si="18"/>
        <x:v/>
      </x:c>
      <x:c r="AO38" s="1063" t="str">
        <x:f t="shared" si="19"/>
        <x:v/>
      </x:c>
      <x:c r="AP38" s="1063" t="b">
        <x:f>IF(ISERROR(AJ38),FALSE,IF(OR(AJ38=0,ISERROR(AL38),ISERROR(AM38),ISERROR(AN38),ISERROR(AO38)),FALSE,IF(AL38&lt;&gt;"",IF(ISERROR(VLOOKUP(SUBSTITUTE(SUBSTITUTE(C38,"R",""),"A",""),TblJoistSize!$A:$A,1,FALSE)),FALSE,TRUE),TRUE)))</x:f>
        <x:v>0</x:v>
      </x:c>
      <x:c r="AQ38" s="1305" t="e">
        <x:f t="shared" si="20"/>
        <x:v>#N/A</x:v>
      </x:c>
      <x:c r="AR38" s="1305" t="b">
        <x:f t="shared" si="21"/>
        <x:v>0</x:v>
      </x:c>
      <x:c r="AS38" s="1305" t="e">
        <x:f t="shared" si="22"/>
        <x:v>#N/A</x:v>
      </x:c>
      <x:c r="AT38" s="1305" t="b">
        <x:f t="shared" si="23"/>
        <x:v>0</x:v>
      </x:c>
      <x:c r="AU38" s="1203" t="str">
        <x:f t="shared" si="24"/>
        <x:v/>
      </x:c>
      <x:c r="AV38" s="1063" t="str">
        <x:f t="shared" si="25"/>
        <x:v/>
      </x:c>
      <x:c r="AW38" s="1063" t="str">
        <x:f t="shared" si="26"/>
        <x:v/>
      </x:c>
      <x:c r="AX38" s="1063" t="str">
        <x:f t="shared" si="99"/>
        <x:v/>
      </x:c>
      <x:c r="AY38" s="1306" t="b">
        <x:f t="shared" si="27"/>
        <x:v>0</x:v>
      </x:c>
      <x:c r="AZ38" s="1090" t="str">
        <x:f t="shared" si="28"/>
        <x:v/>
      </x:c>
      <x:c r="BA38" s="674"/>
      <x:c r="BB38" s="842"/>
      <x:c r="BC38" s="894"/>
      <x:c r="BD38" s="926"/>
      <x:c r="BE38" s="927"/>
      <x:c r="BF38" s="928"/>
      <x:c r="BG38" s="901"/>
      <x:c r="BH38" s="1244"/>
      <x:c r="BI38" s="1245"/>
      <x:c r="BJ38" s="929"/>
      <x:c r="BK38" s="902"/>
      <x:c r="BL38" s="903"/>
      <x:c r="BM38" s="904"/>
      <x:c r="BN38" s="905"/>
      <x:c r="BO38" s="901"/>
      <x:c r="BP38" s="902"/>
      <x:c r="BQ38" s="903"/>
      <x:c r="BR38" s="929"/>
      <x:c r="BS38" s="902"/>
      <x:c r="BT38" s="903"/>
      <x:c r="BU38" s="904"/>
      <x:c r="BV38" s="905"/>
      <x:c r="BW38" s="906"/>
      <x:c r="BX38" s="930"/>
      <x:c r="BY38" s="931"/>
      <x:c r="BZ38" s="932"/>
      <x:c r="CA38" s="933"/>
      <x:c r="CB38" s="932"/>
      <x:c r="CC38" s="933"/>
      <x:c r="CD38" s="934" t="str">
        <x:f t="shared" si="29"/>
        <x:v/>
      </x:c>
      <x:c r="CE38" s="935" t="str">
        <x:f t="shared" si="30"/>
        <x:v/>
      </x:c>
      <x:c r="CF38" s="1149"/>
      <x:c r="CG38" s="1150"/>
      <x:c r="CH38" s="738" t="str">
        <x:f t="shared" si="31"/>
        <x:v/>
      </x:c>
      <x:c r="CI38" s="739" t="str">
        <x:f t="shared" si="32"/>
        <x:v/>
      </x:c>
      <x:c r="CJ38" s="740" t="str">
        <x:f t="shared" si="33"/>
        <x:v/>
      </x:c>
      <x:c r="CK38" s="741" t="str">
        <x:f t="shared" si="34"/>
        <x:v/>
      </x:c>
      <x:c r="CL38" s="742" t="str">
        <x:f t="shared" si="35"/>
        <x:v/>
      </x:c>
      <x:c r="CM38" s="743" t="str">
        <x:f t="shared" si="36"/>
        <x:v/>
      </x:c>
      <x:c r="CN38" s="744" t="str">
        <x:f t="shared" si="37"/>
        <x:v/>
      </x:c>
      <x:c r="CO38" s="745" t="str">
        <x:f t="shared" si="38"/>
        <x:v/>
      </x:c>
      <x:c r="CP38" s="762" t="str">
        <x:f t="shared" si="39"/>
        <x:v/>
      </x:c>
      <x:c r="CQ38" s="763" t="str">
        <x:f t="shared" si="40"/>
        <x:v/>
      </x:c>
      <x:c r="CR38" s="953" t="str">
        <x:f t="shared" si="41"/>
        <x:v/>
      </x:c>
      <x:c r="CS38" s="954" t="str">
        <x:f t="shared" si="42"/>
        <x:v/>
      </x:c>
      <x:c r="CU38" s="1048" t="str">
        <x:f>IF(BG38="","",VLOOKUP(BG38,SectInfo!$B:$N,12,FALSE))</x:f>
        <x:v/>
      </x:c>
      <x:c r="CV38" s="1046" t="str">
        <x:f>IF(BG38="","",IF(ISBLANK(BZ38),VLOOKUP(BG38,SectInfo!$B:$N,13,FALSE),BZ38))</x:f>
        <x:v/>
      </x:c>
      <x:c r="CW38" s="1046" t="str">
        <x:f>IF(BG38="","",IF(VLOOKUP(BG38,SectInfo!$B:$N,5,FALSE)="","R",UPPER(VLOOKUP(BG38,SectInfo!$B:$N,5,FALSE))))</x:f>
        <x:v/>
      </x:c>
      <x:c r="CX38" s="1046" t="str">
        <x:f>IF(BG38="","",IF(ISBLANK(CF38),VLOOKUP(BG38,SectInfo!$B:$N,6,FALSE),CF38))</x:f>
        <x:v/>
      </x:c>
      <x:c r="CY38" s="1276" t="str">
        <x:f>IF(BG38="","",IF(VLOOKUP(BG38,SectInfo!$B:$N,10,FALSE)="","",(VLOOKUP(BG38,SectInfo!$B:$N,10,FALSE)*-1)))</x:f>
        <x:v/>
      </x:c>
      <x:c r="CZ38" s="1443" t="str">
        <x:f>IF(BG38="","",IF(VLOOKUP(BG38,SectInfo!$B:$N,11,FALSE)="","2",(VLOOKUP(BG38,SectInfo!$B:$N,11,FALSE))))</x:f>
        <x:v/>
      </x:c>
      <x:c r="DA38" s="1046" t="str">
        <x:f>IF(BG38="","",IF(VLOOKUP(BG38,SectInfo!$B:$N,7,FALSE)="","",(VLOOKUP(BG38,SectInfo!$B:$N,7,FALSE)*-1)))</x:f>
        <x:v/>
      </x:c>
      <x:c r="DB38" s="1046" t="str">
        <x:f>IF(BG38="","",IF(VLOOKUP(BG38,SectInfo!$B:$N,8,FALSE)="",VLOOKUP(AU38,$DF$2:$DN$9,6,FALSE),(VLOOKUP(BG38,SectInfo!$B:$N,8,FALSE))))</x:f>
        <x:v/>
      </x:c>
      <x:c r="DC38" s="1046" t="str">
        <x:f>IF(BG38="","",VLOOKUP(BG38,SectInfo!$B:$N,9,FALSE))</x:f>
        <x:v/>
      </x:c>
      <x:c r="DD38" s="1047">
        <x:f t="shared" si="43"/>
        <x:v>0</x:v>
      </x:c>
      <x:c r="DE38" s="1048" t="str">
        <x:f>IF(BO38="","",VLOOKUP(BO38,SectInfo!$B:$N,12,FALSE))</x:f>
        <x:v/>
      </x:c>
      <x:c r="DF38" s="1046" t="str">
        <x:f>IF(BO38="","",IF(ISBLANK(CA38),VLOOKUP(BO38,SectInfo!$B:$N,13,FALSE),CA38))</x:f>
        <x:v/>
      </x:c>
      <x:c r="DG38" s="1046" t="str">
        <x:f>IF(BO38="","",IF(VLOOKUP(BO38,SectInfo!$B:$N,5,FALSE)="","R",UPPER(VLOOKUP(BO38,SectInfo!$B:$N,5,FALSE))))</x:f>
        <x:v/>
      </x:c>
      <x:c r="DH38" s="1046" t="str">
        <x:f>IF(BO38="","",IF(ISBLANK(CG38),VLOOKUP(BO38,SectInfo!$B:$N,6,FALSE),CG38))</x:f>
        <x:v/>
      </x:c>
      <x:c r="DI38" s="1046" t="str">
        <x:f>IF(BO38="","",IF(VLOOKUP(BO38,SectInfo!$B:$N,10,FALSE)="","",(VLOOKUP(BO38,SectInfo!$B:$N,10,FALSE)*-1)))</x:f>
        <x:v/>
      </x:c>
      <x:c r="DJ38" s="1443" t="str">
        <x:f>IF(BO38="","",IF(VLOOKUP(BO38,SectInfo!$B:$N,11,FALSE)="","2",(VLOOKUP(BO38,SectInfo!$B:$N,11,FALSE))))</x:f>
        <x:v/>
      </x:c>
      <x:c r="DK38" s="1046" t="str">
        <x:f>IF(BO38="","",IF(VLOOKUP(BO38,SectInfo!$B:$N,7,FALSE)="","",(VLOOKUP(BO38,SectInfo!$B:$N,7,FALSE)*-1)))</x:f>
        <x:v/>
      </x:c>
      <x:c r="DL38" s="1046" t="str">
        <x:f>IF(BO38="","",IF(VLOOKUP(BO38,SectInfo!$B:$N,8,FALSE)="",VLOOKUP(AU38,$DF$2:$DN$9,6,FALSE),(VLOOKUP(BO38,SectInfo!$B:$N,8,FALSE))))</x:f>
        <x:v/>
      </x:c>
      <x:c r="DM38" s="1046" t="str">
        <x:f>IF(BO38="","",VLOOKUP(BO38,SectInfo!$B:$N,9,FALSE))</x:f>
        <x:v/>
      </x:c>
      <x:c r="DN38" s="1047">
        <x:f t="shared" si="44"/>
        <x:v>0</x:v>
      </x:c>
      <x:c r="DO38" s="1049">
        <x:f t="shared" si="45"/>
        <x:v>0</x:v>
      </x:c>
      <x:c r="DP38" s="1053" t="str">
        <x:f t="shared" si="46"/>
        <x:v/>
      </x:c>
      <x:c r="DQ38" s="1053" t="str">
        <x:f t="shared" si="47"/>
        <x:v/>
      </x:c>
      <x:c r="DR38" s="1053" t="str">
        <x:f t="shared" si="48"/>
        <x:v/>
      </x:c>
      <x:c r="DS38" s="1052">
        <x:f t="shared" si="49"/>
        <x:v>0</x:v>
      </x:c>
      <x:c r="DT38" s="1052">
        <x:f t="shared" si="50"/>
        <x:v>0</x:v>
      </x:c>
      <x:c r="DU38" s="1052" t="str">
        <x:f t="shared" si="51"/>
        <x:v/>
      </x:c>
      <x:c r="DV38" s="1053" t="str">
        <x:f t="shared" si="52"/>
        <x:v/>
      </x:c>
      <x:c r="DW38" s="1053" t="str">
        <x:f t="shared" si="53"/>
        <x:v/>
      </x:c>
      <x:c r="DX38" s="1269">
        <x:f t="shared" si="54"/>
        <x:v>0</x:v>
      </x:c>
      <x:c r="DY38" s="1053">
        <x:f t="shared" si="55"/>
        <x:v>0</x:v>
      </x:c>
      <x:c r="DZ38" s="1052">
        <x:f t="shared" si="56"/>
        <x:v>0</x:v>
      </x:c>
      <x:c r="EA38" s="1052" t="str">
        <x:f t="shared" si="57"/>
        <x:v/>
      </x:c>
      <x:c r="EB38" s="1053" t="str">
        <x:f t="shared" si="58"/>
        <x:v/>
      </x:c>
      <x:c r="EC38" s="1053" t="str">
        <x:f t="shared" si="59"/>
        <x:v/>
      </x:c>
      <x:c r="ED38" s="1269">
        <x:f t="shared" si="60"/>
        <x:v>0</x:v>
      </x:c>
      <x:c r="EE38" s="1090" t="str">
        <x:f t="shared" si="61"/>
        <x:v/>
      </x:c>
      <x:c r="EF38" s="1053" t="str">
        <x:f t="shared" si="62"/>
        <x:v/>
      </x:c>
      <x:c r="EG38" s="1053" t="str">
        <x:f t="shared" si="63"/>
        <x:v/>
      </x:c>
      <x:c r="EH38" s="1053" t="e">
        <x:f t="shared" si="64"/>
        <x:v>#N/A</x:v>
      </x:c>
      <x:c r="EI38" s="1053" t="e">
        <x:f t="shared" si="65"/>
        <x:v>#N/A</x:v>
      </x:c>
      <x:c r="EJ38" s="1053" t="str">
        <x:f t="shared" si="66"/>
        <x:v/>
      </x:c>
      <x:c r="EK38" s="1053" t="str">
        <x:f t="shared" si="66"/>
        <x:v/>
      </x:c>
      <x:c r="EL38" s="1090" t="str">
        <x:f t="shared" si="67"/>
        <x:v/>
      </x:c>
      <x:c r="EM38" s="1053" t="str">
        <x:f t="shared" si="68"/>
        <x:v/>
      </x:c>
      <x:c r="EN38" s="1053" t="str">
        <x:f t="shared" si="69"/>
        <x:v/>
      </x:c>
      <x:c r="EO38" s="1053" t="e">
        <x:f t="shared" si="70"/>
        <x:v>#N/A</x:v>
      </x:c>
      <x:c r="EP38" s="1053" t="e">
        <x:f t="shared" si="71"/>
        <x:v>#N/A</x:v>
      </x:c>
      <x:c r="EQ38" s="1053" t="str">
        <x:f t="shared" si="72"/>
        <x:v/>
      </x:c>
      <x:c r="ER38" s="1053" t="str">
        <x:f t="shared" si="72"/>
        <x:v/>
      </x:c>
      <x:c r="ES38" s="1053" t="str">
        <x:f t="shared" si="73"/>
        <x:v/>
      </x:c>
      <x:c r="ET38" s="1053" t="str">
        <x:f t="shared" si="74"/>
        <x:v/>
      </x:c>
      <x:c r="EU38" s="1061" t="str">
        <x:f t="shared" si="75"/>
        <x:v/>
      </x:c>
      <x:c r="EV38" s="1055" t="str">
        <x:f t="shared" si="76"/>
        <x:v/>
      </x:c>
      <x:c r="EW38" s="1061"/>
      <x:c r="EX38" s="1061" t="str">
        <x:f>IF(AND(CU38="G", ISBLANK(BK38), ISBLANK(BL38)),VLOOKUP(MIN(BH38:BI38),TblJoistSize!$M$3:$N$10,2),IF(OR(CU38="B",CU38="G"),MIN(BK38:BL38),""))</x:f>
        <x:v/>
      </x:c>
      <x:c r="EY38" s="1061" t="str">
        <x:f>IF(AND(CU38="G", ISBLANK(BK38), ISBLANK(BL38)),VLOOKUP(MAX(BH38:BI38),TblJoistSize!$M$3:$N$10,2),IF(OR(CU38="B",CU38="G"),MAX(BK38:BL38),""))</x:f>
        <x:v/>
      </x:c>
      <x:c r="EZ38" s="1061" t="str">
        <x:f t="shared" si="77"/>
        <x:v/>
      </x:c>
      <x:c r="FA38" s="1061" t="str">
        <x:f>IF(AND(DE38="G", ISBLANK(BS38), ISBLANK(BT38)),VLOOKUP(MIN(BP38:BQ38),TblJoistSize!$M$3:$N$10,2),IF(OR(DE38="B", DE38="G"),MIN(BS38:BT38),""))</x:f>
        <x:v/>
      </x:c>
      <x:c r="FB38" s="1061" t="str">
        <x:f>IF(AND(DE38="G", ISBLANK(BS38), ISBLANK(BT38)),VLOOKUP(MAX(BP38:BQ38),TblJoistSize!$M$3:$N$10,2),IF(OR(DE38="B", DE38="G"),MAX(BS38:BT38),""))</x:f>
        <x:v/>
      </x:c>
      <x:c r="FC38" s="1061" t="str">
        <x:f t="shared" si="78"/>
        <x:v/>
      </x:c>
      <x:c r="FD38" s="1052">
        <x:f t="shared" si="100"/>
        <x:v>0</x:v>
      </x:c>
      <x:c r="FE38" s="1052">
        <x:f t="shared" si="79"/>
        <x:v>0</x:v>
      </x:c>
      <x:c r="FF38" s="1052">
        <x:f t="shared" si="80"/>
        <x:v>0</x:v>
      </x:c>
      <x:c r="FG38" s="1052" t="str">
        <x:f t="shared" si="81"/>
        <x:v/>
      </x:c>
      <x:c r="FH38" s="1053" t="str">
        <x:f t="shared" si="82"/>
        <x:v/>
      </x:c>
      <x:c r="FI38" s="1052">
        <x:f t="shared" si="101"/>
        <x:v>0</x:v>
      </x:c>
      <x:c r="FJ38" s="1052">
        <x:f t="shared" si="83"/>
        <x:v>0</x:v>
      </x:c>
      <x:c r="FK38" s="1052">
        <x:f t="shared" si="84"/>
        <x:v>0</x:v>
      </x:c>
      <x:c r="FL38" s="1052" t="str">
        <x:f t="shared" si="85"/>
        <x:v/>
      </x:c>
      <x:c r="FM38" s="1053" t="str">
        <x:f t="shared" si="86"/>
        <x:v/>
      </x:c>
      <x:c r="FN38" s="1053" t="e">
        <x:f t="shared" si="87"/>
        <x:v>#VALUE!</x:v>
      </x:c>
      <x:c r="FO38" s="1062" t="e">
        <x:f t="shared" si="88"/>
        <x:v>#VALUE!</x:v>
      </x:c>
      <x:c r="FP38" s="1062" t="e">
        <x:f t="shared" si="89"/>
        <x:v>#VALUE!</x:v>
      </x:c>
      <x:c r="FQ38" s="1063" t="e">
        <x:f t="shared" si="90"/>
        <x:v>#VALUE!</x:v>
      </x:c>
      <x:c r="FR38" s="1064" t="e">
        <x:f t="shared" si="91"/>
        <x:v>#VALUE!</x:v>
      </x:c>
      <x:c r="FS38" s="1065" t="str">
        <x:f t="shared" si="92"/>
        <x:v/>
      </x:c>
      <x:c r="FT38" s="1066" t="str">
        <x:f t="shared" si="93"/>
        <x:v/>
      </x:c>
      <x:c r="FU38" s="1105">
        <x:f t="shared" si="94"/>
        <x:v>0</x:v>
      </x:c>
      <x:c r="FV38" s="1106">
        <x:f t="shared" si="95"/>
        <x:v>0</x:v>
      </x:c>
      <x:c r="GA38" s="1975" t="str">
        <x:f t="shared" si="118"/>
        <x:v/>
      </x:c>
      <x:c r="GB38" s="1976" t="str">
        <x:f t="shared" si="119"/>
        <x:v/>
      </x:c>
      <x:c r="GC38" s="1977" t="str">
        <x:f t="shared" si="120"/>
        <x:v/>
      </x:c>
      <x:c r="GD38" s="1978" t="str">
        <x:f t="shared" si="121"/>
        <x:v/>
      </x:c>
      <x:c r="GE38" s="1979" t="str">
        <x:f t="shared" si="122"/>
        <x:v/>
      </x:c>
      <x:c r="GF38" s="1980" t="str">
        <x:f t="shared" si="96"/>
        <x:v/>
      </x:c>
      <x:c r="GG38" s="1453"/>
      <x:c r="GH38" s="1454"/>
      <x:c r="GI38" s="1453"/>
      <x:c r="GJ38" s="1454"/>
      <x:c r="GK38" s="533">
        <x:f t="shared" si="97"/>
        <x:v>0</x:v>
      </x:c>
      <x:c r="GL38" s="534" t="e">
        <x:f t="shared" si="98"/>
        <x:v>#VALUE!</x:v>
      </x:c>
      <x:c r="GM38" s="535" t="e">
        <x:f>IF(ABS(GK38-GL38)&gt;='Job Info.'!$L$22,ABS(GK38-GL38),0)</x:f>
        <x:v>#VALUE!</x:v>
      </x:c>
      <x:c r="HA38" s="1658"/>
      <x:c r="HB38" s="1659"/>
      <x:c r="HC38" s="1659"/>
      <x:c r="HD38" s="1660"/>
      <x:c r="HE38" s="1661"/>
      <x:c r="HF38" s="1659"/>
      <x:c r="HG38" s="1659"/>
      <x:c r="HH38" s="1659"/>
      <x:c r="HI38" s="1662"/>
      <x:c r="HJ38" s="1659"/>
      <x:c r="HK38" s="1659"/>
      <x:c r="HL38" s="1659"/>
      <x:c r="HM38" s="1659"/>
      <x:c r="HN38" s="1659"/>
      <x:c r="HO38" s="1659"/>
      <x:c r="HP38" s="1659"/>
      <x:c r="HQ38" s="1662"/>
      <x:c r="HR38" s="1659"/>
      <x:c r="HS38" s="1659"/>
      <x:c r="HT38" s="1659"/>
      <x:c r="HU38" s="1659"/>
      <x:c r="HV38" s="1659"/>
      <x:c r="HW38" s="1661"/>
      <x:c r="HX38" s="1661"/>
      <x:c r="HY38" s="1661"/>
      <x:c r="HZ38" s="1661"/>
      <x:c r="IA38" s="1661"/>
      <x:c r="IB38" s="1661"/>
      <x:c r="IC38" s="1661"/>
      <x:c r="ID38" s="1661"/>
      <x:c r="IE38" s="1661"/>
      <x:c r="IF38" s="1663"/>
    </x:row>
    <x:row r="39" spans="1:240" ht="12.6" customHeight="1" x14ac:dyDescent="0.25">
      <x:c r="A39" s="1264" t="str">
        <x:f t="shared" si="110"/>
        <x:v/>
      </x:c>
      <x:c r="B39" s="1265"/>
      <x:c r="C39" s="1265" t="str">
        <x:f t="shared" si="111"/>
        <x:v/>
      </x:c>
      <x:c r="D39" s="1261" t="str">
        <x:f t="shared" si="112"/>
        <x:v/>
      </x:c>
      <x:c r="E39" s="1366" t="str">
        <x:f t="shared" si="113"/>
        <x:v/>
      </x:c>
      <x:c r="F39" s="1328" t="str">
        <x:f t="shared" si="102"/>
        <x:v/>
      </x:c>
      <x:c r="G39" s="1262" t="str">
        <x:f t="shared" si="103"/>
        <x:v/>
      </x:c>
      <x:c r="H39" s="1266" t="str">
        <x:f t="shared" si="104"/>
        <x:v/>
      </x:c>
      <x:c r="I39" s="1261" t="str">
        <x:f t="shared" si="114"/>
        <x:v/>
      </x:c>
      <x:c r="J39" s="1262" t="str">
        <x:f t="shared" si="115"/>
        <x:v/>
      </x:c>
      <x:c r="K39" s="1370" t="str">
        <x:f t="shared" si="116"/>
        <x:v/>
      </x:c>
      <x:c r="L39" s="1327" t="str">
        <x:f t="shared" si="117"/>
        <x:v/>
      </x:c>
      <x:c r="M39" s="1329" t="str">
        <x:f t="shared" si="117"/>
        <x:v/>
      </x:c>
      <x:c r="N39" s="1263" t="str">
        <x:f t="shared" si="1"/>
        <x:v/>
      </x:c>
      <x:c r="O39" s="1262" t="str">
        <x:f t="shared" si="2"/>
        <x:v/>
      </x:c>
      <x:c r="P39" s="1260" t="str">
        <x:f t="shared" si="3"/>
        <x:v/>
      </x:c>
      <x:c r="Q39" s="1261" t="str">
        <x:f t="shared" si="4"/>
        <x:v/>
      </x:c>
      <x:c r="R39" s="1262" t="str">
        <x:f t="shared" si="5"/>
        <x:v/>
      </x:c>
      <x:c r="S39" s="1375" t="str">
        <x:f t="shared" si="6"/>
        <x:v/>
      </x:c>
      <x:c r="T39" s="1328" t="str">
        <x:f t="shared" si="105"/>
        <x:v/>
      </x:c>
      <x:c r="U39" s="1262" t="str">
        <x:f t="shared" si="106"/>
        <x:v/>
      </x:c>
      <x:c r="V39" s="1261" t="str">
        <x:f t="shared" si="107"/>
        <x:v/>
      </x:c>
      <x:c r="W39" s="1262" t="str">
        <x:f t="shared" si="108"/>
        <x:v/>
      </x:c>
      <x:c r="X39" s="1329">
        <x:f t="shared" si="109"/>
        <x:v>0</x:v>
      </x:c>
      <x:c r="Y39" s="1377" t="str">
        <x:f t="shared" si="7"/>
        <x:v/>
      </x:c>
      <x:c r="Z39" s="1378" t="str">
        <x:f t="shared" si="8"/>
        <x:v/>
      </x:c>
      <x:c r="AA39" s="2159"/>
      <x:c r="AC39" s="1226" t="b">
        <x:v>0</x:v>
      </x:c>
      <x:c r="AD39" s="525">
        <x:f t="shared" si="9"/>
        <x:v>0</x:v>
      </x:c>
      <x:c r="AE39" s="526">
        <x:f t="shared" si="10"/>
        <x:v>0</x:v>
      </x:c>
      <x:c r="AF39" s="526">
        <x:f t="shared" si="11"/>
        <x:v>0</x:v>
      </x:c>
      <x:c r="AG39" s="526">
        <x:f t="shared" si="12"/>
        <x:v>0</x:v>
      </x:c>
      <x:c r="AH39" s="527">
        <x:f t="shared" si="13"/>
        <x:v>0</x:v>
      </x:c>
      <x:c r="AI39" s="528" t="b">
        <x:v>0</x:v>
      </x:c>
      <x:c r="AJ39" s="284">
        <x:f t="shared" si="14"/>
        <x:v>0</x:v>
      </x:c>
      <x:c r="AK39" s="1063" t="str">
        <x:f t="shared" si="15"/>
        <x:v/>
      </x:c>
      <x:c r="AL39" s="1202" t="str">
        <x:f t="shared" si="16"/>
        <x:v/>
      </x:c>
      <x:c r="AM39" s="1063" t="str">
        <x:f t="shared" si="17"/>
        <x:v/>
      </x:c>
      <x:c r="AN39" s="1063" t="str">
        <x:f t="shared" si="18"/>
        <x:v/>
      </x:c>
      <x:c r="AO39" s="1063" t="str">
        <x:f t="shared" si="19"/>
        <x:v/>
      </x:c>
      <x:c r="AP39" s="1063" t="b">
        <x:f>IF(ISERROR(AJ39),FALSE,IF(OR(AJ39=0,ISERROR(AL39),ISERROR(AM39),ISERROR(AN39),ISERROR(AO39)),FALSE,IF(AL39&lt;&gt;"",IF(ISERROR(VLOOKUP(SUBSTITUTE(SUBSTITUTE(C39,"R",""),"A",""),TblJoistSize!$A:$A,1,FALSE)),FALSE,TRUE),TRUE)))</x:f>
        <x:v>0</x:v>
      </x:c>
      <x:c r="AQ39" s="1305" t="e">
        <x:f t="shared" si="20"/>
        <x:v>#N/A</x:v>
      </x:c>
      <x:c r="AR39" s="1305" t="b">
        <x:f t="shared" si="21"/>
        <x:v>0</x:v>
      </x:c>
      <x:c r="AS39" s="1305" t="e">
        <x:f t="shared" si="22"/>
        <x:v>#N/A</x:v>
      </x:c>
      <x:c r="AT39" s="1305" t="b">
        <x:f t="shared" si="23"/>
        <x:v>0</x:v>
      </x:c>
      <x:c r="AU39" s="1203" t="str">
        <x:f t="shared" si="24"/>
        <x:v/>
      </x:c>
      <x:c r="AV39" s="1063" t="str">
        <x:f t="shared" si="25"/>
        <x:v/>
      </x:c>
      <x:c r="AW39" s="1063" t="str">
        <x:f t="shared" si="26"/>
        <x:v/>
      </x:c>
      <x:c r="AX39" s="1063" t="str">
        <x:f t="shared" si="99"/>
        <x:v/>
      </x:c>
      <x:c r="AY39" s="1306" t="b">
        <x:f t="shared" si="27"/>
        <x:v>0</x:v>
      </x:c>
      <x:c r="AZ39" s="1090" t="str">
        <x:f t="shared" si="28"/>
        <x:v/>
      </x:c>
      <x:c r="BA39" s="674"/>
      <x:c r="BB39" s="842"/>
      <x:c r="BC39" s="894"/>
      <x:c r="BD39" s="926"/>
      <x:c r="BE39" s="927"/>
      <x:c r="BF39" s="928"/>
      <x:c r="BG39" s="901"/>
      <x:c r="BH39" s="1244"/>
      <x:c r="BI39" s="1245"/>
      <x:c r="BJ39" s="929"/>
      <x:c r="BK39" s="902"/>
      <x:c r="BL39" s="903"/>
      <x:c r="BM39" s="904"/>
      <x:c r="BN39" s="905"/>
      <x:c r="BO39" s="901"/>
      <x:c r="BP39" s="902"/>
      <x:c r="BQ39" s="903"/>
      <x:c r="BR39" s="929"/>
      <x:c r="BS39" s="902"/>
      <x:c r="BT39" s="903"/>
      <x:c r="BU39" s="904"/>
      <x:c r="BV39" s="905"/>
      <x:c r="BW39" s="906"/>
      <x:c r="BX39" s="930"/>
      <x:c r="BY39" s="931"/>
      <x:c r="BZ39" s="932"/>
      <x:c r="CA39" s="933"/>
      <x:c r="CB39" s="932"/>
      <x:c r="CC39" s="933"/>
      <x:c r="CD39" s="934" t="str">
        <x:f t="shared" si="29"/>
        <x:v/>
      </x:c>
      <x:c r="CE39" s="935" t="str">
        <x:f t="shared" si="30"/>
        <x:v/>
      </x:c>
      <x:c r="CF39" s="1149"/>
      <x:c r="CG39" s="1150"/>
      <x:c r="CH39" s="738" t="str">
        <x:f t="shared" si="31"/>
        <x:v/>
      </x:c>
      <x:c r="CI39" s="739" t="str">
        <x:f t="shared" si="32"/>
        <x:v/>
      </x:c>
      <x:c r="CJ39" s="740" t="str">
        <x:f t="shared" si="33"/>
        <x:v/>
      </x:c>
      <x:c r="CK39" s="741" t="str">
        <x:f t="shared" si="34"/>
        <x:v/>
      </x:c>
      <x:c r="CL39" s="742" t="str">
        <x:f t="shared" si="35"/>
        <x:v/>
      </x:c>
      <x:c r="CM39" s="743" t="str">
        <x:f t="shared" si="36"/>
        <x:v/>
      </x:c>
      <x:c r="CN39" s="744" t="str">
        <x:f t="shared" si="37"/>
        <x:v/>
      </x:c>
      <x:c r="CO39" s="745" t="str">
        <x:f t="shared" si="38"/>
        <x:v/>
      </x:c>
      <x:c r="CP39" s="762" t="str">
        <x:f t="shared" si="39"/>
        <x:v/>
      </x:c>
      <x:c r="CQ39" s="763" t="str">
        <x:f t="shared" si="40"/>
        <x:v/>
      </x:c>
      <x:c r="CR39" s="953" t="str">
        <x:f t="shared" si="41"/>
        <x:v/>
      </x:c>
      <x:c r="CS39" s="954" t="str">
        <x:f t="shared" si="42"/>
        <x:v/>
      </x:c>
      <x:c r="CU39" s="1048" t="str">
        <x:f>IF(BG39="","",VLOOKUP(BG39,SectInfo!$B:$N,12,FALSE))</x:f>
        <x:v/>
      </x:c>
      <x:c r="CV39" s="1046" t="str">
        <x:f>IF(BG39="","",IF(ISBLANK(BZ39),VLOOKUP(BG39,SectInfo!$B:$N,13,FALSE),BZ39))</x:f>
        <x:v/>
      </x:c>
      <x:c r="CW39" s="1046" t="str">
        <x:f>IF(BG39="","",IF(VLOOKUP(BG39,SectInfo!$B:$N,5,FALSE)="","R",UPPER(VLOOKUP(BG39,SectInfo!$B:$N,5,FALSE))))</x:f>
        <x:v/>
      </x:c>
      <x:c r="CX39" s="1046" t="str">
        <x:f>IF(BG39="","",IF(ISBLANK(CF39),VLOOKUP(BG39,SectInfo!$B:$N,6,FALSE),CF39))</x:f>
        <x:v/>
      </x:c>
      <x:c r="CY39" s="1276" t="str">
        <x:f>IF(BG39="","",IF(VLOOKUP(BG39,SectInfo!$B:$N,10,FALSE)="","",(VLOOKUP(BG39,SectInfo!$B:$N,10,FALSE)*-1)))</x:f>
        <x:v/>
      </x:c>
      <x:c r="CZ39" s="1443" t="str">
        <x:f>IF(BG39="","",IF(VLOOKUP(BG39,SectInfo!$B:$N,11,FALSE)="","2",(VLOOKUP(BG39,SectInfo!$B:$N,11,FALSE))))</x:f>
        <x:v/>
      </x:c>
      <x:c r="DA39" s="1046" t="str">
        <x:f>IF(BG39="","",IF(VLOOKUP(BG39,SectInfo!$B:$N,7,FALSE)="","",(VLOOKUP(BG39,SectInfo!$B:$N,7,FALSE)*-1)))</x:f>
        <x:v/>
      </x:c>
      <x:c r="DB39" s="1046" t="str">
        <x:f>IF(BG39="","",IF(VLOOKUP(BG39,SectInfo!$B:$N,8,FALSE)="",VLOOKUP(AU39,$DF$2:$DN$9,6,FALSE),(VLOOKUP(BG39,SectInfo!$B:$N,8,FALSE))))</x:f>
        <x:v/>
      </x:c>
      <x:c r="DC39" s="1046" t="str">
        <x:f>IF(BG39="","",VLOOKUP(BG39,SectInfo!$B:$N,9,FALSE))</x:f>
        <x:v/>
      </x:c>
      <x:c r="DD39" s="1047">
        <x:f t="shared" si="43"/>
        <x:v>0</x:v>
      </x:c>
      <x:c r="DE39" s="1048" t="str">
        <x:f>IF(BO39="","",VLOOKUP(BO39,SectInfo!$B:$N,12,FALSE))</x:f>
        <x:v/>
      </x:c>
      <x:c r="DF39" s="1046" t="str">
        <x:f>IF(BO39="","",IF(ISBLANK(CA39),VLOOKUP(BO39,SectInfo!$B:$N,13,FALSE),CA39))</x:f>
        <x:v/>
      </x:c>
      <x:c r="DG39" s="1046" t="str">
        <x:f>IF(BO39="","",IF(VLOOKUP(BO39,SectInfo!$B:$N,5,FALSE)="","R",UPPER(VLOOKUP(BO39,SectInfo!$B:$N,5,FALSE))))</x:f>
        <x:v/>
      </x:c>
      <x:c r="DH39" s="1046" t="str">
        <x:f>IF(BO39="","",IF(ISBLANK(CG39),VLOOKUP(BO39,SectInfo!$B:$N,6,FALSE),CG39))</x:f>
        <x:v/>
      </x:c>
      <x:c r="DI39" s="1046" t="str">
        <x:f>IF(BO39="","",IF(VLOOKUP(BO39,SectInfo!$B:$N,10,FALSE)="","",(VLOOKUP(BO39,SectInfo!$B:$N,10,FALSE)*-1)))</x:f>
        <x:v/>
      </x:c>
      <x:c r="DJ39" s="1443" t="str">
        <x:f>IF(BO39="","",IF(VLOOKUP(BO39,SectInfo!$B:$N,11,FALSE)="","2",(VLOOKUP(BO39,SectInfo!$B:$N,11,FALSE))))</x:f>
        <x:v/>
      </x:c>
      <x:c r="DK39" s="1046" t="str">
        <x:f>IF(BO39="","",IF(VLOOKUP(BO39,SectInfo!$B:$N,7,FALSE)="","",(VLOOKUP(BO39,SectInfo!$B:$N,7,FALSE)*-1)))</x:f>
        <x:v/>
      </x:c>
      <x:c r="DL39" s="1046" t="str">
        <x:f>IF(BO39="","",IF(VLOOKUP(BO39,SectInfo!$B:$N,8,FALSE)="",VLOOKUP(AU39,$DF$2:$DN$9,6,FALSE),(VLOOKUP(BO39,SectInfo!$B:$N,8,FALSE))))</x:f>
        <x:v/>
      </x:c>
      <x:c r="DM39" s="1046" t="str">
        <x:f>IF(BO39="","",VLOOKUP(BO39,SectInfo!$B:$N,9,FALSE))</x:f>
        <x:v/>
      </x:c>
      <x:c r="DN39" s="1047">
        <x:f t="shared" si="44"/>
        <x:v>0</x:v>
      </x:c>
      <x:c r="DO39" s="1049">
        <x:f t="shared" si="45"/>
        <x:v>0</x:v>
      </x:c>
      <x:c r="DP39" s="1053" t="str">
        <x:f t="shared" si="46"/>
        <x:v/>
      </x:c>
      <x:c r="DQ39" s="1053" t="str">
        <x:f t="shared" si="47"/>
        <x:v/>
      </x:c>
      <x:c r="DR39" s="1053" t="str">
        <x:f t="shared" si="48"/>
        <x:v/>
      </x:c>
      <x:c r="DS39" s="1052">
        <x:f t="shared" si="49"/>
        <x:v>0</x:v>
      </x:c>
      <x:c r="DT39" s="1052">
        <x:f t="shared" si="50"/>
        <x:v>0</x:v>
      </x:c>
      <x:c r="DU39" s="1052" t="str">
        <x:f t="shared" si="51"/>
        <x:v/>
      </x:c>
      <x:c r="DV39" s="1053" t="str">
        <x:f t="shared" si="52"/>
        <x:v/>
      </x:c>
      <x:c r="DW39" s="1053" t="str">
        <x:f t="shared" si="53"/>
        <x:v/>
      </x:c>
      <x:c r="DX39" s="1269">
        <x:f t="shared" si="54"/>
        <x:v>0</x:v>
      </x:c>
      <x:c r="DY39" s="1053">
        <x:f t="shared" si="55"/>
        <x:v>0</x:v>
      </x:c>
      <x:c r="DZ39" s="1052">
        <x:f t="shared" si="56"/>
        <x:v>0</x:v>
      </x:c>
      <x:c r="EA39" s="1052" t="str">
        <x:f t="shared" si="57"/>
        <x:v/>
      </x:c>
      <x:c r="EB39" s="1053" t="str">
        <x:f t="shared" si="58"/>
        <x:v/>
      </x:c>
      <x:c r="EC39" s="1053" t="str">
        <x:f t="shared" si="59"/>
        <x:v/>
      </x:c>
      <x:c r="ED39" s="1269">
        <x:f t="shared" si="60"/>
        <x:v>0</x:v>
      </x:c>
      <x:c r="EE39" s="1090" t="str">
        <x:f t="shared" si="61"/>
        <x:v/>
      </x:c>
      <x:c r="EF39" s="1053" t="str">
        <x:f t="shared" si="62"/>
        <x:v/>
      </x:c>
      <x:c r="EG39" s="1053" t="str">
        <x:f t="shared" si="63"/>
        <x:v/>
      </x:c>
      <x:c r="EH39" s="1053" t="e">
        <x:f t="shared" si="64"/>
        <x:v>#N/A</x:v>
      </x:c>
      <x:c r="EI39" s="1053" t="e">
        <x:f t="shared" si="65"/>
        <x:v>#N/A</x:v>
      </x:c>
      <x:c r="EJ39" s="1053" t="str">
        <x:f t="shared" si="66"/>
        <x:v/>
      </x:c>
      <x:c r="EK39" s="1053" t="str">
        <x:f t="shared" si="66"/>
        <x:v/>
      </x:c>
      <x:c r="EL39" s="1090" t="str">
        <x:f t="shared" si="67"/>
        <x:v/>
      </x:c>
      <x:c r="EM39" s="1053" t="str">
        <x:f t="shared" si="68"/>
        <x:v/>
      </x:c>
      <x:c r="EN39" s="1053" t="str">
        <x:f t="shared" si="69"/>
        <x:v/>
      </x:c>
      <x:c r="EO39" s="1053" t="e">
        <x:f t="shared" si="70"/>
        <x:v>#N/A</x:v>
      </x:c>
      <x:c r="EP39" s="1053" t="e">
        <x:f t="shared" si="71"/>
        <x:v>#N/A</x:v>
      </x:c>
      <x:c r="EQ39" s="1053" t="str">
        <x:f t="shared" si="72"/>
        <x:v/>
      </x:c>
      <x:c r="ER39" s="1053" t="str">
        <x:f t="shared" si="72"/>
        <x:v/>
      </x:c>
      <x:c r="ES39" s="1053" t="str">
        <x:f t="shared" si="73"/>
        <x:v/>
      </x:c>
      <x:c r="ET39" s="1053" t="str">
        <x:f t="shared" si="74"/>
        <x:v/>
      </x:c>
      <x:c r="EU39" s="1061" t="str">
        <x:f t="shared" si="75"/>
        <x:v/>
      </x:c>
      <x:c r="EV39" s="1055" t="str">
        <x:f t="shared" si="76"/>
        <x:v/>
      </x:c>
      <x:c r="EW39" s="1061"/>
      <x:c r="EX39" s="1061" t="str">
        <x:f>IF(AND(CU39="G", ISBLANK(BK39), ISBLANK(BL39)),VLOOKUP(MIN(BH39:BI39),TblJoistSize!$M$3:$N$10,2),IF(OR(CU39="B",CU39="G"),MIN(BK39:BL39),""))</x:f>
        <x:v/>
      </x:c>
      <x:c r="EY39" s="1061" t="str">
        <x:f>IF(AND(CU39="G", ISBLANK(BK39), ISBLANK(BL39)),VLOOKUP(MAX(BH39:BI39),TblJoistSize!$M$3:$N$10,2),IF(OR(CU39="B",CU39="G"),MAX(BK39:BL39),""))</x:f>
        <x:v/>
      </x:c>
      <x:c r="EZ39" s="1061" t="str">
        <x:f t="shared" si="77"/>
        <x:v/>
      </x:c>
      <x:c r="FA39" s="1061" t="str">
        <x:f>IF(AND(DE39="G", ISBLANK(BS39), ISBLANK(BT39)),VLOOKUP(MIN(BP39:BQ39),TblJoistSize!$M$3:$N$10,2),IF(OR(DE39="B", DE39="G"),MIN(BS39:BT39),""))</x:f>
        <x:v/>
      </x:c>
      <x:c r="FB39" s="1061" t="str">
        <x:f>IF(AND(DE39="G", ISBLANK(BS39), ISBLANK(BT39)),VLOOKUP(MAX(BP39:BQ39),TblJoistSize!$M$3:$N$10,2),IF(OR(DE39="B", DE39="G"),MAX(BS39:BT39),""))</x:f>
        <x:v/>
      </x:c>
      <x:c r="FC39" s="1061" t="str">
        <x:f t="shared" si="78"/>
        <x:v/>
      </x:c>
      <x:c r="FD39" s="1052">
        <x:f t="shared" si="100"/>
        <x:v>0</x:v>
      </x:c>
      <x:c r="FE39" s="1052">
        <x:f t="shared" si="79"/>
        <x:v>0</x:v>
      </x:c>
      <x:c r="FF39" s="1052">
        <x:f t="shared" si="80"/>
        <x:v>0</x:v>
      </x:c>
      <x:c r="FG39" s="1052" t="str">
        <x:f t="shared" si="81"/>
        <x:v/>
      </x:c>
      <x:c r="FH39" s="1053" t="str">
        <x:f t="shared" si="82"/>
        <x:v/>
      </x:c>
      <x:c r="FI39" s="1052">
        <x:f t="shared" si="101"/>
        <x:v>0</x:v>
      </x:c>
      <x:c r="FJ39" s="1052">
        <x:f t="shared" si="83"/>
        <x:v>0</x:v>
      </x:c>
      <x:c r="FK39" s="1052">
        <x:f t="shared" si="84"/>
        <x:v>0</x:v>
      </x:c>
      <x:c r="FL39" s="1052" t="str">
        <x:f t="shared" si="85"/>
        <x:v/>
      </x:c>
      <x:c r="FM39" s="1053" t="str">
        <x:f t="shared" si="86"/>
        <x:v/>
      </x:c>
      <x:c r="FN39" s="1053" t="e">
        <x:f t="shared" si="87"/>
        <x:v>#VALUE!</x:v>
      </x:c>
      <x:c r="FO39" s="1062" t="e">
        <x:f t="shared" si="88"/>
        <x:v>#VALUE!</x:v>
      </x:c>
      <x:c r="FP39" s="1062" t="e">
        <x:f t="shared" si="89"/>
        <x:v>#VALUE!</x:v>
      </x:c>
      <x:c r="FQ39" s="1063" t="e">
        <x:f t="shared" si="90"/>
        <x:v>#VALUE!</x:v>
      </x:c>
      <x:c r="FR39" s="1064" t="e">
        <x:f t="shared" si="91"/>
        <x:v>#VALUE!</x:v>
      </x:c>
      <x:c r="FS39" s="1065" t="str">
        <x:f t="shared" si="92"/>
        <x:v/>
      </x:c>
      <x:c r="FT39" s="1066" t="str">
        <x:f t="shared" si="93"/>
        <x:v/>
      </x:c>
      <x:c r="FU39" s="1105">
        <x:f t="shared" si="94"/>
        <x:v>0</x:v>
      </x:c>
      <x:c r="FV39" s="1106">
        <x:f t="shared" si="95"/>
        <x:v>0</x:v>
      </x:c>
      <x:c r="GA39" s="1975" t="str">
        <x:f t="shared" si="118"/>
        <x:v/>
      </x:c>
      <x:c r="GB39" s="1976" t="str">
        <x:f t="shared" si="119"/>
        <x:v/>
      </x:c>
      <x:c r="GC39" s="1977" t="str">
        <x:f t="shared" si="120"/>
        <x:v/>
      </x:c>
      <x:c r="GD39" s="1978" t="str">
        <x:f t="shared" si="121"/>
        <x:v/>
      </x:c>
      <x:c r="GE39" s="1979" t="str">
        <x:f t="shared" si="122"/>
        <x:v/>
      </x:c>
      <x:c r="GF39" s="1980" t="str">
        <x:f t="shared" si="96"/>
        <x:v/>
      </x:c>
      <x:c r="GG39" s="1453"/>
      <x:c r="GH39" s="1454"/>
      <x:c r="GI39" s="1453"/>
      <x:c r="GJ39" s="1454"/>
      <x:c r="GK39" s="533">
        <x:f t="shared" si="97"/>
        <x:v>0</x:v>
      </x:c>
      <x:c r="GL39" s="534" t="e">
        <x:f t="shared" si="98"/>
        <x:v>#VALUE!</x:v>
      </x:c>
      <x:c r="GM39" s="535" t="e">
        <x:f>IF(ABS(GK39-GL39)&gt;='Job Info.'!$L$22,ABS(GK39-GL39),0)</x:f>
        <x:v>#VALUE!</x:v>
      </x:c>
      <x:c r="HA39" s="1658"/>
      <x:c r="HB39" s="1659"/>
      <x:c r="HC39" s="1659"/>
      <x:c r="HD39" s="1660"/>
      <x:c r="HE39" s="1661"/>
      <x:c r="HF39" s="1659"/>
      <x:c r="HG39" s="1659"/>
      <x:c r="HH39" s="1659"/>
      <x:c r="HI39" s="1662"/>
      <x:c r="HJ39" s="1659"/>
      <x:c r="HK39" s="1659"/>
      <x:c r="HL39" s="1659"/>
      <x:c r="HM39" s="1659"/>
      <x:c r="HN39" s="1659"/>
      <x:c r="HO39" s="1659"/>
      <x:c r="HP39" s="1659"/>
      <x:c r="HQ39" s="1662"/>
      <x:c r="HR39" s="1659"/>
      <x:c r="HS39" s="1659"/>
      <x:c r="HT39" s="1659"/>
      <x:c r="HU39" s="1659"/>
      <x:c r="HV39" s="1659"/>
      <x:c r="HW39" s="1661"/>
      <x:c r="HX39" s="1661"/>
      <x:c r="HY39" s="1661"/>
      <x:c r="HZ39" s="1661"/>
      <x:c r="IA39" s="1661"/>
      <x:c r="IB39" s="1661"/>
      <x:c r="IC39" s="1661"/>
      <x:c r="ID39" s="1661"/>
      <x:c r="IE39" s="1661"/>
      <x:c r="IF39" s="1663"/>
    </x:row>
    <x:row r="40" spans="1:240" ht="12.6" customHeight="1" x14ac:dyDescent="0.25">
      <x:c r="A40" s="1264" t="str">
        <x:f t="shared" si="110"/>
        <x:v/>
      </x:c>
      <x:c r="B40" s="1265"/>
      <x:c r="C40" s="1265" t="str">
        <x:f t="shared" si="111"/>
        <x:v/>
      </x:c>
      <x:c r="D40" s="1261" t="str">
        <x:f t="shared" si="112"/>
        <x:v/>
      </x:c>
      <x:c r="E40" s="1366" t="str">
        <x:f t="shared" si="113"/>
        <x:v/>
      </x:c>
      <x:c r="F40" s="1328" t="str">
        <x:f t="shared" si="102"/>
        <x:v/>
      </x:c>
      <x:c r="G40" s="1262" t="str">
        <x:f t="shared" si="103"/>
        <x:v/>
      </x:c>
      <x:c r="H40" s="1266" t="str">
        <x:f t="shared" si="104"/>
        <x:v/>
      </x:c>
      <x:c r="I40" s="1261" t="str">
        <x:f t="shared" si="114"/>
        <x:v/>
      </x:c>
      <x:c r="J40" s="1262" t="str">
        <x:f t="shared" si="115"/>
        <x:v/>
      </x:c>
      <x:c r="K40" s="1370" t="str">
        <x:f t="shared" si="116"/>
        <x:v/>
      </x:c>
      <x:c r="L40" s="1327" t="str">
        <x:f t="shared" si="117"/>
        <x:v/>
      </x:c>
      <x:c r="M40" s="1329" t="str">
        <x:f t="shared" si="117"/>
        <x:v/>
      </x:c>
      <x:c r="N40" s="1263" t="str">
        <x:f t="shared" si="1"/>
        <x:v/>
      </x:c>
      <x:c r="O40" s="1262" t="str">
        <x:f t="shared" si="2"/>
        <x:v/>
      </x:c>
      <x:c r="P40" s="1260" t="str">
        <x:f t="shared" si="3"/>
        <x:v/>
      </x:c>
      <x:c r="Q40" s="1261" t="str">
        <x:f t="shared" si="4"/>
        <x:v/>
      </x:c>
      <x:c r="R40" s="1262" t="str">
        <x:f t="shared" si="5"/>
        <x:v/>
      </x:c>
      <x:c r="S40" s="1375" t="str">
        <x:f t="shared" si="6"/>
        <x:v/>
      </x:c>
      <x:c r="T40" s="1328" t="str">
        <x:f t="shared" si="105"/>
        <x:v/>
      </x:c>
      <x:c r="U40" s="1262" t="str">
        <x:f t="shared" si="106"/>
        <x:v/>
      </x:c>
      <x:c r="V40" s="1261" t="str">
        <x:f t="shared" si="107"/>
        <x:v/>
      </x:c>
      <x:c r="W40" s="1262" t="str">
        <x:f t="shared" si="108"/>
        <x:v/>
      </x:c>
      <x:c r="X40" s="1329">
        <x:f t="shared" si="109"/>
        <x:v>0</x:v>
      </x:c>
      <x:c r="Y40" s="1377" t="str">
        <x:f t="shared" si="7"/>
        <x:v/>
      </x:c>
      <x:c r="Z40" s="1378" t="str">
        <x:f t="shared" si="8"/>
        <x:v/>
      </x:c>
      <x:c r="AA40" s="2159"/>
      <x:c r="AC40" s="1226" t="b">
        <x:v>0</x:v>
      </x:c>
      <x:c r="AD40" s="525">
        <x:f t="shared" si="9"/>
        <x:v>0</x:v>
      </x:c>
      <x:c r="AE40" s="526">
        <x:f t="shared" si="10"/>
        <x:v>0</x:v>
      </x:c>
      <x:c r="AF40" s="526">
        <x:f t="shared" si="11"/>
        <x:v>0</x:v>
      </x:c>
      <x:c r="AG40" s="526">
        <x:f t="shared" si="12"/>
        <x:v>0</x:v>
      </x:c>
      <x:c r="AH40" s="527">
        <x:f t="shared" si="13"/>
        <x:v>0</x:v>
      </x:c>
      <x:c r="AI40" s="528" t="b">
        <x:v>0</x:v>
      </x:c>
      <x:c r="AJ40" s="284">
        <x:f t="shared" si="14"/>
        <x:v>0</x:v>
      </x:c>
      <x:c r="AK40" s="1063" t="str">
        <x:f t="shared" si="15"/>
        <x:v/>
      </x:c>
      <x:c r="AL40" s="1202" t="str">
        <x:f t="shared" si="16"/>
        <x:v/>
      </x:c>
      <x:c r="AM40" s="1063" t="str">
        <x:f t="shared" si="17"/>
        <x:v/>
      </x:c>
      <x:c r="AN40" s="1063" t="str">
        <x:f t="shared" si="18"/>
        <x:v/>
      </x:c>
      <x:c r="AO40" s="1063" t="str">
        <x:f t="shared" si="19"/>
        <x:v/>
      </x:c>
      <x:c r="AP40" s="1063" t="b">
        <x:f>IF(ISERROR(AJ40),FALSE,IF(OR(AJ40=0,ISERROR(AL40),ISERROR(AM40),ISERROR(AN40),ISERROR(AO40)),FALSE,IF(AL40&lt;&gt;"",IF(ISERROR(VLOOKUP(SUBSTITUTE(SUBSTITUTE(C40,"R",""),"A",""),TblJoistSize!$A:$A,1,FALSE)),FALSE,TRUE),TRUE)))</x:f>
        <x:v>0</x:v>
      </x:c>
      <x:c r="AQ40" s="1305" t="e">
        <x:f t="shared" si="20"/>
        <x:v>#N/A</x:v>
      </x:c>
      <x:c r="AR40" s="1305" t="b">
        <x:f t="shared" si="21"/>
        <x:v>0</x:v>
      </x:c>
      <x:c r="AS40" s="1305" t="e">
        <x:f t="shared" si="22"/>
        <x:v>#N/A</x:v>
      </x:c>
      <x:c r="AT40" s="1305" t="b">
        <x:f t="shared" si="23"/>
        <x:v>0</x:v>
      </x:c>
      <x:c r="AU40" s="1203" t="str">
        <x:f t="shared" si="24"/>
        <x:v/>
      </x:c>
      <x:c r="AV40" s="1063" t="str">
        <x:f t="shared" si="25"/>
        <x:v/>
      </x:c>
      <x:c r="AW40" s="1063" t="str">
        <x:f t="shared" si="26"/>
        <x:v/>
      </x:c>
      <x:c r="AX40" s="1063" t="str">
        <x:f t="shared" si="99"/>
        <x:v/>
      </x:c>
      <x:c r="AY40" s="1306" t="b">
        <x:f t="shared" si="27"/>
        <x:v>0</x:v>
      </x:c>
      <x:c r="AZ40" s="1090" t="str">
        <x:f t="shared" si="28"/>
        <x:v/>
      </x:c>
      <x:c r="BA40" s="674"/>
      <x:c r="BB40" s="842"/>
      <x:c r="BC40" s="894"/>
      <x:c r="BD40" s="926"/>
      <x:c r="BE40" s="927"/>
      <x:c r="BF40" s="928"/>
      <x:c r="BG40" s="901"/>
      <x:c r="BH40" s="1244"/>
      <x:c r="BI40" s="1245"/>
      <x:c r="BJ40" s="929"/>
      <x:c r="BK40" s="902"/>
      <x:c r="BL40" s="903"/>
      <x:c r="BM40" s="904"/>
      <x:c r="BN40" s="905"/>
      <x:c r="BO40" s="901"/>
      <x:c r="BP40" s="902"/>
      <x:c r="BQ40" s="903"/>
      <x:c r="BR40" s="929"/>
      <x:c r="BS40" s="902"/>
      <x:c r="BT40" s="903"/>
      <x:c r="BU40" s="904"/>
      <x:c r="BV40" s="905"/>
      <x:c r="BW40" s="906"/>
      <x:c r="BX40" s="930"/>
      <x:c r="BY40" s="931"/>
      <x:c r="BZ40" s="932"/>
      <x:c r="CA40" s="933"/>
      <x:c r="CB40" s="932"/>
      <x:c r="CC40" s="933"/>
      <x:c r="CD40" s="934" t="str">
        <x:f t="shared" si="29"/>
        <x:v/>
      </x:c>
      <x:c r="CE40" s="935" t="str">
        <x:f t="shared" si="30"/>
        <x:v/>
      </x:c>
      <x:c r="CF40" s="1149"/>
      <x:c r="CG40" s="1150"/>
      <x:c r="CH40" s="738" t="str">
        <x:f t="shared" si="31"/>
        <x:v/>
      </x:c>
      <x:c r="CI40" s="739" t="str">
        <x:f t="shared" si="32"/>
        <x:v/>
      </x:c>
      <x:c r="CJ40" s="740" t="str">
        <x:f t="shared" si="33"/>
        <x:v/>
      </x:c>
      <x:c r="CK40" s="741" t="str">
        <x:f t="shared" si="34"/>
        <x:v/>
      </x:c>
      <x:c r="CL40" s="742" t="str">
        <x:f t="shared" si="35"/>
        <x:v/>
      </x:c>
      <x:c r="CM40" s="743" t="str">
        <x:f t="shared" si="36"/>
        <x:v/>
      </x:c>
      <x:c r="CN40" s="744" t="str">
        <x:f t="shared" si="37"/>
        <x:v/>
      </x:c>
      <x:c r="CO40" s="745" t="str">
        <x:f t="shared" si="38"/>
        <x:v/>
      </x:c>
      <x:c r="CP40" s="762" t="str">
        <x:f t="shared" si="39"/>
        <x:v/>
      </x:c>
      <x:c r="CQ40" s="763" t="str">
        <x:f t="shared" si="40"/>
        <x:v/>
      </x:c>
      <x:c r="CR40" s="953" t="str">
        <x:f t="shared" si="41"/>
        <x:v/>
      </x:c>
      <x:c r="CS40" s="954" t="str">
        <x:f t="shared" si="42"/>
        <x:v/>
      </x:c>
      <x:c r="CU40" s="1048" t="str">
        <x:f>IF(BG40="","",VLOOKUP(BG40,SectInfo!$B:$N,12,FALSE))</x:f>
        <x:v/>
      </x:c>
      <x:c r="CV40" s="1046" t="str">
        <x:f>IF(BG40="","",IF(ISBLANK(BZ40),VLOOKUP(BG40,SectInfo!$B:$N,13,FALSE),BZ40))</x:f>
        <x:v/>
      </x:c>
      <x:c r="CW40" s="1046" t="str">
        <x:f>IF(BG40="","",IF(VLOOKUP(BG40,SectInfo!$B:$N,5,FALSE)="","R",UPPER(VLOOKUP(BG40,SectInfo!$B:$N,5,FALSE))))</x:f>
        <x:v/>
      </x:c>
      <x:c r="CX40" s="1046" t="str">
        <x:f>IF(BG40="","",IF(ISBLANK(CF40),VLOOKUP(BG40,SectInfo!$B:$N,6,FALSE),CF40))</x:f>
        <x:v/>
      </x:c>
      <x:c r="CY40" s="1276" t="str">
        <x:f>IF(BG40="","",IF(VLOOKUP(BG40,SectInfo!$B:$N,10,FALSE)="","",(VLOOKUP(BG40,SectInfo!$B:$N,10,FALSE)*-1)))</x:f>
        <x:v/>
      </x:c>
      <x:c r="CZ40" s="1443" t="str">
        <x:f>IF(BG40="","",IF(VLOOKUP(BG40,SectInfo!$B:$N,11,FALSE)="","2",(VLOOKUP(BG40,SectInfo!$B:$N,11,FALSE))))</x:f>
        <x:v/>
      </x:c>
      <x:c r="DA40" s="1046" t="str">
        <x:f>IF(BG40="","",IF(VLOOKUP(BG40,SectInfo!$B:$N,7,FALSE)="","",(VLOOKUP(BG40,SectInfo!$B:$N,7,FALSE)*-1)))</x:f>
        <x:v/>
      </x:c>
      <x:c r="DB40" s="1046" t="str">
        <x:f>IF(BG40="","",IF(VLOOKUP(BG40,SectInfo!$B:$N,8,FALSE)="",VLOOKUP(AU40,$DF$2:$DN$9,6,FALSE),(VLOOKUP(BG40,SectInfo!$B:$N,8,FALSE))))</x:f>
        <x:v/>
      </x:c>
      <x:c r="DC40" s="1046" t="str">
        <x:f>IF(BG40="","",VLOOKUP(BG40,SectInfo!$B:$N,9,FALSE))</x:f>
        <x:v/>
      </x:c>
      <x:c r="DD40" s="1047">
        <x:f t="shared" si="43"/>
        <x:v>0</x:v>
      </x:c>
      <x:c r="DE40" s="1048" t="str">
        <x:f>IF(BO40="","",VLOOKUP(BO40,SectInfo!$B:$N,12,FALSE))</x:f>
        <x:v/>
      </x:c>
      <x:c r="DF40" s="1046" t="str">
        <x:f>IF(BO40="","",IF(ISBLANK(CA40),VLOOKUP(BO40,SectInfo!$B:$N,13,FALSE),CA40))</x:f>
        <x:v/>
      </x:c>
      <x:c r="DG40" s="1046" t="str">
        <x:f>IF(BO40="","",IF(VLOOKUP(BO40,SectInfo!$B:$N,5,FALSE)="","R",UPPER(VLOOKUP(BO40,SectInfo!$B:$N,5,FALSE))))</x:f>
        <x:v/>
      </x:c>
      <x:c r="DH40" s="1046" t="str">
        <x:f>IF(BO40="","",IF(ISBLANK(CG40),VLOOKUP(BO40,SectInfo!$B:$N,6,FALSE),CG40))</x:f>
        <x:v/>
      </x:c>
      <x:c r="DI40" s="1046" t="str">
        <x:f>IF(BO40="","",IF(VLOOKUP(BO40,SectInfo!$B:$N,10,FALSE)="","",(VLOOKUP(BO40,SectInfo!$B:$N,10,FALSE)*-1)))</x:f>
        <x:v/>
      </x:c>
      <x:c r="DJ40" s="1443" t="str">
        <x:f>IF(BO40="","",IF(VLOOKUP(BO40,SectInfo!$B:$N,11,FALSE)="","2",(VLOOKUP(BO40,SectInfo!$B:$N,11,FALSE))))</x:f>
        <x:v/>
      </x:c>
      <x:c r="DK40" s="1046" t="str">
        <x:f>IF(BO40="","",IF(VLOOKUP(BO40,SectInfo!$B:$N,7,FALSE)="","",(VLOOKUP(BO40,SectInfo!$B:$N,7,FALSE)*-1)))</x:f>
        <x:v/>
      </x:c>
      <x:c r="DL40" s="1046" t="str">
        <x:f>IF(BO40="","",IF(VLOOKUP(BO40,SectInfo!$B:$N,8,FALSE)="",VLOOKUP(AU40,$DF$2:$DN$9,6,FALSE),(VLOOKUP(BO40,SectInfo!$B:$N,8,FALSE))))</x:f>
        <x:v/>
      </x:c>
      <x:c r="DM40" s="1046" t="str">
        <x:f>IF(BO40="","",VLOOKUP(BO40,SectInfo!$B:$N,9,FALSE))</x:f>
        <x:v/>
      </x:c>
      <x:c r="DN40" s="1047">
        <x:f t="shared" si="44"/>
        <x:v>0</x:v>
      </x:c>
      <x:c r="DO40" s="1049">
        <x:f t="shared" si="45"/>
        <x:v>0</x:v>
      </x:c>
      <x:c r="DP40" s="1053" t="str">
        <x:f t="shared" si="46"/>
        <x:v/>
      </x:c>
      <x:c r="DQ40" s="1053" t="str">
        <x:f t="shared" si="47"/>
        <x:v/>
      </x:c>
      <x:c r="DR40" s="1053" t="str">
        <x:f t="shared" si="48"/>
        <x:v/>
      </x:c>
      <x:c r="DS40" s="1052">
        <x:f t="shared" si="49"/>
        <x:v>0</x:v>
      </x:c>
      <x:c r="DT40" s="1052">
        <x:f t="shared" si="50"/>
        <x:v>0</x:v>
      </x:c>
      <x:c r="DU40" s="1052" t="str">
        <x:f t="shared" si="51"/>
        <x:v/>
      </x:c>
      <x:c r="DV40" s="1053" t="str">
        <x:f t="shared" si="52"/>
        <x:v/>
      </x:c>
      <x:c r="DW40" s="1053" t="str">
        <x:f t="shared" si="53"/>
        <x:v/>
      </x:c>
      <x:c r="DX40" s="1269">
        <x:f t="shared" si="54"/>
        <x:v>0</x:v>
      </x:c>
      <x:c r="DY40" s="1053">
        <x:f t="shared" si="55"/>
        <x:v>0</x:v>
      </x:c>
      <x:c r="DZ40" s="1052">
        <x:f t="shared" si="56"/>
        <x:v>0</x:v>
      </x:c>
      <x:c r="EA40" s="1052" t="str">
        <x:f t="shared" si="57"/>
        <x:v/>
      </x:c>
      <x:c r="EB40" s="1053" t="str">
        <x:f t="shared" si="58"/>
        <x:v/>
      </x:c>
      <x:c r="EC40" s="1053" t="str">
        <x:f t="shared" si="59"/>
        <x:v/>
      </x:c>
      <x:c r="ED40" s="1269">
        <x:f t="shared" si="60"/>
        <x:v>0</x:v>
      </x:c>
      <x:c r="EE40" s="1090" t="str">
        <x:f t="shared" si="61"/>
        <x:v/>
      </x:c>
      <x:c r="EF40" s="1053" t="str">
        <x:f t="shared" si="62"/>
        <x:v/>
      </x:c>
      <x:c r="EG40" s="1053" t="str">
        <x:f t="shared" si="63"/>
        <x:v/>
      </x:c>
      <x:c r="EH40" s="1053" t="e">
        <x:f t="shared" si="64"/>
        <x:v>#N/A</x:v>
      </x:c>
      <x:c r="EI40" s="1053" t="e">
        <x:f t="shared" si="65"/>
        <x:v>#N/A</x:v>
      </x:c>
      <x:c r="EJ40" s="1053" t="str">
        <x:f t="shared" si="66"/>
        <x:v/>
      </x:c>
      <x:c r="EK40" s="1053" t="str">
        <x:f t="shared" si="66"/>
        <x:v/>
      </x:c>
      <x:c r="EL40" s="1090" t="str">
        <x:f t="shared" si="67"/>
        <x:v/>
      </x:c>
      <x:c r="EM40" s="1053" t="str">
        <x:f t="shared" si="68"/>
        <x:v/>
      </x:c>
      <x:c r="EN40" s="1053" t="str">
        <x:f t="shared" si="69"/>
        <x:v/>
      </x:c>
      <x:c r="EO40" s="1053" t="e">
        <x:f t="shared" si="70"/>
        <x:v>#N/A</x:v>
      </x:c>
      <x:c r="EP40" s="1053" t="e">
        <x:f t="shared" si="71"/>
        <x:v>#N/A</x:v>
      </x:c>
      <x:c r="EQ40" s="1053" t="str">
        <x:f t="shared" si="72"/>
        <x:v/>
      </x:c>
      <x:c r="ER40" s="1053" t="str">
        <x:f t="shared" si="72"/>
        <x:v/>
      </x:c>
      <x:c r="ES40" s="1053" t="str">
        <x:f t="shared" si="73"/>
        <x:v/>
      </x:c>
      <x:c r="ET40" s="1053" t="str">
        <x:f t="shared" si="74"/>
        <x:v/>
      </x:c>
      <x:c r="EU40" s="1061" t="str">
        <x:f t="shared" si="75"/>
        <x:v/>
      </x:c>
      <x:c r="EV40" s="1055" t="str">
        <x:f t="shared" si="76"/>
        <x:v/>
      </x:c>
      <x:c r="EW40" s="1061"/>
      <x:c r="EX40" s="1061" t="str">
        <x:f>IF(AND(CU40="G", ISBLANK(BK40), ISBLANK(BL40)),VLOOKUP(MIN(BH40:BI40),TblJoistSize!$M$3:$N$10,2),IF(OR(CU40="B",CU40="G"),MIN(BK40:BL40),""))</x:f>
        <x:v/>
      </x:c>
      <x:c r="EY40" s="1061" t="str">
        <x:f>IF(AND(CU40="G", ISBLANK(BK40), ISBLANK(BL40)),VLOOKUP(MAX(BH40:BI40),TblJoistSize!$M$3:$N$10,2),IF(OR(CU40="B",CU40="G"),MAX(BK40:BL40),""))</x:f>
        <x:v/>
      </x:c>
      <x:c r="EZ40" s="1061" t="str">
        <x:f t="shared" si="77"/>
        <x:v/>
      </x:c>
      <x:c r="FA40" s="1061" t="str">
        <x:f>IF(AND(DE40="G", ISBLANK(BS40), ISBLANK(BT40)),VLOOKUP(MIN(BP40:BQ40),TblJoistSize!$M$3:$N$10,2),IF(OR(DE40="B", DE40="G"),MIN(BS40:BT40),""))</x:f>
        <x:v/>
      </x:c>
      <x:c r="FB40" s="1061" t="str">
        <x:f>IF(AND(DE40="G", ISBLANK(BS40), ISBLANK(BT40)),VLOOKUP(MAX(BP40:BQ40),TblJoistSize!$M$3:$N$10,2),IF(OR(DE40="B", DE40="G"),MAX(BS40:BT40),""))</x:f>
        <x:v/>
      </x:c>
      <x:c r="FC40" s="1061" t="str">
        <x:f t="shared" si="78"/>
        <x:v/>
      </x:c>
      <x:c r="FD40" s="1052">
        <x:f t="shared" si="100"/>
        <x:v>0</x:v>
      </x:c>
      <x:c r="FE40" s="1052">
        <x:f t="shared" si="79"/>
        <x:v>0</x:v>
      </x:c>
      <x:c r="FF40" s="1052">
        <x:f t="shared" si="80"/>
        <x:v>0</x:v>
      </x:c>
      <x:c r="FG40" s="1052" t="str">
        <x:f t="shared" si="81"/>
        <x:v/>
      </x:c>
      <x:c r="FH40" s="1053" t="str">
        <x:f t="shared" si="82"/>
        <x:v/>
      </x:c>
      <x:c r="FI40" s="1052">
        <x:f t="shared" si="101"/>
        <x:v>0</x:v>
      </x:c>
      <x:c r="FJ40" s="1052">
        <x:f t="shared" si="83"/>
        <x:v>0</x:v>
      </x:c>
      <x:c r="FK40" s="1052">
        <x:f t="shared" si="84"/>
        <x:v>0</x:v>
      </x:c>
      <x:c r="FL40" s="1052" t="str">
        <x:f t="shared" si="85"/>
        <x:v/>
      </x:c>
      <x:c r="FM40" s="1053" t="str">
        <x:f t="shared" si="86"/>
        <x:v/>
      </x:c>
      <x:c r="FN40" s="1053" t="e">
        <x:f t="shared" si="87"/>
        <x:v>#VALUE!</x:v>
      </x:c>
      <x:c r="FO40" s="1062" t="e">
        <x:f t="shared" si="88"/>
        <x:v>#VALUE!</x:v>
      </x:c>
      <x:c r="FP40" s="1062" t="e">
        <x:f t="shared" si="89"/>
        <x:v>#VALUE!</x:v>
      </x:c>
      <x:c r="FQ40" s="1063" t="e">
        <x:f t="shared" si="90"/>
        <x:v>#VALUE!</x:v>
      </x:c>
      <x:c r="FR40" s="1064" t="e">
        <x:f t="shared" si="91"/>
        <x:v>#VALUE!</x:v>
      </x:c>
      <x:c r="FS40" s="1065" t="str">
        <x:f t="shared" si="92"/>
        <x:v/>
      </x:c>
      <x:c r="FT40" s="1066" t="str">
        <x:f t="shared" si="93"/>
        <x:v/>
      </x:c>
      <x:c r="FU40" s="1105">
        <x:f t="shared" si="94"/>
        <x:v>0</x:v>
      </x:c>
      <x:c r="FV40" s="1106">
        <x:f t="shared" si="95"/>
        <x:v>0</x:v>
      </x:c>
      <x:c r="GA40" s="1975" t="str">
        <x:f t="shared" si="118"/>
        <x:v/>
      </x:c>
      <x:c r="GB40" s="1976" t="str">
        <x:f t="shared" si="119"/>
        <x:v/>
      </x:c>
      <x:c r="GC40" s="1977" t="str">
        <x:f t="shared" si="120"/>
        <x:v/>
      </x:c>
      <x:c r="GD40" s="1978" t="str">
        <x:f t="shared" si="121"/>
        <x:v/>
      </x:c>
      <x:c r="GE40" s="1979" t="str">
        <x:f t="shared" si="122"/>
        <x:v/>
      </x:c>
      <x:c r="GF40" s="1980" t="str">
        <x:f t="shared" si="96"/>
        <x:v/>
      </x:c>
      <x:c r="GG40" s="1453"/>
      <x:c r="GH40" s="1454"/>
      <x:c r="GI40" s="1453"/>
      <x:c r="GJ40" s="1454"/>
      <x:c r="GK40" s="533">
        <x:f t="shared" si="97"/>
        <x:v>0</x:v>
      </x:c>
      <x:c r="GL40" s="534" t="e">
        <x:f t="shared" si="98"/>
        <x:v>#VALUE!</x:v>
      </x:c>
      <x:c r="GM40" s="535" t="e">
        <x:f>IF(ABS(GK40-GL40)&gt;='Job Info.'!$L$22,ABS(GK40-GL40),0)</x:f>
        <x:v>#VALUE!</x:v>
      </x:c>
      <x:c r="HA40" s="1658"/>
      <x:c r="HB40" s="1659"/>
      <x:c r="HC40" s="1659"/>
      <x:c r="HD40" s="1660"/>
      <x:c r="HE40" s="1661"/>
      <x:c r="HF40" s="1659"/>
      <x:c r="HG40" s="1659"/>
      <x:c r="HH40" s="1659"/>
      <x:c r="HI40" s="1662"/>
      <x:c r="HJ40" s="1659"/>
      <x:c r="HK40" s="1659"/>
      <x:c r="HL40" s="1659"/>
      <x:c r="HM40" s="1659"/>
      <x:c r="HN40" s="1659"/>
      <x:c r="HO40" s="1659"/>
      <x:c r="HP40" s="1659"/>
      <x:c r="HQ40" s="1662"/>
      <x:c r="HR40" s="1659"/>
      <x:c r="HS40" s="1659"/>
      <x:c r="HT40" s="1659"/>
      <x:c r="HU40" s="1659"/>
      <x:c r="HV40" s="1659"/>
      <x:c r="HW40" s="1661"/>
      <x:c r="HX40" s="1661"/>
      <x:c r="HY40" s="1661"/>
      <x:c r="HZ40" s="1661"/>
      <x:c r="IA40" s="1661"/>
      <x:c r="IB40" s="1661"/>
      <x:c r="IC40" s="1661"/>
      <x:c r="ID40" s="1661"/>
      <x:c r="IE40" s="1661"/>
      <x:c r="IF40" s="1663"/>
    </x:row>
    <x:row r="41" spans="1:240" ht="12.6" customHeight="1" x14ac:dyDescent="0.25">
      <x:c r="A41" s="1264" t="str">
        <x:f t="shared" si="110"/>
        <x:v/>
      </x:c>
      <x:c r="B41" s="1265"/>
      <x:c r="C41" s="1265" t="str">
        <x:f t="shared" si="111"/>
        <x:v/>
      </x:c>
      <x:c r="D41" s="1261" t="str">
        <x:f t="shared" si="112"/>
        <x:v/>
      </x:c>
      <x:c r="E41" s="1366" t="str">
        <x:f t="shared" si="113"/>
        <x:v/>
      </x:c>
      <x:c r="F41" s="1328" t="str">
        <x:f t="shared" si="102"/>
        <x:v/>
      </x:c>
      <x:c r="G41" s="1262" t="str">
        <x:f t="shared" si="103"/>
        <x:v/>
      </x:c>
      <x:c r="H41" s="1266" t="str">
        <x:f t="shared" si="104"/>
        <x:v/>
      </x:c>
      <x:c r="I41" s="1261" t="str">
        <x:f t="shared" si="114"/>
        <x:v/>
      </x:c>
      <x:c r="J41" s="1262" t="str">
        <x:f t="shared" si="115"/>
        <x:v/>
      </x:c>
      <x:c r="K41" s="1370" t="str">
        <x:f t="shared" si="116"/>
        <x:v/>
      </x:c>
      <x:c r="L41" s="1327" t="str">
        <x:f t="shared" si="117"/>
        <x:v/>
      </x:c>
      <x:c r="M41" s="1329" t="str">
        <x:f t="shared" si="117"/>
        <x:v/>
      </x:c>
      <x:c r="N41" s="1263" t="str">
        <x:f t="shared" si="1"/>
        <x:v/>
      </x:c>
      <x:c r="O41" s="1262" t="str">
        <x:f t="shared" si="2"/>
        <x:v/>
      </x:c>
      <x:c r="P41" s="1260" t="str">
        <x:f t="shared" si="3"/>
        <x:v/>
      </x:c>
      <x:c r="Q41" s="1261" t="str">
        <x:f t="shared" si="4"/>
        <x:v/>
      </x:c>
      <x:c r="R41" s="1262" t="str">
        <x:f t="shared" si="5"/>
        <x:v/>
      </x:c>
      <x:c r="S41" s="1375" t="str">
        <x:f t="shared" si="6"/>
        <x:v/>
      </x:c>
      <x:c r="T41" s="1328" t="str">
        <x:f t="shared" si="105"/>
        <x:v/>
      </x:c>
      <x:c r="U41" s="1262" t="str">
        <x:f t="shared" si="106"/>
        <x:v/>
      </x:c>
      <x:c r="V41" s="1261" t="str">
        <x:f t="shared" si="107"/>
        <x:v/>
      </x:c>
      <x:c r="W41" s="1262" t="str">
        <x:f t="shared" si="108"/>
        <x:v/>
      </x:c>
      <x:c r="X41" s="1329">
        <x:f t="shared" si="109"/>
        <x:v>0</x:v>
      </x:c>
      <x:c r="Y41" s="1377" t="str">
        <x:f t="shared" si="7"/>
        <x:v/>
      </x:c>
      <x:c r="Z41" s="1378" t="str">
        <x:f t="shared" si="8"/>
        <x:v/>
      </x:c>
      <x:c r="AA41" s="2159"/>
      <x:c r="AC41" s="1226" t="b">
        <x:v>0</x:v>
      </x:c>
      <x:c r="AD41" s="525">
        <x:f t="shared" si="9"/>
        <x:v>0</x:v>
      </x:c>
      <x:c r="AE41" s="526">
        <x:f t="shared" si="10"/>
        <x:v>0</x:v>
      </x:c>
      <x:c r="AF41" s="526">
        <x:f t="shared" si="11"/>
        <x:v>0</x:v>
      </x:c>
      <x:c r="AG41" s="526">
        <x:f t="shared" si="12"/>
        <x:v>0</x:v>
      </x:c>
      <x:c r="AH41" s="527">
        <x:f t="shared" si="13"/>
        <x:v>0</x:v>
      </x:c>
      <x:c r="AI41" s="528" t="b">
        <x:v>0</x:v>
      </x:c>
      <x:c r="AJ41" s="284">
        <x:f t="shared" si="14"/>
        <x:v>0</x:v>
      </x:c>
      <x:c r="AK41" s="1063" t="str">
        <x:f t="shared" si="15"/>
        <x:v/>
      </x:c>
      <x:c r="AL41" s="1202" t="str">
        <x:f t="shared" si="16"/>
        <x:v/>
      </x:c>
      <x:c r="AM41" s="1063" t="str">
        <x:f t="shared" si="17"/>
        <x:v/>
      </x:c>
      <x:c r="AN41" s="1063" t="str">
        <x:f t="shared" si="18"/>
        <x:v/>
      </x:c>
      <x:c r="AO41" s="1063" t="str">
        <x:f t="shared" si="19"/>
        <x:v/>
      </x:c>
      <x:c r="AP41" s="1063" t="b">
        <x:f>IF(ISERROR(AJ41),FALSE,IF(OR(AJ41=0,ISERROR(AL41),ISERROR(AM41),ISERROR(AN41),ISERROR(AO41)),FALSE,IF(AL41&lt;&gt;"",IF(ISERROR(VLOOKUP(SUBSTITUTE(SUBSTITUTE(C41,"R",""),"A",""),TblJoistSize!$A:$A,1,FALSE)),FALSE,TRUE),TRUE)))</x:f>
        <x:v>0</x:v>
      </x:c>
      <x:c r="AQ41" s="1305" t="e">
        <x:f t="shared" si="20"/>
        <x:v>#N/A</x:v>
      </x:c>
      <x:c r="AR41" s="1305" t="b">
        <x:f t="shared" si="21"/>
        <x:v>0</x:v>
      </x:c>
      <x:c r="AS41" s="1305" t="e">
        <x:f t="shared" si="22"/>
        <x:v>#N/A</x:v>
      </x:c>
      <x:c r="AT41" s="1305" t="b">
        <x:f t="shared" si="23"/>
        <x:v>0</x:v>
      </x:c>
      <x:c r="AU41" s="1203" t="str">
        <x:f t="shared" si="24"/>
        <x:v/>
      </x:c>
      <x:c r="AV41" s="1063" t="str">
        <x:f t="shared" si="25"/>
        <x:v/>
      </x:c>
      <x:c r="AW41" s="1063" t="str">
        <x:f t="shared" si="26"/>
        <x:v/>
      </x:c>
      <x:c r="AX41" s="1063" t="str">
        <x:f t="shared" si="99"/>
        <x:v/>
      </x:c>
      <x:c r="AY41" s="1306" t="b">
        <x:f t="shared" si="27"/>
        <x:v>0</x:v>
      </x:c>
      <x:c r="AZ41" s="1090" t="str">
        <x:f t="shared" si="28"/>
        <x:v/>
      </x:c>
      <x:c r="BA41" s="674"/>
      <x:c r="BB41" s="842"/>
      <x:c r="BC41" s="894"/>
      <x:c r="BD41" s="926"/>
      <x:c r="BE41" s="927"/>
      <x:c r="BF41" s="928"/>
      <x:c r="BG41" s="901"/>
      <x:c r="BH41" s="1244"/>
      <x:c r="BI41" s="1245"/>
      <x:c r="BJ41" s="929"/>
      <x:c r="BK41" s="902"/>
      <x:c r="BL41" s="903"/>
      <x:c r="BM41" s="904"/>
      <x:c r="BN41" s="905"/>
      <x:c r="BO41" s="901"/>
      <x:c r="BP41" s="902"/>
      <x:c r="BQ41" s="903"/>
      <x:c r="BR41" s="929"/>
      <x:c r="BS41" s="902"/>
      <x:c r="BT41" s="903"/>
      <x:c r="BU41" s="904"/>
      <x:c r="BV41" s="905"/>
      <x:c r="BW41" s="906"/>
      <x:c r="BX41" s="930"/>
      <x:c r="BY41" s="931"/>
      <x:c r="BZ41" s="932"/>
      <x:c r="CA41" s="933"/>
      <x:c r="CB41" s="932"/>
      <x:c r="CC41" s="933"/>
      <x:c r="CD41" s="934" t="str">
        <x:f t="shared" si="29"/>
        <x:v/>
      </x:c>
      <x:c r="CE41" s="935" t="str">
        <x:f t="shared" si="30"/>
        <x:v/>
      </x:c>
      <x:c r="CF41" s="1149"/>
      <x:c r="CG41" s="1150"/>
      <x:c r="CH41" s="738" t="str">
        <x:f t="shared" si="31"/>
        <x:v/>
      </x:c>
      <x:c r="CI41" s="739" t="str">
        <x:f t="shared" si="32"/>
        <x:v/>
      </x:c>
      <x:c r="CJ41" s="740" t="str">
        <x:f t="shared" si="33"/>
        <x:v/>
      </x:c>
      <x:c r="CK41" s="741" t="str">
        <x:f t="shared" si="34"/>
        <x:v/>
      </x:c>
      <x:c r="CL41" s="742" t="str">
        <x:f t="shared" si="35"/>
        <x:v/>
      </x:c>
      <x:c r="CM41" s="743" t="str">
        <x:f t="shared" si="36"/>
        <x:v/>
      </x:c>
      <x:c r="CN41" s="744" t="str">
        <x:f t="shared" si="37"/>
        <x:v/>
      </x:c>
      <x:c r="CO41" s="745" t="str">
        <x:f t="shared" si="38"/>
        <x:v/>
      </x:c>
      <x:c r="CP41" s="762" t="str">
        <x:f t="shared" si="39"/>
        <x:v/>
      </x:c>
      <x:c r="CQ41" s="763" t="str">
        <x:f t="shared" si="40"/>
        <x:v/>
      </x:c>
      <x:c r="CR41" s="953" t="str">
        <x:f t="shared" si="41"/>
        <x:v/>
      </x:c>
      <x:c r="CS41" s="954" t="str">
        <x:f t="shared" si="42"/>
        <x:v/>
      </x:c>
      <x:c r="CU41" s="1048" t="str">
        <x:f>IF(BG41="","",VLOOKUP(BG41,SectInfo!$B:$N,12,FALSE))</x:f>
        <x:v/>
      </x:c>
      <x:c r="CV41" s="1046" t="str">
        <x:f>IF(BG41="","",IF(ISBLANK(BZ41),VLOOKUP(BG41,SectInfo!$B:$N,13,FALSE),BZ41))</x:f>
        <x:v/>
      </x:c>
      <x:c r="CW41" s="1046" t="str">
        <x:f>IF(BG41="","",IF(VLOOKUP(BG41,SectInfo!$B:$N,5,FALSE)="","R",UPPER(VLOOKUP(BG41,SectInfo!$B:$N,5,FALSE))))</x:f>
        <x:v/>
      </x:c>
      <x:c r="CX41" s="1046" t="str">
        <x:f>IF(BG41="","",IF(ISBLANK(CF41),VLOOKUP(BG41,SectInfo!$B:$N,6,FALSE),CF41))</x:f>
        <x:v/>
      </x:c>
      <x:c r="CY41" s="1276" t="str">
        <x:f>IF(BG41="","",IF(VLOOKUP(BG41,SectInfo!$B:$N,10,FALSE)="","",(VLOOKUP(BG41,SectInfo!$B:$N,10,FALSE)*-1)))</x:f>
        <x:v/>
      </x:c>
      <x:c r="CZ41" s="1443" t="str">
        <x:f>IF(BG41="","",IF(VLOOKUP(BG41,SectInfo!$B:$N,11,FALSE)="","2",(VLOOKUP(BG41,SectInfo!$B:$N,11,FALSE))))</x:f>
        <x:v/>
      </x:c>
      <x:c r="DA41" s="1046" t="str">
        <x:f>IF(BG41="","",IF(VLOOKUP(BG41,SectInfo!$B:$N,7,FALSE)="","",(VLOOKUP(BG41,SectInfo!$B:$N,7,FALSE)*-1)))</x:f>
        <x:v/>
      </x:c>
      <x:c r="DB41" s="1046" t="str">
        <x:f>IF(BG41="","",IF(VLOOKUP(BG41,SectInfo!$B:$N,8,FALSE)="",VLOOKUP(AU41,$DF$2:$DN$9,6,FALSE),(VLOOKUP(BG41,SectInfo!$B:$N,8,FALSE))))</x:f>
        <x:v/>
      </x:c>
      <x:c r="DC41" s="1046" t="str">
        <x:f>IF(BG41="","",VLOOKUP(BG41,SectInfo!$B:$N,9,FALSE))</x:f>
        <x:v/>
      </x:c>
      <x:c r="DD41" s="1047">
        <x:f t="shared" si="43"/>
        <x:v>0</x:v>
      </x:c>
      <x:c r="DE41" s="1048" t="str">
        <x:f>IF(BO41="","",VLOOKUP(BO41,SectInfo!$B:$N,12,FALSE))</x:f>
        <x:v/>
      </x:c>
      <x:c r="DF41" s="1046" t="str">
        <x:f>IF(BO41="","",IF(ISBLANK(CA41),VLOOKUP(BO41,SectInfo!$B:$N,13,FALSE),CA41))</x:f>
        <x:v/>
      </x:c>
      <x:c r="DG41" s="1046" t="str">
        <x:f>IF(BO41="","",IF(VLOOKUP(BO41,SectInfo!$B:$N,5,FALSE)="","R",UPPER(VLOOKUP(BO41,SectInfo!$B:$N,5,FALSE))))</x:f>
        <x:v/>
      </x:c>
      <x:c r="DH41" s="1046" t="str">
        <x:f>IF(BO41="","",IF(ISBLANK(CG41),VLOOKUP(BO41,SectInfo!$B:$N,6,FALSE),CG41))</x:f>
        <x:v/>
      </x:c>
      <x:c r="DI41" s="1046" t="str">
        <x:f>IF(BO41="","",IF(VLOOKUP(BO41,SectInfo!$B:$N,10,FALSE)="","",(VLOOKUP(BO41,SectInfo!$B:$N,10,FALSE)*-1)))</x:f>
        <x:v/>
      </x:c>
      <x:c r="DJ41" s="1443" t="str">
        <x:f>IF(BO41="","",IF(VLOOKUP(BO41,SectInfo!$B:$N,11,FALSE)="","2",(VLOOKUP(BO41,SectInfo!$B:$N,11,FALSE))))</x:f>
        <x:v/>
      </x:c>
      <x:c r="DK41" s="1046" t="str">
        <x:f>IF(BO41="","",IF(VLOOKUP(BO41,SectInfo!$B:$N,7,FALSE)="","",(VLOOKUP(BO41,SectInfo!$B:$N,7,FALSE)*-1)))</x:f>
        <x:v/>
      </x:c>
      <x:c r="DL41" s="1046" t="str">
        <x:f>IF(BO41="","",IF(VLOOKUP(BO41,SectInfo!$B:$N,8,FALSE)="",VLOOKUP(AU41,$DF$2:$DN$9,6,FALSE),(VLOOKUP(BO41,SectInfo!$B:$N,8,FALSE))))</x:f>
        <x:v/>
      </x:c>
      <x:c r="DM41" s="1046" t="str">
        <x:f>IF(BO41="","",VLOOKUP(BO41,SectInfo!$B:$N,9,FALSE))</x:f>
        <x:v/>
      </x:c>
      <x:c r="DN41" s="1047">
        <x:f t="shared" si="44"/>
        <x:v>0</x:v>
      </x:c>
      <x:c r="DO41" s="1049">
        <x:f t="shared" si="45"/>
        <x:v>0</x:v>
      </x:c>
      <x:c r="DP41" s="1053" t="str">
        <x:f t="shared" si="46"/>
        <x:v/>
      </x:c>
      <x:c r="DQ41" s="1053" t="str">
        <x:f t="shared" si="47"/>
        <x:v/>
      </x:c>
      <x:c r="DR41" s="1053" t="str">
        <x:f t="shared" si="48"/>
        <x:v/>
      </x:c>
      <x:c r="DS41" s="1052">
        <x:f t="shared" si="49"/>
        <x:v>0</x:v>
      </x:c>
      <x:c r="DT41" s="1052">
        <x:f t="shared" si="50"/>
        <x:v>0</x:v>
      </x:c>
      <x:c r="DU41" s="1052" t="str">
        <x:f t="shared" si="51"/>
        <x:v/>
      </x:c>
      <x:c r="DV41" s="1053" t="str">
        <x:f t="shared" si="52"/>
        <x:v/>
      </x:c>
      <x:c r="DW41" s="1053" t="str">
        <x:f t="shared" si="53"/>
        <x:v/>
      </x:c>
      <x:c r="DX41" s="1269">
        <x:f t="shared" si="54"/>
        <x:v>0</x:v>
      </x:c>
      <x:c r="DY41" s="1053">
        <x:f t="shared" si="55"/>
        <x:v>0</x:v>
      </x:c>
      <x:c r="DZ41" s="1052">
        <x:f t="shared" si="56"/>
        <x:v>0</x:v>
      </x:c>
      <x:c r="EA41" s="1052" t="str">
        <x:f t="shared" si="57"/>
        <x:v/>
      </x:c>
      <x:c r="EB41" s="1053" t="str">
        <x:f t="shared" si="58"/>
        <x:v/>
      </x:c>
      <x:c r="EC41" s="1053" t="str">
        <x:f t="shared" si="59"/>
        <x:v/>
      </x:c>
      <x:c r="ED41" s="1269">
        <x:f t="shared" si="60"/>
        <x:v>0</x:v>
      </x:c>
      <x:c r="EE41" s="1090" t="str">
        <x:f t="shared" si="61"/>
        <x:v/>
      </x:c>
      <x:c r="EF41" s="1053" t="str">
        <x:f t="shared" si="62"/>
        <x:v/>
      </x:c>
      <x:c r="EG41" s="1053" t="str">
        <x:f t="shared" si="63"/>
        <x:v/>
      </x:c>
      <x:c r="EH41" s="1053" t="e">
        <x:f t="shared" si="64"/>
        <x:v>#N/A</x:v>
      </x:c>
      <x:c r="EI41" s="1053" t="e">
        <x:f t="shared" si="65"/>
        <x:v>#N/A</x:v>
      </x:c>
      <x:c r="EJ41" s="1053" t="str">
        <x:f t="shared" si="66"/>
        <x:v/>
      </x:c>
      <x:c r="EK41" s="1053" t="str">
        <x:f t="shared" si="66"/>
        <x:v/>
      </x:c>
      <x:c r="EL41" s="1090" t="str">
        <x:f t="shared" si="67"/>
        <x:v/>
      </x:c>
      <x:c r="EM41" s="1053" t="str">
        <x:f t="shared" si="68"/>
        <x:v/>
      </x:c>
      <x:c r="EN41" s="1053" t="str">
        <x:f t="shared" si="69"/>
        <x:v/>
      </x:c>
      <x:c r="EO41" s="1053" t="e">
        <x:f t="shared" si="70"/>
        <x:v>#N/A</x:v>
      </x:c>
      <x:c r="EP41" s="1053" t="e">
        <x:f t="shared" si="71"/>
        <x:v>#N/A</x:v>
      </x:c>
      <x:c r="EQ41" s="1053" t="str">
        <x:f t="shared" si="72"/>
        <x:v/>
      </x:c>
      <x:c r="ER41" s="1053" t="str">
        <x:f t="shared" si="72"/>
        <x:v/>
      </x:c>
      <x:c r="ES41" s="1053" t="str">
        <x:f t="shared" si="73"/>
        <x:v/>
      </x:c>
      <x:c r="ET41" s="1053" t="str">
        <x:f t="shared" si="74"/>
        <x:v/>
      </x:c>
      <x:c r="EU41" s="1061" t="str">
        <x:f t="shared" si="75"/>
        <x:v/>
      </x:c>
      <x:c r="EV41" s="1055" t="str">
        <x:f t="shared" si="76"/>
        <x:v/>
      </x:c>
      <x:c r="EW41" s="1061"/>
      <x:c r="EX41" s="1061" t="str">
        <x:f>IF(AND(CU41="G", ISBLANK(BK41), ISBLANK(BL41)),VLOOKUP(MIN(BH41:BI41),TblJoistSize!$M$3:$N$10,2),IF(OR(CU41="B",CU41="G"),MIN(BK41:BL41),""))</x:f>
        <x:v/>
      </x:c>
      <x:c r="EY41" s="1061" t="str">
        <x:f>IF(AND(CU41="G", ISBLANK(BK41), ISBLANK(BL41)),VLOOKUP(MAX(BH41:BI41),TblJoistSize!$M$3:$N$10,2),IF(OR(CU41="B",CU41="G"),MAX(BK41:BL41),""))</x:f>
        <x:v/>
      </x:c>
      <x:c r="EZ41" s="1061" t="str">
        <x:f t="shared" si="77"/>
        <x:v/>
      </x:c>
      <x:c r="FA41" s="1061" t="str">
        <x:f>IF(AND(DE41="G", ISBLANK(BS41), ISBLANK(BT41)),VLOOKUP(MIN(BP41:BQ41),TblJoistSize!$M$3:$N$10,2),IF(OR(DE41="B", DE41="G"),MIN(BS41:BT41),""))</x:f>
        <x:v/>
      </x:c>
      <x:c r="FB41" s="1061" t="str">
        <x:f>IF(AND(DE41="G", ISBLANK(BS41), ISBLANK(BT41)),VLOOKUP(MAX(BP41:BQ41),TblJoistSize!$M$3:$N$10,2),IF(OR(DE41="B", DE41="G"),MAX(BS41:BT41),""))</x:f>
        <x:v/>
      </x:c>
      <x:c r="FC41" s="1061" t="str">
        <x:f t="shared" si="78"/>
        <x:v/>
      </x:c>
      <x:c r="FD41" s="1052">
        <x:f t="shared" si="100"/>
        <x:v>0</x:v>
      </x:c>
      <x:c r="FE41" s="1052">
        <x:f t="shared" si="79"/>
        <x:v>0</x:v>
      </x:c>
      <x:c r="FF41" s="1052">
        <x:f t="shared" si="80"/>
        <x:v>0</x:v>
      </x:c>
      <x:c r="FG41" s="1052" t="str">
        <x:f t="shared" si="81"/>
        <x:v/>
      </x:c>
      <x:c r="FH41" s="1053" t="str">
        <x:f t="shared" si="82"/>
        <x:v/>
      </x:c>
      <x:c r="FI41" s="1052">
        <x:f t="shared" si="101"/>
        <x:v>0</x:v>
      </x:c>
      <x:c r="FJ41" s="1052">
        <x:f t="shared" si="83"/>
        <x:v>0</x:v>
      </x:c>
      <x:c r="FK41" s="1052">
        <x:f t="shared" si="84"/>
        <x:v>0</x:v>
      </x:c>
      <x:c r="FL41" s="1052" t="str">
        <x:f t="shared" si="85"/>
        <x:v/>
      </x:c>
      <x:c r="FM41" s="1053" t="str">
        <x:f t="shared" si="86"/>
        <x:v/>
      </x:c>
      <x:c r="FN41" s="1053" t="e">
        <x:f t="shared" si="87"/>
        <x:v>#VALUE!</x:v>
      </x:c>
      <x:c r="FO41" s="1062" t="e">
        <x:f t="shared" si="88"/>
        <x:v>#VALUE!</x:v>
      </x:c>
      <x:c r="FP41" s="1062" t="e">
        <x:f t="shared" si="89"/>
        <x:v>#VALUE!</x:v>
      </x:c>
      <x:c r="FQ41" s="1063" t="e">
        <x:f t="shared" si="90"/>
        <x:v>#VALUE!</x:v>
      </x:c>
      <x:c r="FR41" s="1064" t="e">
        <x:f t="shared" si="91"/>
        <x:v>#VALUE!</x:v>
      </x:c>
      <x:c r="FS41" s="1065" t="str">
        <x:f t="shared" si="92"/>
        <x:v/>
      </x:c>
      <x:c r="FT41" s="1066" t="str">
        <x:f t="shared" si="93"/>
        <x:v/>
      </x:c>
      <x:c r="FU41" s="1105">
        <x:f t="shared" si="94"/>
        <x:v>0</x:v>
      </x:c>
      <x:c r="FV41" s="1106">
        <x:f t="shared" si="95"/>
        <x:v>0</x:v>
      </x:c>
      <x:c r="GA41" s="1975" t="str">
        <x:f t="shared" si="118"/>
        <x:v/>
      </x:c>
      <x:c r="GB41" s="1976" t="str">
        <x:f t="shared" si="119"/>
        <x:v/>
      </x:c>
      <x:c r="GC41" s="1977" t="str">
        <x:f t="shared" si="120"/>
        <x:v/>
      </x:c>
      <x:c r="GD41" s="1978" t="str">
        <x:f t="shared" si="121"/>
        <x:v/>
      </x:c>
      <x:c r="GE41" s="1979" t="str">
        <x:f t="shared" si="122"/>
        <x:v/>
      </x:c>
      <x:c r="GF41" s="1980" t="str">
        <x:f t="shared" si="96"/>
        <x:v/>
      </x:c>
      <x:c r="GG41" s="1453"/>
      <x:c r="GH41" s="1454"/>
      <x:c r="GI41" s="1453"/>
      <x:c r="GJ41" s="1454"/>
      <x:c r="GK41" s="533">
        <x:f t="shared" si="97"/>
        <x:v>0</x:v>
      </x:c>
      <x:c r="GL41" s="534" t="e">
        <x:f t="shared" si="98"/>
        <x:v>#VALUE!</x:v>
      </x:c>
      <x:c r="GM41" s="535" t="e">
        <x:f>IF(ABS(GK41-GL41)&gt;='Job Info.'!$L$22,ABS(GK41-GL41),0)</x:f>
        <x:v>#VALUE!</x:v>
      </x:c>
      <x:c r="HA41" s="1658"/>
      <x:c r="HB41" s="1659"/>
      <x:c r="HC41" s="1659"/>
      <x:c r="HD41" s="1660"/>
      <x:c r="HE41" s="1661"/>
      <x:c r="HF41" s="1659"/>
      <x:c r="HG41" s="1659"/>
      <x:c r="HH41" s="1659"/>
      <x:c r="HI41" s="1662"/>
      <x:c r="HJ41" s="1659"/>
      <x:c r="HK41" s="1659"/>
      <x:c r="HL41" s="1659"/>
      <x:c r="HM41" s="1659"/>
      <x:c r="HN41" s="1659"/>
      <x:c r="HO41" s="1659"/>
      <x:c r="HP41" s="1659"/>
      <x:c r="HQ41" s="1662"/>
      <x:c r="HR41" s="1659"/>
      <x:c r="HS41" s="1659"/>
      <x:c r="HT41" s="1659"/>
      <x:c r="HU41" s="1659"/>
      <x:c r="HV41" s="1659"/>
      <x:c r="HW41" s="1661"/>
      <x:c r="HX41" s="1661"/>
      <x:c r="HY41" s="1661"/>
      <x:c r="HZ41" s="1661"/>
      <x:c r="IA41" s="1661"/>
      <x:c r="IB41" s="1661"/>
      <x:c r="IC41" s="1661"/>
      <x:c r="ID41" s="1661"/>
      <x:c r="IE41" s="1661"/>
      <x:c r="IF41" s="1663"/>
    </x:row>
    <x:row r="42" spans="1:240" ht="12.6" customHeight="1" x14ac:dyDescent="0.25">
      <x:c r="A42" s="1264" t="str">
        <x:f t="shared" si="110"/>
        <x:v/>
      </x:c>
      <x:c r="B42" s="1265"/>
      <x:c r="C42" s="1265" t="str">
        <x:f t="shared" si="111"/>
        <x:v/>
      </x:c>
      <x:c r="D42" s="1261" t="str">
        <x:f t="shared" si="112"/>
        <x:v/>
      </x:c>
      <x:c r="E42" s="1366" t="str">
        <x:f t="shared" si="113"/>
        <x:v/>
      </x:c>
      <x:c r="F42" s="1328" t="str">
        <x:f t="shared" si="102"/>
        <x:v/>
      </x:c>
      <x:c r="G42" s="1262" t="str">
        <x:f t="shared" si="103"/>
        <x:v/>
      </x:c>
      <x:c r="H42" s="1266" t="str">
        <x:f t="shared" si="104"/>
        <x:v/>
      </x:c>
      <x:c r="I42" s="1261" t="str">
        <x:f t="shared" si="114"/>
        <x:v/>
      </x:c>
      <x:c r="J42" s="1262" t="str">
        <x:f t="shared" si="115"/>
        <x:v/>
      </x:c>
      <x:c r="K42" s="1370" t="str">
        <x:f t="shared" si="116"/>
        <x:v/>
      </x:c>
      <x:c r="L42" s="1327" t="str">
        <x:f t="shared" si="117"/>
        <x:v/>
      </x:c>
      <x:c r="M42" s="1329" t="str">
        <x:f t="shared" si="117"/>
        <x:v/>
      </x:c>
      <x:c r="N42" s="1263" t="str">
        <x:f t="shared" si="1"/>
        <x:v/>
      </x:c>
      <x:c r="O42" s="1262" t="str">
        <x:f t="shared" si="2"/>
        <x:v/>
      </x:c>
      <x:c r="P42" s="1260" t="str">
        <x:f t="shared" si="3"/>
        <x:v/>
      </x:c>
      <x:c r="Q42" s="1261" t="str">
        <x:f t="shared" si="4"/>
        <x:v/>
      </x:c>
      <x:c r="R42" s="1262" t="str">
        <x:f t="shared" si="5"/>
        <x:v/>
      </x:c>
      <x:c r="S42" s="1375" t="str">
        <x:f t="shared" si="6"/>
        <x:v/>
      </x:c>
      <x:c r="T42" s="1328" t="str">
        <x:f t="shared" si="105"/>
        <x:v/>
      </x:c>
      <x:c r="U42" s="1262" t="str">
        <x:f t="shared" si="106"/>
        <x:v/>
      </x:c>
      <x:c r="V42" s="1261" t="str">
        <x:f t="shared" si="107"/>
        <x:v/>
      </x:c>
      <x:c r="W42" s="1262" t="str">
        <x:f t="shared" si="108"/>
        <x:v/>
      </x:c>
      <x:c r="X42" s="1329">
        <x:f t="shared" si="109"/>
        <x:v>0</x:v>
      </x:c>
      <x:c r="Y42" s="1377" t="str">
        <x:f t="shared" si="7"/>
        <x:v/>
      </x:c>
      <x:c r="Z42" s="1378" t="str">
        <x:f t="shared" si="8"/>
        <x:v/>
      </x:c>
      <x:c r="AA42" s="2159"/>
      <x:c r="AC42" s="1226" t="b">
        <x:v>0</x:v>
      </x:c>
      <x:c r="AD42" s="525">
        <x:f t="shared" si="9"/>
        <x:v>0</x:v>
      </x:c>
      <x:c r="AE42" s="526">
        <x:f t="shared" si="10"/>
        <x:v>0</x:v>
      </x:c>
      <x:c r="AF42" s="526">
        <x:f t="shared" si="11"/>
        <x:v>0</x:v>
      </x:c>
      <x:c r="AG42" s="526">
        <x:f t="shared" si="12"/>
        <x:v>0</x:v>
      </x:c>
      <x:c r="AH42" s="527">
        <x:f t="shared" si="13"/>
        <x:v>0</x:v>
      </x:c>
      <x:c r="AI42" s="528" t="b">
        <x:v>0</x:v>
      </x:c>
      <x:c r="AJ42" s="284">
        <x:f t="shared" si="14"/>
        <x:v>0</x:v>
      </x:c>
      <x:c r="AK42" s="1063" t="str">
        <x:f t="shared" si="15"/>
        <x:v/>
      </x:c>
      <x:c r="AL42" s="1202" t="str">
        <x:f t="shared" si="16"/>
        <x:v/>
      </x:c>
      <x:c r="AM42" s="1063" t="str">
        <x:f t="shared" si="17"/>
        <x:v/>
      </x:c>
      <x:c r="AN42" s="1063" t="str">
        <x:f t="shared" si="18"/>
        <x:v/>
      </x:c>
      <x:c r="AO42" s="1063" t="str">
        <x:f t="shared" si="19"/>
        <x:v/>
      </x:c>
      <x:c r="AP42" s="1063" t="b">
        <x:f>IF(ISERROR(AJ42),FALSE,IF(OR(AJ42=0,ISERROR(AL42),ISERROR(AM42),ISERROR(AN42),ISERROR(AO42)),FALSE,IF(AL42&lt;&gt;"",IF(ISERROR(VLOOKUP(SUBSTITUTE(SUBSTITUTE(C42,"R",""),"A",""),TblJoistSize!$A:$A,1,FALSE)),FALSE,TRUE),TRUE)))</x:f>
        <x:v>0</x:v>
      </x:c>
      <x:c r="AQ42" s="1305" t="e">
        <x:f t="shared" si="20"/>
        <x:v>#N/A</x:v>
      </x:c>
      <x:c r="AR42" s="1305" t="b">
        <x:f t="shared" si="21"/>
        <x:v>0</x:v>
      </x:c>
      <x:c r="AS42" s="1305" t="e">
        <x:f t="shared" si="22"/>
        <x:v>#N/A</x:v>
      </x:c>
      <x:c r="AT42" s="1305" t="b">
        <x:f t="shared" si="23"/>
        <x:v>0</x:v>
      </x:c>
      <x:c r="AU42" s="1203" t="str">
        <x:f t="shared" si="24"/>
        <x:v/>
      </x:c>
      <x:c r="AV42" s="1063" t="str">
        <x:f t="shared" si="25"/>
        <x:v/>
      </x:c>
      <x:c r="AW42" s="1063" t="str">
        <x:f t="shared" si="26"/>
        <x:v/>
      </x:c>
      <x:c r="AX42" s="1063" t="str">
        <x:f t="shared" si="99"/>
        <x:v/>
      </x:c>
      <x:c r="AY42" s="1306" t="b">
        <x:f t="shared" si="27"/>
        <x:v>0</x:v>
      </x:c>
      <x:c r="AZ42" s="1090" t="str">
        <x:f t="shared" si="28"/>
        <x:v/>
      </x:c>
      <x:c r="BA42" s="674"/>
      <x:c r="BB42" s="842"/>
      <x:c r="BC42" s="894"/>
      <x:c r="BD42" s="926"/>
      <x:c r="BE42" s="927"/>
      <x:c r="BF42" s="928"/>
      <x:c r="BG42" s="901"/>
      <x:c r="BH42" s="1244"/>
      <x:c r="BI42" s="1245"/>
      <x:c r="BJ42" s="929"/>
      <x:c r="BK42" s="902"/>
      <x:c r="BL42" s="903"/>
      <x:c r="BM42" s="904"/>
      <x:c r="BN42" s="905"/>
      <x:c r="BO42" s="901"/>
      <x:c r="BP42" s="902"/>
      <x:c r="BQ42" s="903"/>
      <x:c r="BR42" s="929"/>
      <x:c r="BS42" s="902"/>
      <x:c r="BT42" s="903"/>
      <x:c r="BU42" s="904"/>
      <x:c r="BV42" s="905"/>
      <x:c r="BW42" s="906"/>
      <x:c r="BX42" s="930"/>
      <x:c r="BY42" s="931"/>
      <x:c r="BZ42" s="932"/>
      <x:c r="CA42" s="933"/>
      <x:c r="CB42" s="932"/>
      <x:c r="CC42" s="933"/>
      <x:c r="CD42" s="934" t="str">
        <x:f t="shared" si="29"/>
        <x:v/>
      </x:c>
      <x:c r="CE42" s="935" t="str">
        <x:f t="shared" si="30"/>
        <x:v/>
      </x:c>
      <x:c r="CF42" s="1149"/>
      <x:c r="CG42" s="1150"/>
      <x:c r="CH42" s="738" t="str">
        <x:f t="shared" si="31"/>
        <x:v/>
      </x:c>
      <x:c r="CI42" s="739" t="str">
        <x:f t="shared" si="32"/>
        <x:v/>
      </x:c>
      <x:c r="CJ42" s="740" t="str">
        <x:f t="shared" si="33"/>
        <x:v/>
      </x:c>
      <x:c r="CK42" s="741" t="str">
        <x:f t="shared" si="34"/>
        <x:v/>
      </x:c>
      <x:c r="CL42" s="742" t="str">
        <x:f t="shared" si="35"/>
        <x:v/>
      </x:c>
      <x:c r="CM42" s="743" t="str">
        <x:f t="shared" si="36"/>
        <x:v/>
      </x:c>
      <x:c r="CN42" s="744" t="str">
        <x:f t="shared" si="37"/>
        <x:v/>
      </x:c>
      <x:c r="CO42" s="745" t="str">
        <x:f t="shared" si="38"/>
        <x:v/>
      </x:c>
      <x:c r="CP42" s="762" t="str">
        <x:f t="shared" si="39"/>
        <x:v/>
      </x:c>
      <x:c r="CQ42" s="763" t="str">
        <x:f t="shared" si="40"/>
        <x:v/>
      </x:c>
      <x:c r="CR42" s="953" t="str">
        <x:f t="shared" si="41"/>
        <x:v/>
      </x:c>
      <x:c r="CS42" s="954" t="str">
        <x:f t="shared" si="42"/>
        <x:v/>
      </x:c>
      <x:c r="CU42" s="1048" t="str">
        <x:f>IF(BG42="","",VLOOKUP(BG42,SectInfo!$B:$N,12,FALSE))</x:f>
        <x:v/>
      </x:c>
      <x:c r="CV42" s="1046" t="str">
        <x:f>IF(BG42="","",IF(ISBLANK(BZ42),VLOOKUP(BG42,SectInfo!$B:$N,13,FALSE),BZ42))</x:f>
        <x:v/>
      </x:c>
      <x:c r="CW42" s="1046" t="str">
        <x:f>IF(BG42="","",IF(VLOOKUP(BG42,SectInfo!$B:$N,5,FALSE)="","R",UPPER(VLOOKUP(BG42,SectInfo!$B:$N,5,FALSE))))</x:f>
        <x:v/>
      </x:c>
      <x:c r="CX42" s="1046" t="str">
        <x:f>IF(BG42="","",IF(ISBLANK(CF42),VLOOKUP(BG42,SectInfo!$B:$N,6,FALSE),CF42))</x:f>
        <x:v/>
      </x:c>
      <x:c r="CY42" s="1276" t="str">
        <x:f>IF(BG42="","",IF(VLOOKUP(BG42,SectInfo!$B:$N,10,FALSE)="","",(VLOOKUP(BG42,SectInfo!$B:$N,10,FALSE)*-1)))</x:f>
        <x:v/>
      </x:c>
      <x:c r="CZ42" s="1443" t="str">
        <x:f>IF(BG42="","",IF(VLOOKUP(BG42,SectInfo!$B:$N,11,FALSE)="","2",(VLOOKUP(BG42,SectInfo!$B:$N,11,FALSE))))</x:f>
        <x:v/>
      </x:c>
      <x:c r="DA42" s="1046" t="str">
        <x:f>IF(BG42="","",IF(VLOOKUP(BG42,SectInfo!$B:$N,7,FALSE)="","",(VLOOKUP(BG42,SectInfo!$B:$N,7,FALSE)*-1)))</x:f>
        <x:v/>
      </x:c>
      <x:c r="DB42" s="1046" t="str">
        <x:f>IF(BG42="","",IF(VLOOKUP(BG42,SectInfo!$B:$N,8,FALSE)="",VLOOKUP(AU42,$DF$2:$DN$9,6,FALSE),(VLOOKUP(BG42,SectInfo!$B:$N,8,FALSE))))</x:f>
        <x:v/>
      </x:c>
      <x:c r="DC42" s="1046" t="str">
        <x:f>IF(BG42="","",VLOOKUP(BG42,SectInfo!$B:$N,9,FALSE))</x:f>
        <x:v/>
      </x:c>
      <x:c r="DD42" s="1047">
        <x:f t="shared" si="43"/>
        <x:v>0</x:v>
      </x:c>
      <x:c r="DE42" s="1048" t="str">
        <x:f>IF(BO42="","",VLOOKUP(BO42,SectInfo!$B:$N,12,FALSE))</x:f>
        <x:v/>
      </x:c>
      <x:c r="DF42" s="1046" t="str">
        <x:f>IF(BO42="","",IF(ISBLANK(CA42),VLOOKUP(BO42,SectInfo!$B:$N,13,FALSE),CA42))</x:f>
        <x:v/>
      </x:c>
      <x:c r="DG42" s="1046" t="str">
        <x:f>IF(BO42="","",IF(VLOOKUP(BO42,SectInfo!$B:$N,5,FALSE)="","R",UPPER(VLOOKUP(BO42,SectInfo!$B:$N,5,FALSE))))</x:f>
        <x:v/>
      </x:c>
      <x:c r="DH42" s="1046" t="str">
        <x:f>IF(BO42="","",IF(ISBLANK(CG42),VLOOKUP(BO42,SectInfo!$B:$N,6,FALSE),CG42))</x:f>
        <x:v/>
      </x:c>
      <x:c r="DI42" s="1046" t="str">
        <x:f>IF(BO42="","",IF(VLOOKUP(BO42,SectInfo!$B:$N,10,FALSE)="","",(VLOOKUP(BO42,SectInfo!$B:$N,10,FALSE)*-1)))</x:f>
        <x:v/>
      </x:c>
      <x:c r="DJ42" s="1443" t="str">
        <x:f>IF(BO42="","",IF(VLOOKUP(BO42,SectInfo!$B:$N,11,FALSE)="","2",(VLOOKUP(BO42,SectInfo!$B:$N,11,FALSE))))</x:f>
        <x:v/>
      </x:c>
      <x:c r="DK42" s="1046" t="str">
        <x:f>IF(BO42="","",IF(VLOOKUP(BO42,SectInfo!$B:$N,7,FALSE)="","",(VLOOKUP(BO42,SectInfo!$B:$N,7,FALSE)*-1)))</x:f>
        <x:v/>
      </x:c>
      <x:c r="DL42" s="1046" t="str">
        <x:f>IF(BO42="","",IF(VLOOKUP(BO42,SectInfo!$B:$N,8,FALSE)="",VLOOKUP(AU42,$DF$2:$DN$9,6,FALSE),(VLOOKUP(BO42,SectInfo!$B:$N,8,FALSE))))</x:f>
        <x:v/>
      </x:c>
      <x:c r="DM42" s="1046" t="str">
        <x:f>IF(BO42="","",VLOOKUP(BO42,SectInfo!$B:$N,9,FALSE))</x:f>
        <x:v/>
      </x:c>
      <x:c r="DN42" s="1047">
        <x:f t="shared" si="44"/>
        <x:v>0</x:v>
      </x:c>
      <x:c r="DO42" s="1049">
        <x:f t="shared" si="45"/>
        <x:v>0</x:v>
      </x:c>
      <x:c r="DP42" s="1053" t="str">
        <x:f t="shared" si="46"/>
        <x:v/>
      </x:c>
      <x:c r="DQ42" s="1053" t="str">
        <x:f t="shared" si="47"/>
        <x:v/>
      </x:c>
      <x:c r="DR42" s="1053" t="str">
        <x:f t="shared" si="48"/>
        <x:v/>
      </x:c>
      <x:c r="DS42" s="1052">
        <x:f t="shared" si="49"/>
        <x:v>0</x:v>
      </x:c>
      <x:c r="DT42" s="1052">
        <x:f t="shared" si="50"/>
        <x:v>0</x:v>
      </x:c>
      <x:c r="DU42" s="1052" t="str">
        <x:f t="shared" si="51"/>
        <x:v/>
      </x:c>
      <x:c r="DV42" s="1053" t="str">
        <x:f t="shared" si="52"/>
        <x:v/>
      </x:c>
      <x:c r="DW42" s="1053" t="str">
        <x:f t="shared" si="53"/>
        <x:v/>
      </x:c>
      <x:c r="DX42" s="1269">
        <x:f t="shared" si="54"/>
        <x:v>0</x:v>
      </x:c>
      <x:c r="DY42" s="1053">
        <x:f t="shared" si="55"/>
        <x:v>0</x:v>
      </x:c>
      <x:c r="DZ42" s="1052">
        <x:f t="shared" si="56"/>
        <x:v>0</x:v>
      </x:c>
      <x:c r="EA42" s="1052" t="str">
        <x:f t="shared" si="57"/>
        <x:v/>
      </x:c>
      <x:c r="EB42" s="1053" t="str">
        <x:f t="shared" si="58"/>
        <x:v/>
      </x:c>
      <x:c r="EC42" s="1053" t="str">
        <x:f t="shared" si="59"/>
        <x:v/>
      </x:c>
      <x:c r="ED42" s="1269">
        <x:f t="shared" si="60"/>
        <x:v>0</x:v>
      </x:c>
      <x:c r="EE42" s="1090" t="str">
        <x:f t="shared" si="61"/>
        <x:v/>
      </x:c>
      <x:c r="EF42" s="1053" t="str">
        <x:f t="shared" si="62"/>
        <x:v/>
      </x:c>
      <x:c r="EG42" s="1053" t="str">
        <x:f t="shared" si="63"/>
        <x:v/>
      </x:c>
      <x:c r="EH42" s="1053" t="e">
        <x:f t="shared" si="64"/>
        <x:v>#N/A</x:v>
      </x:c>
      <x:c r="EI42" s="1053" t="e">
        <x:f t="shared" si="65"/>
        <x:v>#N/A</x:v>
      </x:c>
      <x:c r="EJ42" s="1053" t="str">
        <x:f t="shared" si="66"/>
        <x:v/>
      </x:c>
      <x:c r="EK42" s="1053" t="str">
        <x:f t="shared" si="66"/>
        <x:v/>
      </x:c>
      <x:c r="EL42" s="1090" t="str">
        <x:f t="shared" si="67"/>
        <x:v/>
      </x:c>
      <x:c r="EM42" s="1053" t="str">
        <x:f t="shared" si="68"/>
        <x:v/>
      </x:c>
      <x:c r="EN42" s="1053" t="str">
        <x:f t="shared" si="69"/>
        <x:v/>
      </x:c>
      <x:c r="EO42" s="1053" t="e">
        <x:f t="shared" si="70"/>
        <x:v>#N/A</x:v>
      </x:c>
      <x:c r="EP42" s="1053" t="e">
        <x:f t="shared" si="71"/>
        <x:v>#N/A</x:v>
      </x:c>
      <x:c r="EQ42" s="1053" t="str">
        <x:f t="shared" si="72"/>
        <x:v/>
      </x:c>
      <x:c r="ER42" s="1053" t="str">
        <x:f t="shared" si="72"/>
        <x:v/>
      </x:c>
      <x:c r="ES42" s="1053" t="str">
        <x:f t="shared" si="73"/>
        <x:v/>
      </x:c>
      <x:c r="ET42" s="1053" t="str">
        <x:f t="shared" si="74"/>
        <x:v/>
      </x:c>
      <x:c r="EU42" s="1061" t="str">
        <x:f t="shared" si="75"/>
        <x:v/>
      </x:c>
      <x:c r="EV42" s="1055" t="str">
        <x:f t="shared" si="76"/>
        <x:v/>
      </x:c>
      <x:c r="EW42" s="1061"/>
      <x:c r="EX42" s="1061" t="str">
        <x:f>IF(AND(CU42="G", ISBLANK(BK42), ISBLANK(BL42)),VLOOKUP(MIN(BH42:BI42),TblJoistSize!$M$3:$N$10,2),IF(OR(CU42="B",CU42="G"),MIN(BK42:BL42),""))</x:f>
        <x:v/>
      </x:c>
      <x:c r="EY42" s="1061" t="str">
        <x:f>IF(AND(CU42="G", ISBLANK(BK42), ISBLANK(BL42)),VLOOKUP(MAX(BH42:BI42),TblJoistSize!$M$3:$N$10,2),IF(OR(CU42="B",CU42="G"),MAX(BK42:BL42),""))</x:f>
        <x:v/>
      </x:c>
      <x:c r="EZ42" s="1061" t="str">
        <x:f t="shared" si="77"/>
        <x:v/>
      </x:c>
      <x:c r="FA42" s="1061" t="str">
        <x:f>IF(AND(DE42="G", ISBLANK(BS42), ISBLANK(BT42)),VLOOKUP(MIN(BP42:BQ42),TblJoistSize!$M$3:$N$10,2),IF(OR(DE42="B", DE42="G"),MIN(BS42:BT42),""))</x:f>
        <x:v/>
      </x:c>
      <x:c r="FB42" s="1061" t="str">
        <x:f>IF(AND(DE42="G", ISBLANK(BS42), ISBLANK(BT42)),VLOOKUP(MAX(BP42:BQ42),TblJoistSize!$M$3:$N$10,2),IF(OR(DE42="B", DE42="G"),MAX(BS42:BT42),""))</x:f>
        <x:v/>
      </x:c>
      <x:c r="FC42" s="1061" t="str">
        <x:f t="shared" si="78"/>
        <x:v/>
      </x:c>
      <x:c r="FD42" s="1052">
        <x:f t="shared" si="100"/>
        <x:v>0</x:v>
      </x:c>
      <x:c r="FE42" s="1052">
        <x:f t="shared" si="79"/>
        <x:v>0</x:v>
      </x:c>
      <x:c r="FF42" s="1052">
        <x:f t="shared" si="80"/>
        <x:v>0</x:v>
      </x:c>
      <x:c r="FG42" s="1052" t="str">
        <x:f t="shared" si="81"/>
        <x:v/>
      </x:c>
      <x:c r="FH42" s="1053" t="str">
        <x:f t="shared" si="82"/>
        <x:v/>
      </x:c>
      <x:c r="FI42" s="1052">
        <x:f t="shared" si="101"/>
        <x:v>0</x:v>
      </x:c>
      <x:c r="FJ42" s="1052">
        <x:f t="shared" si="83"/>
        <x:v>0</x:v>
      </x:c>
      <x:c r="FK42" s="1052">
        <x:f t="shared" si="84"/>
        <x:v>0</x:v>
      </x:c>
      <x:c r="FL42" s="1052" t="str">
        <x:f t="shared" si="85"/>
        <x:v/>
      </x:c>
      <x:c r="FM42" s="1053" t="str">
        <x:f t="shared" si="86"/>
        <x:v/>
      </x:c>
      <x:c r="FN42" s="1053" t="e">
        <x:f t="shared" si="87"/>
        <x:v>#VALUE!</x:v>
      </x:c>
      <x:c r="FO42" s="1062" t="e">
        <x:f t="shared" si="88"/>
        <x:v>#VALUE!</x:v>
      </x:c>
      <x:c r="FP42" s="1062" t="e">
        <x:f t="shared" si="89"/>
        <x:v>#VALUE!</x:v>
      </x:c>
      <x:c r="FQ42" s="1063" t="e">
        <x:f t="shared" si="90"/>
        <x:v>#VALUE!</x:v>
      </x:c>
      <x:c r="FR42" s="1064" t="e">
        <x:f t="shared" si="91"/>
        <x:v>#VALUE!</x:v>
      </x:c>
      <x:c r="FS42" s="1065" t="str">
        <x:f t="shared" si="92"/>
        <x:v/>
      </x:c>
      <x:c r="FT42" s="1066" t="str">
        <x:f t="shared" si="93"/>
        <x:v/>
      </x:c>
      <x:c r="FU42" s="1105">
        <x:f t="shared" si="94"/>
        <x:v>0</x:v>
      </x:c>
      <x:c r="FV42" s="1106">
        <x:f t="shared" si="95"/>
        <x:v>0</x:v>
      </x:c>
      <x:c r="GA42" s="1975" t="str">
        <x:f t="shared" si="118"/>
        <x:v/>
      </x:c>
      <x:c r="GB42" s="1976" t="str">
        <x:f t="shared" si="119"/>
        <x:v/>
      </x:c>
      <x:c r="GC42" s="1977" t="str">
        <x:f t="shared" si="120"/>
        <x:v/>
      </x:c>
      <x:c r="GD42" s="1978" t="str">
        <x:f t="shared" si="121"/>
        <x:v/>
      </x:c>
      <x:c r="GE42" s="1979" t="str">
        <x:f t="shared" si="122"/>
        <x:v/>
      </x:c>
      <x:c r="GF42" s="1980" t="str">
        <x:f t="shared" si="96"/>
        <x:v/>
      </x:c>
      <x:c r="GG42" s="1453"/>
      <x:c r="GH42" s="1454"/>
      <x:c r="GI42" s="1453"/>
      <x:c r="GJ42" s="1454"/>
      <x:c r="GK42" s="533">
        <x:f t="shared" si="97"/>
        <x:v>0</x:v>
      </x:c>
      <x:c r="GL42" s="534" t="e">
        <x:f t="shared" si="98"/>
        <x:v>#VALUE!</x:v>
      </x:c>
      <x:c r="GM42" s="535" t="e">
        <x:f>IF(ABS(GK42-GL42)&gt;='Job Info.'!$L$22,ABS(GK42-GL42),0)</x:f>
        <x:v>#VALUE!</x:v>
      </x:c>
      <x:c r="HA42" s="1658"/>
      <x:c r="HB42" s="1659"/>
      <x:c r="HC42" s="1659"/>
      <x:c r="HD42" s="1660"/>
      <x:c r="HE42" s="1661"/>
      <x:c r="HF42" s="1659"/>
      <x:c r="HG42" s="1659"/>
      <x:c r="HH42" s="1659"/>
      <x:c r="HI42" s="1662"/>
      <x:c r="HJ42" s="1659"/>
      <x:c r="HK42" s="1659"/>
      <x:c r="HL42" s="1659"/>
      <x:c r="HM42" s="1659"/>
      <x:c r="HN42" s="1659"/>
      <x:c r="HO42" s="1659"/>
      <x:c r="HP42" s="1659"/>
      <x:c r="HQ42" s="1662"/>
      <x:c r="HR42" s="1659"/>
      <x:c r="HS42" s="1659"/>
      <x:c r="HT42" s="1659"/>
      <x:c r="HU42" s="1659"/>
      <x:c r="HV42" s="1659"/>
      <x:c r="HW42" s="1661"/>
      <x:c r="HX42" s="1661"/>
      <x:c r="HY42" s="1661"/>
      <x:c r="HZ42" s="1661"/>
      <x:c r="IA42" s="1661"/>
      <x:c r="IB42" s="1661"/>
      <x:c r="IC42" s="1661"/>
      <x:c r="ID42" s="1661"/>
      <x:c r="IE42" s="1661"/>
      <x:c r="IF42" s="1663"/>
    </x:row>
    <x:row r="43" spans="1:240" ht="12.6" customHeight="1" x14ac:dyDescent="0.25">
      <x:c r="A43" s="1264" t="str">
        <x:f t="shared" si="110"/>
        <x:v/>
      </x:c>
      <x:c r="B43" s="1265"/>
      <x:c r="C43" s="1265" t="str">
        <x:f t="shared" si="111"/>
        <x:v/>
      </x:c>
      <x:c r="D43" s="1261" t="str">
        <x:f t="shared" si="112"/>
        <x:v/>
      </x:c>
      <x:c r="E43" s="1366" t="str">
        <x:f t="shared" si="113"/>
        <x:v/>
      </x:c>
      <x:c r="F43" s="1328" t="str">
        <x:f t="shared" si="102"/>
        <x:v/>
      </x:c>
      <x:c r="G43" s="1262" t="str">
        <x:f t="shared" si="103"/>
        <x:v/>
      </x:c>
      <x:c r="H43" s="1266" t="str">
        <x:f t="shared" si="104"/>
        <x:v/>
      </x:c>
      <x:c r="I43" s="1261" t="str">
        <x:f t="shared" si="114"/>
        <x:v/>
      </x:c>
      <x:c r="J43" s="1262" t="str">
        <x:f t="shared" si="115"/>
        <x:v/>
      </x:c>
      <x:c r="K43" s="1370" t="str">
        <x:f t="shared" si="116"/>
        <x:v/>
      </x:c>
      <x:c r="L43" s="1327" t="str">
        <x:f t="shared" si="117"/>
        <x:v/>
      </x:c>
      <x:c r="M43" s="1329" t="str">
        <x:f t="shared" si="117"/>
        <x:v/>
      </x:c>
      <x:c r="N43" s="1263" t="str">
        <x:f t="shared" si="1"/>
        <x:v/>
      </x:c>
      <x:c r="O43" s="1262" t="str">
        <x:f t="shared" si="2"/>
        <x:v/>
      </x:c>
      <x:c r="P43" s="1260" t="str">
        <x:f t="shared" si="3"/>
        <x:v/>
      </x:c>
      <x:c r="Q43" s="1261" t="str">
        <x:f t="shared" si="4"/>
        <x:v/>
      </x:c>
      <x:c r="R43" s="1262" t="str">
        <x:f t="shared" si="5"/>
        <x:v/>
      </x:c>
      <x:c r="S43" s="1375" t="str">
        <x:f t="shared" si="6"/>
        <x:v/>
      </x:c>
      <x:c r="T43" s="1328" t="str">
        <x:f t="shared" si="105"/>
        <x:v/>
      </x:c>
      <x:c r="U43" s="1262" t="str">
        <x:f t="shared" si="106"/>
        <x:v/>
      </x:c>
      <x:c r="V43" s="1261" t="str">
        <x:f t="shared" si="107"/>
        <x:v/>
      </x:c>
      <x:c r="W43" s="1262" t="str">
        <x:f t="shared" si="108"/>
        <x:v/>
      </x:c>
      <x:c r="X43" s="1329">
        <x:f t="shared" si="109"/>
        <x:v>0</x:v>
      </x:c>
      <x:c r="Y43" s="1377" t="str">
        <x:f t="shared" si="7"/>
        <x:v/>
      </x:c>
      <x:c r="Z43" s="1378" t="str">
        <x:f t="shared" si="8"/>
        <x:v/>
      </x:c>
      <x:c r="AA43" s="2159"/>
      <x:c r="AC43" s="1226" t="b">
        <x:v>0</x:v>
      </x:c>
      <x:c r="AD43" s="525">
        <x:f t="shared" si="9"/>
        <x:v>0</x:v>
      </x:c>
      <x:c r="AE43" s="526">
        <x:f t="shared" si="10"/>
        <x:v>0</x:v>
      </x:c>
      <x:c r="AF43" s="526">
        <x:f t="shared" si="11"/>
        <x:v>0</x:v>
      </x:c>
      <x:c r="AG43" s="526">
        <x:f t="shared" si="12"/>
        <x:v>0</x:v>
      </x:c>
      <x:c r="AH43" s="527">
        <x:f t="shared" si="13"/>
        <x:v>0</x:v>
      </x:c>
      <x:c r="AI43" s="528" t="b">
        <x:v>0</x:v>
      </x:c>
      <x:c r="AJ43" s="284">
        <x:f t="shared" si="14"/>
        <x:v>0</x:v>
      </x:c>
      <x:c r="AK43" s="1063" t="str">
        <x:f t="shared" si="15"/>
        <x:v/>
      </x:c>
      <x:c r="AL43" s="1202" t="str">
        <x:f t="shared" si="16"/>
        <x:v/>
      </x:c>
      <x:c r="AM43" s="1063" t="str">
        <x:f t="shared" si="17"/>
        <x:v/>
      </x:c>
      <x:c r="AN43" s="1063" t="str">
        <x:f t="shared" si="18"/>
        <x:v/>
      </x:c>
      <x:c r="AO43" s="1063" t="str">
        <x:f t="shared" si="19"/>
        <x:v/>
      </x:c>
      <x:c r="AP43" s="1063" t="b">
        <x:f>IF(ISERROR(AJ43),FALSE,IF(OR(AJ43=0,ISERROR(AL43),ISERROR(AM43),ISERROR(AN43),ISERROR(AO43)),FALSE,IF(AL43&lt;&gt;"",IF(ISERROR(VLOOKUP(SUBSTITUTE(SUBSTITUTE(C43,"R",""),"A",""),TblJoistSize!$A:$A,1,FALSE)),FALSE,TRUE),TRUE)))</x:f>
        <x:v>0</x:v>
      </x:c>
      <x:c r="AQ43" s="1305" t="e">
        <x:f t="shared" si="20"/>
        <x:v>#N/A</x:v>
      </x:c>
      <x:c r="AR43" s="1305" t="b">
        <x:f t="shared" si="21"/>
        <x:v>0</x:v>
      </x:c>
      <x:c r="AS43" s="1305" t="e">
        <x:f t="shared" si="22"/>
        <x:v>#N/A</x:v>
      </x:c>
      <x:c r="AT43" s="1305" t="b">
        <x:f t="shared" si="23"/>
        <x:v>0</x:v>
      </x:c>
      <x:c r="AU43" s="1203" t="str">
        <x:f t="shared" si="24"/>
        <x:v/>
      </x:c>
      <x:c r="AV43" s="1063" t="str">
        <x:f t="shared" si="25"/>
        <x:v/>
      </x:c>
      <x:c r="AW43" s="1063" t="str">
        <x:f t="shared" si="26"/>
        <x:v/>
      </x:c>
      <x:c r="AX43" s="1063" t="str">
        <x:f t="shared" si="99"/>
        <x:v/>
      </x:c>
      <x:c r="AY43" s="1306" t="b">
        <x:f t="shared" si="27"/>
        <x:v>0</x:v>
      </x:c>
      <x:c r="AZ43" s="1090" t="str">
        <x:f t="shared" si="28"/>
        <x:v/>
      </x:c>
      <x:c r="BA43" s="674"/>
      <x:c r="BB43" s="842"/>
      <x:c r="BC43" s="894"/>
      <x:c r="BD43" s="926"/>
      <x:c r="BE43" s="927"/>
      <x:c r="BF43" s="928"/>
      <x:c r="BG43" s="901"/>
      <x:c r="BH43" s="1244"/>
      <x:c r="BI43" s="1245"/>
      <x:c r="BJ43" s="929"/>
      <x:c r="BK43" s="902"/>
      <x:c r="BL43" s="903"/>
      <x:c r="BM43" s="904"/>
      <x:c r="BN43" s="905"/>
      <x:c r="BO43" s="901"/>
      <x:c r="BP43" s="902"/>
      <x:c r="BQ43" s="903"/>
      <x:c r="BR43" s="929"/>
      <x:c r="BS43" s="902"/>
      <x:c r="BT43" s="903"/>
      <x:c r="BU43" s="904"/>
      <x:c r="BV43" s="905"/>
      <x:c r="BW43" s="906"/>
      <x:c r="BX43" s="930"/>
      <x:c r="BY43" s="931"/>
      <x:c r="BZ43" s="932"/>
      <x:c r="CA43" s="933"/>
      <x:c r="CB43" s="932"/>
      <x:c r="CC43" s="933"/>
      <x:c r="CD43" s="934" t="str">
        <x:f t="shared" si="29"/>
        <x:v/>
      </x:c>
      <x:c r="CE43" s="935" t="str">
        <x:f t="shared" si="30"/>
        <x:v/>
      </x:c>
      <x:c r="CF43" s="1149"/>
      <x:c r="CG43" s="1150"/>
      <x:c r="CH43" s="738" t="str">
        <x:f t="shared" si="31"/>
        <x:v/>
      </x:c>
      <x:c r="CI43" s="739" t="str">
        <x:f t="shared" si="32"/>
        <x:v/>
      </x:c>
      <x:c r="CJ43" s="740" t="str">
        <x:f t="shared" si="33"/>
        <x:v/>
      </x:c>
      <x:c r="CK43" s="741" t="str">
        <x:f t="shared" si="34"/>
        <x:v/>
      </x:c>
      <x:c r="CL43" s="742" t="str">
        <x:f t="shared" si="35"/>
        <x:v/>
      </x:c>
      <x:c r="CM43" s="743" t="str">
        <x:f t="shared" si="36"/>
        <x:v/>
      </x:c>
      <x:c r="CN43" s="744" t="str">
        <x:f t="shared" si="37"/>
        <x:v/>
      </x:c>
      <x:c r="CO43" s="745" t="str">
        <x:f t="shared" si="38"/>
        <x:v/>
      </x:c>
      <x:c r="CP43" s="762" t="str">
        <x:f t="shared" si="39"/>
        <x:v/>
      </x:c>
      <x:c r="CQ43" s="763" t="str">
        <x:f t="shared" si="40"/>
        <x:v/>
      </x:c>
      <x:c r="CR43" s="953" t="str">
        <x:f t="shared" si="41"/>
        <x:v/>
      </x:c>
      <x:c r="CS43" s="954" t="str">
        <x:f t="shared" si="42"/>
        <x:v/>
      </x:c>
      <x:c r="CU43" s="1048" t="str">
        <x:f>IF(BG43="","",VLOOKUP(BG43,SectInfo!$B:$N,12,FALSE))</x:f>
        <x:v/>
      </x:c>
      <x:c r="CV43" s="1046" t="str">
        <x:f>IF(BG43="","",IF(ISBLANK(BZ43),VLOOKUP(BG43,SectInfo!$B:$N,13,FALSE),BZ43))</x:f>
        <x:v/>
      </x:c>
      <x:c r="CW43" s="1046" t="str">
        <x:f>IF(BG43="","",IF(VLOOKUP(BG43,SectInfo!$B:$N,5,FALSE)="","R",UPPER(VLOOKUP(BG43,SectInfo!$B:$N,5,FALSE))))</x:f>
        <x:v/>
      </x:c>
      <x:c r="CX43" s="1046" t="str">
        <x:f>IF(BG43="","",IF(ISBLANK(CF43),VLOOKUP(BG43,SectInfo!$B:$N,6,FALSE),CF43))</x:f>
        <x:v/>
      </x:c>
      <x:c r="CY43" s="1276" t="str">
        <x:f>IF(BG43="","",IF(VLOOKUP(BG43,SectInfo!$B:$N,10,FALSE)="","",(VLOOKUP(BG43,SectInfo!$B:$N,10,FALSE)*-1)))</x:f>
        <x:v/>
      </x:c>
      <x:c r="CZ43" s="1443" t="str">
        <x:f>IF(BG43="","",IF(VLOOKUP(BG43,SectInfo!$B:$N,11,FALSE)="","2",(VLOOKUP(BG43,SectInfo!$B:$N,11,FALSE))))</x:f>
        <x:v/>
      </x:c>
      <x:c r="DA43" s="1046" t="str">
        <x:f>IF(BG43="","",IF(VLOOKUP(BG43,SectInfo!$B:$N,7,FALSE)="","",(VLOOKUP(BG43,SectInfo!$B:$N,7,FALSE)*-1)))</x:f>
        <x:v/>
      </x:c>
      <x:c r="DB43" s="1046" t="str">
        <x:f>IF(BG43="","",IF(VLOOKUP(BG43,SectInfo!$B:$N,8,FALSE)="",VLOOKUP(AU43,$DF$2:$DN$9,6,FALSE),(VLOOKUP(BG43,SectInfo!$B:$N,8,FALSE))))</x:f>
        <x:v/>
      </x:c>
      <x:c r="DC43" s="1046" t="str">
        <x:f>IF(BG43="","",VLOOKUP(BG43,SectInfo!$B:$N,9,FALSE))</x:f>
        <x:v/>
      </x:c>
      <x:c r="DD43" s="1047">
        <x:f t="shared" si="43"/>
        <x:v>0</x:v>
      </x:c>
      <x:c r="DE43" s="1048" t="str">
        <x:f>IF(BO43="","",VLOOKUP(BO43,SectInfo!$B:$N,12,FALSE))</x:f>
        <x:v/>
      </x:c>
      <x:c r="DF43" s="1046" t="str">
        <x:f>IF(BO43="","",IF(ISBLANK(CA43),VLOOKUP(BO43,SectInfo!$B:$N,13,FALSE),CA43))</x:f>
        <x:v/>
      </x:c>
      <x:c r="DG43" s="1046" t="str">
        <x:f>IF(BO43="","",IF(VLOOKUP(BO43,SectInfo!$B:$N,5,FALSE)="","R",UPPER(VLOOKUP(BO43,SectInfo!$B:$N,5,FALSE))))</x:f>
        <x:v/>
      </x:c>
      <x:c r="DH43" s="1046" t="str">
        <x:f>IF(BO43="","",IF(ISBLANK(CG43),VLOOKUP(BO43,SectInfo!$B:$N,6,FALSE),CG43))</x:f>
        <x:v/>
      </x:c>
      <x:c r="DI43" s="1046" t="str">
        <x:f>IF(BO43="","",IF(VLOOKUP(BO43,SectInfo!$B:$N,10,FALSE)="","",(VLOOKUP(BO43,SectInfo!$B:$N,10,FALSE)*-1)))</x:f>
        <x:v/>
      </x:c>
      <x:c r="DJ43" s="1443" t="str">
        <x:f>IF(BO43="","",IF(VLOOKUP(BO43,SectInfo!$B:$N,11,FALSE)="","2",(VLOOKUP(BO43,SectInfo!$B:$N,11,FALSE))))</x:f>
        <x:v/>
      </x:c>
      <x:c r="DK43" s="1046" t="str">
        <x:f>IF(BO43="","",IF(VLOOKUP(BO43,SectInfo!$B:$N,7,FALSE)="","",(VLOOKUP(BO43,SectInfo!$B:$N,7,FALSE)*-1)))</x:f>
        <x:v/>
      </x:c>
      <x:c r="DL43" s="1046" t="str">
        <x:f>IF(BO43="","",IF(VLOOKUP(BO43,SectInfo!$B:$N,8,FALSE)="",VLOOKUP(AU43,$DF$2:$DN$9,6,FALSE),(VLOOKUP(BO43,SectInfo!$B:$N,8,FALSE))))</x:f>
        <x:v/>
      </x:c>
      <x:c r="DM43" s="1046" t="str">
        <x:f>IF(BO43="","",VLOOKUP(BO43,SectInfo!$B:$N,9,FALSE))</x:f>
        <x:v/>
      </x:c>
      <x:c r="DN43" s="1047">
        <x:f t="shared" si="44"/>
        <x:v>0</x:v>
      </x:c>
      <x:c r="DO43" s="1049">
        <x:f t="shared" si="45"/>
        <x:v>0</x:v>
      </x:c>
      <x:c r="DP43" s="1053" t="str">
        <x:f t="shared" si="46"/>
        <x:v/>
      </x:c>
      <x:c r="DQ43" s="1053" t="str">
        <x:f t="shared" si="47"/>
        <x:v/>
      </x:c>
      <x:c r="DR43" s="1053" t="str">
        <x:f t="shared" si="48"/>
        <x:v/>
      </x:c>
      <x:c r="DS43" s="1052">
        <x:f t="shared" si="49"/>
        <x:v>0</x:v>
      </x:c>
      <x:c r="DT43" s="1052">
        <x:f t="shared" si="50"/>
        <x:v>0</x:v>
      </x:c>
      <x:c r="DU43" s="1052" t="str">
        <x:f t="shared" si="51"/>
        <x:v/>
      </x:c>
      <x:c r="DV43" s="1053" t="str">
        <x:f t="shared" si="52"/>
        <x:v/>
      </x:c>
      <x:c r="DW43" s="1053" t="str">
        <x:f t="shared" si="53"/>
        <x:v/>
      </x:c>
      <x:c r="DX43" s="1269">
        <x:f t="shared" si="54"/>
        <x:v>0</x:v>
      </x:c>
      <x:c r="DY43" s="1053">
        <x:f t="shared" si="55"/>
        <x:v>0</x:v>
      </x:c>
      <x:c r="DZ43" s="1052">
        <x:f t="shared" si="56"/>
        <x:v>0</x:v>
      </x:c>
      <x:c r="EA43" s="1052" t="str">
        <x:f t="shared" si="57"/>
        <x:v/>
      </x:c>
      <x:c r="EB43" s="1053" t="str">
        <x:f t="shared" si="58"/>
        <x:v/>
      </x:c>
      <x:c r="EC43" s="1053" t="str">
        <x:f t="shared" si="59"/>
        <x:v/>
      </x:c>
      <x:c r="ED43" s="1269">
        <x:f t="shared" si="60"/>
        <x:v>0</x:v>
      </x:c>
      <x:c r="EE43" s="1090" t="str">
        <x:f t="shared" si="61"/>
        <x:v/>
      </x:c>
      <x:c r="EF43" s="1053" t="str">
        <x:f t="shared" si="62"/>
        <x:v/>
      </x:c>
      <x:c r="EG43" s="1053" t="str">
        <x:f t="shared" si="63"/>
        <x:v/>
      </x:c>
      <x:c r="EH43" s="1053" t="e">
        <x:f t="shared" si="64"/>
        <x:v>#N/A</x:v>
      </x:c>
      <x:c r="EI43" s="1053" t="e">
        <x:f t="shared" si="65"/>
        <x:v>#N/A</x:v>
      </x:c>
      <x:c r="EJ43" s="1053" t="str">
        <x:f t="shared" si="66"/>
        <x:v/>
      </x:c>
      <x:c r="EK43" s="1053" t="str">
        <x:f t="shared" si="66"/>
        <x:v/>
      </x:c>
      <x:c r="EL43" s="1090" t="str">
        <x:f t="shared" si="67"/>
        <x:v/>
      </x:c>
      <x:c r="EM43" s="1053" t="str">
        <x:f t="shared" si="68"/>
        <x:v/>
      </x:c>
      <x:c r="EN43" s="1053" t="str">
        <x:f t="shared" si="69"/>
        <x:v/>
      </x:c>
      <x:c r="EO43" s="1053" t="e">
        <x:f t="shared" si="70"/>
        <x:v>#N/A</x:v>
      </x:c>
      <x:c r="EP43" s="1053" t="e">
        <x:f t="shared" si="71"/>
        <x:v>#N/A</x:v>
      </x:c>
      <x:c r="EQ43" s="1053" t="str">
        <x:f t="shared" si="72"/>
        <x:v/>
      </x:c>
      <x:c r="ER43" s="1053" t="str">
        <x:f t="shared" si="72"/>
        <x:v/>
      </x:c>
      <x:c r="ES43" s="1053" t="str">
        <x:f t="shared" si="73"/>
        <x:v/>
      </x:c>
      <x:c r="ET43" s="1053" t="str">
        <x:f t="shared" si="74"/>
        <x:v/>
      </x:c>
      <x:c r="EU43" s="1061" t="str">
        <x:f t="shared" si="75"/>
        <x:v/>
      </x:c>
      <x:c r="EV43" s="1055" t="str">
        <x:f t="shared" si="76"/>
        <x:v/>
      </x:c>
      <x:c r="EW43" s="1061"/>
      <x:c r="EX43" s="1061" t="str">
        <x:f>IF(AND(CU43="G", ISBLANK(BK43), ISBLANK(BL43)),VLOOKUP(MIN(BH43:BI43),TblJoistSize!$M$3:$N$10,2),IF(OR(CU43="B",CU43="G"),MIN(BK43:BL43),""))</x:f>
        <x:v/>
      </x:c>
      <x:c r="EY43" s="1061" t="str">
        <x:f>IF(AND(CU43="G", ISBLANK(BK43), ISBLANK(BL43)),VLOOKUP(MAX(BH43:BI43),TblJoistSize!$M$3:$N$10,2),IF(OR(CU43="B",CU43="G"),MAX(BK43:BL43),""))</x:f>
        <x:v/>
      </x:c>
      <x:c r="EZ43" s="1061" t="str">
        <x:f t="shared" si="77"/>
        <x:v/>
      </x:c>
      <x:c r="FA43" s="1061" t="str">
        <x:f>IF(AND(DE43="G", ISBLANK(BS43), ISBLANK(BT43)),VLOOKUP(MIN(BP43:BQ43),TblJoistSize!$M$3:$N$10,2),IF(OR(DE43="B", DE43="G"),MIN(BS43:BT43),""))</x:f>
        <x:v/>
      </x:c>
      <x:c r="FB43" s="1061" t="str">
        <x:f>IF(AND(DE43="G", ISBLANK(BS43), ISBLANK(BT43)),VLOOKUP(MAX(BP43:BQ43),TblJoistSize!$M$3:$N$10,2),IF(OR(DE43="B", DE43="G"),MAX(BS43:BT43),""))</x:f>
        <x:v/>
      </x:c>
      <x:c r="FC43" s="1061" t="str">
        <x:f t="shared" si="78"/>
        <x:v/>
      </x:c>
      <x:c r="FD43" s="1052">
        <x:f t="shared" si="100"/>
        <x:v>0</x:v>
      </x:c>
      <x:c r="FE43" s="1052">
        <x:f t="shared" si="79"/>
        <x:v>0</x:v>
      </x:c>
      <x:c r="FF43" s="1052">
        <x:f t="shared" si="80"/>
        <x:v>0</x:v>
      </x:c>
      <x:c r="FG43" s="1052" t="str">
        <x:f t="shared" si="81"/>
        <x:v/>
      </x:c>
      <x:c r="FH43" s="1053" t="str">
        <x:f t="shared" si="82"/>
        <x:v/>
      </x:c>
      <x:c r="FI43" s="1052">
        <x:f t="shared" si="101"/>
        <x:v>0</x:v>
      </x:c>
      <x:c r="FJ43" s="1052">
        <x:f t="shared" si="83"/>
        <x:v>0</x:v>
      </x:c>
      <x:c r="FK43" s="1052">
        <x:f t="shared" si="84"/>
        <x:v>0</x:v>
      </x:c>
      <x:c r="FL43" s="1052" t="str">
        <x:f t="shared" si="85"/>
        <x:v/>
      </x:c>
      <x:c r="FM43" s="1053" t="str">
        <x:f t="shared" si="86"/>
        <x:v/>
      </x:c>
      <x:c r="FN43" s="1053" t="e">
        <x:f t="shared" si="87"/>
        <x:v>#VALUE!</x:v>
      </x:c>
      <x:c r="FO43" s="1062" t="e">
        <x:f t="shared" si="88"/>
        <x:v>#VALUE!</x:v>
      </x:c>
      <x:c r="FP43" s="1062" t="e">
        <x:f t="shared" si="89"/>
        <x:v>#VALUE!</x:v>
      </x:c>
      <x:c r="FQ43" s="1063" t="e">
        <x:f t="shared" si="90"/>
        <x:v>#VALUE!</x:v>
      </x:c>
      <x:c r="FR43" s="1064" t="e">
        <x:f t="shared" si="91"/>
        <x:v>#VALUE!</x:v>
      </x:c>
      <x:c r="FS43" s="1065" t="str">
        <x:f t="shared" si="92"/>
        <x:v/>
      </x:c>
      <x:c r="FT43" s="1066" t="str">
        <x:f t="shared" si="93"/>
        <x:v/>
      </x:c>
      <x:c r="FU43" s="1105">
        <x:f t="shared" si="94"/>
        <x:v>0</x:v>
      </x:c>
      <x:c r="FV43" s="1106">
        <x:f t="shared" si="95"/>
        <x:v>0</x:v>
      </x:c>
      <x:c r="GA43" s="1975" t="str">
        <x:f t="shared" si="118"/>
        <x:v/>
      </x:c>
      <x:c r="GB43" s="1976" t="str">
        <x:f t="shared" si="119"/>
        <x:v/>
      </x:c>
      <x:c r="GC43" s="1977" t="str">
        <x:f t="shared" si="120"/>
        <x:v/>
      </x:c>
      <x:c r="GD43" s="1978" t="str">
        <x:f t="shared" si="121"/>
        <x:v/>
      </x:c>
      <x:c r="GE43" s="1979" t="str">
        <x:f t="shared" si="122"/>
        <x:v/>
      </x:c>
      <x:c r="GF43" s="1980" t="str">
        <x:f t="shared" si="96"/>
        <x:v/>
      </x:c>
      <x:c r="GG43" s="1453"/>
      <x:c r="GH43" s="1454"/>
      <x:c r="GI43" s="1453"/>
      <x:c r="GJ43" s="1454"/>
      <x:c r="GK43" s="533">
        <x:f t="shared" si="97"/>
        <x:v>0</x:v>
      </x:c>
      <x:c r="GL43" s="534" t="e">
        <x:f t="shared" si="98"/>
        <x:v>#VALUE!</x:v>
      </x:c>
      <x:c r="GM43" s="535" t="e">
        <x:f>IF(ABS(GK43-GL43)&gt;='Job Info.'!$L$22,ABS(GK43-GL43),0)</x:f>
        <x:v>#VALUE!</x:v>
      </x:c>
      <x:c r="HA43" s="1658"/>
      <x:c r="HB43" s="1659"/>
      <x:c r="HC43" s="1659"/>
      <x:c r="HD43" s="1660"/>
      <x:c r="HE43" s="1661"/>
      <x:c r="HF43" s="1659"/>
      <x:c r="HG43" s="1659"/>
      <x:c r="HH43" s="1659"/>
      <x:c r="HI43" s="1662"/>
      <x:c r="HJ43" s="1659"/>
      <x:c r="HK43" s="1659"/>
      <x:c r="HL43" s="1659"/>
      <x:c r="HM43" s="1659"/>
      <x:c r="HN43" s="1659"/>
      <x:c r="HO43" s="1659"/>
      <x:c r="HP43" s="1659"/>
      <x:c r="HQ43" s="1662"/>
      <x:c r="HR43" s="1659"/>
      <x:c r="HS43" s="1659"/>
      <x:c r="HT43" s="1659"/>
      <x:c r="HU43" s="1659"/>
      <x:c r="HV43" s="1659"/>
      <x:c r="HW43" s="1661"/>
      <x:c r="HX43" s="1661"/>
      <x:c r="HY43" s="1661"/>
      <x:c r="HZ43" s="1661"/>
      <x:c r="IA43" s="1661"/>
      <x:c r="IB43" s="1661"/>
      <x:c r="IC43" s="1661"/>
      <x:c r="ID43" s="1661"/>
      <x:c r="IE43" s="1661"/>
      <x:c r="IF43" s="1663"/>
    </x:row>
    <x:row r="44" spans="1:240" ht="12.6" customHeight="1" x14ac:dyDescent="0.25">
      <x:c r="A44" s="1264" t="str">
        <x:f t="shared" si="110"/>
        <x:v/>
      </x:c>
      <x:c r="B44" s="1265"/>
      <x:c r="C44" s="1265" t="str">
        <x:f t="shared" si="111"/>
        <x:v/>
      </x:c>
      <x:c r="D44" s="1261" t="str">
        <x:f t="shared" si="112"/>
        <x:v/>
      </x:c>
      <x:c r="E44" s="1366" t="str">
        <x:f t="shared" si="113"/>
        <x:v/>
      </x:c>
      <x:c r="F44" s="1328" t="str">
        <x:f t="shared" si="102"/>
        <x:v/>
      </x:c>
      <x:c r="G44" s="1262" t="str">
        <x:f t="shared" si="103"/>
        <x:v/>
      </x:c>
      <x:c r="H44" s="1266" t="str">
        <x:f t="shared" si="104"/>
        <x:v/>
      </x:c>
      <x:c r="I44" s="1261" t="str">
        <x:f t="shared" si="114"/>
        <x:v/>
      </x:c>
      <x:c r="J44" s="1262" t="str">
        <x:f t="shared" si="115"/>
        <x:v/>
      </x:c>
      <x:c r="K44" s="1370" t="str">
        <x:f t="shared" si="116"/>
        <x:v/>
      </x:c>
      <x:c r="L44" s="1327" t="str">
        <x:f t="shared" si="117"/>
        <x:v/>
      </x:c>
      <x:c r="M44" s="1329" t="str">
        <x:f t="shared" si="117"/>
        <x:v/>
      </x:c>
      <x:c r="N44" s="1263" t="str">
        <x:f t="shared" si="1"/>
        <x:v/>
      </x:c>
      <x:c r="O44" s="1262" t="str">
        <x:f t="shared" si="2"/>
        <x:v/>
      </x:c>
      <x:c r="P44" s="1260" t="str">
        <x:f t="shared" si="3"/>
        <x:v/>
      </x:c>
      <x:c r="Q44" s="1261" t="str">
        <x:f t="shared" si="4"/>
        <x:v/>
      </x:c>
      <x:c r="R44" s="1262" t="str">
        <x:f t="shared" si="5"/>
        <x:v/>
      </x:c>
      <x:c r="S44" s="1375" t="str">
        <x:f t="shared" si="6"/>
        <x:v/>
      </x:c>
      <x:c r="T44" s="1328" t="str">
        <x:f t="shared" si="105"/>
        <x:v/>
      </x:c>
      <x:c r="U44" s="1262" t="str">
        <x:f t="shared" si="106"/>
        <x:v/>
      </x:c>
      <x:c r="V44" s="1261" t="str">
        <x:f t="shared" si="107"/>
        <x:v/>
      </x:c>
      <x:c r="W44" s="1262" t="str">
        <x:f t="shared" si="108"/>
        <x:v/>
      </x:c>
      <x:c r="X44" s="1329">
        <x:f t="shared" si="109"/>
        <x:v>0</x:v>
      </x:c>
      <x:c r="Y44" s="1377" t="str">
        <x:f t="shared" si="7"/>
        <x:v/>
      </x:c>
      <x:c r="Z44" s="1378" t="str">
        <x:f t="shared" si="8"/>
        <x:v/>
      </x:c>
      <x:c r="AA44" s="2159"/>
      <x:c r="AC44" s="1226" t="b">
        <x:v>0</x:v>
      </x:c>
      <x:c r="AD44" s="525">
        <x:f t="shared" si="9"/>
        <x:v>0</x:v>
      </x:c>
      <x:c r="AE44" s="526">
        <x:f t="shared" si="10"/>
        <x:v>0</x:v>
      </x:c>
      <x:c r="AF44" s="526">
        <x:f t="shared" si="11"/>
        <x:v>0</x:v>
      </x:c>
      <x:c r="AG44" s="526">
        <x:f t="shared" si="12"/>
        <x:v>0</x:v>
      </x:c>
      <x:c r="AH44" s="527">
        <x:f t="shared" si="13"/>
        <x:v>0</x:v>
      </x:c>
      <x:c r="AI44" s="528" t="b">
        <x:v>0</x:v>
      </x:c>
      <x:c r="AJ44" s="284">
        <x:f t="shared" si="14"/>
        <x:v>0</x:v>
      </x:c>
      <x:c r="AK44" s="1063" t="str">
        <x:f t="shared" si="15"/>
        <x:v/>
      </x:c>
      <x:c r="AL44" s="1202" t="str">
        <x:f t="shared" si="16"/>
        <x:v/>
      </x:c>
      <x:c r="AM44" s="1063" t="str">
        <x:f t="shared" si="17"/>
        <x:v/>
      </x:c>
      <x:c r="AN44" s="1063" t="str">
        <x:f t="shared" si="18"/>
        <x:v/>
      </x:c>
      <x:c r="AO44" s="1063" t="str">
        <x:f t="shared" si="19"/>
        <x:v/>
      </x:c>
      <x:c r="AP44" s="1063" t="b">
        <x:f>IF(ISERROR(AJ44),FALSE,IF(OR(AJ44=0,ISERROR(AL44),ISERROR(AM44),ISERROR(AN44),ISERROR(AO44)),FALSE,IF(AL44&lt;&gt;"",IF(ISERROR(VLOOKUP(SUBSTITUTE(SUBSTITUTE(C44,"R",""),"A",""),TblJoistSize!$A:$A,1,FALSE)),FALSE,TRUE),TRUE)))</x:f>
        <x:v>0</x:v>
      </x:c>
      <x:c r="AQ44" s="1305" t="e">
        <x:f t="shared" si="20"/>
        <x:v>#N/A</x:v>
      </x:c>
      <x:c r="AR44" s="1305" t="b">
        <x:f t="shared" si="21"/>
        <x:v>0</x:v>
      </x:c>
      <x:c r="AS44" s="1305" t="e">
        <x:f t="shared" si="22"/>
        <x:v>#N/A</x:v>
      </x:c>
      <x:c r="AT44" s="1305" t="b">
        <x:f t="shared" si="23"/>
        <x:v>0</x:v>
      </x:c>
      <x:c r="AU44" s="1203" t="str">
        <x:f t="shared" si="24"/>
        <x:v/>
      </x:c>
      <x:c r="AV44" s="1063" t="str">
        <x:f t="shared" si="25"/>
        <x:v/>
      </x:c>
      <x:c r="AW44" s="1063" t="str">
        <x:f t="shared" si="26"/>
        <x:v/>
      </x:c>
      <x:c r="AX44" s="1063" t="str">
        <x:f t="shared" si="99"/>
        <x:v/>
      </x:c>
      <x:c r="AY44" s="1306" t="b">
        <x:f t="shared" si="27"/>
        <x:v>0</x:v>
      </x:c>
      <x:c r="AZ44" s="1090" t="str">
        <x:f t="shared" si="28"/>
        <x:v/>
      </x:c>
      <x:c r="BA44" s="674"/>
      <x:c r="BB44" s="842"/>
      <x:c r="BC44" s="894"/>
      <x:c r="BD44" s="926"/>
      <x:c r="BE44" s="927"/>
      <x:c r="BF44" s="928"/>
      <x:c r="BG44" s="901"/>
      <x:c r="BH44" s="1244"/>
      <x:c r="BI44" s="1245"/>
      <x:c r="BJ44" s="929"/>
      <x:c r="BK44" s="902"/>
      <x:c r="BL44" s="903"/>
      <x:c r="BM44" s="904"/>
      <x:c r="BN44" s="905"/>
      <x:c r="BO44" s="901"/>
      <x:c r="BP44" s="902"/>
      <x:c r="BQ44" s="903"/>
      <x:c r="BR44" s="929"/>
      <x:c r="BS44" s="902"/>
      <x:c r="BT44" s="903"/>
      <x:c r="BU44" s="904"/>
      <x:c r="BV44" s="905"/>
      <x:c r="BW44" s="906"/>
      <x:c r="BX44" s="930"/>
      <x:c r="BY44" s="931"/>
      <x:c r="BZ44" s="932"/>
      <x:c r="CA44" s="933"/>
      <x:c r="CB44" s="932"/>
      <x:c r="CC44" s="933"/>
      <x:c r="CD44" s="934" t="str">
        <x:f t="shared" si="29"/>
        <x:v/>
      </x:c>
      <x:c r="CE44" s="935" t="str">
        <x:f t="shared" si="30"/>
        <x:v/>
      </x:c>
      <x:c r="CF44" s="1149"/>
      <x:c r="CG44" s="1150"/>
      <x:c r="CH44" s="738" t="str">
        <x:f t="shared" si="31"/>
        <x:v/>
      </x:c>
      <x:c r="CI44" s="739" t="str">
        <x:f t="shared" si="32"/>
        <x:v/>
      </x:c>
      <x:c r="CJ44" s="740" t="str">
        <x:f t="shared" si="33"/>
        <x:v/>
      </x:c>
      <x:c r="CK44" s="741" t="str">
        <x:f t="shared" si="34"/>
        <x:v/>
      </x:c>
      <x:c r="CL44" s="742" t="str">
        <x:f t="shared" si="35"/>
        <x:v/>
      </x:c>
      <x:c r="CM44" s="743" t="str">
        <x:f t="shared" si="36"/>
        <x:v/>
      </x:c>
      <x:c r="CN44" s="744" t="str">
        <x:f t="shared" si="37"/>
        <x:v/>
      </x:c>
      <x:c r="CO44" s="745" t="str">
        <x:f t="shared" si="38"/>
        <x:v/>
      </x:c>
      <x:c r="CP44" s="762" t="str">
        <x:f t="shared" si="39"/>
        <x:v/>
      </x:c>
      <x:c r="CQ44" s="763" t="str">
        <x:f t="shared" si="40"/>
        <x:v/>
      </x:c>
      <x:c r="CR44" s="953" t="str">
        <x:f t="shared" si="41"/>
        <x:v/>
      </x:c>
      <x:c r="CS44" s="954" t="str">
        <x:f t="shared" si="42"/>
        <x:v/>
      </x:c>
      <x:c r="CU44" s="1048" t="str">
        <x:f>IF(BG44="","",VLOOKUP(BG44,SectInfo!$B:$N,12,FALSE))</x:f>
        <x:v/>
      </x:c>
      <x:c r="CV44" s="1046" t="str">
        <x:f>IF(BG44="","",IF(ISBLANK(BZ44),VLOOKUP(BG44,SectInfo!$B:$N,13,FALSE),BZ44))</x:f>
        <x:v/>
      </x:c>
      <x:c r="CW44" s="1046" t="str">
        <x:f>IF(BG44="","",IF(VLOOKUP(BG44,SectInfo!$B:$N,5,FALSE)="","R",UPPER(VLOOKUP(BG44,SectInfo!$B:$N,5,FALSE))))</x:f>
        <x:v/>
      </x:c>
      <x:c r="CX44" s="1046" t="str">
        <x:f>IF(BG44="","",IF(ISBLANK(CF44),VLOOKUP(BG44,SectInfo!$B:$N,6,FALSE),CF44))</x:f>
        <x:v/>
      </x:c>
      <x:c r="CY44" s="1276" t="str">
        <x:f>IF(BG44="","",IF(VLOOKUP(BG44,SectInfo!$B:$N,10,FALSE)="","",(VLOOKUP(BG44,SectInfo!$B:$N,10,FALSE)*-1)))</x:f>
        <x:v/>
      </x:c>
      <x:c r="CZ44" s="1443" t="str">
        <x:f>IF(BG44="","",IF(VLOOKUP(BG44,SectInfo!$B:$N,11,FALSE)="","2",(VLOOKUP(BG44,SectInfo!$B:$N,11,FALSE))))</x:f>
        <x:v/>
      </x:c>
      <x:c r="DA44" s="1046" t="str">
        <x:f>IF(BG44="","",IF(VLOOKUP(BG44,SectInfo!$B:$N,7,FALSE)="","",(VLOOKUP(BG44,SectInfo!$B:$N,7,FALSE)*-1)))</x:f>
        <x:v/>
      </x:c>
      <x:c r="DB44" s="1046" t="str">
        <x:f>IF(BG44="","",IF(VLOOKUP(BG44,SectInfo!$B:$N,8,FALSE)="",VLOOKUP(AU44,$DF$2:$DN$9,6,FALSE),(VLOOKUP(BG44,SectInfo!$B:$N,8,FALSE))))</x:f>
        <x:v/>
      </x:c>
      <x:c r="DC44" s="1046" t="str">
        <x:f>IF(BG44="","",VLOOKUP(BG44,SectInfo!$B:$N,9,FALSE))</x:f>
        <x:v/>
      </x:c>
      <x:c r="DD44" s="1047">
        <x:f t="shared" si="43"/>
        <x:v>0</x:v>
      </x:c>
      <x:c r="DE44" s="1048" t="str">
        <x:f>IF(BO44="","",VLOOKUP(BO44,SectInfo!$B:$N,12,FALSE))</x:f>
        <x:v/>
      </x:c>
      <x:c r="DF44" s="1046" t="str">
        <x:f>IF(BO44="","",IF(ISBLANK(CA44),VLOOKUP(BO44,SectInfo!$B:$N,13,FALSE),CA44))</x:f>
        <x:v/>
      </x:c>
      <x:c r="DG44" s="1046" t="str">
        <x:f>IF(BO44="","",IF(VLOOKUP(BO44,SectInfo!$B:$N,5,FALSE)="","R",UPPER(VLOOKUP(BO44,SectInfo!$B:$N,5,FALSE))))</x:f>
        <x:v/>
      </x:c>
      <x:c r="DH44" s="1046" t="str">
        <x:f>IF(BO44="","",IF(ISBLANK(CG44),VLOOKUP(BO44,SectInfo!$B:$N,6,FALSE),CG44))</x:f>
        <x:v/>
      </x:c>
      <x:c r="DI44" s="1046" t="str">
        <x:f>IF(BO44="","",IF(VLOOKUP(BO44,SectInfo!$B:$N,10,FALSE)="","",(VLOOKUP(BO44,SectInfo!$B:$N,10,FALSE)*-1)))</x:f>
        <x:v/>
      </x:c>
      <x:c r="DJ44" s="1443" t="str">
        <x:f>IF(BO44="","",IF(VLOOKUP(BO44,SectInfo!$B:$N,11,FALSE)="","2",(VLOOKUP(BO44,SectInfo!$B:$N,11,FALSE))))</x:f>
        <x:v/>
      </x:c>
      <x:c r="DK44" s="1046" t="str">
        <x:f>IF(BO44="","",IF(VLOOKUP(BO44,SectInfo!$B:$N,7,FALSE)="","",(VLOOKUP(BO44,SectInfo!$B:$N,7,FALSE)*-1)))</x:f>
        <x:v/>
      </x:c>
      <x:c r="DL44" s="1046" t="str">
        <x:f>IF(BO44="","",IF(VLOOKUP(BO44,SectInfo!$B:$N,8,FALSE)="",VLOOKUP(AU44,$DF$2:$DN$9,6,FALSE),(VLOOKUP(BO44,SectInfo!$B:$N,8,FALSE))))</x:f>
        <x:v/>
      </x:c>
      <x:c r="DM44" s="1046" t="str">
        <x:f>IF(BO44="","",VLOOKUP(BO44,SectInfo!$B:$N,9,FALSE))</x:f>
        <x:v/>
      </x:c>
      <x:c r="DN44" s="1047">
        <x:f t="shared" si="44"/>
        <x:v>0</x:v>
      </x:c>
      <x:c r="DO44" s="1049">
        <x:f t="shared" si="45"/>
        <x:v>0</x:v>
      </x:c>
      <x:c r="DP44" s="1053" t="str">
        <x:f t="shared" si="46"/>
        <x:v/>
      </x:c>
      <x:c r="DQ44" s="1053" t="str">
        <x:f t="shared" si="47"/>
        <x:v/>
      </x:c>
      <x:c r="DR44" s="1053" t="str">
        <x:f t="shared" si="48"/>
        <x:v/>
      </x:c>
      <x:c r="DS44" s="1052">
        <x:f t="shared" si="49"/>
        <x:v>0</x:v>
      </x:c>
      <x:c r="DT44" s="1052">
        <x:f t="shared" si="50"/>
        <x:v>0</x:v>
      </x:c>
      <x:c r="DU44" s="1052" t="str">
        <x:f t="shared" si="51"/>
        <x:v/>
      </x:c>
      <x:c r="DV44" s="1053" t="str">
        <x:f t="shared" si="52"/>
        <x:v/>
      </x:c>
      <x:c r="DW44" s="1053" t="str">
        <x:f t="shared" si="53"/>
        <x:v/>
      </x:c>
      <x:c r="DX44" s="1269">
        <x:f t="shared" si="54"/>
        <x:v>0</x:v>
      </x:c>
      <x:c r="DY44" s="1053">
        <x:f t="shared" si="55"/>
        <x:v>0</x:v>
      </x:c>
      <x:c r="DZ44" s="1052">
        <x:f t="shared" si="56"/>
        <x:v>0</x:v>
      </x:c>
      <x:c r="EA44" s="1052" t="str">
        <x:f t="shared" si="57"/>
        <x:v/>
      </x:c>
      <x:c r="EB44" s="1053" t="str">
        <x:f t="shared" si="58"/>
        <x:v/>
      </x:c>
      <x:c r="EC44" s="1053" t="str">
        <x:f t="shared" si="59"/>
        <x:v/>
      </x:c>
      <x:c r="ED44" s="1269">
        <x:f t="shared" si="60"/>
        <x:v>0</x:v>
      </x:c>
      <x:c r="EE44" s="1090" t="str">
        <x:f t="shared" si="61"/>
        <x:v/>
      </x:c>
      <x:c r="EF44" s="1053" t="str">
        <x:f t="shared" si="62"/>
        <x:v/>
      </x:c>
      <x:c r="EG44" s="1053" t="str">
        <x:f t="shared" si="63"/>
        <x:v/>
      </x:c>
      <x:c r="EH44" s="1053" t="e">
        <x:f t="shared" si="64"/>
        <x:v>#N/A</x:v>
      </x:c>
      <x:c r="EI44" s="1053" t="e">
        <x:f t="shared" si="65"/>
        <x:v>#N/A</x:v>
      </x:c>
      <x:c r="EJ44" s="1053" t="str">
        <x:f t="shared" si="66"/>
        <x:v/>
      </x:c>
      <x:c r="EK44" s="1053" t="str">
        <x:f t="shared" si="66"/>
        <x:v/>
      </x:c>
      <x:c r="EL44" s="1090" t="str">
        <x:f t="shared" si="67"/>
        <x:v/>
      </x:c>
      <x:c r="EM44" s="1053" t="str">
        <x:f t="shared" si="68"/>
        <x:v/>
      </x:c>
      <x:c r="EN44" s="1053" t="str">
        <x:f t="shared" si="69"/>
        <x:v/>
      </x:c>
      <x:c r="EO44" s="1053" t="e">
        <x:f t="shared" si="70"/>
        <x:v>#N/A</x:v>
      </x:c>
      <x:c r="EP44" s="1053" t="e">
        <x:f t="shared" si="71"/>
        <x:v>#N/A</x:v>
      </x:c>
      <x:c r="EQ44" s="1053" t="str">
        <x:f t="shared" si="72"/>
        <x:v/>
      </x:c>
      <x:c r="ER44" s="1053" t="str">
        <x:f t="shared" si="72"/>
        <x:v/>
      </x:c>
      <x:c r="ES44" s="1053" t="str">
        <x:f t="shared" si="73"/>
        <x:v/>
      </x:c>
      <x:c r="ET44" s="1053" t="str">
        <x:f t="shared" si="74"/>
        <x:v/>
      </x:c>
      <x:c r="EU44" s="1061" t="str">
        <x:f t="shared" si="75"/>
        <x:v/>
      </x:c>
      <x:c r="EV44" s="1055" t="str">
        <x:f t="shared" si="76"/>
        <x:v/>
      </x:c>
      <x:c r="EW44" s="1061"/>
      <x:c r="EX44" s="1061" t="str">
        <x:f>IF(AND(CU44="G", ISBLANK(BK44), ISBLANK(BL44)),VLOOKUP(MIN(BH44:BI44),TblJoistSize!$M$3:$N$10,2),IF(OR(CU44="B",CU44="G"),MIN(BK44:BL44),""))</x:f>
        <x:v/>
      </x:c>
      <x:c r="EY44" s="1061" t="str">
        <x:f>IF(AND(CU44="G", ISBLANK(BK44), ISBLANK(BL44)),VLOOKUP(MAX(BH44:BI44),TblJoistSize!$M$3:$N$10,2),IF(OR(CU44="B",CU44="G"),MAX(BK44:BL44),""))</x:f>
        <x:v/>
      </x:c>
      <x:c r="EZ44" s="1061" t="str">
        <x:f t="shared" si="77"/>
        <x:v/>
      </x:c>
      <x:c r="FA44" s="1061" t="str">
        <x:f>IF(AND(DE44="G", ISBLANK(BS44), ISBLANK(BT44)),VLOOKUP(MIN(BP44:BQ44),TblJoistSize!$M$3:$N$10,2),IF(OR(DE44="B", DE44="G"),MIN(BS44:BT44),""))</x:f>
        <x:v/>
      </x:c>
      <x:c r="FB44" s="1061" t="str">
        <x:f>IF(AND(DE44="G", ISBLANK(BS44), ISBLANK(BT44)),VLOOKUP(MAX(BP44:BQ44),TblJoistSize!$M$3:$N$10,2),IF(OR(DE44="B", DE44="G"),MAX(BS44:BT44),""))</x:f>
        <x:v/>
      </x:c>
      <x:c r="FC44" s="1061" t="str">
        <x:f t="shared" si="78"/>
        <x:v/>
      </x:c>
      <x:c r="FD44" s="1052">
        <x:f t="shared" si="100"/>
        <x:v>0</x:v>
      </x:c>
      <x:c r="FE44" s="1052">
        <x:f t="shared" si="79"/>
        <x:v>0</x:v>
      </x:c>
      <x:c r="FF44" s="1052">
        <x:f t="shared" si="80"/>
        <x:v>0</x:v>
      </x:c>
      <x:c r="FG44" s="1052" t="str">
        <x:f t="shared" si="81"/>
        <x:v/>
      </x:c>
      <x:c r="FH44" s="1053" t="str">
        <x:f t="shared" si="82"/>
        <x:v/>
      </x:c>
      <x:c r="FI44" s="1052">
        <x:f t="shared" si="101"/>
        <x:v>0</x:v>
      </x:c>
      <x:c r="FJ44" s="1052">
        <x:f t="shared" si="83"/>
        <x:v>0</x:v>
      </x:c>
      <x:c r="FK44" s="1052">
        <x:f t="shared" si="84"/>
        <x:v>0</x:v>
      </x:c>
      <x:c r="FL44" s="1052" t="str">
        <x:f t="shared" si="85"/>
        <x:v/>
      </x:c>
      <x:c r="FM44" s="1053" t="str">
        <x:f t="shared" si="86"/>
        <x:v/>
      </x:c>
      <x:c r="FN44" s="1053" t="e">
        <x:f t="shared" si="87"/>
        <x:v>#VALUE!</x:v>
      </x:c>
      <x:c r="FO44" s="1062" t="e">
        <x:f t="shared" si="88"/>
        <x:v>#VALUE!</x:v>
      </x:c>
      <x:c r="FP44" s="1062" t="e">
        <x:f t="shared" si="89"/>
        <x:v>#VALUE!</x:v>
      </x:c>
      <x:c r="FQ44" s="1063" t="e">
        <x:f t="shared" si="90"/>
        <x:v>#VALUE!</x:v>
      </x:c>
      <x:c r="FR44" s="1064" t="e">
        <x:f t="shared" si="91"/>
        <x:v>#VALUE!</x:v>
      </x:c>
      <x:c r="FS44" s="1065" t="str">
        <x:f t="shared" si="92"/>
        <x:v/>
      </x:c>
      <x:c r="FT44" s="1066" t="str">
        <x:f t="shared" si="93"/>
        <x:v/>
      </x:c>
      <x:c r="FU44" s="1105">
        <x:f t="shared" si="94"/>
        <x:v>0</x:v>
      </x:c>
      <x:c r="FV44" s="1106">
        <x:f t="shared" si="95"/>
        <x:v>0</x:v>
      </x:c>
      <x:c r="GA44" s="1975" t="str">
        <x:f t="shared" si="118"/>
        <x:v/>
      </x:c>
      <x:c r="GB44" s="1976" t="str">
        <x:f t="shared" si="119"/>
        <x:v/>
      </x:c>
      <x:c r="GC44" s="1977" t="str">
        <x:f t="shared" si="120"/>
        <x:v/>
      </x:c>
      <x:c r="GD44" s="1978" t="str">
        <x:f t="shared" si="121"/>
        <x:v/>
      </x:c>
      <x:c r="GE44" s="1979" t="str">
        <x:f t="shared" si="122"/>
        <x:v/>
      </x:c>
      <x:c r="GF44" s="1980" t="str">
        <x:f t="shared" si="96"/>
        <x:v/>
      </x:c>
      <x:c r="GG44" s="1453"/>
      <x:c r="GH44" s="1454"/>
      <x:c r="GI44" s="1453"/>
      <x:c r="GJ44" s="1454"/>
      <x:c r="GK44" s="533">
        <x:f t="shared" si="97"/>
        <x:v>0</x:v>
      </x:c>
      <x:c r="GL44" s="534" t="e">
        <x:f t="shared" si="98"/>
        <x:v>#VALUE!</x:v>
      </x:c>
      <x:c r="GM44" s="535" t="e">
        <x:f>IF(ABS(GK44-GL44)&gt;='Job Info.'!$L$22,ABS(GK44-GL44),0)</x:f>
        <x:v>#VALUE!</x:v>
      </x:c>
      <x:c r="HA44" s="1658"/>
      <x:c r="HB44" s="1659"/>
      <x:c r="HC44" s="1659"/>
      <x:c r="HD44" s="1660"/>
      <x:c r="HE44" s="1661"/>
      <x:c r="HF44" s="1659"/>
      <x:c r="HG44" s="1659"/>
      <x:c r="HH44" s="1659"/>
      <x:c r="HI44" s="1662"/>
      <x:c r="HJ44" s="1659"/>
      <x:c r="HK44" s="1659"/>
      <x:c r="HL44" s="1659"/>
      <x:c r="HM44" s="1659"/>
      <x:c r="HN44" s="1659"/>
      <x:c r="HO44" s="1659"/>
      <x:c r="HP44" s="1659"/>
      <x:c r="HQ44" s="1662"/>
      <x:c r="HR44" s="1659"/>
      <x:c r="HS44" s="1659"/>
      <x:c r="HT44" s="1659"/>
      <x:c r="HU44" s="1659"/>
      <x:c r="HV44" s="1659"/>
      <x:c r="HW44" s="1661"/>
      <x:c r="HX44" s="1661"/>
      <x:c r="HY44" s="1661"/>
      <x:c r="HZ44" s="1661"/>
      <x:c r="IA44" s="1661"/>
      <x:c r="IB44" s="1661"/>
      <x:c r="IC44" s="1661"/>
      <x:c r="ID44" s="1661"/>
      <x:c r="IE44" s="1661"/>
      <x:c r="IF44" s="1663"/>
    </x:row>
    <x:row r="45" spans="1:240" ht="12.6" customHeight="1" thickBot="1" x14ac:dyDescent="0.3">
      <x:c r="A45" s="2124" t="str">
        <x:f>IF(BB45="","",UPPER(BB45))</x:f>
        <x:v/>
      </x:c>
      <x:c r="B45" s="2160"/>
      <x:c r="C45" s="2160" t="str">
        <x:f>IF(BD45="","",UPPER(BD45))</x:f>
        <x:v/>
      </x:c>
      <x:c r="D45" s="2126" t="str">
        <x:f>IF(DP45="","",TRUNC(DP45/12))</x:f>
        <x:v/>
      </x:c>
      <x:c r="E45" s="2167" t="str">
        <x:f>IF(DP45="","",DP45-(D45*12))</x:f>
        <x:v/>
      </x:c>
      <x:c r="F45" s="2137" t="str">
        <x:f>IF(DX45=0,"",TRUNC(DX45/12))</x:f>
        <x:v/>
      </x:c>
      <x:c r="G45" s="2127" t="str">
        <x:f>IF(DX45=0,"",DX45-(F45*12))</x:f>
        <x:v/>
      </x:c>
      <x:c r="H45" s="2162" t="str">
        <x:f>IF(DX45=0,"",CW45)</x:f>
        <x:v/>
      </x:c>
      <x:c r="I45" s="2126" t="str">
        <x:f>IF(ED45=0,"",TRUNC(ED45/12))</x:f>
        <x:v/>
      </x:c>
      <x:c r="J45" s="2127" t="str">
        <x:f>IF(ED45=0,"",ED45-(I45*12))</x:f>
        <x:v/>
      </x:c>
      <x:c r="K45" s="2168" t="str">
        <x:f>IF(ED45=0,"",DG45)</x:f>
        <x:v/>
      </x:c>
      <x:c r="L45" s="2132" t="str">
        <x:f>DQ45</x:f>
        <x:v/>
      </x:c>
      <x:c r="M45" s="2158" t="str">
        <x:f>DR45</x:f>
        <x:v/>
      </x:c>
      <x:c r="N45" s="2134" t="str">
        <x:f>IF(ES45="","",IF(AND(ES45&lt;0,ES45&gt;-12),TRUNC(ES45/12)-0.0000001,TRUNC(ES45/12)))</x:f>
        <x:v/>
      </x:c>
      <x:c r="O45" s="2127" t="str">
        <x:f>IF(ES45="","",IF(AND(ES45-(N45*12)=0,ES45&lt;0),-0.000001,ES45-(N45*12)))</x:f>
        <x:v/>
      </x:c>
      <x:c r="P45" s="2125" t="str">
        <x:f>IF(ES45="","",CZ45)</x:f>
        <x:v/>
      </x:c>
      <x:c r="Q45" s="2126" t="str">
        <x:f>IF(ET45="","",IF(AND(ET45&lt;0,ET45&gt;-12),TRUNC(ET45/12)-0.0000001,TRUNC(ET45/12)))</x:f>
        <x:v/>
      </x:c>
      <x:c r="R45" s="2127" t="str">
        <x:f>IF(ET45="","",IF(AND(ET45-(Q45*12)=0,ET45&lt;0),-0.000001,ET45-(Q45*12)))</x:f>
        <x:v/>
      </x:c>
      <x:c r="S45" s="2169" t="str">
        <x:f>IF(ET45="","",DJ45)</x:f>
        <x:v/>
      </x:c>
      <x:c r="T45" s="2137" t="str">
        <x:f>IF(CH45="ERR","",IF(EK45="","",IF(EK45="ERR",TRUNC(EJ45/12),TRUNC(EK45/12))))</x:f>
        <x:v/>
      </x:c>
      <x:c r="U45" s="2127" t="str">
        <x:f>IF(CH45="ERR","",IF(EK45="","",IF(EK45="ERR",EJ45-(T45*12),EK45-(T45*12))))</x:f>
        <x:v/>
      </x:c>
      <x:c r="V45" s="2126" t="str">
        <x:f>IF(CI45="ERR","",IF(ER45="","",IF(ER45="ERR",TRUNC(EQ45/12),TRUNC(ER45/12))))</x:f>
        <x:v/>
      </x:c>
      <x:c r="W45" s="2127" t="str">
        <x:f>IF(CI45="ERR","",IF(ER45="","",IF(ER45="ERR",EQ45-(V45*12),ER45-(V45*12))))</x:f>
        <x:v/>
      </x:c>
      <x:c r="X45" s="2158">
        <x:f>IF(EV45="",0,EV45)</x:f>
        <x:v>0</x:v>
      </x:c>
      <x:c r="Y45" s="2164" t="str">
        <x:f>FG45</x:f>
        <x:v/>
      </x:c>
      <x:c r="Z45" s="2165" t="str">
        <x:f>FL45</x:f>
        <x:v/>
      </x:c>
      <x:c r="AA45" s="2159"/>
      <x:c r="AC45" s="1226" t="b">
        <x:v>0</x:v>
      </x:c>
      <x:c r="AD45" s="525">
        <x:f t="shared" si="9"/>
        <x:v>0</x:v>
      </x:c>
      <x:c r="AE45" s="526">
        <x:f t="shared" si="10"/>
        <x:v>0</x:v>
      </x:c>
      <x:c r="AF45" s="526">
        <x:f t="shared" si="11"/>
        <x:v>0</x:v>
      </x:c>
      <x:c r="AG45" s="526">
        <x:f t="shared" si="12"/>
        <x:v>0</x:v>
      </x:c>
      <x:c r="AH45" s="527">
        <x:f t="shared" si="13"/>
        <x:v>0</x:v>
      </x:c>
      <x:c r="AI45" s="528" t="b">
        <x:v>0</x:v>
      </x:c>
      <x:c r="AJ45" s="284">
        <x:f t="shared" si="14"/>
        <x:v>0</x:v>
      </x:c>
      <x:c r="AK45" s="1063" t="str">
        <x:f t="shared" si="15"/>
        <x:v/>
      </x:c>
      <x:c r="AL45" s="1202" t="str">
        <x:f t="shared" si="16"/>
        <x:v/>
      </x:c>
      <x:c r="AM45" s="1063" t="str">
        <x:f t="shared" si="17"/>
        <x:v/>
      </x:c>
      <x:c r="AN45" s="1063" t="str">
        <x:f t="shared" si="18"/>
        <x:v/>
      </x:c>
      <x:c r="AO45" s="1063" t="str">
        <x:f t="shared" si="19"/>
        <x:v/>
      </x:c>
      <x:c r="AP45" s="1063" t="b">
        <x:f>IF(ISERROR(AJ45),FALSE,IF(OR(AJ45=0,ISERROR(AL45),ISERROR(AM45),ISERROR(AN45),ISERROR(AO45)),FALSE,IF(AL45&lt;&gt;"",IF(ISERROR(VLOOKUP(SUBSTITUTE(SUBSTITUTE(C45,"R",""),"A",""),TblJoistSize!$A:$A,1,FALSE)),FALSE,TRUE),TRUE)))</x:f>
        <x:v>0</x:v>
      </x:c>
      <x:c r="AQ45" s="1305" t="e">
        <x:f t="shared" si="20"/>
        <x:v>#N/A</x:v>
      </x:c>
      <x:c r="AR45" s="1305" t="b">
        <x:f t="shared" si="21"/>
        <x:v>0</x:v>
      </x:c>
      <x:c r="AS45" s="1305" t="e">
        <x:f t="shared" si="22"/>
        <x:v>#N/A</x:v>
      </x:c>
      <x:c r="AT45" s="1305" t="b">
        <x:f t="shared" si="23"/>
        <x:v>0</x:v>
      </x:c>
      <x:c r="AU45" s="1203" t="str">
        <x:f t="shared" si="24"/>
        <x:v/>
      </x:c>
      <x:c r="AV45" s="1063" t="str">
        <x:f t="shared" si="25"/>
        <x:v/>
      </x:c>
      <x:c r="AW45" s="1063" t="str">
        <x:f t="shared" si="26"/>
        <x:v/>
      </x:c>
      <x:c r="AX45" s="1063" t="str">
        <x:f t="shared" si="99"/>
        <x:v/>
      </x:c>
      <x:c r="AY45" s="1306" t="b">
        <x:f t="shared" si="27"/>
        <x:v>0</x:v>
      </x:c>
      <x:c r="AZ45" s="1090" t="str">
        <x:f t="shared" si="28"/>
        <x:v/>
      </x:c>
      <x:c r="BA45" s="674"/>
      <x:c r="BB45" s="854"/>
      <x:c r="BC45" s="895"/>
      <x:c r="BD45" s="1038"/>
      <x:c r="BE45" s="1039"/>
      <x:c r="BF45" s="1040"/>
      <x:c r="BG45" s="907"/>
      <x:c r="BH45" s="1247"/>
      <x:c r="BI45" s="1248"/>
      <x:c r="BJ45" s="936"/>
      <x:c r="BK45" s="908"/>
      <x:c r="BL45" s="909"/>
      <x:c r="BM45" s="910"/>
      <x:c r="BN45" s="911"/>
      <x:c r="BO45" s="907"/>
      <x:c r="BP45" s="908"/>
      <x:c r="BQ45" s="909"/>
      <x:c r="BR45" s="936"/>
      <x:c r="BS45" s="908"/>
      <x:c r="BT45" s="909"/>
      <x:c r="BU45" s="910"/>
      <x:c r="BV45" s="911"/>
      <x:c r="BW45" s="912"/>
      <x:c r="BX45" s="937"/>
      <x:c r="BY45" s="938"/>
      <x:c r="BZ45" s="939"/>
      <x:c r="CA45" s="940"/>
      <x:c r="CB45" s="939"/>
      <x:c r="CC45" s="940"/>
      <x:c r="CD45" s="941" t="str">
        <x:f t="shared" si="29"/>
        <x:v/>
      </x:c>
      <x:c r="CE45" s="942" t="str">
        <x:f t="shared" si="30"/>
        <x:v/>
      </x:c>
      <x:c r="CF45" s="1151"/>
      <x:c r="CG45" s="1152"/>
      <x:c r="CH45" s="748" t="str">
        <x:f t="shared" si="31"/>
        <x:v/>
      </x:c>
      <x:c r="CI45" s="749" t="str">
        <x:f t="shared" si="32"/>
        <x:v/>
      </x:c>
      <x:c r="CJ45" s="750" t="str">
        <x:f t="shared" si="33"/>
        <x:v/>
      </x:c>
      <x:c r="CK45" s="751" t="str">
        <x:f t="shared" si="34"/>
        <x:v/>
      </x:c>
      <x:c r="CL45" s="752" t="str">
        <x:f t="shared" si="35"/>
        <x:v/>
      </x:c>
      <x:c r="CM45" s="753" t="str">
        <x:f t="shared" si="36"/>
        <x:v/>
      </x:c>
      <x:c r="CN45" s="754" t="str">
        <x:f t="shared" si="37"/>
        <x:v/>
      </x:c>
      <x:c r="CO45" s="755" t="str">
        <x:f t="shared" si="38"/>
        <x:v/>
      </x:c>
      <x:c r="CP45" s="764" t="str">
        <x:f t="shared" si="39"/>
        <x:v/>
      </x:c>
      <x:c r="CQ45" s="765" t="str">
        <x:f t="shared" si="40"/>
        <x:v/>
      </x:c>
      <x:c r="CR45" s="955" t="str">
        <x:f t="shared" si="41"/>
        <x:v/>
      </x:c>
      <x:c r="CS45" s="956" t="str">
        <x:f t="shared" si="42"/>
        <x:v/>
      </x:c>
      <x:c r="CU45" s="1048" t="str">
        <x:f>IF(BG45="","",VLOOKUP(BG45,SectInfo!$B:$N,12,FALSE))</x:f>
        <x:v/>
      </x:c>
      <x:c r="CV45" s="1046" t="str">
        <x:f>IF(BG45="","",IF(ISBLANK(BZ45),VLOOKUP(BG45,SectInfo!$B:$N,13,FALSE),BZ45))</x:f>
        <x:v/>
      </x:c>
      <x:c r="CW45" s="1046" t="str">
        <x:f>IF(BG45="","",IF(VLOOKUP(BG45,SectInfo!$B:$N,5,FALSE)="","R",UPPER(VLOOKUP(BG45,SectInfo!$B:$N,5,FALSE))))</x:f>
        <x:v/>
      </x:c>
      <x:c r="CX45" s="1046" t="str">
        <x:f>IF(BG45="","",IF(ISBLANK(CF45),VLOOKUP(BG45,SectInfo!$B:$N,6,FALSE),CF45))</x:f>
        <x:v/>
      </x:c>
      <x:c r="CY45" s="1276" t="str">
        <x:f>IF(BG45="","",IF(VLOOKUP(BG45,SectInfo!$B:$N,10,FALSE)="","",(VLOOKUP(BG45,SectInfo!$B:$N,10,FALSE)*-1)))</x:f>
        <x:v/>
      </x:c>
      <x:c r="CZ45" s="1443" t="str">
        <x:f>IF(BG45="","",IF(VLOOKUP(BG45,SectInfo!$B:$N,11,FALSE)="","2",(VLOOKUP(BG45,SectInfo!$B:$N,11,FALSE))))</x:f>
        <x:v/>
      </x:c>
      <x:c r="DA45" s="1046" t="str">
        <x:f>IF(BG45="","",IF(VLOOKUP(BG45,SectInfo!$B:$N,7,FALSE)="","",(VLOOKUP(BG45,SectInfo!$B:$N,7,FALSE)*-1)))</x:f>
        <x:v/>
      </x:c>
      <x:c r="DB45" s="1046" t="str">
        <x:f>IF(BG45="","",IF(VLOOKUP(BG45,SectInfo!$B:$N,8,FALSE)="",VLOOKUP(AU45,$DF$2:$DN$9,6,FALSE),(VLOOKUP(BG45,SectInfo!$B:$N,8,FALSE))))</x:f>
        <x:v/>
      </x:c>
      <x:c r="DC45" s="1046" t="str">
        <x:f>IF(BG45="","",VLOOKUP(BG45,SectInfo!$B:$N,9,FALSE))</x:f>
        <x:v/>
      </x:c>
      <x:c r="DD45" s="1047">
        <x:f t="shared" si="43"/>
        <x:v>0</x:v>
      </x:c>
      <x:c r="DE45" s="1048" t="str">
        <x:f>IF(BO45="","",VLOOKUP(BO45,SectInfo!$B:$N,12,FALSE))</x:f>
        <x:v/>
      </x:c>
      <x:c r="DF45" s="1046" t="str">
        <x:f>IF(BO45="","",IF(ISBLANK(CA45),VLOOKUP(BO45,SectInfo!$B:$N,13,FALSE),CA45))</x:f>
        <x:v/>
      </x:c>
      <x:c r="DG45" s="1046" t="str">
        <x:f>IF(BO45="","",IF(VLOOKUP(BO45,SectInfo!$B:$N,5,FALSE)="","R",UPPER(VLOOKUP(BO45,SectInfo!$B:$N,5,FALSE))))</x:f>
        <x:v/>
      </x:c>
      <x:c r="DH45" s="1046" t="str">
        <x:f>IF(BO45="","",IF(ISBLANK(CG45),VLOOKUP(BO45,SectInfo!$B:$N,6,FALSE),CG45))</x:f>
        <x:v/>
      </x:c>
      <x:c r="DI45" s="1046" t="str">
        <x:f>IF(BO45="","",IF(VLOOKUP(BO45,SectInfo!$B:$N,10,FALSE)="","",(VLOOKUP(BO45,SectInfo!$B:$N,10,FALSE)*-1)))</x:f>
        <x:v/>
      </x:c>
      <x:c r="DJ45" s="1443" t="str">
        <x:f>IF(BO45="","",IF(VLOOKUP(BO45,SectInfo!$B:$N,11,FALSE)="","2",(VLOOKUP(BO45,SectInfo!$B:$N,11,FALSE))))</x:f>
        <x:v/>
      </x:c>
      <x:c r="DK45" s="1046" t="str">
        <x:f>IF(BO45="","",IF(VLOOKUP(BO45,SectInfo!$B:$N,7,FALSE)="","",(VLOOKUP(BO45,SectInfo!$B:$N,7,FALSE)*-1)))</x:f>
        <x:v/>
      </x:c>
      <x:c r="DL45" s="1046" t="str">
        <x:f>IF(BO45="","",IF(VLOOKUP(BO45,SectInfo!$B:$N,8,FALSE)="",VLOOKUP(AU45,$DF$2:$DN$9,6,FALSE),(VLOOKUP(BO45,SectInfo!$B:$N,8,FALSE))))</x:f>
        <x:v/>
      </x:c>
      <x:c r="DM45" s="1046" t="str">
        <x:f>IF(BO45="","",VLOOKUP(BO45,SectInfo!$B:$N,9,FALSE))</x:f>
        <x:v/>
      </x:c>
      <x:c r="DN45" s="1047">
        <x:f t="shared" si="44"/>
        <x:v>0</x:v>
      </x:c>
      <x:c r="DO45" s="1049">
        <x:f t="shared" si="45"/>
        <x:v>0</x:v>
      </x:c>
      <x:c r="DP45" s="1053" t="str">
        <x:f t="shared" si="46"/>
        <x:v/>
      </x:c>
      <x:c r="DQ45" s="1053" t="str">
        <x:f t="shared" si="47"/>
        <x:v/>
      </x:c>
      <x:c r="DR45" s="1053" t="str">
        <x:f t="shared" si="48"/>
        <x:v/>
      </x:c>
      <x:c r="DS45" s="1052">
        <x:f t="shared" si="49"/>
        <x:v>0</x:v>
      </x:c>
      <x:c r="DT45" s="1052">
        <x:f t="shared" si="50"/>
        <x:v>0</x:v>
      </x:c>
      <x:c r="DU45" s="1052" t="str">
        <x:f t="shared" si="51"/>
        <x:v/>
      </x:c>
      <x:c r="DV45" s="1053" t="str">
        <x:f t="shared" si="52"/>
        <x:v/>
      </x:c>
      <x:c r="DW45" s="1053" t="str">
        <x:f t="shared" si="53"/>
        <x:v/>
      </x:c>
      <x:c r="DX45" s="1269">
        <x:f t="shared" si="54"/>
        <x:v>0</x:v>
      </x:c>
      <x:c r="DY45" s="1053">
        <x:f t="shared" si="55"/>
        <x:v>0</x:v>
      </x:c>
      <x:c r="DZ45" s="1052">
        <x:f t="shared" si="56"/>
        <x:v>0</x:v>
      </x:c>
      <x:c r="EA45" s="1052" t="str">
        <x:f t="shared" si="57"/>
        <x:v/>
      </x:c>
      <x:c r="EB45" s="1053" t="str">
        <x:f t="shared" si="58"/>
        <x:v/>
      </x:c>
      <x:c r="EC45" s="1053" t="str">
        <x:f t="shared" si="59"/>
        <x:v/>
      </x:c>
      <x:c r="ED45" s="1269">
        <x:f t="shared" si="60"/>
        <x:v>0</x:v>
      </x:c>
      <x:c r="EE45" s="1090" t="str">
        <x:f t="shared" si="61"/>
        <x:v/>
      </x:c>
      <x:c r="EF45" s="1053" t="str">
        <x:f t="shared" si="62"/>
        <x:v/>
      </x:c>
      <x:c r="EG45" s="1053" t="str">
        <x:f t="shared" si="63"/>
        <x:v/>
      </x:c>
      <x:c r="EH45" s="1053" t="e">
        <x:f t="shared" si="64"/>
        <x:v>#N/A</x:v>
      </x:c>
      <x:c r="EI45" s="1053" t="e">
        <x:f t="shared" si="65"/>
        <x:v>#N/A</x:v>
      </x:c>
      <x:c r="EJ45" s="1053" t="str">
        <x:f t="shared" si="66"/>
        <x:v/>
      </x:c>
      <x:c r="EK45" s="1053" t="str">
        <x:f t="shared" si="66"/>
        <x:v/>
      </x:c>
      <x:c r="EL45" s="1090" t="str">
        <x:f t="shared" si="67"/>
        <x:v/>
      </x:c>
      <x:c r="EM45" s="1053" t="str">
        <x:f t="shared" si="68"/>
        <x:v/>
      </x:c>
      <x:c r="EN45" s="1053" t="str">
        <x:f t="shared" si="69"/>
        <x:v/>
      </x:c>
      <x:c r="EO45" s="1053" t="e">
        <x:f t="shared" si="70"/>
        <x:v>#N/A</x:v>
      </x:c>
      <x:c r="EP45" s="1053" t="e">
        <x:f t="shared" si="71"/>
        <x:v>#N/A</x:v>
      </x:c>
      <x:c r="EQ45" s="1053" t="str">
        <x:f t="shared" si="72"/>
        <x:v/>
      </x:c>
      <x:c r="ER45" s="1053" t="str">
        <x:f t="shared" si="72"/>
        <x:v/>
      </x:c>
      <x:c r="ES45" s="1053" t="str">
        <x:f t="shared" si="73"/>
        <x:v/>
      </x:c>
      <x:c r="ET45" s="1053" t="str">
        <x:f t="shared" si="74"/>
        <x:v/>
      </x:c>
      <x:c r="EU45" s="1061" t="str">
        <x:f t="shared" si="75"/>
        <x:v/>
      </x:c>
      <x:c r="EV45" s="1055" t="str">
        <x:f t="shared" si="76"/>
        <x:v/>
      </x:c>
      <x:c r="EW45" s="1061"/>
      <x:c r="EX45" s="1061" t="str">
        <x:f>IF(AND(CU45="G", ISBLANK(BK45), ISBLANK(BL45)),VLOOKUP(MIN(BH45:BI45),TblJoistSize!$M$3:$N$10,2),IF(OR(CU45="B",CU45="G"),MIN(BK45:BL45),""))</x:f>
        <x:v/>
      </x:c>
      <x:c r="EY45" s="1061" t="str">
        <x:f>IF(AND(CU45="G", ISBLANK(BK45), ISBLANK(BL45)),VLOOKUP(MAX(BH45:BI45),TblJoistSize!$M$3:$N$10,2),IF(OR(CU45="B",CU45="G"),MAX(BK45:BL45),""))</x:f>
        <x:v/>
      </x:c>
      <x:c r="EZ45" s="1061" t="str">
        <x:f t="shared" si="77"/>
        <x:v/>
      </x:c>
      <x:c r="FA45" s="1061" t="str">
        <x:f>IF(AND(DE45="G", ISBLANK(BS45), ISBLANK(BT45)),VLOOKUP(MIN(BP45:BQ45),TblJoistSize!$M$3:$N$10,2),IF(OR(DE45="B", DE45="G"),MIN(BS45:BT45),""))</x:f>
        <x:v/>
      </x:c>
      <x:c r="FB45" s="1061" t="str">
        <x:f>IF(AND(DE45="G", ISBLANK(BS45), ISBLANK(BT45)),VLOOKUP(MAX(BP45:BQ45),TblJoistSize!$M$3:$N$10,2),IF(OR(DE45="B", DE45="G"),MAX(BS45:BT45),""))</x:f>
        <x:v/>
      </x:c>
      <x:c r="FC45" s="1061" t="str">
        <x:f t="shared" si="78"/>
        <x:v/>
      </x:c>
      <x:c r="FD45" s="1052">
        <x:f t="shared" si="100"/>
        <x:v>0</x:v>
      </x:c>
      <x:c r="FE45" s="1052">
        <x:f t="shared" si="79"/>
        <x:v>0</x:v>
      </x:c>
      <x:c r="FF45" s="1052">
        <x:f t="shared" si="80"/>
        <x:v>0</x:v>
      </x:c>
      <x:c r="FG45" s="1052" t="str">
        <x:f t="shared" si="81"/>
        <x:v/>
      </x:c>
      <x:c r="FH45" s="1053" t="str">
        <x:f t="shared" si="82"/>
        <x:v/>
      </x:c>
      <x:c r="FI45" s="1052">
        <x:f t="shared" si="101"/>
        <x:v>0</x:v>
      </x:c>
      <x:c r="FJ45" s="1052">
        <x:f t="shared" si="83"/>
        <x:v>0</x:v>
      </x:c>
      <x:c r="FK45" s="1052">
        <x:f t="shared" si="84"/>
        <x:v>0</x:v>
      </x:c>
      <x:c r="FL45" s="1052" t="str">
        <x:f t="shared" si="85"/>
        <x:v/>
      </x:c>
      <x:c r="FM45" s="1053" t="str">
        <x:f t="shared" si="86"/>
        <x:v/>
      </x:c>
      <x:c r="FN45" s="1053" t="e">
        <x:f t="shared" si="87"/>
        <x:v>#VALUE!</x:v>
      </x:c>
      <x:c r="FO45" s="1062" t="e">
        <x:f t="shared" si="88"/>
        <x:v>#VALUE!</x:v>
      </x:c>
      <x:c r="FP45" s="1062" t="e">
        <x:f t="shared" si="89"/>
        <x:v>#VALUE!</x:v>
      </x:c>
      <x:c r="FQ45" s="1063" t="e">
        <x:f t="shared" si="90"/>
        <x:v>#VALUE!</x:v>
      </x:c>
      <x:c r="FR45" s="1064" t="e">
        <x:f t="shared" si="91"/>
        <x:v>#VALUE!</x:v>
      </x:c>
      <x:c r="FS45" s="1065" t="str">
        <x:f t="shared" si="92"/>
        <x:v/>
      </x:c>
      <x:c r="FT45" s="1066" t="str">
        <x:f t="shared" si="93"/>
        <x:v/>
      </x:c>
      <x:c r="FU45" s="1105">
        <x:f t="shared" si="94"/>
        <x:v>0</x:v>
      </x:c>
      <x:c r="FV45" s="1106">
        <x:f t="shared" si="95"/>
        <x:v>0</x:v>
      </x:c>
      <x:c r="GA45" s="1975" t="str">
        <x:f t="shared" si="118"/>
        <x:v/>
      </x:c>
      <x:c r="GB45" s="1976" t="str">
        <x:f t="shared" si="119"/>
        <x:v/>
      </x:c>
      <x:c r="GC45" s="1977" t="str">
        <x:f t="shared" si="120"/>
        <x:v/>
      </x:c>
      <x:c r="GD45" s="1978" t="str">
        <x:f t="shared" si="121"/>
        <x:v/>
      </x:c>
      <x:c r="GE45" s="1979" t="str">
        <x:f t="shared" si="122"/>
        <x:v/>
      </x:c>
      <x:c r="GF45" s="1980" t="str">
        <x:f t="shared" si="96"/>
        <x:v/>
      </x:c>
      <x:c r="GG45" s="1455"/>
      <x:c r="GH45" s="1456"/>
      <x:c r="GI45" s="1455"/>
      <x:c r="GJ45" s="1456"/>
      <x:c r="GK45" s="533">
        <x:f t="shared" si="97"/>
        <x:v>0</x:v>
      </x:c>
      <x:c r="GL45" s="534" t="e">
        <x:f t="shared" si="98"/>
        <x:v>#VALUE!</x:v>
      </x:c>
      <x:c r="GM45" s="535" t="e">
        <x:f>IF(ABS(GK45-GL45)&gt;='Job Info.'!$L$22,ABS(GK45-GL45),0)</x:f>
        <x:v>#VALUE!</x:v>
      </x:c>
      <x:c r="HA45" s="1664"/>
      <x:c r="HB45" s="1665"/>
      <x:c r="HC45" s="1665"/>
      <x:c r="HD45" s="1666"/>
      <x:c r="HE45" s="1667"/>
      <x:c r="HF45" s="1665"/>
      <x:c r="HG45" s="1665"/>
      <x:c r="HH45" s="1665"/>
      <x:c r="HI45" s="1668"/>
      <x:c r="HJ45" s="1665"/>
      <x:c r="HK45" s="1665"/>
      <x:c r="HL45" s="1665"/>
      <x:c r="HM45" s="1665"/>
      <x:c r="HN45" s="1665"/>
      <x:c r="HO45" s="1665"/>
      <x:c r="HP45" s="1665"/>
      <x:c r="HQ45" s="1668"/>
      <x:c r="HR45" s="1665"/>
      <x:c r="HS45" s="1665"/>
      <x:c r="HT45" s="1665"/>
      <x:c r="HU45" s="1665"/>
      <x:c r="HV45" s="1665"/>
      <x:c r="HW45" s="1667"/>
      <x:c r="HX45" s="1667"/>
      <x:c r="HY45" s="1667"/>
      <x:c r="HZ45" s="1667"/>
      <x:c r="IA45" s="1667"/>
      <x:c r="IB45" s="1667"/>
      <x:c r="IC45" s="1667"/>
      <x:c r="ID45" s="1667"/>
      <x:c r="IE45" s="1667"/>
      <x:c r="IF45" s="1669"/>
    </x:row>
    <x:row r="46" spans="1:240" ht="15" customHeight="1" thickTop="1" thickBot="1" x14ac:dyDescent="0.25">
      <x:c r="AA46" s="1470"/>
      <x:c r="AD46" s="539">
        <x:f>SUM(AD16:AD45)</x:f>
        <x:v>0</x:v>
      </x:c>
      <x:c r="AE46" s="540">
        <x:f>SUM(AE16:AE45)</x:f>
        <x:v>37</x:v>
      </x:c>
      <x:c r="AF46" s="540">
        <x:f>SUM(AF16:AF45)</x:f>
        <x:v>0</x:v>
      </x:c>
      <x:c r="AG46" s="540">
        <x:f>SUM(AG16:AG45)</x:f>
        <x:v>0</x:v>
      </x:c>
      <x:c r="AH46" s="541">
        <x:f>SUM(AH16:AH45)</x:f>
        <x:v>0</x:v>
      </x:c>
      <x:c r="BG46" s="449"/>
      <x:c r="CF46" s="1153"/>
      <x:c r="CG46" s="1153"/>
      <x:c r="CN46" s="296"/>
      <x:c r="CO46" s="296"/>
      <x:c r="GA46" s="542"/>
      <x:c r="GB46" s="542"/>
      <x:c r="GC46" s="542"/>
      <x:c r="GD46" s="542"/>
      <x:c r="GE46" s="542"/>
      <x:c r="GF46" s="542"/>
    </x:row>
    <x:row r="47" spans="1:240" ht="15" customHeight="1" thickBot="1" x14ac:dyDescent="0.25">
      <x:c r="A47" s="1145" t="s">
        <x:v>761</x:v>
      </x:c>
      <x:c r="AD47" s="1144">
        <x:f>SUM(AD46:AH46)</x:f>
        <x:v>37</x:v>
      </x:c>
      <x:c r="AK47" s="543"/>
      <x:c r="AL47" s="544"/>
      <x:c r="AM47" s="544"/>
      <x:c r="AN47" s="544"/>
    </x:row>
    <x:row r="48" spans="1:240" s="690" customFormat="1" ht="15" hidden="1" customHeight="1" x14ac:dyDescent="0.2">
      <x:c r="AA48" s="978"/>
      <x:c r="AI48" s="691"/>
      <x:c r="HD48" s="692"/>
      <x:c r="HE48" s="693"/>
    </x:row>
    <x:row r="49" spans="1:192" ht="15" hidden="1" customHeight="1" x14ac:dyDescent="0.2">
      <x:c r="AJ49" s="295" t="s">
        <x:v>415</x:v>
      </x:c>
      <x:c r="AK49" s="543">
        <x:f>$DA$4</x:f>
        <x:v>0.5625</x:v>
      </x:c>
      <x:c r="AL49" s="544">
        <x:f>$DB$4</x:f>
        <x:v>1.5</x:v>
      </x:c>
      <x:c r="AM49" s="544">
        <x:f>$CX$4</x:f>
        <x:v>4</x:v>
      </x:c>
      <x:c r="AN49" s="544">
        <x:f>$CW$4</x:f>
        <x:v>2.5</x:v>
      </x:c>
    </x:row>
    <x:row r="50" spans="1:192" ht="12" hidden="1" thickBot="1" x14ac:dyDescent="0.25"/>
    <x:row r="51" spans="1:192" ht="12" hidden="1" thickBot="1" x14ac:dyDescent="0.25"/>
    <x:row r="52" spans="1:192" ht="15" hidden="1" customHeight="1" x14ac:dyDescent="0.2">
      <x:c r="AJ52" s="295" t="s">
        <x:v>417</x:v>
      </x:c>
      <x:c r="AK52" s="543">
        <x:f>$DA$5</x:f>
        <x:v>0.5625</x:v>
      </x:c>
      <x:c r="AL52" s="544">
        <x:f>$DB$5</x:f>
        <x:v>1.5</x:v>
      </x:c>
      <x:c r="AM52" s="544">
        <x:f>$CX$5</x:f>
        <x:v>4</x:v>
      </x:c>
      <x:c r="AN52" s="544">
        <x:f>$CW$5</x:f>
        <x:v>2.5</x:v>
      </x:c>
    </x:row>
    <x:row r="53" spans="1:192" ht="15" hidden="1" customHeight="1" x14ac:dyDescent="0.2">
      <x:c r="AJ53" s="295" t="s">
        <x:v>76</x:v>
      </x:c>
      <x:c r="AK53" s="543">
        <x:f>$DA$4</x:f>
        <x:v>0.5625</x:v>
      </x:c>
      <x:c r="AL53" s="544">
        <x:f>$DB$4</x:f>
        <x:v>1.5</x:v>
      </x:c>
      <x:c r="AM53" s="544">
        <x:f>$CX$4</x:f>
        <x:v>4</x:v>
      </x:c>
      <x:c r="AN53" s="544">
        <x:f>$CW$4</x:f>
        <x:v>2.5</x:v>
      </x:c>
    </x:row>
    <x:row r="54" spans="1:192" ht="15" hidden="1" customHeight="1" x14ac:dyDescent="0.2">
      <x:c r="AJ54" s="295" t="s">
        <x:v>115</x:v>
      </x:c>
      <x:c r="AK54" s="543">
        <x:f>$DA$5</x:f>
        <x:v>0.5625</x:v>
      </x:c>
      <x:c r="AL54" s="544">
        <x:f>$DB$5</x:f>
        <x:v>1.5</x:v>
      </x:c>
      <x:c r="AM54" s="544">
        <x:f>$CX$5</x:f>
        <x:v>4</x:v>
      </x:c>
      <x:c r="AN54" s="544">
        <x:f>$CW$5</x:f>
        <x:v>2.5</x:v>
      </x:c>
    </x:row>
    <x:row r="55" spans="1:192" ht="15" hidden="1" customHeight="1" x14ac:dyDescent="0.2"/>
    <x:row r="56" spans="1:192" ht="15" hidden="1" customHeight="1" x14ac:dyDescent="0.2">
      <x:c r="AA56" s="1468"/>
    </x:row>
    <x:row r="57" spans="1:192" ht="15" hidden="1" customHeight="1" x14ac:dyDescent="0.25">
      <x:c r="A57" s="1264" t="str">
        <x:f>IF(BB57="","",UPPER(BB57))</x:f>
        <x:v/>
      </x:c>
      <x:c r="B57" s="1265" t="str">
        <x:f>IF(BC57="","",BC57)</x:f>
        <x:v/>
      </x:c>
      <x:c r="C57" s="1265" t="str">
        <x:f>IF(BD57="","",UPPER(BD57))</x:f>
        <x:v/>
      </x:c>
      <x:c r="D57" s="1261" t="str">
        <x:f>IF(DP57="","",TRUNC(DP57/12))</x:f>
        <x:v/>
      </x:c>
      <x:c r="E57" s="1366" t="str">
        <x:f>IF(DP57="","",DP57-(D57*12))</x:f>
        <x:v/>
      </x:c>
      <x:c r="F57" s="1328" t="str">
        <x:f>IF(DX57=0,"",TRUNC(DX57/12))</x:f>
        <x:v/>
      </x:c>
      <x:c r="G57" s="1262" t="str">
        <x:f>IF(DX57=0,"",DX57-(F57*12))</x:f>
        <x:v/>
      </x:c>
      <x:c r="H57" s="1266" t="str">
        <x:f>IF(DX57=0,"",CW57)</x:f>
        <x:v/>
      </x:c>
      <x:c r="I57" s="1261" t="str">
        <x:f>IF(ED57=0,"",TRUNC(ED57/12))</x:f>
        <x:v/>
      </x:c>
      <x:c r="J57" s="1262" t="str">
        <x:f>IF(ED57=0,"",ED57-(I57*12))</x:f>
        <x:v/>
      </x:c>
      <x:c r="K57" s="1370" t="str">
        <x:f>IF(ED57=0,"",DG57)</x:f>
        <x:v/>
      </x:c>
      <x:c r="L57" s="1327">
        <x:f>DQ57</x:f>
        <x:v>0</x:v>
      </x:c>
      <x:c r="M57" s="1329">
        <x:f>DR57</x:f>
        <x:v>0</x:v>
      </x:c>
      <x:c r="N57" s="1263" t="str">
        <x:f>IF(ES57="","",IF(AND(ES57&lt;0,ES57&gt;-12),TRUNC(ES57/12)-0.0000001,TRUNC(ES57/12)))</x:f>
        <x:v/>
      </x:c>
      <x:c r="O57" s="1262" t="str">
        <x:f>IF(ES57="","",IF(AND(ES57-(N57*12)=0,ES57&lt;0),-0.000001,ES57-(N57*12)))</x:f>
        <x:v/>
      </x:c>
      <x:c r="P57" s="1260" t="str">
        <x:f>IF(ES57="","",CZ57)</x:f>
        <x:v/>
      </x:c>
      <x:c r="Q57" s="1261" t="str">
        <x:f>IF(ET57="","",IF(AND(ET57&lt;0,ET57&gt;-12),TRUNC(ET57/12)-0.0000001,TRUNC(ET57/12)))</x:f>
        <x:v/>
      </x:c>
      <x:c r="R57" s="1262" t="str">
        <x:f>IF(ET57="","",IF(AND(ET57-(Q57*12)=0,ET57&lt;0),-0.000001,ET57-(Q57*12)))</x:f>
        <x:v/>
      </x:c>
      <x:c r="S57" s="1375" t="str">
        <x:f>IF(ET57="","",DJ57)</x:f>
        <x:v/>
      </x:c>
      <x:c r="T57" s="1328" t="str">
        <x:f>IF(CH57="ERR","",IF(EK57="","",IF(EK57="ERR",TRUNC(EJ57/12),TRUNC(EK57/12))))</x:f>
        <x:v/>
      </x:c>
      <x:c r="U57" s="1262" t="str">
        <x:f>IF(CH57="ERR","",IF(EK57="","",IF(EK57="ERR",EJ57-(T57*12),EK57-(T57*12))))</x:f>
        <x:v/>
      </x:c>
      <x:c r="V57" s="1261" t="str">
        <x:f>IF(CI57="ERR","",IF(ER57="","",IF(ER57="ERR",TRUNC(EQ57/12),TRUNC(ER57/12))))</x:f>
        <x:v/>
      </x:c>
      <x:c r="W57" s="1262" t="str">
        <x:f>IF(CI57="ERR","",IF(ER57="","",IF(ER57="ERR",EQ57-(V57*12),ER57-(V57*12))))</x:f>
        <x:v/>
      </x:c>
      <x:c r="X57" s="1329">
        <x:f>IF(EV57="",0,EV57)</x:f>
        <x:v>0</x:v>
      </x:c>
      <x:c r="Y57" s="1377">
        <x:f>FG57</x:f>
        <x:v>0</x:v>
      </x:c>
      <x:c r="Z57" s="1378">
        <x:f>FL57</x:f>
        <x:v>0</x:v>
      </x:c>
      <x:c r="AA57" s="1376" t="str">
        <x:f>CONCATENATE(IF(BY57="","",CONCATENATE("[",SUBSTITUTE(BY57," ",""),"]")),IF(BX57="","",CONCATENATE("(",SUBSTITUTE(BX57," ",""),") ")))</x:f>
        <x:v/>
      </x:c>
      <x:c r="AH57" s="316" t="s">
        <x:v>1178</x:v>
      </x:c>
      <x:c r="AI57" s="528" t="b">
        <x:v>0</x:v>
      </x:c>
      <x:c r="AJ57" s="284">
        <x:f>IF(OR(ISERROR(VALUE(LEFT(C57,SEARCH(AK57,C57)-1))),AK57=""),0,VALUE(LEFT(C57,SEARCH(AK57,C57)-1)))</x:f>
        <x:v>0</x:v>
      </x:c>
      <x:c r="AK57" s="1063" t="str">
        <x:f>IF(AV57="",AW57,AV57)</x:f>
        <x:v/>
      </x:c>
      <x:c r="AL57" s="1063" t="str">
        <x:f>IF(AK57="","",IF(ISERROR(SEARCH("/",C57)),IF(VALUE(MID(C57,SEARCH(AK57,C57)+LEN(AK57),LEN(C57)))&gt;25,"",VALUE(MID(C57,SEARCH(AK57,C57)+LEN(AK57),LEN(C57)))),""))</x:f>
        <x:v/>
      </x:c>
      <x:c r="AM57" s="1063" t="str">
        <x:f>IF(AK57="","",IF(ISERROR(SEARCH("/",C57)),IF(VALUE(MID(C57,SEARCH(AK57,C57)+LEN(AK57),LEN(C57)))&lt;26,"",VALUE(MID(C57,SEARCH(AK57,C57)+LEN(AK57),LEN(C57)))),VALUE(MID(C57,SEARCH(AK57,C57)+LEN(AK57),SEARCH("/",C57)-SEARCH(AK57,C57)-LEN(AK57)))))</x:f>
        <x:v/>
      </x:c>
      <x:c r="AN57" s="1063" t="str">
        <x:f>IF(AK57="","",IF(AK57="CJ",MID(MID(C57,SEARCH("/",C57)+1,LEN(C57)),1,SEARCH("/",MID(C57,SEARCH("/",C57)+1,LEN(C57)))-1),IF(ISERROR(SEARCH("/",C57)),"",VALUE(MID(C57,SEARCH("/",C57)+1,LEN(C57))))))</x:f>
        <x:v/>
      </x:c>
      <x:c r="AO57" s="1063" t="str">
        <x:f>IF(AK57="CJ",VALUE(MID(MID(C57,SEARCH("/",C57)+1,LEN(C57)),SEARCH("/",MID(C57,SEARCH("/",C57)+1,LEN(C57)))+1,LEN(MID(C57,SEARCH("/",C57)+1,LEN(C57))))),"")</x:f>
        <x:v/>
      </x:c>
      <x:c r="AP57" s="1063" t="b">
        <x:f>IF(ISERROR(AJ57),FALSE,IF(OR(AJ57=0,ISERROR(AL57),ISERROR(AM57),ISERROR(AN57),ISERROR(AO57)),FALSE,IF(AL57&lt;&gt;"",IF(ISERROR(VLOOKUP(SUBSTITUTE(SUBSTITUTE(C57,"R",""),"A",""),TblJoistSize!$A:$A,1,FALSE)),FALSE,TRUE),TRUE)))</x:f>
        <x:v>0</x:v>
      </x:c>
      <x:c r="AQ57" s="1305" t="e">
        <x:f>VLOOKUP(AK57,$DF$2:$DN$9,4,FALSE)+IF(LEFT(H57,1)="R",IF(ISNUMBER(F57),F57*12,0)+IF(ISNUMBER(G57),G57,0),0)</x:f>
        <x:v>#N/A</x:v>
      </x:c>
      <x:c r="AR57" s="1305" t="b">
        <x:f>IF(IF(ISNUMBER(T57),T57*12,0)+IF(ISNUMBER(U57),U57,0)&gt;0,IF(AND((IF(ISNUMBER(T57),T57*12,0)+IF(ISNUMBER(U57),U57,0))&gt;=1,(IF(ISNUMBER(T57),T57*12,0)+IF(ISNUMBER(U57),U57,0))&lt;=(AQ57-1)+IF(H57="X",2,0)),TRUE,FALSE),FALSE)</x:f>
        <x:v>0</x:v>
      </x:c>
      <x:c r="AS57" s="1305" t="e">
        <x:f>VLOOKUP(AK57,$DF$2:$DN$9,4,FALSE)+IF(LEFT(K57,1)="R",(IF(ISNUMBER(I57),I57*12,0)+IF(ISNUMBER(J57),J57,0)),0)</x:f>
        <x:v>#N/A</x:v>
      </x:c>
      <x:c r="AT57" s="1305" t="b">
        <x:f>IF(IF(ISNUMBER(V57),V57*12,0)+IF(ISNUMBER(W57),W57,0)&gt;0,IF(AND((IF(ISNUMBER(V57),V57*12,0)+IF(ISNUMBER(W57),W57,0))&gt;=1,(IF(ISNUMBER(V57),V57*12,0)+IF(ISNUMBER(W57),W57,0))&lt;=(AS57-1)+IF(K57="X",2,0)),TRUE,FALSE),FALSE)</x:f>
        <x:v>0</x:v>
      </x:c>
      <x:c r="AU57" s="1063" t="str">
        <x:f>IF(ISERROR(AJ57),IF(AK57&lt;&gt;"HDR","",AK57),IF(AND(AJ57=2.5,AK57="K"),"JS",IF(OR(AK57="KCSR",AK57="KCSA",AK57="KCS"),"KCS",IF(OR(AK57="KR",AK57="KA",AK57="K"),"K",IF(AND(AK57="LH",AL57&lt;7),"LH&lt;7",AK57)))))</x:f>
        <x:v/>
      </x:c>
      <x:c r="AV57" s="1063" t="str">
        <x:f>IF(NOT(ISERROR(SEARCH("KCSR",C57))),"KCSR",IF(NOT(ISERROR(SEARCH("KCSA",C57))),"KCSA",IF(NOT(ISERROR(SEARCH("KCS",C57))),"KCS",IF(NOT(ISERROR(SEARCH("KR",C57))),"KR",IF(NOT(ISERROR(SEARCH("KA",C57))),"KA",IF(NOT(ISERROR(SEARCH("K",C57))),"K",IF(NOT(ISERROR(SEARCH("CJ",C57))),"CJ","")))))))</x:f>
        <x:v/>
      </x:c>
      <x:c r="AW57" s="1063" t="str">
        <x:f>IF(NOT(ISERROR(SEARCH("HDR",C57))),"HDR",IF(NOT(ISERROR(SEARCH("JS",C57))),"JS",IF(NOT(ISERROR(SEARCH("SLH",C57))),"SLH",IF(NOT(ISERROR(SEARCH("DLH",C57))),"DLH",IF(NOT(ISERROR(SEARCH("LH",C57))),"LH","")))))</x:f>
        <x:v/>
      </x:c>
      <x:c r="AX57" s="1063" t="str">
        <x:f>IF(AND(OR(ISBLANK(A57),A57=""),AA57&lt;&gt;""),AX56,IF(OR(ISBLANK(A57),A57=""),"",A57))</x:f>
        <x:v/>
      </x:c>
      <x:c r="AY57" s="1306" t="b">
        <x:f>IF($AE$1,IF(AX57=AX56,AY56,IF(AND(AX57&lt;&gt;"",OR(B57=0,B57="")),TRUE,FALSE)),FALSE)</x:f>
        <x:v>0</x:v>
      </x:c>
      <x:c r="AZ57" s="1053" t="str">
        <x:f>IF(AP57,((IF(D57="",0,D57)*12+IF(E57="",0,E57))-(IF(F57="",0,F57)*12+IF(G57="",0,G57))-(IF(I57="",0,I57)*12+IF(J57="",0,J57)))&gt;AJ57*24,"")</x:f>
        <x:v/>
      </x:c>
      <x:c r="CP57" s="2747"/>
      <x:c r="CQ57" s="2748"/>
      <x:c r="CR57" s="135"/>
      <x:c r="CS57" s="136"/>
      <x:c r="CT57" s="136"/>
      <x:c r="CU57" s="136"/>
      <x:c r="CV57" s="136"/>
      <x:c r="CW57" s="140"/>
      <x:c r="CX57" s="136"/>
      <x:c r="CY57" s="136"/>
      <x:c r="CZ57" s="136"/>
      <x:c r="DA57" s="128"/>
      <x:c r="DB57" s="135"/>
      <x:c r="DC57" s="136"/>
      <x:c r="DD57" s="136"/>
      <x:c r="DE57" s="136"/>
      <x:c r="DF57" s="136"/>
      <x:c r="DG57" s="140"/>
      <x:c r="DH57" s="136"/>
      <x:c r="DI57" s="136"/>
      <x:c r="DJ57" s="136"/>
      <x:c r="DK57" s="128"/>
      <x:c r="DL57" s="137"/>
      <x:c r="DM57" s="156"/>
      <x:c r="DN57" s="130"/>
      <x:c r="DO57" s="129"/>
      <x:c r="DP57" s="130"/>
      <x:c r="DQ57" s="130"/>
      <x:c r="DR57" s="131"/>
      <x:c r="DS57" s="131"/>
      <x:c r="DT57" s="131"/>
      <x:c r="DU57" s="130"/>
      <x:c r="DV57" s="130"/>
      <x:c r="DW57" s="132"/>
      <x:c r="DX57" s="130"/>
      <x:c r="DY57" s="131"/>
      <x:c r="DZ57" s="131"/>
      <x:c r="EA57" s="130"/>
      <x:c r="EB57" s="130"/>
      <x:c r="EC57" s="132"/>
      <x:c r="ED57" s="130"/>
      <x:c r="EE57" s="130"/>
      <x:c r="EF57" s="130"/>
      <x:c r="EG57" s="130"/>
      <x:c r="EH57" s="130"/>
      <x:c r="EI57" s="130"/>
      <x:c r="EJ57" s="130"/>
      <x:c r="EK57" s="130"/>
      <x:c r="EL57" s="130"/>
      <x:c r="EM57" s="130"/>
      <x:c r="EN57" s="130"/>
      <x:c r="EO57" s="130"/>
      <x:c r="EP57" s="130"/>
      <x:c r="EQ57" s="130"/>
      <x:c r="ER57" s="130"/>
      <x:c r="ES57" s="130"/>
      <x:c r="ET57" s="130"/>
      <x:c r="EU57" s="133"/>
      <x:c r="EV57" s="134"/>
      <x:c r="EW57" s="133"/>
      <x:c r="EX57" s="133"/>
      <x:c r="EY57" s="133"/>
      <x:c r="EZ57" s="133"/>
      <x:c r="FA57" s="133"/>
      <x:c r="FB57" s="133"/>
      <x:c r="FC57" s="133"/>
      <x:c r="FD57" s="131"/>
      <x:c r="FE57" s="131"/>
      <x:c r="FF57" s="131"/>
      <x:c r="FG57" s="131"/>
      <x:c r="FH57" s="130"/>
      <x:c r="FI57" s="131"/>
      <x:c r="FJ57" s="131"/>
      <x:c r="FK57" s="131"/>
      <x:c r="FL57" s="131"/>
      <x:c r="FM57" s="130"/>
      <x:c r="FN57" s="130"/>
      <x:c r="FO57" s="165"/>
      <x:c r="FP57" s="165"/>
      <x:c r="FQ57" s="284"/>
      <x:c r="FR57" s="536"/>
      <x:c r="FS57" s="537"/>
      <x:c r="FT57" s="538"/>
      <x:c r="GA57" s="746" t="str">
        <x:f>IF(GF57="","",BE57)</x:f>
        <x:v/>
      </x:c>
      <x:c r="GB57" s="766" t="str">
        <x:f>IF(GF57="","",BF57)</x:f>
        <x:v/>
      </x:c>
      <x:c r="GC57" s="768" t="str">
        <x:f>IF(GF57="","",IF(CV57="",0,CV57))</x:f>
        <x:v/>
      </x:c>
      <x:c r="GD57" s="769" t="str">
        <x:f>IF(GF57="","",IF(DF57="",0,DF57))</x:f>
        <x:v/>
      </x:c>
      <x:c r="GE57" s="767" t="str">
        <x:f>IF(GF57="","",BW57)</x:f>
        <x:v/>
      </x:c>
      <x:c r="GF57" s="747" t="str">
        <x:f>IF(A57=0,"",A57)</x:f>
        <x:v/>
      </x:c>
      <x:c r="GG57" s="1453"/>
      <x:c r="GH57" s="1454"/>
      <x:c r="GI57" s="1453"/>
      <x:c r="GJ57" s="1454"/>
    </x:row>
    <x:row r="58" spans="1:192" ht="15" hidden="1" customHeight="1" x14ac:dyDescent="0.2">
      <x:c r="AA58" s="1469"/>
    </x:row>
    <x:row r="59" spans="1:192" ht="15" hidden="1" customHeight="1" x14ac:dyDescent="0.2"/>
    <x:row r="60" spans="1:192" ht="15" hidden="1" customHeight="1" x14ac:dyDescent="0.2">
      <x:c r="A60" s="1128" t="s">
        <x:v>1223</x:v>
      </x:c>
    </x:row>
    <x:row r="61" spans="1:192" ht="15" hidden="1" customHeight="1" x14ac:dyDescent="0.2">
      <x:c r="A61" s="1130" t="s">
        <x:v>2276</x:v>
      </x:c>
    </x:row>
    <x:row r="62" spans="1:192" ht="15" hidden="1" customHeight="1" x14ac:dyDescent="0.2"/>
    <x:row r="63" spans="1:192" ht="15" hidden="1" customHeight="1" x14ac:dyDescent="0.2"/>
    <x:row r="64" spans="1:192" ht="15" hidden="1" customHeight="1" x14ac:dyDescent="0.2"/>
    <x:row r="65" spans="1:145" ht="15" hidden="1" customHeight="1" x14ac:dyDescent="0.2"/>
    <x:row r="66" spans="1:145" ht="15" hidden="1" customHeight="1" x14ac:dyDescent="0.2"/>
    <x:row r="67" spans="1:145" ht="15" hidden="1" customHeight="1" x14ac:dyDescent="0.2"/>
    <x:row r="68" spans="1:145" ht="15" hidden="1" customHeight="1" x14ac:dyDescent="0.2"/>
    <x:row r="69" spans="1:145" ht="15" hidden="1" customHeight="1" x14ac:dyDescent="0.2"/>
    <x:row r="70" spans="1:145" ht="15" hidden="1" customHeight="1" thickBot="1" x14ac:dyDescent="0.25"/>
    <x:row r="71" spans="1:145" ht="15" customHeight="1" x14ac:dyDescent="0.2">
      <x:c r="A71" s="1145" t="s">
        <x:v>762</x:v>
      </x:c>
      <x:c r="EL71" s="2707" t="s">
        <x:v>561</x:v>
      </x:c>
      <x:c r="EM71" s="2708"/>
      <x:c r="EN71" s="2708"/>
      <x:c r="EO71" s="2709"/>
    </x:row>
    <x:row r="72" spans="1:145" ht="15" customHeight="1" thickBot="1" x14ac:dyDescent="0.25">
      <x:c r="EL72" s="2856" t="s">
        <x:v>572</x:v>
      </x:c>
      <x:c r="EM72" s="2859" t="s">
        <x:v>573</x:v>
      </x:c>
      <x:c r="EN72" s="2859" t="s">
        <x:v>574</x:v>
      </x:c>
      <x:c r="EO72" s="2862" t="s">
        <x:v>575</x:v>
      </x:c>
    </x:row>
    <x:row r="73" spans="1:145" ht="15" customHeight="1" thickBot="1" x14ac:dyDescent="0.25">
      <x:c r="BG73" s="1294"/>
      <x:c r="EJ73" s="2863" t="s">
        <x:v>581</x:v>
      </x:c>
      <x:c r="EL73" s="2857"/>
      <x:c r="EM73" s="2860"/>
      <x:c r="EN73" s="2860"/>
      <x:c r="EO73" s="2766"/>
    </x:row>
    <x:row r="74" spans="1:145" ht="15" customHeight="1" thickBot="1" x14ac:dyDescent="0.25">
      <x:c r="BG74" s="1294"/>
      <x:c r="EJ74" s="2864"/>
      <x:c r="EL74" s="2858"/>
      <x:c r="EM74" s="2861"/>
      <x:c r="EN74" s="2861"/>
      <x:c r="EO74" s="2767"/>
    </x:row>
    <x:row r="75" spans="1:145" ht="15" customHeight="1" thickTop="1" x14ac:dyDescent="0.2">
      <x:c r="EJ75" s="609">
        <x:f t="shared" ref="EJ75:EJ95" si="123">IF(AU16="","",IF(OR(AU16="K",AU16="KCS"),(BE16*12+BF16+IF(CU16="M",MAX(CV16,$CX$4),0)+IF(DE16="M",MAX(DF16,$CX$4),0))/12,IF(OR(AU16="LH",AU16="DLH"),(BE16*12+BF16+8-MAX(MAX(BH16,BI16)/2,DC16)-MAX(MAX(BP16,BQ16)/2,DM16))/12,IF(OR(AU16="JS",AU16="HDR"),""))))</x:f>
        <x:v>0.66666666666666663</x:v>
      </x:c>
      <x:c r="EL75" s="529" t="e">
        <x: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x:f>
        <x:v>#N/A</x:v>
      </x:c>
      <x:c r="EM75" s="530" t="str">
        <x:f t="shared" ref="EM75:EM104" si="124">IF(BD16="","",IF(EL75="-","-",IF(EO75="No",0,IF(AZ16/12&lt;60,1,IF(AZ16/12&lt;100,2,EL75)))))</x:f>
        <x:v/>
      </x:c>
      <x:c r="EN75" s="531" t="str">
        <x:f>IF(BD16="","",IF(ISERROR(VLOOKUP(BD16,TblJoistSize!$A$1:$G$274,2,FALSE)),"-",VLOOKUP(BD16,TblJoistSize!$A$1:$G$274,2,FALSE)))</x:f>
        <x:v/>
      </x:c>
      <x:c r="EO75" s="532" t="str">
        <x:f t="shared" ref="EO75:EO104" si="125">IF(BD16="","",IF(EN75="-","-",IF(EN75="NM","No",IF(EN75&lt;=AZ16/12,"Yes","No"))))</x:f>
        <x:v/>
      </x:c>
    </x:row>
    <x:row r="76" spans="1:145" ht="15" customHeight="1" x14ac:dyDescent="0.2">
      <x:c r="EJ76" s="609">
        <x:f t="shared" si="123"/>
        <x:v>0.66666666666666663</x:v>
      </x:c>
      <x:c r="EL76" s="529" t="e">
        <x: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x:f>
        <x:v>#N/A</x:v>
      </x:c>
      <x:c r="EM76" s="530" t="str">
        <x:f t="shared" si="124"/>
        <x:v/>
      </x:c>
      <x:c r="EN76" s="531" t="str">
        <x:f>IF(BD17="","",IF(ISERROR(VLOOKUP(BD17,TblJoistSize!$A$1:$G$274,2,FALSE)),"-",VLOOKUP(BD17,TblJoistSize!$A$1:$G$274,2,FALSE)))</x:f>
        <x:v/>
      </x:c>
      <x:c r="EO76" s="532" t="str">
        <x:f t="shared" si="125"/>
        <x:v/>
      </x:c>
    </x:row>
    <x:row r="77" spans="1:145" ht="15" customHeight="1" x14ac:dyDescent="0.2">
      <x:c r="EJ77" s="609">
        <x:f t="shared" si="123"/>
        <x:v>0.66666666666666663</x:v>
      </x:c>
      <x:c r="EL77" s="529" t="e">
        <x: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x:f>
        <x:v>#N/A</x:v>
      </x:c>
      <x:c r="EM77" s="530" t="str">
        <x:f t="shared" si="124"/>
        <x:v/>
      </x:c>
      <x:c r="EN77" s="531" t="str">
        <x:f>IF(BD18="","",IF(ISERROR(VLOOKUP(BD18,TblJoistSize!$A$1:$G$274,2,FALSE)),"-",VLOOKUP(BD18,TblJoistSize!$A$1:$G$274,2,FALSE)))</x:f>
        <x:v/>
      </x:c>
      <x:c r="EO77" s="532" t="str">
        <x:f t="shared" si="125"/>
        <x:v/>
      </x:c>
    </x:row>
    <x:row r="78" spans="1:145" ht="15" customHeight="1" x14ac:dyDescent="0.2">
      <x:c r="EJ78" s="609">
        <x:f t="shared" si="123"/>
        <x:v>0.66666666666666663</x:v>
      </x:c>
      <x:c r="EL78" s="529" t="e">
        <x: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x:f>
        <x:v>#N/A</x:v>
      </x:c>
      <x:c r="EM78" s="530" t="str">
        <x:f t="shared" si="124"/>
        <x:v/>
      </x:c>
      <x:c r="EN78" s="531" t="str">
        <x:f>IF(BD19="","",IF(ISERROR(VLOOKUP(BD19,TblJoistSize!$A$1:$G$274,2,FALSE)),"-",VLOOKUP(BD19,TblJoistSize!$A$1:$G$274,2,FALSE)))</x:f>
        <x:v/>
      </x:c>
      <x:c r="EO78" s="532" t="str">
        <x:f t="shared" si="125"/>
        <x:v/>
      </x:c>
    </x:row>
    <x:row r="79" spans="1:145" ht="15" customHeight="1" x14ac:dyDescent="0.2">
      <x:c r="EJ79" s="609">
        <x:f t="shared" si="123"/>
        <x:v>0.66666666666666663</x:v>
      </x:c>
      <x:c r="EL79" s="529" t="e">
        <x: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x:f>
        <x:v>#N/A</x:v>
      </x:c>
      <x:c r="EM79" s="530" t="str">
        <x:f t="shared" si="124"/>
        <x:v/>
      </x:c>
      <x:c r="EN79" s="531" t="str">
        <x:f>IF(BD20="","",IF(ISERROR(VLOOKUP(BD20,TblJoistSize!$A$1:$G$274,2,FALSE)),"-",VLOOKUP(BD20,TblJoistSize!$A$1:$G$274,2,FALSE)))</x:f>
        <x:v/>
      </x:c>
      <x:c r="EO79" s="532" t="str">
        <x:f t="shared" si="125"/>
        <x:v/>
      </x:c>
    </x:row>
    <x:row r="80" spans="1:145" ht="15" customHeight="1" x14ac:dyDescent="0.2">
      <x:c r="EJ80" s="609">
        <x:f t="shared" si="123"/>
        <x:v>0.66666666666666663</x:v>
      </x:c>
      <x:c r="EL80" s="529" t="e">
        <x: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x:f>
        <x:v>#N/A</x:v>
      </x:c>
      <x:c r="EM80" s="530" t="str">
        <x:f t="shared" si="124"/>
        <x:v/>
      </x:c>
      <x:c r="EN80" s="531" t="str">
        <x:f>IF(BD21="","",IF(ISERROR(VLOOKUP(BD21,TblJoistSize!$A$1:$G$274,2,FALSE)),"-",VLOOKUP(BD21,TblJoistSize!$A$1:$G$274,2,FALSE)))</x:f>
        <x:v/>
      </x:c>
      <x:c r="EO80" s="532" t="str">
        <x:f t="shared" si="125"/>
        <x:v/>
      </x:c>
    </x:row>
    <x:row r="81" spans="140:145" ht="15" customHeight="1" x14ac:dyDescent="0.2">
      <x:c r="EJ81" s="609">
        <x:f t="shared" si="123"/>
        <x:v>0.66666666666666663</x:v>
      </x:c>
      <x:c r="EL81" s="529" t="e">
        <x: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x:f>
        <x:v>#N/A</x:v>
      </x:c>
      <x:c r="EM81" s="530" t="str">
        <x:f t="shared" si="124"/>
        <x:v/>
      </x:c>
      <x:c r="EN81" s="531" t="str">
        <x:f>IF(BD22="","",IF(ISERROR(VLOOKUP(BD22,TblJoistSize!$A$1:$G$274,2,FALSE)),"-",VLOOKUP(BD22,TblJoistSize!$A$1:$G$274,2,FALSE)))</x:f>
        <x:v/>
      </x:c>
      <x:c r="EO81" s="532" t="str">
        <x:f t="shared" si="125"/>
        <x:v/>
      </x:c>
    </x:row>
    <x:row r="82" spans="140:145" ht="15" customHeight="1" x14ac:dyDescent="0.2">
      <x:c r="EJ82" s="609">
        <x:f t="shared" si="123"/>
        <x:v>0.66666666666666663</x:v>
      </x:c>
      <x:c r="EL82" s="529" t="e">
        <x: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x:f>
        <x:v>#N/A</x:v>
      </x:c>
      <x:c r="EM82" s="530" t="str">
        <x:f t="shared" si="124"/>
        <x:v/>
      </x:c>
      <x:c r="EN82" s="531" t="str">
        <x:f>IF(BD23="","",IF(ISERROR(VLOOKUP(BD23,TblJoistSize!$A$1:$G$274,2,FALSE)),"-",VLOOKUP(BD23,TblJoistSize!$A$1:$G$274,2,FALSE)))</x:f>
        <x:v/>
      </x:c>
      <x:c r="EO82" s="532" t="str">
        <x:f t="shared" si="125"/>
        <x:v/>
      </x:c>
    </x:row>
    <x:row r="83" spans="140:145" ht="15" customHeight="1" x14ac:dyDescent="0.2">
      <x:c r="EJ83" s="609">
        <x:f t="shared" si="123"/>
        <x:v>0.66666666666666663</x:v>
      </x:c>
      <x:c r="EL83" s="529" t="e">
        <x: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x:f>
        <x:v>#N/A</x:v>
      </x:c>
      <x:c r="EM83" s="530" t="str">
        <x:f t="shared" si="124"/>
        <x:v/>
      </x:c>
      <x:c r="EN83" s="531" t="str">
        <x:f>IF(BD24="","",IF(ISERROR(VLOOKUP(BD24,TblJoistSize!$A$1:$G$274,2,FALSE)),"-",VLOOKUP(BD24,TblJoistSize!$A$1:$G$274,2,FALSE)))</x:f>
        <x:v/>
      </x:c>
      <x:c r="EO83" s="532" t="str">
        <x:f t="shared" si="125"/>
        <x:v/>
      </x:c>
    </x:row>
    <x:row r="84" spans="140:145" ht="15" customHeight="1" x14ac:dyDescent="0.2">
      <x:c r="EJ84" s="609">
        <x:f t="shared" si="123"/>
        <x:v>0.66666666666666663</x:v>
      </x:c>
      <x:c r="EL84" s="529" t="e">
        <x: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x:f>
        <x:v>#N/A</x:v>
      </x:c>
      <x:c r="EM84" s="530" t="str">
        <x:f t="shared" si="124"/>
        <x:v/>
      </x:c>
      <x:c r="EN84" s="531" t="str">
        <x:f>IF(BD25="","",IF(ISERROR(VLOOKUP(BD25,TblJoistSize!$A$1:$G$274,2,FALSE)),"-",VLOOKUP(BD25,TblJoistSize!$A$1:$G$274,2,FALSE)))</x:f>
        <x:v/>
      </x:c>
      <x:c r="EO84" s="532" t="str">
        <x:f t="shared" si="125"/>
        <x:v/>
      </x:c>
    </x:row>
    <x:row r="85" spans="140:145" ht="15" customHeight="1" x14ac:dyDescent="0.2">
      <x:c r="EJ85" s="609">
        <x:f t="shared" si="123"/>
        <x:v>0.66666666666666663</x:v>
      </x:c>
      <x:c r="EL85" s="529" t="e">
        <x: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x:f>
        <x:v>#N/A</x:v>
      </x:c>
      <x:c r="EM85" s="530" t="str">
        <x:f t="shared" si="124"/>
        <x:v/>
      </x:c>
      <x:c r="EN85" s="531" t="str">
        <x:f>IF(BD26="","",IF(ISERROR(VLOOKUP(BD26,TblJoistSize!$A$1:$G$274,2,FALSE)),"-",VLOOKUP(BD26,TblJoistSize!$A$1:$G$274,2,FALSE)))</x:f>
        <x:v/>
      </x:c>
      <x:c r="EO85" s="532" t="str">
        <x:f t="shared" si="125"/>
        <x:v/>
      </x:c>
    </x:row>
    <x:row r="86" spans="140:145" ht="15" customHeight="1" x14ac:dyDescent="0.2">
      <x:c r="EJ86" s="609">
        <x:f t="shared" si="123"/>
        <x:v>0.66666666666666663</x:v>
      </x:c>
      <x:c r="EL86" s="529" t="e">
        <x: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x:f>
        <x:v>#N/A</x:v>
      </x:c>
      <x:c r="EM86" s="530" t="str">
        <x:f t="shared" si="124"/>
        <x:v/>
      </x:c>
      <x:c r="EN86" s="531" t="str">
        <x:f>IF(BD27="","",IF(ISERROR(VLOOKUP(BD27,TblJoistSize!$A$1:$G$274,2,FALSE)),"-",VLOOKUP(BD27,TblJoistSize!$A$1:$G$274,2,FALSE)))</x:f>
        <x:v/>
      </x:c>
      <x:c r="EO86" s="532" t="str">
        <x:f t="shared" si="125"/>
        <x:v/>
      </x:c>
    </x:row>
    <x:row r="87" spans="140:145" ht="15" customHeight="1" x14ac:dyDescent="0.2">
      <x:c r="EJ87" s="609">
        <x:f t="shared" si="123"/>
        <x:v>0.66666666666666663</x:v>
      </x:c>
      <x:c r="EL87" s="529" t="e">
        <x: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x:f>
        <x:v>#N/A</x:v>
      </x:c>
      <x:c r="EM87" s="530" t="str">
        <x:f t="shared" si="124"/>
        <x:v/>
      </x:c>
      <x:c r="EN87" s="531" t="str">
        <x:f>IF(BD28="","",IF(ISERROR(VLOOKUP(BD28,TblJoistSize!$A$1:$G$274,2,FALSE)),"-",VLOOKUP(BD28,TblJoistSize!$A$1:$G$274,2,FALSE)))</x:f>
        <x:v/>
      </x:c>
      <x:c r="EO87" s="532" t="str">
        <x:f t="shared" si="125"/>
        <x:v/>
      </x:c>
    </x:row>
    <x:row r="88" spans="140:145" ht="15" customHeight="1" x14ac:dyDescent="0.2">
      <x:c r="EJ88" s="609">
        <x:f t="shared" si="123"/>
        <x:v>0.66666666666666663</x:v>
      </x:c>
      <x:c r="EL88" s="529" t="e">
        <x: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x:f>
        <x:v>#N/A</x:v>
      </x:c>
      <x:c r="EM88" s="530" t="str">
        <x:f t="shared" si="124"/>
        <x:v/>
      </x:c>
      <x:c r="EN88" s="531" t="str">
        <x:f>IF(BD29="","",IF(ISERROR(VLOOKUP(BD29,TblJoistSize!$A$1:$G$274,2,FALSE)),"-",VLOOKUP(BD29,TblJoistSize!$A$1:$G$274,2,FALSE)))</x:f>
        <x:v/>
      </x:c>
      <x:c r="EO88" s="532" t="str">
        <x:f t="shared" si="125"/>
        <x:v/>
      </x:c>
    </x:row>
    <x:row r="89" spans="140:145" ht="15" customHeight="1" x14ac:dyDescent="0.2">
      <x:c r="EJ89" s="609">
        <x:f t="shared" si="123"/>
        <x:v>0.66666666666666663</x:v>
      </x:c>
      <x:c r="EL89" s="529" t="e">
        <x: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x:f>
        <x:v>#N/A</x:v>
      </x:c>
      <x:c r="EM89" s="530" t="str">
        <x:f t="shared" si="124"/>
        <x:v/>
      </x:c>
      <x:c r="EN89" s="531" t="str">
        <x:f>IF(BD30="","",IF(ISERROR(VLOOKUP(BD30,TblJoistSize!$A$1:$G$274,2,FALSE)),"-",VLOOKUP(BD30,TblJoistSize!$A$1:$G$274,2,FALSE)))</x:f>
        <x:v/>
      </x:c>
      <x:c r="EO89" s="532" t="str">
        <x:f t="shared" si="125"/>
        <x:v/>
      </x:c>
    </x:row>
    <x:row r="90" spans="140:145" ht="15" customHeight="1" x14ac:dyDescent="0.2">
      <x:c r="EJ90" s="609">
        <x:f t="shared" si="123"/>
        <x:v>0.66666666666666663</x:v>
      </x:c>
      <x:c r="EL90" s="529" t="e">
        <x: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x:f>
        <x:v>#N/A</x:v>
      </x:c>
      <x:c r="EM90" s="530" t="str">
        <x:f t="shared" si="124"/>
        <x:v/>
      </x:c>
      <x:c r="EN90" s="531" t="str">
        <x:f>IF(BD31="","",IF(ISERROR(VLOOKUP(BD31,TblJoistSize!$A$1:$G$274,2,FALSE)),"-",VLOOKUP(BD31,TblJoistSize!$A$1:$G$274,2,FALSE)))</x:f>
        <x:v/>
      </x:c>
      <x:c r="EO90" s="532" t="str">
        <x:f t="shared" si="125"/>
        <x:v/>
      </x:c>
    </x:row>
    <x:row r="91" spans="140:145" ht="15" customHeight="1" x14ac:dyDescent="0.2">
      <x:c r="EJ91" s="609">
        <x:f t="shared" si="123"/>
        <x:v>0.66666666666666663</x:v>
      </x:c>
      <x:c r="EL91" s="529" t="e">
        <x: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x:f>
        <x:v>#N/A</x:v>
      </x:c>
      <x:c r="EM91" s="530" t="str">
        <x:f t="shared" si="124"/>
        <x:v/>
      </x:c>
      <x:c r="EN91" s="531" t="str">
        <x:f>IF(BD32="","",IF(ISERROR(VLOOKUP(BD32,TblJoistSize!$A$1:$G$274,2,FALSE)),"-",VLOOKUP(BD32,TblJoistSize!$A$1:$G$274,2,FALSE)))</x:f>
        <x:v/>
      </x:c>
      <x:c r="EO91" s="532" t="str">
        <x:f t="shared" si="125"/>
        <x:v/>
      </x:c>
    </x:row>
    <x:row r="92" spans="140:145" ht="15" customHeight="1" x14ac:dyDescent="0.2">
      <x:c r="EJ92" s="609">
        <x:f t="shared" si="123"/>
        <x:v>0.66666666666666663</x:v>
      </x:c>
      <x:c r="EL92" s="529" t="e">
        <x: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x:f>
        <x:v>#N/A</x:v>
      </x:c>
      <x:c r="EM92" s="530" t="str">
        <x:f t="shared" si="124"/>
        <x:v/>
      </x:c>
      <x:c r="EN92" s="531" t="str">
        <x:f>IF(BD33="","",IF(ISERROR(VLOOKUP(BD33,TblJoistSize!$A$1:$G$274,2,FALSE)),"-",VLOOKUP(BD33,TblJoistSize!$A$1:$G$274,2,FALSE)))</x:f>
        <x:v/>
      </x:c>
      <x:c r="EO92" s="532" t="str">
        <x:f t="shared" si="125"/>
        <x:v/>
      </x:c>
    </x:row>
    <x:row r="93" spans="140:145" ht="15" customHeight="1" x14ac:dyDescent="0.2">
      <x:c r="EJ93" s="609">
        <x:f t="shared" si="123"/>
        <x:v>0.66666666666666663</x:v>
      </x:c>
      <x:c r="EL93" s="529" t="e">
        <x: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x:f>
        <x:v>#N/A</x:v>
      </x:c>
      <x:c r="EM93" s="530" t="str">
        <x:f t="shared" si="124"/>
        <x:v/>
      </x:c>
      <x:c r="EN93" s="531" t="str">
        <x:f>IF(BD34="","",IF(ISERROR(VLOOKUP(BD34,TblJoistSize!$A$1:$G$274,2,FALSE)),"-",VLOOKUP(BD34,TblJoistSize!$A$1:$G$274,2,FALSE)))</x:f>
        <x:v/>
      </x:c>
      <x:c r="EO93" s="532" t="str">
        <x:f t="shared" si="125"/>
        <x:v/>
      </x:c>
    </x:row>
    <x:row r="94" spans="140:145" ht="15" customHeight="1" x14ac:dyDescent="0.2">
      <x:c r="EJ94" s="609">
        <x:f t="shared" si="123"/>
        <x:v>0.66666666666666663</x:v>
      </x:c>
      <x:c r="EL94" s="529" t="e">
        <x: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x:f>
        <x:v>#N/A</x:v>
      </x:c>
      <x:c r="EM94" s="530" t="str">
        <x:f t="shared" si="124"/>
        <x:v/>
      </x:c>
      <x:c r="EN94" s="531" t="str">
        <x:f>IF(BD35="","",IF(ISERROR(VLOOKUP(BD35,TblJoistSize!$A$1:$G$274,2,FALSE)),"-",VLOOKUP(BD35,TblJoistSize!$A$1:$G$274,2,FALSE)))</x:f>
        <x:v/>
      </x:c>
      <x:c r="EO94" s="532" t="str">
        <x:f t="shared" si="125"/>
        <x:v/>
      </x:c>
    </x:row>
    <x:row r="95" spans="140:145" ht="15" customHeight="1" x14ac:dyDescent="0.2">
      <x:c r="EJ95" s="609" t="str">
        <x:f t="shared" si="123"/>
        <x:v/>
      </x:c>
      <x:c r="EL95" s="529" t="str">
        <x: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x:f>
        <x:v/>
      </x:c>
      <x:c r="EM95" s="530" t="str">
        <x:f t="shared" si="124"/>
        <x:v/>
      </x:c>
      <x:c r="EN95" s="531" t="str">
        <x:f>IF(BD36="","",IF(ISERROR(VLOOKUP(BD36,TblJoistSize!$A$1:$G$274,2,FALSE)),"-",VLOOKUP(BD36,TblJoistSize!$A$1:$G$274,2,FALSE)))</x:f>
        <x:v/>
      </x:c>
      <x:c r="EO95" s="532" t="str">
        <x:f t="shared" si="125"/>
        <x:v/>
      </x:c>
    </x:row>
    <x:row r="96" spans="140:145" ht="15" customHeight="1" x14ac:dyDescent="0.2">
      <x:c r="EJ96" s="609" t="str">
        <x:f>IF(AU37="","",IF(OR(AU37="K",AU37="KCS"),(BE37*12+BF37+IF(CU37="M",MAX(CV37,$CX$4),0)+IF(DE37="M",MAX(DF37,$CX$4),0))/12,IF(OR(AU37="LH",AU37="DLH"),(BE37*12+BF37+8-MAX(MAX(BH37,BI37)/2,DC37)-MAX(MAX(BP37,BQ37)/2,DM37))/12,IF(OR(AU37="JS",AU37="HDR"),""))))</x:f>
        <x:v/>
      </x:c>
      <x:c r="EL96" s="529" t="str">
        <x: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x:f>
        <x:v/>
      </x:c>
      <x:c r="EM96" s="530" t="str">
        <x:f t="shared" si="124"/>
        <x:v/>
      </x:c>
      <x:c r="EN96" s="531" t="str">
        <x:f>IF(BD37="","",IF(ISERROR(VLOOKUP(BD37,TblJoistSize!$A$1:$G$274,2,FALSE)),"-",VLOOKUP(BD37,TblJoistSize!$A$1:$G$274,2,FALSE)))</x:f>
        <x:v/>
      </x:c>
      <x:c r="EO96" s="532" t="str">
        <x:f t="shared" si="125"/>
        <x:v/>
      </x:c>
    </x:row>
    <x:row r="97" spans="140:145" ht="15" customHeight="1" x14ac:dyDescent="0.2">
      <x:c r="EJ97" s="609" t="str">
        <x:f t="shared" ref="EJ97:EJ104" si="126">IF(AU38="","",IF(OR(AU38="K",AU38="KCS"),(BE38*12+BF38+IF(CU38="M",MAX(CV38,$CX$4),0)+IF(DE38="M",MAX(DF38,$CX$4),0))/12,IF(OR(AU38="LH",AU38="DLH"),(BE38*12+BF38+8-MAX(MAX(BH38,BI38)/2,DC38)-MAX(MAX(BP38,BQ38)/2,DM38))/12,IF(OR(AU38="JS",AU38="HDR"),""))))</x:f>
        <x:v/>
      </x:c>
      <x:c r="EL97" s="529" t="str">
        <x: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x:f>
        <x:v/>
      </x:c>
      <x:c r="EM97" s="530" t="str">
        <x:f t="shared" si="124"/>
        <x:v/>
      </x:c>
      <x:c r="EN97" s="531" t="str">
        <x:f>IF(BD38="","",IF(ISERROR(VLOOKUP(BD38,TblJoistSize!$A$1:$G$274,2,FALSE)),"-",VLOOKUP(BD38,TblJoistSize!$A$1:$G$274,2,FALSE)))</x:f>
        <x:v/>
      </x:c>
      <x:c r="EO97" s="532" t="str">
        <x:f t="shared" si="125"/>
        <x:v/>
      </x:c>
    </x:row>
    <x:row r="98" spans="140:145" ht="15" customHeight="1" x14ac:dyDescent="0.2">
      <x:c r="EJ98" s="609" t="str">
        <x:f t="shared" si="126"/>
        <x:v/>
      </x:c>
      <x:c r="EL98" s="529" t="str">
        <x: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x:f>
        <x:v/>
      </x:c>
      <x:c r="EM98" s="530" t="str">
        <x:f t="shared" si="124"/>
        <x:v/>
      </x:c>
      <x:c r="EN98" s="531" t="str">
        <x:f>IF(BD39="","",IF(ISERROR(VLOOKUP(BD39,TblJoistSize!$A$1:$G$274,2,FALSE)),"-",VLOOKUP(BD39,TblJoistSize!$A$1:$G$274,2,FALSE)))</x:f>
        <x:v/>
      </x:c>
      <x:c r="EO98" s="532" t="str">
        <x:f t="shared" si="125"/>
        <x:v/>
      </x:c>
    </x:row>
    <x:row r="99" spans="140:145" ht="15" customHeight="1" x14ac:dyDescent="0.2">
      <x:c r="EJ99" s="609" t="str">
        <x:f t="shared" si="126"/>
        <x:v/>
      </x:c>
      <x:c r="EL99" s="529" t="str">
        <x: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x:f>
        <x:v/>
      </x:c>
      <x:c r="EM99" s="530" t="str">
        <x:f t="shared" si="124"/>
        <x:v/>
      </x:c>
      <x:c r="EN99" s="531" t="str">
        <x:f>IF(BD40="","",IF(ISERROR(VLOOKUP(BD40,TblJoistSize!$A$1:$G$274,2,FALSE)),"-",VLOOKUP(BD40,TblJoistSize!$A$1:$G$274,2,FALSE)))</x:f>
        <x:v/>
      </x:c>
      <x:c r="EO99" s="532" t="str">
        <x:f t="shared" si="125"/>
        <x:v/>
      </x:c>
    </x:row>
    <x:row r="100" spans="140:145" ht="15" customHeight="1" x14ac:dyDescent="0.2">
      <x:c r="EJ100" s="609" t="str">
        <x:f t="shared" si="126"/>
        <x:v/>
      </x:c>
      <x:c r="EL100" s="529" t="str">
        <x: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x:f>
        <x:v/>
      </x:c>
      <x:c r="EM100" s="530" t="str">
        <x:f t="shared" si="124"/>
        <x:v/>
      </x:c>
      <x:c r="EN100" s="531" t="str">
        <x:f>IF(BD41="","",IF(ISERROR(VLOOKUP(BD41,TblJoistSize!$A$1:$G$274,2,FALSE)),"-",VLOOKUP(BD41,TblJoistSize!$A$1:$G$274,2,FALSE)))</x:f>
        <x:v/>
      </x:c>
      <x:c r="EO100" s="532" t="str">
        <x:f t="shared" si="125"/>
        <x:v/>
      </x:c>
    </x:row>
    <x:row r="101" spans="140:145" x14ac:dyDescent="0.2">
      <x:c r="EJ101" s="609" t="str">
        <x:f t="shared" si="126"/>
        <x:v/>
      </x:c>
      <x:c r="EL101" s="529" t="str">
        <x: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x:f>
        <x:v/>
      </x:c>
      <x:c r="EM101" s="530" t="str">
        <x:f t="shared" si="124"/>
        <x:v/>
      </x:c>
      <x:c r="EN101" s="531" t="str">
        <x:f>IF(BD42="","",IF(ISERROR(VLOOKUP(BD42,TblJoistSize!$A$1:$G$274,2,FALSE)),"-",VLOOKUP(BD42,TblJoistSize!$A$1:$G$274,2,FALSE)))</x:f>
        <x:v/>
      </x:c>
      <x:c r="EO101" s="532" t="str">
        <x:f t="shared" si="125"/>
        <x:v/>
      </x:c>
    </x:row>
    <x:row r="102" spans="140:145" x14ac:dyDescent="0.2">
      <x:c r="EJ102" s="609" t="str">
        <x:f t="shared" si="126"/>
        <x:v/>
      </x:c>
      <x:c r="EL102" s="529" t="str">
        <x: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x:f>
        <x:v/>
      </x:c>
      <x:c r="EM102" s="530" t="str">
        <x:f t="shared" si="124"/>
        <x:v/>
      </x:c>
      <x:c r="EN102" s="531" t="str">
        <x:f>IF(BD43="","",IF(ISERROR(VLOOKUP(BD43,TblJoistSize!$A$1:$G$274,2,FALSE)),"-",VLOOKUP(BD43,TblJoistSize!$A$1:$G$274,2,FALSE)))</x:f>
        <x:v/>
      </x:c>
      <x:c r="EO102" s="532" t="str">
        <x:f t="shared" si="125"/>
        <x:v/>
      </x:c>
    </x:row>
    <x:row r="103" spans="140:145" x14ac:dyDescent="0.2">
      <x:c r="EJ103" s="609" t="str">
        <x:f t="shared" si="126"/>
        <x:v/>
      </x:c>
      <x:c r="EL103" s="529" t="str">
        <x: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x:f>
        <x:v/>
      </x:c>
      <x:c r="EM103" s="530" t="str">
        <x:f t="shared" si="124"/>
        <x:v/>
      </x:c>
      <x:c r="EN103" s="531" t="str">
        <x:f>IF(BD44="","",IF(ISERROR(VLOOKUP(BD44,TblJoistSize!$A$1:$G$274,2,FALSE)),"-",VLOOKUP(BD44,TblJoistSize!$A$1:$G$274,2,FALSE)))</x:f>
        <x:v/>
      </x:c>
      <x:c r="EO103" s="532" t="str">
        <x:f t="shared" si="125"/>
        <x:v/>
      </x:c>
    </x:row>
    <x:row r="104" spans="140:145" x14ac:dyDescent="0.2">
      <x:c r="EJ104" s="609" t="str">
        <x:f t="shared" si="126"/>
        <x:v/>
      </x:c>
      <x:c r="EL104" s="529" t="str">
        <x: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x:f>
        <x:v/>
      </x:c>
      <x:c r="EM104" s="530" t="str">
        <x:f t="shared" si="124"/>
        <x:v/>
      </x:c>
      <x:c r="EN104" s="531" t="str">
        <x:f>IF(BD45="","",IF(ISERROR(VLOOKUP(BD45,TblJoistSize!$A$1:$G$274,2,FALSE)),"-",VLOOKUP(BD45,TblJoistSize!$A$1:$G$274,2,FALSE)))</x:f>
        <x:v/>
      </x:c>
      <x:c r="EO104" s="532" t="str">
        <x:f t="shared" si="125"/>
        <x:v/>
      </x:c>
    </x:row>
  </x:sheetData>
  <x:sheetProtection algorithmName="SHA-512" hashValue="u29XIXZJ+iUcx6Cibe6P0BJL8+wHQ+co7QozInMjgmHLLTu/Gcg8C/i8DUPRMmChp8F0axeS+lHpO7bYZkBKXg==" saltValue="qTOBCMom+Oqzb5ucj2LTrQ==" spinCount="100000" sheet="1" objects="1" scenarios="1" selectLockedCells="1"/>
  <x:dataConsolidate/>
  <x:mergeCells count="190">
    <x:mergeCell ref="M7:S7"/>
    <x:mergeCell ref="C9:O9"/>
    <x:mergeCell ref="S9:AA9"/>
    <x:mergeCell ref="C10:O10"/>
    <x:mergeCell ref="S10:W10"/>
    <x:mergeCell ref="Z10:AA10"/>
    <x:mergeCell ref="P1:S1"/>
    <x:mergeCell ref="P2:S3"/>
    <x:mergeCell ref="P4:S4"/>
    <x:mergeCell ref="A5:M5"/>
    <x:mergeCell ref="M6:T6"/>
    <x:mergeCell ref="Y6:Z6"/>
    <x:mergeCell ref="BB11:BY12"/>
    <x:mergeCell ref="CC11:CF11"/>
    <x:mergeCell ref="BZ12:CA13"/>
    <x:mergeCell ref="CN12:CO14"/>
    <x:mergeCell ref="CP12:CQ14"/>
    <x:mergeCell ref="CR12:CR15"/>
    <x:mergeCell ref="BE14:BF15"/>
    <x:mergeCell ref="BG14:BG15"/>
    <x:mergeCell ref="BH14:BI15"/>
    <x:mergeCell ref="BJ14:BJ15"/>
    <x:mergeCell ref="BS14:BT15"/>
    <x:mergeCell ref="BU14:BU15"/>
    <x:mergeCell ref="BV14:BV15"/>
    <x:mergeCell ref="BZ14:BZ15"/>
    <x:mergeCell ref="CA14:CA15"/>
    <x:mergeCell ref="CB14:CC14"/>
    <x:mergeCell ref="BK14:BL15"/>
    <x:mergeCell ref="BM14:BM15"/>
    <x:mergeCell ref="BN14:BN15"/>
    <x:mergeCell ref="BO14:BO15"/>
    <x:mergeCell ref="BP14:BQ15"/>
    <x:mergeCell ref="BR14:BR15"/>
    <x:mergeCell ref="HA12:IF13"/>
    <x:mergeCell ref="AU13:AU15"/>
    <x:mergeCell ref="AV13:AW15"/>
    <x:mergeCell ref="BG13:BN13"/>
    <x:mergeCell ref="BO13:BV13"/>
    <x:mergeCell ref="BW13:BW15"/>
    <x:mergeCell ref="BX13:BY14"/>
    <x:mergeCell ref="FG12:FG15"/>
    <x:mergeCell ref="FH12:FH15"/>
    <x:mergeCell ref="FI12:FI15"/>
    <x:mergeCell ref="FJ12:FJ15"/>
    <x:mergeCell ref="FK12:FK15"/>
    <x:mergeCell ref="FL12:FL15"/>
    <x:mergeCell ref="FA12:FA15"/>
    <x:mergeCell ref="FB12:FB15"/>
    <x:mergeCell ref="FC12:FC15"/>
    <x:mergeCell ref="FD12:FD15"/>
    <x:mergeCell ref="FE12:FE15"/>
    <x:mergeCell ref="FF12:FF15"/>
    <x:mergeCell ref="CS12:CS15"/>
    <x:mergeCell ref="EV12:EV15"/>
    <x:mergeCell ref="EW12:EW15"/>
    <x:mergeCell ref="EX12:EX15"/>
    <x:mergeCell ref="EY12:EY15"/>
    <x:mergeCell ref="T14:X14"/>
    <x:mergeCell ref="Y14:Z14"/>
    <x:mergeCell ref="AZ14:AZ15"/>
    <x:mergeCell ref="BB14:BB15"/>
    <x:mergeCell ref="BC14:BC15"/>
    <x:mergeCell ref="BD14:BD15"/>
    <x:mergeCell ref="V15:W15"/>
    <x:mergeCell ref="GA13:GJ13"/>
    <x:mergeCell ref="A14:A15"/>
    <x:mergeCell ref="B14:B15"/>
    <x:mergeCell ref="C14:C15"/>
    <x:mergeCell ref="D14:E15"/>
    <x:mergeCell ref="F14:H14"/>
    <x:mergeCell ref="I14:K14"/>
    <x:mergeCell ref="L14:M14"/>
    <x:mergeCell ref="N14:P14"/>
    <x:mergeCell ref="Q14:S14"/>
    <x:mergeCell ref="FM12:FM15"/>
    <x:mergeCell ref="FN12:FN15"/>
    <x:mergeCell ref="FQ12:FR13"/>
    <x:mergeCell ref="EZ12:EZ15"/>
    <x:mergeCell ref="CU13:DD13"/>
    <x:mergeCell ref="DE13:DN13"/>
    <x:mergeCell ref="CV14:CV15"/>
    <x:mergeCell ref="CX14:CX15"/>
    <x:mergeCell ref="CY14:CY15"/>
    <x:mergeCell ref="CZ14:CZ15"/>
    <x:mergeCell ref="DA14:DA15"/>
    <x:mergeCell ref="DB14:DB15"/>
    <x:mergeCell ref="DC14:DC15"/>
    <x:mergeCell ref="CD14:CE14"/>
    <x:mergeCell ref="CF14:CG14"/>
    <x:mergeCell ref="CH14:CJ14"/>
    <x:mergeCell ref="CK14:CK15"/>
    <x:mergeCell ref="CL14:CM14"/>
    <x:mergeCell ref="CU14:CU15"/>
    <x:mergeCell ref="CW14:CW15"/>
    <x:mergeCell ref="DJ14:DJ15"/>
    <x:mergeCell ref="DK14:DK15"/>
    <x:mergeCell ref="DL14:DL15"/>
    <x:mergeCell ref="DM14:DM15"/>
    <x:mergeCell ref="DN14:DN15"/>
    <x:mergeCell ref="DO14:DO15"/>
    <x:mergeCell ref="DD14:DD15"/>
    <x:mergeCell ref="DE14:DE15"/>
    <x:mergeCell ref="DF14:DF15"/>
    <x:mergeCell ref="DG14:DG15"/>
    <x:mergeCell ref="DH14:DH15"/>
    <x:mergeCell ref="DI14:DI15"/>
    <x:mergeCell ref="DW14:DW15"/>
    <x:mergeCell ref="DX14:DX15"/>
    <x:mergeCell ref="DY14:DY15"/>
    <x:mergeCell ref="DZ14:EA14"/>
    <x:mergeCell ref="EB14:EB15"/>
    <x:mergeCell ref="EC14:EC15"/>
    <x:mergeCell ref="DP14:DP15"/>
    <x:mergeCell ref="DQ14:DQ15"/>
    <x:mergeCell ref="DR14:DR15"/>
    <x:mergeCell ref="DS14:DS15"/>
    <x:mergeCell ref="DT14:DU14"/>
    <x:mergeCell ref="DV14:DV15"/>
    <x:mergeCell ref="EM14:EN14"/>
    <x:mergeCell ref="EO14:EP14"/>
    <x:mergeCell ref="EQ14:ER14"/>
    <x:mergeCell ref="ES14:ES15"/>
    <x:mergeCell ref="ET14:ET15"/>
    <x:mergeCell ref="EU14:EU15"/>
    <x:mergeCell ref="ED14:ED15"/>
    <x:mergeCell ref="EE14:EE15"/>
    <x:mergeCell ref="EF14:EG14"/>
    <x:mergeCell ref="EH14:EI14"/>
    <x:mergeCell ref="EJ14:EK14"/>
    <x:mergeCell ref="EL14:EL15"/>
    <x:mergeCell ref="GA14:GB14"/>
    <x:mergeCell ref="GC14:GD14"/>
    <x:mergeCell ref="GE14:GE15"/>
    <x:mergeCell ref="GF14:GF15"/>
    <x:mergeCell ref="GG14:GH14"/>
    <x:mergeCell ref="FO14:FO15"/>
    <x:mergeCell ref="FP14:FP15"/>
    <x:mergeCell ref="FQ14:FQ15"/>
    <x:mergeCell ref="FR14:FR15"/>
    <x:mergeCell ref="FS14:FS15"/>
    <x:mergeCell ref="FT14:FT15"/>
    <x:mergeCell ref="ID14:ID15"/>
    <x:mergeCell ref="IE14:IE15"/>
    <x:mergeCell ref="IF14:IF15"/>
    <x:mergeCell ref="F15:G15"/>
    <x:mergeCell ref="I15:J15"/>
    <x:mergeCell ref="N15:O15"/>
    <x:mergeCell ref="Q15:R15"/>
    <x:mergeCell ref="T15:U15"/>
    <x:mergeCell ref="HV14:HV15"/>
    <x:mergeCell ref="HW14:HW15"/>
    <x:mergeCell ref="HX14:HX15"/>
    <x:mergeCell ref="HY14:HY15"/>
    <x:mergeCell ref="HZ14:HZ15"/>
    <x:mergeCell ref="IA14:IA15"/>
    <x:mergeCell ref="HP14:HP15"/>
    <x:mergeCell ref="HQ14:HQ15"/>
    <x:mergeCell ref="HR14:HR15"/>
    <x:mergeCell ref="HS14:HS15"/>
    <x:mergeCell ref="HT14:HT15"/>
    <x:mergeCell ref="HU14:HU15"/>
    <x:mergeCell ref="HJ14:HJ15"/>
    <x:mergeCell ref="HK14:HK15"/>
    <x:mergeCell ref="HL14:HL15"/>
    <x:mergeCell ref="HM14:HM15"/>
    <x:mergeCell ref="CP57:CQ57"/>
    <x:mergeCell ref="EL71:EO71"/>
    <x:mergeCell ref="EL72:EL74"/>
    <x:mergeCell ref="EM72:EM74"/>
    <x:mergeCell ref="EN72:EN74"/>
    <x:mergeCell ref="EO72:EO74"/>
    <x:mergeCell ref="EJ73:EJ74"/>
    <x:mergeCell ref="IB14:IB15"/>
    <x:mergeCell ref="IC14:IC15"/>
    <x:mergeCell ref="HN14:HN15"/>
    <x:mergeCell ref="HO14:HO15"/>
    <x:mergeCell ref="HC14:HC15"/>
    <x:mergeCell ref="HD14:HE15"/>
    <x:mergeCell ref="HF14:HF15"/>
    <x:mergeCell ref="HG14:HG15"/>
    <x:mergeCell ref="HH14:HH15"/>
    <x:mergeCell ref="HI14:HI15"/>
    <x:mergeCell ref="GI14:GJ14"/>
    <x:mergeCell ref="GK14:GK15"/>
    <x:mergeCell ref="GL14:GL15"/>
    <x:mergeCell ref="GM14:GM15"/>
    <x:mergeCell ref="HA14:HA15"/>
    <x:mergeCell ref="HB14:HB15"/>
    <x:mergeCell ref="FU14:FV14"/>
  </x:mergeCells>
  <x:conditionalFormatting sqref="GA57:GB57">
    <x:cfRule type="expression" dxfId="92" priority="69" stopIfTrue="1">
      <x:formula>GM57&gt;=0.125</x:formula>
    </x:cfRule>
  </x:conditionalFormatting>
  <x:conditionalFormatting sqref="EF57">
    <x:cfRule type="cellIs" dxfId="91" priority="70" stopIfTrue="1" operator="notEqual">
      <x:formula>$EG57</x:formula>
    </x:cfRule>
  </x:conditionalFormatting>
  <x:conditionalFormatting sqref="EM57">
    <x:cfRule type="cellIs" dxfId="90" priority="71" stopIfTrue="1" operator="notEqual">
      <x:formula>$EN57</x:formula>
    </x:cfRule>
  </x:conditionalFormatting>
  <x:conditionalFormatting sqref="CD16:CD45">
    <x:cfRule type="expression" dxfId="89" priority="62">
      <x:formula>AND(CD16="X",CY16="")</x:formula>
    </x:cfRule>
    <x:cfRule type="expression" dxfId="88" priority="72">
      <x:formula>AND(CD16="",CY16&lt;&gt;"")</x:formula>
    </x:cfRule>
  </x:conditionalFormatting>
  <x:conditionalFormatting sqref="CE16:CE45">
    <x:cfRule type="expression" dxfId="87" priority="73">
      <x:formula>AND(CE16="X",DI16="")</x:formula>
    </x:cfRule>
    <x:cfRule type="expression" dxfId="86" priority="74">
      <x:formula>AND(CE16="",DI16&lt;&gt;"")</x:formula>
    </x:cfRule>
  </x:conditionalFormatting>
  <x:conditionalFormatting sqref="P2:S4">
    <x:cfRule type="cellIs" dxfId="85" priority="76" stopIfTrue="1" operator="equal">
      <x:formula>""</x:formula>
    </x:cfRule>
  </x:conditionalFormatting>
  <x:conditionalFormatting sqref="EF16:EF45">
    <x:cfRule type="cellIs" dxfId="84" priority="68" stopIfTrue="1" operator="notEqual">
      <x:formula>$EG16</x:formula>
    </x:cfRule>
  </x:conditionalFormatting>
  <x:conditionalFormatting sqref="EM16:EM45">
    <x:cfRule type="cellIs" dxfId="83" priority="67" stopIfTrue="1" operator="notEqual">
      <x:formula>$EN16</x:formula>
    </x:cfRule>
  </x:conditionalFormatting>
  <x:conditionalFormatting sqref="CC12">
    <x:cfRule type="expression" dxfId="82" priority="66" stopIfTrue="1">
      <x:formula>ISBLANK($CC$12)</x:formula>
    </x:cfRule>
  </x:conditionalFormatting>
  <x:conditionalFormatting sqref="CC11">
    <x:cfRule type="expression" dxfId="81" priority="65" stopIfTrue="1">
      <x:formula>ISBLANK($CC$11)</x:formula>
    </x:cfRule>
  </x:conditionalFormatting>
  <x:conditionalFormatting sqref="M7">
    <x:cfRule type="expression" dxfId="80" priority="63" stopIfTrue="1">
      <x:formula>OR(ISBLANK($M$7),$M$7="")</x:formula>
    </x:cfRule>
    <x:cfRule type="expression" dxfId="79" priority="64" stopIfTrue="1">
      <x:formula>AND(LOWER($M$7)&lt;&gt;"std gray primer: one shop coat",LOWER($M$7)&lt;&gt;"gray",$M$7&lt;&gt;"")</x:formula>
    </x:cfRule>
  </x:conditionalFormatting>
  <x:conditionalFormatting sqref="BV16:BV45">
    <x:cfRule type="expression" dxfId="78" priority="60">
      <x:formula>AND(NOT($AY16),AND(ISBLANK(BV16),AND(NOT(ISBLANK(BU16)),$BW16&lt;&gt;0)))</x:formula>
    </x:cfRule>
  </x:conditionalFormatting>
  <x:conditionalFormatting sqref="BD16:BD45">
    <x:cfRule type="expression" dxfId="77" priority="61">
      <x:formula>AND(NOT($AY16),NOT($AP16))</x:formula>
    </x:cfRule>
  </x:conditionalFormatting>
  <x:conditionalFormatting sqref="U16:U45">
    <x:cfRule type="expression" dxfId="76" priority="57">
      <x:formula>AND(NOT($AY16),NOT(AR16))</x:formula>
    </x:cfRule>
  </x:conditionalFormatting>
  <x:conditionalFormatting sqref="W16:W45">
    <x:cfRule type="expression" dxfId="75" priority="59">
      <x:formula>AND(NOT($AY16),NOT(AT16))</x:formula>
    </x:cfRule>
  </x:conditionalFormatting>
  <x:conditionalFormatting sqref="T16:T45">
    <x:cfRule type="expression" dxfId="74" priority="56">
      <x:formula>AND(NOT($AY16),NOT(AR16))</x:formula>
    </x:cfRule>
  </x:conditionalFormatting>
  <x:conditionalFormatting sqref="V16:V45">
    <x:cfRule type="expression" dxfId="73" priority="58">
      <x:formula>AND(NOT($AY16),NOT(AT16))</x:formula>
    </x:cfRule>
  </x:conditionalFormatting>
  <x:conditionalFormatting sqref="C16:C45">
    <x:cfRule type="expression" dxfId="72" priority="54">
      <x:formula>AND(NOT($AY16),NOT($AP16))</x:formula>
    </x:cfRule>
  </x:conditionalFormatting>
  <x:conditionalFormatting sqref="X16:X45">
    <x:cfRule type="expression" dxfId="71" priority="14">
      <x:formula>$X16=0</x:formula>
    </x:cfRule>
  </x:conditionalFormatting>
  <x:conditionalFormatting sqref="CB16:CB45">
    <x:cfRule type="expression" dxfId="70" priority="53">
      <x:formula>OR(CB16&gt;CV16,CB16&lt;0)</x:formula>
    </x:cfRule>
  </x:conditionalFormatting>
  <x:conditionalFormatting sqref="CC16:CC45">
    <x:cfRule type="expression" dxfId="69" priority="51">
      <x:formula>OR(CC16&gt;DF16,CC16&lt;0)</x:formula>
    </x:cfRule>
  </x:conditionalFormatting>
  <x:conditionalFormatting sqref="BY16:BY45">
    <x:cfRule type="expression" dxfId="68" priority="75">
      <x:formula>OR(CH16&lt;&gt;"",CI16&lt;&gt;"",CJ16&lt;&gt;"",CK16&lt;&gt;"",CL16&lt;&gt;"",CM16&lt;&gt;"")</x:formula>
    </x:cfRule>
  </x:conditionalFormatting>
  <x:conditionalFormatting sqref="BE16:BF45">
    <x:cfRule type="expression" dxfId="67" priority="77">
      <x:formula>AND(NOT($AY16),AND($AZ16,AND($AK16&lt;&gt;"HDR",$AK16&lt;&gt;"JS",$AJ16&gt;=8)))</x:formula>
    </x:cfRule>
  </x:conditionalFormatting>
  <x:conditionalFormatting sqref="D16:E45">
    <x:cfRule type="expression" dxfId="66" priority="55">
      <x:formula>AND(NOT($AY16),AND($AZ16,AND($AK16&lt;&gt;"HDR",$AK16&lt;&gt;"JS",$AJ16&gt;=8)))</x:formula>
    </x:cfRule>
  </x:conditionalFormatting>
  <x:conditionalFormatting sqref="AA12">
    <x:cfRule type="expression" dxfId="65" priority="52">
      <x:formula>OR(ISBLANK(AA12),AA12="")</x:formula>
    </x:cfRule>
  </x:conditionalFormatting>
  <x:conditionalFormatting sqref="A16:Z45 BB16:CG45">
    <x:cfRule type="expression" dxfId="64" priority="78">
      <x:formula>$AC16</x:formula>
    </x:cfRule>
  </x:conditionalFormatting>
  <x:conditionalFormatting sqref="BN16:BN45">
    <x:cfRule type="expression" dxfId="63" priority="17">
      <x:formula>AND(NOT($AY16),AND(ISBLANK(BN16),AND(NOT(ISBLANK(BM16)),$BW16&lt;&gt;0)))</x:formula>
    </x:cfRule>
  </x:conditionalFormatting>
  <x:conditionalFormatting sqref="BO16:BO45">
    <x:cfRule type="expression" dxfId="62" priority="16">
      <x:formula>AND(NOT($AY16),ISERROR(DE16))</x:formula>
    </x:cfRule>
    <x:cfRule type="expression" dxfId="61" priority="43">
      <x:formula>AND(NOT($AY16),OR(DE16="", CQ16&lt;&gt;""))</x:formula>
    </x:cfRule>
  </x:conditionalFormatting>
  <x:conditionalFormatting sqref="BG16:BG45">
    <x:cfRule type="expression" dxfId="60" priority="15">
      <x:formula>AND(NOT($AY16),ISERROR(CU16))</x:formula>
    </x:cfRule>
    <x:cfRule type="expression" dxfId="59" priority="42">
      <x:formula>AND(NOT($AY16),OR(CP16&lt;&gt;"", CU16=""))</x:formula>
    </x:cfRule>
  </x:conditionalFormatting>
  <x:conditionalFormatting sqref="BH16:BH45">
    <x:cfRule type="expression" dxfId="58" priority="30">
      <x:formula>AND(NOT($AY16),OR($CU16="M",$CU16="C",AND($CU16="B",$DC16&gt;0)))</x:formula>
    </x:cfRule>
    <x:cfRule type="expression" dxfId="57" priority="31">
      <x:formula>AND(NOT($AY16),AND(BH16="",BI16="",OR($CU16="B",$CU16="G")))</x:formula>
    </x:cfRule>
    <x:cfRule type="expression" dxfId="56" priority="32">
      <x:formula>AND(NOT($AY16),(BH16/2)/COS(RADIANS(BM16))+CV16-DW16&lt;VLOOKUP(AU16,$DF$2:$DJ$9,5,FALSE))</x:formula>
    </x:cfRule>
  </x:conditionalFormatting>
  <x:conditionalFormatting sqref="BI16:BI45">
    <x:cfRule type="expression" dxfId="55" priority="39">
      <x:formula>AND(NOT($AY16),OR($CU16="M",$CU16="C",AND($CU16="B",$DC16&gt;0)))</x:formula>
    </x:cfRule>
    <x:cfRule type="expression" dxfId="54" priority="40">
      <x:formula>AND(NOT($AY16),AND(BH16="",BI16="",OR($CU16="B",$CU16="G")))</x:formula>
    </x:cfRule>
    <x:cfRule type="expression" dxfId="53" priority="41">
      <x:formula>AND(NOT($AY16),(BI16/2)/COS(RADIANS(BM16))+CV16-DW16&lt;VLOOKUP(AU16,$DF$2:$DJ$9,5,FALSE))</x:formula>
    </x:cfRule>
  </x:conditionalFormatting>
  <x:conditionalFormatting sqref="BK16:BK45">
    <x:cfRule type="expression" dxfId="52" priority="18">
      <x:formula>AND(NOT($AY16),OR($CU16="M",$CU16="C",AND($CU16="B",$DA16&lt;&gt;"")))</x:formula>
    </x:cfRule>
    <x:cfRule type="expression" dxfId="51" priority="19">
      <x:formula>AND(NOT($AY16),AND(BJ16="X",BK16="",BL16=""))</x:formula>
    </x:cfRule>
    <x:cfRule type="expression" dxfId="50" priority="20">
      <x:formula>AND(NOT($AY16),EZ16="ERR")</x:formula>
    </x:cfRule>
  </x:conditionalFormatting>
  <x:conditionalFormatting sqref="BL16:BL45">
    <x:cfRule type="expression" dxfId="49" priority="21">
      <x:formula>AND(NOT($AY16),OR($CU16="M",$CU16="C",AND($CU16="B",$DA16&lt;&gt;"")))</x:formula>
    </x:cfRule>
    <x:cfRule type="expression" dxfId="48" priority="22">
      <x:formula>AND(NOT($AY16),AND(BJ16="X",BK16="",BL16=""))</x:formula>
    </x:cfRule>
    <x:cfRule type="expression" dxfId="47" priority="23">
      <x:formula>AND(NOT($AY16),EZ16="ERR")</x:formula>
    </x:cfRule>
  </x:conditionalFormatting>
  <x:conditionalFormatting sqref="BS16:BS45">
    <x:cfRule type="expression" dxfId="46" priority="24">
      <x:formula>AND(NOT($AY16),OR($DE16="M",$DE16="C",AND($DE16="B",$DK16&lt;&gt;"")))</x:formula>
    </x:cfRule>
    <x:cfRule type="expression" dxfId="45" priority="25">
      <x:formula>AND(NOT($AY16),AND(BR16="X",BS16="",BT16=""))</x:formula>
    </x:cfRule>
    <x:cfRule type="expression" dxfId="44" priority="26">
      <x:formula>AND(NOT($AY16),FC16="ERR")</x:formula>
    </x:cfRule>
  </x:conditionalFormatting>
  <x:conditionalFormatting sqref="BT16:BT45">
    <x:cfRule type="expression" dxfId="43" priority="27">
      <x:formula>AND(NOT($AY16),OR($DE16="M",$DE16="C",AND($DE16="B",$DK16&lt;&gt;"")))</x:formula>
    </x:cfRule>
    <x:cfRule type="expression" dxfId="42" priority="28">
      <x:formula>AND(NOT($AY16),AND(BR16="X",BS16="",BT16=""))</x:formula>
    </x:cfRule>
    <x:cfRule type="expression" dxfId="41" priority="29">
      <x:formula>AND(NOT($AY16),FC16="ERR")</x:formula>
    </x:cfRule>
  </x:conditionalFormatting>
  <x:conditionalFormatting sqref="BP16:BP45">
    <x:cfRule type="expression" dxfId="40" priority="33">
      <x:formula>AND(NOT($AY16),OR($DE16="M",$DE16="C",AND($DE16="B",$DM16&gt;0)))</x:formula>
    </x:cfRule>
    <x:cfRule type="expression" dxfId="39" priority="34">
      <x:formula>AND(NOT($AY16),AND(BP16="",BQ16="",OR($DE16="B",$DE16="G")))</x:formula>
    </x:cfRule>
    <x:cfRule type="expression" dxfId="38" priority="35">
      <x:formula>AND(NOT($AY16),(BP16/2)/COS(RADIANS(BU16))+DF16-EC16&lt;VLOOKUP(AU16,$DF$2:$DJ$9,5,FALSE))</x:formula>
    </x:cfRule>
  </x:conditionalFormatting>
  <x:conditionalFormatting sqref="BQ16:BQ45">
    <x:cfRule type="expression" dxfId="37" priority="36">
      <x:formula>AND(NOT($AY16),OR($DE16="M",$DE16="C",AND($DE16="B",$DM16&gt;0)))</x:formula>
    </x:cfRule>
    <x:cfRule type="expression" dxfId="36" priority="37">
      <x:formula>AND(NOT($AY16),AND(BP16="",BQ16="",OR($DE16="B",$DE16="G")))</x:formula>
    </x:cfRule>
    <x:cfRule type="expression" dxfId="35" priority="38">
      <x:formula>AND(NOT($AY16),(BQ16/2)/COS(RADIANS(BU16))+DF16-EC16&lt;VLOOKUP(AU16,$DF$2:$DJ$9,5,FALSE))</x:formula>
    </x:cfRule>
  </x:conditionalFormatting>
  <x:conditionalFormatting sqref="BJ16:BJ45">
    <x:cfRule type="expression" dxfId="34" priority="44">
      <x:formula>AND(NOT($AY16),OR($CU16="C",AND($CU16="M",$DA16&gt;0)))</x:formula>
    </x:cfRule>
    <x:cfRule type="expression" dxfId="33" priority="45">
      <x:formula>AND(NOT($AY16),OR(NOT(IF(AND(OR(MID($BB16,1,1)="T",($BE16+$BF16/12)/IF(ABS($BW16)&gt;$DQ$1,COS($DO16),1)&gt;=40),OR($CU16="B",$CU16="G")),"X","")="X"),$EZ16="ERR"))</x:formula>
    </x:cfRule>
    <x:cfRule type="expression" dxfId="32" priority="46">
      <x:formula>AND(NOT($AY16),$BJ16&lt;&gt;"X",$BJ16&lt;&gt;IF(AND(OR(MID(BB16,1,1)="T",($BE16+$BF16/12)/IF(ABS($BW16)&gt;$DQ$1,COS($DO16),1)&gt;=40),OR($CU16="B",$CU16="G")),"X",""))</x:formula>
    </x:cfRule>
  </x:conditionalFormatting>
  <x:conditionalFormatting sqref="BR16:BR45">
    <x:cfRule type="expression" dxfId="31" priority="47">
      <x:formula>AND(NOT($AY16),OR($DE16="C",AND($DE16="M",$DK16&gt;0)))</x:formula>
    </x:cfRule>
    <x:cfRule type="expression" dxfId="30" priority="48">
      <x:formula>AND(NOT($AY16),OR(NOT(IF(AND(OR(MID($BB16,1,1)="T",($BE16+$BF16/12)/IF(ABS($BW16)&gt;$DQ$1,COS($DO16),1)&gt;=40),OR($DE16="B",$DE16="G")),"X","")="X"),$FC16="ERR"))</x:formula>
    </x:cfRule>
    <x:cfRule type="expression" dxfId="29" priority="49">
      <x:formula>AND(NOT($AY16),$BR16&lt;&gt;"X",$BR16&lt;&gt;IF(AND(OR(MID(BB16,1,1)="T",($BE16+$BF16/12)/IF(ABS($BW16)&gt;$DQ$1,COS($DO16),1)&gt;=40),OR($DE16="B",$DE16="G")),"X",""))</x:formula>
    </x:cfRule>
  </x:conditionalFormatting>
  <x:conditionalFormatting sqref="A16:B45 BB16:BC45">
    <x:cfRule type="expression" dxfId="28" priority="50">
      <x:formula>AND(NOT($AE$1),$B16=0,$AD$1="M")</x:formula>
    </x:cfRule>
  </x:conditionalFormatting>
  <x:conditionalFormatting sqref="U57">
    <x:cfRule type="expression" dxfId="27" priority="11" stopIfTrue="1">
      <x:formula>AND(NOT($AY57),NOT(AR57))</x:formula>
    </x:cfRule>
  </x:conditionalFormatting>
  <x:conditionalFormatting sqref="W57">
    <x:cfRule type="expression" dxfId="26" priority="13" stopIfTrue="1">
      <x:formula>AND(NOT($AY57),NOT(AT57))</x:formula>
    </x:cfRule>
  </x:conditionalFormatting>
  <x:conditionalFormatting sqref="T57">
    <x:cfRule type="expression" dxfId="25" priority="10" stopIfTrue="1">
      <x:formula>AND(NOT($AY57),NOT(AR57))</x:formula>
    </x:cfRule>
  </x:conditionalFormatting>
  <x:conditionalFormatting sqref="V57">
    <x:cfRule type="expression" dxfId="24" priority="12" stopIfTrue="1">
      <x:formula>AND(NOT($AY57),NOT(AT57))</x:formula>
    </x:cfRule>
  </x:conditionalFormatting>
  <x:conditionalFormatting sqref="C57">
    <x:cfRule type="expression" dxfId="23" priority="8" stopIfTrue="1">
      <x:formula>AND(NOT($AY57),NOT($AP57))</x:formula>
    </x:cfRule>
  </x:conditionalFormatting>
  <x:conditionalFormatting sqref="X57">
    <x:cfRule type="expression" dxfId="22" priority="4">
      <x:formula>$X57=0</x:formula>
    </x:cfRule>
  </x:conditionalFormatting>
  <x:conditionalFormatting sqref="D57:E57">
    <x:cfRule type="expression" dxfId="21" priority="9" stopIfTrue="1">
      <x:formula>AND(NOT($AY57),AND($AZ57,AND($AK57&lt;&gt;"HDR",$AK57&lt;&gt;"JS",$AJ57&gt;=8)))</x:formula>
    </x:cfRule>
  </x:conditionalFormatting>
  <x:conditionalFormatting sqref="A57:AA57">
    <x:cfRule type="expression" dxfId="20" priority="5">
      <x:formula>$AC57</x:formula>
    </x:cfRule>
  </x:conditionalFormatting>
  <x:conditionalFormatting sqref="AA57">
    <x:cfRule type="expression" dxfId="19" priority="6" stopIfTrue="1">
      <x:formula>AND(NOT($AY57),LEN(AA57)&gt;31)</x:formula>
    </x:cfRule>
  </x:conditionalFormatting>
  <x:conditionalFormatting sqref="A57:B57">
    <x:cfRule type="expression" dxfId="18" priority="7">
      <x:formula>AND(NOT($AE$1),$B57=0,$AD$1="M")</x:formula>
    </x:cfRule>
  </x:conditionalFormatting>
  <x:conditionalFormatting sqref="AA16:AA45">
    <x:cfRule type="expression" dxfId="17" priority="2">
      <x:formula>$AC16</x:formula>
    </x:cfRule>
  </x:conditionalFormatting>
  <x:conditionalFormatting sqref="AA16:AA45">
    <x:cfRule type="expression" dxfId="16" priority="3" stopIfTrue="1">
      <x:formula>AND(NOT($AY16),LEN(AA16)&gt;31)</x:formula>
    </x:cfRule>
  </x:conditionalFormatting>
  <x:conditionalFormatting sqref="GA16:GB45">
    <x:cfRule type="expression" dxfId="15" priority="1" stopIfTrue="1">
      <x:formula>GM16&gt;=0.125</x:formula>
    </x:cfRule>
  </x:conditionalFormatting>
  <x:dataValidations count="7">
    <x:dataValidation type="whole" operator="greaterThanOrEqual" allowBlank="1" showInputMessage="1" showErrorMessage="1" sqref="B16:B45 B57">
      <x:formula1>0</x:formula1>
    </x:dataValidation>
    <x:dataValidation type="decimal" operator="greaterThan" allowBlank="1" showInputMessage="1" showErrorMessage="1" errorTitle="Dimensional Error" error="Only positive numeric values can be entered here." sqref="L16:M45 L57:M57">
      <x:formula1>0</x:formula1>
    </x:dataValidation>
    <x:dataValidation type="decimal" operator="notEqual" allowBlank="1" showInputMessage="1" showErrorMessage="1" errorTitle="input Error" error="Enter + or - Numbers Only._x000a_Do NOT use &quot;&lt;&quot; or &quot;&gt;&quot;." sqref="Y16:Z45 Y57:Z57">
      <x:formula1>0</x:formula1>
    </x:dataValidation>
    <x:dataValidation type="decimal" operator="greaterThanOrEqual" allowBlank="1" showInputMessage="1" showErrorMessage="1" errorTitle="Dimensional Error" error="&quot;Inches&quot; must be a number." sqref="BH16:BI45 BK16:BL45 BP16:BQ45 BS16:BT45">
      <x:formula1>0</x:formula1>
    </x:dataValidation>
    <x:dataValidation type="decimal" allowBlank="1" showInputMessage="1" showErrorMessage="1" errorTitle="Dimensional Error" error="&quot;Inches&quot; must be a number from 0 to 11.875." sqref="BF16:BF45 G16:G45 J16:J45 U16:U45 W16:W45 E16:E45 G57 J57 U57 W57 E57">
      <x:formula1>0</x:formula1>
      <x:formula2>11.875</x:formula2>
    </x:dataValidation>
    <x:dataValidation type="whole" operator="greaterThanOrEqual" allowBlank="1" showErrorMessage="1" errorTitle="Dimensional Error" error="&quot;Feet&quot; can only be whole numbers." sqref="D16:D45 F16:F45 I16:I45 T16:T45 V16:V45 BE16:BE45 D57 F57 I57 T57 V57">
      <x:formula1>0</x:formula1>
    </x:dataValidation>
    <x:dataValidation type="list" allowBlank="1" showInputMessage="1" sqref="CC11:CF11 M7:S7">
      <x:formula1>"Std Gray Primer: One Shop Coat,NO Shop Primer,NO Shop Primer - GALV,Std Gray Primer: xx Shop Coats"</x:formula1>
    </x:dataValidation>
  </x:dataValidations>
  <x:printOptions horizontalCentered="1"/>
  <x:pageMargins left="0.3" right="0.3" top="0.5" bottom="0.5" header="0" footer="0.25"/>
  <x:pageSetup pageOrder="overThenDown" orientation="landscape" r:id="rId1"/>
  <x:headerFooter alignWithMargins="0">
    <x:oddFooter>&amp;R&amp;7Printed: &amp;D &amp;T&amp;L&amp;7Version: 18.1019
File: &amp;F</x:oddFooter>
  </x:headerFooter>
  <x:drawing r:id="rId2"/>
  <x:legacyDrawing r:id="rId3"/>
</x: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indexed="41"/>
  </sheetPr>
  <dimension ref="A1:IC301"/>
  <sheetViews>
    <sheetView showGridLines="0" zoomScaleNormal="100" zoomScaleSheetLayoutView="105" workbookViewId="0">
      <selection activeCell="I7" sqref="I7:L7"/>
    </sheetView>
  </sheetViews>
  <sheetFormatPr defaultColWidth="5.7109375" defaultRowHeight="12.6" customHeight="1" x14ac:dyDescent="0.2"/>
  <cols>
    <col min="1" max="1" width="8.7109375" style="2" customWidth="1"/>
    <col min="2" max="2" width="8.7109375" style="2" hidden="1" customWidth="1"/>
    <col min="3" max="3" width="5.7109375" style="2" customWidth="1"/>
    <col min="4" max="6" width="9.7109375" style="2" customWidth="1"/>
    <col min="7" max="12" width="6.7109375" style="2" customWidth="1"/>
    <col min="13" max="15" width="8.7109375" style="2" customWidth="1"/>
    <col min="16" max="16" width="25.42578125" style="2" customWidth="1"/>
    <col min="17" max="17" width="8.7109375" style="2" customWidth="1"/>
    <col min="18" max="18" width="5.7109375" style="2" hidden="1" customWidth="1"/>
    <col min="19" max="20" width="7.7109375" style="2" hidden="1" customWidth="1"/>
    <col min="21" max="25" width="5.7109375" style="2" hidden="1" customWidth="1"/>
    <col min="26" max="26" width="7.85546875" style="2" hidden="1" customWidth="1"/>
    <col min="27" max="28" width="5.7109375" style="2" hidden="1" customWidth="1"/>
    <col min="29" max="30" width="6.7109375" style="2" hidden="1" customWidth="1"/>
    <col min="31" max="31" width="6.140625" style="236" hidden="1" customWidth="1"/>
    <col min="32" max="32" width="8.7109375" style="2" hidden="1" customWidth="1"/>
    <col min="33" max="33" width="5.7109375" style="2"/>
    <col min="34" max="206" width="5.7109375" style="2" hidden="1" customWidth="1"/>
    <col min="207" max="207" width="8.7109375" style="2" customWidth="1"/>
    <col min="208" max="223" width="5.7109375" style="2" hidden="1" customWidth="1"/>
    <col min="224" max="225" width="15.7109375" style="2" hidden="1" customWidth="1"/>
    <col min="226" max="226" width="8.7109375" style="2" customWidth="1"/>
    <col min="227" max="16384" width="5.7109375" style="2"/>
  </cols>
  <sheetData>
    <row r="1" spans="1:237" s="19" customFormat="1" ht="14.45" customHeight="1" thickBot="1" x14ac:dyDescent="0.25">
      <c r="A1" s="444"/>
      <c r="B1" s="444"/>
      <c r="C1" s="444"/>
      <c r="D1" s="444"/>
      <c r="E1" s="443"/>
      <c r="F1" s="443"/>
      <c r="G1" s="443"/>
      <c r="H1" s="443"/>
      <c r="I1" s="557"/>
      <c r="J1" s="2227" t="str">
        <f>IF(R1="","",VLOOKUP(R1,'Job Info.'!X:AA,4,FALSE))</f>
        <v>Master</v>
      </c>
      <c r="K1" s="2227"/>
      <c r="L1" s="2227"/>
      <c r="M1" s="444"/>
      <c r="N1" s="563" t="s">
        <v>96</v>
      </c>
      <c r="O1" s="556"/>
      <c r="P1" s="564" t="str">
        <f ca="1">'Job Info.'!D12</f>
        <v>775-428-0600</v>
      </c>
      <c r="Q1" s="578" t="s">
        <v>766</v>
      </c>
      <c r="R1" s="448" t="str">
        <f>'Job Info.'!Q30</f>
        <v>M</v>
      </c>
      <c r="S1" s="448" t="b">
        <f>'Job Info.'!Q32</f>
        <v>0</v>
      </c>
      <c r="T1" s="975"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5" customHeight="1" thickTop="1" x14ac:dyDescent="0.2">
      <c r="A2" s="444"/>
      <c r="B2" s="444"/>
      <c r="C2" s="444"/>
      <c r="D2" s="444"/>
      <c r="E2" s="454"/>
      <c r="F2" s="454"/>
      <c r="G2" s="454"/>
      <c r="H2" s="454"/>
      <c r="I2" s="557"/>
      <c r="J2" s="2228" t="str">
        <f>IF(R1="","",IF(VLOOKUP(R1,'Job Info.'!X:Z,2,FALSE),"Released for Fabrication",""))</f>
        <v/>
      </c>
      <c r="K2" s="2229"/>
      <c r="L2" s="2230"/>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5" customHeight="1" x14ac:dyDescent="0.2">
      <c r="A3" s="444"/>
      <c r="B3" s="444"/>
      <c r="C3" s="444"/>
      <c r="D3" s="444"/>
      <c r="E3" s="443"/>
      <c r="F3" s="444"/>
      <c r="G3" s="444"/>
      <c r="H3" s="444"/>
      <c r="I3" s="557"/>
      <c r="J3" s="2231"/>
      <c r="K3" s="2232"/>
      <c r="L3" s="2233"/>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5" customHeight="1" thickBot="1" x14ac:dyDescent="0.25">
      <c r="A4" s="444"/>
      <c r="B4" s="444"/>
      <c r="C4" s="444"/>
      <c r="D4" s="444"/>
      <c r="E4" s="444"/>
      <c r="F4" s="444"/>
      <c r="G4" s="444"/>
      <c r="H4" s="444"/>
      <c r="I4" s="557"/>
      <c r="J4" s="2234" t="str">
        <f>IF(R1="","",IF(VLOOKUP(R1,'Job Info.'!X:Z,2,FALSE),VLOOKUP(R1,'Job Info.'!X:Z,3,FALSE),""))</f>
        <v/>
      </c>
      <c r="K4" s="2235"/>
      <c r="L4" s="2236"/>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5" customHeight="1" thickTop="1" x14ac:dyDescent="0.2">
      <c r="A5" s="2450" t="str">
        <f ca="1">'Job Info.'!D11</f>
        <v>8200 Woolery Way | Fallon, NV 89406 | www.newmill.com</v>
      </c>
      <c r="B5" s="2790"/>
      <c r="C5" s="2790"/>
      <c r="D5" s="2790"/>
      <c r="E5" s="2790"/>
      <c r="F5" s="2790"/>
      <c r="G5" s="2890"/>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5" customHeight="1" x14ac:dyDescent="0.2">
      <c r="A6" s="444"/>
      <c r="B6" s="444"/>
      <c r="C6" s="444"/>
      <c r="D6" s="444"/>
      <c r="E6" s="443"/>
      <c r="F6" s="444"/>
      <c r="G6" s="444"/>
      <c r="H6" s="444"/>
      <c r="I6" s="444"/>
      <c r="J6" s="444"/>
      <c r="K6" s="557"/>
      <c r="L6" s="557"/>
      <c r="M6" s="557"/>
      <c r="N6" s="1993" t="s">
        <v>20</v>
      </c>
      <c r="O6" s="2901">
        <f>IF(ISBLANK('Job Info.'!D8),"",'Job Info.'!D8)</f>
        <v>43406</v>
      </c>
      <c r="P6" s="2901"/>
      <c r="R6" s="1392"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5" customHeight="1" x14ac:dyDescent="0.2">
      <c r="A7" s="472" t="s">
        <v>39</v>
      </c>
      <c r="B7" s="473"/>
      <c r="C7" s="473"/>
      <c r="D7" s="473"/>
      <c r="E7" s="473"/>
      <c r="F7" s="473"/>
      <c r="G7" s="558"/>
      <c r="H7" s="1993" t="s">
        <v>26</v>
      </c>
      <c r="I7" s="3057"/>
      <c r="J7" s="3058"/>
      <c r="K7" s="3058"/>
      <c r="L7" s="2430"/>
      <c r="M7" s="557"/>
      <c r="N7" s="1991" t="s">
        <v>21</v>
      </c>
      <c r="O7" s="1992" t="str">
        <f>CONCATENATE(R7, " of ",IF(ISBLANK('Job Info.'!D9),"",'Job Info.'!D9))</f>
        <v xml:space="preserve"> of 42</v>
      </c>
      <c r="P7" s="827"/>
      <c r="R7" s="1393"/>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
      <c r="A8" s="473"/>
      <c r="B8" s="473"/>
      <c r="C8" s="473"/>
      <c r="D8" s="473"/>
      <c r="E8" s="473"/>
      <c r="F8" s="473"/>
      <c r="G8" s="473"/>
      <c r="H8" s="473"/>
      <c r="I8" s="2896" t="str">
        <f>IF(I7="NO PAINT - GALV","GALV. BOLTS","")</f>
        <v/>
      </c>
      <c r="J8" s="2896"/>
      <c r="K8" s="2896"/>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2" customHeight="1" x14ac:dyDescent="0.2">
      <c r="A9" s="1989" t="s">
        <v>1</v>
      </c>
      <c r="B9" s="285"/>
      <c r="C9" s="2225" t="str">
        <f>IF(ISBLANK('Job Info.'!D3),"",'Job Info.'!D3)</f>
        <v>SUNPOINT CROSSING</v>
      </c>
      <c r="D9" s="2225"/>
      <c r="E9" s="2225"/>
      <c r="F9" s="2225"/>
      <c r="G9" s="2891"/>
      <c r="H9" s="559"/>
      <c r="I9" s="1988" t="s">
        <v>2</v>
      </c>
      <c r="J9" s="2225" t="str">
        <f>IF(ISBLANK('Job Info.'!D5),"",'Job Info.'!D5)</f>
        <v>9118-0062</v>
      </c>
      <c r="K9" s="2225"/>
      <c r="L9" s="2225"/>
      <c r="M9" s="2225"/>
      <c r="N9" s="2225"/>
      <c r="O9" s="2225"/>
      <c r="P9" s="2226"/>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2" customHeight="1" x14ac:dyDescent="0.2">
      <c r="A10" s="1989" t="s">
        <v>3</v>
      </c>
      <c r="B10" s="285"/>
      <c r="C10" s="2225" t="str">
        <f>IF(ISBLANK('Job Info.'!D4),"",'Job Info.'!D4)</f>
        <v>LAS VEGAS, NV</v>
      </c>
      <c r="D10" s="2225"/>
      <c r="E10" s="2225"/>
      <c r="F10" s="2225"/>
      <c r="G10" s="2891"/>
      <c r="H10" s="559"/>
      <c r="I10" s="1989" t="s">
        <v>22</v>
      </c>
      <c r="J10" s="2225" t="str">
        <f>IF(ISBLANK('Job Info.'!D6),"",'Job Info.'!D6)</f>
        <v>CJA</v>
      </c>
      <c r="K10" s="2225"/>
      <c r="L10" s="2226"/>
      <c r="M10" s="560"/>
      <c r="N10" s="1988" t="s">
        <v>23</v>
      </c>
      <c r="O10" s="2225" t="str">
        <f>IF(ISBLANK('Job Info.'!D7),"",'Job Info.'!D7)</f>
        <v>LS</v>
      </c>
      <c r="P10" s="2226"/>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
      <c r="A12" s="2894"/>
      <c r="B12" s="2894"/>
      <c r="C12" s="2894"/>
      <c r="D12" s="2894"/>
      <c r="E12" s="2894"/>
      <c r="F12" s="1998"/>
      <c r="G12" s="1995"/>
      <c r="H12" s="27"/>
      <c r="I12" s="27"/>
      <c r="J12" s="27"/>
      <c r="K12" s="27"/>
      <c r="L12" s="28"/>
      <c r="M12" s="2894"/>
      <c r="N12" s="2894"/>
      <c r="O12" s="28"/>
      <c r="P12" s="21"/>
      <c r="GZ12" s="295"/>
      <c r="HY12" s="295"/>
      <c r="HZ12" s="295"/>
      <c r="IA12" s="295"/>
      <c r="IB12" s="295"/>
      <c r="IC12" s="295"/>
    </row>
    <row r="13" spans="1:237" ht="12.6" customHeight="1" x14ac:dyDescent="0.25">
      <c r="A13" s="29"/>
      <c r="B13" s="29"/>
      <c r="C13" s="29"/>
      <c r="D13" s="1998"/>
      <c r="E13" s="1998"/>
      <c r="F13" s="1998"/>
      <c r="G13" s="1998"/>
      <c r="H13" s="1998"/>
      <c r="I13" s="1998"/>
      <c r="J13" s="1998"/>
      <c r="K13" s="1998"/>
      <c r="L13" s="28"/>
      <c r="M13" s="28"/>
      <c r="N13" s="28"/>
      <c r="O13" s="28"/>
      <c r="P13" s="21"/>
      <c r="GZ13" s="295"/>
      <c r="HY13" s="295"/>
      <c r="HZ13" s="295"/>
      <c r="IA13" s="295"/>
      <c r="IB13" s="295"/>
      <c r="IC13" s="295"/>
    </row>
    <row r="14" spans="1:237" ht="12.6" customHeight="1" x14ac:dyDescent="0.25">
      <c r="A14" s="28"/>
      <c r="B14" s="29"/>
      <c r="C14" s="29"/>
      <c r="D14" s="1998"/>
      <c r="E14" s="1998"/>
      <c r="F14" s="1998"/>
      <c r="G14" s="1998"/>
      <c r="H14" s="1998"/>
      <c r="I14" s="1998"/>
      <c r="J14" s="1998"/>
      <c r="K14" s="1998"/>
      <c r="L14" s="28"/>
      <c r="M14" s="28"/>
      <c r="N14" s="28"/>
      <c r="O14" s="28"/>
      <c r="P14" s="21"/>
      <c r="GZ14" s="295"/>
      <c r="IC14" s="295"/>
    </row>
    <row r="15" spans="1:237" ht="12.6" customHeight="1" x14ac:dyDescent="0.25">
      <c r="A15" s="29"/>
      <c r="B15" s="29"/>
      <c r="C15" s="29"/>
      <c r="D15" s="28"/>
      <c r="E15" s="1998"/>
      <c r="F15" s="1998"/>
      <c r="G15" s="1998"/>
      <c r="H15" s="1998"/>
      <c r="I15" s="1998"/>
      <c r="J15" s="1998"/>
      <c r="K15" s="1998"/>
      <c r="L15" s="28"/>
      <c r="M15" s="28"/>
      <c r="N15" s="28"/>
      <c r="O15" s="28"/>
      <c r="P15" s="21"/>
      <c r="GZ15" s="295"/>
      <c r="IC15" s="295"/>
    </row>
    <row r="16" spans="1:237" ht="12.6" customHeight="1" x14ac:dyDescent="0.25">
      <c r="A16" s="29"/>
      <c r="B16" s="29"/>
      <c r="C16" s="29"/>
      <c r="D16" s="1998"/>
      <c r="E16" s="1998"/>
      <c r="F16" s="1998"/>
      <c r="G16" s="1998"/>
      <c r="H16" s="1998"/>
      <c r="I16" s="1998"/>
      <c r="J16" s="1998"/>
      <c r="K16" s="1998"/>
      <c r="L16" s="28"/>
      <c r="M16" s="28"/>
      <c r="N16" s="28"/>
      <c r="O16" s="28"/>
      <c r="P16" s="21"/>
      <c r="GZ16" s="295"/>
      <c r="IC16" s="295"/>
    </row>
    <row r="17" spans="1:225" ht="12.6" customHeight="1" x14ac:dyDescent="0.25">
      <c r="A17" s="29"/>
      <c r="B17" s="29"/>
      <c r="C17" s="29"/>
      <c r="D17" s="28"/>
      <c r="E17" s="28"/>
      <c r="F17" s="1998"/>
      <c r="G17" s="1998"/>
      <c r="H17" s="1998"/>
      <c r="I17" s="1998"/>
      <c r="J17" s="1998"/>
      <c r="K17" s="1998"/>
      <c r="L17" s="28"/>
      <c r="M17" s="28"/>
      <c r="N17" s="28"/>
      <c r="O17" s="28"/>
      <c r="P17" s="21"/>
    </row>
    <row r="18" spans="1:225" ht="12.6" customHeight="1" x14ac:dyDescent="0.25">
      <c r="A18" s="29"/>
      <c r="B18" s="29"/>
      <c r="C18" s="29"/>
      <c r="D18" s="2895"/>
      <c r="E18" s="2895"/>
      <c r="F18" s="28"/>
      <c r="G18" s="1998"/>
      <c r="H18" s="1998"/>
      <c r="I18" s="1998"/>
      <c r="J18" s="1998"/>
      <c r="K18" s="1998"/>
      <c r="L18" s="28"/>
      <c r="M18" s="28"/>
      <c r="N18" s="28"/>
      <c r="O18" s="28"/>
      <c r="P18" s="21"/>
    </row>
    <row r="19" spans="1:225" ht="12.6" customHeight="1" x14ac:dyDescent="0.2">
      <c r="A19" s="28"/>
      <c r="B19" s="28"/>
      <c r="C19" s="28"/>
      <c r="D19" s="28"/>
      <c r="E19" s="28"/>
      <c r="F19" s="1998"/>
      <c r="G19" s="28"/>
      <c r="H19" s="28"/>
      <c r="I19" s="28"/>
      <c r="J19" s="28"/>
      <c r="K19" s="28"/>
      <c r="L19" s="28"/>
      <c r="M19" s="28"/>
      <c r="N19" s="28"/>
      <c r="O19" s="28"/>
      <c r="P19" s="21"/>
    </row>
    <row r="20" spans="1:225" ht="12.6" customHeight="1" x14ac:dyDescent="0.2">
      <c r="A20" s="28"/>
      <c r="B20" s="28"/>
      <c r="C20" s="28"/>
      <c r="D20" s="28"/>
      <c r="E20" s="28"/>
      <c r="F20" s="1998"/>
      <c r="G20" s="28"/>
      <c r="H20" s="28"/>
      <c r="I20" s="28"/>
      <c r="J20" s="28"/>
      <c r="K20" s="28"/>
      <c r="L20" s="28"/>
      <c r="M20" s="28"/>
      <c r="N20" s="28"/>
      <c r="O20" s="28"/>
      <c r="P20" s="21"/>
    </row>
    <row r="21" spans="1:225" ht="12.6" customHeight="1" x14ac:dyDescent="0.2">
      <c r="A21" s="2893"/>
      <c r="B21" s="2893"/>
      <c r="C21" s="2893"/>
      <c r="D21" s="1997"/>
      <c r="E21" s="32"/>
      <c r="F21" s="33"/>
      <c r="G21" s="32"/>
      <c r="H21" s="32"/>
      <c r="I21" s="32"/>
      <c r="J21" s="32"/>
      <c r="K21" s="32"/>
      <c r="L21" s="32"/>
      <c r="M21" s="32"/>
      <c r="N21" s="32"/>
      <c r="O21" s="32"/>
      <c r="P21" s="21"/>
    </row>
    <row r="22" spans="1:225" ht="12.6" customHeight="1" thickBot="1" x14ac:dyDescent="0.25">
      <c r="A22" s="2892"/>
      <c r="B22" s="2892"/>
      <c r="C22" s="2892"/>
      <c r="D22" s="1996"/>
      <c r="E22" s="32"/>
      <c r="F22" s="32"/>
      <c r="G22" s="1996"/>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
      <c r="A23" s="2892"/>
      <c r="B23" s="2892"/>
      <c r="C23" s="2892"/>
      <c r="D23" s="1996"/>
      <c r="E23" s="32"/>
      <c r="F23" s="32"/>
      <c r="G23" s="1996"/>
      <c r="H23" s="32"/>
      <c r="I23" s="32"/>
      <c r="J23" s="32"/>
      <c r="K23" s="32"/>
      <c r="L23" s="32"/>
      <c r="M23" s="32"/>
      <c r="N23" s="32"/>
      <c r="O23" s="32"/>
      <c r="P23" s="21"/>
      <c r="HA23" s="2869" t="s">
        <v>661</v>
      </c>
      <c r="HB23" s="2565"/>
      <c r="HC23" s="2565"/>
      <c r="HD23" s="2565"/>
      <c r="HE23" s="2565"/>
      <c r="HF23" s="2565"/>
      <c r="HG23" s="2565"/>
      <c r="HH23" s="2565"/>
      <c r="HI23" s="2565"/>
      <c r="HJ23" s="2565"/>
      <c r="HK23" s="2565"/>
      <c r="HL23" s="2565"/>
      <c r="HM23" s="2565"/>
      <c r="HN23" s="2565"/>
      <c r="HO23" s="2565"/>
      <c r="HP23" s="2566"/>
    </row>
    <row r="24" spans="1:225" ht="12.6" customHeight="1" thickBot="1" x14ac:dyDescent="0.3">
      <c r="A24" s="1435"/>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570"/>
      <c r="HB24" s="2571"/>
      <c r="HC24" s="2571"/>
      <c r="HD24" s="2571"/>
      <c r="HE24" s="2571"/>
      <c r="HF24" s="2571"/>
      <c r="HG24" s="2571"/>
      <c r="HH24" s="2571"/>
      <c r="HI24" s="2571"/>
      <c r="HJ24" s="2571"/>
      <c r="HK24" s="2571"/>
      <c r="HL24" s="2571"/>
      <c r="HM24" s="2571"/>
      <c r="HN24" s="2571"/>
      <c r="HO24" s="2571"/>
      <c r="HP24" s="2572"/>
    </row>
    <row r="25" spans="1:225" s="26" customFormat="1" ht="12.6" customHeight="1" thickTop="1" thickBot="1" x14ac:dyDescent="0.25">
      <c r="A25" s="2881" t="s">
        <v>40</v>
      </c>
      <c r="B25" s="2882"/>
      <c r="C25" s="2885" t="s">
        <v>131</v>
      </c>
      <c r="D25" s="2345" t="s">
        <v>714</v>
      </c>
      <c r="E25" s="2453" t="s">
        <v>715</v>
      </c>
      <c r="F25" s="2878" t="s">
        <v>36</v>
      </c>
      <c r="G25" s="2795" t="s">
        <v>80</v>
      </c>
      <c r="H25" s="2792"/>
      <c r="I25" s="2880" t="s">
        <v>716</v>
      </c>
      <c r="J25" s="2792"/>
      <c r="K25" s="2453" t="s">
        <v>108</v>
      </c>
      <c r="L25" s="2900"/>
      <c r="M25" s="2897" t="s">
        <v>109</v>
      </c>
      <c r="N25" s="2885" t="s">
        <v>110</v>
      </c>
      <c r="O25" s="2878" t="s">
        <v>111</v>
      </c>
      <c r="P25" s="1373" t="s">
        <v>717</v>
      </c>
      <c r="R25" s="1999"/>
      <c r="S25" s="1999"/>
      <c r="T25" s="1999"/>
      <c r="U25" s="1999">
        <f>COUNTA(U27:U300)</f>
        <v>13</v>
      </c>
      <c r="V25" s="2904" t="s">
        <v>839</v>
      </c>
      <c r="W25" s="1999">
        <f>COUNTA(W27:W300)</f>
        <v>9</v>
      </c>
      <c r="X25" s="2902" t="s">
        <v>989</v>
      </c>
      <c r="Y25" s="2903"/>
      <c r="Z25" s="2903"/>
      <c r="AA25" s="2903"/>
      <c r="AB25" s="1999"/>
      <c r="AC25" s="2888" t="s">
        <v>1185</v>
      </c>
      <c r="AD25" s="2889"/>
      <c r="AE25" s="1999">
        <f>COUNTA(AE27:AE300)</f>
        <v>166</v>
      </c>
      <c r="HA25" s="2870" t="s">
        <v>673</v>
      </c>
      <c r="HB25" s="2872" t="s">
        <v>1196</v>
      </c>
      <c r="HC25" s="2872" t="s">
        <v>1182</v>
      </c>
      <c r="HD25" s="2867" t="s">
        <v>1192</v>
      </c>
      <c r="HE25" s="2867" t="s">
        <v>701</v>
      </c>
      <c r="HF25" s="2874" t="s">
        <v>718</v>
      </c>
      <c r="HG25" s="2874" t="s">
        <v>1197</v>
      </c>
      <c r="HH25" s="2874" t="s">
        <v>1198</v>
      </c>
      <c r="HI25" s="2874" t="s">
        <v>1199</v>
      </c>
      <c r="HJ25" s="2874" t="s">
        <v>1200</v>
      </c>
      <c r="HK25" s="2874" t="s">
        <v>1201</v>
      </c>
      <c r="HL25" s="2874" t="s">
        <v>1202</v>
      </c>
      <c r="HM25" s="2874" t="s">
        <v>1193</v>
      </c>
      <c r="HN25" s="2867" t="s">
        <v>1194</v>
      </c>
      <c r="HO25" s="2867" t="s">
        <v>1195</v>
      </c>
      <c r="HP25" s="2876" t="s">
        <v>517</v>
      </c>
    </row>
    <row r="26" spans="1:225" s="26" customFormat="1" ht="12.6" customHeight="1" thickTop="1" thickBot="1" x14ac:dyDescent="0.25">
      <c r="A26" s="2883"/>
      <c r="B26" s="2884"/>
      <c r="C26" s="2886"/>
      <c r="D26" s="2346"/>
      <c r="E26" s="2454"/>
      <c r="F26" s="2887"/>
      <c r="G26" s="1990" t="s">
        <v>673</v>
      </c>
      <c r="H26" s="1372" t="s">
        <v>172</v>
      </c>
      <c r="I26" s="1379" t="s">
        <v>673</v>
      </c>
      <c r="J26" s="1994" t="s">
        <v>172</v>
      </c>
      <c r="K26" s="2883"/>
      <c r="L26" s="2879"/>
      <c r="M26" s="2341"/>
      <c r="N26" s="2884"/>
      <c r="O26" s="2879"/>
      <c r="P26" s="1374" t="s">
        <v>58</v>
      </c>
      <c r="Q26" s="1223" t="s">
        <v>1147</v>
      </c>
      <c r="R26" s="442" t="s">
        <v>171</v>
      </c>
      <c r="S26" s="442" t="s">
        <v>830</v>
      </c>
      <c r="T26" s="442" t="s">
        <v>1184</v>
      </c>
      <c r="U26" s="1999" t="s">
        <v>836</v>
      </c>
      <c r="V26" s="2905"/>
      <c r="W26" s="1999" t="s">
        <v>701</v>
      </c>
      <c r="X26" s="1999" t="s">
        <v>702</v>
      </c>
      <c r="Y26" s="1999" t="s">
        <v>703</v>
      </c>
      <c r="Z26" s="1999" t="s">
        <v>704</v>
      </c>
      <c r="AA26" s="1999" t="s">
        <v>705</v>
      </c>
      <c r="AB26" s="1999" t="s">
        <v>718</v>
      </c>
      <c r="AC26" s="1999" t="s">
        <v>1186</v>
      </c>
      <c r="AD26" s="1999" t="s">
        <v>1187</v>
      </c>
      <c r="AE26" s="1999" t="s">
        <v>861</v>
      </c>
      <c r="AF26" s="1999" t="s">
        <v>1183</v>
      </c>
      <c r="HA26" s="2871"/>
      <c r="HB26" s="2873"/>
      <c r="HC26" s="2873"/>
      <c r="HD26" s="2868"/>
      <c r="HE26" s="2868"/>
      <c r="HF26" s="2875"/>
      <c r="HG26" s="2875"/>
      <c r="HH26" s="2875"/>
      <c r="HI26" s="2875"/>
      <c r="HJ26" s="2875"/>
      <c r="HK26" s="2875"/>
      <c r="HL26" s="2875"/>
      <c r="HM26" s="2875"/>
      <c r="HN26" s="2868"/>
      <c r="HO26" s="2868"/>
      <c r="HP26" s="2877"/>
    </row>
    <row r="27" spans="1:225" ht="12.6" customHeight="1" thickTop="1" x14ac:dyDescent="0.25">
      <c r="A27" s="2170" t="s">
        <v>2293</v>
      </c>
      <c r="B27" s="1265"/>
      <c r="C27" s="1265">
        <v>3210</v>
      </c>
      <c r="D27" s="2171">
        <v>2012</v>
      </c>
      <c r="E27" s="2170" t="s">
        <v>699</v>
      </c>
      <c r="F27" s="2172"/>
      <c r="G27" s="1264"/>
      <c r="H27" s="2173"/>
      <c r="I27" s="2174"/>
      <c r="J27" s="2175"/>
      <c r="K27" s="2176"/>
      <c r="L27" s="2177"/>
      <c r="M27" s="2178"/>
      <c r="N27" s="2179"/>
      <c r="O27" s="2180"/>
      <c r="P27" s="2181"/>
      <c r="Q27" s="1224" t="b">
        <v>0</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46">
        <v>1.66</v>
      </c>
      <c r="AD27" s="1446">
        <v>2.38</v>
      </c>
      <c r="AE27" s="775" t="s">
        <v>852</v>
      </c>
      <c r="AF27" s="1447">
        <v>1.1563000000000001</v>
      </c>
      <c r="HA27" s="1475"/>
      <c r="HB27" s="1476"/>
      <c r="HC27" s="1476"/>
      <c r="HD27" s="1481"/>
      <c r="HE27" s="1482"/>
      <c r="HF27" s="1476"/>
      <c r="HG27" s="1476"/>
      <c r="HH27" s="1476"/>
      <c r="HI27" s="1483"/>
      <c r="HJ27" s="1476"/>
      <c r="HK27" s="1476"/>
      <c r="HL27" s="1476"/>
      <c r="HM27" s="1476"/>
      <c r="HN27" s="1476"/>
      <c r="HO27" s="1476"/>
      <c r="HP27" s="1484"/>
      <c r="HQ27" s="1523"/>
    </row>
    <row r="28" spans="1:225" ht="12.6" customHeight="1" x14ac:dyDescent="0.25">
      <c r="A28" s="2170" t="s">
        <v>2294</v>
      </c>
      <c r="B28" s="1265"/>
      <c r="C28" s="1265">
        <v>4855</v>
      </c>
      <c r="D28" s="2171">
        <v>2012</v>
      </c>
      <c r="E28" s="2170" t="s">
        <v>699</v>
      </c>
      <c r="F28" s="2172"/>
      <c r="G28" s="1264"/>
      <c r="H28" s="2173"/>
      <c r="I28" s="2174"/>
      <c r="J28" s="2175"/>
      <c r="K28" s="2176"/>
      <c r="L28" s="2177"/>
      <c r="M28" s="2178"/>
      <c r="N28" s="2179"/>
      <c r="O28" s="2180"/>
      <c r="P28" s="2181"/>
      <c r="Q28" s="1224"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46">
        <v>2.2200000000000002</v>
      </c>
      <c r="AD28" s="1446">
        <v>3.1</v>
      </c>
      <c r="AE28" s="775" t="s">
        <v>853</v>
      </c>
      <c r="AF28" s="1447">
        <v>1.1563000000000001</v>
      </c>
      <c r="HA28" s="1477"/>
      <c r="HB28" s="1478"/>
      <c r="HC28" s="1478"/>
      <c r="HD28" s="1485"/>
      <c r="HE28" s="1486"/>
      <c r="HF28" s="1478"/>
      <c r="HG28" s="1478"/>
      <c r="HH28" s="1478"/>
      <c r="HI28" s="1487"/>
      <c r="HJ28" s="1478"/>
      <c r="HK28" s="1478"/>
      <c r="HL28" s="1478"/>
      <c r="HM28" s="1478"/>
      <c r="HN28" s="1478"/>
      <c r="HO28" s="1478"/>
      <c r="HP28" s="1488"/>
      <c r="HQ28" s="1523"/>
    </row>
    <row r="29" spans="1:225" ht="12.6" customHeight="1" x14ac:dyDescent="0.25">
      <c r="A29" s="1264"/>
      <c r="B29" s="1265"/>
      <c r="C29" s="1265"/>
      <c r="D29" s="2182"/>
      <c r="E29" s="1264"/>
      <c r="F29" s="2172"/>
      <c r="G29" s="1264"/>
      <c r="H29" s="2173"/>
      <c r="I29" s="2174"/>
      <c r="J29" s="2175"/>
      <c r="K29" s="2176"/>
      <c r="L29" s="2177"/>
      <c r="M29" s="2178"/>
      <c r="N29" s="2179"/>
      <c r="O29" s="2180"/>
      <c r="P29" s="2181"/>
      <c r="Q29" s="1224"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46">
        <v>2.2200000000000002</v>
      </c>
      <c r="AD29" s="1446">
        <v>3.1</v>
      </c>
      <c r="AE29" s="775" t="s">
        <v>854</v>
      </c>
      <c r="AF29" s="1447">
        <v>1.109</v>
      </c>
      <c r="HA29" s="1477"/>
      <c r="HB29" s="1478"/>
      <c r="HC29" s="1478"/>
      <c r="HD29" s="1485"/>
      <c r="HE29" s="1486"/>
      <c r="HF29" s="1478"/>
      <c r="HG29" s="1478"/>
      <c r="HH29" s="1478"/>
      <c r="HI29" s="1487"/>
      <c r="HJ29" s="1478"/>
      <c r="HK29" s="1478"/>
      <c r="HL29" s="1478"/>
      <c r="HM29" s="1478"/>
      <c r="HN29" s="1478"/>
      <c r="HO29" s="1478"/>
      <c r="HP29" s="1488"/>
      <c r="HQ29" s="1523"/>
    </row>
    <row r="30" spans="1:225" ht="12.6" customHeight="1" x14ac:dyDescent="0.25">
      <c r="A30" s="1264"/>
      <c r="B30" s="1265"/>
      <c r="C30" s="1265"/>
      <c r="D30" s="2182"/>
      <c r="E30" s="1264"/>
      <c r="F30" s="2172"/>
      <c r="G30" s="1264"/>
      <c r="H30" s="2173"/>
      <c r="I30" s="2174"/>
      <c r="J30" s="2175"/>
      <c r="K30" s="2176"/>
      <c r="L30" s="2177"/>
      <c r="M30" s="2178"/>
      <c r="N30" s="2179"/>
      <c r="O30" s="2180"/>
      <c r="P30" s="2181"/>
      <c r="Q30" s="1224"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46">
        <v>1.75</v>
      </c>
      <c r="AD30" s="1446">
        <v>3</v>
      </c>
      <c r="AE30" s="775" t="s">
        <v>855</v>
      </c>
      <c r="AF30" s="1447">
        <v>1.125</v>
      </c>
      <c r="HA30" s="1477"/>
      <c r="HB30" s="1478"/>
      <c r="HC30" s="1478"/>
      <c r="HD30" s="1485"/>
      <c r="HE30" s="1486"/>
      <c r="HF30" s="1478"/>
      <c r="HG30" s="1478"/>
      <c r="HH30" s="1478"/>
      <c r="HI30" s="1487"/>
      <c r="HJ30" s="1478"/>
      <c r="HK30" s="1478"/>
      <c r="HL30" s="1478"/>
      <c r="HM30" s="1478"/>
      <c r="HN30" s="1478"/>
      <c r="HO30" s="1478"/>
      <c r="HP30" s="1488"/>
      <c r="HQ30" s="1523"/>
    </row>
    <row r="31" spans="1:225" ht="12.6" customHeight="1" x14ac:dyDescent="0.25">
      <c r="A31" s="1264"/>
      <c r="B31" s="1265"/>
      <c r="C31" s="1265"/>
      <c r="D31" s="2182"/>
      <c r="E31" s="1264"/>
      <c r="F31" s="2172"/>
      <c r="G31" s="1264"/>
      <c r="H31" s="2173"/>
      <c r="I31" s="2174"/>
      <c r="J31" s="2175"/>
      <c r="K31" s="2176"/>
      <c r="L31" s="2177"/>
      <c r="M31" s="2178"/>
      <c r="N31" s="2179"/>
      <c r="O31" s="2180"/>
      <c r="P31" s="2181"/>
      <c r="Q31" s="1224" t="b">
        <v>0</v>
      </c>
      <c r="R31" s="561" t="b">
        <v>0</v>
      </c>
      <c r="S31" s="554" t="b">
        <f t="shared" si="1"/>
        <v>0</v>
      </c>
      <c r="T31" s="554" t="b">
        <f t="shared" si="2"/>
        <v>0</v>
      </c>
      <c r="U31" s="775" t="s">
        <v>852</v>
      </c>
      <c r="V31" s="475"/>
      <c r="W31" s="475" t="s">
        <v>769</v>
      </c>
      <c r="X31" s="475" t="b">
        <v>1</v>
      </c>
      <c r="Y31" s="475" t="b">
        <v>1</v>
      </c>
      <c r="Z31" s="475" t="b">
        <v>0</v>
      </c>
      <c r="AA31" s="475" t="b">
        <v>1</v>
      </c>
      <c r="AB31" s="475" t="s">
        <v>712</v>
      </c>
      <c r="AC31" s="1446">
        <v>1.75</v>
      </c>
      <c r="AD31" s="1446">
        <v>3</v>
      </c>
      <c r="AE31" s="775" t="s">
        <v>856</v>
      </c>
      <c r="AF31" s="1447">
        <v>1.119</v>
      </c>
      <c r="HA31" s="1477"/>
      <c r="HB31" s="1478"/>
      <c r="HC31" s="1478"/>
      <c r="HD31" s="1485"/>
      <c r="HE31" s="1486"/>
      <c r="HF31" s="1478"/>
      <c r="HG31" s="1478"/>
      <c r="HH31" s="1478"/>
      <c r="HI31" s="1487"/>
      <c r="HJ31" s="1478"/>
      <c r="HK31" s="1478"/>
      <c r="HL31" s="1478"/>
      <c r="HM31" s="1478"/>
      <c r="HN31" s="1478"/>
      <c r="HO31" s="1478"/>
      <c r="HP31" s="1488"/>
      <c r="HQ31" s="1523"/>
    </row>
    <row r="32" spans="1:225" ht="12.6" customHeight="1" x14ac:dyDescent="0.25">
      <c r="A32" s="1264"/>
      <c r="B32" s="1265"/>
      <c r="C32" s="1265"/>
      <c r="D32" s="2182"/>
      <c r="E32" s="1264"/>
      <c r="F32" s="2172"/>
      <c r="G32" s="1264"/>
      <c r="H32" s="2173"/>
      <c r="I32" s="2174"/>
      <c r="J32" s="2175"/>
      <c r="K32" s="2176"/>
      <c r="L32" s="2177"/>
      <c r="M32" s="2178"/>
      <c r="N32" s="2179"/>
      <c r="O32" s="2180"/>
      <c r="P32" s="2181"/>
      <c r="Q32" s="1224" t="b">
        <v>0</v>
      </c>
      <c r="R32" s="561" t="b">
        <v>0</v>
      </c>
      <c r="S32" s="554" t="b">
        <f t="shared" si="1"/>
        <v>0</v>
      </c>
      <c r="T32" s="554" t="b">
        <f t="shared" si="2"/>
        <v>0</v>
      </c>
      <c r="U32" s="775" t="s">
        <v>853</v>
      </c>
      <c r="V32" s="475"/>
      <c r="W32" s="475" t="s">
        <v>770</v>
      </c>
      <c r="X32" s="475" t="b">
        <v>1</v>
      </c>
      <c r="Y32" s="475" t="b">
        <v>1</v>
      </c>
      <c r="Z32" s="475" t="b">
        <v>1</v>
      </c>
      <c r="AA32" s="475" t="b">
        <v>1</v>
      </c>
      <c r="AB32" s="475" t="s">
        <v>713</v>
      </c>
      <c r="AC32" s="1446">
        <v>1.75</v>
      </c>
      <c r="AD32" s="1446">
        <v>3</v>
      </c>
      <c r="AE32" s="775" t="s">
        <v>862</v>
      </c>
      <c r="AF32" s="1447">
        <v>1.375</v>
      </c>
      <c r="HA32" s="1477"/>
      <c r="HB32" s="1478"/>
      <c r="HC32" s="1478"/>
      <c r="HD32" s="1485"/>
      <c r="HE32" s="1486"/>
      <c r="HF32" s="1478"/>
      <c r="HG32" s="1478"/>
      <c r="HH32" s="1478"/>
      <c r="HI32" s="1487"/>
      <c r="HJ32" s="1478"/>
      <c r="HK32" s="1478"/>
      <c r="HL32" s="1478"/>
      <c r="HM32" s="1478"/>
      <c r="HN32" s="1478"/>
      <c r="HO32" s="1478"/>
      <c r="HP32" s="1488"/>
      <c r="HQ32" s="1523"/>
    </row>
    <row r="33" spans="1:225" ht="12.6" customHeight="1" x14ac:dyDescent="0.25">
      <c r="A33" s="1264"/>
      <c r="B33" s="1265"/>
      <c r="C33" s="1265"/>
      <c r="D33" s="2182"/>
      <c r="E33" s="1264"/>
      <c r="F33" s="2172"/>
      <c r="G33" s="1264"/>
      <c r="H33" s="2173"/>
      <c r="I33" s="2174"/>
      <c r="J33" s="2175"/>
      <c r="K33" s="2176"/>
      <c r="L33" s="2177"/>
      <c r="M33" s="2178"/>
      <c r="N33" s="2179"/>
      <c r="O33" s="2180"/>
      <c r="P33" s="2181"/>
      <c r="Q33" s="1224"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47">
        <v>0</v>
      </c>
      <c r="AD33" s="1447">
        <v>0</v>
      </c>
      <c r="AE33" s="775" t="s">
        <v>863</v>
      </c>
      <c r="AF33" s="1447">
        <v>1.375</v>
      </c>
      <c r="HA33" s="1477"/>
      <c r="HB33" s="1478"/>
      <c r="HC33" s="1478"/>
      <c r="HD33" s="1485"/>
      <c r="HE33" s="1486"/>
      <c r="HF33" s="1478"/>
      <c r="HG33" s="1478"/>
      <c r="HH33" s="1478"/>
      <c r="HI33" s="1487"/>
      <c r="HJ33" s="1478"/>
      <c r="HK33" s="1478"/>
      <c r="HL33" s="1478"/>
      <c r="HM33" s="1478"/>
      <c r="HN33" s="1478"/>
      <c r="HO33" s="1478"/>
      <c r="HP33" s="1488"/>
      <c r="HQ33" s="1523"/>
    </row>
    <row r="34" spans="1:225" ht="12.6" customHeight="1" x14ac:dyDescent="0.25">
      <c r="A34" s="1264"/>
      <c r="B34" s="1265"/>
      <c r="C34" s="1265"/>
      <c r="D34" s="2182"/>
      <c r="E34" s="1264"/>
      <c r="F34" s="2172"/>
      <c r="G34" s="1264"/>
      <c r="H34" s="2173"/>
      <c r="I34" s="2174"/>
      <c r="J34" s="2175"/>
      <c r="K34" s="2176"/>
      <c r="L34" s="2177"/>
      <c r="M34" s="2178"/>
      <c r="N34" s="2179"/>
      <c r="O34" s="2180"/>
      <c r="P34" s="2181"/>
      <c r="Q34" s="1224"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47">
        <v>0</v>
      </c>
      <c r="AD34" s="1447">
        <v>0</v>
      </c>
      <c r="AE34" s="775" t="s">
        <v>864</v>
      </c>
      <c r="AF34" s="1447">
        <v>1.4375</v>
      </c>
      <c r="HA34" s="1477"/>
      <c r="HB34" s="1478"/>
      <c r="HC34" s="1478"/>
      <c r="HD34" s="1485"/>
      <c r="HE34" s="1486"/>
      <c r="HF34" s="1478"/>
      <c r="HG34" s="1478"/>
      <c r="HH34" s="1478"/>
      <c r="HI34" s="1487"/>
      <c r="HJ34" s="1478"/>
      <c r="HK34" s="1478"/>
      <c r="HL34" s="1478"/>
      <c r="HM34" s="1478"/>
      <c r="HN34" s="1478"/>
      <c r="HO34" s="1478"/>
      <c r="HP34" s="1488"/>
      <c r="HQ34" s="1523"/>
    </row>
    <row r="35" spans="1:225" ht="12.6" customHeight="1" x14ac:dyDescent="0.25">
      <c r="A35" s="1264"/>
      <c r="B35" s="1265"/>
      <c r="C35" s="1265"/>
      <c r="D35" s="2182"/>
      <c r="E35" s="1264"/>
      <c r="F35" s="2172"/>
      <c r="G35" s="1264"/>
      <c r="H35" s="2173"/>
      <c r="I35" s="2174"/>
      <c r="J35" s="2175"/>
      <c r="K35" s="2176"/>
      <c r="L35" s="2177"/>
      <c r="M35" s="2178"/>
      <c r="N35" s="2179"/>
      <c r="O35" s="2180"/>
      <c r="P35" s="2181"/>
      <c r="Q35" s="1224"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47">
        <v>1.375</v>
      </c>
      <c r="HA35" s="1477"/>
      <c r="HB35" s="1478"/>
      <c r="HC35" s="1478"/>
      <c r="HD35" s="1485"/>
      <c r="HE35" s="1486"/>
      <c r="HF35" s="1478"/>
      <c r="HG35" s="1478"/>
      <c r="HH35" s="1478"/>
      <c r="HI35" s="1487"/>
      <c r="HJ35" s="1478"/>
      <c r="HK35" s="1478"/>
      <c r="HL35" s="1478"/>
      <c r="HM35" s="1478"/>
      <c r="HN35" s="1478"/>
      <c r="HO35" s="1478"/>
      <c r="HP35" s="1488"/>
      <c r="HQ35" s="1523"/>
    </row>
    <row r="36" spans="1:225" ht="12.6" customHeight="1" x14ac:dyDescent="0.25">
      <c r="A36" s="1264"/>
      <c r="B36" s="1265"/>
      <c r="C36" s="1265"/>
      <c r="D36" s="2182"/>
      <c r="E36" s="1264"/>
      <c r="F36" s="2172"/>
      <c r="G36" s="1264"/>
      <c r="H36" s="2173"/>
      <c r="I36" s="2174"/>
      <c r="J36" s="2175"/>
      <c r="K36" s="2176"/>
      <c r="L36" s="2177"/>
      <c r="M36" s="2178"/>
      <c r="N36" s="2179"/>
      <c r="O36" s="2180"/>
      <c r="P36" s="2181"/>
      <c r="Q36" s="1224" t="b">
        <v>0</v>
      </c>
      <c r="R36" s="561" t="b">
        <v>0</v>
      </c>
      <c r="S36" s="554" t="b">
        <f t="shared" si="1"/>
        <v>0</v>
      </c>
      <c r="T36" s="554" t="b">
        <f t="shared" si="2"/>
        <v>0</v>
      </c>
      <c r="U36" s="775" t="s">
        <v>857</v>
      </c>
      <c r="V36" s="475"/>
      <c r="W36" s="475"/>
      <c r="X36" s="475"/>
      <c r="Y36" s="475"/>
      <c r="Z36" s="475"/>
      <c r="AA36" s="475"/>
      <c r="AB36" s="475"/>
      <c r="AC36" s="475"/>
      <c r="AD36" s="475"/>
      <c r="AE36" s="775" t="s">
        <v>866</v>
      </c>
      <c r="AF36" s="1447">
        <v>1.5</v>
      </c>
      <c r="HA36" s="1477"/>
      <c r="HB36" s="1478"/>
      <c r="HC36" s="1478"/>
      <c r="HD36" s="1485"/>
      <c r="HE36" s="1486"/>
      <c r="HF36" s="1478"/>
      <c r="HG36" s="1478"/>
      <c r="HH36" s="1478"/>
      <c r="HI36" s="1487"/>
      <c r="HJ36" s="1478"/>
      <c r="HK36" s="1478"/>
      <c r="HL36" s="1478"/>
      <c r="HM36" s="1478"/>
      <c r="HN36" s="1478"/>
      <c r="HO36" s="1478"/>
      <c r="HP36" s="1488"/>
      <c r="HQ36" s="1523"/>
    </row>
    <row r="37" spans="1:225" ht="12.6" customHeight="1" x14ac:dyDescent="0.25">
      <c r="A37" s="1264"/>
      <c r="B37" s="1265"/>
      <c r="C37" s="1265"/>
      <c r="D37" s="2182"/>
      <c r="E37" s="1264"/>
      <c r="F37" s="2172"/>
      <c r="G37" s="1264"/>
      <c r="H37" s="2173"/>
      <c r="I37" s="2174"/>
      <c r="J37" s="2175"/>
      <c r="K37" s="2176"/>
      <c r="L37" s="2177"/>
      <c r="M37" s="2178"/>
      <c r="N37" s="2179"/>
      <c r="O37" s="2180"/>
      <c r="P37" s="2181"/>
      <c r="Q37" s="1224" t="b">
        <v>0</v>
      </c>
      <c r="R37" s="561" t="b">
        <v>0</v>
      </c>
      <c r="S37" s="554" t="b">
        <f t="shared" si="1"/>
        <v>0</v>
      </c>
      <c r="T37" s="554" t="b">
        <f t="shared" si="2"/>
        <v>0</v>
      </c>
      <c r="U37" s="775" t="s">
        <v>858</v>
      </c>
      <c r="V37" s="475"/>
      <c r="W37" s="475"/>
      <c r="X37" s="475"/>
      <c r="Y37" s="475"/>
      <c r="Z37" s="475"/>
      <c r="AA37" s="475"/>
      <c r="AB37" s="475"/>
      <c r="AC37" s="475"/>
      <c r="AD37" s="475"/>
      <c r="AE37" s="775" t="s">
        <v>867</v>
      </c>
      <c r="AF37" s="1447">
        <v>1.4370000000000001</v>
      </c>
      <c r="HA37" s="1477"/>
      <c r="HB37" s="1478"/>
      <c r="HC37" s="1478"/>
      <c r="HD37" s="1485"/>
      <c r="HE37" s="1486"/>
      <c r="HF37" s="1478"/>
      <c r="HG37" s="1478"/>
      <c r="HH37" s="1478"/>
      <c r="HI37" s="1487"/>
      <c r="HJ37" s="1478"/>
      <c r="HK37" s="1478"/>
      <c r="HL37" s="1478"/>
      <c r="HM37" s="1478"/>
      <c r="HN37" s="1478"/>
      <c r="HO37" s="1478"/>
      <c r="HP37" s="1488"/>
      <c r="HQ37" s="1523"/>
    </row>
    <row r="38" spans="1:225" ht="12.6" customHeight="1" x14ac:dyDescent="0.25">
      <c r="A38" s="1264"/>
      <c r="B38" s="1265"/>
      <c r="C38" s="1265"/>
      <c r="D38" s="2182"/>
      <c r="E38" s="1264"/>
      <c r="F38" s="2172"/>
      <c r="G38" s="1264"/>
      <c r="H38" s="2173"/>
      <c r="I38" s="2174"/>
      <c r="J38" s="2175"/>
      <c r="K38" s="2176"/>
      <c r="L38" s="2177"/>
      <c r="M38" s="2178"/>
      <c r="N38" s="2179"/>
      <c r="O38" s="2180"/>
      <c r="P38" s="2181"/>
      <c r="Q38" s="1224" t="b">
        <v>0</v>
      </c>
      <c r="R38" s="561" t="b">
        <v>0</v>
      </c>
      <c r="S38" s="554" t="b">
        <f t="shared" si="1"/>
        <v>0</v>
      </c>
      <c r="T38" s="554" t="b">
        <f t="shared" si="2"/>
        <v>0</v>
      </c>
      <c r="U38" s="775" t="s">
        <v>859</v>
      </c>
      <c r="V38" s="475"/>
      <c r="W38" s="475"/>
      <c r="X38" s="475"/>
      <c r="Y38" s="475"/>
      <c r="Z38" s="475"/>
      <c r="AA38" s="475"/>
      <c r="AB38" s="475"/>
      <c r="AC38" s="475"/>
      <c r="AD38" s="475"/>
      <c r="AE38" s="775" t="s">
        <v>868</v>
      </c>
      <c r="AF38" s="1447">
        <v>1.5</v>
      </c>
      <c r="HA38" s="1477"/>
      <c r="HB38" s="1478"/>
      <c r="HC38" s="1478"/>
      <c r="HD38" s="1485"/>
      <c r="HE38" s="1486"/>
      <c r="HF38" s="1478"/>
      <c r="HG38" s="1478"/>
      <c r="HH38" s="1478"/>
      <c r="HI38" s="1487"/>
      <c r="HJ38" s="1478"/>
      <c r="HK38" s="1478"/>
      <c r="HL38" s="1478"/>
      <c r="HM38" s="1478"/>
      <c r="HN38" s="1478"/>
      <c r="HO38" s="1478"/>
      <c r="HP38" s="1488"/>
      <c r="HQ38" s="1523"/>
    </row>
    <row r="39" spans="1:225" ht="12.6" customHeight="1" x14ac:dyDescent="0.25">
      <c r="A39" s="1264"/>
      <c r="B39" s="1265"/>
      <c r="C39" s="1265"/>
      <c r="D39" s="2182"/>
      <c r="E39" s="1264"/>
      <c r="F39" s="2172"/>
      <c r="G39" s="1264"/>
      <c r="H39" s="2173"/>
      <c r="I39" s="2174"/>
      <c r="J39" s="2175"/>
      <c r="K39" s="2176"/>
      <c r="L39" s="2177"/>
      <c r="M39" s="2178"/>
      <c r="N39" s="2179"/>
      <c r="O39" s="2180"/>
      <c r="P39" s="2181"/>
      <c r="Q39" s="1224" t="b">
        <v>0</v>
      </c>
      <c r="R39" s="561" t="b">
        <v>0</v>
      </c>
      <c r="S39" s="554" t="b">
        <f t="shared" si="1"/>
        <v>0</v>
      </c>
      <c r="T39" s="554" t="b">
        <f t="shared" si="2"/>
        <v>0</v>
      </c>
      <c r="U39" s="775" t="s">
        <v>860</v>
      </c>
      <c r="V39" s="475"/>
      <c r="W39" s="475"/>
      <c r="X39" s="475"/>
      <c r="Y39" s="475"/>
      <c r="Z39" s="475"/>
      <c r="AA39" s="475"/>
      <c r="AB39" s="475"/>
      <c r="AC39" s="475"/>
      <c r="AD39" s="475"/>
      <c r="AE39" s="775" t="s">
        <v>869</v>
      </c>
      <c r="AF39" s="1447">
        <v>1.5</v>
      </c>
      <c r="HA39" s="1477"/>
      <c r="HB39" s="1478"/>
      <c r="HC39" s="1478"/>
      <c r="HD39" s="1485"/>
      <c r="HE39" s="1486"/>
      <c r="HF39" s="1478"/>
      <c r="HG39" s="1478"/>
      <c r="HH39" s="1478"/>
      <c r="HI39" s="1487"/>
      <c r="HJ39" s="1478"/>
      <c r="HK39" s="1478"/>
      <c r="HL39" s="1478"/>
      <c r="HM39" s="1478"/>
      <c r="HN39" s="1478"/>
      <c r="HO39" s="1478"/>
      <c r="HP39" s="1488"/>
      <c r="HQ39" s="1523"/>
    </row>
    <row r="40" spans="1:225" ht="12.6" customHeight="1" x14ac:dyDescent="0.25">
      <c r="A40" s="1264"/>
      <c r="B40" s="1265"/>
      <c r="C40" s="1265"/>
      <c r="D40" s="2182"/>
      <c r="E40" s="1264"/>
      <c r="F40" s="2172"/>
      <c r="G40" s="1264"/>
      <c r="H40" s="2173"/>
      <c r="I40" s="2174"/>
      <c r="J40" s="2175"/>
      <c r="K40" s="2176"/>
      <c r="L40" s="2177"/>
      <c r="M40" s="2178"/>
      <c r="N40" s="2179"/>
      <c r="O40" s="2180"/>
      <c r="P40" s="2181"/>
      <c r="Q40" s="1224" t="b">
        <v>0</v>
      </c>
      <c r="R40" s="561" t="b">
        <v>0</v>
      </c>
      <c r="S40" s="554" t="b">
        <f t="shared" si="1"/>
        <v>0</v>
      </c>
      <c r="T40" s="554" t="b">
        <f t="shared" si="2"/>
        <v>0</v>
      </c>
      <c r="U40" s="675"/>
      <c r="V40" s="475"/>
      <c r="W40" s="475"/>
      <c r="X40" s="475"/>
      <c r="Y40" s="475"/>
      <c r="Z40" s="475"/>
      <c r="AA40" s="475"/>
      <c r="AB40" s="475"/>
      <c r="AC40" s="475"/>
      <c r="AD40" s="475"/>
      <c r="AE40" s="775" t="s">
        <v>870</v>
      </c>
      <c r="AF40" s="1447">
        <v>1.5938000000000001</v>
      </c>
      <c r="HA40" s="1477"/>
      <c r="HB40" s="1478"/>
      <c r="HC40" s="1478"/>
      <c r="HD40" s="1485"/>
      <c r="HE40" s="1486"/>
      <c r="HF40" s="1478"/>
      <c r="HG40" s="1478"/>
      <c r="HH40" s="1478"/>
      <c r="HI40" s="1487"/>
      <c r="HJ40" s="1478"/>
      <c r="HK40" s="1478"/>
      <c r="HL40" s="1478"/>
      <c r="HM40" s="1478"/>
      <c r="HN40" s="1478"/>
      <c r="HO40" s="1478"/>
      <c r="HP40" s="1488"/>
      <c r="HQ40" s="1523"/>
    </row>
    <row r="41" spans="1:225" ht="12.6" customHeight="1" x14ac:dyDescent="0.25">
      <c r="A41" s="1264"/>
      <c r="B41" s="1265"/>
      <c r="C41" s="1265"/>
      <c r="D41" s="2182"/>
      <c r="E41" s="1264"/>
      <c r="F41" s="2172"/>
      <c r="G41" s="1264"/>
      <c r="H41" s="2173"/>
      <c r="I41" s="2174"/>
      <c r="J41" s="2175"/>
      <c r="K41" s="2176"/>
      <c r="L41" s="2177"/>
      <c r="M41" s="2178"/>
      <c r="N41" s="2179"/>
      <c r="O41" s="2180"/>
      <c r="P41" s="2181"/>
      <c r="Q41" s="1224" t="b">
        <v>0</v>
      </c>
      <c r="R41" s="561" t="b">
        <v>0</v>
      </c>
      <c r="S41" s="554" t="b">
        <f t="shared" si="1"/>
        <v>0</v>
      </c>
      <c r="T41" s="554" t="b">
        <f t="shared" si="2"/>
        <v>0</v>
      </c>
      <c r="U41" s="675"/>
      <c r="V41" s="475"/>
      <c r="W41" s="475"/>
      <c r="X41" s="475"/>
      <c r="Y41" s="475"/>
      <c r="Z41" s="475"/>
      <c r="AA41" s="475"/>
      <c r="AB41" s="475"/>
      <c r="AC41" s="475"/>
      <c r="AD41" s="475"/>
      <c r="AE41" s="775" t="s">
        <v>871</v>
      </c>
      <c r="AF41" s="1447">
        <v>1.5940000000000001</v>
      </c>
      <c r="HA41" s="1477"/>
      <c r="HB41" s="1478"/>
      <c r="HC41" s="1478"/>
      <c r="HD41" s="1485"/>
      <c r="HE41" s="1486"/>
      <c r="HF41" s="1478"/>
      <c r="HG41" s="1478"/>
      <c r="HH41" s="1478"/>
      <c r="HI41" s="1487"/>
      <c r="HJ41" s="1478"/>
      <c r="HK41" s="1478"/>
      <c r="HL41" s="1478"/>
      <c r="HM41" s="1478"/>
      <c r="HN41" s="1478"/>
      <c r="HO41" s="1478"/>
      <c r="HP41" s="1488"/>
      <c r="HQ41" s="1523"/>
    </row>
    <row r="42" spans="1:225" ht="12.6" customHeight="1" thickBot="1" x14ac:dyDescent="0.3">
      <c r="A42" s="2124"/>
      <c r="B42" s="2160"/>
      <c r="C42" s="2160"/>
      <c r="D42" s="2183"/>
      <c r="E42" s="2124"/>
      <c r="F42" s="2184"/>
      <c r="G42" s="2124"/>
      <c r="H42" s="2185"/>
      <c r="I42" s="2186"/>
      <c r="J42" s="2187"/>
      <c r="K42" s="2188"/>
      <c r="L42" s="2189"/>
      <c r="M42" s="2190"/>
      <c r="N42" s="2191"/>
      <c r="O42" s="2192"/>
      <c r="P42" s="2193"/>
      <c r="Q42" s="1224" t="b">
        <v>0</v>
      </c>
      <c r="R42" s="561" t="b">
        <v>0</v>
      </c>
      <c r="S42" s="554" t="b">
        <f t="shared" si="1"/>
        <v>0</v>
      </c>
      <c r="T42" s="554" t="b">
        <f t="shared" si="2"/>
        <v>0</v>
      </c>
      <c r="U42" s="675"/>
      <c r="V42" s="475"/>
      <c r="W42" s="475"/>
      <c r="X42" s="475"/>
      <c r="Y42" s="475"/>
      <c r="Z42" s="475"/>
      <c r="AA42" s="475"/>
      <c r="AB42" s="475"/>
      <c r="AC42" s="475"/>
      <c r="AD42" s="475"/>
      <c r="AE42" s="775" t="s">
        <v>872</v>
      </c>
      <c r="AF42" s="1447">
        <v>1.6563000000000001</v>
      </c>
      <c r="HA42" s="1479"/>
      <c r="HB42" s="1480"/>
      <c r="HC42" s="1480"/>
      <c r="HD42" s="1489"/>
      <c r="HE42" s="1490"/>
      <c r="HF42" s="1480"/>
      <c r="HG42" s="1480"/>
      <c r="HH42" s="1480"/>
      <c r="HI42" s="1491"/>
      <c r="HJ42" s="1480"/>
      <c r="HK42" s="1480"/>
      <c r="HL42" s="1480"/>
      <c r="HM42" s="1480"/>
      <c r="HN42" s="1480"/>
      <c r="HO42" s="1480"/>
      <c r="HP42" s="1492"/>
      <c r="HQ42" s="1523"/>
    </row>
    <row r="43" spans="1:225" ht="12.6" customHeight="1" thickTop="1" x14ac:dyDescent="0.2">
      <c r="AE43" s="775" t="s">
        <v>873</v>
      </c>
      <c r="AF43" s="1447">
        <v>1.6559999999999999</v>
      </c>
    </row>
    <row r="44" spans="1:225" ht="12.6" customHeight="1" x14ac:dyDescent="0.2">
      <c r="AE44" s="775" t="s">
        <v>874</v>
      </c>
      <c r="AF44" s="1447">
        <v>1.75</v>
      </c>
    </row>
    <row r="45" spans="1:225" ht="12.6" customHeight="1" x14ac:dyDescent="0.2">
      <c r="AE45" s="775" t="s">
        <v>875</v>
      </c>
      <c r="AF45" s="1447">
        <v>1.7350000000000001</v>
      </c>
    </row>
    <row r="46" spans="1:225" ht="12.6" customHeight="1" x14ac:dyDescent="0.2">
      <c r="A46" s="1145" t="s">
        <v>1062</v>
      </c>
      <c r="AE46" s="775" t="s">
        <v>876</v>
      </c>
      <c r="AF46" s="1447">
        <v>1.8125</v>
      </c>
    </row>
    <row r="47" spans="1:225" ht="12.6" hidden="1" customHeight="1" x14ac:dyDescent="0.2">
      <c r="C47" s="97">
        <f>SUM(C27:C42)</f>
        <v>8065</v>
      </c>
      <c r="E47" s="38" t="b">
        <f>SUMIF(E27:E42,"BA*",C27:C42)&gt;0</f>
        <v>0</v>
      </c>
      <c r="AE47" s="775" t="s">
        <v>877</v>
      </c>
      <c r="AF47" s="1447">
        <v>1.7969999999999999</v>
      </c>
    </row>
    <row r="48" spans="1:225" ht="12.6" hidden="1" customHeight="1" x14ac:dyDescent="0.2">
      <c r="AE48" s="775" t="s">
        <v>878</v>
      </c>
      <c r="AF48" s="1447">
        <v>1.875</v>
      </c>
    </row>
    <row r="49" spans="1:32" ht="12.6" hidden="1" customHeight="1" x14ac:dyDescent="0.2">
      <c r="AE49" s="775" t="s">
        <v>879</v>
      </c>
      <c r="AF49" s="1447">
        <v>1.9059999999999999</v>
      </c>
    </row>
    <row r="50" spans="1:32" ht="12.6" hidden="1" customHeight="1" x14ac:dyDescent="0.2">
      <c r="AE50" s="775" t="s">
        <v>880</v>
      </c>
      <c r="AF50" s="1447">
        <v>1.9313</v>
      </c>
    </row>
    <row r="51" spans="1:32" ht="12.6" hidden="1" customHeight="1" x14ac:dyDescent="0.2">
      <c r="AE51" s="775" t="s">
        <v>881</v>
      </c>
      <c r="AF51" s="1447">
        <v>1.9375</v>
      </c>
    </row>
    <row r="52" spans="1:32" ht="12.6" hidden="1" customHeight="1" x14ac:dyDescent="0.2">
      <c r="AE52" s="775" t="s">
        <v>882</v>
      </c>
      <c r="AF52" s="1447">
        <v>1.9379999999999999</v>
      </c>
    </row>
    <row r="53" spans="1:32" ht="12.6" hidden="1" customHeight="1" x14ac:dyDescent="0.2">
      <c r="AE53" s="775" t="s">
        <v>883</v>
      </c>
      <c r="AF53" s="1447">
        <v>2.0937999999999999</v>
      </c>
    </row>
    <row r="54" spans="1:32" ht="12.6" hidden="1" customHeight="1" x14ac:dyDescent="0.2">
      <c r="AE54" s="775" t="s">
        <v>884</v>
      </c>
      <c r="AF54" s="1447">
        <v>2.0779999999999998</v>
      </c>
    </row>
    <row r="55" spans="1:32" ht="12.6" hidden="1" customHeight="1" x14ac:dyDescent="0.2">
      <c r="AE55" s="775" t="s">
        <v>885</v>
      </c>
      <c r="AF55" s="1447">
        <v>2.0779999999999998</v>
      </c>
    </row>
    <row r="56" spans="1:32" ht="12.6" hidden="1" customHeight="1" x14ac:dyDescent="0.2">
      <c r="AE56" s="775" t="s">
        <v>886</v>
      </c>
      <c r="AF56" s="1447">
        <v>2.2187999999999999</v>
      </c>
    </row>
    <row r="57" spans="1:32" ht="12.6" hidden="1" customHeight="1" x14ac:dyDescent="0.2">
      <c r="AE57" s="775" t="s">
        <v>887</v>
      </c>
      <c r="AF57" s="1447">
        <v>2.2189999999999999</v>
      </c>
    </row>
    <row r="58" spans="1:32" ht="12.6" hidden="1" customHeight="1" x14ac:dyDescent="0.2">
      <c r="AE58" s="775" t="s">
        <v>888</v>
      </c>
      <c r="AF58" s="1447">
        <v>2.375</v>
      </c>
    </row>
    <row r="59" spans="1:32" ht="12.6" hidden="1" customHeight="1" x14ac:dyDescent="0.2">
      <c r="AE59" s="775" t="s">
        <v>889</v>
      </c>
      <c r="AF59" s="1447">
        <v>2.2360000000000002</v>
      </c>
    </row>
    <row r="60" spans="1:32" ht="12.6" hidden="1" customHeight="1" x14ac:dyDescent="0.2">
      <c r="A60" s="1128" t="s">
        <v>1222</v>
      </c>
      <c r="AE60" s="775" t="s">
        <v>890</v>
      </c>
      <c r="AF60" s="1447">
        <v>2.375</v>
      </c>
    </row>
    <row r="61" spans="1:32" ht="12.6" hidden="1" customHeight="1" x14ac:dyDescent="0.2">
      <c r="A61" s="1130" t="s">
        <v>2292</v>
      </c>
      <c r="AE61" s="775" t="s">
        <v>891</v>
      </c>
      <c r="AF61" s="1447">
        <v>2.3769999999999998</v>
      </c>
    </row>
    <row r="62" spans="1:32" ht="12.6" hidden="1" customHeight="1" x14ac:dyDescent="0.2">
      <c r="AE62" s="775" t="s">
        <v>892</v>
      </c>
      <c r="AF62" s="1447">
        <v>2.375</v>
      </c>
    </row>
    <row r="63" spans="1:32" ht="12.6" hidden="1" customHeight="1" x14ac:dyDescent="0.2">
      <c r="AE63" s="775" t="s">
        <v>893</v>
      </c>
      <c r="AF63" s="1447">
        <v>2.625</v>
      </c>
    </row>
    <row r="64" spans="1:32" ht="12.6" hidden="1" customHeight="1" x14ac:dyDescent="0.2">
      <c r="AE64" s="775" t="s">
        <v>894</v>
      </c>
      <c r="AF64" s="1447">
        <v>2.375</v>
      </c>
    </row>
    <row r="65" spans="1:32" ht="12.6" customHeight="1" x14ac:dyDescent="0.2">
      <c r="A65" s="1145" t="s">
        <v>1063</v>
      </c>
      <c r="AE65" s="775" t="s">
        <v>895</v>
      </c>
      <c r="AF65" s="1447">
        <v>2.375</v>
      </c>
    </row>
    <row r="66" spans="1:32" ht="12.6" customHeight="1" x14ac:dyDescent="0.2">
      <c r="AE66" s="775" t="s">
        <v>896</v>
      </c>
      <c r="AF66" s="1447">
        <v>2.875</v>
      </c>
    </row>
    <row r="67" spans="1:32" ht="12.6" customHeight="1" x14ac:dyDescent="0.2">
      <c r="AE67" s="775" t="s">
        <v>897</v>
      </c>
      <c r="AF67" s="1447">
        <v>2.375</v>
      </c>
    </row>
    <row r="68" spans="1:32" ht="12.6" customHeight="1" x14ac:dyDescent="0.2">
      <c r="AE68" s="775" t="s">
        <v>898</v>
      </c>
      <c r="AF68" s="1447">
        <v>2.5939000000000001</v>
      </c>
    </row>
    <row r="69" spans="1:32" ht="12.6" customHeight="1" x14ac:dyDescent="0.2">
      <c r="AE69" s="775" t="s">
        <v>899</v>
      </c>
      <c r="AF69" s="1447">
        <v>3.0625</v>
      </c>
    </row>
    <row r="70" spans="1:32" ht="12.6" customHeight="1" x14ac:dyDescent="0.2">
      <c r="AE70" s="775" t="s">
        <v>900</v>
      </c>
      <c r="AF70" s="1447">
        <v>3.0939000000000001</v>
      </c>
    </row>
    <row r="71" spans="1:32" ht="12.6" customHeight="1" x14ac:dyDescent="0.2">
      <c r="AE71" s="775" t="s">
        <v>901</v>
      </c>
      <c r="AF71" s="1447">
        <v>3.0937999999999999</v>
      </c>
    </row>
    <row r="72" spans="1:32" ht="12.6" customHeight="1" x14ac:dyDescent="0.2">
      <c r="AE72" s="775" t="s">
        <v>902</v>
      </c>
      <c r="AF72" s="1447">
        <v>2.5647000000000002</v>
      </c>
    </row>
    <row r="73" spans="1:32" ht="12.6" customHeight="1" x14ac:dyDescent="0.2">
      <c r="AE73" s="775" t="s">
        <v>903</v>
      </c>
      <c r="AF73" s="1447">
        <v>2.3439999999999999</v>
      </c>
    </row>
    <row r="74" spans="1:32" ht="12.6" customHeight="1" x14ac:dyDescent="0.2">
      <c r="AE74" s="775" t="s">
        <v>904</v>
      </c>
      <c r="AF74" s="1447">
        <v>1.8305</v>
      </c>
    </row>
    <row r="75" spans="1:32" ht="12.6" customHeight="1" x14ac:dyDescent="0.2">
      <c r="AE75" s="775" t="s">
        <v>905</v>
      </c>
      <c r="AF75" s="1447">
        <v>1.8848</v>
      </c>
    </row>
    <row r="76" spans="1:32" ht="12.6" customHeight="1" x14ac:dyDescent="0.2">
      <c r="AE76" s="775" t="s">
        <v>906</v>
      </c>
      <c r="AF76" s="1447">
        <v>2</v>
      </c>
    </row>
    <row r="77" spans="1:32" ht="12.6" customHeight="1" x14ac:dyDescent="0.2">
      <c r="AE77" s="775" t="s">
        <v>907</v>
      </c>
      <c r="AF77" s="1447">
        <v>2.75</v>
      </c>
    </row>
    <row r="78" spans="1:32" ht="12.6" customHeight="1" x14ac:dyDescent="0.2">
      <c r="AE78" s="775" t="s">
        <v>908</v>
      </c>
      <c r="AF78" s="1447">
        <v>2</v>
      </c>
    </row>
    <row r="79" spans="1:32" ht="12.6" customHeight="1" x14ac:dyDescent="0.2">
      <c r="AE79" s="775" t="s">
        <v>857</v>
      </c>
      <c r="AF79" s="1447">
        <v>1</v>
      </c>
    </row>
    <row r="80" spans="1:32" ht="12.6" customHeight="1" x14ac:dyDescent="0.2">
      <c r="AE80" s="775" t="s">
        <v>858</v>
      </c>
      <c r="AF80" s="1447">
        <v>1</v>
      </c>
    </row>
    <row r="81" spans="31:32" ht="12.6" customHeight="1" x14ac:dyDescent="0.2">
      <c r="AE81" s="775" t="s">
        <v>859</v>
      </c>
      <c r="AF81" s="1447">
        <v>1</v>
      </c>
    </row>
    <row r="82" spans="31:32" ht="12.6" customHeight="1" x14ac:dyDescent="0.2">
      <c r="AE82" s="775" t="s">
        <v>860</v>
      </c>
      <c r="AF82" s="1447">
        <v>1</v>
      </c>
    </row>
    <row r="83" spans="31:32" ht="12.6" customHeight="1" x14ac:dyDescent="0.2">
      <c r="AE83" s="775" t="s">
        <v>909</v>
      </c>
      <c r="AF83" s="1447">
        <v>1.25</v>
      </c>
    </row>
    <row r="84" spans="31:32" ht="12.6" customHeight="1" x14ac:dyDescent="0.2">
      <c r="AE84" s="775" t="s">
        <v>910</v>
      </c>
      <c r="AF84" s="1447">
        <v>1.25</v>
      </c>
    </row>
    <row r="85" spans="31:32" ht="12.6" customHeight="1" x14ac:dyDescent="0.2">
      <c r="AE85" s="775" t="s">
        <v>911</v>
      </c>
      <c r="AF85" s="1447">
        <v>1.25</v>
      </c>
    </row>
    <row r="86" spans="31:32" ht="12.6" customHeight="1" x14ac:dyDescent="0.2">
      <c r="AE86" s="775" t="s">
        <v>912</v>
      </c>
      <c r="AF86" s="1447">
        <v>1.25</v>
      </c>
    </row>
    <row r="87" spans="31:32" ht="12.6" customHeight="1" x14ac:dyDescent="0.2">
      <c r="AE87" s="775" t="s">
        <v>913</v>
      </c>
      <c r="AF87" s="1447">
        <v>1.5</v>
      </c>
    </row>
    <row r="88" spans="31:32" ht="12.6" customHeight="1" x14ac:dyDescent="0.2">
      <c r="AE88" s="775" t="s">
        <v>914</v>
      </c>
      <c r="AF88" s="1447">
        <v>1.5</v>
      </c>
    </row>
    <row r="89" spans="31:32" ht="12.6" customHeight="1" x14ac:dyDescent="0.2">
      <c r="AE89" s="775" t="s">
        <v>915</v>
      </c>
      <c r="AF89" s="1447">
        <v>1.5</v>
      </c>
    </row>
    <row r="90" spans="31:32" ht="12.6" customHeight="1" x14ac:dyDescent="0.2">
      <c r="AE90" s="775">
        <v>15125</v>
      </c>
      <c r="AF90" s="1447">
        <v>1.5</v>
      </c>
    </row>
    <row r="91" spans="31:32" ht="12.6" customHeight="1" x14ac:dyDescent="0.2">
      <c r="AE91" s="775">
        <v>15130</v>
      </c>
      <c r="AF91" s="1447">
        <v>1.5</v>
      </c>
    </row>
    <row r="92" spans="31:32" ht="12.6" customHeight="1" x14ac:dyDescent="0.2">
      <c r="AE92" s="775" t="s">
        <v>916</v>
      </c>
      <c r="AF92" s="1447">
        <v>1.5</v>
      </c>
    </row>
    <row r="93" spans="31:32" ht="12.6" customHeight="1" x14ac:dyDescent="0.2">
      <c r="AE93" s="775" t="s">
        <v>917</v>
      </c>
      <c r="AF93" s="1447">
        <v>1.5</v>
      </c>
    </row>
    <row r="94" spans="31:32" ht="12.6" customHeight="1" x14ac:dyDescent="0.2">
      <c r="AE94" s="775" t="s">
        <v>918</v>
      </c>
      <c r="AF94" s="1447">
        <v>1.5</v>
      </c>
    </row>
    <row r="95" spans="31:32" ht="12.6" customHeight="1" x14ac:dyDescent="0.2">
      <c r="AE95" s="775">
        <v>15156</v>
      </c>
      <c r="AF95" s="1447">
        <v>1.5</v>
      </c>
    </row>
    <row r="96" spans="31:32" ht="12.6" customHeight="1" x14ac:dyDescent="0.2">
      <c r="AE96" s="775" t="s">
        <v>919</v>
      </c>
      <c r="AF96" s="1447">
        <v>1.5</v>
      </c>
    </row>
    <row r="97" spans="31:32" ht="12.6" customHeight="1" x14ac:dyDescent="0.2">
      <c r="AE97" s="775">
        <v>15172</v>
      </c>
      <c r="AF97" s="1447">
        <v>1.5</v>
      </c>
    </row>
    <row r="98" spans="31:32" ht="12.6" customHeight="1" x14ac:dyDescent="0.2">
      <c r="AE98" s="775" t="s">
        <v>920</v>
      </c>
      <c r="AF98" s="1447">
        <v>1.5</v>
      </c>
    </row>
    <row r="99" spans="31:32" ht="12.6" customHeight="1" x14ac:dyDescent="0.2">
      <c r="AE99" s="775" t="s">
        <v>921</v>
      </c>
      <c r="AF99" s="1447">
        <v>1.5</v>
      </c>
    </row>
    <row r="100" spans="31:32" ht="12.6" customHeight="1" x14ac:dyDescent="0.2">
      <c r="AE100" s="775" t="s">
        <v>922</v>
      </c>
      <c r="AF100" s="1447">
        <v>1.75</v>
      </c>
    </row>
    <row r="101" spans="31:32" ht="12.6" customHeight="1" x14ac:dyDescent="0.2">
      <c r="AE101" s="775" t="s">
        <v>923</v>
      </c>
      <c r="AF101" s="1447">
        <v>1.75</v>
      </c>
    </row>
    <row r="102" spans="31:32" ht="12.6" customHeight="1" x14ac:dyDescent="0.2">
      <c r="AE102" s="775">
        <v>17141</v>
      </c>
      <c r="AF102" s="1447">
        <v>1.75</v>
      </c>
    </row>
    <row r="103" spans="31:32" ht="12.6" customHeight="1" x14ac:dyDescent="0.2">
      <c r="AE103" s="775" t="s">
        <v>924</v>
      </c>
      <c r="AF103" s="1447">
        <v>1.75</v>
      </c>
    </row>
    <row r="104" spans="31:32" ht="12.6" customHeight="1" x14ac:dyDescent="0.2">
      <c r="AE104" s="775" t="s">
        <v>925</v>
      </c>
      <c r="AF104" s="1447">
        <v>1.75</v>
      </c>
    </row>
    <row r="105" spans="31:32" ht="12.6" customHeight="1" x14ac:dyDescent="0.2">
      <c r="AE105" s="775">
        <v>17156</v>
      </c>
      <c r="AF105" s="1447">
        <v>1.75</v>
      </c>
    </row>
    <row r="106" spans="31:32" ht="12.6" customHeight="1" x14ac:dyDescent="0.2">
      <c r="AE106" s="775" t="s">
        <v>926</v>
      </c>
      <c r="AF106" s="1447">
        <v>1.75</v>
      </c>
    </row>
    <row r="107" spans="31:32" ht="12.6" customHeight="1" x14ac:dyDescent="0.2">
      <c r="AE107" s="775" t="s">
        <v>927</v>
      </c>
      <c r="AF107" s="1447">
        <v>1.75</v>
      </c>
    </row>
    <row r="108" spans="31:32" ht="12.6" customHeight="1" x14ac:dyDescent="0.2">
      <c r="AE108" s="775" t="s">
        <v>928</v>
      </c>
      <c r="AF108" s="1447">
        <v>1.75</v>
      </c>
    </row>
    <row r="109" spans="31:32" ht="12.6" customHeight="1" x14ac:dyDescent="0.2">
      <c r="AE109" s="775" t="s">
        <v>929</v>
      </c>
      <c r="AF109" s="1447">
        <v>2</v>
      </c>
    </row>
    <row r="110" spans="31:32" ht="12.6" customHeight="1" x14ac:dyDescent="0.2">
      <c r="AE110" s="775" t="s">
        <v>930</v>
      </c>
      <c r="AF110" s="1447">
        <v>2</v>
      </c>
    </row>
    <row r="111" spans="31:32" ht="12.6" customHeight="1" x14ac:dyDescent="0.2">
      <c r="AE111" s="775" t="s">
        <v>931</v>
      </c>
      <c r="AF111" s="1447">
        <v>2</v>
      </c>
    </row>
    <row r="112" spans="31:32" ht="12.6" customHeight="1" x14ac:dyDescent="0.2">
      <c r="AE112" s="775" t="s">
        <v>932</v>
      </c>
      <c r="AF112" s="1447">
        <v>2</v>
      </c>
    </row>
    <row r="113" spans="31:32" ht="12.6" customHeight="1" x14ac:dyDescent="0.2">
      <c r="AE113" s="775" t="s">
        <v>933</v>
      </c>
      <c r="AF113" s="1447">
        <v>2</v>
      </c>
    </row>
    <row r="114" spans="31:32" ht="12.6" customHeight="1" x14ac:dyDescent="0.2">
      <c r="AE114" s="236">
        <v>20184</v>
      </c>
      <c r="AF114" s="1447">
        <v>2</v>
      </c>
    </row>
    <row r="115" spans="31:32" ht="12.6" customHeight="1" x14ac:dyDescent="0.2">
      <c r="AE115" s="236" t="s">
        <v>934</v>
      </c>
      <c r="AF115" s="1447">
        <v>2</v>
      </c>
    </row>
    <row r="116" spans="31:32" ht="12.6" customHeight="1" x14ac:dyDescent="0.2">
      <c r="AE116" s="236">
        <v>252018</v>
      </c>
      <c r="AF116" s="1447">
        <v>10</v>
      </c>
    </row>
    <row r="117" spans="31:32" ht="12.6" customHeight="1" x14ac:dyDescent="0.2">
      <c r="AE117" s="236">
        <v>302018</v>
      </c>
      <c r="AF117" s="1447">
        <v>10</v>
      </c>
    </row>
    <row r="118" spans="31:32" ht="12.6" customHeight="1" x14ac:dyDescent="0.2">
      <c r="AE118" s="236" t="s">
        <v>935</v>
      </c>
      <c r="AF118" s="1447">
        <v>2</v>
      </c>
    </row>
    <row r="119" spans="31:32" ht="12.6" customHeight="1" x14ac:dyDescent="0.2">
      <c r="AE119" s="236" t="s">
        <v>936</v>
      </c>
      <c r="AF119" s="1447">
        <v>2</v>
      </c>
    </row>
    <row r="120" spans="31:32" ht="12.6" customHeight="1" x14ac:dyDescent="0.2">
      <c r="AE120" s="236">
        <v>20219</v>
      </c>
      <c r="AF120" s="1447">
        <v>2</v>
      </c>
    </row>
    <row r="121" spans="31:32" ht="12.6" customHeight="1" x14ac:dyDescent="0.2">
      <c r="AE121" s="236" t="s">
        <v>937</v>
      </c>
      <c r="AF121" s="1447">
        <v>2</v>
      </c>
    </row>
    <row r="122" spans="31:32" ht="12.6" customHeight="1" x14ac:dyDescent="0.2">
      <c r="AE122" s="236">
        <v>20232</v>
      </c>
      <c r="AF122" s="1447">
        <v>2</v>
      </c>
    </row>
    <row r="123" spans="31:32" ht="12.6" customHeight="1" x14ac:dyDescent="0.2">
      <c r="AE123" s="236" t="s">
        <v>938</v>
      </c>
      <c r="AF123" s="1447">
        <v>2</v>
      </c>
    </row>
    <row r="124" spans="31:32" ht="12.6" customHeight="1" x14ac:dyDescent="0.2">
      <c r="AE124" s="236" t="s">
        <v>939</v>
      </c>
      <c r="AF124" s="1447">
        <v>2</v>
      </c>
    </row>
    <row r="125" spans="31:32" ht="12.6" customHeight="1" x14ac:dyDescent="0.2">
      <c r="AE125" s="236">
        <v>302025</v>
      </c>
      <c r="AF125" s="1447">
        <v>10</v>
      </c>
    </row>
    <row r="126" spans="31:32" ht="12.6" customHeight="1" x14ac:dyDescent="0.2">
      <c r="AE126" s="236" t="s">
        <v>940</v>
      </c>
      <c r="AF126" s="1447">
        <v>2</v>
      </c>
    </row>
    <row r="127" spans="31:32" ht="12.6" customHeight="1" x14ac:dyDescent="0.2">
      <c r="AE127" s="236" t="s">
        <v>941</v>
      </c>
      <c r="AF127" s="1447">
        <v>2</v>
      </c>
    </row>
    <row r="128" spans="31:32" ht="12.6" customHeight="1" x14ac:dyDescent="0.2">
      <c r="AE128" s="236">
        <v>302037</v>
      </c>
      <c r="AF128" s="1447">
        <v>10</v>
      </c>
    </row>
    <row r="129" spans="31:32" ht="12.6" customHeight="1" x14ac:dyDescent="0.2">
      <c r="AE129" s="236" t="s">
        <v>942</v>
      </c>
      <c r="AF129" s="1447">
        <v>2.5</v>
      </c>
    </row>
    <row r="130" spans="31:32" ht="12.6" customHeight="1" x14ac:dyDescent="0.2">
      <c r="AE130" s="236">
        <v>202518</v>
      </c>
      <c r="AF130" s="1447">
        <v>10</v>
      </c>
    </row>
    <row r="131" spans="31:32" ht="12.6" customHeight="1" x14ac:dyDescent="0.2">
      <c r="AE131" s="236" t="s">
        <v>943</v>
      </c>
      <c r="AF131" s="1447">
        <v>2.5</v>
      </c>
    </row>
    <row r="132" spans="31:32" ht="12.6" customHeight="1" x14ac:dyDescent="0.2">
      <c r="AE132" s="236" t="s">
        <v>944</v>
      </c>
      <c r="AF132" s="1447">
        <v>2.5</v>
      </c>
    </row>
    <row r="133" spans="31:32" ht="12.6" customHeight="1" x14ac:dyDescent="0.2">
      <c r="AE133" s="236" t="s">
        <v>945</v>
      </c>
      <c r="AF133" s="1447">
        <v>2.5</v>
      </c>
    </row>
    <row r="134" spans="31:32" ht="12.6" customHeight="1" x14ac:dyDescent="0.2">
      <c r="AE134" s="236" t="s">
        <v>946</v>
      </c>
      <c r="AF134" s="1447">
        <v>2.5</v>
      </c>
    </row>
    <row r="135" spans="31:32" ht="12.6" customHeight="1" x14ac:dyDescent="0.2">
      <c r="AE135" s="236" t="s">
        <v>947</v>
      </c>
      <c r="AF135" s="1447">
        <v>2.5</v>
      </c>
    </row>
    <row r="136" spans="31:32" ht="12.6" customHeight="1" x14ac:dyDescent="0.2">
      <c r="AE136" s="236" t="s">
        <v>948</v>
      </c>
      <c r="AF136" s="1447">
        <v>3</v>
      </c>
    </row>
    <row r="137" spans="31:32" ht="12.6" customHeight="1" x14ac:dyDescent="0.2">
      <c r="AE137" s="236">
        <v>203018</v>
      </c>
      <c r="AF137" s="1447">
        <v>10</v>
      </c>
    </row>
    <row r="138" spans="31:32" ht="12.6" customHeight="1" x14ac:dyDescent="0.2">
      <c r="AE138" s="236" t="s">
        <v>949</v>
      </c>
      <c r="AF138" s="1447">
        <v>3</v>
      </c>
    </row>
    <row r="139" spans="31:32" ht="12.6" customHeight="1" x14ac:dyDescent="0.2">
      <c r="AE139" s="236" t="s">
        <v>950</v>
      </c>
      <c r="AF139" s="1447">
        <v>3</v>
      </c>
    </row>
    <row r="140" spans="31:32" ht="12.6" customHeight="1" x14ac:dyDescent="0.2">
      <c r="AE140" s="236">
        <v>203025</v>
      </c>
      <c r="AF140" s="1447">
        <v>10</v>
      </c>
    </row>
    <row r="141" spans="31:32" ht="12.6" customHeight="1" x14ac:dyDescent="0.2">
      <c r="AE141" s="236">
        <v>403025</v>
      </c>
      <c r="AF141" s="1447">
        <v>10</v>
      </c>
    </row>
    <row r="142" spans="31:32" ht="12.6" customHeight="1" x14ac:dyDescent="0.2">
      <c r="AE142" s="236">
        <v>503025</v>
      </c>
      <c r="AF142" s="1447">
        <v>10</v>
      </c>
    </row>
    <row r="143" spans="31:32" ht="12.6" customHeight="1" x14ac:dyDescent="0.2">
      <c r="AE143" s="236" t="s">
        <v>951</v>
      </c>
      <c r="AF143" s="1447">
        <v>3</v>
      </c>
    </row>
    <row r="144" spans="31:32" ht="12.6" customHeight="1" x14ac:dyDescent="0.2">
      <c r="AE144" s="236" t="s">
        <v>952</v>
      </c>
      <c r="AF144" s="1447">
        <v>3</v>
      </c>
    </row>
    <row r="145" spans="31:32" ht="12.6" customHeight="1" x14ac:dyDescent="0.2">
      <c r="AE145" s="236" t="s">
        <v>953</v>
      </c>
      <c r="AF145" s="1447">
        <v>3</v>
      </c>
    </row>
    <row r="146" spans="31:32" ht="12.6" customHeight="1" x14ac:dyDescent="0.2">
      <c r="AE146" s="236" t="s">
        <v>954</v>
      </c>
      <c r="AF146" s="1447">
        <v>3</v>
      </c>
    </row>
    <row r="147" spans="31:32" ht="12.6" customHeight="1" x14ac:dyDescent="0.2">
      <c r="AE147" s="236">
        <v>203037</v>
      </c>
      <c r="AF147" s="1447">
        <v>10</v>
      </c>
    </row>
    <row r="148" spans="31:32" ht="12.6" customHeight="1" x14ac:dyDescent="0.2">
      <c r="AE148" s="236">
        <v>403037</v>
      </c>
      <c r="AF148" s="1447">
        <v>10</v>
      </c>
    </row>
    <row r="149" spans="31:32" ht="12.6" customHeight="1" x14ac:dyDescent="0.2">
      <c r="AE149" s="236">
        <v>503037</v>
      </c>
      <c r="AF149" s="1447">
        <v>10</v>
      </c>
    </row>
    <row r="150" spans="31:32" ht="12.6" customHeight="1" x14ac:dyDescent="0.2">
      <c r="AE150" s="236">
        <v>3231</v>
      </c>
      <c r="AF150" s="1447">
        <v>3.25</v>
      </c>
    </row>
    <row r="151" spans="31:32" ht="12.6" customHeight="1" x14ac:dyDescent="0.2">
      <c r="AE151" s="236" t="s">
        <v>955</v>
      </c>
      <c r="AF151" s="1447">
        <v>3.5</v>
      </c>
    </row>
    <row r="152" spans="31:32" ht="12.6" customHeight="1" x14ac:dyDescent="0.2">
      <c r="AE152" s="236" t="s">
        <v>956</v>
      </c>
      <c r="AF152" s="1447">
        <v>3.5</v>
      </c>
    </row>
    <row r="153" spans="31:32" ht="12.6" customHeight="1" x14ac:dyDescent="0.2">
      <c r="AE153" s="236" t="s">
        <v>957</v>
      </c>
      <c r="AF153" s="1447">
        <v>3.5</v>
      </c>
    </row>
    <row r="154" spans="31:32" ht="12.6" customHeight="1" x14ac:dyDescent="0.2">
      <c r="AE154" s="236" t="s">
        <v>958</v>
      </c>
      <c r="AF154" s="1447">
        <v>3.5</v>
      </c>
    </row>
    <row r="155" spans="31:32" ht="12.6" customHeight="1" x14ac:dyDescent="0.2">
      <c r="AE155" s="236">
        <v>503537</v>
      </c>
      <c r="AF155" s="1447">
        <v>10</v>
      </c>
    </row>
    <row r="156" spans="31:32" ht="12.6" customHeight="1" x14ac:dyDescent="0.2">
      <c r="AE156" s="236">
        <v>503550</v>
      </c>
      <c r="AF156" s="1447">
        <v>10</v>
      </c>
    </row>
    <row r="157" spans="31:32" ht="12.6" customHeight="1" x14ac:dyDescent="0.2">
      <c r="AE157" s="236" t="s">
        <v>959</v>
      </c>
      <c r="AF157" s="1447">
        <v>4</v>
      </c>
    </row>
    <row r="158" spans="31:32" ht="12.6" customHeight="1" x14ac:dyDescent="0.2">
      <c r="AE158" s="236">
        <v>304025</v>
      </c>
      <c r="AF158" s="1447">
        <v>10</v>
      </c>
    </row>
    <row r="159" spans="31:32" ht="12.6" customHeight="1" x14ac:dyDescent="0.2">
      <c r="AE159" s="236" t="s">
        <v>960</v>
      </c>
      <c r="AF159" s="1447">
        <v>4</v>
      </c>
    </row>
    <row r="160" spans="31:32" ht="12.6" customHeight="1" x14ac:dyDescent="0.2">
      <c r="AE160" s="236" t="s">
        <v>961</v>
      </c>
      <c r="AF160" s="1447">
        <v>4</v>
      </c>
    </row>
    <row r="161" spans="31:32" ht="12.6" customHeight="1" x14ac:dyDescent="0.2">
      <c r="AE161" s="236" t="s">
        <v>962</v>
      </c>
      <c r="AF161" s="1447">
        <v>4</v>
      </c>
    </row>
    <row r="162" spans="31:32" ht="12.6" customHeight="1" x14ac:dyDescent="0.2">
      <c r="AE162" s="236">
        <v>304037</v>
      </c>
      <c r="AF162" s="1447">
        <v>10</v>
      </c>
    </row>
    <row r="163" spans="31:32" ht="12.6" customHeight="1" x14ac:dyDescent="0.2">
      <c r="AE163" s="236">
        <v>604037</v>
      </c>
      <c r="AF163" s="1447">
        <v>10</v>
      </c>
    </row>
    <row r="164" spans="31:32" ht="12.6" customHeight="1" x14ac:dyDescent="0.2">
      <c r="AE164" s="236">
        <v>704037</v>
      </c>
      <c r="AF164" s="1447">
        <v>10</v>
      </c>
    </row>
    <row r="165" spans="31:32" ht="12.6" customHeight="1" x14ac:dyDescent="0.2">
      <c r="AE165" s="236" t="s">
        <v>963</v>
      </c>
      <c r="AF165" s="1447">
        <v>4</v>
      </c>
    </row>
    <row r="166" spans="31:32" ht="12.6" customHeight="1" x14ac:dyDescent="0.2">
      <c r="AE166" s="236" t="s">
        <v>964</v>
      </c>
      <c r="AF166" s="1447">
        <v>4</v>
      </c>
    </row>
    <row r="167" spans="31:32" ht="12.6" customHeight="1" x14ac:dyDescent="0.2">
      <c r="AE167" s="236">
        <v>704050</v>
      </c>
      <c r="AF167" s="1447">
        <v>10</v>
      </c>
    </row>
    <row r="168" spans="31:32" ht="12.6" customHeight="1" x14ac:dyDescent="0.2">
      <c r="AE168" s="236">
        <v>305025</v>
      </c>
      <c r="AF168" s="1447">
        <v>10</v>
      </c>
    </row>
    <row r="169" spans="31:32" ht="12.6" customHeight="1" x14ac:dyDescent="0.2">
      <c r="AE169" s="236">
        <v>305037</v>
      </c>
      <c r="AF169" s="1447">
        <v>10</v>
      </c>
    </row>
    <row r="170" spans="31:32" ht="12.6" customHeight="1" x14ac:dyDescent="0.2">
      <c r="AE170" s="236">
        <v>355037</v>
      </c>
      <c r="AF170" s="1447">
        <v>10</v>
      </c>
    </row>
    <row r="171" spans="31:32" ht="12.6" customHeight="1" x14ac:dyDescent="0.2">
      <c r="AE171" s="236" t="s">
        <v>965</v>
      </c>
      <c r="AF171" s="1447">
        <v>5</v>
      </c>
    </row>
    <row r="172" spans="31:32" ht="12.6" customHeight="1" x14ac:dyDescent="0.2">
      <c r="AE172" s="236" t="s">
        <v>966</v>
      </c>
      <c r="AF172" s="1447">
        <v>5</v>
      </c>
    </row>
    <row r="173" spans="31:32" ht="12.6" customHeight="1" x14ac:dyDescent="0.2">
      <c r="AE173" s="236">
        <v>355050</v>
      </c>
      <c r="AF173" s="1447">
        <v>10</v>
      </c>
    </row>
    <row r="174" spans="31:32" ht="12.6" customHeight="1" x14ac:dyDescent="0.2">
      <c r="AE174" s="236">
        <v>406037</v>
      </c>
      <c r="AF174" s="1447">
        <v>10</v>
      </c>
    </row>
    <row r="175" spans="31:32" ht="12.6" customHeight="1" x14ac:dyDescent="0.2">
      <c r="AE175" s="236" t="s">
        <v>967</v>
      </c>
      <c r="AF175" s="1447">
        <v>6</v>
      </c>
    </row>
    <row r="176" spans="31:32" ht="12.6" customHeight="1" x14ac:dyDescent="0.2">
      <c r="AE176" s="236" t="s">
        <v>968</v>
      </c>
      <c r="AF176" s="1447">
        <v>6</v>
      </c>
    </row>
    <row r="177" spans="31:32" ht="12.6" customHeight="1" x14ac:dyDescent="0.2">
      <c r="AE177" s="236" t="s">
        <v>969</v>
      </c>
      <c r="AF177" s="1447">
        <v>6</v>
      </c>
    </row>
    <row r="178" spans="31:32" ht="12.6" customHeight="1" x14ac:dyDescent="0.2">
      <c r="AE178" s="236" t="s">
        <v>970</v>
      </c>
      <c r="AF178" s="1447">
        <v>6</v>
      </c>
    </row>
    <row r="179" spans="31:32" ht="12.6" customHeight="1" x14ac:dyDescent="0.2">
      <c r="AE179" s="236">
        <v>806062</v>
      </c>
      <c r="AF179" s="1447">
        <v>10</v>
      </c>
    </row>
    <row r="180" spans="31:32" ht="12.6" customHeight="1" x14ac:dyDescent="0.2">
      <c r="AE180" s="236" t="s">
        <v>971</v>
      </c>
      <c r="AF180" s="1447">
        <v>6</v>
      </c>
    </row>
    <row r="181" spans="31:32" ht="12.6" customHeight="1" x14ac:dyDescent="0.2">
      <c r="AE181" s="236" t="s">
        <v>972</v>
      </c>
      <c r="AF181" s="1447">
        <v>6</v>
      </c>
    </row>
    <row r="182" spans="31:32" ht="12.6" customHeight="1" x14ac:dyDescent="0.2">
      <c r="AE182" s="236">
        <v>407037</v>
      </c>
      <c r="AF182" s="1447">
        <v>10</v>
      </c>
    </row>
    <row r="183" spans="31:32" ht="12.6" customHeight="1" x14ac:dyDescent="0.2">
      <c r="AE183" s="236">
        <v>407050</v>
      </c>
      <c r="AF183" s="1447">
        <v>10</v>
      </c>
    </row>
    <row r="184" spans="31:32" ht="12.6" customHeight="1" x14ac:dyDescent="0.2">
      <c r="AE184" s="236" t="s">
        <v>973</v>
      </c>
      <c r="AF184" s="1447">
        <v>8</v>
      </c>
    </row>
    <row r="185" spans="31:32" ht="12.6" customHeight="1" x14ac:dyDescent="0.2">
      <c r="AE185" s="236">
        <v>8054</v>
      </c>
      <c r="AF185" s="1447">
        <v>8</v>
      </c>
    </row>
    <row r="186" spans="31:32" ht="12.6" customHeight="1" x14ac:dyDescent="0.2">
      <c r="AE186" s="236" t="s">
        <v>974</v>
      </c>
      <c r="AF186" s="1447">
        <v>8</v>
      </c>
    </row>
    <row r="187" spans="31:32" ht="12.6" customHeight="1" x14ac:dyDescent="0.2">
      <c r="AE187" s="236">
        <v>608062</v>
      </c>
      <c r="AF187" s="1447">
        <v>10</v>
      </c>
    </row>
    <row r="188" spans="31:32" ht="12.6" customHeight="1" x14ac:dyDescent="0.2">
      <c r="AE188" s="236" t="s">
        <v>975</v>
      </c>
      <c r="AF188" s="1447">
        <v>8</v>
      </c>
    </row>
    <row r="189" spans="31:32" ht="12.6" customHeight="1" x14ac:dyDescent="0.2">
      <c r="AE189" s="236" t="s">
        <v>976</v>
      </c>
      <c r="AF189" s="1447">
        <v>8</v>
      </c>
    </row>
    <row r="190" spans="31:32" ht="12.6" customHeight="1" x14ac:dyDescent="0.2">
      <c r="AE190" s="236" t="s">
        <v>977</v>
      </c>
      <c r="AF190" s="1447">
        <v>8</v>
      </c>
    </row>
    <row r="191" spans="31:32" ht="12.6" customHeight="1" x14ac:dyDescent="0.2">
      <c r="AE191" s="236" t="s">
        <v>978</v>
      </c>
      <c r="AF191" s="1447">
        <v>10</v>
      </c>
    </row>
    <row r="192" spans="31:32" ht="12.6" customHeight="1" x14ac:dyDescent="0.2">
      <c r="AE192" s="236" t="s">
        <v>979</v>
      </c>
      <c r="AF192" s="1447">
        <v>10</v>
      </c>
    </row>
    <row r="301" spans="31:31" ht="12.6" customHeight="1" x14ac:dyDescent="0.2">
      <c r="AE301" s="783" t="s">
        <v>980</v>
      </c>
    </row>
  </sheetData>
  <sheetProtection algorithmName="SHA-512" hashValue="zHmn7kiuccxoOH7ma/0+wOBLV5EyeZqoXFaS8ZgROkffY6l+NlBwioXDFFImooE1c8W6fl/LmfGK17Q/l4mIIg==" saltValue="BIv755MzFfLxZgj9Oab2tQ==" spinCount="100000" sheet="1" objects="1" scenarios="1" selectLockedCells="1"/>
  <mergeCells count="50">
    <mergeCell ref="HP25:HP26"/>
    <mergeCell ref="HG25:HG26"/>
    <mergeCell ref="HH25:HH26"/>
    <mergeCell ref="HI25:HI26"/>
    <mergeCell ref="HJ25:HJ26"/>
    <mergeCell ref="HK25:HK26"/>
    <mergeCell ref="HL25:HL26"/>
    <mergeCell ref="HD25:HD26"/>
    <mergeCell ref="HE25:HE26"/>
    <mergeCell ref="HM25:HM26"/>
    <mergeCell ref="HN25:HN26"/>
    <mergeCell ref="HO25:HO26"/>
    <mergeCell ref="X25:AA25"/>
    <mergeCell ref="AC25:AD25"/>
    <mergeCell ref="HA25:HA26"/>
    <mergeCell ref="HB25:HB26"/>
    <mergeCell ref="HC25:HC26"/>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A22:C22"/>
    <mergeCell ref="I8:K8"/>
    <mergeCell ref="C9:G9"/>
    <mergeCell ref="J9:P9"/>
    <mergeCell ref="C10:G10"/>
    <mergeCell ref="J10:L10"/>
    <mergeCell ref="O10:P10"/>
    <mergeCell ref="A12:C12"/>
    <mergeCell ref="D12:E12"/>
    <mergeCell ref="M12:N12"/>
    <mergeCell ref="D18:E18"/>
    <mergeCell ref="A21:C21"/>
    <mergeCell ref="J1:L1"/>
    <mergeCell ref="J2:L3"/>
    <mergeCell ref="J4:L4"/>
    <mergeCell ref="A5:G5"/>
    <mergeCell ref="O6:P6"/>
  </mergeCells>
  <conditionalFormatting sqref="J2:L4">
    <cfRule type="cellIs" dxfId="14" priority="13" stopIfTrue="1" operator="equal">
      <formula>""</formula>
    </cfRule>
  </conditionalFormatting>
  <conditionalFormatting sqref="G7">
    <cfRule type="cellIs" dxfId="13" priority="14" stopIfTrue="1" operator="equal">
      <formula>"NO PAINT"</formula>
    </cfRule>
  </conditionalFormatting>
  <conditionalFormatting sqref="I7:K7">
    <cfRule type="expression" dxfId="12" priority="15" stopIfTrue="1">
      <formula>LOWER($I$7)&lt;&gt;"std gray primer: one shop coat"</formula>
    </cfRule>
  </conditionalFormatting>
  <conditionalFormatting sqref="C27:C42 A27:A35">
    <cfRule type="expression" dxfId="11" priority="3">
      <formula>AND(NOT($S$1),$C27=0,OR($R$1="",$R$1="M"))</formula>
    </cfRule>
  </conditionalFormatting>
  <conditionalFormatting sqref="F27:F42">
    <cfRule type="expression" dxfId="10" priority="7">
      <formula>OR(ISERROR(VLOOKUP(E27,$V$27:$V$42,1,FALSE)),ISERROR(VLOOKUP(F27,$AB$27:$AB$42,1,FALSE)))</formula>
    </cfRule>
  </conditionalFormatting>
  <conditionalFormatting sqref="G27:G42">
    <cfRule type="expression" dxfId="9" priority="8">
      <formula>NOT(VLOOKUP($E27,$W$27:$AA$42,2,FALSE))</formula>
    </cfRule>
  </conditionalFormatting>
  <conditionalFormatting sqref="H27:H42">
    <cfRule type="expression" dxfId="8" priority="9">
      <formula>NOT(VLOOKUP($E27,$W$27:$AA$42,3,FALSE))</formula>
    </cfRule>
  </conditionalFormatting>
  <conditionalFormatting sqref="I27:I42">
    <cfRule type="expression" dxfId="7" priority="10">
      <formula>NOT(VLOOKUP($E27,$W$27:$AA$42,4,FALSE))</formula>
    </cfRule>
  </conditionalFormatting>
  <conditionalFormatting sqref="J27:J42">
    <cfRule type="expression" dxfId="6" priority="11">
      <formula>NOT(VLOOKUP($E27,$W$27:$AA$42,5,FALSE))</formula>
    </cfRule>
  </conditionalFormatting>
  <conditionalFormatting sqref="D27:D42">
    <cfRule type="expression" dxfId="5" priority="5">
      <formula>OR(ISERROR(VLOOKUP(TRIM(D27),$AE$27:$AE$300,1,FALSE)),AND(NOT(ISERROR(VLOOKUP(E27,$V$27:$V$300,1,FALSE))),NOT(ISERROR(VLOOKUP(TRIM(D27),$U$27:$U$300,1,FALSE)))))</formula>
    </cfRule>
  </conditionalFormatting>
  <conditionalFormatting sqref="E27:E42">
    <cfRule type="expression" dxfId="4" priority="6">
      <formula>OR(ISERROR(VLOOKUP(E27,$W$27:$W$42,1,FALSE)),AND(NOT(ISERROR(VLOOKUP(E27,$V$27:$V$300,1,FALSE))),NOT(ISERROR(VLOOKUP(D27,$U$27:$U$300,1,FALSE)))))</formula>
    </cfRule>
  </conditionalFormatting>
  <conditionalFormatting sqref="I7:L7">
    <cfRule type="cellIs" dxfId="3" priority="4" operator="equal">
      <formula>0</formula>
    </cfRule>
  </conditionalFormatting>
  <conditionalFormatting sqref="A27:P35 B36:P42">
    <cfRule type="expression" dxfId="2" priority="12">
      <formula>$Q27</formula>
    </cfRule>
  </conditionalFormatting>
  <conditionalFormatting sqref="A36:A42">
    <cfRule type="expression" dxfId="1" priority="1">
      <formula>AND(NOT($S$1),$C36=0,OR($R$1="",$R$1="M"))</formula>
    </cfRule>
  </conditionalFormatting>
  <conditionalFormatting sqref="A36:A42">
    <cfRule type="expression" dxfId="0" priority="2">
      <formula>$Q36</formula>
    </cfRule>
  </conditionalFormatting>
  <dataValidations count="5">
    <dataValidation type="list" allowBlank="1" showInputMessage="1" sqref="I7:L7">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formula1>0</formula1>
      <formula2>11.875</formula2>
    </dataValidation>
    <dataValidation type="whole" operator="greaterThanOrEqual" allowBlank="1" showErrorMessage="1" errorTitle="Dimensional Error" error="&quot;Feet&quot; can only be whole numbers." sqref="K27:K42">
      <formula1>0</formula1>
    </dataValidation>
    <dataValidation type="list" allowBlank="1" errorTitle="Invalid Bridging Type" error="You MUST use a bridging type provided in the list." sqref="E27:E42">
      <formula1>OFFSET($W$27,0,0,$W$25)</formula1>
    </dataValidation>
    <dataValidation type="list" allowBlank="1" showInputMessage="1" sqref="F27:F42">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18.1019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64</vt:i4>
      </vt:variant>
      <vt:variant>
        <vt:lpstr>Named Ranges</vt:lpstr>
      </vt:variant>
      <vt:variant>
        <vt:i4>74</vt:i4>
      </vt:variant>
    </vt:vector>
  </HeadingPairs>
  <TitlesOfParts>
    <vt:vector size="138"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C (3)</vt:lpstr>
      <vt:lpstr>C (4)</vt:lpstr>
      <vt:lpstr>C (5)</vt:lpstr>
      <vt:lpstr>C (6)</vt:lpstr>
      <vt:lpstr>N (1)</vt:lpstr>
      <vt:lpstr>N (2)</vt:lpstr>
      <vt:lpstr>N (3)</vt:lpstr>
      <vt:lpstr>N (4)</vt:lpstr>
      <vt:lpstr>N (5)</vt:lpstr>
      <vt:lpstr>L (1)</vt:lpstr>
      <vt:lpstr>L (2)</vt:lpstr>
      <vt:lpstr>L (3)</vt:lpstr>
      <vt:lpstr>L (4)</vt:lpstr>
      <vt:lpstr>L (5)</vt:lpstr>
      <vt:lpstr>K (1)</vt:lpstr>
      <vt:lpstr>S (1)</vt:lpstr>
      <vt:lpstr>S (2)</vt:lpstr>
      <vt:lpstr>S (3)</vt:lpstr>
      <vt:lpstr>S (4)</vt:lpstr>
      <vt:lpstr>S (5)</vt:lpstr>
      <vt:lpstr>S (6)</vt:lpstr>
      <vt:lpstr>S (7)</vt:lpstr>
      <vt:lpstr>S (8)</vt:lpstr>
      <vt:lpstr>S (9)</vt:lpstr>
      <vt:lpstr>S (10)</vt:lpstr>
      <vt:lpstr>S (11)</vt:lpstr>
      <vt:lpstr>G (1)</vt:lpstr>
      <vt:lpstr>G (2)</vt:lpstr>
      <vt:lpstr>G (3)</vt:lpstr>
      <vt:lpstr>J (1)</vt:lpstr>
      <vt:lpstr>J (2)</vt:lpstr>
      <vt:lpstr>J (3)</vt:lpstr>
      <vt:lpstr>J (4)</vt:lpstr>
      <vt:lpstr>J (5)</vt:lpstr>
      <vt:lpstr>J (6)</vt:lpstr>
      <vt:lpstr>J (7)</vt:lpstr>
      <vt:lpstr>J (8)</vt:lpstr>
      <vt:lpstr>J (9)</vt:lpstr>
      <vt:lpstr>J (10)</vt:lpstr>
      <vt:lpstr>J (11)</vt:lpstr>
      <vt:lpstr>J (12)</vt:lpstr>
      <vt:lpstr>J (13)</vt:lpstr>
      <vt:lpstr>B (1)</vt:lpstr>
      <vt:lpstr>'L (1)'!Pos</vt:lpstr>
      <vt:lpstr>'L (2)'!Pos</vt:lpstr>
      <vt:lpstr>'L (3)'!Pos</vt:lpstr>
      <vt:lpstr>'L (4)'!Pos</vt:lpstr>
      <vt:lpstr>'L (5)'!Pos</vt:lpstr>
      <vt:lpstr>Pos</vt:lpstr>
      <vt:lpstr>'B (1)'!Print_Area</vt:lpstr>
      <vt:lpstr>B_A!Print_Area</vt:lpstr>
      <vt:lpstr>B_B!Print_Area</vt:lpstr>
      <vt:lpstr>'C (1)'!Print_Area</vt:lpstr>
      <vt:lpstr>'C (2)'!Print_Area</vt:lpstr>
      <vt:lpstr>'C (3)'!Print_Area</vt:lpstr>
      <vt:lpstr>'C (4)'!Print_Area</vt:lpstr>
      <vt:lpstr>'C (5)'!Print_Area</vt:lpstr>
      <vt:lpstr>'C (6)'!Print_Area</vt:lpstr>
      <vt:lpstr>C_A!Print_Area</vt:lpstr>
      <vt:lpstr>'Discrepancy Check'!Print_Area</vt:lpstr>
      <vt:lpstr>'G (1)'!Print_Area</vt:lpstr>
      <vt:lpstr>'G (2)'!Print_Area</vt:lpstr>
      <vt:lpstr>'G (3)'!Print_Area</vt:lpstr>
      <vt:lpstr>G_A!Print_Area</vt:lpstr>
      <vt:lpstr>G_B!Print_Area</vt:lpstr>
      <vt:lpstr>'J (1)'!Print_Area</vt:lpstr>
      <vt:lpstr>'J (10)'!Print_Area</vt:lpstr>
      <vt:lpstr>'J (11)'!Print_Area</vt:lpstr>
      <vt:lpstr>'J (12)'!Print_Area</vt:lpstr>
      <vt:lpstr>'J (13)'!Print_Area</vt:lpstr>
      <vt:lpstr>'J (2)'!Print_Area</vt:lpstr>
      <vt:lpstr>'J (3)'!Print_Area</vt:lpstr>
      <vt:lpstr>'J (4)'!Print_Area</vt:lpstr>
      <vt:lpstr>'J (5)'!Print_Area</vt:lpstr>
      <vt:lpstr>'J (6)'!Print_Area</vt:lpstr>
      <vt:lpstr>'J (7)'!Print_Area</vt:lpstr>
      <vt:lpstr>'J (8)'!Print_Area</vt:lpstr>
      <vt:lpstr>'J (9)'!Print_Area</vt:lpstr>
      <vt:lpstr>J_A!Print_Area</vt:lpstr>
      <vt:lpstr>J_B!Print_Area</vt:lpstr>
      <vt:lpstr>'Job Info.'!Print_Area</vt:lpstr>
      <vt:lpstr>'K (1)'!Print_Area</vt:lpstr>
      <vt:lpstr>K_A!Print_Area</vt:lpstr>
      <vt:lpstr>'L (1)'!Print_Area</vt:lpstr>
      <vt:lpstr>'L (2)'!Print_Area</vt:lpstr>
      <vt:lpstr>'L (3)'!Print_Area</vt:lpstr>
      <vt:lpstr>'L (4)'!Print_Area</vt:lpstr>
      <vt:lpstr>'L (5)'!Print_Area</vt:lpstr>
      <vt:lpstr>L_A!Print_Area</vt:lpstr>
      <vt:lpstr>'N (1)'!Print_Area</vt:lpstr>
      <vt:lpstr>'N (2)'!Print_Area</vt:lpstr>
      <vt:lpstr>'N (3)'!Print_Area</vt:lpstr>
      <vt:lpstr>'N (4)'!Print_Area</vt:lpstr>
      <vt:lpstr>'N (5)'!Print_Area</vt:lpstr>
      <vt:lpstr>N_A!Print_Area</vt:lpstr>
      <vt:lpstr>'P (1)'!Print_Area</vt:lpstr>
      <vt:lpstr>P_A!Print_Area</vt:lpstr>
      <vt:lpstr>'S (1)'!Print_Area</vt:lpstr>
      <vt:lpstr>'S (10)'!Print_Area</vt:lpstr>
      <vt:lpstr>'S (11)'!Print_Area</vt:lpstr>
      <vt:lpstr>'S (2)'!Print_Area</vt:lpstr>
      <vt:lpstr>'S (3)'!Print_Area</vt:lpstr>
      <vt:lpstr>'S (4)'!Print_Area</vt:lpstr>
      <vt:lpstr>'S (5)'!Print_Area</vt:lpstr>
      <vt:lpstr>'S (6)'!Print_Area</vt:lpstr>
      <vt:lpstr>'S (7)'!Print_Area</vt:lpstr>
      <vt:lpstr>'S (8)'!Print_Area</vt:lpstr>
      <vt:lpstr>'S (9)'!Print_Area</vt:lpstr>
      <vt:lpstr>S_A!Print_Area</vt:lpstr>
      <vt:lpstr>SectInfo!Print_Area</vt:lpstr>
      <vt:lpstr>SectInfo!Print_Titles</vt:lpstr>
      <vt:lpstr>'L (1)'!Type</vt:lpstr>
      <vt:lpstr>'L (2)'!Type</vt:lpstr>
      <vt:lpstr>'L (3)'!Type</vt:lpstr>
      <vt:lpstr>'L (4)'!Type</vt:lpstr>
      <vt:lpstr>'L (5)'!Type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Darien Shannon</cp:lastModifiedBy>
  <cp:lastPrinted>2018-11-09T19:26:40Z</cp:lastPrinted>
  <dcterms:created xsi:type="dcterms:W3CDTF">2000-11-20T22:20:26Z</dcterms:created>
  <dcterms:modified xsi:type="dcterms:W3CDTF">2018-11-12T19:29:24Z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